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dell\Desktop\pricer\"/>
    </mc:Choice>
  </mc:AlternateContent>
  <xr:revisionPtr revIDLastSave="0" documentId="13_ncr:1_{8875816A-88BF-4813-8290-D31FD99C07A5}" xr6:coauthVersionLast="47" xr6:coauthVersionMax="47" xr10:uidLastSave="{00000000-0000-0000-0000-000000000000}"/>
  <bookViews>
    <workbookView xWindow="-120" yWindow="-120" windowWidth="20730" windowHeight="11160" tabRatio="901" activeTab="1" xr2:uid="{00000000-000D-0000-FFFF-FFFF00000000}"/>
  </bookViews>
  <sheets>
    <sheet name="Marché" sheetId="1" r:id="rId1"/>
    <sheet name="Lignes_détenues" sheetId="2" r:id="rId2"/>
    <sheet name="Courbe des taux" sheetId="3" r:id="rId3"/>
    <sheet name="DATA" sheetId="36" r:id="rId4"/>
    <sheet name="ZC" sheetId="35" r:id="rId5"/>
    <sheet name="CONTROLE_PRICER_MANAR" sheetId="34" r:id="rId6"/>
    <sheet name="Ammortissable" sheetId="18" r:id="rId7"/>
    <sheet name="CIH" sheetId="6" r:id="rId8"/>
    <sheet name="Echéanciers des Parts" sheetId="8" r:id="rId9"/>
    <sheet name="Echeancier de parts 2" sheetId="30" r:id="rId10"/>
    <sheet name="FEC9149-2140" sheetId="14" r:id="rId11"/>
    <sheet name="ammc" sheetId="22" r:id="rId12"/>
    <sheet name="ONCF" sheetId="5" r:id="rId13"/>
    <sheet name="Feuil1" sheetId="37" r:id="rId14"/>
  </sheets>
  <functionGroups builtInGroupCount="19"/>
  <externalReferences>
    <externalReference r:id="rId15"/>
    <externalReference r:id="rId16"/>
    <externalReference r:id="rId17"/>
    <externalReference r:id="rId18"/>
    <externalReference r:id="rId19"/>
    <externalReference r:id="rId20"/>
    <externalReference r:id="rId21"/>
    <externalReference r:id="rId22"/>
  </externalReferences>
  <definedNames>
    <definedName name="_xlnm._FilterDatabase" localSheetId="6" hidden="1">Ammortissable!$C$1:$C$763</definedName>
    <definedName name="_xlnm._FilterDatabase" localSheetId="5" hidden="1">CONTROLE_PRICER_MANAR!#REF!</definedName>
    <definedName name="_xlnm._FilterDatabase" localSheetId="1" hidden="1">Lignes_détenues!$A$1:$AH$506</definedName>
    <definedName name="_xlnm._FilterDatabase" localSheetId="0" hidden="1">Marché!$A$1:$Q$2710</definedName>
    <definedName name="_mat1">'Courbe des taux'!$A$2:$A$50</definedName>
    <definedName name="_mat2">'Courbe des taux'!$D$2:$D$50</definedName>
    <definedName name="_Order1" hidden="1">0</definedName>
    <definedName name="Année">ZC!$P:$P</definedName>
    <definedName name="auj">[1]Menu!$F$6</definedName>
    <definedName name="base">'Courbe des taux'!$I$4</definedName>
    <definedName name="_xlnm.Database">#REF!</definedName>
    <definedName name="Bornesup">[2]valorisation!#REF!</definedName>
    <definedName name="bsf">#REF!</definedName>
    <definedName name="cap">#REF!</definedName>
    <definedName name="Capital">#REF!</definedName>
    <definedName name="CHIHAB">#REF!</definedName>
    <definedName name="Coupon1">#REF!</definedName>
    <definedName name="Coupon2">#REF!</definedName>
    <definedName name="Coupon3">#REF!</definedName>
    <definedName name="Coupon4">#REF!</definedName>
    <definedName name="CouponCT">[3]Pricer!$B$7</definedName>
    <definedName name="CrbTxZc" localSheetId="7">CIH!$F$2:$G$25</definedName>
    <definedName name="CrbTxZc">ONCF!$F$2:$G$25</definedName>
    <definedName name="CurveDate">[4]Courbe!$B$1</definedName>
    <definedName name="d">#REF!</definedName>
    <definedName name="DATE_VALO">#REF!</definedName>
    <definedName name="DateLimite">[1]Taux!$B$22</definedName>
    <definedName name="Dates">[1]Taux!$B$4:$B$22</definedName>
    <definedName name="DateVariable">'Courbe des taux'!$F$1</definedName>
    <definedName name="DonnéesExternes_1" localSheetId="5" hidden="1">CONTROLE_PRICER_MANAR!$A$1:$C$355</definedName>
    <definedName name="Durée_an">#REF!</definedName>
    <definedName name="f">[3]Pricer!$B$7</definedName>
    <definedName name="HTML_CodePage" hidden="1">1256</definedName>
    <definedName name="HTML_Control" hidden="1">{"'PORTEFEUILLE OBLIGATAIRE'!$A$11:$Z$285"}</definedName>
    <definedName name="HTML_Description" hidden="1">""</definedName>
    <definedName name="HTML_Email" hidden="1">""</definedName>
    <definedName name="HTML_Header" hidden="1">"PORTEFEUILLE OBLIGATAIRE"</definedName>
    <definedName name="HTML_LastUpdate" hidden="1">"02/12/99"</definedName>
    <definedName name="HTML_LineAfter" hidden="1">FALSE</definedName>
    <definedName name="HTML_LineBefore" hidden="1">FALSE</definedName>
    <definedName name="HTML_Name" hidden="1">"MOHAMED"</definedName>
    <definedName name="HTML_OBDlg2" hidden="1">TRUE</definedName>
    <definedName name="HTML_OBDlg4" hidden="1">TRUE</definedName>
    <definedName name="HTML_OS" hidden="1">0</definedName>
    <definedName name="HTML_PathFile" hidden="1">"H:\MonHTML.htm"</definedName>
    <definedName name="HTML_Title" hidden="1">"CAP_REGULARITE"</definedName>
    <definedName name="jj">#REF!</definedName>
    <definedName name="jour_ZC">ZC!#REF!</definedName>
    <definedName name="jours">ZC!#REF!</definedName>
    <definedName name="LstEmetteur">[1]Taux!$C$3:$AF$3</definedName>
    <definedName name="mat" localSheetId="7">CIH!$K$3:$K$34</definedName>
    <definedName name="mat">CIH!$K$3:$K$34</definedName>
    <definedName name="mat_court">CIH!$A$8:$A$27</definedName>
    <definedName name="mat_zc">ZC!$C$2:$C$37</definedName>
    <definedName name="maturiteZC">ZC!#REF!</definedName>
    <definedName name="Obligation" localSheetId="0">Marché!$A$1:$L$777</definedName>
    <definedName name="PastDays">[3]Pricer!#REF!</definedName>
    <definedName name="per">#REF!</definedName>
    <definedName name="Periodicité">#REF!</definedName>
    <definedName name="pointZC">ZC!$A1:$A35</definedName>
    <definedName name="reglement" localSheetId="1">Lignes_détenues!#REF!</definedName>
    <definedName name="Retraitement_S1">#REF!</definedName>
    <definedName name="Retraitement_S2">'[4]365 jrs &lt; S2 &lt; 5 ans'!$AH$11</definedName>
    <definedName name="Retraitement_S3">'[4]5 ans &lt; S3 &lt; 10 ans'!$AH$11</definedName>
    <definedName name="Retraitement_S4">'[4]10 ans &lt; S4'!$AH$11</definedName>
    <definedName name="semaine">#REF!</definedName>
    <definedName name="solver_adj" localSheetId="7" hidden="1">CIH!$U$11</definedName>
    <definedName name="solver_adj" localSheetId="12" hidden="1">ONCF!$T$11</definedName>
    <definedName name="solver_cvg" localSheetId="7" hidden="1">0.0001</definedName>
    <definedName name="solver_cvg" localSheetId="12" hidden="1">0.0001</definedName>
    <definedName name="solver_drv" localSheetId="7" hidden="1">1</definedName>
    <definedName name="solver_drv" localSheetId="12" hidden="1">1</definedName>
    <definedName name="solver_est" localSheetId="7" hidden="1">1</definedName>
    <definedName name="solver_est" localSheetId="12" hidden="1">1</definedName>
    <definedName name="solver_itr" localSheetId="7" hidden="1">100</definedName>
    <definedName name="solver_itr" localSheetId="12" hidden="1">100</definedName>
    <definedName name="solver_lin" localSheetId="7" hidden="1">2</definedName>
    <definedName name="solver_lin" localSheetId="12" hidden="1">2</definedName>
    <definedName name="solver_neg" localSheetId="7" hidden="1">2</definedName>
    <definedName name="solver_neg" localSheetId="12" hidden="1">2</definedName>
    <definedName name="solver_num" localSheetId="7" hidden="1">0</definedName>
    <definedName name="solver_num" localSheetId="12" hidden="1">0</definedName>
    <definedName name="solver_nwt" localSheetId="7" hidden="1">1</definedName>
    <definedName name="solver_nwt" localSheetId="12" hidden="1">1</definedName>
    <definedName name="solver_opt" localSheetId="7" hidden="1">CIH!$T$15</definedName>
    <definedName name="solver_opt" localSheetId="12" hidden="1">ONCF!$S$15</definedName>
    <definedName name="solver_pre" localSheetId="7" hidden="1">0.000001</definedName>
    <definedName name="solver_pre" localSheetId="12" hidden="1">0.000001</definedName>
    <definedName name="solver_scl" localSheetId="7" hidden="1">2</definedName>
    <definedName name="solver_scl" localSheetId="12" hidden="1">2</definedName>
    <definedName name="solver_sho" localSheetId="7" hidden="1">2</definedName>
    <definedName name="solver_sho" localSheetId="12" hidden="1">2</definedName>
    <definedName name="solver_tim" localSheetId="7" hidden="1">100</definedName>
    <definedName name="solver_tim" localSheetId="12" hidden="1">100</definedName>
    <definedName name="solver_tol" localSheetId="7" hidden="1">0.05</definedName>
    <definedName name="solver_tol" localSheetId="12" hidden="1">0.05</definedName>
    <definedName name="solver_typ" localSheetId="7" hidden="1">1</definedName>
    <definedName name="solver_typ" localSheetId="12" hidden="1">1</definedName>
    <definedName name="solver_val" localSheetId="7" hidden="1">150000</definedName>
    <definedName name="solver_val" localSheetId="12" hidden="1">150000</definedName>
    <definedName name="t">#REF!</definedName>
    <definedName name="TabCrb" localSheetId="7">CIH!$G$2:$G$25</definedName>
    <definedName name="TabCrb">ONCF!$G$2:$G$25</definedName>
    <definedName name="TabCrbTx">[1]Taux!$B$4:$AG$22</definedName>
    <definedName name="TabDates" localSheetId="7">CIH!#REF!</definedName>
    <definedName name="TabDates">ONCF!#REF!</definedName>
    <definedName name="taux" localSheetId="7">CIH!$L$3:$L$24</definedName>
    <definedName name="taux">CIH!$L$3:$L$24</definedName>
    <definedName name="taux_court_act">CIH!$B$8:$B$27</definedName>
    <definedName name="Taux_ZC">ZC!$F$2:$F$37</definedName>
    <definedName name="taux_ZCC">ZC!$L$2:$L$36</definedName>
    <definedName name="taux1">'Courbe des taux'!$B$2:$B$50</definedName>
    <definedName name="taux2">'Courbe des taux'!$E$2:$E$50</definedName>
    <definedName name="TAUXZC">ZC!#REF!</definedName>
    <definedName name="TauxZCActuariel">ZC!$F:$F</definedName>
    <definedName name="TxIF">[1]Taux!$C$4:$C$22</definedName>
    <definedName name="Valo" localSheetId="7">CIH!#REF!</definedName>
    <definedName name="Valo">ONCF!#REF!</definedName>
    <definedName name="ValoDate">[4]Courbe!$B$2</definedName>
    <definedName name="vl">#REF!</definedName>
    <definedName name="ZC_annee">ZC!$C:$C</definedName>
    <definedName name="ZC_Taux">ZC!$F:$F</definedName>
    <definedName name="_xlnm.Print_Area" localSheetId="7">CIH!$A$1:$G$25</definedName>
    <definedName name="_xlnm.Print_Area" localSheetId="2">'Courbe des taux'!$F$19:$J$28</definedName>
    <definedName name="_xlnm.Print_Area" localSheetId="12">ONCF!$A$1:$G$25</definedName>
    <definedName name="Zone_impres_MI">#REF!</definedName>
  </definedNames>
  <calcPr calcId="191029"/>
</workbook>
</file>

<file path=xl/calcChain.xml><?xml version="1.0" encoding="utf-8"?>
<calcChain xmlns="http://schemas.openxmlformats.org/spreadsheetml/2006/main">
  <c r="M30" i="2" l="1"/>
  <c r="N311" i="2"/>
  <c r="F6" i="35"/>
  <c r="E3" i="35"/>
  <c r="E4" i="35"/>
  <c r="E5" i="35"/>
  <c r="E36" i="35"/>
  <c r="E2" i="35"/>
  <c r="D3" i="35"/>
  <c r="D4" i="35"/>
  <c r="D5" i="35"/>
  <c r="D36" i="35"/>
  <c r="D2" i="35"/>
  <c r="D9" i="3"/>
  <c r="E9" i="3"/>
  <c r="GF23" i="8"/>
  <c r="FJ51" i="8"/>
  <c r="AB504" i="2"/>
  <c r="AA505" i="2"/>
  <c r="AB505" i="2"/>
  <c r="F3" i="35"/>
  <c r="F4" i="35"/>
  <c r="F5" i="35"/>
  <c r="F2" i="35"/>
  <c r="D6" i="35"/>
  <c r="B6" i="35"/>
  <c r="F36" i="35"/>
  <c r="E6" i="35" l="1"/>
  <c r="L13" i="30"/>
  <c r="AE392" i="2" l="1"/>
  <c r="AC476" i="2" l="1"/>
  <c r="AC475" i="2"/>
  <c r="AC474" i="2"/>
  <c r="A2" i="2" l="1"/>
  <c r="AD353" i="2" l="1"/>
  <c r="R511" i="2" l="1"/>
  <c r="S511" i="2" s="1"/>
  <c r="R510" i="2" l="1"/>
  <c r="D6" i="3" l="1"/>
  <c r="KO24" i="8" l="1"/>
  <c r="KO25" i="8" s="1"/>
  <c r="KO26" i="8" s="1"/>
  <c r="KO27" i="8" s="1"/>
  <c r="KO28" i="8" s="1"/>
  <c r="KO29" i="8" s="1"/>
  <c r="KO30" i="8" s="1"/>
  <c r="KO31" i="8" s="1"/>
  <c r="KO32" i="8" s="1"/>
  <c r="KO33" i="8" s="1"/>
  <c r="KO34" i="8" s="1"/>
  <c r="KO35" i="8" s="1"/>
  <c r="KO36" i="8" s="1"/>
  <c r="KO37" i="8" s="1"/>
  <c r="KO23" i="8"/>
  <c r="KS8" i="8"/>
  <c r="KS9" i="8"/>
  <c r="KS10" i="8"/>
  <c r="KS11" i="8"/>
  <c r="KS12" i="8"/>
  <c r="KS13" i="8"/>
  <c r="KS14" i="8"/>
  <c r="KS15" i="8"/>
  <c r="KS16" i="8"/>
  <c r="KS17" i="8"/>
  <c r="KS18" i="8"/>
  <c r="KS19" i="8"/>
  <c r="KS20" i="8"/>
  <c r="KS21" i="8"/>
  <c r="KS22" i="8"/>
  <c r="KS23" i="8"/>
  <c r="KS24" i="8"/>
  <c r="KS25" i="8"/>
  <c r="KS26" i="8"/>
  <c r="KS27" i="8"/>
  <c r="KS28" i="8"/>
  <c r="KS29" i="8"/>
  <c r="KS30" i="8"/>
  <c r="KS31" i="8"/>
  <c r="KS32" i="8"/>
  <c r="KS33" i="8"/>
  <c r="KS34" i="8"/>
  <c r="KS35" i="8"/>
  <c r="KS36" i="8"/>
  <c r="KS37" i="8"/>
  <c r="D1102" i="18" l="1"/>
  <c r="D1105" i="18"/>
  <c r="B20" i="2" l="1"/>
  <c r="B21" i="2"/>
  <c r="B22" i="2"/>
  <c r="B25" i="2"/>
  <c r="B26" i="2"/>
  <c r="B23" i="2"/>
  <c r="B24" i="2"/>
  <c r="CQ18" i="30" l="1"/>
  <c r="H497" i="18" l="1"/>
  <c r="E522" i="18"/>
  <c r="N227" i="2" l="1"/>
  <c r="N215" i="2"/>
  <c r="O215" i="2"/>
  <c r="P215" i="2"/>
  <c r="Q215" i="2"/>
  <c r="J159" i="18"/>
  <c r="E4" i="3" l="1"/>
  <c r="DQ88" i="30" l="1"/>
  <c r="DQ87" i="30"/>
  <c r="DQ86" i="30"/>
  <c r="DQ85" i="30"/>
  <c r="DQ84" i="30"/>
  <c r="DQ83" i="30"/>
  <c r="DQ82" i="30"/>
  <c r="DQ81" i="30"/>
  <c r="DQ80" i="30"/>
  <c r="DQ79" i="30"/>
  <c r="DQ78" i="30"/>
  <c r="DQ77" i="30"/>
  <c r="DQ76" i="30"/>
  <c r="DQ75" i="30"/>
  <c r="DQ74" i="30"/>
  <c r="DQ73" i="30"/>
  <c r="DQ72" i="30"/>
  <c r="DQ71" i="30"/>
  <c r="DQ70" i="30"/>
  <c r="DQ69" i="30"/>
  <c r="DQ68" i="30"/>
  <c r="DW8" i="30"/>
  <c r="M64" i="2" l="1"/>
  <c r="D1100" i="18"/>
  <c r="X465" i="2"/>
  <c r="D1103" i="18" l="1"/>
  <c r="E1105" i="18"/>
  <c r="F1107" i="18" l="1"/>
  <c r="G1107" i="18" s="1"/>
  <c r="H1107" i="18" s="1"/>
  <c r="I1107" i="18" s="1"/>
  <c r="J1107" i="18" s="1"/>
  <c r="K1107" i="18" s="1"/>
  <c r="D1101" i="18"/>
  <c r="F1100" i="18"/>
  <c r="G1100" i="18"/>
  <c r="H1100" i="18"/>
  <c r="R1107" i="18"/>
  <c r="Q1107" i="18"/>
  <c r="P1107" i="18"/>
  <c r="O1107" i="18"/>
  <c r="N1107" i="18"/>
  <c r="M1107" i="18"/>
  <c r="L1107" i="18"/>
  <c r="R1100" i="18"/>
  <c r="Q1100" i="18"/>
  <c r="P1100" i="18"/>
  <c r="O1100" i="18"/>
  <c r="N1100" i="18"/>
  <c r="M1100" i="18"/>
  <c r="L1100" i="18"/>
  <c r="K1100" i="18"/>
  <c r="J1100" i="18"/>
  <c r="I1100" i="18"/>
  <c r="E1102" i="18" l="1"/>
  <c r="E1100" i="18"/>
  <c r="E1101" i="18" s="1"/>
  <c r="F1101" i="18" s="1"/>
  <c r="G1101" i="18" s="1"/>
  <c r="H1101" i="18" s="1"/>
  <c r="I1101" i="18" s="1"/>
  <c r="J1101" i="18" s="1"/>
  <c r="N646" i="18"/>
  <c r="E1103" i="18" l="1"/>
  <c r="F1102" i="18"/>
  <c r="F1103" i="18" s="1"/>
  <c r="G1102" i="18"/>
  <c r="G1103" i="18" s="1"/>
  <c r="H1102" i="18" l="1"/>
  <c r="H1103" i="18" s="1"/>
  <c r="I1102" i="18" l="1"/>
  <c r="I1103" i="18" s="1"/>
  <c r="J1102" i="18" l="1"/>
  <c r="J1103" i="18" s="1"/>
  <c r="F827" i="18"/>
  <c r="R1087" i="18"/>
  <c r="Q1087" i="18" s="1"/>
  <c r="P1087" i="18" s="1"/>
  <c r="O1087" i="18" s="1"/>
  <c r="N1087" i="18" s="1"/>
  <c r="M1087" i="18" s="1"/>
  <c r="L1087" i="18" s="1"/>
  <c r="K1087" i="18" s="1"/>
  <c r="J1087" i="18" s="1"/>
  <c r="I1087" i="18" s="1"/>
  <c r="H1087" i="18" s="1"/>
  <c r="G1087" i="18" s="1"/>
  <c r="F1087" i="18" s="1"/>
  <c r="E1087" i="18" s="1"/>
  <c r="D1087" i="18" s="1"/>
  <c r="D1082" i="18"/>
  <c r="D1083" i="18" s="1"/>
  <c r="E1082" i="18"/>
  <c r="E1083" i="18"/>
  <c r="K1101" i="18" l="1"/>
  <c r="K1102" i="18"/>
  <c r="K1103" i="18" s="1"/>
  <c r="U1080" i="18"/>
  <c r="V1080" i="18"/>
  <c r="W1080" i="18"/>
  <c r="X1080" i="18"/>
  <c r="Y1080" i="18"/>
  <c r="Z1080" i="18"/>
  <c r="AA1080" i="18"/>
  <c r="AB1080" i="18"/>
  <c r="AC1080" i="18"/>
  <c r="AD1080" i="18"/>
  <c r="AE1080" i="18"/>
  <c r="AF1080" i="18"/>
  <c r="AG1080" i="18"/>
  <c r="T1080" i="18"/>
  <c r="S1080" i="18"/>
  <c r="L1102" i="18" l="1"/>
  <c r="L1103" i="18" s="1"/>
  <c r="L1101" i="18"/>
  <c r="E1081" i="18"/>
  <c r="IV9" i="8"/>
  <c r="IP88" i="8"/>
  <c r="IP87" i="8"/>
  <c r="IP86" i="8"/>
  <c r="IP85" i="8"/>
  <c r="IP84" i="8"/>
  <c r="IP83" i="8"/>
  <c r="IP82" i="8"/>
  <c r="IP81" i="8"/>
  <c r="IP80" i="8"/>
  <c r="IP79" i="8"/>
  <c r="IP78" i="8"/>
  <c r="IP77" i="8"/>
  <c r="IP76" i="8"/>
  <c r="IP75" i="8"/>
  <c r="IP74" i="8"/>
  <c r="IP73" i="8"/>
  <c r="IP72" i="8"/>
  <c r="IP71" i="8"/>
  <c r="IP70" i="8"/>
  <c r="IP69" i="8"/>
  <c r="IP68" i="8"/>
  <c r="IP67" i="8"/>
  <c r="IP66" i="8"/>
  <c r="IP65" i="8"/>
  <c r="IP64" i="8"/>
  <c r="IP63" i="8"/>
  <c r="IP62" i="8"/>
  <c r="IP61" i="8"/>
  <c r="IP60" i="8"/>
  <c r="IP59" i="8"/>
  <c r="IP58" i="8"/>
  <c r="IP57" i="8"/>
  <c r="IP56" i="8"/>
  <c r="IP55" i="8"/>
  <c r="IP54" i="8"/>
  <c r="IV28" i="8"/>
  <c r="IV27" i="8"/>
  <c r="IV26" i="8"/>
  <c r="IV25" i="8"/>
  <c r="IV24" i="8"/>
  <c r="IV23" i="8"/>
  <c r="IV22" i="8"/>
  <c r="IV21" i="8"/>
  <c r="IV20" i="8"/>
  <c r="IV19" i="8"/>
  <c r="IV18" i="8"/>
  <c r="IV17" i="8"/>
  <c r="IV16" i="8"/>
  <c r="IV15" i="8"/>
  <c r="IV14" i="8"/>
  <c r="IV13" i="8"/>
  <c r="IV12" i="8"/>
  <c r="IV11" i="8"/>
  <c r="IV10" i="8"/>
  <c r="IV8" i="8"/>
  <c r="M1102" i="18" l="1"/>
  <c r="M1103" i="18" s="1"/>
  <c r="M1101" i="18"/>
  <c r="F1081" i="18"/>
  <c r="F1082" i="18"/>
  <c r="F1083" i="18" s="1"/>
  <c r="A3" i="2"/>
  <c r="A4" i="2"/>
  <c r="A5" i="2"/>
  <c r="A6" i="2"/>
  <c r="A7" i="2"/>
  <c r="A8" i="2"/>
  <c r="A9" i="2"/>
  <c r="A10" i="2"/>
  <c r="A11" i="2"/>
  <c r="A12" i="2"/>
  <c r="A13" i="2"/>
  <c r="A14" i="2"/>
  <c r="A15" i="2"/>
  <c r="A16" i="2"/>
  <c r="A17" i="2"/>
  <c r="B357" i="2"/>
  <c r="D231" i="34" l="1"/>
  <c r="E231" i="34" s="1"/>
  <c r="D226" i="34"/>
  <c r="E226" i="34" s="1"/>
  <c r="D227" i="34"/>
  <c r="E227" i="34" s="1"/>
  <c r="D229" i="34"/>
  <c r="E229" i="34" s="1"/>
  <c r="D225" i="34"/>
  <c r="E225" i="34" s="1"/>
  <c r="D228" i="34"/>
  <c r="E228" i="34" s="1"/>
  <c r="D230" i="34"/>
  <c r="E230" i="34" s="1"/>
  <c r="N1102" i="18"/>
  <c r="N1103" i="18" s="1"/>
  <c r="N1101" i="18"/>
  <c r="G1081" i="18"/>
  <c r="G1082" i="18"/>
  <c r="G1083" i="18" s="1"/>
  <c r="D1062" i="18"/>
  <c r="H1060" i="18"/>
  <c r="G1060" i="18"/>
  <c r="F1060" i="18"/>
  <c r="E1060" i="18"/>
  <c r="D1060" i="18"/>
  <c r="D1061" i="18" s="1"/>
  <c r="E1062" i="18" s="1"/>
  <c r="O1102" i="18" l="1"/>
  <c r="O1103" i="18" s="1"/>
  <c r="O1101" i="18"/>
  <c r="H1081" i="18"/>
  <c r="H1082" i="18"/>
  <c r="H1083" i="18" s="1"/>
  <c r="D1063" i="18"/>
  <c r="E1063" i="18"/>
  <c r="E1061" i="18"/>
  <c r="F1062" i="18" s="1"/>
  <c r="P1102" i="18" l="1"/>
  <c r="P1103" i="18" s="1"/>
  <c r="P1101" i="18"/>
  <c r="I1081" i="18"/>
  <c r="I1082" i="18"/>
  <c r="I1083" i="18" s="1"/>
  <c r="F1063" i="18"/>
  <c r="F1061" i="18"/>
  <c r="G1062" i="18" s="1"/>
  <c r="Q1102" i="18" l="1"/>
  <c r="Q1103" i="18" s="1"/>
  <c r="Q1101" i="18"/>
  <c r="J1081" i="18"/>
  <c r="J1082" i="18"/>
  <c r="J1083" i="18" s="1"/>
  <c r="G1061" i="18"/>
  <c r="H1062" i="18" s="1"/>
  <c r="G1063" i="18"/>
  <c r="R1102" i="18" l="1"/>
  <c r="R1103" i="18" s="1"/>
  <c r="R1101" i="18"/>
  <c r="K1081" i="18"/>
  <c r="K1082" i="18"/>
  <c r="K1083" i="18" s="1"/>
  <c r="H1061" i="18"/>
  <c r="H1063" i="18"/>
  <c r="L1081" i="18" l="1"/>
  <c r="L1082" i="18"/>
  <c r="L1083" i="18" s="1"/>
  <c r="D1042" i="18"/>
  <c r="M1081" i="18" l="1"/>
  <c r="M1082" i="18"/>
  <c r="M1083" i="18" s="1"/>
  <c r="N1081" i="18" l="1"/>
  <c r="N1082" i="18"/>
  <c r="N1083" i="18" s="1"/>
  <c r="O350" i="18"/>
  <c r="O1081" i="18" l="1"/>
  <c r="O1082" i="18"/>
  <c r="O1083" i="18" s="1"/>
  <c r="CV10" i="30"/>
  <c r="P1081" i="18" l="1"/>
  <c r="Q1082" i="18" s="1"/>
  <c r="Q1083" i="18" s="1"/>
  <c r="P1082" i="18"/>
  <c r="P1083" i="18" s="1"/>
  <c r="Q1081" i="18"/>
  <c r="R1082" i="18" s="1"/>
  <c r="R1083" i="18" s="1"/>
  <c r="N445" i="2"/>
  <c r="AB445" i="2"/>
  <c r="AA445" i="2"/>
  <c r="R1081" i="18" l="1"/>
  <c r="S1082" i="18" s="1"/>
  <c r="JP13" i="8"/>
  <c r="S1083" i="18" l="1"/>
  <c r="S1081" i="18"/>
  <c r="T1082" i="18" s="1"/>
  <c r="AE391" i="2"/>
  <c r="T1081" i="18" l="1"/>
  <c r="U1082" i="18" s="1"/>
  <c r="T1083" i="18"/>
  <c r="M646" i="18"/>
  <c r="U1081" i="18" l="1"/>
  <c r="V1082" i="18" s="1"/>
  <c r="U1083" i="18"/>
  <c r="AA214" i="2"/>
  <c r="V1081" i="18" l="1"/>
  <c r="W1082" i="18" s="1"/>
  <c r="V1083" i="18"/>
  <c r="E1040" i="18"/>
  <c r="F1040" i="18"/>
  <c r="G1040" i="18"/>
  <c r="H1040" i="18"/>
  <c r="D1040" i="18"/>
  <c r="W1083" i="18" l="1"/>
  <c r="W1081" i="18"/>
  <c r="X1082" i="18" s="1"/>
  <c r="D1041" i="18"/>
  <c r="E1042" i="18" s="1"/>
  <c r="E1043" i="18" s="1"/>
  <c r="D1043" i="18"/>
  <c r="D1022" i="18"/>
  <c r="J1020" i="18"/>
  <c r="I1020" i="18"/>
  <c r="H1020" i="18"/>
  <c r="G1020" i="18"/>
  <c r="F1020" i="18"/>
  <c r="E1020" i="18"/>
  <c r="D1020" i="18"/>
  <c r="D1021" i="18" s="1"/>
  <c r="E1022" i="18" s="1"/>
  <c r="X1081" i="18" l="1"/>
  <c r="Y1082" i="18" s="1"/>
  <c r="X1083" i="18"/>
  <c r="E1041" i="18"/>
  <c r="F1042" i="18" s="1"/>
  <c r="F1043" i="18" s="1"/>
  <c r="D1023" i="18"/>
  <c r="E1021" i="18"/>
  <c r="F1022" i="18" s="1"/>
  <c r="E1023" i="18"/>
  <c r="BV21" i="30"/>
  <c r="BV20" i="30"/>
  <c r="BV22" i="30"/>
  <c r="Y1081" i="18" l="1"/>
  <c r="Z1082" i="18" s="1"/>
  <c r="Y1083" i="18"/>
  <c r="F1041" i="18"/>
  <c r="G1042" i="18" s="1"/>
  <c r="G1043" i="18" s="1"/>
  <c r="F1021" i="18"/>
  <c r="G1022" i="18" s="1"/>
  <c r="F1023" i="18"/>
  <c r="DJ39" i="30"/>
  <c r="Z1081" i="18" l="1"/>
  <c r="AA1082" i="18" s="1"/>
  <c r="Z1083" i="18"/>
  <c r="G1041" i="18"/>
  <c r="H1042" i="18" s="1"/>
  <c r="H1043" i="18" s="1"/>
  <c r="G1021" i="18"/>
  <c r="H1022" i="18" s="1"/>
  <c r="G1023" i="18"/>
  <c r="CV8" i="30"/>
  <c r="AA1081" i="18" l="1"/>
  <c r="AB1082" i="18" s="1"/>
  <c r="AA1083" i="18"/>
  <c r="H1041" i="18"/>
  <c r="H1021" i="18"/>
  <c r="I1022" i="18" s="1"/>
  <c r="H1023" i="18"/>
  <c r="CV9" i="30"/>
  <c r="AB1083" i="18" l="1"/>
  <c r="AB1081" i="18"/>
  <c r="AC1082" i="18" s="1"/>
  <c r="I1023" i="18"/>
  <c r="I1021" i="18"/>
  <c r="J1022" i="18" s="1"/>
  <c r="D967" i="18"/>
  <c r="AC1081" i="18" l="1"/>
  <c r="AD1082" i="18" s="1"/>
  <c r="AC1083" i="18"/>
  <c r="J1023" i="18"/>
  <c r="J1021" i="18"/>
  <c r="DD88" i="30"/>
  <c r="DD87" i="30"/>
  <c r="DD86" i="30"/>
  <c r="DD85" i="30"/>
  <c r="DD84" i="30"/>
  <c r="DD83" i="30"/>
  <c r="DD82" i="30"/>
  <c r="DD81" i="30"/>
  <c r="DD80" i="30"/>
  <c r="DD79" i="30"/>
  <c r="DD78" i="30"/>
  <c r="DD77" i="30"/>
  <c r="DD76" i="30"/>
  <c r="DD75" i="30"/>
  <c r="DD74" i="30"/>
  <c r="DD73" i="30"/>
  <c r="DD72" i="30"/>
  <c r="DD71" i="30"/>
  <c r="DD70" i="30"/>
  <c r="DD69" i="30"/>
  <c r="DD68" i="30"/>
  <c r="DJ43" i="30"/>
  <c r="DJ42" i="30"/>
  <c r="DJ41" i="30"/>
  <c r="DJ40" i="30"/>
  <c r="DJ38" i="30"/>
  <c r="DJ37" i="30"/>
  <c r="DJ36" i="30"/>
  <c r="DJ35" i="30"/>
  <c r="DJ34" i="30"/>
  <c r="DJ33" i="30"/>
  <c r="DJ32" i="30"/>
  <c r="DJ31" i="30"/>
  <c r="DJ30" i="30"/>
  <c r="DJ29" i="30"/>
  <c r="DJ28" i="30"/>
  <c r="DJ27" i="30"/>
  <c r="DJ26" i="30"/>
  <c r="DJ25" i="30"/>
  <c r="DJ24" i="30"/>
  <c r="DJ23" i="30"/>
  <c r="DJ22" i="30"/>
  <c r="DJ21" i="30"/>
  <c r="DJ20" i="30"/>
  <c r="DJ19" i="30"/>
  <c r="DJ18" i="30"/>
  <c r="DJ17" i="30"/>
  <c r="DJ16" i="30"/>
  <c r="DJ15" i="30"/>
  <c r="DJ14" i="30"/>
  <c r="DJ13" i="30"/>
  <c r="DJ12" i="30"/>
  <c r="DJ11" i="30"/>
  <c r="DJ10" i="30"/>
  <c r="DJ9" i="30"/>
  <c r="DJ8" i="30"/>
  <c r="CP88" i="30"/>
  <c r="CP87" i="30"/>
  <c r="CP86" i="30"/>
  <c r="CP85" i="30"/>
  <c r="CP84" i="30"/>
  <c r="CP83" i="30"/>
  <c r="CP82" i="30"/>
  <c r="CP81" i="30"/>
  <c r="CP80" i="30"/>
  <c r="CP79" i="30"/>
  <c r="CP78" i="30"/>
  <c r="CP77" i="30"/>
  <c r="CP76" i="30"/>
  <c r="CP75" i="30"/>
  <c r="CP74" i="30"/>
  <c r="CP73" i="30"/>
  <c r="CP72" i="30"/>
  <c r="CP71" i="30"/>
  <c r="CP70" i="30"/>
  <c r="CP69" i="30"/>
  <c r="CP68" i="30"/>
  <c r="AD1081" i="18" l="1"/>
  <c r="AE1082" i="18" s="1"/>
  <c r="AD1083" i="18"/>
  <c r="D1003" i="18"/>
  <c r="E1001" i="18"/>
  <c r="F1001" i="18"/>
  <c r="G1001" i="18"/>
  <c r="H1001" i="18"/>
  <c r="I1001" i="18"/>
  <c r="J1001" i="18"/>
  <c r="D1001" i="18"/>
  <c r="D1002" i="18" s="1"/>
  <c r="E1003" i="18" s="1"/>
  <c r="D927" i="18"/>
  <c r="J969" i="18"/>
  <c r="K969" i="18"/>
  <c r="L969" i="18"/>
  <c r="M969" i="18"/>
  <c r="N969" i="18"/>
  <c r="O969" i="18"/>
  <c r="P969" i="18"/>
  <c r="Q969" i="18"/>
  <c r="R969" i="18"/>
  <c r="E969" i="18"/>
  <c r="F969" i="18"/>
  <c r="G969" i="18"/>
  <c r="H969" i="18"/>
  <c r="I969" i="18"/>
  <c r="D969" i="18"/>
  <c r="AE1083" i="18" l="1"/>
  <c r="AE1081" i="18"/>
  <c r="AF1082" i="18" s="1"/>
  <c r="E1004" i="18"/>
  <c r="E1002" i="18"/>
  <c r="D1004" i="18"/>
  <c r="Q595" i="18"/>
  <c r="AF1083" i="18" l="1"/>
  <c r="AF1081" i="18"/>
  <c r="AG1082" i="18" s="1"/>
  <c r="F1002" i="18"/>
  <c r="F1003" i="18"/>
  <c r="F1004" i="18" s="1"/>
  <c r="P595" i="18"/>
  <c r="D924" i="18"/>
  <c r="D925" i="18" s="1"/>
  <c r="AG1083" i="18" l="1"/>
  <c r="AG1081" i="18"/>
  <c r="G1002" i="18"/>
  <c r="G1003" i="18"/>
  <c r="G1004" i="18" s="1"/>
  <c r="G982" i="18"/>
  <c r="H982" i="18"/>
  <c r="I982" i="18"/>
  <c r="J982" i="18"/>
  <c r="F982" i="18"/>
  <c r="D984" i="18"/>
  <c r="D985" i="18" s="1"/>
  <c r="D983" i="18"/>
  <c r="E983" i="18" s="1"/>
  <c r="F984" i="18" s="1"/>
  <c r="H1003" i="18" l="1"/>
  <c r="H1004" i="18" s="1"/>
  <c r="H1002" i="18"/>
  <c r="E984" i="18"/>
  <c r="E985" i="18" s="1"/>
  <c r="F985" i="18"/>
  <c r="F983" i="18"/>
  <c r="G984" i="18" s="1"/>
  <c r="D964" i="18"/>
  <c r="I1003" i="18" l="1"/>
  <c r="I1004" i="18" s="1"/>
  <c r="I1002" i="18"/>
  <c r="G985" i="18"/>
  <c r="G983" i="18"/>
  <c r="H984" i="18" s="1"/>
  <c r="D965" i="18"/>
  <c r="D963" i="18"/>
  <c r="E963" i="18" s="1"/>
  <c r="F964" i="18" s="1"/>
  <c r="F965" i="18" s="1"/>
  <c r="D943" i="18"/>
  <c r="D944" i="18" s="1"/>
  <c r="R962" i="18"/>
  <c r="Q962" i="18"/>
  <c r="P962" i="18"/>
  <c r="O962" i="18"/>
  <c r="N962" i="18"/>
  <c r="M962" i="18"/>
  <c r="L962" i="18"/>
  <c r="K962" i="18"/>
  <c r="J962" i="18"/>
  <c r="I962" i="18"/>
  <c r="J941" i="18"/>
  <c r="K941" i="18"/>
  <c r="L941" i="18"/>
  <c r="M941" i="18"/>
  <c r="N941" i="18"/>
  <c r="O941" i="18"/>
  <c r="P941" i="18"/>
  <c r="Q941" i="18"/>
  <c r="R941" i="18"/>
  <c r="I941" i="18"/>
  <c r="D942" i="18"/>
  <c r="E943" i="18" s="1"/>
  <c r="M275" i="2"/>
  <c r="M270" i="2"/>
  <c r="J1003" i="18" l="1"/>
  <c r="J1004" i="18" s="1"/>
  <c r="J1002" i="18"/>
  <c r="H983" i="18"/>
  <c r="I984" i="18" s="1"/>
  <c r="H985" i="18"/>
  <c r="E964" i="18"/>
  <c r="E965" i="18" s="1"/>
  <c r="F963" i="18"/>
  <c r="G964" i="18" s="1"/>
  <c r="G965" i="18" s="1"/>
  <c r="E944" i="18"/>
  <c r="E942" i="18"/>
  <c r="F943" i="18" s="1"/>
  <c r="I985" i="18" l="1"/>
  <c r="I983" i="18"/>
  <c r="J984" i="18" s="1"/>
  <c r="G963" i="18"/>
  <c r="H964" i="18" s="1"/>
  <c r="H965" i="18" s="1"/>
  <c r="F944" i="18"/>
  <c r="F942" i="18"/>
  <c r="G943" i="18" s="1"/>
  <c r="J985" i="18" l="1"/>
  <c r="J983" i="18"/>
  <c r="H963" i="18"/>
  <c r="I964" i="18" s="1"/>
  <c r="I965" i="18" s="1"/>
  <c r="G944" i="18"/>
  <c r="G942" i="18"/>
  <c r="H943" i="18" s="1"/>
  <c r="I963" i="18" l="1"/>
  <c r="J964" i="18" s="1"/>
  <c r="J965" i="18" s="1"/>
  <c r="H944" i="18"/>
  <c r="H942" i="18"/>
  <c r="I943" i="18" s="1"/>
  <c r="J963" i="18" l="1"/>
  <c r="K964" i="18" s="1"/>
  <c r="K965" i="18" s="1"/>
  <c r="I944" i="18"/>
  <c r="I942" i="18"/>
  <c r="J943" i="18" s="1"/>
  <c r="K963" i="18" l="1"/>
  <c r="L964" i="18" s="1"/>
  <c r="L965" i="18" s="1"/>
  <c r="J942" i="18"/>
  <c r="K943" i="18" s="1"/>
  <c r="J944" i="18"/>
  <c r="L963" i="18" l="1"/>
  <c r="M964" i="18" s="1"/>
  <c r="M965" i="18" s="1"/>
  <c r="K942" i="18"/>
  <c r="L943" i="18" s="1"/>
  <c r="K944" i="18"/>
  <c r="M963" i="18" l="1"/>
  <c r="N964" i="18" s="1"/>
  <c r="N965" i="18" s="1"/>
  <c r="L944" i="18"/>
  <c r="L942" i="18"/>
  <c r="M943" i="18" s="1"/>
  <c r="N963" i="18" l="1"/>
  <c r="O964" i="18" s="1"/>
  <c r="O965" i="18" s="1"/>
  <c r="M944" i="18"/>
  <c r="M942" i="18"/>
  <c r="N943" i="18" s="1"/>
  <c r="O963" i="18" l="1"/>
  <c r="P964" i="18" s="1"/>
  <c r="P965" i="18" s="1"/>
  <c r="N944" i="18"/>
  <c r="N942" i="18"/>
  <c r="O943" i="18" s="1"/>
  <c r="P963" i="18" l="1"/>
  <c r="Q964" i="18" s="1"/>
  <c r="Q965" i="18" s="1"/>
  <c r="O944" i="18"/>
  <c r="O942" i="18"/>
  <c r="P943" i="18" s="1"/>
  <c r="Q963" i="18" l="1"/>
  <c r="R964" i="18" s="1"/>
  <c r="R965" i="18" s="1"/>
  <c r="P944" i="18"/>
  <c r="P942" i="18"/>
  <c r="Q943" i="18" s="1"/>
  <c r="G922" i="18"/>
  <c r="H922" i="18"/>
  <c r="I922" i="18"/>
  <c r="J922" i="18"/>
  <c r="F922" i="18"/>
  <c r="D923" i="18"/>
  <c r="E923" i="18" l="1"/>
  <c r="E924" i="18"/>
  <c r="E925" i="18" s="1"/>
  <c r="R963" i="18"/>
  <c r="Q944" i="18"/>
  <c r="Q942" i="18"/>
  <c r="R943" i="18" s="1"/>
  <c r="JV12" i="8"/>
  <c r="F923" i="18" l="1"/>
  <c r="F924" i="18"/>
  <c r="F925" i="18" s="1"/>
  <c r="R944" i="18"/>
  <c r="R942" i="18"/>
  <c r="G924" i="18" l="1"/>
  <c r="G925" i="18" s="1"/>
  <c r="G923" i="18"/>
  <c r="D904" i="18"/>
  <c r="H924" i="18" l="1"/>
  <c r="H925" i="18" s="1"/>
  <c r="H923" i="18"/>
  <c r="E902" i="18"/>
  <c r="F902" i="18"/>
  <c r="G902" i="18"/>
  <c r="H902" i="18"/>
  <c r="D902" i="18"/>
  <c r="D903" i="18" s="1"/>
  <c r="I923" i="18" l="1"/>
  <c r="I924" i="18"/>
  <c r="I925" i="18" s="1"/>
  <c r="E903" i="18"/>
  <c r="F903" i="18" s="1"/>
  <c r="G903" i="18" s="1"/>
  <c r="H903" i="18" s="1"/>
  <c r="E904" i="18"/>
  <c r="E905" i="18" s="1"/>
  <c r="D905" i="18"/>
  <c r="J924" i="18" l="1"/>
  <c r="J925" i="18" s="1"/>
  <c r="J923" i="18"/>
  <c r="F904" i="18"/>
  <c r="F905" i="18" s="1"/>
  <c r="H904" i="18"/>
  <c r="H905" i="18" s="1"/>
  <c r="G904" i="18"/>
  <c r="G905" i="18" s="1"/>
  <c r="K891" i="18"/>
  <c r="J891" i="18"/>
  <c r="I891" i="18"/>
  <c r="H891" i="18"/>
  <c r="G891" i="18"/>
  <c r="F891" i="18"/>
  <c r="E891" i="18"/>
  <c r="D891" i="18"/>
  <c r="D886" i="18"/>
  <c r="C886" i="18"/>
  <c r="K884" i="18"/>
  <c r="J884" i="18"/>
  <c r="I884" i="18"/>
  <c r="H884" i="18"/>
  <c r="G884" i="18"/>
  <c r="F884" i="18"/>
  <c r="E884" i="18"/>
  <c r="D884" i="18"/>
  <c r="D885" i="18" s="1"/>
  <c r="D887" i="18" l="1"/>
  <c r="E885" i="18"/>
  <c r="E886" i="18"/>
  <c r="E887" i="18" s="1"/>
  <c r="F885" i="18" l="1"/>
  <c r="F886" i="18"/>
  <c r="F887" i="18" s="1"/>
  <c r="G886" i="18" l="1"/>
  <c r="G887" i="18" s="1"/>
  <c r="G885" i="18"/>
  <c r="H886" i="18" l="1"/>
  <c r="H887" i="18" s="1"/>
  <c r="H885" i="18"/>
  <c r="I886" i="18" l="1"/>
  <c r="I887" i="18" s="1"/>
  <c r="I885" i="18"/>
  <c r="J886" i="18" l="1"/>
  <c r="J887" i="18" s="1"/>
  <c r="J885" i="18"/>
  <c r="K885" i="18" l="1"/>
  <c r="K886" i="18"/>
  <c r="K887" i="18" s="1"/>
  <c r="D867" i="18" l="1"/>
  <c r="H865" i="18"/>
  <c r="G865" i="18"/>
  <c r="F865" i="18"/>
  <c r="E865" i="18"/>
  <c r="D865" i="18"/>
  <c r="D866" i="18" s="1"/>
  <c r="E867" i="18" s="1"/>
  <c r="L646" i="18"/>
  <c r="D868" i="18" l="1"/>
  <c r="E868" i="18"/>
  <c r="E866" i="18"/>
  <c r="F867" i="18" s="1"/>
  <c r="E854" i="18"/>
  <c r="F854" i="18"/>
  <c r="G854" i="18"/>
  <c r="H854" i="18"/>
  <c r="D854" i="18"/>
  <c r="D849" i="18"/>
  <c r="H847" i="18"/>
  <c r="D848" i="18"/>
  <c r="E847" i="18"/>
  <c r="F847" i="18"/>
  <c r="G847" i="18"/>
  <c r="D847" i="18"/>
  <c r="F868" i="18" l="1"/>
  <c r="F866" i="18"/>
  <c r="G867" i="18" s="1"/>
  <c r="E848" i="18"/>
  <c r="E849" i="18"/>
  <c r="E850" i="18" s="1"/>
  <c r="D850" i="18"/>
  <c r="G866" i="18" l="1"/>
  <c r="H867" i="18" s="1"/>
  <c r="G868" i="18"/>
  <c r="F848" i="18"/>
  <c r="F849" i="18"/>
  <c r="F850" i="18"/>
  <c r="D831" i="18"/>
  <c r="H868" i="18" l="1"/>
  <c r="H866" i="18"/>
  <c r="G848" i="18"/>
  <c r="G849" i="18"/>
  <c r="G850" i="18" s="1"/>
  <c r="H849" i="18" l="1"/>
  <c r="H850" i="18" s="1"/>
  <c r="H848" i="18"/>
  <c r="C831" i="18" l="1"/>
  <c r="E829" i="18" l="1"/>
  <c r="F829" i="18"/>
  <c r="G829" i="18"/>
  <c r="H829" i="18"/>
  <c r="I829" i="18"/>
  <c r="J829" i="18"/>
  <c r="K829" i="18"/>
  <c r="D829" i="18"/>
  <c r="D832" i="18" s="1"/>
  <c r="D836" i="18"/>
  <c r="D830" i="18" l="1"/>
  <c r="E831" i="18" s="1"/>
  <c r="F836" i="18"/>
  <c r="G836" i="18"/>
  <c r="H836" i="18"/>
  <c r="I836" i="18"/>
  <c r="J836" i="18"/>
  <c r="K836" i="18"/>
  <c r="E830" i="18" l="1"/>
  <c r="F831" i="18" s="1"/>
  <c r="E836" i="18"/>
  <c r="F830" i="18" l="1"/>
  <c r="G831" i="18" s="1"/>
  <c r="E832" i="18"/>
  <c r="F832" i="18"/>
  <c r="D813" i="18"/>
  <c r="E818" i="18"/>
  <c r="F818" i="18"/>
  <c r="G818" i="18"/>
  <c r="D818" i="18"/>
  <c r="K817" i="18"/>
  <c r="I817" i="18"/>
  <c r="J817" i="18"/>
  <c r="H817" i="18"/>
  <c r="E811" i="18"/>
  <c r="F811" i="18"/>
  <c r="G811" i="18"/>
  <c r="D811" i="18"/>
  <c r="D812" i="18" s="1"/>
  <c r="E813" i="18" s="1"/>
  <c r="E814" i="18" s="1"/>
  <c r="G830" i="18" l="1"/>
  <c r="H831" i="18" s="1"/>
  <c r="G832" i="18"/>
  <c r="E812" i="18"/>
  <c r="F813" i="18" s="1"/>
  <c r="D814" i="18"/>
  <c r="F812" i="18" l="1"/>
  <c r="G813" i="18" s="1"/>
  <c r="H830" i="18"/>
  <c r="I831" i="18" s="1"/>
  <c r="H832" i="18"/>
  <c r="F814" i="18"/>
  <c r="G812" i="18"/>
  <c r="I830" i="18" l="1"/>
  <c r="J831" i="18" s="1"/>
  <c r="I832" i="18"/>
  <c r="G814" i="18"/>
  <c r="J830" i="18" l="1"/>
  <c r="K831" i="18" s="1"/>
  <c r="J832" i="18"/>
  <c r="K830" i="18" l="1"/>
  <c r="K832" i="18"/>
  <c r="F2" i="3" l="1"/>
  <c r="N375" i="2" l="1"/>
  <c r="AB375" i="2"/>
  <c r="AA375" i="2"/>
  <c r="M375" i="2"/>
  <c r="L375" i="2"/>
  <c r="K375" i="2"/>
  <c r="K333" i="2"/>
  <c r="L333" i="2"/>
  <c r="M333" i="2"/>
  <c r="AA333" i="2"/>
  <c r="AB333" i="2"/>
  <c r="N333" i="2"/>
  <c r="K334" i="2"/>
  <c r="L334" i="2"/>
  <c r="N334" i="2"/>
  <c r="K335" i="2"/>
  <c r="L335" i="2"/>
  <c r="M335" i="2"/>
  <c r="AA335" i="2"/>
  <c r="AB335" i="2"/>
  <c r="N335" i="2"/>
  <c r="J332" i="2"/>
  <c r="K332" i="2"/>
  <c r="L332" i="2"/>
  <c r="M332" i="2"/>
  <c r="AA332" i="2"/>
  <c r="AB332" i="2"/>
  <c r="N332" i="2"/>
  <c r="J333" i="2"/>
  <c r="J334" i="2"/>
  <c r="J335" i="2"/>
  <c r="J337" i="2"/>
  <c r="J338" i="2"/>
  <c r="J339" i="2"/>
  <c r="J340" i="2"/>
  <c r="J341" i="2"/>
  <c r="J342" i="2"/>
  <c r="J343" i="2"/>
  <c r="P1" i="35" l="1"/>
  <c r="S135" i="18"/>
  <c r="S138" i="18"/>
  <c r="AG138" i="18"/>
  <c r="AA314" i="2" l="1"/>
  <c r="D772" i="18"/>
  <c r="D773" i="18" s="1"/>
  <c r="D774" i="18" s="1"/>
  <c r="D771" i="18"/>
  <c r="O314" i="2" l="1"/>
  <c r="AB314" i="2"/>
  <c r="S768" i="18" l="1"/>
  <c r="D557" i="18" l="1"/>
  <c r="E557" i="18"/>
  <c r="A2" i="3" l="1"/>
  <c r="B2" i="3"/>
  <c r="A3" i="3"/>
  <c r="B3" i="3"/>
  <c r="A4" i="3"/>
  <c r="B4" i="3"/>
  <c r="A5" i="3"/>
  <c r="B5" i="3"/>
  <c r="C2" i="35" l="1"/>
  <c r="J91" i="2"/>
  <c r="K91" i="2"/>
  <c r="L91" i="2"/>
  <c r="P91" i="2"/>
  <c r="U91" i="2"/>
  <c r="P2" i="35" l="1"/>
  <c r="C3" i="35"/>
  <c r="AF371" i="2"/>
  <c r="AF372" i="2"/>
  <c r="AF370" i="2"/>
  <c r="C4" i="35" l="1"/>
  <c r="C5" i="35" s="1"/>
  <c r="P3" i="35"/>
  <c r="J372" i="2"/>
  <c r="K372" i="2"/>
  <c r="M372" i="2"/>
  <c r="AA372" i="2"/>
  <c r="AB372" i="2"/>
  <c r="N372" i="2"/>
  <c r="J370" i="2"/>
  <c r="K370" i="2"/>
  <c r="M370" i="2"/>
  <c r="AA370" i="2"/>
  <c r="AB370" i="2"/>
  <c r="N370" i="2"/>
  <c r="J371" i="2"/>
  <c r="K371" i="2"/>
  <c r="M371" i="2"/>
  <c r="AA371" i="2"/>
  <c r="AB371" i="2"/>
  <c r="J369" i="2"/>
  <c r="K369" i="2"/>
  <c r="M369" i="2"/>
  <c r="AA369" i="2"/>
  <c r="AB369" i="2"/>
  <c r="N369" i="2"/>
  <c r="M368" i="2"/>
  <c r="M367" i="2"/>
  <c r="J368" i="2"/>
  <c r="K368" i="2"/>
  <c r="AA368" i="2"/>
  <c r="AB368" i="2"/>
  <c r="N368" i="2"/>
  <c r="AF770" i="18"/>
  <c r="S770" i="18"/>
  <c r="T770" i="18"/>
  <c r="U770" i="18"/>
  <c r="V770" i="18"/>
  <c r="W770" i="18"/>
  <c r="X770" i="18"/>
  <c r="Y770" i="18"/>
  <c r="Z770" i="18"/>
  <c r="AA770" i="18"/>
  <c r="AB770" i="18"/>
  <c r="AC770" i="18"/>
  <c r="AD770" i="18"/>
  <c r="AE770" i="18"/>
  <c r="N367" i="2"/>
  <c r="AB367" i="2"/>
  <c r="AA367" i="2"/>
  <c r="K367" i="2"/>
  <c r="J367" i="2"/>
  <c r="AJ9" i="30"/>
  <c r="Q2" i="35" l="1"/>
  <c r="K646" i="18"/>
  <c r="AB363" i="2" l="1"/>
  <c r="AA364" i="2"/>
  <c r="AA363" i="2"/>
  <c r="M364" i="2"/>
  <c r="M363" i="2"/>
  <c r="K363" i="2"/>
  <c r="J363" i="2"/>
  <c r="N363" i="2"/>
  <c r="O363" i="2"/>
  <c r="P363" i="2"/>
  <c r="Q363" i="2"/>
  <c r="J364" i="2"/>
  <c r="K364" i="2"/>
  <c r="AB364" i="2"/>
  <c r="N364" i="2"/>
  <c r="O364" i="2"/>
  <c r="P364" i="2"/>
  <c r="Q364" i="2"/>
  <c r="AB362" i="2"/>
  <c r="P361" i="2"/>
  <c r="O361" i="2"/>
  <c r="J360" i="2"/>
  <c r="K360" i="2"/>
  <c r="M360" i="2"/>
  <c r="AA360" i="2"/>
  <c r="AB360" i="2"/>
  <c r="N360" i="2"/>
  <c r="O360" i="2"/>
  <c r="P360" i="2"/>
  <c r="Q360" i="2"/>
  <c r="J361" i="2"/>
  <c r="K361" i="2"/>
  <c r="AA361" i="2"/>
  <c r="AB361" i="2"/>
  <c r="N361" i="2"/>
  <c r="Q361" i="2"/>
  <c r="J362" i="2"/>
  <c r="K362" i="2"/>
  <c r="M362" i="2"/>
  <c r="AA362" i="2"/>
  <c r="N362" i="2"/>
  <c r="O362" i="2"/>
  <c r="P362" i="2"/>
  <c r="Q362" i="2"/>
  <c r="J359" i="2"/>
  <c r="K359" i="2"/>
  <c r="M359" i="2"/>
  <c r="AA359" i="2"/>
  <c r="AB359" i="2"/>
  <c r="N359" i="2"/>
  <c r="O359" i="2"/>
  <c r="P359" i="2"/>
  <c r="Q359" i="2"/>
  <c r="Q4" i="35" l="1"/>
  <c r="Q5" i="35"/>
  <c r="Q3" i="35"/>
  <c r="J358" i="2"/>
  <c r="P239" i="2"/>
  <c r="P242" i="2"/>
  <c r="J242" i="2"/>
  <c r="K358" i="2"/>
  <c r="M96" i="2"/>
  <c r="M358" i="2"/>
  <c r="AA358" i="2"/>
  <c r="AB358" i="2"/>
  <c r="N358" i="2"/>
  <c r="O358" i="2"/>
  <c r="P358" i="2"/>
  <c r="Q358" i="2"/>
  <c r="AB357" i="2" l="1"/>
  <c r="J357" i="2" l="1"/>
  <c r="K357" i="2"/>
  <c r="M357" i="2"/>
  <c r="AA357" i="2"/>
  <c r="N357" i="2"/>
  <c r="O357" i="2"/>
  <c r="P357" i="2"/>
  <c r="Q357" i="2"/>
  <c r="J356" i="2"/>
  <c r="K356" i="2"/>
  <c r="M356" i="2"/>
  <c r="AA356" i="2"/>
  <c r="AB356" i="2"/>
  <c r="N356" i="2"/>
  <c r="O356" i="2"/>
  <c r="P356" i="2"/>
  <c r="Q356" i="2"/>
  <c r="J355" i="2" l="1"/>
  <c r="K355" i="2"/>
  <c r="M355" i="2"/>
  <c r="AA355" i="2"/>
  <c r="AB355" i="2"/>
  <c r="N355" i="2"/>
  <c r="O355" i="2"/>
  <c r="P355" i="2"/>
  <c r="Q355" i="2"/>
  <c r="W21" i="30" l="1"/>
  <c r="W20" i="30"/>
  <c r="W19" i="30"/>
  <c r="W18" i="30"/>
  <c r="W17" i="30"/>
  <c r="W16" i="30"/>
  <c r="W15" i="30"/>
  <c r="W14" i="30"/>
  <c r="W13" i="30"/>
  <c r="W12" i="30"/>
  <c r="W11" i="30"/>
  <c r="W10" i="30"/>
  <c r="W9" i="30"/>
  <c r="J353" i="2"/>
  <c r="K353" i="2"/>
  <c r="M353" i="2"/>
  <c r="AA353" i="2"/>
  <c r="AB353" i="2"/>
  <c r="N353" i="2"/>
  <c r="O353" i="2"/>
  <c r="P353" i="2"/>
  <c r="Q353" i="2"/>
  <c r="J354" i="2"/>
  <c r="K354" i="2"/>
  <c r="M354" i="2"/>
  <c r="AA354" i="2"/>
  <c r="AB354" i="2"/>
  <c r="N354" i="2"/>
  <c r="O354" i="2"/>
  <c r="P354" i="2"/>
  <c r="Q354" i="2"/>
  <c r="Q277" i="2"/>
  <c r="P277" i="2"/>
  <c r="O277" i="2"/>
  <c r="N277" i="2"/>
  <c r="J352" i="2" l="1"/>
  <c r="K352" i="2"/>
  <c r="M352" i="2"/>
  <c r="AA352" i="2"/>
  <c r="AB352" i="2"/>
  <c r="N352" i="2"/>
  <c r="O352" i="2"/>
  <c r="P352" i="2"/>
  <c r="Q352" i="2"/>
  <c r="J351" i="2" l="1"/>
  <c r="K351" i="2"/>
  <c r="M351" i="2"/>
  <c r="AA351" i="2"/>
  <c r="AB351" i="2"/>
  <c r="N351" i="2"/>
  <c r="O351" i="2"/>
  <c r="P351" i="2"/>
  <c r="Q351" i="2"/>
  <c r="K349" i="2" l="1"/>
  <c r="K350" i="2"/>
  <c r="K348" i="2"/>
  <c r="J349" i="2"/>
  <c r="M349" i="2"/>
  <c r="AA349" i="2"/>
  <c r="AB349" i="2"/>
  <c r="N349" i="2"/>
  <c r="O349" i="2"/>
  <c r="P349" i="2"/>
  <c r="Q349" i="2"/>
  <c r="J350" i="2"/>
  <c r="M350" i="2"/>
  <c r="AA350" i="2"/>
  <c r="AB350" i="2"/>
  <c r="N350" i="2"/>
  <c r="O350" i="2"/>
  <c r="P350" i="2"/>
  <c r="Q350" i="2"/>
  <c r="JV9" i="8" l="1"/>
  <c r="JV10" i="8"/>
  <c r="JV11" i="8"/>
  <c r="JV13" i="8"/>
  <c r="JV14" i="8"/>
  <c r="JV15" i="8"/>
  <c r="JV16" i="8"/>
  <c r="JV17" i="8"/>
  <c r="JV18" i="8"/>
  <c r="JV19" i="8"/>
  <c r="JV20" i="8"/>
  <c r="JV21" i="8"/>
  <c r="JV22" i="8"/>
  <c r="JV23" i="8"/>
  <c r="JV24" i="8"/>
  <c r="JV25" i="8"/>
  <c r="JV26" i="8"/>
  <c r="JV27" i="8"/>
  <c r="JV28" i="8"/>
  <c r="JV29" i="8"/>
  <c r="JV30" i="8"/>
  <c r="JV31" i="8"/>
  <c r="JV32" i="8"/>
  <c r="JV33" i="8"/>
  <c r="JV34" i="8"/>
  <c r="JV35" i="8"/>
  <c r="JV8" i="8"/>
  <c r="D100" i="14"/>
  <c r="D47" i="14"/>
  <c r="D82" i="14" l="1"/>
  <c r="D24" i="14"/>
  <c r="J348" i="2"/>
  <c r="M348" i="2"/>
  <c r="AA348" i="2"/>
  <c r="AB348" i="2"/>
  <c r="N348" i="2"/>
  <c r="O348" i="2"/>
  <c r="P348" i="2"/>
  <c r="Q348" i="2"/>
  <c r="O347" i="2" l="1"/>
  <c r="P347" i="2"/>
  <c r="Q347" i="2"/>
  <c r="N347" i="2"/>
  <c r="AA347" i="2"/>
  <c r="AB347" i="2"/>
  <c r="M347" i="2"/>
  <c r="J347" i="2"/>
  <c r="G497" i="18"/>
  <c r="J344" i="2" l="1"/>
  <c r="J345" i="2"/>
  <c r="J346" i="2"/>
  <c r="N328" i="2" l="1"/>
  <c r="N329" i="2"/>
  <c r="N331" i="2"/>
  <c r="N326" i="2"/>
  <c r="AB328" i="2"/>
  <c r="AB331" i="2"/>
  <c r="AB326" i="2"/>
  <c r="AA328" i="2"/>
  <c r="AA331" i="2"/>
  <c r="AA326" i="2"/>
  <c r="M328" i="2"/>
  <c r="M331" i="2"/>
  <c r="M326" i="2"/>
  <c r="O326" i="2"/>
  <c r="P326" i="2"/>
  <c r="Q326" i="2"/>
  <c r="R326" i="2"/>
  <c r="U326" i="2"/>
  <c r="V326" i="2"/>
  <c r="W326" i="2"/>
  <c r="Y326" i="2"/>
  <c r="L328" i="2"/>
  <c r="L329" i="2"/>
  <c r="L330" i="2"/>
  <c r="L331" i="2"/>
  <c r="L326" i="2"/>
  <c r="K328" i="2"/>
  <c r="K329" i="2"/>
  <c r="K330" i="2"/>
  <c r="K331" i="2"/>
  <c r="K326" i="2"/>
  <c r="J326" i="2"/>
  <c r="J327" i="2"/>
  <c r="J328" i="2"/>
  <c r="J329" i="2"/>
  <c r="J330" i="2"/>
  <c r="J331" i="2"/>
  <c r="O346" i="2" l="1"/>
  <c r="P346" i="2"/>
  <c r="Q346" i="2"/>
  <c r="O345" i="2" l="1"/>
  <c r="P345" i="2"/>
  <c r="Q345" i="2"/>
  <c r="Q344" i="2" l="1"/>
  <c r="P344" i="2"/>
  <c r="O344" i="2"/>
  <c r="O341" i="2"/>
  <c r="P341" i="2"/>
  <c r="Q341" i="2"/>
  <c r="O343" i="2"/>
  <c r="P343" i="2"/>
  <c r="Q343" i="2"/>
  <c r="M232" i="2" l="1"/>
  <c r="P342" i="2"/>
  <c r="Q342" i="2"/>
  <c r="M142" i="2" l="1"/>
  <c r="Q340" i="2" l="1"/>
  <c r="P340" i="2"/>
  <c r="O339" i="2"/>
  <c r="P339" i="2"/>
  <c r="Q339" i="2"/>
  <c r="O335" i="2"/>
  <c r="O337" i="2"/>
  <c r="P338" i="2"/>
  <c r="Q338" i="2"/>
  <c r="P337" i="2"/>
  <c r="Q337" i="2"/>
  <c r="D794" i="18"/>
  <c r="D795" i="18" s="1"/>
  <c r="J799" i="18"/>
  <c r="I799" i="18"/>
  <c r="H799" i="18"/>
  <c r="G799" i="18"/>
  <c r="F799" i="18"/>
  <c r="E799" i="18"/>
  <c r="D799" i="18"/>
  <c r="D793" i="18"/>
  <c r="E794" i="18" s="1"/>
  <c r="J792" i="18"/>
  <c r="I792" i="18"/>
  <c r="H792" i="18"/>
  <c r="G792" i="18"/>
  <c r="F792" i="18"/>
  <c r="E795" i="18" l="1"/>
  <c r="E793" i="18"/>
  <c r="F794" i="18" s="1"/>
  <c r="F795" i="18" l="1"/>
  <c r="F793" i="18"/>
  <c r="G794" i="18" s="1"/>
  <c r="G795" i="18" l="1"/>
  <c r="G793" i="18"/>
  <c r="H794" i="18" s="1"/>
  <c r="H795" i="18" l="1"/>
  <c r="H793" i="18"/>
  <c r="I794" i="18" s="1"/>
  <c r="I795" i="18" l="1"/>
  <c r="I793" i="18"/>
  <c r="J794" i="18" s="1"/>
  <c r="J793" i="18" l="1"/>
  <c r="J795" i="18"/>
  <c r="AJ41" i="30"/>
  <c r="AJ42" i="30"/>
  <c r="AJ43" i="30"/>
  <c r="AJ44" i="30"/>
  <c r="AJ45" i="30"/>
  <c r="AJ46" i="30"/>
  <c r="AJ47" i="30"/>
  <c r="AJ48" i="30"/>
  <c r="AJ49" i="30"/>
  <c r="AJ50" i="30"/>
  <c r="AJ51" i="30"/>
  <c r="AJ52" i="30"/>
  <c r="AJ53" i="30"/>
  <c r="AJ54" i="30"/>
  <c r="AJ55" i="30"/>
  <c r="AJ56" i="30"/>
  <c r="AJ40" i="30"/>
  <c r="FJ48" i="8"/>
  <c r="FJ49" i="8" l="1"/>
  <c r="FJ50" i="8" l="1"/>
  <c r="CT32" i="8" l="1"/>
  <c r="L8" i="30" l="1"/>
  <c r="P335" i="2" l="1"/>
  <c r="Q335" i="2"/>
  <c r="CH31" i="30" l="1"/>
  <c r="J646" i="18"/>
  <c r="O333" i="2" l="1"/>
  <c r="P333" i="2"/>
  <c r="Q333" i="2"/>
  <c r="O334" i="2"/>
  <c r="P334" i="2"/>
  <c r="Q334" i="2"/>
  <c r="O332" i="2"/>
  <c r="P332" i="2"/>
  <c r="Q332" i="2"/>
  <c r="O105" i="14" l="1"/>
  <c r="P105" i="14"/>
  <c r="Q105" i="14"/>
  <c r="R105" i="14"/>
  <c r="N105" i="14"/>
  <c r="O331" i="2"/>
  <c r="P331" i="2"/>
  <c r="Q331" i="2"/>
  <c r="P330" i="2"/>
  <c r="Q330" i="2"/>
  <c r="O329" i="2" l="1"/>
  <c r="P329" i="2"/>
  <c r="Q329" i="2"/>
  <c r="O328" i="2"/>
  <c r="P328" i="2"/>
  <c r="Q328" i="2"/>
  <c r="O327" i="2" l="1"/>
  <c r="Q327" i="2"/>
  <c r="J325" i="2"/>
  <c r="K325" i="2"/>
  <c r="L325" i="2"/>
  <c r="M325" i="2"/>
  <c r="AA325" i="2"/>
  <c r="AB325" i="2"/>
  <c r="N325" i="2"/>
  <c r="O325" i="2"/>
  <c r="P325" i="2"/>
  <c r="Q325" i="2"/>
  <c r="J324" i="2" l="1"/>
  <c r="K324" i="2"/>
  <c r="L324" i="2"/>
  <c r="M324" i="2"/>
  <c r="AA324" i="2"/>
  <c r="AB324" i="2"/>
  <c r="N324" i="2"/>
  <c r="O324" i="2"/>
  <c r="P324" i="2"/>
  <c r="Q324" i="2"/>
  <c r="J323" i="2" l="1"/>
  <c r="K323" i="2"/>
  <c r="L323" i="2"/>
  <c r="M323" i="2"/>
  <c r="AA323" i="2"/>
  <c r="AB323" i="2"/>
  <c r="N323" i="2"/>
  <c r="O323" i="2"/>
  <c r="P323" i="2"/>
  <c r="Q323" i="2"/>
  <c r="J322" i="2" l="1"/>
  <c r="K322" i="2"/>
  <c r="L322" i="2"/>
  <c r="M322" i="2"/>
  <c r="AA322" i="2"/>
  <c r="AB322" i="2"/>
  <c r="N322" i="2"/>
  <c r="O322" i="2"/>
  <c r="P322" i="2"/>
  <c r="Q322" i="2"/>
  <c r="J318" i="2"/>
  <c r="K318" i="2"/>
  <c r="L318" i="2"/>
  <c r="M318" i="2"/>
  <c r="AA318" i="2"/>
  <c r="AB318" i="2"/>
  <c r="N318" i="2"/>
  <c r="O318" i="2"/>
  <c r="P318" i="2"/>
  <c r="Q318" i="2"/>
  <c r="J319" i="2"/>
  <c r="K319" i="2"/>
  <c r="L319" i="2"/>
  <c r="M319" i="2"/>
  <c r="AA319" i="2"/>
  <c r="AB319" i="2"/>
  <c r="N319" i="2"/>
  <c r="O319" i="2"/>
  <c r="P319" i="2"/>
  <c r="Q319" i="2"/>
  <c r="J320" i="2"/>
  <c r="K320" i="2"/>
  <c r="L320" i="2"/>
  <c r="M320" i="2"/>
  <c r="AA320" i="2"/>
  <c r="AB320" i="2"/>
  <c r="N320" i="2"/>
  <c r="O320" i="2"/>
  <c r="P320" i="2"/>
  <c r="Q320" i="2"/>
  <c r="J321" i="2"/>
  <c r="K321" i="2"/>
  <c r="L321" i="2"/>
  <c r="M321" i="2"/>
  <c r="AA321" i="2"/>
  <c r="AB321" i="2"/>
  <c r="N321" i="2"/>
  <c r="O321" i="2"/>
  <c r="P321" i="2"/>
  <c r="Q321" i="2"/>
  <c r="J317" i="2" l="1"/>
  <c r="K317" i="2"/>
  <c r="L317" i="2"/>
  <c r="M317" i="2"/>
  <c r="AA317" i="2"/>
  <c r="AB317" i="2"/>
  <c r="N317" i="2"/>
  <c r="O317" i="2"/>
  <c r="P317" i="2"/>
  <c r="Q317" i="2"/>
  <c r="I357" i="18" l="1"/>
  <c r="J316" i="2" l="1"/>
  <c r="K316" i="2"/>
  <c r="L316" i="2"/>
  <c r="M316" i="2"/>
  <c r="AA316" i="2"/>
  <c r="AB316" i="2"/>
  <c r="N316" i="2"/>
  <c r="O316" i="2"/>
  <c r="P316" i="2"/>
  <c r="Q316" i="2"/>
  <c r="E771" i="18" l="1"/>
  <c r="F772" i="18" s="1"/>
  <c r="F773" i="18" s="1"/>
  <c r="F774" i="18" s="1"/>
  <c r="E772" i="18"/>
  <c r="E773" i="18" s="1"/>
  <c r="E774" i="18" s="1"/>
  <c r="F771" i="18" l="1"/>
  <c r="G772" i="18" s="1"/>
  <c r="G773" i="18" s="1"/>
  <c r="G774" i="18" s="1"/>
  <c r="G771" i="18"/>
  <c r="H772" i="18" s="1"/>
  <c r="H771" i="18" l="1"/>
  <c r="I772" i="18" s="1"/>
  <c r="H773" i="18"/>
  <c r="H774" i="18" s="1"/>
  <c r="I771" i="18" l="1"/>
  <c r="J772" i="18" s="1"/>
  <c r="I773" i="18"/>
  <c r="I774" i="18" s="1"/>
  <c r="J771" i="18" l="1"/>
  <c r="K772" i="18" s="1"/>
  <c r="J773" i="18"/>
  <c r="J774" i="18" s="1"/>
  <c r="K773" i="18" l="1"/>
  <c r="K774" i="18" s="1"/>
  <c r="K771" i="18"/>
  <c r="L772" i="18" s="1"/>
  <c r="L773" i="18" l="1"/>
  <c r="L774" i="18" s="1"/>
  <c r="L771" i="18"/>
  <c r="M772" i="18" s="1"/>
  <c r="M773" i="18" l="1"/>
  <c r="M774" i="18" s="1"/>
  <c r="M771" i="18"/>
  <c r="N772" i="18" s="1"/>
  <c r="N771" i="18" l="1"/>
  <c r="O772" i="18" s="1"/>
  <c r="N773" i="18"/>
  <c r="N774" i="18" s="1"/>
  <c r="O771" i="18" l="1"/>
  <c r="P772" i="18" s="1"/>
  <c r="O773" i="18"/>
  <c r="O774" i="18" s="1"/>
  <c r="P773" i="18" l="1"/>
  <c r="P774" i="18" s="1"/>
  <c r="P771" i="18"/>
  <c r="Q772" i="18" s="1"/>
  <c r="Q771" i="18" l="1"/>
  <c r="R772" i="18" s="1"/>
  <c r="Q773" i="18"/>
  <c r="Q774" i="18" s="1"/>
  <c r="R771" i="18" l="1"/>
  <c r="S772" i="18" s="1"/>
  <c r="R773" i="18"/>
  <c r="R774" i="18" s="1"/>
  <c r="S771" i="18" l="1"/>
  <c r="T772" i="18" s="1"/>
  <c r="S773" i="18"/>
  <c r="S774" i="18" s="1"/>
  <c r="T773" i="18" l="1"/>
  <c r="T774" i="18" s="1"/>
  <c r="T771" i="18"/>
  <c r="U772" i="18" s="1"/>
  <c r="U771" i="18" l="1"/>
  <c r="V772" i="18" s="1"/>
  <c r="U773" i="18"/>
  <c r="U774" i="18" s="1"/>
  <c r="V773" i="18" l="1"/>
  <c r="V774" i="18" s="1"/>
  <c r="V771" i="18"/>
  <c r="W772" i="18" s="1"/>
  <c r="W773" i="18" l="1"/>
  <c r="W774" i="18" s="1"/>
  <c r="W771" i="18"/>
  <c r="X772" i="18" s="1"/>
  <c r="X773" i="18" l="1"/>
  <c r="X774" i="18" s="1"/>
  <c r="X771" i="18"/>
  <c r="Y772" i="18" s="1"/>
  <c r="Y773" i="18" l="1"/>
  <c r="Y774" i="18" s="1"/>
  <c r="Y771" i="18"/>
  <c r="Z772" i="18" s="1"/>
  <c r="Z773" i="18" l="1"/>
  <c r="Z774" i="18" s="1"/>
  <c r="Z771" i="18"/>
  <c r="AA772" i="18" s="1"/>
  <c r="AA771" i="18" l="1"/>
  <c r="AB772" i="18" s="1"/>
  <c r="AA773" i="18"/>
  <c r="AA774" i="18" s="1"/>
  <c r="AB771" i="18" l="1"/>
  <c r="AC772" i="18" s="1"/>
  <c r="AB773" i="18"/>
  <c r="AB774" i="18" s="1"/>
  <c r="AC771" i="18" l="1"/>
  <c r="AD772" i="18" s="1"/>
  <c r="AC773" i="18"/>
  <c r="AC774" i="18" s="1"/>
  <c r="AD771" i="18" l="1"/>
  <c r="AE772" i="18" s="1"/>
  <c r="AD773" i="18"/>
  <c r="AD774" i="18" s="1"/>
  <c r="AE771" i="18" l="1"/>
  <c r="AE773" i="18"/>
  <c r="AE774" i="18" s="1"/>
  <c r="AF772" i="18" l="1"/>
  <c r="AF771" i="18"/>
  <c r="AF773" i="18"/>
  <c r="AF774" i="18" s="1"/>
  <c r="AG772" i="18" l="1"/>
  <c r="AG771" i="18"/>
  <c r="AG773" i="18"/>
  <c r="AG774" i="18" s="1"/>
  <c r="O315" i="2" l="1"/>
  <c r="O304" i="2"/>
  <c r="P304" i="2"/>
  <c r="Q304" i="2"/>
  <c r="O305" i="2"/>
  <c r="P305" i="2"/>
  <c r="Q305" i="2"/>
  <c r="O306" i="2"/>
  <c r="P306" i="2"/>
  <c r="Q306" i="2"/>
  <c r="O307" i="2"/>
  <c r="P307" i="2"/>
  <c r="Q307" i="2"/>
  <c r="O308" i="2"/>
  <c r="P308" i="2"/>
  <c r="Q308" i="2"/>
  <c r="O309" i="2"/>
  <c r="P309" i="2"/>
  <c r="Q309" i="2"/>
  <c r="O310" i="2"/>
  <c r="P310" i="2"/>
  <c r="Q310" i="2"/>
  <c r="O311" i="2"/>
  <c r="P311" i="2"/>
  <c r="Q311" i="2"/>
  <c r="O312" i="2"/>
  <c r="P312" i="2"/>
  <c r="Q312" i="2"/>
  <c r="O313" i="2"/>
  <c r="P313" i="2"/>
  <c r="Q313" i="2"/>
  <c r="P314" i="2"/>
  <c r="Q314" i="2"/>
  <c r="P315" i="2"/>
  <c r="Q315" i="2"/>
  <c r="J315" i="2"/>
  <c r="K315" i="2"/>
  <c r="L315" i="2"/>
  <c r="M315" i="2"/>
  <c r="AA315" i="2"/>
  <c r="AB315" i="2"/>
  <c r="N315" i="2"/>
  <c r="CK3" i="18" a="1"/>
  <c r="AB3" i="18" a="1"/>
  <c r="DZ4" i="18" a="1"/>
  <c r="FM4" i="18" a="1"/>
  <c r="AZ3" i="18" a="1"/>
  <c r="FZ3" i="18" a="1"/>
  <c r="AZ4" i="18" a="1"/>
  <c r="BL3" i="18" a="1"/>
  <c r="AB4" i="18" a="1"/>
  <c r="GM3" i="18" a="1"/>
  <c r="BL4" i="18" a="1"/>
  <c r="IM3" i="18" a="1"/>
  <c r="FZ4" i="18" a="1"/>
  <c r="BY3" i="18" a="1"/>
  <c r="GZ3" i="18" a="1"/>
  <c r="HM4" i="18" a="1"/>
  <c r="FM3" i="18" a="1"/>
  <c r="GZ4" i="18" a="1"/>
  <c r="DZ3" i="18" a="1"/>
  <c r="GM4" i="18" a="1"/>
  <c r="IM4" i="18" a="1"/>
  <c r="CK4" i="18" a="1"/>
  <c r="HM3" i="18" a="1"/>
  <c r="BY4" i="18" a="1"/>
  <c r="IM3" i="18" l="1"/>
  <c r="FM3" i="18"/>
  <c r="FZ4" i="18"/>
  <c r="FM4" i="18"/>
  <c r="HM3" i="18"/>
  <c r="IM4" i="18"/>
  <c r="BL4" i="18"/>
  <c r="AZ4" i="18"/>
  <c r="DZ4" i="18"/>
  <c r="CK4" i="18"/>
  <c r="BY4" i="18"/>
  <c r="AB4" i="18"/>
  <c r="GM4" i="18"/>
  <c r="GZ3" i="18"/>
  <c r="GM3" i="18"/>
  <c r="CK3" i="18"/>
  <c r="FZ3" i="18"/>
  <c r="DZ3" i="18"/>
  <c r="GZ4" i="18"/>
  <c r="HM4" i="18"/>
  <c r="BY3" i="18"/>
  <c r="BL3" i="18"/>
  <c r="AZ3" i="18"/>
  <c r="AB3" i="18"/>
  <c r="AA309" i="2"/>
  <c r="AB309" i="2"/>
  <c r="N309" i="2"/>
  <c r="J314" i="2"/>
  <c r="K314" i="2"/>
  <c r="L314" i="2"/>
  <c r="M314" i="2"/>
  <c r="N314" i="2"/>
  <c r="N313" i="2" l="1"/>
  <c r="AA313" i="2"/>
  <c r="M313" i="2"/>
  <c r="L313" i="2"/>
  <c r="K313" i="2"/>
  <c r="J313" i="2"/>
  <c r="KG22" i="8" l="1"/>
  <c r="KG21" i="8"/>
  <c r="KG20" i="8"/>
  <c r="KG19" i="8"/>
  <c r="KG18" i="8"/>
  <c r="KG17" i="8"/>
  <c r="KG16" i="8"/>
  <c r="KG15" i="8"/>
  <c r="KG14" i="8"/>
  <c r="KG13" i="8"/>
  <c r="KG12" i="8"/>
  <c r="KG11" i="8"/>
  <c r="KG10" i="8"/>
  <c r="KG9" i="8"/>
  <c r="KG8" i="8"/>
  <c r="J312" i="2"/>
  <c r="K312" i="2"/>
  <c r="L312" i="2"/>
  <c r="M312" i="2"/>
  <c r="AA312" i="2"/>
  <c r="AB312" i="2"/>
  <c r="N312" i="2"/>
  <c r="J311" i="2"/>
  <c r="K311" i="2"/>
  <c r="L311" i="2"/>
  <c r="AJ39" i="30"/>
  <c r="AJ38" i="30"/>
  <c r="AJ37" i="30"/>
  <c r="AJ36" i="30"/>
  <c r="AJ35" i="30"/>
  <c r="AJ34" i="30"/>
  <c r="AJ33" i="30"/>
  <c r="AJ32" i="30"/>
  <c r="AJ31" i="30"/>
  <c r="AJ30" i="30"/>
  <c r="AJ29" i="30"/>
  <c r="AJ28" i="30"/>
  <c r="AJ27" i="30"/>
  <c r="AJ26" i="30"/>
  <c r="AJ25" i="30"/>
  <c r="AJ24" i="30"/>
  <c r="AJ23" i="30"/>
  <c r="AJ22" i="30"/>
  <c r="AJ21" i="30"/>
  <c r="AJ20" i="30"/>
  <c r="AJ19" i="30"/>
  <c r="AJ18" i="30"/>
  <c r="AJ17" i="30"/>
  <c r="AJ16" i="30"/>
  <c r="AJ15" i="30"/>
  <c r="AJ14" i="30"/>
  <c r="AJ13" i="30"/>
  <c r="AJ12" i="30"/>
  <c r="AJ11" i="30"/>
  <c r="AJ10" i="30"/>
  <c r="J310" i="2" l="1"/>
  <c r="K310" i="2" l="1"/>
  <c r="L310" i="2"/>
  <c r="M310" i="2"/>
  <c r="AA310" i="2"/>
  <c r="AB310" i="2"/>
  <c r="N310" i="2"/>
  <c r="J309" i="2" l="1"/>
  <c r="K309" i="2"/>
  <c r="L309" i="2"/>
  <c r="M309" i="2"/>
  <c r="J308" i="2"/>
  <c r="K308" i="2"/>
  <c r="L308" i="2"/>
  <c r="M308" i="2"/>
  <c r="AA308" i="2"/>
  <c r="AB308" i="2"/>
  <c r="N308" i="2"/>
  <c r="J307" i="2" l="1"/>
  <c r="K307" i="2"/>
  <c r="L307" i="2"/>
  <c r="M307" i="2"/>
  <c r="AA307" i="2"/>
  <c r="AB307" i="2"/>
  <c r="N307" i="2"/>
  <c r="J306" i="2"/>
  <c r="K306" i="2"/>
  <c r="L306" i="2"/>
  <c r="M306" i="2"/>
  <c r="AA306" i="2"/>
  <c r="AB306" i="2"/>
  <c r="N306" i="2"/>
  <c r="JP88" i="8"/>
  <c r="JP87" i="8"/>
  <c r="JP86" i="8"/>
  <c r="JP85" i="8"/>
  <c r="JP84" i="8"/>
  <c r="JP83" i="8"/>
  <c r="JP82" i="8"/>
  <c r="JP81" i="8"/>
  <c r="JP80" i="8"/>
  <c r="JP79" i="8"/>
  <c r="JP78" i="8"/>
  <c r="JP77" i="8"/>
  <c r="JP76" i="8"/>
  <c r="D4" i="3"/>
  <c r="D5" i="3"/>
  <c r="E5" i="3"/>
  <c r="E6" i="3"/>
  <c r="D7" i="3"/>
  <c r="E7" i="3"/>
  <c r="D8" i="3"/>
  <c r="E8" i="3"/>
  <c r="E3" i="3"/>
  <c r="D3" i="3"/>
  <c r="J305" i="2" l="1"/>
  <c r="K305" i="2"/>
  <c r="L305" i="2"/>
  <c r="M305" i="2"/>
  <c r="AA305" i="2"/>
  <c r="AB305" i="2"/>
  <c r="N305" i="2"/>
  <c r="J304" i="2" l="1"/>
  <c r="K304" i="2"/>
  <c r="L304" i="2"/>
  <c r="M304" i="2"/>
  <c r="AA304" i="2"/>
  <c r="AB304" i="2"/>
  <c r="N304" i="2"/>
  <c r="J302" i="2"/>
  <c r="K302" i="2"/>
  <c r="L302" i="2"/>
  <c r="M302" i="2"/>
  <c r="AA302" i="2"/>
  <c r="AB302" i="2"/>
  <c r="N302" i="2"/>
  <c r="O302" i="2"/>
  <c r="P302" i="2"/>
  <c r="Q302" i="2"/>
  <c r="I646" i="18" l="1"/>
  <c r="J303" i="2" l="1"/>
  <c r="K303" i="2"/>
  <c r="L303" i="2"/>
  <c r="M303" i="2"/>
  <c r="AA303" i="2"/>
  <c r="AB303" i="2"/>
  <c r="N303" i="2"/>
  <c r="O303" i="2"/>
  <c r="P303" i="2"/>
  <c r="Q303" i="2"/>
  <c r="J301" i="2" l="1"/>
  <c r="K301" i="2"/>
  <c r="L301" i="2"/>
  <c r="M301" i="2"/>
  <c r="AA301" i="2"/>
  <c r="AB301" i="2"/>
  <c r="N301" i="2"/>
  <c r="O301" i="2"/>
  <c r="P301" i="2"/>
  <c r="Q301" i="2"/>
  <c r="J300" i="2"/>
  <c r="K300" i="2"/>
  <c r="L300" i="2"/>
  <c r="M300" i="2"/>
  <c r="AA300" i="2"/>
  <c r="AB300" i="2"/>
  <c r="N300" i="2"/>
  <c r="O300" i="2"/>
  <c r="P300" i="2"/>
  <c r="Q300" i="2"/>
  <c r="J299" i="2"/>
  <c r="K299" i="2"/>
  <c r="L299" i="2"/>
  <c r="M299" i="2"/>
  <c r="AA299" i="2"/>
  <c r="AB299" i="2"/>
  <c r="N299" i="2"/>
  <c r="O299" i="2"/>
  <c r="P299" i="2"/>
  <c r="Q299" i="2"/>
  <c r="E693" i="18" l="1"/>
  <c r="J298" i="2" l="1"/>
  <c r="K298" i="2"/>
  <c r="L298" i="2"/>
  <c r="M298" i="2"/>
  <c r="AA298" i="2"/>
  <c r="AB298" i="2"/>
  <c r="N298" i="2"/>
  <c r="O298" i="2"/>
  <c r="P298" i="2"/>
  <c r="Q298" i="2"/>
  <c r="AA293" i="2" l="1"/>
  <c r="J297" i="2"/>
  <c r="K297" i="2"/>
  <c r="L297" i="2"/>
  <c r="M297" i="2"/>
  <c r="AA297" i="2"/>
  <c r="AB297" i="2"/>
  <c r="N297" i="2"/>
  <c r="O297" i="2"/>
  <c r="P297" i="2"/>
  <c r="Q297" i="2"/>
  <c r="J296" i="2" l="1"/>
  <c r="K296" i="2"/>
  <c r="L296" i="2"/>
  <c r="M296" i="2"/>
  <c r="AA296" i="2"/>
  <c r="AB296" i="2"/>
  <c r="N296" i="2"/>
  <c r="O296" i="2"/>
  <c r="P296" i="2"/>
  <c r="Q296" i="2"/>
  <c r="J295" i="2"/>
  <c r="K295" i="2"/>
  <c r="L295" i="2"/>
  <c r="M295" i="2"/>
  <c r="AA295" i="2"/>
  <c r="AB295" i="2"/>
  <c r="N295" i="2"/>
  <c r="O295" i="2"/>
  <c r="P295" i="2"/>
  <c r="Q295" i="2"/>
  <c r="CH30" i="30" l="1"/>
  <c r="CH29" i="30" l="1"/>
  <c r="F751" i="18"/>
  <c r="E751" i="18"/>
  <c r="D758" i="18"/>
  <c r="D754" i="18"/>
  <c r="F758" i="18"/>
  <c r="E758" i="18"/>
  <c r="D752" i="18"/>
  <c r="E753" i="18" s="1"/>
  <c r="E754" i="18" l="1"/>
  <c r="E752" i="18"/>
  <c r="F752" i="18" l="1"/>
  <c r="F753" i="18"/>
  <c r="F754" i="18" s="1"/>
  <c r="J294" i="2"/>
  <c r="K294" i="2"/>
  <c r="L294" i="2"/>
  <c r="M294" i="2"/>
  <c r="AA294" i="2"/>
  <c r="AB294" i="2"/>
  <c r="N294" i="2"/>
  <c r="O294" i="2"/>
  <c r="P294" i="2"/>
  <c r="Q294" i="2"/>
  <c r="P5" i="35" l="1"/>
  <c r="P4" i="35"/>
  <c r="O293" i="2" l="1"/>
  <c r="AA292" i="2"/>
  <c r="N293" i="2"/>
  <c r="P293" i="2"/>
  <c r="Q293" i="2"/>
  <c r="O291" i="2"/>
  <c r="J293" i="2"/>
  <c r="K293" i="2"/>
  <c r="L293" i="2"/>
  <c r="M293" i="2"/>
  <c r="AB293" i="2"/>
  <c r="J292" i="2" l="1"/>
  <c r="K292" i="2"/>
  <c r="L292" i="2"/>
  <c r="M292" i="2"/>
  <c r="AB292" i="2"/>
  <c r="N292" i="2"/>
  <c r="O292" i="2"/>
  <c r="P292" i="2"/>
  <c r="Q292" i="2"/>
  <c r="J291" i="2"/>
  <c r="K291" i="2"/>
  <c r="L291" i="2"/>
  <c r="M291" i="2"/>
  <c r="AA291" i="2"/>
  <c r="AB291" i="2"/>
  <c r="N291" i="2"/>
  <c r="P291" i="2"/>
  <c r="Q291" i="2"/>
  <c r="J290" i="2" l="1"/>
  <c r="K290" i="2"/>
  <c r="L290" i="2"/>
  <c r="M290" i="2"/>
  <c r="AA290" i="2"/>
  <c r="AB290" i="2"/>
  <c r="N290" i="2"/>
  <c r="O290" i="2"/>
  <c r="P290" i="2"/>
  <c r="Q290" i="2"/>
  <c r="Q288" i="2" l="1"/>
  <c r="P288" i="2"/>
  <c r="O288" i="2"/>
  <c r="D734" i="18"/>
  <c r="E732" i="18"/>
  <c r="F732" i="18"/>
  <c r="G732" i="18"/>
  <c r="D732" i="18"/>
  <c r="D733" i="18" s="1"/>
  <c r="E734" i="18" s="1"/>
  <c r="G739" i="18"/>
  <c r="F739" i="18"/>
  <c r="E739" i="18"/>
  <c r="D739" i="18"/>
  <c r="J280" i="2"/>
  <c r="K280" i="2"/>
  <c r="L280" i="2"/>
  <c r="M280" i="2"/>
  <c r="AA280" i="2"/>
  <c r="AB280" i="2"/>
  <c r="N280" i="2"/>
  <c r="O280" i="2"/>
  <c r="P280" i="2"/>
  <c r="Q280" i="2"/>
  <c r="J281" i="2"/>
  <c r="K281" i="2"/>
  <c r="L281" i="2"/>
  <c r="M281" i="2"/>
  <c r="AA281" i="2"/>
  <c r="AB281" i="2"/>
  <c r="N281" i="2"/>
  <c r="O281" i="2"/>
  <c r="P281" i="2"/>
  <c r="Q281" i="2"/>
  <c r="J282" i="2"/>
  <c r="K282" i="2"/>
  <c r="L282" i="2"/>
  <c r="M282" i="2"/>
  <c r="AA282" i="2"/>
  <c r="AB282" i="2"/>
  <c r="N282" i="2"/>
  <c r="O282" i="2"/>
  <c r="P282" i="2"/>
  <c r="Q282" i="2"/>
  <c r="J283" i="2"/>
  <c r="K283" i="2"/>
  <c r="L283" i="2"/>
  <c r="N283" i="2"/>
  <c r="O283" i="2"/>
  <c r="P283" i="2"/>
  <c r="Q283" i="2"/>
  <c r="J284" i="2"/>
  <c r="K284" i="2"/>
  <c r="L284" i="2"/>
  <c r="M284" i="2"/>
  <c r="AA284" i="2"/>
  <c r="AB284" i="2"/>
  <c r="N284" i="2"/>
  <c r="O284" i="2"/>
  <c r="P284" i="2"/>
  <c r="Q284" i="2"/>
  <c r="J285" i="2"/>
  <c r="K285" i="2"/>
  <c r="L285" i="2"/>
  <c r="M285" i="2"/>
  <c r="AA285" i="2"/>
  <c r="AB285" i="2"/>
  <c r="N285" i="2"/>
  <c r="O285" i="2"/>
  <c r="P285" i="2"/>
  <c r="Q285" i="2"/>
  <c r="J286" i="2"/>
  <c r="K286" i="2"/>
  <c r="L286" i="2"/>
  <c r="M286" i="2"/>
  <c r="AA286" i="2"/>
  <c r="AB286" i="2"/>
  <c r="N286" i="2"/>
  <c r="O286" i="2"/>
  <c r="P286" i="2"/>
  <c r="Q286" i="2"/>
  <c r="J287" i="2"/>
  <c r="K287" i="2"/>
  <c r="L287" i="2"/>
  <c r="M287" i="2"/>
  <c r="AA287" i="2"/>
  <c r="AB287" i="2"/>
  <c r="N287" i="2"/>
  <c r="O287" i="2"/>
  <c r="P287" i="2"/>
  <c r="Q287" i="2"/>
  <c r="J288" i="2"/>
  <c r="K288" i="2"/>
  <c r="L288" i="2"/>
  <c r="M288" i="2"/>
  <c r="AA288" i="2"/>
  <c r="AB288" i="2"/>
  <c r="N288" i="2"/>
  <c r="O289" i="2"/>
  <c r="J289" i="2"/>
  <c r="K289" i="2"/>
  <c r="L289" i="2"/>
  <c r="M289" i="2"/>
  <c r="AA289" i="2"/>
  <c r="AB289" i="2"/>
  <c r="P289" i="2"/>
  <c r="Q289" i="2"/>
  <c r="J279" i="2"/>
  <c r="K279" i="2"/>
  <c r="L279" i="2"/>
  <c r="M279" i="2"/>
  <c r="AA279" i="2"/>
  <c r="AB279" i="2"/>
  <c r="N279" i="2"/>
  <c r="O279" i="2"/>
  <c r="P279" i="2"/>
  <c r="Q279" i="2"/>
  <c r="AK286" i="2" l="1"/>
  <c r="AK285" i="2"/>
  <c r="D735" i="18"/>
  <c r="E733" i="18"/>
  <c r="F734" i="18" s="1"/>
  <c r="E735" i="18"/>
  <c r="F733" i="18" l="1"/>
  <c r="G734" i="18" s="1"/>
  <c r="F735" i="18"/>
  <c r="J278" i="2"/>
  <c r="K278" i="2"/>
  <c r="L278" i="2"/>
  <c r="M278" i="2"/>
  <c r="AA278" i="2"/>
  <c r="AB278" i="2"/>
  <c r="N278" i="2"/>
  <c r="O278" i="2"/>
  <c r="P278" i="2"/>
  <c r="Q278" i="2"/>
  <c r="G733" i="18" l="1"/>
  <c r="G735" i="18"/>
  <c r="J277" i="2"/>
  <c r="K277" i="2"/>
  <c r="L277" i="2"/>
  <c r="M277" i="2"/>
  <c r="AA277" i="2"/>
  <c r="AB277" i="2"/>
  <c r="J276" i="2"/>
  <c r="K276" i="2"/>
  <c r="L276" i="2"/>
  <c r="M276" i="2"/>
  <c r="AA276" i="2"/>
  <c r="AB276" i="2"/>
  <c r="N276" i="2"/>
  <c r="O276" i="2"/>
  <c r="P276" i="2"/>
  <c r="Q276" i="2"/>
  <c r="J275" i="2"/>
  <c r="K275" i="2"/>
  <c r="L275" i="2"/>
  <c r="N275" i="2"/>
  <c r="O275" i="2"/>
  <c r="P275" i="2"/>
  <c r="Q275" i="2"/>
  <c r="J274" i="2"/>
  <c r="K274" i="2"/>
  <c r="L274" i="2"/>
  <c r="M274" i="2"/>
  <c r="AA274" i="2"/>
  <c r="AB274" i="2"/>
  <c r="N274" i="2"/>
  <c r="O274" i="2"/>
  <c r="P274" i="2"/>
  <c r="Q274" i="2"/>
  <c r="D716" i="18"/>
  <c r="D715" i="18"/>
  <c r="E715" i="18" s="1"/>
  <c r="F714" i="18"/>
  <c r="G714" i="18"/>
  <c r="H714" i="18"/>
  <c r="I714" i="18"/>
  <c r="J714" i="18"/>
  <c r="J721" i="18"/>
  <c r="I721" i="18"/>
  <c r="H721" i="18"/>
  <c r="G721" i="18"/>
  <c r="F721" i="18"/>
  <c r="E721" i="18"/>
  <c r="D721" i="18"/>
  <c r="E716" i="18" l="1"/>
  <c r="F716" i="18"/>
  <c r="F715" i="18"/>
  <c r="D717" i="18"/>
  <c r="E717" i="18"/>
  <c r="G715" i="18" l="1"/>
  <c r="G716" i="18"/>
  <c r="F717" i="18"/>
  <c r="H715" i="18" l="1"/>
  <c r="H716" i="18"/>
  <c r="G717" i="18"/>
  <c r="I715" i="18" l="1"/>
  <c r="I716" i="18"/>
  <c r="H717" i="18"/>
  <c r="J715" i="18" l="1"/>
  <c r="J716" i="18"/>
  <c r="I717" i="18"/>
  <c r="J717" i="18" l="1"/>
  <c r="J273" i="2" l="1"/>
  <c r="K273" i="2"/>
  <c r="L273" i="2"/>
  <c r="M273" i="2"/>
  <c r="AA273" i="2"/>
  <c r="AB273" i="2"/>
  <c r="N273" i="2"/>
  <c r="O273" i="2"/>
  <c r="P273" i="2"/>
  <c r="Q273" i="2"/>
  <c r="J272" i="2" l="1"/>
  <c r="K272" i="2"/>
  <c r="L272" i="2"/>
  <c r="M272" i="2"/>
  <c r="AA272" i="2"/>
  <c r="AB272" i="2"/>
  <c r="N272" i="2"/>
  <c r="O272" i="2"/>
  <c r="P272" i="2"/>
  <c r="Q272" i="2"/>
  <c r="J271" i="2"/>
  <c r="K271" i="2"/>
  <c r="L271" i="2"/>
  <c r="M271" i="2"/>
  <c r="AA271" i="2"/>
  <c r="AB271" i="2"/>
  <c r="N271" i="2"/>
  <c r="O271" i="2"/>
  <c r="P271" i="2"/>
  <c r="Q271" i="2"/>
  <c r="J270" i="2"/>
  <c r="K270" i="2"/>
  <c r="L270" i="2"/>
  <c r="N270" i="2"/>
  <c r="O270" i="2"/>
  <c r="P270" i="2"/>
  <c r="Q270" i="2"/>
  <c r="AA267" i="2" l="1"/>
  <c r="AB265" i="2" l="1"/>
  <c r="AB267" i="2"/>
  <c r="AB269" i="2"/>
  <c r="J269" i="2"/>
  <c r="K269" i="2"/>
  <c r="L269" i="2"/>
  <c r="M269" i="2"/>
  <c r="AA269" i="2"/>
  <c r="N269" i="2"/>
  <c r="O269" i="2"/>
  <c r="P269" i="2"/>
  <c r="Q269" i="2"/>
  <c r="M267" i="2"/>
  <c r="J268" i="2"/>
  <c r="K268" i="2"/>
  <c r="L268" i="2"/>
  <c r="N268" i="2"/>
  <c r="O268" i="2"/>
  <c r="P268" i="2"/>
  <c r="Q268" i="2"/>
  <c r="AA87" i="2" l="1"/>
  <c r="H646" i="18" l="1"/>
  <c r="J267" i="2" l="1"/>
  <c r="K267" i="2"/>
  <c r="L267" i="2"/>
  <c r="N267" i="2"/>
  <c r="O267" i="2"/>
  <c r="P267" i="2"/>
  <c r="Q267" i="2"/>
  <c r="J266" i="2"/>
  <c r="K266" i="2"/>
  <c r="L266" i="2"/>
  <c r="N266" i="2"/>
  <c r="O266" i="2"/>
  <c r="P266" i="2"/>
  <c r="Q266" i="2"/>
  <c r="J265" i="2"/>
  <c r="K265" i="2"/>
  <c r="L265" i="2"/>
  <c r="M265" i="2"/>
  <c r="AA265" i="2"/>
  <c r="N265" i="2"/>
  <c r="O265" i="2"/>
  <c r="P265" i="2"/>
  <c r="Q265" i="2"/>
  <c r="J264" i="2" l="1"/>
  <c r="K264" i="2"/>
  <c r="L264" i="2"/>
  <c r="M264" i="2"/>
  <c r="AA264" i="2"/>
  <c r="AB264" i="2"/>
  <c r="N264" i="2"/>
  <c r="O264" i="2"/>
  <c r="P264" i="2"/>
  <c r="Q264" i="2"/>
  <c r="J263" i="2"/>
  <c r="K263" i="2"/>
  <c r="L263" i="2"/>
  <c r="M263" i="2"/>
  <c r="AA263" i="2"/>
  <c r="AB263" i="2"/>
  <c r="N263" i="2"/>
  <c r="O263" i="2"/>
  <c r="P263" i="2"/>
  <c r="Q263" i="2"/>
  <c r="J262" i="2" l="1"/>
  <c r="K262" i="2"/>
  <c r="L262" i="2"/>
  <c r="M262" i="2"/>
  <c r="AA262" i="2"/>
  <c r="AB262" i="2"/>
  <c r="N262" i="2"/>
  <c r="O262" i="2"/>
  <c r="P262" i="2"/>
  <c r="Q262" i="2"/>
  <c r="J261" i="2"/>
  <c r="K261" i="2"/>
  <c r="L261" i="2"/>
  <c r="M261" i="2"/>
  <c r="AA261" i="2"/>
  <c r="AB261" i="2"/>
  <c r="N261" i="2"/>
  <c r="O261" i="2"/>
  <c r="P261" i="2"/>
  <c r="Q261" i="2"/>
  <c r="J260" i="2"/>
  <c r="K260" i="2"/>
  <c r="L260" i="2"/>
  <c r="M260" i="2"/>
  <c r="AA260" i="2"/>
  <c r="AB260" i="2"/>
  <c r="N260" i="2"/>
  <c r="O260" i="2"/>
  <c r="P260" i="2"/>
  <c r="Q260" i="2"/>
  <c r="J259" i="2" l="1"/>
  <c r="K259" i="2"/>
  <c r="L259" i="2"/>
  <c r="M259" i="2"/>
  <c r="AA259" i="2"/>
  <c r="AB259" i="2"/>
  <c r="N259" i="2"/>
  <c r="O259" i="2"/>
  <c r="P259" i="2"/>
  <c r="Q259" i="2"/>
  <c r="AB258" i="2" l="1"/>
  <c r="J258" i="2"/>
  <c r="K258" i="2"/>
  <c r="L258" i="2"/>
  <c r="M258" i="2"/>
  <c r="AA258" i="2"/>
  <c r="N258" i="2"/>
  <c r="O258" i="2"/>
  <c r="P258" i="2"/>
  <c r="Q258" i="2"/>
  <c r="AH210" i="5"/>
  <c r="AG210" i="5"/>
  <c r="AF210" i="5"/>
  <c r="AE210" i="5"/>
  <c r="AD210" i="5"/>
  <c r="AC210" i="5"/>
  <c r="AB210" i="5"/>
  <c r="AA210" i="5"/>
  <c r="Z210" i="5"/>
  <c r="Y210" i="5"/>
  <c r="X210" i="5"/>
  <c r="W210" i="5"/>
  <c r="V210" i="5"/>
  <c r="U210" i="5"/>
  <c r="T210" i="5"/>
  <c r="AG191" i="5"/>
  <c r="AF191" i="5"/>
  <c r="AE191" i="5"/>
  <c r="AD191" i="5"/>
  <c r="AC191" i="5"/>
  <c r="AB191" i="5"/>
  <c r="AA191" i="5"/>
  <c r="Z191" i="5"/>
  <c r="Y191" i="5"/>
  <c r="X191" i="5"/>
  <c r="W191" i="5"/>
  <c r="V191" i="5"/>
  <c r="U191" i="5"/>
  <c r="T191" i="5"/>
  <c r="AH153" i="5"/>
  <c r="AG153" i="5"/>
  <c r="AF153" i="5"/>
  <c r="AE153" i="5"/>
  <c r="AD153" i="5"/>
  <c r="AC153" i="5"/>
  <c r="AB153" i="5"/>
  <c r="AA153" i="5"/>
  <c r="Z153" i="5"/>
  <c r="Y153" i="5"/>
  <c r="X153" i="5"/>
  <c r="W153" i="5"/>
  <c r="V153" i="5"/>
  <c r="U153" i="5"/>
  <c r="T153" i="5"/>
  <c r="AH133" i="5"/>
  <c r="AG133" i="5"/>
  <c r="AF133" i="5"/>
  <c r="AE133" i="5"/>
  <c r="AD133" i="5"/>
  <c r="AC133" i="5"/>
  <c r="AB133" i="5"/>
  <c r="AA133" i="5"/>
  <c r="Z133" i="5"/>
  <c r="Y133" i="5"/>
  <c r="X133" i="5"/>
  <c r="W133" i="5"/>
  <c r="V133" i="5"/>
  <c r="U133" i="5"/>
  <c r="T133" i="5"/>
  <c r="Z112" i="5"/>
  <c r="Y112" i="5"/>
  <c r="X112" i="5"/>
  <c r="W112" i="5"/>
  <c r="V112" i="5"/>
  <c r="U112" i="5"/>
  <c r="T112" i="5"/>
  <c r="Z326" i="6"/>
  <c r="AI268" i="6"/>
  <c r="AH268" i="6"/>
  <c r="AG268" i="6"/>
  <c r="AF268" i="6"/>
  <c r="AE268" i="6"/>
  <c r="AD268" i="6"/>
  <c r="AC268" i="6"/>
  <c r="AB268" i="6"/>
  <c r="AA268" i="6"/>
  <c r="Z268" i="6"/>
  <c r="Y268" i="6"/>
  <c r="X268" i="6"/>
  <c r="W268" i="6"/>
  <c r="V268" i="6"/>
  <c r="U268" i="6"/>
  <c r="AI250" i="6"/>
  <c r="AH250" i="6"/>
  <c r="AG250" i="6"/>
  <c r="AF250" i="6"/>
  <c r="AE250" i="6"/>
  <c r="AD250" i="6"/>
  <c r="AC250" i="6"/>
  <c r="AB250" i="6"/>
  <c r="AA250" i="6"/>
  <c r="Z250" i="6"/>
  <c r="Y250" i="6"/>
  <c r="X250" i="6"/>
  <c r="W250" i="6"/>
  <c r="V250" i="6"/>
  <c r="U250" i="6"/>
  <c r="AI137" i="6"/>
  <c r="AH137" i="6"/>
  <c r="AG137" i="6"/>
  <c r="AF137" i="6"/>
  <c r="AE137" i="6"/>
  <c r="AD137" i="6"/>
  <c r="AC137" i="6"/>
  <c r="AB137" i="6"/>
  <c r="AA137" i="6"/>
  <c r="Z137" i="6"/>
  <c r="Y137" i="6"/>
  <c r="X137" i="6"/>
  <c r="W137" i="6"/>
  <c r="V137" i="6"/>
  <c r="U137" i="6"/>
  <c r="AA62" i="6"/>
  <c r="Z62" i="6"/>
  <c r="Y62" i="6"/>
  <c r="X62" i="6"/>
  <c r="W62" i="6"/>
  <c r="V62" i="6"/>
  <c r="U62" i="6"/>
  <c r="A9" i="6"/>
  <c r="A10" i="6" s="1"/>
  <c r="A11" i="6" s="1"/>
  <c r="A12" i="6" s="1"/>
  <c r="A13" i="6" s="1"/>
  <c r="A14" i="6" s="1"/>
  <c r="A15" i="6" s="1"/>
  <c r="A16" i="6" s="1"/>
  <c r="A17" i="6" s="1"/>
  <c r="A18" i="6" s="1"/>
  <c r="A19" i="6" s="1"/>
  <c r="A20" i="6" s="1"/>
  <c r="A21" i="6" s="1"/>
  <c r="A22" i="6" s="1"/>
  <c r="A23" i="6" s="1"/>
  <c r="A24" i="6" s="1"/>
  <c r="A25" i="6" s="1"/>
  <c r="A8" i="6"/>
  <c r="D695" i="18"/>
  <c r="D668" i="18"/>
  <c r="D648" i="18"/>
  <c r="D630" i="18"/>
  <c r="D597" i="18"/>
  <c r="D594" i="18"/>
  <c r="E552" i="18"/>
  <c r="D540" i="18"/>
  <c r="D522" i="18"/>
  <c r="D499" i="18"/>
  <c r="F497" i="18"/>
  <c r="E497" i="18"/>
  <c r="D497" i="18"/>
  <c r="D498" i="18" s="1"/>
  <c r="D476" i="18"/>
  <c r="D456" i="18"/>
  <c r="D432" i="18"/>
  <c r="D414" i="18"/>
  <c r="D395" i="18"/>
  <c r="D375" i="18"/>
  <c r="D357" i="18"/>
  <c r="AM335" i="18"/>
  <c r="AM338" i="18" s="1"/>
  <c r="AL335" i="18"/>
  <c r="AL338" i="18" s="1"/>
  <c r="AK335" i="18"/>
  <c r="AK338" i="18" s="1"/>
  <c r="AJ335" i="18"/>
  <c r="AJ338" i="18" s="1"/>
  <c r="AI335" i="18"/>
  <c r="AI338" i="18" s="1"/>
  <c r="AH335" i="18"/>
  <c r="AH338" i="18" s="1"/>
  <c r="AG335" i="18"/>
  <c r="AG338" i="18" s="1"/>
  <c r="AF335" i="18"/>
  <c r="AF338" i="18" s="1"/>
  <c r="AE335" i="18"/>
  <c r="AE338" i="18" s="1"/>
  <c r="AD335" i="18"/>
  <c r="AD338" i="18" s="1"/>
  <c r="AC335" i="18"/>
  <c r="AC338" i="18" s="1"/>
  <c r="AB335" i="18"/>
  <c r="AB338" i="18" s="1"/>
  <c r="AA335" i="18"/>
  <c r="AA338" i="18" s="1"/>
  <c r="Z335" i="18"/>
  <c r="Z338" i="18" s="1"/>
  <c r="Y335" i="18"/>
  <c r="Y338" i="18" s="1"/>
  <c r="X335" i="18"/>
  <c r="X338" i="18" s="1"/>
  <c r="W335" i="18"/>
  <c r="W338" i="18" s="1"/>
  <c r="V335" i="18"/>
  <c r="V338" i="18" s="1"/>
  <c r="U335" i="18"/>
  <c r="U338" i="18" s="1"/>
  <c r="T335" i="18"/>
  <c r="T338" i="18" s="1"/>
  <c r="S335" i="18"/>
  <c r="S338" i="18" s="1"/>
  <c r="R335" i="18"/>
  <c r="R338" i="18" s="1"/>
  <c r="Q335" i="18"/>
  <c r="Q338" i="18" s="1"/>
  <c r="P335" i="18"/>
  <c r="P338" i="18" s="1"/>
  <c r="O335" i="18"/>
  <c r="O338" i="18" s="1"/>
  <c r="N335" i="18"/>
  <c r="N338" i="18" s="1"/>
  <c r="M335" i="18"/>
  <c r="M338" i="18" s="1"/>
  <c r="L335" i="18"/>
  <c r="L338" i="18" s="1"/>
  <c r="K335" i="18"/>
  <c r="K338" i="18" s="1"/>
  <c r="J335" i="18"/>
  <c r="J338" i="18" s="1"/>
  <c r="I335" i="18"/>
  <c r="I338" i="18" s="1"/>
  <c r="H335" i="18"/>
  <c r="H338" i="18" s="1"/>
  <c r="G335" i="18"/>
  <c r="G338" i="18" s="1"/>
  <c r="F335" i="18"/>
  <c r="F338" i="18" s="1"/>
  <c r="E335" i="18"/>
  <c r="E338" i="18" s="1"/>
  <c r="D335" i="18"/>
  <c r="D338" i="18" s="1"/>
  <c r="D317" i="18"/>
  <c r="D299" i="18"/>
  <c r="D279" i="18"/>
  <c r="D261" i="18"/>
  <c r="AF259" i="18"/>
  <c r="AE259" i="18"/>
  <c r="AD259" i="18"/>
  <c r="AC259" i="18"/>
  <c r="AB259" i="18"/>
  <c r="AA259" i="18"/>
  <c r="Z259" i="18"/>
  <c r="Y259" i="18"/>
  <c r="X259" i="18"/>
  <c r="W259" i="18"/>
  <c r="V259" i="18"/>
  <c r="U259" i="18"/>
  <c r="T259" i="18"/>
  <c r="S259" i="18"/>
  <c r="D242" i="18"/>
  <c r="E242" i="18" s="1"/>
  <c r="F242" i="18" s="1"/>
  <c r="G243" i="18" s="1"/>
  <c r="D224" i="18"/>
  <c r="D206" i="18"/>
  <c r="Q159" i="18"/>
  <c r="P159" i="18"/>
  <c r="O159" i="18"/>
  <c r="N159" i="18"/>
  <c r="M159" i="18"/>
  <c r="L159" i="18"/>
  <c r="K159" i="18"/>
  <c r="I159" i="18"/>
  <c r="H159" i="18"/>
  <c r="G159" i="18"/>
  <c r="F159" i="18"/>
  <c r="E159" i="18"/>
  <c r="D159" i="18"/>
  <c r="D160" i="18" s="1"/>
  <c r="D140" i="18"/>
  <c r="D121" i="18"/>
  <c r="D102" i="18"/>
  <c r="Q72" i="18"/>
  <c r="J68" i="18"/>
  <c r="D65" i="18"/>
  <c r="D49" i="18"/>
  <c r="R227" i="14"/>
  <c r="Q227" i="14"/>
  <c r="P227" i="14"/>
  <c r="O227" i="14"/>
  <c r="N227" i="14"/>
  <c r="M227" i="14"/>
  <c r="L227" i="14"/>
  <c r="K227" i="14"/>
  <c r="J227" i="14"/>
  <c r="I227" i="14"/>
  <c r="H227" i="14"/>
  <c r="G227" i="14"/>
  <c r="F227" i="14"/>
  <c r="E227" i="14"/>
  <c r="D227" i="14"/>
  <c r="D194" i="14"/>
  <c r="Q175" i="14"/>
  <c r="P175" i="14"/>
  <c r="O175" i="14"/>
  <c r="N175" i="14"/>
  <c r="M175" i="14"/>
  <c r="L175" i="14"/>
  <c r="K175" i="14"/>
  <c r="J175" i="14"/>
  <c r="I175" i="14"/>
  <c r="H175" i="14"/>
  <c r="G175" i="14"/>
  <c r="F175" i="14"/>
  <c r="E175" i="14"/>
  <c r="D175" i="14"/>
  <c r="H137" i="14"/>
  <c r="D29" i="14"/>
  <c r="R27" i="14"/>
  <c r="Q27" i="14"/>
  <c r="P27" i="14"/>
  <c r="O27" i="14"/>
  <c r="N27" i="14"/>
  <c r="M27" i="14"/>
  <c r="L27" i="14"/>
  <c r="K27" i="14"/>
  <c r="J27" i="14"/>
  <c r="I27" i="14"/>
  <c r="H27" i="14"/>
  <c r="G27" i="14"/>
  <c r="F27" i="14"/>
  <c r="E27" i="14"/>
  <c r="D27" i="14"/>
  <c r="D32" i="14"/>
  <c r="CB88" i="30"/>
  <c r="BP88" i="30"/>
  <c r="BD88" i="30"/>
  <c r="CB87" i="30"/>
  <c r="BP87" i="30"/>
  <c r="BD87" i="30"/>
  <c r="CB86" i="30"/>
  <c r="BP86" i="30"/>
  <c r="BD86" i="30"/>
  <c r="CB85" i="30"/>
  <c r="BP85" i="30"/>
  <c r="BD85" i="30"/>
  <c r="CB84" i="30"/>
  <c r="BP84" i="30"/>
  <c r="BD84" i="30"/>
  <c r="CB83" i="30"/>
  <c r="BP83" i="30"/>
  <c r="BD83" i="30"/>
  <c r="CB82" i="30"/>
  <c r="BP82" i="30"/>
  <c r="BD82" i="30"/>
  <c r="CB81" i="30"/>
  <c r="BP81" i="30"/>
  <c r="BD81" i="30"/>
  <c r="CB80" i="30"/>
  <c r="BP80" i="30"/>
  <c r="BD80" i="30"/>
  <c r="CB79" i="30"/>
  <c r="BP79" i="30"/>
  <c r="BD79" i="30"/>
  <c r="CB78" i="30"/>
  <c r="BP78" i="30"/>
  <c r="BD78" i="30"/>
  <c r="CB77" i="30"/>
  <c r="BP77" i="30"/>
  <c r="BD77" i="30"/>
  <c r="CB76" i="30"/>
  <c r="BP76" i="30"/>
  <c r="BD76" i="30"/>
  <c r="CB75" i="30"/>
  <c r="BP75" i="30"/>
  <c r="BD75" i="30"/>
  <c r="CB74" i="30"/>
  <c r="BP74" i="30"/>
  <c r="BD74" i="30"/>
  <c r="CB73" i="30"/>
  <c r="BP73" i="30"/>
  <c r="BD73" i="30"/>
  <c r="CB72" i="30"/>
  <c r="BP72" i="30"/>
  <c r="BD72" i="30"/>
  <c r="CB71" i="30"/>
  <c r="BP71" i="30"/>
  <c r="BD71" i="30"/>
  <c r="CB70" i="30"/>
  <c r="BP70" i="30"/>
  <c r="BD70" i="30"/>
  <c r="CB69" i="30"/>
  <c r="BP69" i="30"/>
  <c r="BD69" i="30"/>
  <c r="CB68" i="30"/>
  <c r="BP68" i="30"/>
  <c r="BD68" i="30"/>
  <c r="AW48" i="30"/>
  <c r="AW47" i="30"/>
  <c r="AW46" i="30"/>
  <c r="AW45" i="30"/>
  <c r="AW44" i="30"/>
  <c r="AW43" i="30"/>
  <c r="AW42" i="30"/>
  <c r="AW41" i="30"/>
  <c r="AW40" i="30"/>
  <c r="AW39" i="30"/>
  <c r="AW38" i="30"/>
  <c r="AW37" i="30"/>
  <c r="AW36" i="30"/>
  <c r="AW35" i="30"/>
  <c r="AW34" i="30"/>
  <c r="AW33" i="30"/>
  <c r="AW32" i="30"/>
  <c r="AW31" i="30"/>
  <c r="AW30" i="30"/>
  <c r="AW29" i="30"/>
  <c r="AW28" i="30"/>
  <c r="CH27" i="30"/>
  <c r="AW27" i="30"/>
  <c r="CH26" i="30"/>
  <c r="AW26" i="30"/>
  <c r="CH25" i="30"/>
  <c r="AW25" i="30"/>
  <c r="CH24" i="30"/>
  <c r="AW24" i="30"/>
  <c r="CH23" i="30"/>
  <c r="BV23" i="30"/>
  <c r="AW23" i="30"/>
  <c r="CH22" i="30"/>
  <c r="AW22" i="30"/>
  <c r="CH21" i="30"/>
  <c r="AW21" i="30"/>
  <c r="CH20" i="30"/>
  <c r="AW20" i="30"/>
  <c r="CH19" i="30"/>
  <c r="BV19" i="30"/>
  <c r="AW19" i="30"/>
  <c r="CH18" i="30"/>
  <c r="BV18" i="30"/>
  <c r="AW18" i="30"/>
  <c r="CH17" i="30"/>
  <c r="BV17" i="30"/>
  <c r="BJ17" i="30"/>
  <c r="AW17" i="30"/>
  <c r="CH16" i="30"/>
  <c r="BV16" i="30"/>
  <c r="BJ16" i="30"/>
  <c r="AW16" i="30"/>
  <c r="CH15" i="30"/>
  <c r="BV15" i="30"/>
  <c r="BJ15" i="30"/>
  <c r="AW15" i="30"/>
  <c r="CH14" i="30"/>
  <c r="BV14" i="30"/>
  <c r="BJ14" i="30"/>
  <c r="AW14" i="30"/>
  <c r="CH13" i="30"/>
  <c r="BV13" i="30"/>
  <c r="BJ13" i="30"/>
  <c r="AW13" i="30"/>
  <c r="CH12" i="30"/>
  <c r="BV12" i="30"/>
  <c r="BJ12" i="30"/>
  <c r="AW12" i="30"/>
  <c r="CH11" i="30"/>
  <c r="BV11" i="30"/>
  <c r="BJ11" i="30"/>
  <c r="AW11" i="30"/>
  <c r="CH10" i="30"/>
  <c r="BV10" i="30"/>
  <c r="BJ10" i="30"/>
  <c r="AW10" i="30"/>
  <c r="CH9" i="30"/>
  <c r="BV9" i="30"/>
  <c r="BJ9" i="30"/>
  <c r="AW9" i="30"/>
  <c r="CH8" i="30"/>
  <c r="BV8" i="30"/>
  <c r="BJ8" i="30"/>
  <c r="JD88" i="8"/>
  <c r="ID88" i="8"/>
  <c r="HR88" i="8"/>
  <c r="S88" i="8"/>
  <c r="JD87" i="8"/>
  <c r="ID87" i="8"/>
  <c r="HR87" i="8"/>
  <c r="S87" i="8"/>
  <c r="JD86" i="8"/>
  <c r="ID86" i="8"/>
  <c r="HR86" i="8"/>
  <c r="S86" i="8"/>
  <c r="JD85" i="8"/>
  <c r="ID85" i="8"/>
  <c r="HR85" i="8"/>
  <c r="S85" i="8"/>
  <c r="JD84" i="8"/>
  <c r="ID84" i="8"/>
  <c r="HR84" i="8"/>
  <c r="AU84" i="8"/>
  <c r="AQ84" i="8"/>
  <c r="S84" i="8"/>
  <c r="JD83" i="8"/>
  <c r="ID83" i="8"/>
  <c r="HR83" i="8"/>
  <c r="AQ83" i="8"/>
  <c r="S83" i="8"/>
  <c r="JD82" i="8"/>
  <c r="ID82" i="8"/>
  <c r="HR82" i="8"/>
  <c r="AQ82" i="8"/>
  <c r="S82" i="8"/>
  <c r="JD81" i="8"/>
  <c r="ID81" i="8"/>
  <c r="HR81" i="8"/>
  <c r="AQ81" i="8"/>
  <c r="S81" i="8"/>
  <c r="JD80" i="8"/>
  <c r="ID80" i="8"/>
  <c r="HR80" i="8"/>
  <c r="AQ80" i="8"/>
  <c r="S80" i="8"/>
  <c r="JD79" i="8"/>
  <c r="ID79" i="8"/>
  <c r="HR79" i="8"/>
  <c r="AQ79" i="8"/>
  <c r="S79" i="8"/>
  <c r="JD78" i="8"/>
  <c r="ID78" i="8"/>
  <c r="HR78" i="8"/>
  <c r="AQ78" i="8"/>
  <c r="S78" i="8"/>
  <c r="JD77" i="8"/>
  <c r="ID77" i="8"/>
  <c r="HR77" i="8"/>
  <c r="AQ77" i="8"/>
  <c r="S77" i="8"/>
  <c r="JD76" i="8"/>
  <c r="ID76" i="8"/>
  <c r="HR76" i="8"/>
  <c r="AQ76" i="8"/>
  <c r="S76" i="8"/>
  <c r="ID75" i="8"/>
  <c r="HR75" i="8"/>
  <c r="AQ75" i="8"/>
  <c r="S75" i="8"/>
  <c r="ID74" i="8"/>
  <c r="HR74" i="8"/>
  <c r="AQ74" i="8"/>
  <c r="S74" i="8"/>
  <c r="ID73" i="8"/>
  <c r="HR73" i="8"/>
  <c r="CH73" i="8"/>
  <c r="AQ73" i="8"/>
  <c r="S73" i="8"/>
  <c r="ID72" i="8"/>
  <c r="HR72" i="8"/>
  <c r="GW72" i="8"/>
  <c r="CH72" i="8"/>
  <c r="AQ72" i="8"/>
  <c r="S72" i="8"/>
  <c r="ID71" i="8"/>
  <c r="HR71" i="8"/>
  <c r="GW71" i="8"/>
  <c r="CH71" i="8"/>
  <c r="AQ71" i="8"/>
  <c r="ID70" i="8"/>
  <c r="HR70" i="8"/>
  <c r="GW70" i="8"/>
  <c r="CH70" i="8"/>
  <c r="AQ70" i="8"/>
  <c r="ID69" i="8"/>
  <c r="HR69" i="8"/>
  <c r="GW69" i="8"/>
  <c r="CH69" i="8"/>
  <c r="AQ69" i="8"/>
  <c r="ID68" i="8"/>
  <c r="HR68" i="8"/>
  <c r="GW68" i="8"/>
  <c r="CH68" i="8"/>
  <c r="AQ68" i="8"/>
  <c r="ID67" i="8"/>
  <c r="HR67" i="8"/>
  <c r="GW67" i="8"/>
  <c r="CH67" i="8"/>
  <c r="AQ67" i="8"/>
  <c r="ID66" i="8"/>
  <c r="HR66" i="8"/>
  <c r="GW66" i="8"/>
  <c r="CH66" i="8"/>
  <c r="AQ66" i="8"/>
  <c r="ID65" i="8"/>
  <c r="HR65" i="8"/>
  <c r="GW65" i="8"/>
  <c r="CH65" i="8"/>
  <c r="AQ65" i="8"/>
  <c r="ID64" i="8"/>
  <c r="HR64" i="8"/>
  <c r="GW64" i="8"/>
  <c r="CH64" i="8"/>
  <c r="BC64" i="8"/>
  <c r="AQ64" i="8"/>
  <c r="ID63" i="8"/>
  <c r="HR63" i="8"/>
  <c r="GW63" i="8"/>
  <c r="CH63" i="8"/>
  <c r="BI63" i="8"/>
  <c r="AV63" i="8"/>
  <c r="AW63" i="8" s="1"/>
  <c r="ID62" i="8"/>
  <c r="HR62" i="8"/>
  <c r="GW62" i="8"/>
  <c r="FW62" i="8"/>
  <c r="CH62" i="8"/>
  <c r="BI62" i="8"/>
  <c r="AV62" i="8"/>
  <c r="AW62" i="8" s="1"/>
  <c r="ID61" i="8"/>
  <c r="HR61" i="8"/>
  <c r="GW61" i="8"/>
  <c r="FW61" i="8"/>
  <c r="CH61" i="8"/>
  <c r="BI61" i="8"/>
  <c r="AV61" i="8"/>
  <c r="AW61" i="8" s="1"/>
  <c r="ID60" i="8"/>
  <c r="HR60" i="8"/>
  <c r="GW60" i="8"/>
  <c r="FW60" i="8"/>
  <c r="CH60" i="8"/>
  <c r="BI60" i="8"/>
  <c r="AV60" i="8"/>
  <c r="AW60" i="8" s="1"/>
  <c r="ID59" i="8"/>
  <c r="HR59" i="8"/>
  <c r="GW59" i="8"/>
  <c r="FW59" i="8"/>
  <c r="CH59" i="8"/>
  <c r="BH59" i="8"/>
  <c r="BI59" i="8" s="1"/>
  <c r="AV59" i="8"/>
  <c r="AW59" i="8" s="1"/>
  <c r="ID58" i="8"/>
  <c r="HR58" i="8"/>
  <c r="GW58" i="8"/>
  <c r="FW58" i="8"/>
  <c r="CH58" i="8"/>
  <c r="BH58" i="8"/>
  <c r="BI58" i="8" s="1"/>
  <c r="AV58" i="8"/>
  <c r="AW58" i="8" s="1"/>
  <c r="ID57" i="8"/>
  <c r="HR57" i="8"/>
  <c r="GW57" i="8"/>
  <c r="FW57" i="8"/>
  <c r="CH57" i="8"/>
  <c r="BH57" i="8"/>
  <c r="BI57" i="8" s="1"/>
  <c r="AV57" i="8"/>
  <c r="AW57" i="8" s="1"/>
  <c r="ID56" i="8"/>
  <c r="HR56" i="8"/>
  <c r="GW56" i="8"/>
  <c r="FW56" i="8"/>
  <c r="CH56" i="8"/>
  <c r="BH56" i="8"/>
  <c r="BI56" i="8" s="1"/>
  <c r="AV56" i="8"/>
  <c r="AW56" i="8" s="1"/>
  <c r="ID55" i="8"/>
  <c r="HR55" i="8"/>
  <c r="GW55" i="8"/>
  <c r="FW55" i="8"/>
  <c r="CH55" i="8"/>
  <c r="BI55" i="8"/>
  <c r="AV55" i="8"/>
  <c r="AW55" i="8" s="1"/>
  <c r="ID54" i="8"/>
  <c r="HR54" i="8"/>
  <c r="GW54" i="8"/>
  <c r="GJ54" i="8"/>
  <c r="FW54" i="8"/>
  <c r="CH54" i="8"/>
  <c r="BI54" i="8"/>
  <c r="AV54" i="8"/>
  <c r="AW54" i="8" s="1"/>
  <c r="ID53" i="8"/>
  <c r="HR53" i="8"/>
  <c r="GW53" i="8"/>
  <c r="GJ53" i="8"/>
  <c r="FW53" i="8"/>
  <c r="CH53" i="8"/>
  <c r="BH53" i="8"/>
  <c r="BI53" i="8" s="1"/>
  <c r="AV53" i="8"/>
  <c r="AW53" i="8" s="1"/>
  <c r="ID52" i="8"/>
  <c r="HR52" i="8"/>
  <c r="GW52" i="8"/>
  <c r="GJ52" i="8"/>
  <c r="FW52" i="8"/>
  <c r="CH52" i="8"/>
  <c r="BH52" i="8"/>
  <c r="BI52" i="8" s="1"/>
  <c r="AV52" i="8"/>
  <c r="AW52" i="8" s="1"/>
  <c r="ID51" i="8"/>
  <c r="HR51" i="8"/>
  <c r="GW51" i="8"/>
  <c r="GJ51" i="8"/>
  <c r="FW51" i="8"/>
  <c r="CH51" i="8"/>
  <c r="BH51" i="8"/>
  <c r="BI51" i="8" s="1"/>
  <c r="AV51" i="8"/>
  <c r="AW51" i="8" s="1"/>
  <c r="ID50" i="8"/>
  <c r="HR50" i="8"/>
  <c r="GW50" i="8"/>
  <c r="GJ50" i="8"/>
  <c r="FW50" i="8"/>
  <c r="CH50" i="8"/>
  <c r="BH50" i="8"/>
  <c r="BI50" i="8" s="1"/>
  <c r="AV50" i="8"/>
  <c r="AW50" i="8" s="1"/>
  <c r="X50" i="8"/>
  <c r="Y50" i="8" s="1"/>
  <c r="ID49" i="8"/>
  <c r="HR49" i="8"/>
  <c r="GW49" i="8"/>
  <c r="GJ49" i="8"/>
  <c r="FW49" i="8"/>
  <c r="CH49" i="8"/>
  <c r="BH49" i="8"/>
  <c r="BI49" i="8" s="1"/>
  <c r="AV49" i="8"/>
  <c r="AW49" i="8" s="1"/>
  <c r="X49" i="8"/>
  <c r="Y49" i="8" s="1"/>
  <c r="ID48" i="8"/>
  <c r="HR48" i="8"/>
  <c r="GW48" i="8"/>
  <c r="GJ48" i="8"/>
  <c r="FW48" i="8"/>
  <c r="CH48" i="8"/>
  <c r="BH48" i="8"/>
  <c r="BI48" i="8" s="1"/>
  <c r="AV48" i="8"/>
  <c r="AW48" i="8" s="1"/>
  <c r="X48" i="8"/>
  <c r="Y48" i="8" s="1"/>
  <c r="ID47" i="8"/>
  <c r="HR47" i="8"/>
  <c r="GW47" i="8"/>
  <c r="GJ47" i="8"/>
  <c r="FW47" i="8"/>
  <c r="FJ47" i="8"/>
  <c r="CH47" i="8"/>
  <c r="BH47" i="8"/>
  <c r="BI47" i="8" s="1"/>
  <c r="AV47" i="8"/>
  <c r="AW47" i="8" s="1"/>
  <c r="X47" i="8"/>
  <c r="Y47" i="8" s="1"/>
  <c r="ID46" i="8"/>
  <c r="HR46" i="8"/>
  <c r="GW46" i="8"/>
  <c r="GJ46" i="8"/>
  <c r="FW46" i="8"/>
  <c r="FJ46" i="8"/>
  <c r="CH46" i="8"/>
  <c r="BH46" i="8"/>
  <c r="BI46" i="8" s="1"/>
  <c r="AV46" i="8"/>
  <c r="AW46" i="8" s="1"/>
  <c r="X46" i="8"/>
  <c r="Y46" i="8" s="1"/>
  <c r="ID45" i="8"/>
  <c r="HR45" i="8"/>
  <c r="GW45" i="8"/>
  <c r="GJ45" i="8"/>
  <c r="FW45" i="8"/>
  <c r="FJ45" i="8"/>
  <c r="CH45" i="8"/>
  <c r="BH45" i="8"/>
  <c r="BI45" i="8" s="1"/>
  <c r="AV45" i="8"/>
  <c r="AW45" i="8" s="1"/>
  <c r="X45" i="8"/>
  <c r="Y45" i="8" s="1"/>
  <c r="ID44" i="8"/>
  <c r="HR44" i="8"/>
  <c r="GW44" i="8"/>
  <c r="GJ44" i="8"/>
  <c r="FW44" i="8"/>
  <c r="FJ44" i="8"/>
  <c r="CH44" i="8"/>
  <c r="BH44" i="8"/>
  <c r="BI44" i="8" s="1"/>
  <c r="AV44" i="8"/>
  <c r="AW44" i="8" s="1"/>
  <c r="X44" i="8"/>
  <c r="Y44" i="8" s="1"/>
  <c r="IJ43" i="8"/>
  <c r="HR43" i="8"/>
  <c r="GW43" i="8"/>
  <c r="GJ43" i="8"/>
  <c r="FW43" i="8"/>
  <c r="FJ43" i="8"/>
  <c r="CH43" i="8"/>
  <c r="BH43" i="8"/>
  <c r="BI43" i="8" s="1"/>
  <c r="AV43" i="8"/>
  <c r="AW43" i="8" s="1"/>
  <c r="X43" i="8"/>
  <c r="Y43" i="8" s="1"/>
  <c r="IJ42" i="8"/>
  <c r="HR42" i="8"/>
  <c r="GW42" i="8"/>
  <c r="GJ42" i="8"/>
  <c r="FW42" i="8"/>
  <c r="FJ42" i="8"/>
  <c r="CH42" i="8"/>
  <c r="BH42" i="8"/>
  <c r="BI42" i="8" s="1"/>
  <c r="AV42" i="8"/>
  <c r="AW42" i="8" s="1"/>
  <c r="X42" i="8"/>
  <c r="Y42" i="8" s="1"/>
  <c r="IJ41" i="8"/>
  <c r="HR41" i="8"/>
  <c r="GW41" i="8"/>
  <c r="GJ41" i="8"/>
  <c r="FW41" i="8"/>
  <c r="FJ41" i="8"/>
  <c r="CH41" i="8"/>
  <c r="AV41" i="8"/>
  <c r="AW41" i="8" s="1"/>
  <c r="X41" i="8"/>
  <c r="Y41" i="8" s="1"/>
  <c r="IJ40" i="8"/>
  <c r="HR40" i="8"/>
  <c r="GW40" i="8"/>
  <c r="GJ40" i="8"/>
  <c r="FW40" i="8"/>
  <c r="FJ40" i="8"/>
  <c r="CH40" i="8"/>
  <c r="BH40" i="8"/>
  <c r="BI40" i="8" s="1"/>
  <c r="AI40" i="8"/>
  <c r="AE40" i="8"/>
  <c r="X40" i="8"/>
  <c r="Y40" i="8" s="1"/>
  <c r="K40" i="8"/>
  <c r="G40" i="8"/>
  <c r="IJ39" i="8"/>
  <c r="HR39" i="8"/>
  <c r="GW39" i="8"/>
  <c r="GJ39" i="8"/>
  <c r="FW39" i="8"/>
  <c r="FJ39" i="8"/>
  <c r="CH39" i="8"/>
  <c r="BH39" i="8"/>
  <c r="BI39" i="8" s="1"/>
  <c r="AW39" i="8"/>
  <c r="AE39" i="8"/>
  <c r="X39" i="8"/>
  <c r="Y39" i="8" s="1"/>
  <c r="G39" i="8"/>
  <c r="IJ38" i="8"/>
  <c r="HR38" i="8"/>
  <c r="GW38" i="8"/>
  <c r="GJ38" i="8"/>
  <c r="FW38" i="8"/>
  <c r="FJ38" i="8"/>
  <c r="CH38" i="8"/>
  <c r="BH38" i="8"/>
  <c r="BI38" i="8" s="1"/>
  <c r="AW38" i="8"/>
  <c r="AE38" i="8"/>
  <c r="X38" i="8"/>
  <c r="Y38" i="8" s="1"/>
  <c r="G38" i="8"/>
  <c r="IJ37" i="8"/>
  <c r="HR37" i="8"/>
  <c r="GW37" i="8"/>
  <c r="GJ37" i="8"/>
  <c r="FW37" i="8"/>
  <c r="FJ37" i="8"/>
  <c r="CH37" i="8"/>
  <c r="BH37" i="8"/>
  <c r="BI37" i="8" s="1"/>
  <c r="AV37" i="8"/>
  <c r="AW37" i="8" s="1"/>
  <c r="AE37" i="8"/>
  <c r="X37" i="8"/>
  <c r="Y37" i="8" s="1"/>
  <c r="G37" i="8"/>
  <c r="IJ36" i="8"/>
  <c r="HR36" i="8"/>
  <c r="GW36" i="8"/>
  <c r="GJ36" i="8"/>
  <c r="FW36" i="8"/>
  <c r="FJ36" i="8"/>
  <c r="CH36" i="8"/>
  <c r="BH36" i="8"/>
  <c r="BI36" i="8" s="1"/>
  <c r="AE36" i="8"/>
  <c r="X36" i="8"/>
  <c r="Y36" i="8" s="1"/>
  <c r="G36" i="8"/>
  <c r="IJ35" i="8"/>
  <c r="HR35" i="8"/>
  <c r="GW35" i="8"/>
  <c r="GJ35" i="8"/>
  <c r="FW35" i="8"/>
  <c r="FJ35" i="8"/>
  <c r="CH35" i="8"/>
  <c r="BH35" i="8"/>
  <c r="BI35" i="8" s="1"/>
  <c r="AE35" i="8"/>
  <c r="X35" i="8"/>
  <c r="Y35" i="8" s="1"/>
  <c r="G35" i="8"/>
  <c r="IJ34" i="8"/>
  <c r="HR34" i="8"/>
  <c r="GW34" i="8"/>
  <c r="GJ34" i="8"/>
  <c r="FW34" i="8"/>
  <c r="FJ34" i="8"/>
  <c r="CH34" i="8"/>
  <c r="BH34" i="8"/>
  <c r="BI34" i="8" s="1"/>
  <c r="AP34" i="8"/>
  <c r="AE34" i="8"/>
  <c r="X34" i="8"/>
  <c r="Y34" i="8" s="1"/>
  <c r="G34" i="8"/>
  <c r="IJ33" i="8"/>
  <c r="HR33" i="8"/>
  <c r="GW33" i="8"/>
  <c r="GJ33" i="8"/>
  <c r="FW33" i="8"/>
  <c r="FJ33" i="8"/>
  <c r="CH33" i="8"/>
  <c r="BH33" i="8"/>
  <c r="AP33" i="8"/>
  <c r="AE33" i="8"/>
  <c r="X33" i="8"/>
  <c r="Y33" i="8" s="1"/>
  <c r="L33" i="8"/>
  <c r="M33" i="8" s="1"/>
  <c r="IJ32" i="8"/>
  <c r="HR32" i="8"/>
  <c r="GW32" i="8"/>
  <c r="GJ32" i="8"/>
  <c r="FW32" i="8"/>
  <c r="FJ32" i="8"/>
  <c r="CH32" i="8"/>
  <c r="BH32" i="8"/>
  <c r="BI32" i="8" s="1"/>
  <c r="AP32" i="8"/>
  <c r="AE32" i="8"/>
  <c r="X32" i="8"/>
  <c r="Y32" i="8" s="1"/>
  <c r="L32" i="8"/>
  <c r="M32" i="8" s="1"/>
  <c r="IJ31" i="8"/>
  <c r="HR31" i="8"/>
  <c r="GW31" i="8"/>
  <c r="GJ31" i="8"/>
  <c r="FW31" i="8"/>
  <c r="FJ31" i="8"/>
  <c r="CT31" i="8"/>
  <c r="CH31" i="8"/>
  <c r="BH31" i="8"/>
  <c r="BI31" i="8" s="1"/>
  <c r="AV31" i="8"/>
  <c r="AW31" i="8" s="1"/>
  <c r="AP31" i="8"/>
  <c r="AE31" i="8"/>
  <c r="X31" i="8"/>
  <c r="Y31" i="8" s="1"/>
  <c r="L31" i="8"/>
  <c r="M31" i="8" s="1"/>
  <c r="IJ30" i="8"/>
  <c r="HR30" i="8"/>
  <c r="GW30" i="8"/>
  <c r="GJ30" i="8"/>
  <c r="FW30" i="8"/>
  <c r="FJ30" i="8"/>
  <c r="CT30" i="8"/>
  <c r="CH30" i="8"/>
  <c r="AV30" i="8"/>
  <c r="AW30" i="8" s="1"/>
  <c r="AP30" i="8"/>
  <c r="AE30" i="8"/>
  <c r="X30" i="8"/>
  <c r="Y30" i="8" s="1"/>
  <c r="L30" i="8"/>
  <c r="M30" i="8" s="1"/>
  <c r="IJ29" i="8"/>
  <c r="HR29" i="8"/>
  <c r="GW29" i="8"/>
  <c r="GJ29" i="8"/>
  <c r="FW29" i="8"/>
  <c r="FJ29" i="8"/>
  <c r="CT29" i="8"/>
  <c r="CH29" i="8"/>
  <c r="BH29" i="8"/>
  <c r="BI29" i="8" s="1"/>
  <c r="AV29" i="8"/>
  <c r="AW29" i="8" s="1"/>
  <c r="AP29" i="8"/>
  <c r="AE29" i="8"/>
  <c r="X29" i="8"/>
  <c r="Y29" i="8" s="1"/>
  <c r="L29" i="8"/>
  <c r="M29" i="8" s="1"/>
  <c r="IJ28" i="8"/>
  <c r="HR28" i="8"/>
  <c r="GW28" i="8"/>
  <c r="GJ28" i="8"/>
  <c r="FW28" i="8"/>
  <c r="FJ28" i="8"/>
  <c r="CT28" i="8"/>
  <c r="CH28" i="8"/>
  <c r="AV28" i="8"/>
  <c r="AW28" i="8" s="1"/>
  <c r="AP28" i="8"/>
  <c r="AE28" i="8"/>
  <c r="X28" i="8"/>
  <c r="Y28" i="8" s="1"/>
  <c r="L28" i="8"/>
  <c r="M28" i="8" s="1"/>
  <c r="IJ27" i="8"/>
  <c r="HR27" i="8"/>
  <c r="GW27" i="8"/>
  <c r="GJ27" i="8"/>
  <c r="FW27" i="8"/>
  <c r="FJ27" i="8"/>
  <c r="CT27" i="8"/>
  <c r="CH27" i="8"/>
  <c r="AV27" i="8"/>
  <c r="AW27" i="8" s="1"/>
  <c r="AP27" i="8"/>
  <c r="AE27" i="8"/>
  <c r="X27" i="8"/>
  <c r="Y27" i="8" s="1"/>
  <c r="L27" i="8"/>
  <c r="M27" i="8" s="1"/>
  <c r="IJ26" i="8"/>
  <c r="HR26" i="8"/>
  <c r="GW26" i="8"/>
  <c r="GJ26" i="8"/>
  <c r="FW26" i="8"/>
  <c r="FJ26" i="8"/>
  <c r="CT26" i="8"/>
  <c r="CH26" i="8"/>
  <c r="BH26" i="8"/>
  <c r="BI26" i="8" s="1"/>
  <c r="AV26" i="8"/>
  <c r="AW26" i="8" s="1"/>
  <c r="AP26" i="8"/>
  <c r="AE26" i="8"/>
  <c r="X26" i="8"/>
  <c r="Y26" i="8" s="1"/>
  <c r="L26" i="8"/>
  <c r="M26" i="8" s="1"/>
  <c r="IJ25" i="8"/>
  <c r="HR25" i="8"/>
  <c r="GW25" i="8"/>
  <c r="GJ25" i="8"/>
  <c r="FW25" i="8"/>
  <c r="FJ25" i="8"/>
  <c r="CT25" i="8"/>
  <c r="CH25" i="8"/>
  <c r="AV25" i="8"/>
  <c r="AW25" i="8" s="1"/>
  <c r="AP25" i="8"/>
  <c r="AE25" i="8"/>
  <c r="X25" i="8"/>
  <c r="Y25" i="8" s="1"/>
  <c r="L25" i="8"/>
  <c r="M25" i="8" s="1"/>
  <c r="IJ24" i="8"/>
  <c r="HR24" i="8"/>
  <c r="GW24" i="8"/>
  <c r="GJ24" i="8"/>
  <c r="FW24" i="8"/>
  <c r="FJ24" i="8"/>
  <c r="CT24" i="8"/>
  <c r="CH24" i="8"/>
  <c r="BH24" i="8"/>
  <c r="BI24" i="8" s="1"/>
  <c r="AV24" i="8"/>
  <c r="AW24" i="8" s="1"/>
  <c r="AP24" i="8"/>
  <c r="AE24" i="8"/>
  <c r="X24" i="8"/>
  <c r="Y24" i="8" s="1"/>
  <c r="L24" i="8"/>
  <c r="M24" i="8" s="1"/>
  <c r="IJ23" i="8"/>
  <c r="HR23" i="8"/>
  <c r="GW23" i="8"/>
  <c r="GJ23" i="8"/>
  <c r="FW23" i="8"/>
  <c r="FJ23" i="8"/>
  <c r="EI23" i="8"/>
  <c r="CT23" i="8"/>
  <c r="CH23" i="8"/>
  <c r="AV23" i="8"/>
  <c r="AW23" i="8" s="1"/>
  <c r="AP23" i="8"/>
  <c r="AE23" i="8"/>
  <c r="X23" i="8"/>
  <c r="Y23" i="8" s="1"/>
  <c r="L23" i="8"/>
  <c r="M23" i="8" s="1"/>
  <c r="IJ22" i="8"/>
  <c r="GW22" i="8"/>
  <c r="GJ22" i="8"/>
  <c r="FW22" i="8"/>
  <c r="FJ22" i="8"/>
  <c r="EI22" i="8"/>
  <c r="CT22" i="8"/>
  <c r="AV22" i="8"/>
  <c r="AW22" i="8" s="1"/>
  <c r="AP22" i="8"/>
  <c r="X22" i="8"/>
  <c r="Y22" i="8" s="1"/>
  <c r="L22" i="8"/>
  <c r="M22" i="8" s="1"/>
  <c r="IJ21" i="8"/>
  <c r="GW21" i="8"/>
  <c r="GJ21" i="8"/>
  <c r="FW21" i="8"/>
  <c r="FJ21" i="8"/>
  <c r="EI21" i="8"/>
  <c r="CS21" i="8"/>
  <c r="CT21" i="8" s="1"/>
  <c r="CG21" i="8"/>
  <c r="CH21" i="8" s="1"/>
  <c r="AV21" i="8"/>
  <c r="AW21" i="8" s="1"/>
  <c r="AP21" i="8"/>
  <c r="X21" i="8"/>
  <c r="Y21" i="8" s="1"/>
  <c r="L21" i="8"/>
  <c r="M21" i="8" s="1"/>
  <c r="IJ20" i="8"/>
  <c r="GW20" i="8"/>
  <c r="GJ20" i="8"/>
  <c r="FW20" i="8"/>
  <c r="FJ20" i="8"/>
  <c r="EI20" i="8"/>
  <c r="CS20" i="8"/>
  <c r="CT20" i="8" s="1"/>
  <c r="CH20" i="8"/>
  <c r="AV20" i="8"/>
  <c r="AW20" i="8" s="1"/>
  <c r="AP20" i="8"/>
  <c r="X20" i="8"/>
  <c r="Y20" i="8" s="1"/>
  <c r="IJ19" i="8"/>
  <c r="GW19" i="8"/>
  <c r="GJ19" i="8"/>
  <c r="FW19" i="8"/>
  <c r="FJ19" i="8"/>
  <c r="EI19" i="8"/>
  <c r="CT19" i="8"/>
  <c r="CH19" i="8"/>
  <c r="BH19" i="8"/>
  <c r="BI19" i="8" s="1"/>
  <c r="AV19" i="8"/>
  <c r="AW19" i="8" s="1"/>
  <c r="AP19" i="8"/>
  <c r="X19" i="8"/>
  <c r="Y19" i="8" s="1"/>
  <c r="L19" i="8"/>
  <c r="M19" i="8" s="1"/>
  <c r="IJ18" i="8"/>
  <c r="GW18" i="8"/>
  <c r="GJ18" i="8"/>
  <c r="FW18" i="8"/>
  <c r="FJ18" i="8"/>
  <c r="EH18" i="8"/>
  <c r="EI18" i="8" s="1"/>
  <c r="CT18" i="8"/>
  <c r="CH18" i="8"/>
  <c r="BH18" i="8"/>
  <c r="BI18" i="8" s="1"/>
  <c r="AV18" i="8"/>
  <c r="AW18" i="8" s="1"/>
  <c r="AP18" i="8"/>
  <c r="X18" i="8"/>
  <c r="Y18" i="8" s="1"/>
  <c r="L18" i="8"/>
  <c r="M18" i="8" s="1"/>
  <c r="IJ17" i="8"/>
  <c r="GW17" i="8"/>
  <c r="GJ17" i="8"/>
  <c r="FW17" i="8"/>
  <c r="FJ17" i="8"/>
  <c r="EH17" i="8"/>
  <c r="EI17" i="8" s="1"/>
  <c r="CT17" i="8"/>
  <c r="CH17" i="8"/>
  <c r="AV17" i="8"/>
  <c r="AW17" i="8" s="1"/>
  <c r="AP17" i="8"/>
  <c r="X17" i="8"/>
  <c r="Y17" i="8" s="1"/>
  <c r="L17" i="8"/>
  <c r="M17" i="8" s="1"/>
  <c r="IJ16" i="8"/>
  <c r="GW16" i="8"/>
  <c r="GJ16" i="8"/>
  <c r="FW16" i="8"/>
  <c r="FJ16" i="8"/>
  <c r="EI16" i="8"/>
  <c r="CT16" i="8"/>
  <c r="CG16" i="8"/>
  <c r="CH16" i="8" s="1"/>
  <c r="AV16" i="8"/>
  <c r="AW16" i="8" s="1"/>
  <c r="AP16" i="8"/>
  <c r="AJ16" i="8"/>
  <c r="AK16" i="8" s="1"/>
  <c r="X16" i="8"/>
  <c r="Y16" i="8" s="1"/>
  <c r="L16" i="8"/>
  <c r="M16" i="8" s="1"/>
  <c r="IJ15" i="8"/>
  <c r="GW15" i="8"/>
  <c r="GJ15" i="8"/>
  <c r="FW15" i="8"/>
  <c r="FJ15" i="8"/>
  <c r="EI15" i="8"/>
  <c r="CS15" i="8"/>
  <c r="CT15" i="8" s="1"/>
  <c r="CG15" i="8"/>
  <c r="CH15" i="8" s="1"/>
  <c r="BH15" i="8"/>
  <c r="BI15" i="8" s="1"/>
  <c r="AV15" i="8"/>
  <c r="AW15" i="8" s="1"/>
  <c r="AP15" i="8"/>
  <c r="AJ15" i="8"/>
  <c r="AK15" i="8" s="1"/>
  <c r="X15" i="8"/>
  <c r="Y15" i="8" s="1"/>
  <c r="L15" i="8"/>
  <c r="M15" i="8" s="1"/>
  <c r="IJ14" i="8"/>
  <c r="GW14" i="8"/>
  <c r="GJ14" i="8"/>
  <c r="FV14" i="8"/>
  <c r="FW14" i="8" s="1"/>
  <c r="FI14" i="8"/>
  <c r="FJ14" i="8" s="1"/>
  <c r="EI14" i="8"/>
  <c r="CS14" i="8"/>
  <c r="CT14" i="8" s="1"/>
  <c r="CG14" i="8"/>
  <c r="CH14" i="8" s="1"/>
  <c r="BH14" i="8"/>
  <c r="BI14" i="8" s="1"/>
  <c r="AV14" i="8"/>
  <c r="AW14" i="8" s="1"/>
  <c r="AP14" i="8"/>
  <c r="AJ14" i="8"/>
  <c r="AK14" i="8" s="1"/>
  <c r="X14" i="8"/>
  <c r="Y14" i="8" s="1"/>
  <c r="L14" i="8"/>
  <c r="M14" i="8" s="1"/>
  <c r="IJ13" i="8"/>
  <c r="GW13" i="8"/>
  <c r="GJ13" i="8"/>
  <c r="FV13" i="8"/>
  <c r="FW13" i="8" s="1"/>
  <c r="FI13" i="8"/>
  <c r="FJ13" i="8" s="1"/>
  <c r="EI13" i="8"/>
  <c r="CS13" i="8"/>
  <c r="CT13" i="8" s="1"/>
  <c r="CG13" i="8"/>
  <c r="CH13" i="8" s="1"/>
  <c r="BH13" i="8"/>
  <c r="BI13" i="8" s="1"/>
  <c r="AV13" i="8"/>
  <c r="AW13" i="8" s="1"/>
  <c r="AP13" i="8"/>
  <c r="AJ13" i="8"/>
  <c r="AK13" i="8" s="1"/>
  <c r="X13" i="8"/>
  <c r="Y13" i="8" s="1"/>
  <c r="L13" i="8"/>
  <c r="M13" i="8" s="1"/>
  <c r="IJ12" i="8"/>
  <c r="GW12" i="8"/>
  <c r="GJ12" i="8"/>
  <c r="FV12" i="8"/>
  <c r="FW12" i="8" s="1"/>
  <c r="FJ12" i="8"/>
  <c r="EI12" i="8"/>
  <c r="CG12" i="8"/>
  <c r="CH12" i="8" s="1"/>
  <c r="BH12" i="8"/>
  <c r="BI12" i="8" s="1"/>
  <c r="AV12" i="8"/>
  <c r="AW12" i="8" s="1"/>
  <c r="AP12" i="8"/>
  <c r="AJ12" i="8"/>
  <c r="AK12" i="8" s="1"/>
  <c r="X12" i="8"/>
  <c r="Y12" i="8" s="1"/>
  <c r="L12" i="8"/>
  <c r="M12" i="8" s="1"/>
  <c r="IJ11" i="8"/>
  <c r="GW11" i="8"/>
  <c r="GJ11" i="8"/>
  <c r="FV11" i="8"/>
  <c r="FW11" i="8" s="1"/>
  <c r="FJ11" i="8"/>
  <c r="EI11" i="8"/>
  <c r="CG11" i="8"/>
  <c r="CH11" i="8" s="1"/>
  <c r="BH11" i="8"/>
  <c r="BI11" i="8" s="1"/>
  <c r="AV11" i="8"/>
  <c r="AW11" i="8" s="1"/>
  <c r="AP11" i="8"/>
  <c r="AJ11" i="8"/>
  <c r="AK11" i="8" s="1"/>
  <c r="X11" i="8"/>
  <c r="Y11" i="8" s="1"/>
  <c r="L11" i="8"/>
  <c r="M11" i="8" s="1"/>
  <c r="IJ10" i="8"/>
  <c r="GW10" i="8"/>
  <c r="GJ10" i="8"/>
  <c r="FV10" i="8"/>
  <c r="FW10" i="8" s="1"/>
  <c r="FJ10" i="8"/>
  <c r="EI10" i="8"/>
  <c r="CG10" i="8"/>
  <c r="CH10" i="8" s="1"/>
  <c r="BH10" i="8"/>
  <c r="BI10" i="8" s="1"/>
  <c r="AV10" i="8"/>
  <c r="AW10" i="8" s="1"/>
  <c r="AP10" i="8"/>
  <c r="AJ10" i="8"/>
  <c r="AK10" i="8" s="1"/>
  <c r="X10" i="8"/>
  <c r="Y10" i="8" s="1"/>
  <c r="L10" i="8"/>
  <c r="M10" i="8" s="1"/>
  <c r="IJ9" i="8"/>
  <c r="HG9" i="8"/>
  <c r="HG10" i="8" s="1"/>
  <c r="GW9" i="8"/>
  <c r="GJ9" i="8"/>
  <c r="FV9" i="8"/>
  <c r="FW9" i="8" s="1"/>
  <c r="FJ9" i="8"/>
  <c r="EI9" i="8"/>
  <c r="CG9" i="8"/>
  <c r="CH9" i="8" s="1"/>
  <c r="BS9" i="8"/>
  <c r="BS10" i="8" s="1"/>
  <c r="BH9" i="8"/>
  <c r="BI9" i="8" s="1"/>
  <c r="AV9" i="8"/>
  <c r="AW9" i="8" s="1"/>
  <c r="AP9" i="8"/>
  <c r="AJ9" i="8"/>
  <c r="AK9" i="8" s="1"/>
  <c r="X9" i="8"/>
  <c r="Y9" i="8" s="1"/>
  <c r="L9" i="8"/>
  <c r="M9" i="8" s="1"/>
  <c r="JJ8" i="8"/>
  <c r="IJ8" i="8"/>
  <c r="HI8" i="8"/>
  <c r="HJ8" i="8" s="1"/>
  <c r="GW8" i="8"/>
  <c r="GJ8" i="8"/>
  <c r="FV8" i="8"/>
  <c r="FW8" i="8" s="1"/>
  <c r="FI8" i="8"/>
  <c r="FJ8" i="8" s="1"/>
  <c r="EV8" i="8"/>
  <c r="EW8" i="8" s="1"/>
  <c r="EI8" i="8"/>
  <c r="DV8" i="8"/>
  <c r="DW8" i="8" s="1"/>
  <c r="DJ8" i="8"/>
  <c r="DK8" i="8" s="1"/>
  <c r="CS8" i="8"/>
  <c r="CT8" i="8" s="1"/>
  <c r="CG8" i="8"/>
  <c r="CH8" i="8" s="1"/>
  <c r="BU8" i="8"/>
  <c r="BV8" i="8" s="1"/>
  <c r="BH8" i="8"/>
  <c r="BI8" i="8" s="1"/>
  <c r="AV8" i="8"/>
  <c r="AW8" i="8" s="1"/>
  <c r="AP8" i="8"/>
  <c r="AJ8" i="8"/>
  <c r="AK8" i="8" s="1"/>
  <c r="X8" i="8"/>
  <c r="Y8" i="8" s="1"/>
  <c r="L8" i="8"/>
  <c r="M8" i="8" s="1"/>
  <c r="M199" i="2"/>
  <c r="L199" i="2"/>
  <c r="K199" i="2"/>
  <c r="J199" i="2"/>
  <c r="M198" i="2"/>
  <c r="L198" i="2"/>
  <c r="K198" i="2"/>
  <c r="J198" i="2"/>
  <c r="M197" i="2"/>
  <c r="L197" i="2"/>
  <c r="K197" i="2"/>
  <c r="J197" i="2"/>
  <c r="M196" i="2"/>
  <c r="L196" i="2"/>
  <c r="K196" i="2"/>
  <c r="J196" i="2"/>
  <c r="Q195" i="2"/>
  <c r="M195" i="2"/>
  <c r="L195" i="2"/>
  <c r="K195" i="2"/>
  <c r="J195" i="2"/>
  <c r="Q194" i="2"/>
  <c r="L194" i="2"/>
  <c r="K194" i="2"/>
  <c r="J194" i="2"/>
  <c r="Q193" i="2"/>
  <c r="N193" i="2"/>
  <c r="M193" i="2"/>
  <c r="L193" i="2"/>
  <c r="K193" i="2"/>
  <c r="J193" i="2"/>
  <c r="Q192" i="2"/>
  <c r="N192" i="2"/>
  <c r="M192" i="2"/>
  <c r="L192" i="2"/>
  <c r="K192" i="2"/>
  <c r="J192" i="2"/>
  <c r="Q191" i="2"/>
  <c r="N191" i="2"/>
  <c r="M191" i="2"/>
  <c r="L191" i="2"/>
  <c r="K191" i="2"/>
  <c r="J191" i="2"/>
  <c r="Q190" i="2"/>
  <c r="L190" i="2"/>
  <c r="K190" i="2"/>
  <c r="AD190" i="2" s="1"/>
  <c r="J190" i="2"/>
  <c r="Q189" i="2"/>
  <c r="N189" i="2"/>
  <c r="L189" i="2"/>
  <c r="K189" i="2"/>
  <c r="J189" i="2"/>
  <c r="Q188" i="2"/>
  <c r="N188" i="2"/>
  <c r="AA188" i="2"/>
  <c r="M188" i="2"/>
  <c r="L188" i="2"/>
  <c r="K188" i="2"/>
  <c r="J188" i="2"/>
  <c r="Q187" i="2"/>
  <c r="N187" i="2"/>
  <c r="L187" i="2"/>
  <c r="K187" i="2"/>
  <c r="J187" i="2"/>
  <c r="Q186" i="2"/>
  <c r="N186" i="2"/>
  <c r="L186" i="2"/>
  <c r="K186" i="2"/>
  <c r="J186" i="2"/>
  <c r="Q185" i="2"/>
  <c r="N185" i="2"/>
  <c r="M185" i="2"/>
  <c r="L185" i="2"/>
  <c r="K185" i="2"/>
  <c r="J185" i="2"/>
  <c r="Q184" i="2"/>
  <c r="N184" i="2"/>
  <c r="AA184" i="2"/>
  <c r="M184" i="2"/>
  <c r="L184" i="2"/>
  <c r="K184" i="2"/>
  <c r="J184" i="2"/>
  <c r="Q183" i="2"/>
  <c r="N183" i="2"/>
  <c r="AA183" i="2"/>
  <c r="L183" i="2"/>
  <c r="K183" i="2"/>
  <c r="J183" i="2"/>
  <c r="Q182" i="2"/>
  <c r="P182" i="2"/>
  <c r="L182" i="2"/>
  <c r="K182" i="2"/>
  <c r="J182" i="2"/>
  <c r="Q181" i="2"/>
  <c r="P181" i="2"/>
  <c r="L181" i="2"/>
  <c r="K181" i="2"/>
  <c r="J181" i="2"/>
  <c r="Q180" i="2"/>
  <c r="P180" i="2"/>
  <c r="L180" i="2"/>
  <c r="K180" i="2"/>
  <c r="J180" i="2"/>
  <c r="L179" i="2"/>
  <c r="K179" i="2"/>
  <c r="J179" i="2"/>
  <c r="Q178" i="2"/>
  <c r="P178" i="2"/>
  <c r="O178" i="2"/>
  <c r="N178" i="2"/>
  <c r="AB178" i="2"/>
  <c r="AA178" i="2"/>
  <c r="M178" i="2"/>
  <c r="L178" i="2"/>
  <c r="K178" i="2"/>
  <c r="J178" i="2"/>
  <c r="L177" i="2"/>
  <c r="K177" i="2"/>
  <c r="J177" i="2"/>
  <c r="Q176" i="2"/>
  <c r="P176" i="2"/>
  <c r="O176" i="2"/>
  <c r="N176" i="2"/>
  <c r="AB176" i="2"/>
  <c r="AA176" i="2"/>
  <c r="M176" i="2"/>
  <c r="L176" i="2"/>
  <c r="K176" i="2"/>
  <c r="J176" i="2"/>
  <c r="Q175" i="2"/>
  <c r="P175" i="2"/>
  <c r="O175" i="2"/>
  <c r="N175" i="2"/>
  <c r="AB175" i="2"/>
  <c r="AA175" i="2"/>
  <c r="M175" i="2"/>
  <c r="L175" i="2"/>
  <c r="K175" i="2"/>
  <c r="J175" i="2"/>
  <c r="Q174" i="2"/>
  <c r="P174" i="2"/>
  <c r="O174" i="2"/>
  <c r="N174" i="2"/>
  <c r="AB174" i="2"/>
  <c r="AA174" i="2"/>
  <c r="M174" i="2"/>
  <c r="L174" i="2"/>
  <c r="K174" i="2"/>
  <c r="J174" i="2"/>
  <c r="Q173" i="2"/>
  <c r="P173" i="2"/>
  <c r="O173" i="2"/>
  <c r="N173" i="2"/>
  <c r="AB173" i="2"/>
  <c r="AA173" i="2"/>
  <c r="M173" i="2"/>
  <c r="L173" i="2"/>
  <c r="K173" i="2"/>
  <c r="J173" i="2"/>
  <c r="Q172" i="2"/>
  <c r="P172" i="2"/>
  <c r="O172" i="2"/>
  <c r="N172" i="2"/>
  <c r="AB172" i="2"/>
  <c r="AA172" i="2"/>
  <c r="M172" i="2"/>
  <c r="L172" i="2"/>
  <c r="K172" i="2"/>
  <c r="J172" i="2"/>
  <c r="Q171" i="2"/>
  <c r="P171" i="2"/>
  <c r="O171" i="2"/>
  <c r="N171" i="2"/>
  <c r="AB171" i="2"/>
  <c r="AA171" i="2"/>
  <c r="M171" i="2"/>
  <c r="L171" i="2"/>
  <c r="K171" i="2"/>
  <c r="J171" i="2"/>
  <c r="Q170" i="2"/>
  <c r="P170" i="2"/>
  <c r="O170" i="2"/>
  <c r="N170" i="2"/>
  <c r="AB170" i="2"/>
  <c r="AA170" i="2"/>
  <c r="M170" i="2"/>
  <c r="L170" i="2"/>
  <c r="K170" i="2"/>
  <c r="J170" i="2"/>
  <c r="Q169" i="2"/>
  <c r="P169" i="2"/>
  <c r="O169" i="2"/>
  <c r="N169" i="2"/>
  <c r="AB169" i="2"/>
  <c r="AA169" i="2"/>
  <c r="M169" i="2"/>
  <c r="L169" i="2"/>
  <c r="K169" i="2"/>
  <c r="J169" i="2"/>
  <c r="Q168" i="2"/>
  <c r="P168" i="2"/>
  <c r="O168" i="2"/>
  <c r="N168" i="2"/>
  <c r="AB168" i="2"/>
  <c r="AA168" i="2"/>
  <c r="M168" i="2"/>
  <c r="L168" i="2"/>
  <c r="K168" i="2"/>
  <c r="J168" i="2"/>
  <c r="Q167" i="2"/>
  <c r="P167" i="2"/>
  <c r="O167" i="2"/>
  <c r="N167" i="2"/>
  <c r="AB167" i="2"/>
  <c r="AA167" i="2"/>
  <c r="M167" i="2"/>
  <c r="L167" i="2"/>
  <c r="K167" i="2"/>
  <c r="J167" i="2"/>
  <c r="Q166" i="2"/>
  <c r="P166" i="2"/>
  <c r="O166" i="2"/>
  <c r="N166" i="2"/>
  <c r="AB166" i="2"/>
  <c r="AA166" i="2"/>
  <c r="M166" i="2"/>
  <c r="L166" i="2"/>
  <c r="K166" i="2"/>
  <c r="J166" i="2"/>
  <c r="Q165" i="2"/>
  <c r="P165" i="2"/>
  <c r="O165" i="2"/>
  <c r="N165" i="2"/>
  <c r="AB165" i="2"/>
  <c r="AA165" i="2"/>
  <c r="M165" i="2"/>
  <c r="L165" i="2"/>
  <c r="K165" i="2"/>
  <c r="J165" i="2"/>
  <c r="Q164" i="2"/>
  <c r="P164" i="2"/>
  <c r="O164" i="2"/>
  <c r="N164" i="2"/>
  <c r="AB164" i="2"/>
  <c r="AA164" i="2"/>
  <c r="M164" i="2"/>
  <c r="L164" i="2"/>
  <c r="K164" i="2"/>
  <c r="J164" i="2"/>
  <c r="Q163" i="2"/>
  <c r="P163" i="2"/>
  <c r="O163" i="2"/>
  <c r="N163" i="2"/>
  <c r="AB163" i="2"/>
  <c r="AA163" i="2"/>
  <c r="M163" i="2"/>
  <c r="L163" i="2"/>
  <c r="K163" i="2"/>
  <c r="J163" i="2"/>
  <c r="Q162" i="2"/>
  <c r="P162" i="2"/>
  <c r="O162" i="2"/>
  <c r="N162" i="2"/>
  <c r="AB162" i="2"/>
  <c r="AA162" i="2"/>
  <c r="M162" i="2"/>
  <c r="L162" i="2"/>
  <c r="K162" i="2"/>
  <c r="J162" i="2"/>
  <c r="Q161" i="2"/>
  <c r="P161" i="2"/>
  <c r="O161" i="2"/>
  <c r="N161" i="2"/>
  <c r="AB161" i="2"/>
  <c r="AA161" i="2"/>
  <c r="M161" i="2"/>
  <c r="L161" i="2"/>
  <c r="K161" i="2"/>
  <c r="J161" i="2"/>
  <c r="Q160" i="2"/>
  <c r="P160" i="2"/>
  <c r="O160" i="2"/>
  <c r="N160" i="2"/>
  <c r="AB160" i="2"/>
  <c r="AA160" i="2"/>
  <c r="M160" i="2"/>
  <c r="L160" i="2"/>
  <c r="K160" i="2"/>
  <c r="J160" i="2"/>
  <c r="Q159" i="2"/>
  <c r="N159" i="2"/>
  <c r="AB159" i="2"/>
  <c r="AA159" i="2"/>
  <c r="M159" i="2"/>
  <c r="L159" i="2"/>
  <c r="K159" i="2"/>
  <c r="J159" i="2"/>
  <c r="Q158" i="2"/>
  <c r="P158" i="2"/>
  <c r="O158" i="2"/>
  <c r="N158" i="2"/>
  <c r="L158" i="2"/>
  <c r="K158" i="2"/>
  <c r="J158" i="2"/>
  <c r="Q157" i="2"/>
  <c r="P157" i="2"/>
  <c r="O157" i="2"/>
  <c r="N157" i="2"/>
  <c r="AB157" i="2"/>
  <c r="AA157" i="2"/>
  <c r="M157" i="2"/>
  <c r="L157" i="2"/>
  <c r="K157" i="2"/>
  <c r="J157" i="2"/>
  <c r="Q156" i="2"/>
  <c r="P156" i="2"/>
  <c r="O156" i="2"/>
  <c r="N156" i="2"/>
  <c r="AB156" i="2"/>
  <c r="AA156" i="2"/>
  <c r="M156" i="2"/>
  <c r="L156" i="2"/>
  <c r="K156" i="2"/>
  <c r="J156" i="2"/>
  <c r="Q155" i="2"/>
  <c r="P155" i="2"/>
  <c r="O155" i="2"/>
  <c r="N155" i="2"/>
  <c r="AB155" i="2"/>
  <c r="AA155" i="2"/>
  <c r="M155" i="2"/>
  <c r="L155" i="2"/>
  <c r="K155" i="2"/>
  <c r="J155" i="2"/>
  <c r="Q154" i="2"/>
  <c r="P154" i="2"/>
  <c r="O154" i="2"/>
  <c r="N154" i="2"/>
  <c r="AB154" i="2"/>
  <c r="AA154" i="2"/>
  <c r="M154" i="2"/>
  <c r="L154" i="2"/>
  <c r="K154" i="2"/>
  <c r="J154" i="2"/>
  <c r="Q153" i="2"/>
  <c r="P153" i="2"/>
  <c r="O153" i="2"/>
  <c r="N153" i="2"/>
  <c r="AB153" i="2"/>
  <c r="AA153" i="2"/>
  <c r="M153" i="2"/>
  <c r="L153" i="2"/>
  <c r="K153" i="2"/>
  <c r="J153" i="2"/>
  <c r="Q152" i="2"/>
  <c r="P152" i="2"/>
  <c r="O152" i="2"/>
  <c r="N152" i="2"/>
  <c r="AB152" i="2"/>
  <c r="AA152" i="2"/>
  <c r="M152" i="2"/>
  <c r="L152" i="2"/>
  <c r="K152" i="2"/>
  <c r="J152" i="2"/>
  <c r="Q151" i="2"/>
  <c r="P151" i="2"/>
  <c r="O151" i="2"/>
  <c r="N151" i="2"/>
  <c r="AB151" i="2"/>
  <c r="AA151" i="2"/>
  <c r="M151" i="2"/>
  <c r="L151" i="2"/>
  <c r="K151" i="2"/>
  <c r="J151" i="2"/>
  <c r="Q150" i="2"/>
  <c r="P150" i="2"/>
  <c r="O150" i="2"/>
  <c r="N150" i="2"/>
  <c r="AB150" i="2"/>
  <c r="AA150" i="2"/>
  <c r="M150" i="2"/>
  <c r="L150" i="2"/>
  <c r="K150" i="2"/>
  <c r="J150" i="2"/>
  <c r="Q149" i="2"/>
  <c r="P149" i="2"/>
  <c r="O149" i="2"/>
  <c r="N149" i="2"/>
  <c r="AB149" i="2"/>
  <c r="AA149" i="2"/>
  <c r="M149" i="2"/>
  <c r="L149" i="2"/>
  <c r="K149" i="2"/>
  <c r="J149" i="2"/>
  <c r="Q148" i="2"/>
  <c r="P148" i="2"/>
  <c r="O148" i="2"/>
  <c r="N148" i="2"/>
  <c r="AB148" i="2"/>
  <c r="AA148" i="2"/>
  <c r="M148" i="2"/>
  <c r="L148" i="2"/>
  <c r="K148" i="2"/>
  <c r="J148" i="2"/>
  <c r="Q147" i="2"/>
  <c r="P147" i="2"/>
  <c r="O147" i="2"/>
  <c r="N147" i="2"/>
  <c r="AB147" i="2"/>
  <c r="AA147" i="2"/>
  <c r="M147" i="2"/>
  <c r="L147" i="2"/>
  <c r="K147" i="2"/>
  <c r="J147" i="2"/>
  <c r="Q146" i="2"/>
  <c r="P146" i="2"/>
  <c r="O146" i="2"/>
  <c r="N146" i="2"/>
  <c r="AB146" i="2"/>
  <c r="AA146" i="2"/>
  <c r="M146" i="2"/>
  <c r="L146" i="2"/>
  <c r="K146" i="2"/>
  <c r="J146" i="2"/>
  <c r="Q145" i="2"/>
  <c r="P145" i="2"/>
  <c r="O145" i="2"/>
  <c r="N145" i="2"/>
  <c r="AB145" i="2"/>
  <c r="AA145" i="2"/>
  <c r="M145" i="2"/>
  <c r="L145" i="2"/>
  <c r="K145" i="2"/>
  <c r="J145" i="2"/>
  <c r="Q143" i="2"/>
  <c r="P143" i="2"/>
  <c r="O143" i="2"/>
  <c r="N143" i="2"/>
  <c r="AB143" i="2"/>
  <c r="AA143" i="2"/>
  <c r="M143" i="2"/>
  <c r="L143" i="2"/>
  <c r="K143" i="2"/>
  <c r="J143" i="2"/>
  <c r="Q142" i="2"/>
  <c r="P142" i="2"/>
  <c r="O142" i="2"/>
  <c r="N142" i="2"/>
  <c r="AB142" i="2"/>
  <c r="AA142" i="2"/>
  <c r="L142" i="2"/>
  <c r="K142" i="2"/>
  <c r="J142" i="2"/>
  <c r="Q141" i="2"/>
  <c r="P141" i="2"/>
  <c r="O141" i="2"/>
  <c r="N141" i="2"/>
  <c r="L141" i="2"/>
  <c r="K141" i="2"/>
  <c r="J141" i="2"/>
  <c r="Q140" i="2"/>
  <c r="P140" i="2"/>
  <c r="O140" i="2"/>
  <c r="N140" i="2"/>
  <c r="L140" i="2"/>
  <c r="K140" i="2"/>
  <c r="J140" i="2"/>
  <c r="Q139" i="2"/>
  <c r="P139" i="2"/>
  <c r="O139" i="2"/>
  <c r="N139" i="2"/>
  <c r="L139" i="2"/>
  <c r="K139" i="2"/>
  <c r="J139" i="2"/>
  <c r="Q138" i="2"/>
  <c r="P138" i="2"/>
  <c r="O138" i="2"/>
  <c r="N138" i="2"/>
  <c r="AB138" i="2"/>
  <c r="AA138" i="2"/>
  <c r="M138" i="2"/>
  <c r="L138" i="2"/>
  <c r="K138" i="2"/>
  <c r="J138" i="2"/>
  <c r="Q137" i="2"/>
  <c r="P137" i="2"/>
  <c r="L137" i="2"/>
  <c r="K137" i="2"/>
  <c r="J137" i="2"/>
  <c r="Q135" i="2"/>
  <c r="O135" i="2"/>
  <c r="N135" i="2"/>
  <c r="AB135" i="2"/>
  <c r="AA135" i="2"/>
  <c r="M135" i="2"/>
  <c r="L135" i="2"/>
  <c r="K135" i="2"/>
  <c r="J135" i="2"/>
  <c r="Q134" i="2"/>
  <c r="O134" i="2"/>
  <c r="N134" i="2"/>
  <c r="AB134" i="2"/>
  <c r="AA134" i="2"/>
  <c r="M134" i="2"/>
  <c r="L134" i="2"/>
  <c r="K134" i="2"/>
  <c r="J134" i="2"/>
  <c r="Q133" i="2"/>
  <c r="O133" i="2"/>
  <c r="N133" i="2"/>
  <c r="AB133" i="2"/>
  <c r="AA133" i="2"/>
  <c r="M133" i="2"/>
  <c r="L133" i="2"/>
  <c r="K133" i="2"/>
  <c r="J133" i="2"/>
  <c r="Q132" i="2"/>
  <c r="O132" i="2"/>
  <c r="N132" i="2"/>
  <c r="AB132" i="2"/>
  <c r="AA132" i="2"/>
  <c r="M132" i="2"/>
  <c r="L132" i="2"/>
  <c r="K132" i="2"/>
  <c r="J132" i="2"/>
  <c r="Q131" i="2"/>
  <c r="P131" i="2"/>
  <c r="O131" i="2"/>
  <c r="N131" i="2"/>
  <c r="AB131" i="2"/>
  <c r="AA131" i="2"/>
  <c r="M131" i="2"/>
  <c r="L131" i="2"/>
  <c r="K131" i="2"/>
  <c r="J131" i="2"/>
  <c r="Q130" i="2"/>
  <c r="P130" i="2"/>
  <c r="O130" i="2"/>
  <c r="N130" i="2"/>
  <c r="AB130" i="2"/>
  <c r="AA130" i="2"/>
  <c r="M130" i="2"/>
  <c r="L130" i="2"/>
  <c r="K130" i="2"/>
  <c r="J130" i="2"/>
  <c r="Q129" i="2"/>
  <c r="P129" i="2"/>
  <c r="O129" i="2"/>
  <c r="N129" i="2"/>
  <c r="AB129" i="2"/>
  <c r="AA129" i="2"/>
  <c r="M129" i="2"/>
  <c r="L129" i="2"/>
  <c r="K129" i="2"/>
  <c r="J129" i="2"/>
  <c r="Q128" i="2"/>
  <c r="P128" i="2"/>
  <c r="O128" i="2"/>
  <c r="N128" i="2"/>
  <c r="AB128" i="2"/>
  <c r="AA128" i="2"/>
  <c r="M128" i="2"/>
  <c r="L128" i="2"/>
  <c r="K128" i="2"/>
  <c r="J128" i="2"/>
  <c r="Q126" i="2"/>
  <c r="P126" i="2"/>
  <c r="O126" i="2"/>
  <c r="N126" i="2"/>
  <c r="AB126" i="2"/>
  <c r="AA126" i="2"/>
  <c r="M126" i="2"/>
  <c r="L126" i="2"/>
  <c r="K126" i="2"/>
  <c r="J126" i="2"/>
  <c r="Q125" i="2"/>
  <c r="P125" i="2"/>
  <c r="O125" i="2"/>
  <c r="N125" i="2"/>
  <c r="L125" i="2"/>
  <c r="K125" i="2"/>
  <c r="J125" i="2"/>
  <c r="P124" i="2"/>
  <c r="O124" i="2"/>
  <c r="N124" i="2"/>
  <c r="AB124" i="2"/>
  <c r="AA124" i="2"/>
  <c r="M124" i="2"/>
  <c r="L124" i="2"/>
  <c r="K124" i="2"/>
  <c r="J124" i="2"/>
  <c r="P123" i="2"/>
  <c r="N123" i="2"/>
  <c r="AB123" i="2"/>
  <c r="AA123" i="2"/>
  <c r="M123" i="2"/>
  <c r="L123" i="2"/>
  <c r="K123" i="2"/>
  <c r="J123" i="2"/>
  <c r="P122" i="2"/>
  <c r="N122" i="2"/>
  <c r="AB122" i="2"/>
  <c r="AA122" i="2"/>
  <c r="M122" i="2"/>
  <c r="L122" i="2"/>
  <c r="K122" i="2"/>
  <c r="J122" i="2"/>
  <c r="P121" i="2"/>
  <c r="N121" i="2"/>
  <c r="AB121" i="2"/>
  <c r="AA121" i="2"/>
  <c r="M121" i="2"/>
  <c r="L121" i="2"/>
  <c r="K121" i="2"/>
  <c r="J121" i="2"/>
  <c r="P120" i="2"/>
  <c r="O120" i="2"/>
  <c r="N120" i="2"/>
  <c r="AB120" i="2"/>
  <c r="AA120" i="2"/>
  <c r="M120" i="2"/>
  <c r="L120" i="2"/>
  <c r="K120" i="2"/>
  <c r="J120" i="2"/>
  <c r="P119" i="2"/>
  <c r="O119" i="2"/>
  <c r="N119" i="2"/>
  <c r="AB119" i="2"/>
  <c r="AA119" i="2"/>
  <c r="L119" i="2"/>
  <c r="K119" i="2"/>
  <c r="J119" i="2"/>
  <c r="P118" i="2"/>
  <c r="O118" i="2"/>
  <c r="N118" i="2"/>
  <c r="AB118" i="2"/>
  <c r="AA118" i="2"/>
  <c r="M118" i="2"/>
  <c r="L118" i="2"/>
  <c r="K118" i="2"/>
  <c r="J118" i="2"/>
  <c r="P117" i="2"/>
  <c r="O117" i="2"/>
  <c r="N117" i="2"/>
  <c r="AB117" i="2"/>
  <c r="AA117" i="2"/>
  <c r="M117" i="2"/>
  <c r="L117" i="2"/>
  <c r="K117" i="2"/>
  <c r="J117" i="2"/>
  <c r="P116" i="2"/>
  <c r="O116" i="2"/>
  <c r="N116" i="2"/>
  <c r="AB116" i="2"/>
  <c r="AA116" i="2"/>
  <c r="M116" i="2"/>
  <c r="L116" i="2"/>
  <c r="K116" i="2"/>
  <c r="J116" i="2"/>
  <c r="P115" i="2"/>
  <c r="O115" i="2"/>
  <c r="N115" i="2"/>
  <c r="AB115" i="2"/>
  <c r="AA115" i="2"/>
  <c r="M115" i="2"/>
  <c r="L115" i="2"/>
  <c r="K115" i="2"/>
  <c r="J115" i="2"/>
  <c r="P114" i="2"/>
  <c r="O114" i="2"/>
  <c r="N114" i="2"/>
  <c r="AB114" i="2"/>
  <c r="AA114" i="2"/>
  <c r="Z114" i="2" s="1"/>
  <c r="M114" i="2"/>
  <c r="L114" i="2"/>
  <c r="K114" i="2"/>
  <c r="J114" i="2"/>
  <c r="P113" i="2"/>
  <c r="O113" i="2"/>
  <c r="N113" i="2"/>
  <c r="AB113" i="2"/>
  <c r="AA113" i="2"/>
  <c r="M113" i="2"/>
  <c r="L113" i="2"/>
  <c r="K113" i="2"/>
  <c r="J113" i="2"/>
  <c r="P112" i="2"/>
  <c r="O112" i="2"/>
  <c r="N112" i="2"/>
  <c r="AB112" i="2"/>
  <c r="AA112" i="2"/>
  <c r="M112" i="2"/>
  <c r="L112" i="2"/>
  <c r="K112" i="2"/>
  <c r="J112" i="2"/>
  <c r="P111" i="2"/>
  <c r="O111" i="2"/>
  <c r="N111" i="2"/>
  <c r="AB111" i="2"/>
  <c r="AA111" i="2"/>
  <c r="M111" i="2"/>
  <c r="L111" i="2"/>
  <c r="K111" i="2"/>
  <c r="J111" i="2"/>
  <c r="P110" i="2"/>
  <c r="O110" i="2"/>
  <c r="N110" i="2"/>
  <c r="AB110" i="2"/>
  <c r="AA110" i="2"/>
  <c r="M110" i="2"/>
  <c r="L110" i="2"/>
  <c r="K110" i="2"/>
  <c r="J110" i="2"/>
  <c r="P109" i="2"/>
  <c r="O109" i="2"/>
  <c r="N109" i="2"/>
  <c r="AB109" i="2"/>
  <c r="AA109" i="2"/>
  <c r="M109" i="2"/>
  <c r="L109" i="2"/>
  <c r="K109" i="2"/>
  <c r="J109" i="2"/>
  <c r="P108" i="2"/>
  <c r="O108" i="2"/>
  <c r="N108" i="2"/>
  <c r="AB108" i="2"/>
  <c r="AA108" i="2"/>
  <c r="M108" i="2"/>
  <c r="L108" i="2"/>
  <c r="K108" i="2"/>
  <c r="J108" i="2"/>
  <c r="P107" i="2"/>
  <c r="O107" i="2"/>
  <c r="L107" i="2"/>
  <c r="K107" i="2"/>
  <c r="J107" i="2"/>
  <c r="P106" i="2"/>
  <c r="O106" i="2"/>
  <c r="N106" i="2"/>
  <c r="AB106" i="2"/>
  <c r="AA106" i="2"/>
  <c r="M106" i="2"/>
  <c r="L106" i="2"/>
  <c r="K106" i="2"/>
  <c r="J106" i="2"/>
  <c r="P105" i="2"/>
  <c r="O105" i="2"/>
  <c r="N105" i="2"/>
  <c r="AB105" i="2"/>
  <c r="AA105" i="2"/>
  <c r="M105" i="2"/>
  <c r="L105" i="2"/>
  <c r="K105" i="2"/>
  <c r="J105" i="2"/>
  <c r="P102" i="2"/>
  <c r="O102" i="2"/>
  <c r="N102" i="2"/>
  <c r="AB102" i="2"/>
  <c r="AA102" i="2"/>
  <c r="M102" i="2"/>
  <c r="L102" i="2"/>
  <c r="K102" i="2"/>
  <c r="J102" i="2"/>
  <c r="P101" i="2"/>
  <c r="O101" i="2"/>
  <c r="N101" i="2"/>
  <c r="AB101" i="2"/>
  <c r="AA101" i="2"/>
  <c r="M101" i="2"/>
  <c r="L101" i="2"/>
  <c r="K101" i="2"/>
  <c r="J101" i="2"/>
  <c r="P100" i="2"/>
  <c r="O100" i="2"/>
  <c r="N100" i="2"/>
  <c r="AB100" i="2"/>
  <c r="AA100" i="2"/>
  <c r="L100" i="2"/>
  <c r="K100" i="2"/>
  <c r="J100" i="2"/>
  <c r="P99" i="2"/>
  <c r="O99" i="2"/>
  <c r="N99" i="2"/>
  <c r="L99" i="2"/>
  <c r="K99" i="2"/>
  <c r="J99" i="2"/>
  <c r="P98" i="2"/>
  <c r="O98" i="2"/>
  <c r="N98" i="2"/>
  <c r="AB98" i="2"/>
  <c r="AA98" i="2"/>
  <c r="M98" i="2"/>
  <c r="L98" i="2"/>
  <c r="K98" i="2"/>
  <c r="J98" i="2"/>
  <c r="P97" i="2"/>
  <c r="O97" i="2"/>
  <c r="N97" i="2"/>
  <c r="L97" i="2"/>
  <c r="K97" i="2"/>
  <c r="J97" i="2"/>
  <c r="P96" i="2"/>
  <c r="O96" i="2"/>
  <c r="N96" i="2"/>
  <c r="L96" i="2"/>
  <c r="K96" i="2"/>
  <c r="J96" i="2"/>
  <c r="U95" i="2"/>
  <c r="P95" i="2"/>
  <c r="L95" i="2"/>
  <c r="K95" i="2"/>
  <c r="J95" i="2"/>
  <c r="U94" i="2"/>
  <c r="P94" i="2"/>
  <c r="O94" i="2"/>
  <c r="N94" i="2"/>
  <c r="AB94" i="2"/>
  <c r="AA94" i="2"/>
  <c r="M94" i="2"/>
  <c r="L94" i="2"/>
  <c r="K94" i="2"/>
  <c r="J94" i="2"/>
  <c r="U93" i="2"/>
  <c r="P93" i="2"/>
  <c r="O93" i="2"/>
  <c r="N93" i="2"/>
  <c r="AB93" i="2"/>
  <c r="AA93" i="2"/>
  <c r="M93" i="2"/>
  <c r="L93" i="2"/>
  <c r="K93" i="2"/>
  <c r="J93" i="2"/>
  <c r="U92" i="2"/>
  <c r="P92" i="2"/>
  <c r="O92" i="2"/>
  <c r="AB92" i="2"/>
  <c r="AA92" i="2"/>
  <c r="M92" i="2"/>
  <c r="L92" i="2"/>
  <c r="K92" i="2"/>
  <c r="J92" i="2"/>
  <c r="U90" i="2"/>
  <c r="P90" i="2"/>
  <c r="O90" i="2"/>
  <c r="N90" i="2"/>
  <c r="AB90" i="2"/>
  <c r="AA90" i="2"/>
  <c r="M90" i="2"/>
  <c r="L90" i="2"/>
  <c r="K90" i="2"/>
  <c r="J90" i="2"/>
  <c r="U89" i="2"/>
  <c r="P89" i="2"/>
  <c r="O89" i="2"/>
  <c r="N89" i="2"/>
  <c r="AB89" i="2"/>
  <c r="AA89" i="2"/>
  <c r="M89" i="2"/>
  <c r="L89" i="2"/>
  <c r="K89" i="2"/>
  <c r="J89" i="2"/>
  <c r="U88" i="2"/>
  <c r="P88" i="2"/>
  <c r="O88" i="2"/>
  <c r="N88" i="2"/>
  <c r="AB88" i="2"/>
  <c r="AA88" i="2"/>
  <c r="M88" i="2"/>
  <c r="L88" i="2"/>
  <c r="K88" i="2"/>
  <c r="J88" i="2"/>
  <c r="U87" i="2"/>
  <c r="P87" i="2"/>
  <c r="O87" i="2"/>
  <c r="N87" i="2"/>
  <c r="AB87" i="2"/>
  <c r="M87" i="2"/>
  <c r="L87" i="2"/>
  <c r="K87" i="2"/>
  <c r="J87" i="2"/>
  <c r="U86" i="2"/>
  <c r="P86" i="2"/>
  <c r="O86" i="2"/>
  <c r="N86" i="2"/>
  <c r="L86" i="2"/>
  <c r="K86" i="2"/>
  <c r="J86" i="2"/>
  <c r="U85" i="2"/>
  <c r="P85" i="2"/>
  <c r="O85" i="2"/>
  <c r="N85" i="2"/>
  <c r="AB85" i="2"/>
  <c r="AA85" i="2"/>
  <c r="M85" i="2"/>
  <c r="L85" i="2"/>
  <c r="K85" i="2"/>
  <c r="J85" i="2"/>
  <c r="U84" i="2"/>
  <c r="O84" i="2"/>
  <c r="N84" i="2"/>
  <c r="L84" i="2"/>
  <c r="K84" i="2"/>
  <c r="J84" i="2"/>
  <c r="U83" i="2"/>
  <c r="P83" i="2"/>
  <c r="O83" i="2"/>
  <c r="N83" i="2"/>
  <c r="AB83" i="2"/>
  <c r="AA83" i="2"/>
  <c r="M83" i="2"/>
  <c r="L83" i="2"/>
  <c r="K83" i="2"/>
  <c r="J83" i="2"/>
  <c r="U82" i="2"/>
  <c r="P82" i="2"/>
  <c r="O82" i="2"/>
  <c r="N82" i="2"/>
  <c r="AB82" i="2"/>
  <c r="AA82" i="2"/>
  <c r="M82" i="2"/>
  <c r="L82" i="2"/>
  <c r="K82" i="2"/>
  <c r="J82" i="2"/>
  <c r="U81" i="2"/>
  <c r="P81" i="2"/>
  <c r="O81" i="2"/>
  <c r="N81" i="2"/>
  <c r="AB81" i="2"/>
  <c r="AA81" i="2"/>
  <c r="M81" i="2"/>
  <c r="L81" i="2"/>
  <c r="K81" i="2"/>
  <c r="J81" i="2"/>
  <c r="U80" i="2"/>
  <c r="P80" i="2"/>
  <c r="O80" i="2"/>
  <c r="N80" i="2"/>
  <c r="AB80" i="2"/>
  <c r="AA80" i="2"/>
  <c r="M80" i="2"/>
  <c r="L80" i="2"/>
  <c r="K80" i="2"/>
  <c r="J80" i="2"/>
  <c r="U79" i="2"/>
  <c r="P79" i="2"/>
  <c r="O79" i="2"/>
  <c r="N79" i="2"/>
  <c r="AB79" i="2"/>
  <c r="AA79" i="2"/>
  <c r="M79" i="2"/>
  <c r="L79" i="2"/>
  <c r="K79" i="2"/>
  <c r="J79" i="2"/>
  <c r="U78" i="2"/>
  <c r="P78" i="2"/>
  <c r="O78" i="2"/>
  <c r="N78" i="2"/>
  <c r="AB78" i="2"/>
  <c r="AA78" i="2"/>
  <c r="M78" i="2"/>
  <c r="L78" i="2"/>
  <c r="K78" i="2"/>
  <c r="J78" i="2"/>
  <c r="U77" i="2"/>
  <c r="P77" i="2"/>
  <c r="L77" i="2"/>
  <c r="K77" i="2"/>
  <c r="J77" i="2"/>
  <c r="U76" i="2"/>
  <c r="P76" i="2"/>
  <c r="O76" i="2"/>
  <c r="N76" i="2"/>
  <c r="AB76" i="2"/>
  <c r="AA76" i="2"/>
  <c r="M76" i="2"/>
  <c r="L76" i="2"/>
  <c r="K76" i="2"/>
  <c r="J76" i="2"/>
  <c r="U75" i="2"/>
  <c r="P75" i="2"/>
  <c r="O75" i="2"/>
  <c r="N75" i="2"/>
  <c r="AB75" i="2"/>
  <c r="AA75" i="2"/>
  <c r="M75" i="2"/>
  <c r="L75" i="2"/>
  <c r="K75" i="2"/>
  <c r="J75" i="2"/>
  <c r="U74" i="2"/>
  <c r="P74" i="2"/>
  <c r="O74" i="2"/>
  <c r="N74" i="2"/>
  <c r="AB74" i="2"/>
  <c r="AA74" i="2"/>
  <c r="M74" i="2"/>
  <c r="L74" i="2"/>
  <c r="K74" i="2"/>
  <c r="J74" i="2"/>
  <c r="U73" i="2"/>
  <c r="P73" i="2"/>
  <c r="O73" i="2"/>
  <c r="N73" i="2"/>
  <c r="AB73" i="2"/>
  <c r="AA73" i="2"/>
  <c r="M73" i="2"/>
  <c r="L73" i="2"/>
  <c r="K73" i="2"/>
  <c r="J73" i="2"/>
  <c r="U72" i="2"/>
  <c r="P72" i="2"/>
  <c r="L72" i="2"/>
  <c r="K72" i="2"/>
  <c r="J72" i="2"/>
  <c r="U71" i="2"/>
  <c r="P71" i="2"/>
  <c r="L71" i="2"/>
  <c r="K71" i="2"/>
  <c r="J71" i="2"/>
  <c r="U70" i="2"/>
  <c r="P70" i="2"/>
  <c r="L70" i="2"/>
  <c r="K70" i="2"/>
  <c r="J70" i="2"/>
  <c r="U69" i="2"/>
  <c r="P69" i="2"/>
  <c r="O69" i="2"/>
  <c r="N69" i="2"/>
  <c r="AB69" i="2"/>
  <c r="AA69" i="2"/>
  <c r="M69" i="2"/>
  <c r="L69" i="2"/>
  <c r="K69" i="2"/>
  <c r="J69" i="2"/>
  <c r="U68" i="2"/>
  <c r="P68" i="2"/>
  <c r="O68" i="2"/>
  <c r="N68" i="2"/>
  <c r="AB68" i="2"/>
  <c r="AA68" i="2"/>
  <c r="M68" i="2"/>
  <c r="L68" i="2"/>
  <c r="K68" i="2"/>
  <c r="J68" i="2"/>
  <c r="U67" i="2"/>
  <c r="P67" i="2"/>
  <c r="L67" i="2"/>
  <c r="K67" i="2"/>
  <c r="AF67" i="2" s="1"/>
  <c r="J67" i="2"/>
  <c r="U66" i="2"/>
  <c r="P66" i="2"/>
  <c r="O66" i="2"/>
  <c r="N66" i="2"/>
  <c r="AB66" i="2"/>
  <c r="AA66" i="2"/>
  <c r="M66" i="2"/>
  <c r="L66" i="2"/>
  <c r="K66" i="2"/>
  <c r="J66" i="2"/>
  <c r="U65" i="2"/>
  <c r="P65" i="2"/>
  <c r="O65" i="2"/>
  <c r="N65" i="2"/>
  <c r="AB65" i="2"/>
  <c r="AA65" i="2"/>
  <c r="M65" i="2"/>
  <c r="L65" i="2"/>
  <c r="K65" i="2"/>
  <c r="J65" i="2"/>
  <c r="U64" i="2"/>
  <c r="P64" i="2"/>
  <c r="O64" i="2"/>
  <c r="N64" i="2"/>
  <c r="AB64" i="2"/>
  <c r="AA64" i="2"/>
  <c r="L64" i="2"/>
  <c r="K64" i="2"/>
  <c r="J64" i="2"/>
  <c r="U63" i="2"/>
  <c r="L63" i="2"/>
  <c r="K63" i="2"/>
  <c r="J63" i="2"/>
  <c r="U62" i="2"/>
  <c r="L62" i="2"/>
  <c r="K62" i="2"/>
  <c r="J62" i="2"/>
  <c r="U61" i="2"/>
  <c r="L61" i="2"/>
  <c r="K61" i="2"/>
  <c r="J61" i="2"/>
  <c r="U60" i="2"/>
  <c r="AB60" i="2"/>
  <c r="AA60" i="2"/>
  <c r="M60" i="2"/>
  <c r="L60" i="2"/>
  <c r="K60" i="2"/>
  <c r="J60" i="2"/>
  <c r="U59" i="2"/>
  <c r="AB59" i="2"/>
  <c r="AA59" i="2"/>
  <c r="M59" i="2"/>
  <c r="L59" i="2"/>
  <c r="K59" i="2"/>
  <c r="J59" i="2"/>
  <c r="U58" i="2"/>
  <c r="AB58" i="2"/>
  <c r="AA58" i="2"/>
  <c r="M58" i="2"/>
  <c r="L58" i="2"/>
  <c r="K58" i="2"/>
  <c r="J58" i="2"/>
  <c r="U57" i="2"/>
  <c r="AB57" i="2"/>
  <c r="AA57" i="2"/>
  <c r="M57" i="2"/>
  <c r="L57" i="2"/>
  <c r="K57" i="2"/>
  <c r="J57" i="2"/>
  <c r="U56" i="2"/>
  <c r="N56" i="2"/>
  <c r="AB56" i="2"/>
  <c r="AA56" i="2"/>
  <c r="M56" i="2"/>
  <c r="L56" i="2"/>
  <c r="K56" i="2"/>
  <c r="J56" i="2"/>
  <c r="U55" i="2"/>
  <c r="N55" i="2"/>
  <c r="AB55" i="2"/>
  <c r="AA55" i="2"/>
  <c r="M55" i="2"/>
  <c r="L55" i="2"/>
  <c r="K55" i="2"/>
  <c r="J55" i="2"/>
  <c r="U54" i="2"/>
  <c r="N54" i="2"/>
  <c r="AB54" i="2"/>
  <c r="AA54" i="2"/>
  <c r="M54" i="2"/>
  <c r="L54" i="2"/>
  <c r="K54" i="2"/>
  <c r="J54" i="2"/>
  <c r="U53" i="2"/>
  <c r="N53" i="2"/>
  <c r="AB53" i="2"/>
  <c r="AA53" i="2"/>
  <c r="M53" i="2"/>
  <c r="L53" i="2"/>
  <c r="K53" i="2"/>
  <c r="J53" i="2"/>
  <c r="U52" i="2"/>
  <c r="N52" i="2"/>
  <c r="AB52" i="2"/>
  <c r="AA52" i="2"/>
  <c r="M52" i="2"/>
  <c r="L52" i="2"/>
  <c r="K52" i="2"/>
  <c r="J52" i="2"/>
  <c r="U51" i="2"/>
  <c r="AB51" i="2"/>
  <c r="AA51" i="2"/>
  <c r="M51" i="2"/>
  <c r="L51" i="2"/>
  <c r="K51" i="2"/>
  <c r="J51" i="2"/>
  <c r="U50" i="2"/>
  <c r="L50" i="2"/>
  <c r="K50" i="2"/>
  <c r="J50" i="2"/>
  <c r="U49" i="2"/>
  <c r="N49" i="2"/>
  <c r="AB49" i="2"/>
  <c r="AA49" i="2"/>
  <c r="M49" i="2"/>
  <c r="L49" i="2"/>
  <c r="K49" i="2"/>
  <c r="J49" i="2"/>
  <c r="U48" i="2"/>
  <c r="N48" i="2"/>
  <c r="AB48" i="2"/>
  <c r="AA48" i="2"/>
  <c r="M48" i="2"/>
  <c r="L48" i="2"/>
  <c r="K48" i="2"/>
  <c r="J48" i="2"/>
  <c r="U47" i="2"/>
  <c r="O47" i="2"/>
  <c r="N47" i="2"/>
  <c r="AB47" i="2"/>
  <c r="AA47" i="2"/>
  <c r="M47" i="2"/>
  <c r="L47" i="2"/>
  <c r="K47" i="2"/>
  <c r="J47" i="2"/>
  <c r="U46" i="2"/>
  <c r="N46" i="2"/>
  <c r="AB46" i="2"/>
  <c r="AA46" i="2"/>
  <c r="M46" i="2"/>
  <c r="L46" i="2"/>
  <c r="K46" i="2"/>
  <c r="J46" i="2"/>
  <c r="U45" i="2"/>
  <c r="N45" i="2"/>
  <c r="AB45" i="2"/>
  <c r="AA45" i="2"/>
  <c r="M45" i="2"/>
  <c r="L45" i="2"/>
  <c r="K45" i="2"/>
  <c r="J45" i="2"/>
  <c r="U44" i="2"/>
  <c r="O44" i="2"/>
  <c r="N44" i="2"/>
  <c r="AB44" i="2"/>
  <c r="AA44" i="2"/>
  <c r="M44" i="2"/>
  <c r="L44" i="2"/>
  <c r="K44" i="2"/>
  <c r="J44" i="2"/>
  <c r="U43" i="2"/>
  <c r="N43" i="2"/>
  <c r="AB43" i="2"/>
  <c r="AA43" i="2"/>
  <c r="M43" i="2"/>
  <c r="L43" i="2"/>
  <c r="K43" i="2"/>
  <c r="J43" i="2"/>
  <c r="U42" i="2"/>
  <c r="O42" i="2"/>
  <c r="N42" i="2"/>
  <c r="AB42" i="2"/>
  <c r="AA42" i="2"/>
  <c r="M42" i="2"/>
  <c r="L42" i="2"/>
  <c r="K42" i="2"/>
  <c r="J42" i="2"/>
  <c r="U41" i="2"/>
  <c r="O41" i="2"/>
  <c r="N41" i="2"/>
  <c r="AB41" i="2"/>
  <c r="AA41" i="2"/>
  <c r="M41" i="2"/>
  <c r="L41" i="2"/>
  <c r="K41" i="2"/>
  <c r="J41" i="2"/>
  <c r="U40" i="2"/>
  <c r="O40" i="2"/>
  <c r="N40" i="2"/>
  <c r="AB40" i="2"/>
  <c r="AA40" i="2"/>
  <c r="M40" i="2"/>
  <c r="L40" i="2"/>
  <c r="K40" i="2"/>
  <c r="J40" i="2"/>
  <c r="U39" i="2"/>
  <c r="AB39" i="2"/>
  <c r="AA39" i="2"/>
  <c r="M39" i="2"/>
  <c r="L39" i="2"/>
  <c r="K39" i="2"/>
  <c r="J39" i="2"/>
  <c r="U38" i="2"/>
  <c r="Q38" i="2"/>
  <c r="P38" i="2"/>
  <c r="AB38" i="2"/>
  <c r="AA38" i="2"/>
  <c r="M38" i="2"/>
  <c r="L38" i="2"/>
  <c r="K38" i="2"/>
  <c r="J38" i="2"/>
  <c r="U37" i="2"/>
  <c r="Q37" i="2"/>
  <c r="P37" i="2"/>
  <c r="AB37" i="2"/>
  <c r="AA37" i="2"/>
  <c r="M37" i="2"/>
  <c r="L37" i="2"/>
  <c r="K37" i="2"/>
  <c r="J37" i="2"/>
  <c r="U36" i="2"/>
  <c r="Q36" i="2"/>
  <c r="P36" i="2"/>
  <c r="AB36" i="2"/>
  <c r="AA36" i="2"/>
  <c r="M36" i="2"/>
  <c r="L36" i="2"/>
  <c r="K36" i="2"/>
  <c r="J36" i="2"/>
  <c r="U35" i="2"/>
  <c r="Q35" i="2"/>
  <c r="P35" i="2"/>
  <c r="O35" i="2"/>
  <c r="AB35" i="2"/>
  <c r="AA35" i="2"/>
  <c r="M35" i="2"/>
  <c r="L35" i="2"/>
  <c r="K35" i="2"/>
  <c r="J35" i="2"/>
  <c r="U34" i="2"/>
  <c r="Q34" i="2"/>
  <c r="P34" i="2"/>
  <c r="O34" i="2"/>
  <c r="AB34" i="2"/>
  <c r="AA34" i="2"/>
  <c r="M34" i="2"/>
  <c r="L34" i="2"/>
  <c r="K34" i="2"/>
  <c r="J34" i="2"/>
  <c r="Q33" i="2"/>
  <c r="P33" i="2"/>
  <c r="L33" i="2"/>
  <c r="K33" i="2"/>
  <c r="Z327" i="2" s="1"/>
  <c r="J33" i="2"/>
  <c r="Q32" i="2"/>
  <c r="P32" i="2"/>
  <c r="L32" i="2"/>
  <c r="K32" i="2"/>
  <c r="J32" i="2"/>
  <c r="Q31" i="2"/>
  <c r="P31" i="2"/>
  <c r="O31" i="2"/>
  <c r="N31" i="2"/>
  <c r="AB31" i="2"/>
  <c r="AA31" i="2"/>
  <c r="M31" i="2"/>
  <c r="L31" i="2"/>
  <c r="K31" i="2"/>
  <c r="J31" i="2"/>
  <c r="Q30" i="2"/>
  <c r="P30" i="2"/>
  <c r="O30" i="2"/>
  <c r="N30" i="2"/>
  <c r="AB30" i="2"/>
  <c r="AA30" i="2"/>
  <c r="L30" i="2"/>
  <c r="K30" i="2"/>
  <c r="J30" i="2"/>
  <c r="Q29" i="2"/>
  <c r="P29" i="2"/>
  <c r="O29" i="2"/>
  <c r="N29" i="2"/>
  <c r="AB29" i="2"/>
  <c r="AA29" i="2"/>
  <c r="M29" i="2"/>
  <c r="L29" i="2"/>
  <c r="K29" i="2"/>
  <c r="J29" i="2"/>
  <c r="Q28" i="2"/>
  <c r="P28" i="2"/>
  <c r="O28" i="2"/>
  <c r="N28" i="2"/>
  <c r="AB28" i="2"/>
  <c r="AA28" i="2"/>
  <c r="M28" i="2"/>
  <c r="L28" i="2"/>
  <c r="K28" i="2"/>
  <c r="J28" i="2"/>
  <c r="Q27" i="2"/>
  <c r="P27" i="2"/>
  <c r="O27" i="2"/>
  <c r="N27" i="2"/>
  <c r="AB27" i="2"/>
  <c r="AA27" i="2"/>
  <c r="M27" i="2"/>
  <c r="L27" i="2"/>
  <c r="K27" i="2"/>
  <c r="J27" i="2"/>
  <c r="AA257" i="2"/>
  <c r="J257" i="2"/>
  <c r="K257" i="2"/>
  <c r="L257" i="2"/>
  <c r="M257" i="2"/>
  <c r="N257" i="2"/>
  <c r="O257" i="2"/>
  <c r="P257" i="2"/>
  <c r="Q257" i="2"/>
  <c r="E160" i="18" l="1"/>
  <c r="F160" i="18" s="1"/>
  <c r="G160" i="18" s="1"/>
  <c r="H160" i="18" s="1"/>
  <c r="I160" i="18" s="1"/>
  <c r="D500" i="18"/>
  <c r="AG259" i="18"/>
  <c r="AH191" i="5"/>
  <c r="E499" i="18"/>
  <c r="E500" i="18" s="1"/>
  <c r="E498" i="18"/>
  <c r="D31" i="14"/>
  <c r="E31" i="14"/>
  <c r="F31" i="14"/>
  <c r="G31" i="14"/>
  <c r="H31" i="14"/>
  <c r="I31" i="14"/>
  <c r="J31" i="14"/>
  <c r="K31" i="14"/>
  <c r="L31" i="14"/>
  <c r="M31" i="14"/>
  <c r="N31" i="14"/>
  <c r="O31" i="14"/>
  <c r="P31" i="14"/>
  <c r="J249" i="14"/>
  <c r="I249" i="14"/>
  <c r="H249" i="14"/>
  <c r="G249" i="14"/>
  <c r="F249" i="14"/>
  <c r="E249" i="14"/>
  <c r="D249" i="14"/>
  <c r="I231" i="14"/>
  <c r="H231" i="14"/>
  <c r="G231" i="14"/>
  <c r="F231" i="14"/>
  <c r="E231" i="14"/>
  <c r="D231" i="14"/>
  <c r="K179" i="14"/>
  <c r="J179" i="14"/>
  <c r="I179" i="14"/>
  <c r="H179" i="14"/>
  <c r="G179" i="14"/>
  <c r="F179" i="14"/>
  <c r="E179" i="14"/>
  <c r="D179" i="14"/>
  <c r="J161" i="14"/>
  <c r="I161" i="14"/>
  <c r="H161" i="14"/>
  <c r="G161" i="14"/>
  <c r="F161" i="14"/>
  <c r="E161" i="14"/>
  <c r="D161" i="14"/>
  <c r="G141" i="14"/>
  <c r="F141" i="14"/>
  <c r="E141" i="14"/>
  <c r="D141" i="14"/>
  <c r="H125" i="14"/>
  <c r="G125" i="14"/>
  <c r="F125" i="14"/>
  <c r="E125" i="14"/>
  <c r="D125" i="14"/>
  <c r="L107" i="14"/>
  <c r="K107" i="14"/>
  <c r="J107" i="14"/>
  <c r="I107" i="14"/>
  <c r="H107" i="14"/>
  <c r="G107" i="14"/>
  <c r="F107" i="14"/>
  <c r="E107" i="14"/>
  <c r="D107" i="14"/>
  <c r="O89" i="14"/>
  <c r="N89" i="14"/>
  <c r="M89" i="14"/>
  <c r="L89" i="14"/>
  <c r="K89" i="14"/>
  <c r="J89" i="14"/>
  <c r="I89" i="14"/>
  <c r="H89" i="14"/>
  <c r="G89" i="14"/>
  <c r="F89" i="14"/>
  <c r="E89" i="14"/>
  <c r="D89" i="14"/>
  <c r="H72" i="14"/>
  <c r="G72" i="14"/>
  <c r="F72" i="14"/>
  <c r="E72" i="14"/>
  <c r="D72" i="14"/>
  <c r="D54" i="14"/>
  <c r="BS11" i="8"/>
  <c r="BU10" i="8"/>
  <c r="BV10" i="8" s="1"/>
  <c r="HG11" i="8"/>
  <c r="HI10" i="8"/>
  <c r="HJ10" i="8" s="1"/>
  <c r="BU9" i="8"/>
  <c r="BV9" i="8" s="1"/>
  <c r="HI9" i="8"/>
  <c r="HJ9" i="8" s="1"/>
  <c r="J161" i="18" l="1"/>
  <c r="J160" i="18"/>
  <c r="K160" i="18" s="1"/>
  <c r="L160" i="18" s="1"/>
  <c r="M160" i="18" s="1"/>
  <c r="N160" i="18" s="1"/>
  <c r="O160" i="18" s="1"/>
  <c r="P160" i="18" s="1"/>
  <c r="Q160" i="18" s="1"/>
  <c r="F499" i="18"/>
  <c r="F500" i="18" s="1"/>
  <c r="F498" i="18"/>
  <c r="H32" i="14"/>
  <c r="I32" i="14" s="1"/>
  <c r="J32" i="14" s="1"/>
  <c r="K32" i="14" s="1"/>
  <c r="L32" i="14" s="1"/>
  <c r="M32" i="14" s="1"/>
  <c r="N32" i="14" s="1"/>
  <c r="O32" i="14" s="1"/>
  <c r="P32" i="14" s="1"/>
  <c r="Q32" i="14" s="1"/>
  <c r="G32" i="14"/>
  <c r="F32" i="14"/>
  <c r="E32" i="14"/>
  <c r="HG12" i="8"/>
  <c r="HI11" i="8"/>
  <c r="HJ11" i="8" s="1"/>
  <c r="BS12" i="8"/>
  <c r="BU11" i="8"/>
  <c r="BV11" i="8" s="1"/>
  <c r="G499" i="18" l="1"/>
  <c r="G500" i="18" s="1"/>
  <c r="G498" i="18"/>
  <c r="BS13" i="8"/>
  <c r="BU12" i="8"/>
  <c r="BV12" i="8" s="1"/>
  <c r="HG13" i="8"/>
  <c r="HI12" i="8"/>
  <c r="HJ12" i="8" s="1"/>
  <c r="H499" i="18" l="1"/>
  <c r="H500" i="18" s="1"/>
  <c r="H498" i="18"/>
  <c r="HG14" i="8"/>
  <c r="HI13" i="8"/>
  <c r="HJ13" i="8" s="1"/>
  <c r="BS14" i="8"/>
  <c r="BU13" i="8"/>
  <c r="BV13" i="8" s="1"/>
  <c r="J256" i="2"/>
  <c r="K256" i="2"/>
  <c r="L256" i="2"/>
  <c r="M256" i="2"/>
  <c r="AA256" i="2"/>
  <c r="AB256" i="2"/>
  <c r="N256" i="2"/>
  <c r="O256" i="2"/>
  <c r="P256" i="2"/>
  <c r="Q256" i="2"/>
  <c r="J255" i="2"/>
  <c r="K255" i="2"/>
  <c r="L255" i="2"/>
  <c r="M255" i="2"/>
  <c r="AA255" i="2"/>
  <c r="AB255" i="2"/>
  <c r="N255" i="2"/>
  <c r="O255" i="2"/>
  <c r="P255" i="2"/>
  <c r="Q255" i="2"/>
  <c r="J254" i="2"/>
  <c r="K254" i="2"/>
  <c r="L254" i="2"/>
  <c r="M254" i="2"/>
  <c r="AA254" i="2"/>
  <c r="AB254" i="2"/>
  <c r="N254" i="2"/>
  <c r="O254" i="2"/>
  <c r="P254" i="2"/>
  <c r="Q254" i="2"/>
  <c r="BS15" i="8" l="1"/>
  <c r="BU14" i="8"/>
  <c r="BV14" i="8" s="1"/>
  <c r="HG15" i="8"/>
  <c r="HI14" i="8"/>
  <c r="HJ14" i="8" s="1"/>
  <c r="HG16" i="8" l="1"/>
  <c r="HI15" i="8"/>
  <c r="HJ15" i="8" s="1"/>
  <c r="BS16" i="8"/>
  <c r="BU15" i="8"/>
  <c r="BV15" i="8" s="1"/>
  <c r="J253" i="2"/>
  <c r="K253" i="2"/>
  <c r="L253" i="2"/>
  <c r="M253" i="2"/>
  <c r="AA253" i="2"/>
  <c r="AB253" i="2"/>
  <c r="N253" i="2"/>
  <c r="O253" i="2"/>
  <c r="P253" i="2"/>
  <c r="Q253" i="2"/>
  <c r="BS17" i="8" l="1"/>
  <c r="BU16" i="8"/>
  <c r="BV16" i="8" s="1"/>
  <c r="HG17" i="8"/>
  <c r="HI16" i="8"/>
  <c r="HJ16" i="8" s="1"/>
  <c r="F693" i="18"/>
  <c r="D693" i="18"/>
  <c r="D694" i="18" s="1"/>
  <c r="E695" i="18" s="1"/>
  <c r="J252" i="2"/>
  <c r="K252" i="2"/>
  <c r="L252" i="2"/>
  <c r="M252" i="2"/>
  <c r="AA252" i="2"/>
  <c r="AB252" i="2"/>
  <c r="N252" i="2"/>
  <c r="O252" i="2"/>
  <c r="P252" i="2"/>
  <c r="Q252" i="2"/>
  <c r="D696" i="18" l="1"/>
  <c r="HG18" i="8"/>
  <c r="HI17" i="8"/>
  <c r="HJ17" i="8" s="1"/>
  <c r="BS18" i="8"/>
  <c r="BU17" i="8"/>
  <c r="BV17" i="8" s="1"/>
  <c r="E696" i="18"/>
  <c r="E694" i="18"/>
  <c r="F695" i="18" s="1"/>
  <c r="BS19" i="8" l="1"/>
  <c r="BU18" i="8"/>
  <c r="BV18" i="8" s="1"/>
  <c r="HG19" i="8"/>
  <c r="HI18" i="8"/>
  <c r="HJ18" i="8" s="1"/>
  <c r="F696" i="18"/>
  <c r="F694" i="18"/>
  <c r="HG20" i="8" l="1"/>
  <c r="HI19" i="8"/>
  <c r="HJ19" i="8" s="1"/>
  <c r="BS20" i="8"/>
  <c r="BU19" i="8"/>
  <c r="BV19" i="8" s="1"/>
  <c r="J251" i="2"/>
  <c r="K251" i="2"/>
  <c r="L251" i="2"/>
  <c r="M251" i="2"/>
  <c r="AA251" i="2"/>
  <c r="AB251" i="2"/>
  <c r="N251" i="2"/>
  <c r="O251" i="2"/>
  <c r="P251" i="2"/>
  <c r="Q251" i="2"/>
  <c r="BS21" i="8" l="1"/>
  <c r="BU20" i="8"/>
  <c r="BV20" i="8" s="1"/>
  <c r="HG21" i="8"/>
  <c r="HI20" i="8"/>
  <c r="HJ20" i="8" s="1"/>
  <c r="D299" i="6"/>
  <c r="HG22" i="8" l="1"/>
  <c r="HI21" i="8"/>
  <c r="HJ21" i="8" s="1"/>
  <c r="BS22" i="8"/>
  <c r="BU21" i="8"/>
  <c r="BV21" i="8" s="1"/>
  <c r="P250" i="2"/>
  <c r="BS23" i="8" l="1"/>
  <c r="BU22" i="8"/>
  <c r="BV22" i="8" s="1"/>
  <c r="HG23" i="8"/>
  <c r="HI22" i="8"/>
  <c r="HJ22" i="8" s="1"/>
  <c r="J250" i="2"/>
  <c r="K250" i="2"/>
  <c r="L250" i="2"/>
  <c r="M250" i="2"/>
  <c r="AA250" i="2"/>
  <c r="AB250" i="2"/>
  <c r="N250" i="2"/>
  <c r="O250" i="2"/>
  <c r="Q250" i="2"/>
  <c r="HG24" i="8" l="1"/>
  <c r="HI23" i="8"/>
  <c r="HJ23" i="8" s="1"/>
  <c r="BS24" i="8"/>
  <c r="BU23" i="8"/>
  <c r="BV23" i="8" s="1"/>
  <c r="J249" i="2"/>
  <c r="K249" i="2"/>
  <c r="L249" i="2"/>
  <c r="M249" i="2"/>
  <c r="AA249" i="2"/>
  <c r="AB249" i="2"/>
  <c r="N249" i="2"/>
  <c r="O249" i="2"/>
  <c r="P249" i="2"/>
  <c r="Q249" i="2"/>
  <c r="BS25" i="8" l="1"/>
  <c r="BU24" i="8"/>
  <c r="BV24" i="8" s="1"/>
  <c r="HG25" i="8"/>
  <c r="HI24" i="8"/>
  <c r="HJ24" i="8" s="1"/>
  <c r="J248" i="2"/>
  <c r="K248" i="2"/>
  <c r="L248" i="2"/>
  <c r="M248" i="2"/>
  <c r="AA248" i="2"/>
  <c r="AB248" i="2"/>
  <c r="N248" i="2"/>
  <c r="O248" i="2"/>
  <c r="P248" i="2"/>
  <c r="Q248" i="2"/>
  <c r="J247" i="2"/>
  <c r="K247" i="2"/>
  <c r="L247" i="2"/>
  <c r="M247" i="2"/>
  <c r="AA247" i="2"/>
  <c r="AB247" i="2"/>
  <c r="N247" i="2"/>
  <c r="O247" i="2"/>
  <c r="P247" i="2"/>
  <c r="Q247" i="2"/>
  <c r="HG26" i="8" l="1"/>
  <c r="HI25" i="8"/>
  <c r="HJ25" i="8" s="1"/>
  <c r="BS26" i="8"/>
  <c r="BU25" i="8"/>
  <c r="BV25" i="8" s="1"/>
  <c r="J246" i="2"/>
  <c r="K246" i="2"/>
  <c r="L246" i="2"/>
  <c r="M246" i="2"/>
  <c r="AA246" i="2"/>
  <c r="AB246" i="2"/>
  <c r="N246" i="2"/>
  <c r="O246" i="2"/>
  <c r="P246" i="2"/>
  <c r="Q246" i="2"/>
  <c r="J245" i="2"/>
  <c r="K245" i="2"/>
  <c r="L245" i="2"/>
  <c r="M245" i="2"/>
  <c r="AA245" i="2"/>
  <c r="AB245" i="2"/>
  <c r="N245" i="2"/>
  <c r="O245" i="2"/>
  <c r="P245" i="2"/>
  <c r="Q245" i="2"/>
  <c r="BS27" i="8" l="1"/>
  <c r="BU26" i="8"/>
  <c r="BV26" i="8" s="1"/>
  <c r="HG27" i="8"/>
  <c r="HI26" i="8"/>
  <c r="HJ26" i="8" s="1"/>
  <c r="HG28" i="8" l="1"/>
  <c r="HI27" i="8"/>
  <c r="HJ27" i="8" s="1"/>
  <c r="BS28" i="8"/>
  <c r="BU27" i="8"/>
  <c r="BV27" i="8" s="1"/>
  <c r="G646" i="18"/>
  <c r="BS29" i="8" l="1"/>
  <c r="BU28" i="8"/>
  <c r="BV28" i="8" s="1"/>
  <c r="HG29" i="8"/>
  <c r="HI28" i="8"/>
  <c r="HJ28" i="8" s="1"/>
  <c r="J244" i="2"/>
  <c r="K244" i="2"/>
  <c r="L244" i="2"/>
  <c r="M244" i="2"/>
  <c r="AA244" i="2"/>
  <c r="AB244" i="2"/>
  <c r="N244" i="2"/>
  <c r="O244" i="2"/>
  <c r="P244" i="2"/>
  <c r="Q244" i="2"/>
  <c r="HG30" i="8" l="1"/>
  <c r="HI29" i="8"/>
  <c r="HJ29" i="8" s="1"/>
  <c r="BS30" i="8"/>
  <c r="BU29" i="8"/>
  <c r="BV29" i="8" s="1"/>
  <c r="J243" i="2"/>
  <c r="K243" i="2"/>
  <c r="L243" i="2"/>
  <c r="M243" i="2"/>
  <c r="AA243" i="2"/>
  <c r="AB243" i="2"/>
  <c r="N243" i="2"/>
  <c r="O243" i="2"/>
  <c r="P243" i="2"/>
  <c r="Q243" i="2"/>
  <c r="K242" i="2"/>
  <c r="L242" i="2"/>
  <c r="N242" i="2"/>
  <c r="O242" i="2"/>
  <c r="Q242" i="2"/>
  <c r="J241" i="2"/>
  <c r="K241" i="2"/>
  <c r="L241" i="2"/>
  <c r="M241" i="2"/>
  <c r="AA241" i="2"/>
  <c r="AB241" i="2"/>
  <c r="N241" i="2"/>
  <c r="O241" i="2"/>
  <c r="P241" i="2"/>
  <c r="Q241" i="2"/>
  <c r="BS31" i="8" l="1"/>
  <c r="BU30" i="8"/>
  <c r="BV30" i="8" s="1"/>
  <c r="HG31" i="8"/>
  <c r="HI30" i="8"/>
  <c r="HJ30" i="8" s="1"/>
  <c r="J240" i="2"/>
  <c r="K240" i="2"/>
  <c r="L240" i="2"/>
  <c r="M240" i="2"/>
  <c r="AA240" i="2"/>
  <c r="AB240" i="2"/>
  <c r="N240" i="2"/>
  <c r="O240" i="2"/>
  <c r="P240" i="2"/>
  <c r="Q240" i="2"/>
  <c r="J239" i="2"/>
  <c r="K239" i="2"/>
  <c r="L239" i="2"/>
  <c r="M239" i="2"/>
  <c r="AA239" i="2"/>
  <c r="AB239" i="2"/>
  <c r="N239" i="2"/>
  <c r="O239" i="2"/>
  <c r="Q239" i="2"/>
  <c r="J238" i="2"/>
  <c r="K238" i="2"/>
  <c r="L238" i="2"/>
  <c r="M238" i="2"/>
  <c r="AA238" i="2"/>
  <c r="AB238" i="2"/>
  <c r="N238" i="2"/>
  <c r="O238" i="2"/>
  <c r="P238" i="2"/>
  <c r="Q238" i="2"/>
  <c r="HG32" i="8" l="1"/>
  <c r="HI31" i="8"/>
  <c r="HJ31" i="8" s="1"/>
  <c r="BS32" i="8"/>
  <c r="BU31" i="8"/>
  <c r="BV31" i="8" s="1"/>
  <c r="AF1" i="2"/>
  <c r="H449" i="2"/>
  <c r="H452" i="2"/>
  <c r="H453" i="2"/>
  <c r="X288" i="2"/>
  <c r="H445" i="2"/>
  <c r="H481" i="2"/>
  <c r="H492" i="2"/>
  <c r="H422" i="2"/>
  <c r="H311" i="2"/>
  <c r="H476" i="2"/>
  <c r="H466" i="2"/>
  <c r="H384" i="2"/>
  <c r="H99" i="2"/>
  <c r="X301" i="2"/>
  <c r="H412" i="2"/>
  <c r="H464" i="2"/>
  <c r="H353" i="2"/>
  <c r="H341" i="2"/>
  <c r="H472" i="2"/>
  <c r="H459" i="2"/>
  <c r="H414" i="2"/>
  <c r="H387" i="2"/>
  <c r="H494" i="2"/>
  <c r="H489" i="2"/>
  <c r="H475" i="2"/>
  <c r="H488" i="2"/>
  <c r="H335" i="2"/>
  <c r="H470" i="2"/>
  <c r="H484" i="2"/>
  <c r="H491" i="2"/>
  <c r="H383" i="2"/>
  <c r="H460" i="2"/>
  <c r="H495" i="2"/>
  <c r="H393" i="2"/>
  <c r="H455" i="2"/>
  <c r="H499" i="2"/>
  <c r="H477" i="2"/>
  <c r="H366" i="2"/>
  <c r="H502" i="2"/>
  <c r="X142" i="2"/>
  <c r="H456" i="2"/>
  <c r="H474" i="2"/>
  <c r="H467" i="2"/>
  <c r="H457" i="2"/>
  <c r="H447" i="2"/>
  <c r="H376" i="2"/>
  <c r="H478" i="2"/>
  <c r="H469" i="2"/>
  <c r="H396" i="2"/>
  <c r="H436" i="2"/>
  <c r="H486" i="2"/>
  <c r="H500" i="2"/>
  <c r="H485" i="2"/>
  <c r="H487" i="2"/>
  <c r="H473" i="2"/>
  <c r="H498" i="2"/>
  <c r="H446" i="2"/>
  <c r="H497" i="2"/>
  <c r="H468" i="2"/>
  <c r="H480" i="2"/>
  <c r="H404" i="2"/>
  <c r="H471" i="2"/>
  <c r="H503" i="2"/>
  <c r="H403" i="2"/>
  <c r="X271" i="2"/>
  <c r="H454" i="2"/>
  <c r="H325" i="2"/>
  <c r="H479" i="2"/>
  <c r="H451" i="2"/>
  <c r="H373" i="2"/>
  <c r="H493" i="2"/>
  <c r="H392" i="2"/>
  <c r="H448" i="2"/>
  <c r="H501" i="2"/>
  <c r="H318" i="2"/>
  <c r="H490" i="2"/>
  <c r="H450" i="2"/>
  <c r="E454" i="2"/>
  <c r="H461" i="2"/>
  <c r="H462" i="2"/>
  <c r="H496" i="2"/>
  <c r="H458" i="2"/>
  <c r="H465" i="2"/>
  <c r="H463" i="2"/>
  <c r="C503" i="2" l="1"/>
  <c r="N504" i="2"/>
  <c r="C502" i="2"/>
  <c r="V502" i="2"/>
  <c r="V503" i="2"/>
  <c r="N505" i="2"/>
  <c r="O505" i="2" s="1"/>
  <c r="C501" i="2"/>
  <c r="V501" i="2"/>
  <c r="C330" i="2"/>
  <c r="C499" i="2"/>
  <c r="V499" i="2"/>
  <c r="C498" i="2"/>
  <c r="C500" i="2"/>
  <c r="V500" i="2"/>
  <c r="V498" i="2"/>
  <c r="C497" i="2"/>
  <c r="V497" i="2"/>
  <c r="C495" i="2"/>
  <c r="V496" i="2"/>
  <c r="C496" i="2"/>
  <c r="V495" i="2"/>
  <c r="C494" i="2"/>
  <c r="V494" i="2"/>
  <c r="C493" i="2"/>
  <c r="V493" i="2"/>
  <c r="V492" i="2"/>
  <c r="C492" i="2"/>
  <c r="C491" i="2"/>
  <c r="V356" i="2"/>
  <c r="V491" i="2"/>
  <c r="V490" i="2"/>
  <c r="C490" i="2"/>
  <c r="C489" i="2"/>
  <c r="V489" i="2"/>
  <c r="V293" i="2"/>
  <c r="V421" i="2"/>
  <c r="V354" i="2"/>
  <c r="V278" i="2"/>
  <c r="V488" i="2"/>
  <c r="C487" i="2"/>
  <c r="V487" i="2"/>
  <c r="C488" i="2"/>
  <c r="C486" i="2"/>
  <c r="V486" i="2"/>
  <c r="V351" i="2"/>
  <c r="C485" i="2"/>
  <c r="V485" i="2"/>
  <c r="C484" i="2"/>
  <c r="V484" i="2"/>
  <c r="V481" i="2"/>
  <c r="AF231" i="2"/>
  <c r="V158" i="2"/>
  <c r="C481" i="2"/>
  <c r="C482" i="2"/>
  <c r="V482" i="2"/>
  <c r="C483" i="2"/>
  <c r="V483" i="2"/>
  <c r="AD342" i="2"/>
  <c r="V227" i="2"/>
  <c r="AE140" i="2"/>
  <c r="AD187" i="2"/>
  <c r="V478" i="2"/>
  <c r="C480" i="2"/>
  <c r="V480" i="2"/>
  <c r="AD107" i="2"/>
  <c r="V186" i="2"/>
  <c r="AD186" i="2"/>
  <c r="C479" i="2"/>
  <c r="V479" i="2"/>
  <c r="C478" i="2"/>
  <c r="AD137" i="2"/>
  <c r="V164" i="2"/>
  <c r="AF228" i="2"/>
  <c r="AF229" i="2"/>
  <c r="AF230" i="2"/>
  <c r="V477" i="2"/>
  <c r="C477" i="2"/>
  <c r="C476" i="2"/>
  <c r="V476" i="2"/>
  <c r="C474" i="2"/>
  <c r="V474" i="2"/>
  <c r="C475" i="2"/>
  <c r="V475" i="2"/>
  <c r="V472" i="2"/>
  <c r="V471" i="2"/>
  <c r="C472" i="2"/>
  <c r="C473" i="2"/>
  <c r="V473" i="2"/>
  <c r="C471" i="2"/>
  <c r="C470" i="2"/>
  <c r="V470" i="2"/>
  <c r="C469" i="2"/>
  <c r="V469" i="2"/>
  <c r="C468" i="2"/>
  <c r="V468" i="2"/>
  <c r="C467" i="2"/>
  <c r="V467" i="2"/>
  <c r="V466" i="2"/>
  <c r="C466" i="2"/>
  <c r="V465" i="2"/>
  <c r="C464" i="2"/>
  <c r="V464" i="2"/>
  <c r="C465" i="2"/>
  <c r="V463" i="2"/>
  <c r="C463" i="2"/>
  <c r="V179" i="2"/>
  <c r="V462" i="2"/>
  <c r="C462" i="2"/>
  <c r="C461" i="2"/>
  <c r="C460" i="2"/>
  <c r="V460" i="2"/>
  <c r="V461" i="2"/>
  <c r="C459" i="2"/>
  <c r="V459" i="2"/>
  <c r="V458" i="2"/>
  <c r="C457" i="2"/>
  <c r="V457" i="2"/>
  <c r="C458" i="2"/>
  <c r="B301" i="2"/>
  <c r="B271" i="2"/>
  <c r="B142" i="2"/>
  <c r="B288" i="2"/>
  <c r="C456" i="2"/>
  <c r="V456" i="2"/>
  <c r="C455" i="2"/>
  <c r="C454" i="2"/>
  <c r="V454" i="2"/>
  <c r="V455" i="2"/>
  <c r="C453" i="2"/>
  <c r="V453" i="2"/>
  <c r="C452" i="2"/>
  <c r="V452" i="2"/>
  <c r="V451" i="2"/>
  <c r="C451" i="2"/>
  <c r="V313" i="2"/>
  <c r="C450" i="2"/>
  <c r="V450" i="2"/>
  <c r="C448" i="2"/>
  <c r="V448" i="2"/>
  <c r="C449" i="2"/>
  <c r="C447" i="2"/>
  <c r="V449" i="2"/>
  <c r="V447" i="2"/>
  <c r="C446" i="2"/>
  <c r="V446" i="2"/>
  <c r="V445" i="2"/>
  <c r="C445" i="2"/>
  <c r="E492" i="2"/>
  <c r="H364" i="2"/>
  <c r="H374" i="2"/>
  <c r="H443" i="2"/>
  <c r="H356" i="2"/>
  <c r="H442" i="2"/>
  <c r="H331" i="2"/>
  <c r="H320" i="2"/>
  <c r="H391" i="2"/>
  <c r="H430" i="2"/>
  <c r="H389" i="2"/>
  <c r="E496" i="2"/>
  <c r="H355" i="2"/>
  <c r="H367" i="2"/>
  <c r="H394" i="2"/>
  <c r="H321" i="2"/>
  <c r="H371" i="2"/>
  <c r="E501" i="2"/>
  <c r="H381" i="2"/>
  <c r="H435" i="2"/>
  <c r="X48" i="2"/>
  <c r="H433" i="2"/>
  <c r="H429" i="2"/>
  <c r="H388" i="2"/>
  <c r="H385" i="2"/>
  <c r="H96" i="2"/>
  <c r="H413" i="2"/>
  <c r="H399" i="2"/>
  <c r="H415" i="2"/>
  <c r="H428" i="2"/>
  <c r="H348" i="2"/>
  <c r="H431" i="2"/>
  <c r="H370" i="2"/>
  <c r="H440" i="2"/>
  <c r="H245" i="2"/>
  <c r="X272" i="2"/>
  <c r="E416" i="2"/>
  <c r="H362" i="2"/>
  <c r="H351" i="2"/>
  <c r="H400" i="2"/>
  <c r="H424" i="2"/>
  <c r="H409" i="2"/>
  <c r="X108" i="2"/>
  <c r="H407" i="2"/>
  <c r="H482" i="2"/>
  <c r="H359" i="2"/>
  <c r="H317" i="2"/>
  <c r="H444" i="2"/>
  <c r="H411" i="2"/>
  <c r="H401" i="2"/>
  <c r="H441" i="2"/>
  <c r="H438" i="2"/>
  <c r="H379" i="2"/>
  <c r="H329" i="2"/>
  <c r="H408" i="2"/>
  <c r="E502" i="2"/>
  <c r="H308" i="2"/>
  <c r="H426" i="2"/>
  <c r="H382" i="2"/>
  <c r="H332" i="2"/>
  <c r="H483" i="2"/>
  <c r="H337" i="2"/>
  <c r="H339" i="2"/>
  <c r="H347" i="2"/>
  <c r="H369" i="2"/>
  <c r="H425" i="2"/>
  <c r="H421" i="2"/>
  <c r="E503" i="2"/>
  <c r="H354" i="2"/>
  <c r="H372" i="2"/>
  <c r="H418" i="2"/>
  <c r="H420" i="2"/>
  <c r="H432" i="2"/>
  <c r="H340" i="2"/>
  <c r="H395" i="2"/>
  <c r="H327" i="2"/>
  <c r="H380" i="2"/>
  <c r="H375" i="2"/>
  <c r="H365" i="2"/>
  <c r="H324" i="2"/>
  <c r="H328" i="2"/>
  <c r="H316" i="2"/>
  <c r="H261" i="2"/>
  <c r="H386" i="2"/>
  <c r="E489" i="2"/>
  <c r="E488" i="2"/>
  <c r="E490" i="2"/>
  <c r="H416" i="2"/>
  <c r="H405" i="2"/>
  <c r="H397" i="2"/>
  <c r="H410" i="2"/>
  <c r="H323" i="2"/>
  <c r="H439" i="2"/>
  <c r="E417" i="2"/>
  <c r="X253" i="2"/>
  <c r="H417" i="2"/>
  <c r="H91" i="2"/>
  <c r="H242" i="2"/>
  <c r="H275" i="2"/>
  <c r="H402" i="2"/>
  <c r="H406" i="2"/>
  <c r="H398" i="2"/>
  <c r="H437" i="2"/>
  <c r="H423" i="2"/>
  <c r="H349" i="2"/>
  <c r="H434" i="2"/>
  <c r="H390" i="2"/>
  <c r="H334" i="2"/>
  <c r="H419" i="2"/>
  <c r="H345" i="2"/>
  <c r="H378" i="2"/>
  <c r="H377" i="2"/>
  <c r="H427" i="2"/>
  <c r="O504" i="2" l="1"/>
  <c r="O506" i="2" s="1"/>
  <c r="P504" i="2"/>
  <c r="R512" i="2"/>
  <c r="B253" i="2"/>
  <c r="B272" i="2"/>
  <c r="B108" i="2"/>
  <c r="B48" i="2"/>
  <c r="C443" i="2"/>
  <c r="V443" i="2"/>
  <c r="C444" i="2"/>
  <c r="V444" i="2"/>
  <c r="C327" i="2"/>
  <c r="V442" i="2"/>
  <c r="C442" i="2"/>
  <c r="V309" i="2"/>
  <c r="V306" i="2"/>
  <c r="V441" i="2"/>
  <c r="C441" i="2"/>
  <c r="C438" i="2"/>
  <c r="V438" i="2"/>
  <c r="C439" i="2"/>
  <c r="V439" i="2"/>
  <c r="C440" i="2"/>
  <c r="V440" i="2"/>
  <c r="V434" i="2"/>
  <c r="C437" i="2"/>
  <c r="V437" i="2"/>
  <c r="C434" i="2"/>
  <c r="C435" i="2"/>
  <c r="C436" i="2"/>
  <c r="V436" i="2"/>
  <c r="V435" i="2"/>
  <c r="C433" i="2"/>
  <c r="V433" i="2"/>
  <c r="C432" i="2"/>
  <c r="V432" i="2"/>
  <c r="V431" i="2"/>
  <c r="C431" i="2"/>
  <c r="V430" i="2"/>
  <c r="C430" i="2"/>
  <c r="V429" i="2"/>
  <c r="C429" i="2"/>
  <c r="C428" i="2"/>
  <c r="V428" i="2"/>
  <c r="C427" i="2"/>
  <c r="V427" i="2"/>
  <c r="C426" i="2"/>
  <c r="V426" i="2"/>
  <c r="V425" i="2"/>
  <c r="C425" i="2"/>
  <c r="V424" i="2"/>
  <c r="V281" i="2"/>
  <c r="C424" i="2"/>
  <c r="C418" i="2"/>
  <c r="C420" i="2"/>
  <c r="V420" i="2"/>
  <c r="C421" i="2"/>
  <c r="C419" i="2"/>
  <c r="C422" i="2"/>
  <c r="V422" i="2"/>
  <c r="V423" i="2"/>
  <c r="C423" i="2"/>
  <c r="V419" i="2"/>
  <c r="V418" i="2"/>
  <c r="C417" i="2"/>
  <c r="C416" i="2"/>
  <c r="V416" i="2"/>
  <c r="V417" i="2"/>
  <c r="V414" i="2"/>
  <c r="C413" i="2"/>
  <c r="V415" i="2"/>
  <c r="C415" i="2"/>
  <c r="V413" i="2"/>
  <c r="C414" i="2"/>
  <c r="C412" i="2"/>
  <c r="V412" i="2"/>
  <c r="V406" i="2"/>
  <c r="C411" i="2"/>
  <c r="C410" i="2"/>
  <c r="V410" i="2"/>
  <c r="V407" i="2"/>
  <c r="C408" i="2"/>
  <c r="V408" i="2"/>
  <c r="V411" i="2"/>
  <c r="C409" i="2"/>
  <c r="C407" i="2"/>
  <c r="V409" i="2"/>
  <c r="V405" i="2"/>
  <c r="C405" i="2"/>
  <c r="C406" i="2"/>
  <c r="C404" i="2"/>
  <c r="V404" i="2"/>
  <c r="C403" i="2"/>
  <c r="V403" i="2"/>
  <c r="C399" i="2"/>
  <c r="V399" i="2"/>
  <c r="V402" i="2"/>
  <c r="C402" i="2"/>
  <c r="V401" i="2"/>
  <c r="C401" i="2"/>
  <c r="V400" i="2"/>
  <c r="C400" i="2"/>
  <c r="V398" i="2"/>
  <c r="C398" i="2"/>
  <c r="C99" i="2"/>
  <c r="C397" i="2"/>
  <c r="V397" i="2"/>
  <c r="C396" i="2"/>
  <c r="V396" i="2"/>
  <c r="C393" i="2"/>
  <c r="V393" i="2"/>
  <c r="V394" i="2"/>
  <c r="C395" i="2"/>
  <c r="C394" i="2"/>
  <c r="V395" i="2"/>
  <c r="V391" i="2"/>
  <c r="V392" i="2"/>
  <c r="C391" i="2"/>
  <c r="C392" i="2"/>
  <c r="V390" i="2"/>
  <c r="C390" i="2"/>
  <c r="C389" i="2"/>
  <c r="V388" i="2"/>
  <c r="V389" i="2"/>
  <c r="C388" i="2"/>
  <c r="V385" i="2"/>
  <c r="V387" i="2"/>
  <c r="C387" i="2"/>
  <c r="V386" i="2"/>
  <c r="C386" i="2"/>
  <c r="V384" i="2"/>
  <c r="V30" i="2"/>
  <c r="C385" i="2"/>
  <c r="C384" i="2"/>
  <c r="V383" i="2"/>
  <c r="C383" i="2"/>
  <c r="V263" i="2"/>
  <c r="V382" i="2"/>
  <c r="C382" i="2"/>
  <c r="V241" i="2"/>
  <c r="V177" i="2"/>
  <c r="C381" i="2"/>
  <c r="V381" i="2"/>
  <c r="C380" i="2"/>
  <c r="V380" i="2"/>
  <c r="V149" i="2"/>
  <c r="V379" i="2"/>
  <c r="C379" i="2"/>
  <c r="V378" i="2"/>
  <c r="C378" i="2"/>
  <c r="V377" i="2"/>
  <c r="C377" i="2"/>
  <c r="V376" i="2"/>
  <c r="C376" i="2"/>
  <c r="AF314" i="2"/>
  <c r="C375" i="2"/>
  <c r="V375" i="2"/>
  <c r="C374" i="2"/>
  <c r="V374" i="2"/>
  <c r="C373" i="2"/>
  <c r="C91" i="2"/>
  <c r="V91" i="2"/>
  <c r="V372" i="2"/>
  <c r="C370" i="2"/>
  <c r="C372" i="2"/>
  <c r="V370" i="2"/>
  <c r="V371" i="2"/>
  <c r="C371" i="2"/>
  <c r="C368" i="2"/>
  <c r="C369" i="2"/>
  <c r="V368" i="2"/>
  <c r="V369" i="2"/>
  <c r="C367" i="2"/>
  <c r="V367" i="2"/>
  <c r="C366" i="2"/>
  <c r="V366" i="2"/>
  <c r="C365" i="2"/>
  <c r="V365" i="2"/>
  <c r="V245" i="2"/>
  <c r="V363" i="2"/>
  <c r="C364" i="2"/>
  <c r="V364" i="2"/>
  <c r="C363" i="2"/>
  <c r="V362" i="2"/>
  <c r="V361" i="2"/>
  <c r="C362" i="2"/>
  <c r="V360" i="2"/>
  <c r="C360" i="2"/>
  <c r="C361" i="2"/>
  <c r="C359" i="2"/>
  <c r="V359" i="2"/>
  <c r="C358" i="2"/>
  <c r="C242" i="2"/>
  <c r="V242" i="2"/>
  <c r="V358" i="2"/>
  <c r="V357" i="2"/>
  <c r="C357" i="2"/>
  <c r="V238" i="2"/>
  <c r="C356" i="2"/>
  <c r="V355" i="2"/>
  <c r="C355" i="2"/>
  <c r="C353" i="2"/>
  <c r="V353" i="2"/>
  <c r="C354" i="2"/>
  <c r="C349" i="2"/>
  <c r="C352" i="2"/>
  <c r="V352" i="2"/>
  <c r="V343" i="2"/>
  <c r="V308" i="2"/>
  <c r="V296" i="2"/>
  <c r="V284" i="2"/>
  <c r="V272" i="2"/>
  <c r="V260" i="2"/>
  <c r="V248" i="2"/>
  <c r="V209" i="2"/>
  <c r="V172" i="2"/>
  <c r="V160" i="2"/>
  <c r="V147" i="2"/>
  <c r="V133" i="2"/>
  <c r="V120" i="2"/>
  <c r="V108" i="2"/>
  <c r="V94" i="2"/>
  <c r="V83" i="2"/>
  <c r="V71" i="2"/>
  <c r="V59" i="2"/>
  <c r="V47" i="2"/>
  <c r="V35" i="2"/>
  <c r="V341" i="2"/>
  <c r="V294" i="2"/>
  <c r="V270" i="2"/>
  <c r="V246" i="2"/>
  <c r="V170" i="2"/>
  <c r="V92" i="2"/>
  <c r="V117" i="2"/>
  <c r="V32" i="2"/>
  <c r="V155" i="2"/>
  <c r="V67" i="2"/>
  <c r="V342" i="2"/>
  <c r="V307" i="2"/>
  <c r="V295" i="2"/>
  <c r="V283" i="2"/>
  <c r="V271" i="2"/>
  <c r="V259" i="2"/>
  <c r="V247" i="2"/>
  <c r="V171" i="2"/>
  <c r="V159" i="2"/>
  <c r="V146" i="2"/>
  <c r="V132" i="2"/>
  <c r="V119" i="2"/>
  <c r="V107" i="2"/>
  <c r="V93" i="2"/>
  <c r="V82" i="2"/>
  <c r="V70" i="2"/>
  <c r="V58" i="2"/>
  <c r="V46" i="2"/>
  <c r="V34" i="2"/>
  <c r="V282" i="2"/>
  <c r="V258" i="2"/>
  <c r="V145" i="2"/>
  <c r="V81" i="2"/>
  <c r="V143" i="2"/>
  <c r="V68" i="2"/>
  <c r="V129" i="2"/>
  <c r="V55" i="2"/>
  <c r="V89" i="2"/>
  <c r="V194" i="2"/>
  <c r="V243" i="2"/>
  <c r="V340" i="2"/>
  <c r="V305" i="2"/>
  <c r="V269" i="2"/>
  <c r="V257" i="2"/>
  <c r="V231" i="2"/>
  <c r="V193" i="2"/>
  <c r="V181" i="2"/>
  <c r="V80" i="2"/>
  <c r="V42" i="2"/>
  <c r="V339" i="2"/>
  <c r="V304" i="2"/>
  <c r="V292" i="2"/>
  <c r="V280" i="2"/>
  <c r="V268" i="2"/>
  <c r="V256" i="2"/>
  <c r="V244" i="2"/>
  <c r="V230" i="2"/>
  <c r="V180" i="2"/>
  <c r="V79" i="2"/>
  <c r="V350" i="2"/>
  <c r="V338" i="2"/>
  <c r="V303" i="2"/>
  <c r="V291" i="2"/>
  <c r="V279" i="2"/>
  <c r="V267" i="2"/>
  <c r="V255" i="2"/>
  <c r="V191" i="2"/>
  <c r="V167" i="2"/>
  <c r="V154" i="2"/>
  <c r="V141" i="2"/>
  <c r="V128" i="2"/>
  <c r="V115" i="2"/>
  <c r="V101" i="2"/>
  <c r="V349" i="2"/>
  <c r="V337" i="2"/>
  <c r="V302" i="2"/>
  <c r="V290" i="2"/>
  <c r="V266" i="2"/>
  <c r="V254" i="2"/>
  <c r="V190" i="2"/>
  <c r="V178" i="2"/>
  <c r="V166" i="2"/>
  <c r="V153" i="2"/>
  <c r="V140" i="2"/>
  <c r="V126" i="2"/>
  <c r="V114" i="2"/>
  <c r="V100" i="2"/>
  <c r="V88" i="2"/>
  <c r="V77" i="2"/>
  <c r="V65" i="2"/>
  <c r="V53" i="2"/>
  <c r="V41" i="2"/>
  <c r="V29" i="2"/>
  <c r="V297" i="2"/>
  <c r="V121" i="2"/>
  <c r="V36" i="2"/>
  <c r="V118" i="2"/>
  <c r="V33" i="2"/>
  <c r="V157" i="2"/>
  <c r="V116" i="2"/>
  <c r="V66" i="2"/>
  <c r="V348" i="2"/>
  <c r="V336" i="2"/>
  <c r="V301" i="2"/>
  <c r="V289" i="2"/>
  <c r="V277" i="2"/>
  <c r="V265" i="2"/>
  <c r="V253" i="2"/>
  <c r="V240" i="2"/>
  <c r="V189" i="2"/>
  <c r="V165" i="2"/>
  <c r="V152" i="2"/>
  <c r="V139" i="2"/>
  <c r="V125" i="2"/>
  <c r="V113" i="2"/>
  <c r="V99" i="2"/>
  <c r="V87" i="2"/>
  <c r="V76" i="2"/>
  <c r="V64" i="2"/>
  <c r="V52" i="2"/>
  <c r="V40" i="2"/>
  <c r="V28" i="2"/>
  <c r="V273" i="2"/>
  <c r="V161" i="2"/>
  <c r="V60" i="2"/>
  <c r="V106" i="2"/>
  <c r="V169" i="2"/>
  <c r="V142" i="2"/>
  <c r="V31" i="2"/>
  <c r="V78" i="2"/>
  <c r="V347" i="2"/>
  <c r="V312" i="2"/>
  <c r="V300" i="2"/>
  <c r="V288" i="2"/>
  <c r="V276" i="2"/>
  <c r="V264" i="2"/>
  <c r="V252" i="2"/>
  <c r="V239" i="2"/>
  <c r="V200" i="2"/>
  <c r="V188" i="2"/>
  <c r="V176" i="2"/>
  <c r="V151" i="2"/>
  <c r="V138" i="2"/>
  <c r="V124" i="2"/>
  <c r="V112" i="2"/>
  <c r="V98" i="2"/>
  <c r="V75" i="2"/>
  <c r="V63" i="2"/>
  <c r="V51" i="2"/>
  <c r="V39" i="2"/>
  <c r="V27" i="2"/>
  <c r="V285" i="2"/>
  <c r="V148" i="2"/>
  <c r="V84" i="2"/>
  <c r="V131" i="2"/>
  <c r="V45" i="2"/>
  <c r="V56" i="2"/>
  <c r="V192" i="2"/>
  <c r="V43" i="2"/>
  <c r="V346" i="2"/>
  <c r="V311" i="2"/>
  <c r="V299" i="2"/>
  <c r="V287" i="2"/>
  <c r="V275" i="2"/>
  <c r="V251" i="2"/>
  <c r="V187" i="2"/>
  <c r="V175" i="2"/>
  <c r="V163" i="2"/>
  <c r="V150" i="2"/>
  <c r="V137" i="2"/>
  <c r="V123" i="2"/>
  <c r="V111" i="2"/>
  <c r="V97" i="2"/>
  <c r="V86" i="2"/>
  <c r="V74" i="2"/>
  <c r="V62" i="2"/>
  <c r="V50" i="2"/>
  <c r="V38" i="2"/>
  <c r="V249" i="2"/>
  <c r="V173" i="2"/>
  <c r="V109" i="2"/>
  <c r="V72" i="2"/>
  <c r="V182" i="2"/>
  <c r="V57" i="2"/>
  <c r="V105" i="2"/>
  <c r="V44" i="2"/>
  <c r="V168" i="2"/>
  <c r="V102" i="2"/>
  <c r="V345" i="2"/>
  <c r="V310" i="2"/>
  <c r="V298" i="2"/>
  <c r="V286" i="2"/>
  <c r="V274" i="2"/>
  <c r="V262" i="2"/>
  <c r="V250" i="2"/>
  <c r="V174" i="2"/>
  <c r="V162" i="2"/>
  <c r="V135" i="2"/>
  <c r="V122" i="2"/>
  <c r="V110" i="2"/>
  <c r="V96" i="2"/>
  <c r="V85" i="2"/>
  <c r="V73" i="2"/>
  <c r="V61" i="2"/>
  <c r="V49" i="2"/>
  <c r="V37" i="2"/>
  <c r="V344" i="2"/>
  <c r="V261" i="2"/>
  <c r="V134" i="2"/>
  <c r="V95" i="2"/>
  <c r="V48" i="2"/>
  <c r="V69" i="2"/>
  <c r="V130" i="2"/>
  <c r="V90" i="2"/>
  <c r="V54" i="2"/>
  <c r="V330" i="2"/>
  <c r="V334" i="2"/>
  <c r="V329" i="2"/>
  <c r="V335" i="2"/>
  <c r="V333" i="2"/>
  <c r="V331" i="2"/>
  <c r="V332" i="2"/>
  <c r="C165" i="2"/>
  <c r="C351" i="2"/>
  <c r="C350" i="2"/>
  <c r="C146" i="2"/>
  <c r="C348" i="2"/>
  <c r="C347" i="2"/>
  <c r="C346" i="2"/>
  <c r="C345" i="2"/>
  <c r="C344" i="2"/>
  <c r="C343" i="2"/>
  <c r="C342" i="2"/>
  <c r="C341" i="2"/>
  <c r="C340" i="2"/>
  <c r="C338" i="2"/>
  <c r="C339" i="2"/>
  <c r="C337" i="2"/>
  <c r="C336" i="2"/>
  <c r="C335" i="2"/>
  <c r="C334" i="2"/>
  <c r="C332" i="2"/>
  <c r="C333" i="2"/>
  <c r="C331" i="2"/>
  <c r="C329" i="2"/>
  <c r="C328" i="2"/>
  <c r="V328" i="2"/>
  <c r="V327" i="2"/>
  <c r="V325" i="2"/>
  <c r="C325" i="2"/>
  <c r="V324" i="2"/>
  <c r="C324" i="2"/>
  <c r="C323" i="2"/>
  <c r="V323" i="2"/>
  <c r="V322" i="2"/>
  <c r="C322" i="2"/>
  <c r="C321" i="2"/>
  <c r="C319" i="2"/>
  <c r="V321" i="2"/>
  <c r="C320" i="2"/>
  <c r="C318" i="2"/>
  <c r="V320" i="2"/>
  <c r="V318" i="2"/>
  <c r="V319" i="2"/>
  <c r="C75" i="2"/>
  <c r="C151" i="2"/>
  <c r="C283" i="2"/>
  <c r="C65" i="2"/>
  <c r="C127" i="2"/>
  <c r="C105" i="2"/>
  <c r="C117" i="2"/>
  <c r="C130" i="2"/>
  <c r="C142" i="2"/>
  <c r="C154" i="2"/>
  <c r="C166" i="2"/>
  <c r="C178" i="2"/>
  <c r="C190" i="2"/>
  <c r="C238" i="2"/>
  <c r="C250" i="2"/>
  <c r="C262" i="2"/>
  <c r="C274" i="2"/>
  <c r="C286" i="2"/>
  <c r="C298" i="2"/>
  <c r="C310" i="2"/>
  <c r="C32" i="2"/>
  <c r="C44" i="2"/>
  <c r="C56" i="2"/>
  <c r="C68" i="2"/>
  <c r="C80" i="2"/>
  <c r="C110" i="2"/>
  <c r="C122" i="2"/>
  <c r="C135" i="2"/>
  <c r="C147" i="2"/>
  <c r="C159" i="2"/>
  <c r="C171" i="2"/>
  <c r="C243" i="2"/>
  <c r="C255" i="2"/>
  <c r="C267" i="2"/>
  <c r="C279" i="2"/>
  <c r="C291" i="2"/>
  <c r="C303" i="2"/>
  <c r="C315" i="2"/>
  <c r="C37" i="2"/>
  <c r="C49" i="2"/>
  <c r="C61" i="2"/>
  <c r="C73" i="2"/>
  <c r="C85" i="2"/>
  <c r="C97" i="2"/>
  <c r="C112" i="2"/>
  <c r="C124" i="2"/>
  <c r="C149" i="2"/>
  <c r="C173" i="2"/>
  <c r="C245" i="2"/>
  <c r="C269" i="2"/>
  <c r="C293" i="2"/>
  <c r="C39" i="2"/>
  <c r="C63" i="2"/>
  <c r="C113" i="2"/>
  <c r="C138" i="2"/>
  <c r="C162" i="2"/>
  <c r="C258" i="2"/>
  <c r="C282" i="2"/>
  <c r="C306" i="2"/>
  <c r="C28" i="2"/>
  <c r="C52" i="2"/>
  <c r="C76" i="2"/>
  <c r="C100" i="2"/>
  <c r="C114" i="2"/>
  <c r="C126" i="2"/>
  <c r="C163" i="2"/>
  <c r="C187" i="2"/>
  <c r="C259" i="2"/>
  <c r="C295" i="2"/>
  <c r="C29" i="2"/>
  <c r="C53" i="2"/>
  <c r="C88" i="2"/>
  <c r="C111" i="2"/>
  <c r="C123" i="2"/>
  <c r="C136" i="2"/>
  <c r="C148" i="2"/>
  <c r="C160" i="2"/>
  <c r="C172" i="2"/>
  <c r="C244" i="2"/>
  <c r="C256" i="2"/>
  <c r="C268" i="2"/>
  <c r="C280" i="2"/>
  <c r="C292" i="2"/>
  <c r="C304" i="2"/>
  <c r="C316" i="2"/>
  <c r="C38" i="2"/>
  <c r="C50" i="2"/>
  <c r="C62" i="2"/>
  <c r="C74" i="2"/>
  <c r="C86" i="2"/>
  <c r="C98" i="2"/>
  <c r="C128" i="2"/>
  <c r="C137" i="2"/>
  <c r="C161" i="2"/>
  <c r="C209" i="2"/>
  <c r="C257" i="2"/>
  <c r="C281" i="2"/>
  <c r="C305" i="2"/>
  <c r="C317" i="2"/>
  <c r="C51" i="2"/>
  <c r="C125" i="2"/>
  <c r="C150" i="2"/>
  <c r="C174" i="2"/>
  <c r="C186" i="2"/>
  <c r="C246" i="2"/>
  <c r="C270" i="2"/>
  <c r="C294" i="2"/>
  <c r="C40" i="2"/>
  <c r="C64" i="2"/>
  <c r="C87" i="2"/>
  <c r="C96" i="2"/>
  <c r="C139" i="2"/>
  <c r="C175" i="2"/>
  <c r="C247" i="2"/>
  <c r="C271" i="2"/>
  <c r="C307" i="2"/>
  <c r="C41" i="2"/>
  <c r="C77" i="2"/>
  <c r="C101" i="2"/>
  <c r="C103" i="2"/>
  <c r="C311" i="2"/>
  <c r="C192" i="2"/>
  <c r="C46" i="2"/>
  <c r="C263" i="2"/>
  <c r="C168" i="2"/>
  <c r="C288" i="2"/>
  <c r="C120" i="2"/>
  <c r="C170" i="2"/>
  <c r="C194" i="2"/>
  <c r="C266" i="2"/>
  <c r="C290" i="2"/>
  <c r="C314" i="2"/>
  <c r="C48" i="2"/>
  <c r="C72" i="2"/>
  <c r="C95" i="2"/>
  <c r="C129" i="2"/>
  <c r="C177" i="2"/>
  <c r="C249" i="2"/>
  <c r="C297" i="2"/>
  <c r="C55" i="2"/>
  <c r="C27" i="2"/>
  <c r="C104" i="2"/>
  <c r="C155" i="2"/>
  <c r="C251" i="2"/>
  <c r="C299" i="2"/>
  <c r="C57" i="2"/>
  <c r="C132" i="2"/>
  <c r="C180" i="2"/>
  <c r="C276" i="2"/>
  <c r="C34" i="2"/>
  <c r="C82" i="2"/>
  <c r="C133" i="2"/>
  <c r="C157" i="2"/>
  <c r="C253" i="2"/>
  <c r="C301" i="2"/>
  <c r="C59" i="2"/>
  <c r="C108" i="2"/>
  <c r="C158" i="2"/>
  <c r="C254" i="2"/>
  <c r="C302" i="2"/>
  <c r="C84" i="2"/>
  <c r="C140" i="2"/>
  <c r="C188" i="2"/>
  <c r="C260" i="2"/>
  <c r="C308" i="2"/>
  <c r="C66" i="2"/>
  <c r="C141" i="2"/>
  <c r="C261" i="2"/>
  <c r="C309" i="2"/>
  <c r="C67" i="2"/>
  <c r="C143" i="2"/>
  <c r="C191" i="2"/>
  <c r="C287" i="2"/>
  <c r="C69" i="2"/>
  <c r="C118" i="2"/>
  <c r="C264" i="2"/>
  <c r="C70" i="2"/>
  <c r="C121" i="2"/>
  <c r="C152" i="2"/>
  <c r="C176" i="2"/>
  <c r="C200" i="2"/>
  <c r="C248" i="2"/>
  <c r="C272" i="2"/>
  <c r="C296" i="2"/>
  <c r="C30" i="2"/>
  <c r="C54" i="2"/>
  <c r="C78" i="2"/>
  <c r="C102" i="2"/>
  <c r="C153" i="2"/>
  <c r="C273" i="2"/>
  <c r="C31" i="2"/>
  <c r="C79" i="2"/>
  <c r="C131" i="2"/>
  <c r="C179" i="2"/>
  <c r="C275" i="2"/>
  <c r="C33" i="2"/>
  <c r="C81" i="2"/>
  <c r="C106" i="2"/>
  <c r="C156" i="2"/>
  <c r="C252" i="2"/>
  <c r="C300" i="2"/>
  <c r="C58" i="2"/>
  <c r="C107" i="2"/>
  <c r="C181" i="2"/>
  <c r="C277" i="2"/>
  <c r="C35" i="2"/>
  <c r="C83" i="2"/>
  <c r="C134" i="2"/>
  <c r="C182" i="2"/>
  <c r="C278" i="2"/>
  <c r="C36" i="2"/>
  <c r="C60" i="2"/>
  <c r="C109" i="2"/>
  <c r="C164" i="2"/>
  <c r="C284" i="2"/>
  <c r="C42" i="2"/>
  <c r="C89" i="2"/>
  <c r="C115" i="2"/>
  <c r="C189" i="2"/>
  <c r="C285" i="2"/>
  <c r="C43" i="2"/>
  <c r="C90" i="2"/>
  <c r="C116" i="2"/>
  <c r="C167" i="2"/>
  <c r="C239" i="2"/>
  <c r="C45" i="2"/>
  <c r="C92" i="2"/>
  <c r="C144" i="2"/>
  <c r="C240" i="2"/>
  <c r="C312" i="2"/>
  <c r="C47" i="2"/>
  <c r="C145" i="2"/>
  <c r="C169" i="2"/>
  <c r="C193" i="2"/>
  <c r="C71" i="2"/>
  <c r="C93" i="2"/>
  <c r="C119" i="2"/>
  <c r="C94" i="2"/>
  <c r="C241" i="2"/>
  <c r="C265" i="2"/>
  <c r="C289" i="2"/>
  <c r="C313" i="2"/>
  <c r="V317" i="2"/>
  <c r="V316" i="2"/>
  <c r="V314" i="2"/>
  <c r="V315" i="2"/>
  <c r="V156" i="2"/>
  <c r="AE97" i="2"/>
  <c r="BS33" i="8"/>
  <c r="BU32" i="8"/>
  <c r="BV32" i="8" s="1"/>
  <c r="HG33" i="8"/>
  <c r="HI32" i="8"/>
  <c r="HJ32" i="8" s="1"/>
  <c r="M201" i="2"/>
  <c r="J237" i="2"/>
  <c r="K237" i="2"/>
  <c r="L237" i="2"/>
  <c r="M237" i="2"/>
  <c r="AA237" i="2"/>
  <c r="AB237" i="2"/>
  <c r="N237" i="2"/>
  <c r="O237" i="2"/>
  <c r="P237" i="2"/>
  <c r="Q237" i="2"/>
  <c r="F666" i="18"/>
  <c r="E666" i="18"/>
  <c r="H292" i="2"/>
  <c r="H313" i="2"/>
  <c r="H312" i="2"/>
  <c r="E386" i="2"/>
  <c r="H361" i="2"/>
  <c r="X72" i="2"/>
  <c r="E440" i="2"/>
  <c r="H285" i="2"/>
  <c r="E381" i="2"/>
  <c r="H268" i="2"/>
  <c r="H315" i="2"/>
  <c r="H342" i="2"/>
  <c r="E413" i="2"/>
  <c r="H286" i="2"/>
  <c r="H293" i="2"/>
  <c r="E380" i="2"/>
  <c r="H352" i="2"/>
  <c r="H297" i="2"/>
  <c r="E414" i="2"/>
  <c r="H276" i="2"/>
  <c r="H330" i="2"/>
  <c r="H301" i="2"/>
  <c r="H305" i="2"/>
  <c r="H291" i="2"/>
  <c r="H346" i="2"/>
  <c r="H262" i="2"/>
  <c r="H357" i="2"/>
  <c r="H299" i="2"/>
  <c r="H310" i="2"/>
  <c r="H259" i="2"/>
  <c r="X71" i="2"/>
  <c r="H368" i="2"/>
  <c r="H333" i="2"/>
  <c r="H302" i="2"/>
  <c r="H283" i="2"/>
  <c r="H263" i="2"/>
  <c r="H309" i="2"/>
  <c r="H294" i="2"/>
  <c r="E409" i="2"/>
  <c r="H322" i="2"/>
  <c r="E387" i="2"/>
  <c r="H336" i="2"/>
  <c r="H298" i="2"/>
  <c r="H350" i="2"/>
  <c r="H307" i="2"/>
  <c r="H344" i="2"/>
  <c r="H277" i="2"/>
  <c r="H360" i="2"/>
  <c r="E407" i="2"/>
  <c r="H304" i="2"/>
  <c r="H272" i="2"/>
  <c r="E408" i="2"/>
  <c r="H266" i="2"/>
  <c r="E378" i="2"/>
  <c r="H319" i="2"/>
  <c r="H343" i="2"/>
  <c r="H306" i="2"/>
  <c r="H273" i="2"/>
  <c r="H258" i="2"/>
  <c r="H296" i="2"/>
  <c r="H288" i="2"/>
  <c r="H300" i="2"/>
  <c r="H279" i="2"/>
  <c r="H270" i="2"/>
  <c r="H338" i="2"/>
  <c r="E411" i="2"/>
  <c r="H278" i="2"/>
  <c r="H271" i="2"/>
  <c r="H274" i="2"/>
  <c r="E377" i="2"/>
  <c r="H260" i="2"/>
  <c r="H358" i="2"/>
  <c r="H264" i="2"/>
  <c r="H363" i="2"/>
  <c r="H287" i="2"/>
  <c r="H289" i="2"/>
  <c r="H282" i="2"/>
  <c r="H265" i="2"/>
  <c r="H295" i="2"/>
  <c r="H314" i="2"/>
  <c r="H303" i="2"/>
  <c r="H269" i="2"/>
  <c r="H290" i="2"/>
  <c r="V237" i="2" l="1"/>
  <c r="B71" i="2"/>
  <c r="B72" i="2"/>
  <c r="C237" i="2"/>
  <c r="HG34" i="8"/>
  <c r="HI33" i="8"/>
  <c r="HJ33" i="8" s="1"/>
  <c r="BS34" i="8"/>
  <c r="BU33" i="8"/>
  <c r="BV33" i="8" s="1"/>
  <c r="D666" i="18"/>
  <c r="D646" i="18"/>
  <c r="J236" i="2"/>
  <c r="K236" i="2"/>
  <c r="L236" i="2"/>
  <c r="M236" i="2"/>
  <c r="AA236" i="2"/>
  <c r="AB236" i="2"/>
  <c r="N236" i="2"/>
  <c r="O236" i="2"/>
  <c r="P236" i="2"/>
  <c r="Q236" i="2"/>
  <c r="J235" i="2"/>
  <c r="K235" i="2"/>
  <c r="L235" i="2"/>
  <c r="M235" i="2"/>
  <c r="AA235" i="2"/>
  <c r="AB235" i="2"/>
  <c r="N235" i="2"/>
  <c r="O235" i="2"/>
  <c r="P235" i="2"/>
  <c r="Q235" i="2"/>
  <c r="J234" i="2"/>
  <c r="K234" i="2"/>
  <c r="L234" i="2"/>
  <c r="M234" i="2"/>
  <c r="AA234" i="2"/>
  <c r="AB234" i="2"/>
  <c r="N234" i="2"/>
  <c r="O234" i="2"/>
  <c r="P234" i="2"/>
  <c r="Q234" i="2"/>
  <c r="H284" i="2"/>
  <c r="H267" i="2"/>
  <c r="H280" i="2"/>
  <c r="H281" i="2"/>
  <c r="V235" i="2" l="1"/>
  <c r="V236" i="2"/>
  <c r="V234" i="2"/>
  <c r="C235" i="2"/>
  <c r="C234" i="2"/>
  <c r="C236" i="2"/>
  <c r="D667" i="18"/>
  <c r="E668" i="18" s="1"/>
  <c r="E669" i="18" s="1"/>
  <c r="D669" i="18"/>
  <c r="BS35" i="8"/>
  <c r="BU34" i="8"/>
  <c r="HG35" i="8"/>
  <c r="HI34" i="8"/>
  <c r="HJ34" i="8" s="1"/>
  <c r="J233" i="2"/>
  <c r="K233" i="2"/>
  <c r="L233" i="2"/>
  <c r="M233" i="2"/>
  <c r="AA233" i="2"/>
  <c r="AB233" i="2"/>
  <c r="N233" i="2"/>
  <c r="O233" i="2"/>
  <c r="P233" i="2"/>
  <c r="Q233" i="2"/>
  <c r="V233" i="2" l="1"/>
  <c r="C233" i="2"/>
  <c r="E667" i="18"/>
  <c r="F668" i="18" s="1"/>
  <c r="F669" i="18" s="1"/>
  <c r="HG36" i="8"/>
  <c r="HI35" i="8"/>
  <c r="HJ35" i="8" s="1"/>
  <c r="BS36" i="8"/>
  <c r="BU35" i="8"/>
  <c r="BV35" i="8" s="1"/>
  <c r="J232" i="2"/>
  <c r="K232" i="2"/>
  <c r="L232" i="2"/>
  <c r="AA232" i="2"/>
  <c r="AB232" i="2"/>
  <c r="N232" i="2"/>
  <c r="O232" i="2"/>
  <c r="P232" i="2"/>
  <c r="Q232" i="2"/>
  <c r="V232" i="2" l="1"/>
  <c r="C232" i="2"/>
  <c r="F667" i="18"/>
  <c r="BS37" i="8"/>
  <c r="BU36" i="8"/>
  <c r="BV36" i="8" s="1"/>
  <c r="HG37" i="8"/>
  <c r="HI36" i="8"/>
  <c r="HJ36" i="8" s="1"/>
  <c r="HG38" i="8" l="1"/>
  <c r="HI37" i="8"/>
  <c r="HJ37" i="8" s="1"/>
  <c r="BS38" i="8"/>
  <c r="BU37" i="8"/>
  <c r="BV37" i="8" s="1"/>
  <c r="J231" i="2"/>
  <c r="K231" i="2"/>
  <c r="L231" i="2"/>
  <c r="N231" i="2"/>
  <c r="O231" i="2"/>
  <c r="P231" i="2"/>
  <c r="Q231" i="2"/>
  <c r="C231" i="2" l="1"/>
  <c r="BS39" i="8"/>
  <c r="BU39" i="8" s="1"/>
  <c r="BV39" i="8" s="1"/>
  <c r="BU38" i="8"/>
  <c r="BV38" i="8" s="1"/>
  <c r="HG39" i="8"/>
  <c r="HI39" i="8" s="1"/>
  <c r="HJ39" i="8" s="1"/>
  <c r="HI38" i="8"/>
  <c r="HJ38" i="8" s="1"/>
  <c r="J230" i="2" l="1"/>
  <c r="K230" i="2"/>
  <c r="L230" i="2"/>
  <c r="N230" i="2"/>
  <c r="O230" i="2"/>
  <c r="P230" i="2"/>
  <c r="Q230" i="2"/>
  <c r="J229" i="2"/>
  <c r="K229" i="2"/>
  <c r="L229" i="2"/>
  <c r="M229" i="2"/>
  <c r="AA229" i="2"/>
  <c r="AB229" i="2"/>
  <c r="N229" i="2"/>
  <c r="O229" i="2"/>
  <c r="P229" i="2"/>
  <c r="Q229" i="2"/>
  <c r="V229" i="2" l="1"/>
  <c r="C230" i="2"/>
  <c r="C229" i="2"/>
  <c r="G16" i="3"/>
  <c r="F646" i="18" l="1"/>
  <c r="J228" i="2"/>
  <c r="K228" i="2"/>
  <c r="L228" i="2"/>
  <c r="M228" i="2"/>
  <c r="AA228" i="2"/>
  <c r="AB228" i="2"/>
  <c r="N228" i="2"/>
  <c r="O228" i="2"/>
  <c r="P228" i="2"/>
  <c r="Q228" i="2"/>
  <c r="J227" i="2"/>
  <c r="K227" i="2"/>
  <c r="AG231" i="2" s="1"/>
  <c r="L227" i="2"/>
  <c r="V228" i="2" l="1"/>
  <c r="AD227" i="2"/>
  <c r="C228" i="2"/>
  <c r="C227" i="2"/>
  <c r="N219" i="2"/>
  <c r="O219" i="2"/>
  <c r="P219" i="2"/>
  <c r="Q219" i="2"/>
  <c r="J226" i="2" l="1"/>
  <c r="K226" i="2"/>
  <c r="L226" i="2"/>
  <c r="M226" i="2"/>
  <c r="AA226" i="2"/>
  <c r="AB226" i="2"/>
  <c r="N226" i="2"/>
  <c r="O226" i="2"/>
  <c r="P226" i="2"/>
  <c r="Q226" i="2"/>
  <c r="V226" i="2" l="1"/>
  <c r="C226" i="2"/>
  <c r="AA225" i="2"/>
  <c r="J225" i="2" l="1"/>
  <c r="K225" i="2"/>
  <c r="L225" i="2"/>
  <c r="M225" i="2"/>
  <c r="AB225" i="2"/>
  <c r="N225" i="2"/>
  <c r="Q225" i="2"/>
  <c r="X225" i="2"/>
  <c r="B225" i="2" l="1"/>
  <c r="V225" i="2"/>
  <c r="C225" i="2"/>
  <c r="AA224" i="2"/>
  <c r="J224" i="2"/>
  <c r="K224" i="2"/>
  <c r="L224" i="2"/>
  <c r="M224" i="2"/>
  <c r="AB224" i="2"/>
  <c r="N224" i="2"/>
  <c r="O224" i="2"/>
  <c r="P224" i="2"/>
  <c r="Q224" i="2"/>
  <c r="V224" i="2" l="1"/>
  <c r="C224" i="2"/>
  <c r="U317" i="5"/>
  <c r="V317" i="5" s="1"/>
  <c r="W317" i="5" s="1"/>
  <c r="X317" i="5" s="1"/>
  <c r="T312" i="5"/>
  <c r="X310" i="5"/>
  <c r="W310" i="5"/>
  <c r="V310" i="5"/>
  <c r="U310" i="5"/>
  <c r="T310" i="5"/>
  <c r="T311" i="5" s="1"/>
  <c r="U298" i="5"/>
  <c r="V298" i="5" s="1"/>
  <c r="W298" i="5" s="1"/>
  <c r="X298" i="5" s="1"/>
  <c r="Y298" i="5" s="1"/>
  <c r="Z298" i="5" s="1"/>
  <c r="AA298" i="5" s="1"/>
  <c r="AB298" i="5" s="1"/>
  <c r="AC298" i="5" s="1"/>
  <c r="AD298" i="5" s="1"/>
  <c r="AE298" i="5" s="1"/>
  <c r="AF298" i="5" s="1"/>
  <c r="AG298" i="5" s="1"/>
  <c r="U294" i="5"/>
  <c r="T293" i="5"/>
  <c r="T294" i="5" s="1"/>
  <c r="T292" i="5"/>
  <c r="U293" i="5" s="1"/>
  <c r="U278" i="5"/>
  <c r="T273" i="5"/>
  <c r="T274" i="5" s="1"/>
  <c r="T272" i="5"/>
  <c r="U272" i="5" s="1"/>
  <c r="T268" i="5"/>
  <c r="T307" i="5" s="1"/>
  <c r="U266" i="5"/>
  <c r="T254" i="5"/>
  <c r="T255" i="5" s="1"/>
  <c r="T253" i="5"/>
  <c r="U254" i="5" s="1"/>
  <c r="U255" i="5" s="1"/>
  <c r="T234" i="5"/>
  <c r="AH232" i="5"/>
  <c r="AG232" i="5"/>
  <c r="AF232" i="5"/>
  <c r="AE232" i="5"/>
  <c r="AD232" i="5"/>
  <c r="AC232" i="5"/>
  <c r="AB232" i="5"/>
  <c r="AA232" i="5"/>
  <c r="Z232" i="5"/>
  <c r="Y232" i="5"/>
  <c r="X232" i="5"/>
  <c r="W232" i="5"/>
  <c r="V232" i="5"/>
  <c r="U232" i="5"/>
  <c r="T232" i="5"/>
  <c r="T233" i="5" s="1"/>
  <c r="T212" i="5"/>
  <c r="T211" i="5"/>
  <c r="T193" i="5"/>
  <c r="T192" i="5"/>
  <c r="U160" i="5"/>
  <c r="V160" i="5" s="1"/>
  <c r="W160" i="5" s="1"/>
  <c r="X160" i="5" s="1"/>
  <c r="Y160" i="5" s="1"/>
  <c r="Z160" i="5" s="1"/>
  <c r="AA160" i="5" s="1"/>
  <c r="AB160" i="5" s="1"/>
  <c r="AC160" i="5" s="1"/>
  <c r="AD160" i="5" s="1"/>
  <c r="AE160" i="5" s="1"/>
  <c r="AF160" i="5" s="1"/>
  <c r="AG160" i="5" s="1"/>
  <c r="AH160" i="5" s="1"/>
  <c r="T155" i="5"/>
  <c r="T154" i="5"/>
  <c r="T140" i="5"/>
  <c r="U140" i="5" s="1"/>
  <c r="V140" i="5" s="1"/>
  <c r="W140" i="5" s="1"/>
  <c r="X140" i="5" s="1"/>
  <c r="Y140" i="5" s="1"/>
  <c r="Z140" i="5" s="1"/>
  <c r="AA140" i="5" s="1"/>
  <c r="AB140" i="5" s="1"/>
  <c r="AC140" i="5" s="1"/>
  <c r="AD140" i="5" s="1"/>
  <c r="AE140" i="5" s="1"/>
  <c r="AF140" i="5" s="1"/>
  <c r="AG140" i="5" s="1"/>
  <c r="AH140" i="5" s="1"/>
  <c r="T135" i="5"/>
  <c r="T134" i="5"/>
  <c r="AG119" i="5"/>
  <c r="T119" i="5"/>
  <c r="U119" i="5" s="1"/>
  <c r="V119" i="5" s="1"/>
  <c r="W119" i="5" s="1"/>
  <c r="X119" i="5" s="1"/>
  <c r="Y119" i="5" s="1"/>
  <c r="Z119" i="5" s="1"/>
  <c r="AF118" i="5"/>
  <c r="T114" i="5"/>
  <c r="T113" i="5"/>
  <c r="T104" i="5"/>
  <c r="T105" i="5" s="1"/>
  <c r="U104" i="5" s="1"/>
  <c r="T96" i="5"/>
  <c r="U96" i="5" s="1"/>
  <c r="V96" i="5" s="1"/>
  <c r="W96" i="5" s="1"/>
  <c r="X96" i="5" s="1"/>
  <c r="Y96" i="5" s="1"/>
  <c r="Z96" i="5" s="1"/>
  <c r="AA96" i="5" s="1"/>
  <c r="AB96" i="5" s="1"/>
  <c r="AC96" i="5" s="1"/>
  <c r="AD96" i="5" s="1"/>
  <c r="AE96" i="5" s="1"/>
  <c r="AF96" i="5" s="1"/>
  <c r="AG96" i="5" s="1"/>
  <c r="AH96" i="5" s="1"/>
  <c r="T91" i="5"/>
  <c r="T92" i="5" s="1"/>
  <c r="AH89" i="5"/>
  <c r="AG89" i="5"/>
  <c r="AF89" i="5"/>
  <c r="AE89" i="5"/>
  <c r="AD89" i="5"/>
  <c r="AC89" i="5"/>
  <c r="AB89" i="5"/>
  <c r="AA89" i="5"/>
  <c r="Z89" i="5"/>
  <c r="Y89" i="5"/>
  <c r="X89" i="5"/>
  <c r="W89" i="5"/>
  <c r="V89" i="5"/>
  <c r="U89" i="5"/>
  <c r="T89" i="5"/>
  <c r="T90" i="5" s="1"/>
  <c r="U91" i="5" s="1"/>
  <c r="U92" i="5" s="1"/>
  <c r="AF85" i="5"/>
  <c r="AG84" i="5"/>
  <c r="AF86" i="5" s="1"/>
  <c r="T76" i="5"/>
  <c r="U76" i="5" s="1"/>
  <c r="V76" i="5" s="1"/>
  <c r="W76" i="5" s="1"/>
  <c r="X76" i="5" s="1"/>
  <c r="Y76" i="5" s="1"/>
  <c r="Z76" i="5" s="1"/>
  <c r="AA76" i="5" s="1"/>
  <c r="AB76" i="5" s="1"/>
  <c r="AC76" i="5" s="1"/>
  <c r="AD76" i="5" s="1"/>
  <c r="AE76" i="5" s="1"/>
  <c r="AF76" i="5" s="1"/>
  <c r="AG76" i="5" s="1"/>
  <c r="AH76" i="5" s="1"/>
  <c r="T71" i="5"/>
  <c r="T72" i="5" s="1"/>
  <c r="T70" i="5"/>
  <c r="U70" i="5" s="1"/>
  <c r="T54" i="5"/>
  <c r="U54" i="5" s="1"/>
  <c r="V54" i="5" s="1"/>
  <c r="W54" i="5" s="1"/>
  <c r="X54" i="5" s="1"/>
  <c r="Y54" i="5" s="1"/>
  <c r="Z54" i="5" s="1"/>
  <c r="AA54" i="5" s="1"/>
  <c r="AB54" i="5" s="1"/>
  <c r="AC54" i="5" s="1"/>
  <c r="AD54" i="5" s="1"/>
  <c r="AE54" i="5" s="1"/>
  <c r="AF54" i="5" s="1"/>
  <c r="AG54" i="5" s="1"/>
  <c r="AH54" i="5" s="1"/>
  <c r="T49" i="5"/>
  <c r="T50" i="5" s="1"/>
  <c r="T41" i="5" s="1"/>
  <c r="T48" i="5"/>
  <c r="U48" i="5" s="1"/>
  <c r="V48" i="5" s="1"/>
  <c r="U31" i="5"/>
  <c r="V31" i="5" s="1"/>
  <c r="W31" i="5" s="1"/>
  <c r="X31" i="5" s="1"/>
  <c r="Y31" i="5" s="1"/>
  <c r="Z31" i="5" s="1"/>
  <c r="AA31" i="5" s="1"/>
  <c r="AB31" i="5" s="1"/>
  <c r="AC31" i="5" s="1"/>
  <c r="AD31" i="5" s="1"/>
  <c r="AE31" i="5" s="1"/>
  <c r="AF31" i="5" s="1"/>
  <c r="AG31" i="5" s="1"/>
  <c r="AH31" i="5" s="1"/>
  <c r="H28" i="5"/>
  <c r="H27" i="5"/>
  <c r="T26" i="5"/>
  <c r="T27" i="5" s="1"/>
  <c r="H26" i="5"/>
  <c r="T25" i="5"/>
  <c r="U25" i="5" s="1"/>
  <c r="V25" i="5" s="1"/>
  <c r="W25" i="5" s="1"/>
  <c r="X25" i="5" s="1"/>
  <c r="Y25" i="5" s="1"/>
  <c r="H25" i="5"/>
  <c r="H24" i="5"/>
  <c r="H23" i="5"/>
  <c r="H21" i="5"/>
  <c r="H20" i="5"/>
  <c r="N14" i="5"/>
  <c r="T11" i="5"/>
  <c r="U11" i="5" s="1"/>
  <c r="V11" i="5" s="1"/>
  <c r="W11" i="5" s="1"/>
  <c r="X11" i="5" s="1"/>
  <c r="Y11" i="5" s="1"/>
  <c r="Z11" i="5" s="1"/>
  <c r="AA11" i="5" s="1"/>
  <c r="AB11" i="5" s="1"/>
  <c r="AC11" i="5" s="1"/>
  <c r="AD11" i="5" s="1"/>
  <c r="AE11" i="5" s="1"/>
  <c r="AF11" i="5" s="1"/>
  <c r="AG11" i="5" s="1"/>
  <c r="AH11" i="5" s="1"/>
  <c r="N11" i="5"/>
  <c r="T6" i="5"/>
  <c r="T7" i="5" s="1"/>
  <c r="T5" i="5"/>
  <c r="U6" i="5" s="1"/>
  <c r="U7" i="5" s="1"/>
  <c r="O4" i="5"/>
  <c r="K4" i="5"/>
  <c r="K3" i="5"/>
  <c r="H28" i="22"/>
  <c r="H27" i="22"/>
  <c r="H26" i="22"/>
  <c r="H25" i="22"/>
  <c r="H24" i="22"/>
  <c r="H23" i="22"/>
  <c r="H21" i="22"/>
  <c r="I21" i="22" s="1"/>
  <c r="H20" i="22"/>
  <c r="I20" i="22" s="1"/>
  <c r="J20" i="22" s="1"/>
  <c r="C24" i="30"/>
  <c r="A24" i="30"/>
  <c r="C23" i="30"/>
  <c r="A23" i="30"/>
  <c r="C22" i="30"/>
  <c r="C21" i="30"/>
  <c r="C20" i="30"/>
  <c r="C19" i="30"/>
  <c r="C18" i="30"/>
  <c r="C17" i="30"/>
  <c r="C16" i="30"/>
  <c r="C15" i="30"/>
  <c r="C14" i="30"/>
  <c r="C13" i="30"/>
  <c r="C12" i="30"/>
  <c r="C11" i="30"/>
  <c r="C10" i="30"/>
  <c r="C9" i="30"/>
  <c r="AT8" i="30"/>
  <c r="C8" i="30"/>
  <c r="BE7" i="30"/>
  <c r="C7" i="30"/>
  <c r="C6" i="30"/>
  <c r="C5" i="30"/>
  <c r="B1" i="30"/>
  <c r="V51" i="8"/>
  <c r="BF41" i="8"/>
  <c r="BH41" i="8" s="1"/>
  <c r="AT38" i="8"/>
  <c r="AT39" i="8" s="1"/>
  <c r="AT40" i="8" s="1"/>
  <c r="AV40" i="8" s="1"/>
  <c r="AW40" i="8" s="1"/>
  <c r="BG33" i="8"/>
  <c r="BI33" i="8" s="1"/>
  <c r="ED32" i="8"/>
  <c r="AT32" i="8"/>
  <c r="AV32" i="8" s="1"/>
  <c r="AW32" i="8" s="1"/>
  <c r="BF30" i="8"/>
  <c r="BH30" i="8" s="1"/>
  <c r="BI30" i="8" s="1"/>
  <c r="H28" i="8"/>
  <c r="BF27" i="8"/>
  <c r="H27" i="8"/>
  <c r="H26" i="8"/>
  <c r="BF25" i="8"/>
  <c r="BH25" i="8" s="1"/>
  <c r="BI25" i="8" s="1"/>
  <c r="H25" i="8"/>
  <c r="H24" i="8"/>
  <c r="C24" i="8"/>
  <c r="A24" i="8"/>
  <c r="H23" i="8"/>
  <c r="C23" i="8"/>
  <c r="A23" i="8"/>
  <c r="HX22" i="8"/>
  <c r="C22" i="8"/>
  <c r="HX21" i="8"/>
  <c r="CQ21" i="8"/>
  <c r="CE21" i="8"/>
  <c r="H21" i="8"/>
  <c r="C21" i="8"/>
  <c r="HX20" i="8"/>
  <c r="BF20" i="8"/>
  <c r="H20" i="8"/>
  <c r="C20" i="8"/>
  <c r="HX19" i="8"/>
  <c r="DI19" i="8"/>
  <c r="DH19" i="8"/>
  <c r="C19" i="8"/>
  <c r="HX18" i="8"/>
  <c r="EF18" i="8"/>
  <c r="C18" i="8"/>
  <c r="HX17" i="8"/>
  <c r="AH17" i="8"/>
  <c r="AJ17" i="8" s="1"/>
  <c r="AK17" i="8" s="1"/>
  <c r="C17" i="8"/>
  <c r="HX16" i="8"/>
  <c r="BF16" i="8"/>
  <c r="C16" i="8"/>
  <c r="HX15" i="8"/>
  <c r="C15" i="8"/>
  <c r="HX14" i="8"/>
  <c r="FG14" i="8"/>
  <c r="C14" i="8"/>
  <c r="HX13" i="8"/>
  <c r="C13" i="8"/>
  <c r="HX12" i="8"/>
  <c r="C12" i="8"/>
  <c r="HX11" i="8"/>
  <c r="C11" i="8"/>
  <c r="HX10" i="8"/>
  <c r="C10" i="8"/>
  <c r="HX9" i="8"/>
  <c r="C9" i="8"/>
  <c r="HX8" i="8"/>
  <c r="HU8" i="8"/>
  <c r="HU9" i="8" s="1"/>
  <c r="HU10" i="8" s="1"/>
  <c r="HU11" i="8" s="1"/>
  <c r="HU12" i="8" s="1"/>
  <c r="HU13" i="8" s="1"/>
  <c r="HU14" i="8" s="1"/>
  <c r="HU15" i="8" s="1"/>
  <c r="HU16" i="8" s="1"/>
  <c r="HU17" i="8" s="1"/>
  <c r="HU18" i="8" s="1"/>
  <c r="HU19" i="8" s="1"/>
  <c r="HU20" i="8" s="1"/>
  <c r="HU21" i="8" s="1"/>
  <c r="HU22" i="8" s="1"/>
  <c r="ET8" i="8"/>
  <c r="EN8" i="8"/>
  <c r="EN9" i="8" s="1"/>
  <c r="EN10" i="8" s="1"/>
  <c r="EN11" i="8" s="1"/>
  <c r="EN12" i="8" s="1"/>
  <c r="EN13" i="8" s="1"/>
  <c r="EN14" i="8" s="1"/>
  <c r="EN15" i="8" s="1"/>
  <c r="EN16" i="8" s="1"/>
  <c r="EN17" i="8" s="1"/>
  <c r="EN18" i="8" s="1"/>
  <c r="EN19" i="8" s="1"/>
  <c r="EN20" i="8" s="1"/>
  <c r="EN21" i="8" s="1"/>
  <c r="EN22" i="8" s="1"/>
  <c r="EN23" i="8" s="1"/>
  <c r="EN24" i="8" s="1"/>
  <c r="DT8" i="8"/>
  <c r="DV9" i="8" s="1"/>
  <c r="DW9" i="8" s="1"/>
  <c r="DH8" i="8"/>
  <c r="DJ9" i="8" s="1"/>
  <c r="DK9" i="8" s="1"/>
  <c r="CQ8" i="8"/>
  <c r="C8" i="8"/>
  <c r="C7" i="8"/>
  <c r="C6" i="8"/>
  <c r="FD5" i="8"/>
  <c r="EC5" i="8"/>
  <c r="CM5" i="8"/>
  <c r="C5" i="8"/>
  <c r="FX4" i="8"/>
  <c r="FN4" i="8"/>
  <c r="FN5" i="8" s="1"/>
  <c r="FM4" i="8"/>
  <c r="FM5" i="8" s="1"/>
  <c r="FK4" i="8"/>
  <c r="FE4" i="8"/>
  <c r="EL4" i="8"/>
  <c r="EC4" i="8"/>
  <c r="FL2" i="8"/>
  <c r="FL3" i="8" s="1"/>
  <c r="FK2" i="8"/>
  <c r="CW2" i="8"/>
  <c r="B1" i="8"/>
  <c r="FK51" i="8" s="1"/>
  <c r="D247" i="14"/>
  <c r="D248" i="14" s="1"/>
  <c r="D246" i="14"/>
  <c r="E246" i="14" s="1"/>
  <c r="E242" i="14"/>
  <c r="D242" i="14"/>
  <c r="D229" i="14"/>
  <c r="D228" i="14"/>
  <c r="E224" i="14"/>
  <c r="D224" i="14"/>
  <c r="F221" i="14"/>
  <c r="E221" i="14"/>
  <c r="H215" i="14"/>
  <c r="C210" i="14" s="1"/>
  <c r="D211" i="14" s="1"/>
  <c r="H214" i="14"/>
  <c r="H213" i="14"/>
  <c r="H212" i="14"/>
  <c r="H211" i="14"/>
  <c r="H210" i="14"/>
  <c r="H209" i="14"/>
  <c r="J208" i="14"/>
  <c r="H208" i="14"/>
  <c r="D206" i="14"/>
  <c r="D195" i="14"/>
  <c r="D193" i="14"/>
  <c r="D189" i="14"/>
  <c r="D177" i="14"/>
  <c r="D176" i="14"/>
  <c r="E177" i="14" s="1"/>
  <c r="E172" i="14"/>
  <c r="D172" i="14"/>
  <c r="E159" i="14"/>
  <c r="E160" i="14" s="1"/>
  <c r="D159" i="14"/>
  <c r="D160" i="14" s="1"/>
  <c r="D158" i="14"/>
  <c r="E158" i="14" s="1"/>
  <c r="F159" i="14" s="1"/>
  <c r="F160" i="14" s="1"/>
  <c r="D154" i="14"/>
  <c r="G139" i="14"/>
  <c r="G140" i="14" s="1"/>
  <c r="F139" i="14"/>
  <c r="F140" i="14" s="1"/>
  <c r="E139" i="14"/>
  <c r="E140" i="14" s="1"/>
  <c r="D139" i="14"/>
  <c r="D140" i="14" s="1"/>
  <c r="G138" i="14"/>
  <c r="D134" i="14"/>
  <c r="G123" i="14"/>
  <c r="G124" i="14" s="1"/>
  <c r="F123" i="14"/>
  <c r="F124" i="14" s="1"/>
  <c r="E123" i="14"/>
  <c r="E124" i="14" s="1"/>
  <c r="D123" i="14"/>
  <c r="D124" i="14" s="1"/>
  <c r="G122" i="14"/>
  <c r="G117" i="14"/>
  <c r="H123" i="14" s="1"/>
  <c r="D116" i="14"/>
  <c r="E116" i="14" s="1"/>
  <c r="E117" i="14" s="1"/>
  <c r="D105" i="14"/>
  <c r="D106" i="14" s="1"/>
  <c r="D104" i="14"/>
  <c r="D87" i="14"/>
  <c r="D88" i="14" s="1"/>
  <c r="D86" i="14"/>
  <c r="E87" i="14" s="1"/>
  <c r="E88" i="14" s="1"/>
  <c r="G96" i="14"/>
  <c r="D70" i="14"/>
  <c r="D71" i="14" s="1"/>
  <c r="D69" i="14"/>
  <c r="E70" i="14" s="1"/>
  <c r="E71" i="14" s="1"/>
  <c r="D65" i="14"/>
  <c r="M108" i="14" s="1"/>
  <c r="E57" i="14"/>
  <c r="F57" i="14" s="1"/>
  <c r="G57" i="14" s="1"/>
  <c r="H57" i="14" s="1"/>
  <c r="I57" i="14" s="1"/>
  <c r="J57" i="14" s="1"/>
  <c r="K57" i="14" s="1"/>
  <c r="L57" i="14" s="1"/>
  <c r="M57" i="14" s="1"/>
  <c r="N57" i="14" s="1"/>
  <c r="O57" i="14" s="1"/>
  <c r="P57" i="14" s="1"/>
  <c r="Q57" i="14" s="1"/>
  <c r="R57" i="14" s="1"/>
  <c r="D52" i="14"/>
  <c r="D53" i="14" s="1"/>
  <c r="D51" i="14"/>
  <c r="E52" i="14" s="1"/>
  <c r="E53" i="14" s="1"/>
  <c r="E34" i="14"/>
  <c r="F34" i="14" s="1"/>
  <c r="G34" i="14" s="1"/>
  <c r="H34" i="14" s="1"/>
  <c r="I34" i="14" s="1"/>
  <c r="D28" i="14"/>
  <c r="E14" i="14"/>
  <c r="F14" i="14" s="1"/>
  <c r="G14" i="14" s="1"/>
  <c r="H14" i="14" s="1"/>
  <c r="I14" i="14" s="1"/>
  <c r="J14" i="14" s="1"/>
  <c r="D9" i="14"/>
  <c r="D10" i="14" s="1"/>
  <c r="D8" i="14"/>
  <c r="E9" i="14" s="1"/>
  <c r="E10" i="14" s="1"/>
  <c r="D4" i="14"/>
  <c r="N108" i="14" s="1"/>
  <c r="O108" i="14" s="1"/>
  <c r="P108" i="14" s="1"/>
  <c r="Q108" i="14" s="1"/>
  <c r="R108" i="14" s="1"/>
  <c r="F3" i="14"/>
  <c r="E653" i="18"/>
  <c r="F653" i="18" s="1"/>
  <c r="G653" i="18" s="1"/>
  <c r="H653" i="18" s="1"/>
  <c r="I653" i="18" s="1"/>
  <c r="J653" i="18" s="1"/>
  <c r="K653" i="18" s="1"/>
  <c r="L653" i="18" s="1"/>
  <c r="M653" i="18" s="1"/>
  <c r="N653" i="18" s="1"/>
  <c r="E646" i="18"/>
  <c r="D647" i="18"/>
  <c r="E648" i="18" s="1"/>
  <c r="AG635" i="18"/>
  <c r="AF635" i="18"/>
  <c r="AE635" i="18"/>
  <c r="AD635" i="18"/>
  <c r="AC635" i="18"/>
  <c r="AB635" i="18"/>
  <c r="AA635" i="18"/>
  <c r="Z635" i="18"/>
  <c r="Y635" i="18"/>
  <c r="X635" i="18"/>
  <c r="W635" i="18"/>
  <c r="V635" i="18"/>
  <c r="U635" i="18"/>
  <c r="T635" i="18"/>
  <c r="S635" i="18"/>
  <c r="R635" i="18"/>
  <c r="Q635" i="18"/>
  <c r="P635" i="18"/>
  <c r="O635" i="18"/>
  <c r="N635" i="18"/>
  <c r="M635" i="18"/>
  <c r="L635" i="18"/>
  <c r="K635" i="18"/>
  <c r="J635" i="18"/>
  <c r="I635" i="18"/>
  <c r="H635" i="18"/>
  <c r="G635" i="18"/>
  <c r="F635" i="18"/>
  <c r="E635" i="18"/>
  <c r="D635" i="18"/>
  <c r="AG628" i="18"/>
  <c r="AF628" i="18"/>
  <c r="AE628" i="18"/>
  <c r="AD628" i="18"/>
  <c r="AC628" i="18"/>
  <c r="AB628" i="18"/>
  <c r="AA628" i="18"/>
  <c r="Z628" i="18"/>
  <c r="Y628" i="18"/>
  <c r="X628" i="18"/>
  <c r="W628" i="18"/>
  <c r="V628" i="18"/>
  <c r="U628" i="18"/>
  <c r="T628" i="18"/>
  <c r="S628" i="18"/>
  <c r="R628" i="18"/>
  <c r="Q628" i="18"/>
  <c r="P628" i="18"/>
  <c r="O628" i="18"/>
  <c r="N628" i="18"/>
  <c r="M628" i="18"/>
  <c r="L628" i="18"/>
  <c r="K628" i="18"/>
  <c r="J628" i="18"/>
  <c r="I628" i="18"/>
  <c r="H628" i="18"/>
  <c r="G628" i="18"/>
  <c r="F628" i="18"/>
  <c r="E628" i="18"/>
  <c r="D628" i="18"/>
  <c r="D629" i="18" s="1"/>
  <c r="E630" i="18" s="1"/>
  <c r="O612" i="18"/>
  <c r="N612" i="18"/>
  <c r="M612" i="18"/>
  <c r="L612" i="18"/>
  <c r="K612" i="18"/>
  <c r="J612" i="18"/>
  <c r="I612" i="18"/>
  <c r="H612" i="18"/>
  <c r="G612" i="18"/>
  <c r="F612" i="18"/>
  <c r="E612" i="18"/>
  <c r="D612" i="18"/>
  <c r="C612" i="18"/>
  <c r="F599" i="18"/>
  <c r="E599" i="18"/>
  <c r="D599" i="18"/>
  <c r="D595" i="18"/>
  <c r="D593" i="18"/>
  <c r="G589" i="18"/>
  <c r="G599" i="18" s="1"/>
  <c r="O577" i="18"/>
  <c r="N577" i="18"/>
  <c r="M577" i="18"/>
  <c r="L577" i="18"/>
  <c r="K577" i="18"/>
  <c r="J577" i="18"/>
  <c r="I577" i="18"/>
  <c r="H577" i="18"/>
  <c r="G577" i="18"/>
  <c r="F577" i="18"/>
  <c r="E577" i="18"/>
  <c r="D577" i="18"/>
  <c r="C577" i="18"/>
  <c r="E558" i="18"/>
  <c r="E556" i="18"/>
  <c r="F557" i="18" s="1"/>
  <c r="D555" i="18"/>
  <c r="J545" i="18"/>
  <c r="I545" i="18"/>
  <c r="H545" i="18"/>
  <c r="G545" i="18"/>
  <c r="F545" i="18"/>
  <c r="E545" i="18"/>
  <c r="D545" i="18"/>
  <c r="J538" i="18"/>
  <c r="I538" i="18"/>
  <c r="H538" i="18"/>
  <c r="G538" i="18"/>
  <c r="F538" i="18"/>
  <c r="E538" i="18"/>
  <c r="D538" i="18"/>
  <c r="D541" i="18" s="1"/>
  <c r="D523" i="18"/>
  <c r="D521" i="18"/>
  <c r="R474" i="18"/>
  <c r="Q474" i="18"/>
  <c r="P474" i="18"/>
  <c r="O474" i="18"/>
  <c r="N474" i="18"/>
  <c r="M474" i="18"/>
  <c r="L474" i="18"/>
  <c r="K474" i="18"/>
  <c r="J474" i="18"/>
  <c r="I474" i="18"/>
  <c r="H474" i="18"/>
  <c r="G474" i="18"/>
  <c r="F474" i="18"/>
  <c r="E474" i="18"/>
  <c r="D474" i="18"/>
  <c r="D475" i="18" s="1"/>
  <c r="E476" i="18" s="1"/>
  <c r="H454" i="18"/>
  <c r="G454" i="18"/>
  <c r="F454" i="18"/>
  <c r="E454" i="18"/>
  <c r="D454" i="18"/>
  <c r="D455" i="18" s="1"/>
  <c r="E456" i="18" s="1"/>
  <c r="H430" i="18"/>
  <c r="G430" i="18"/>
  <c r="F430" i="18"/>
  <c r="E430" i="18"/>
  <c r="D430" i="18"/>
  <c r="D431" i="18" s="1"/>
  <c r="E432" i="18" s="1"/>
  <c r="E419" i="18"/>
  <c r="F419" i="18" s="1"/>
  <c r="G419" i="18" s="1"/>
  <c r="H419" i="18" s="1"/>
  <c r="I419" i="18" s="1"/>
  <c r="J419" i="18" s="1"/>
  <c r="J412" i="18"/>
  <c r="I412" i="18"/>
  <c r="H412" i="18"/>
  <c r="G412" i="18"/>
  <c r="F412" i="18"/>
  <c r="E412" i="18"/>
  <c r="D412" i="18"/>
  <c r="D413" i="18" s="1"/>
  <c r="E414" i="18" s="1"/>
  <c r="D396" i="18"/>
  <c r="D394" i="18"/>
  <c r="R373" i="18"/>
  <c r="Q373" i="18"/>
  <c r="P373" i="18"/>
  <c r="O373" i="18"/>
  <c r="N373" i="18"/>
  <c r="M373" i="18"/>
  <c r="L373" i="18"/>
  <c r="K373" i="18"/>
  <c r="J373" i="18"/>
  <c r="I373" i="18"/>
  <c r="H373" i="18"/>
  <c r="G373" i="18"/>
  <c r="F373" i="18"/>
  <c r="E373" i="18"/>
  <c r="D373" i="18"/>
  <c r="D374" i="18" s="1"/>
  <c r="E375" i="18" s="1"/>
  <c r="H355" i="18"/>
  <c r="G355" i="18"/>
  <c r="F355" i="18"/>
  <c r="E355" i="18"/>
  <c r="D355" i="18"/>
  <c r="D356" i="18" s="1"/>
  <c r="E357" i="18" s="1"/>
  <c r="G334" i="18"/>
  <c r="F333" i="18"/>
  <c r="R315" i="18"/>
  <c r="Q315" i="18"/>
  <c r="P315" i="18"/>
  <c r="O315" i="18"/>
  <c r="N315" i="18"/>
  <c r="M315" i="18"/>
  <c r="L315" i="18"/>
  <c r="K315" i="18"/>
  <c r="J315" i="18"/>
  <c r="I315" i="18"/>
  <c r="H315" i="18"/>
  <c r="G315" i="18"/>
  <c r="F315" i="18"/>
  <c r="E315" i="18"/>
  <c r="D315" i="18"/>
  <c r="D316" i="18" s="1"/>
  <c r="E317" i="18" s="1"/>
  <c r="E304" i="18"/>
  <c r="D300" i="18"/>
  <c r="D298" i="18"/>
  <c r="AF297" i="18"/>
  <c r="AE297" i="18"/>
  <c r="AD297" i="18"/>
  <c r="AC297" i="18"/>
  <c r="AB297" i="18"/>
  <c r="AA297" i="18"/>
  <c r="Z297" i="18"/>
  <c r="Y297" i="18"/>
  <c r="X297" i="18"/>
  <c r="W297" i="18"/>
  <c r="V297" i="18"/>
  <c r="U297" i="18"/>
  <c r="T297" i="18"/>
  <c r="S297" i="18"/>
  <c r="D291" i="18"/>
  <c r="E284" i="18"/>
  <c r="F284" i="18" s="1"/>
  <c r="G284" i="18" s="1"/>
  <c r="H284" i="18" s="1"/>
  <c r="I284" i="18" s="1"/>
  <c r="J284" i="18" s="1"/>
  <c r="K284" i="18" s="1"/>
  <c r="L284" i="18" s="1"/>
  <c r="M284" i="18" s="1"/>
  <c r="M277" i="18"/>
  <c r="L277" i="18"/>
  <c r="K277" i="18"/>
  <c r="J277" i="18"/>
  <c r="I277" i="18"/>
  <c r="H277" i="18"/>
  <c r="G277" i="18"/>
  <c r="F277" i="18"/>
  <c r="E277" i="18"/>
  <c r="D277" i="18"/>
  <c r="D278" i="18" s="1"/>
  <c r="E279" i="18" s="1"/>
  <c r="D262" i="18"/>
  <c r="D260" i="18"/>
  <c r="E261" i="18" s="1"/>
  <c r="E255" i="18"/>
  <c r="E248" i="18"/>
  <c r="F248" i="18" s="1"/>
  <c r="G248" i="18" s="1"/>
  <c r="H248" i="18" s="1"/>
  <c r="I248" i="18" s="1"/>
  <c r="J248" i="18" s="1"/>
  <c r="K248" i="18" s="1"/>
  <c r="L248" i="18" s="1"/>
  <c r="M248" i="18" s="1"/>
  <c r="E229" i="18"/>
  <c r="F229" i="18" s="1"/>
  <c r="G229" i="18" s="1"/>
  <c r="H229" i="18" s="1"/>
  <c r="I229" i="18" s="1"/>
  <c r="J229" i="18" s="1"/>
  <c r="D225" i="18"/>
  <c r="D223" i="18"/>
  <c r="J222" i="18"/>
  <c r="I222" i="18"/>
  <c r="H222" i="18"/>
  <c r="G222" i="18"/>
  <c r="F222" i="18"/>
  <c r="E211" i="18"/>
  <c r="AB204" i="18"/>
  <c r="AA204" i="18"/>
  <c r="Z204" i="18"/>
  <c r="Y204" i="18"/>
  <c r="X204" i="18"/>
  <c r="W204" i="18"/>
  <c r="V204" i="18"/>
  <c r="U204" i="18"/>
  <c r="T204" i="18"/>
  <c r="S204" i="18"/>
  <c r="R204" i="18"/>
  <c r="Q204" i="18"/>
  <c r="P204" i="18"/>
  <c r="O204" i="18"/>
  <c r="N204" i="18"/>
  <c r="M204" i="18"/>
  <c r="L204" i="18"/>
  <c r="K204" i="18"/>
  <c r="J204" i="18"/>
  <c r="I204" i="18"/>
  <c r="H204" i="18"/>
  <c r="G204" i="18"/>
  <c r="F204" i="18"/>
  <c r="E204" i="18"/>
  <c r="D204" i="18"/>
  <c r="D205" i="18" s="1"/>
  <c r="E206" i="18" s="1"/>
  <c r="E196" i="18"/>
  <c r="D182" i="18"/>
  <c r="R180" i="18"/>
  <c r="Q180" i="18"/>
  <c r="P180" i="18"/>
  <c r="O180" i="18"/>
  <c r="N180" i="18"/>
  <c r="M180" i="18"/>
  <c r="L180" i="18"/>
  <c r="K180" i="18"/>
  <c r="J180" i="18"/>
  <c r="I180" i="18"/>
  <c r="H180" i="18"/>
  <c r="G180" i="18"/>
  <c r="F180" i="18"/>
  <c r="E180" i="18"/>
  <c r="D180" i="18"/>
  <c r="D181" i="18" s="1"/>
  <c r="D161" i="18"/>
  <c r="R159" i="18"/>
  <c r="R160" i="18" s="1"/>
  <c r="E155" i="18"/>
  <c r="E145" i="18"/>
  <c r="D141" i="18"/>
  <c r="D139" i="18"/>
  <c r="AF138" i="18"/>
  <c r="AE138" i="18"/>
  <c r="AD138" i="18"/>
  <c r="AC138" i="18"/>
  <c r="AB138" i="18"/>
  <c r="AA138" i="18"/>
  <c r="Z138" i="18"/>
  <c r="Y138" i="18"/>
  <c r="X138" i="18"/>
  <c r="W138" i="18"/>
  <c r="V138" i="18"/>
  <c r="U138" i="18"/>
  <c r="T138" i="18"/>
  <c r="E126" i="18"/>
  <c r="D122" i="18"/>
  <c r="D120" i="18"/>
  <c r="E121" i="18" s="1"/>
  <c r="AG119" i="18"/>
  <c r="AF119" i="18"/>
  <c r="AE119" i="18"/>
  <c r="AD119" i="18"/>
  <c r="AC119" i="18"/>
  <c r="AB119" i="18"/>
  <c r="AA119" i="18"/>
  <c r="Z119" i="18"/>
  <c r="Y119" i="18"/>
  <c r="X119" i="18"/>
  <c r="W119" i="18"/>
  <c r="V119" i="18"/>
  <c r="U119" i="18"/>
  <c r="T119" i="18"/>
  <c r="S119" i="18"/>
  <c r="D115" i="18"/>
  <c r="E107" i="18"/>
  <c r="F107" i="18" s="1"/>
  <c r="G107" i="18" s="1"/>
  <c r="H107" i="18" s="1"/>
  <c r="I107" i="18" s="1"/>
  <c r="J107" i="18" s="1"/>
  <c r="J100" i="18"/>
  <c r="I100" i="18"/>
  <c r="H100" i="18"/>
  <c r="G100" i="18"/>
  <c r="F100" i="18"/>
  <c r="E100" i="18"/>
  <c r="D100" i="18"/>
  <c r="D101" i="18" s="1"/>
  <c r="E102" i="18" s="1"/>
  <c r="D82" i="18"/>
  <c r="M80" i="18"/>
  <c r="L80" i="18"/>
  <c r="K80" i="18"/>
  <c r="J80" i="18"/>
  <c r="I80" i="18"/>
  <c r="H80" i="18"/>
  <c r="G80" i="18"/>
  <c r="F80" i="18"/>
  <c r="E80" i="18"/>
  <c r="D80" i="18"/>
  <c r="D81" i="18" s="1"/>
  <c r="M63" i="18"/>
  <c r="L63" i="18"/>
  <c r="K63" i="18"/>
  <c r="J63" i="18"/>
  <c r="I63" i="18"/>
  <c r="H63" i="18"/>
  <c r="G63" i="18"/>
  <c r="F63" i="18"/>
  <c r="E63" i="18"/>
  <c r="D63" i="18"/>
  <c r="D64" i="18" s="1"/>
  <c r="E65" i="18" s="1"/>
  <c r="M47" i="18"/>
  <c r="L47" i="18"/>
  <c r="K47" i="18"/>
  <c r="J47" i="18"/>
  <c r="I47" i="18"/>
  <c r="H47" i="18"/>
  <c r="G47" i="18"/>
  <c r="F47" i="18"/>
  <c r="E47" i="18"/>
  <c r="D47" i="18"/>
  <c r="D48" i="18" s="1"/>
  <c r="E49" i="18" s="1"/>
  <c r="E36" i="18"/>
  <c r="F36" i="18" s="1"/>
  <c r="G36" i="18" s="1"/>
  <c r="H36" i="18" s="1"/>
  <c r="I36" i="18" s="1"/>
  <c r="J36" i="18" s="1"/>
  <c r="K36" i="18" s="1"/>
  <c r="L36" i="18" s="1"/>
  <c r="D31" i="18"/>
  <c r="D32" i="18" s="1"/>
  <c r="D30" i="18"/>
  <c r="E31" i="18" s="1"/>
  <c r="E32" i="18" s="1"/>
  <c r="L29" i="18"/>
  <c r="K29" i="18"/>
  <c r="J29" i="18"/>
  <c r="I29" i="18"/>
  <c r="H29" i="18"/>
  <c r="G29" i="18"/>
  <c r="E18" i="18"/>
  <c r="F18" i="18" s="1"/>
  <c r="G18" i="18" s="1"/>
  <c r="H18" i="18" s="1"/>
  <c r="I18" i="18" s="1"/>
  <c r="J18" i="18" s="1"/>
  <c r="D13" i="18"/>
  <c r="D14" i="18" s="1"/>
  <c r="D12" i="18"/>
  <c r="E13" i="18" s="1"/>
  <c r="E14" i="18" s="1"/>
  <c r="J11" i="18"/>
  <c r="I11" i="18"/>
  <c r="H11" i="18"/>
  <c r="G11" i="18"/>
  <c r="F11" i="18"/>
  <c r="C1" i="18"/>
  <c r="AA327" i="6"/>
  <c r="Z327" i="6"/>
  <c r="Y326" i="6"/>
  <c r="Y327" i="6" s="1"/>
  <c r="X326" i="6"/>
  <c r="X327" i="6" s="1"/>
  <c r="W326" i="6"/>
  <c r="W327" i="6" s="1"/>
  <c r="V326" i="6"/>
  <c r="V327" i="6" s="1"/>
  <c r="U326" i="6"/>
  <c r="U327" i="6" s="1"/>
  <c r="AI320" i="6"/>
  <c r="V318" i="6"/>
  <c r="V312" i="6"/>
  <c r="W312" i="6" s="1"/>
  <c r="X312" i="6" s="1"/>
  <c r="Y312" i="6" s="1"/>
  <c r="Z312" i="6" s="1"/>
  <c r="AA312" i="6" s="1"/>
  <c r="AB312" i="6" s="1"/>
  <c r="AC312" i="6" s="1"/>
  <c r="AD312" i="6" s="1"/>
  <c r="AE312" i="6" s="1"/>
  <c r="AF312" i="6" s="1"/>
  <c r="AG312" i="6" s="1"/>
  <c r="AH312" i="6" s="1"/>
  <c r="AI312" i="6" s="1"/>
  <c r="AJ312" i="6" s="1"/>
  <c r="AK312" i="6" s="1"/>
  <c r="AL312" i="6" s="1"/>
  <c r="AM312" i="6" s="1"/>
  <c r="AN312" i="6" s="1"/>
  <c r="AO312" i="6" s="1"/>
  <c r="AP312" i="6" s="1"/>
  <c r="AQ312" i="6" s="1"/>
  <c r="AR312" i="6" s="1"/>
  <c r="AS312" i="6" s="1"/>
  <c r="U307" i="6"/>
  <c r="U308" i="6" s="1"/>
  <c r="U306" i="6"/>
  <c r="V307" i="6" s="1"/>
  <c r="V308" i="6" s="1"/>
  <c r="U302" i="6"/>
  <c r="AI301" i="6"/>
  <c r="V293" i="6"/>
  <c r="W293" i="6" s="1"/>
  <c r="X293" i="6" s="1"/>
  <c r="Y293" i="6" s="1"/>
  <c r="Y288" i="6"/>
  <c r="Y289" i="6" s="1"/>
  <c r="X288" i="6"/>
  <c r="X289" i="6" s="1"/>
  <c r="W288" i="6"/>
  <c r="W289" i="6" s="1"/>
  <c r="V288" i="6"/>
  <c r="V289" i="6" s="1"/>
  <c r="U288" i="6"/>
  <c r="U289" i="6" s="1"/>
  <c r="V275" i="6"/>
  <c r="W275" i="6" s="1"/>
  <c r="X275" i="6" s="1"/>
  <c r="Y275" i="6" s="1"/>
  <c r="Z275" i="6" s="1"/>
  <c r="AA275" i="6" s="1"/>
  <c r="AB275" i="6" s="1"/>
  <c r="AC275" i="6" s="1"/>
  <c r="AD275" i="6" s="1"/>
  <c r="AE275" i="6" s="1"/>
  <c r="AF275" i="6" s="1"/>
  <c r="AG275" i="6" s="1"/>
  <c r="AH275" i="6" s="1"/>
  <c r="AI275" i="6" s="1"/>
  <c r="U270" i="6"/>
  <c r="U269" i="6"/>
  <c r="V270" i="6" s="1"/>
  <c r="V271" i="6" s="1"/>
  <c r="V257" i="6"/>
  <c r="W257" i="6" s="1"/>
  <c r="X257" i="6" s="1"/>
  <c r="Y257" i="6" s="1"/>
  <c r="Z257" i="6" s="1"/>
  <c r="AA257" i="6" s="1"/>
  <c r="AB257" i="6" s="1"/>
  <c r="AC257" i="6" s="1"/>
  <c r="AD257" i="6" s="1"/>
  <c r="AE257" i="6" s="1"/>
  <c r="AF257" i="6" s="1"/>
  <c r="AG257" i="6" s="1"/>
  <c r="AH257" i="6" s="1"/>
  <c r="AI257" i="6" s="1"/>
  <c r="U252" i="6"/>
  <c r="U251" i="6"/>
  <c r="V252" i="6" s="1"/>
  <c r="V253" i="6" s="1"/>
  <c r="U239" i="6"/>
  <c r="V239" i="6" s="1"/>
  <c r="W239" i="6" s="1"/>
  <c r="X239" i="6" s="1"/>
  <c r="Y239" i="6" s="1"/>
  <c r="U234" i="6"/>
  <c r="U235" i="6" s="1"/>
  <c r="U233" i="6"/>
  <c r="V233" i="6" s="1"/>
  <c r="U220" i="6"/>
  <c r="V220" i="6" s="1"/>
  <c r="W220" i="6" s="1"/>
  <c r="X220" i="6" s="1"/>
  <c r="Y220" i="6" s="1"/>
  <c r="Z220" i="6" s="1"/>
  <c r="AA220" i="6" s="1"/>
  <c r="AB220" i="6" s="1"/>
  <c r="AC220" i="6" s="1"/>
  <c r="AD220" i="6" s="1"/>
  <c r="AE220" i="6" s="1"/>
  <c r="AF220" i="6" s="1"/>
  <c r="AG220" i="6" s="1"/>
  <c r="AH220" i="6" s="1"/>
  <c r="AI220" i="6" s="1"/>
  <c r="U215" i="6"/>
  <c r="U216" i="6" s="1"/>
  <c r="U214" i="6"/>
  <c r="V214" i="6" s="1"/>
  <c r="U201" i="6"/>
  <c r="V201" i="6" s="1"/>
  <c r="W201" i="6" s="1"/>
  <c r="X201" i="6" s="1"/>
  <c r="Y201" i="6" s="1"/>
  <c r="Z201" i="6" s="1"/>
  <c r="AA201" i="6" s="1"/>
  <c r="AB201" i="6" s="1"/>
  <c r="AC201" i="6" s="1"/>
  <c r="AD201" i="6" s="1"/>
  <c r="U196" i="6"/>
  <c r="U197" i="6" s="1"/>
  <c r="U195" i="6"/>
  <c r="V196" i="6" s="1"/>
  <c r="V197" i="6" s="1"/>
  <c r="U182" i="6"/>
  <c r="V182" i="6" s="1"/>
  <c r="W182" i="6" s="1"/>
  <c r="X182" i="6" s="1"/>
  <c r="Y182" i="6" s="1"/>
  <c r="Z182" i="6" s="1"/>
  <c r="AA182" i="6" s="1"/>
  <c r="AB182" i="6" s="1"/>
  <c r="AC182" i="6" s="1"/>
  <c r="AD182" i="6" s="1"/>
  <c r="U177" i="6"/>
  <c r="U178" i="6" s="1"/>
  <c r="U176" i="6"/>
  <c r="V176" i="6" s="1"/>
  <c r="W176" i="6" s="1"/>
  <c r="U163" i="6"/>
  <c r="V163" i="6" s="1"/>
  <c r="W163" i="6" s="1"/>
  <c r="X163" i="6" s="1"/>
  <c r="Y163" i="6" s="1"/>
  <c r="Z163" i="6" s="1"/>
  <c r="AA163" i="6" s="1"/>
  <c r="AB163" i="6" s="1"/>
  <c r="AC163" i="6" s="1"/>
  <c r="AD163" i="6" s="1"/>
  <c r="U158" i="6"/>
  <c r="U159" i="6" s="1"/>
  <c r="U157" i="6"/>
  <c r="V158" i="6" s="1"/>
  <c r="V159" i="6" s="1"/>
  <c r="U144" i="6"/>
  <c r="V144" i="6" s="1"/>
  <c r="W144" i="6" s="1"/>
  <c r="X144" i="6" s="1"/>
  <c r="Y144" i="6" s="1"/>
  <c r="Z144" i="6" s="1"/>
  <c r="AA144" i="6" s="1"/>
  <c r="AB144" i="6" s="1"/>
  <c r="AC144" i="6" s="1"/>
  <c r="AD144" i="6" s="1"/>
  <c r="AE144" i="6" s="1"/>
  <c r="AF144" i="6" s="1"/>
  <c r="AG144" i="6" s="1"/>
  <c r="AH144" i="6" s="1"/>
  <c r="AI144" i="6" s="1"/>
  <c r="U139" i="6"/>
  <c r="U140" i="6" s="1"/>
  <c r="U138" i="6"/>
  <c r="V125" i="6"/>
  <c r="W125" i="6" s="1"/>
  <c r="X125" i="6" s="1"/>
  <c r="Y125" i="6" s="1"/>
  <c r="Z125" i="6" s="1"/>
  <c r="AA125" i="6" s="1"/>
  <c r="AB125" i="6" s="1"/>
  <c r="AC125" i="6" s="1"/>
  <c r="AD125" i="6" s="1"/>
  <c r="AE125" i="6" s="1"/>
  <c r="AF125" i="6" s="1"/>
  <c r="AG125" i="6" s="1"/>
  <c r="AH125" i="6" s="1"/>
  <c r="AI125" i="6" s="1"/>
  <c r="U120" i="6"/>
  <c r="U121" i="6" s="1"/>
  <c r="U119" i="6"/>
  <c r="V119" i="6" s="1"/>
  <c r="V106" i="6"/>
  <c r="W106" i="6" s="1"/>
  <c r="X106" i="6" s="1"/>
  <c r="Y106" i="6" s="1"/>
  <c r="J104" i="6"/>
  <c r="J103" i="6"/>
  <c r="J102" i="6"/>
  <c r="U101" i="6"/>
  <c r="U102" i="6" s="1"/>
  <c r="J101" i="6"/>
  <c r="U100" i="6"/>
  <c r="V101" i="6" s="1"/>
  <c r="V102" i="6" s="1"/>
  <c r="J100" i="6"/>
  <c r="J99" i="6"/>
  <c r="J98" i="6"/>
  <c r="J97" i="6"/>
  <c r="J96" i="6"/>
  <c r="J95" i="6"/>
  <c r="J94" i="6"/>
  <c r="J93" i="6"/>
  <c r="J92" i="6"/>
  <c r="J91" i="6"/>
  <c r="J90" i="6"/>
  <c r="J89" i="6"/>
  <c r="V88" i="6"/>
  <c r="W88" i="6" s="1"/>
  <c r="X88" i="6" s="1"/>
  <c r="Y88" i="6" s="1"/>
  <c r="J88" i="6"/>
  <c r="J87" i="6"/>
  <c r="J86" i="6"/>
  <c r="J85" i="6"/>
  <c r="J84" i="6"/>
  <c r="U83" i="6"/>
  <c r="U84" i="6" s="1"/>
  <c r="J83" i="6"/>
  <c r="U82" i="6"/>
  <c r="V83" i="6" s="1"/>
  <c r="V84" i="6" s="1"/>
  <c r="J82" i="6"/>
  <c r="J81" i="6"/>
  <c r="J80" i="6"/>
  <c r="J79" i="6"/>
  <c r="J78" i="6"/>
  <c r="J77" i="6"/>
  <c r="J76" i="6"/>
  <c r="J75" i="6"/>
  <c r="K73" i="6"/>
  <c r="J73" i="6" s="1"/>
  <c r="K72" i="6"/>
  <c r="J72" i="6" s="1"/>
  <c r="V69" i="6"/>
  <c r="W69" i="6" s="1"/>
  <c r="X69" i="6" s="1"/>
  <c r="Y69" i="6" s="1"/>
  <c r="Z69" i="6" s="1"/>
  <c r="AA69" i="6" s="1"/>
  <c r="U63" i="6"/>
  <c r="U60" i="6"/>
  <c r="V50" i="6"/>
  <c r="W50" i="6" s="1"/>
  <c r="X50" i="6" s="1"/>
  <c r="Y50" i="6" s="1"/>
  <c r="Z50" i="6" s="1"/>
  <c r="AA50" i="6" s="1"/>
  <c r="AB50" i="6" s="1"/>
  <c r="AC50" i="6" s="1"/>
  <c r="AD50" i="6" s="1"/>
  <c r="AE50" i="6" s="1"/>
  <c r="AF50" i="6" s="1"/>
  <c r="AG50" i="6" s="1"/>
  <c r="AH50" i="6" s="1"/>
  <c r="AI50" i="6" s="1"/>
  <c r="U45" i="6"/>
  <c r="U46" i="6" s="1"/>
  <c r="U44" i="6"/>
  <c r="V45" i="6" s="1"/>
  <c r="V46" i="6" s="1"/>
  <c r="V30" i="6"/>
  <c r="W30" i="6" s="1"/>
  <c r="X30" i="6" s="1"/>
  <c r="Y30" i="6" s="1"/>
  <c r="U25" i="6"/>
  <c r="U26" i="6" s="1"/>
  <c r="U24" i="6"/>
  <c r="V25" i="6" s="1"/>
  <c r="V26" i="6" s="1"/>
  <c r="V11" i="6"/>
  <c r="W11" i="6" s="1"/>
  <c r="X11" i="6" s="1"/>
  <c r="Y11" i="6" s="1"/>
  <c r="Z11" i="6" s="1"/>
  <c r="AA11" i="6" s="1"/>
  <c r="AB11" i="6" s="1"/>
  <c r="AC11" i="6" s="1"/>
  <c r="AD11" i="6" s="1"/>
  <c r="AE11" i="6" s="1"/>
  <c r="AF11" i="6" s="1"/>
  <c r="AG11" i="6" s="1"/>
  <c r="AH11" i="6" s="1"/>
  <c r="AI11" i="6" s="1"/>
  <c r="A6" i="30"/>
  <c r="U6" i="6"/>
  <c r="U7" i="6" s="1"/>
  <c r="U5" i="6"/>
  <c r="V6" i="6" s="1"/>
  <c r="V7" i="6" s="1"/>
  <c r="K4" i="6"/>
  <c r="K3" i="6"/>
  <c r="G17" i="3"/>
  <c r="G6" i="3"/>
  <c r="X3" i="3"/>
  <c r="G2" i="3"/>
  <c r="H2" i="3" s="1"/>
  <c r="B49" i="3" s="1"/>
  <c r="Q223" i="2"/>
  <c r="P223" i="2"/>
  <c r="O223" i="2"/>
  <c r="N223" i="2"/>
  <c r="AB223" i="2"/>
  <c r="AA223" i="2"/>
  <c r="M223" i="2"/>
  <c r="L223" i="2"/>
  <c r="K223" i="2"/>
  <c r="J223" i="2"/>
  <c r="Q222" i="2"/>
  <c r="P222" i="2"/>
  <c r="O222" i="2"/>
  <c r="N222" i="2"/>
  <c r="AB222" i="2"/>
  <c r="AA222" i="2"/>
  <c r="M222" i="2"/>
  <c r="L222" i="2"/>
  <c r="K222" i="2"/>
  <c r="J222" i="2"/>
  <c r="Q221" i="2"/>
  <c r="P221" i="2"/>
  <c r="O221" i="2"/>
  <c r="N221" i="2"/>
  <c r="AB221" i="2"/>
  <c r="AA221" i="2"/>
  <c r="M221" i="2"/>
  <c r="L221" i="2"/>
  <c r="K221" i="2"/>
  <c r="J221" i="2"/>
  <c r="Q220" i="2"/>
  <c r="P220" i="2"/>
  <c r="O220" i="2"/>
  <c r="N220" i="2"/>
  <c r="AB220" i="2"/>
  <c r="AA220" i="2"/>
  <c r="M220" i="2"/>
  <c r="L220" i="2"/>
  <c r="K220" i="2"/>
  <c r="J220" i="2"/>
  <c r="AB219" i="2"/>
  <c r="AA219" i="2"/>
  <c r="M219" i="2"/>
  <c r="L219" i="2"/>
  <c r="K219" i="2"/>
  <c r="J219" i="2"/>
  <c r="Q218" i="2"/>
  <c r="P218" i="2"/>
  <c r="O218" i="2"/>
  <c r="N218" i="2"/>
  <c r="AB218" i="2"/>
  <c r="AA218" i="2"/>
  <c r="M218" i="2"/>
  <c r="L218" i="2"/>
  <c r="K218" i="2"/>
  <c r="J218" i="2"/>
  <c r="Q217" i="2"/>
  <c r="P217" i="2"/>
  <c r="O217" i="2"/>
  <c r="N217" i="2"/>
  <c r="AB217" i="2"/>
  <c r="AA217" i="2"/>
  <c r="M217" i="2"/>
  <c r="L217" i="2"/>
  <c r="K217" i="2"/>
  <c r="J217" i="2"/>
  <c r="Q216" i="2"/>
  <c r="P216" i="2"/>
  <c r="O216" i="2"/>
  <c r="N216" i="2"/>
  <c r="AB216" i="2"/>
  <c r="AA216" i="2"/>
  <c r="M216" i="2"/>
  <c r="L216" i="2"/>
  <c r="K216" i="2"/>
  <c r="J216" i="2"/>
  <c r="AB215" i="2"/>
  <c r="AA215" i="2"/>
  <c r="M215" i="2"/>
  <c r="L215" i="2"/>
  <c r="K215" i="2"/>
  <c r="J215" i="2"/>
  <c r="Q214" i="2"/>
  <c r="P214" i="2"/>
  <c r="O214" i="2"/>
  <c r="N214" i="2"/>
  <c r="AB214" i="2"/>
  <c r="M214" i="2"/>
  <c r="L214" i="2"/>
  <c r="K214" i="2"/>
  <c r="J214" i="2"/>
  <c r="Q213" i="2"/>
  <c r="P213" i="2"/>
  <c r="O213" i="2"/>
  <c r="N213" i="2"/>
  <c r="AB213" i="2"/>
  <c r="AA213" i="2"/>
  <c r="M213" i="2"/>
  <c r="L213" i="2"/>
  <c r="K213" i="2"/>
  <c r="J213" i="2"/>
  <c r="Q212" i="2"/>
  <c r="P212" i="2"/>
  <c r="O212" i="2"/>
  <c r="N212" i="2"/>
  <c r="AB212" i="2"/>
  <c r="AA212" i="2"/>
  <c r="M212" i="2"/>
  <c r="L212" i="2"/>
  <c r="K212" i="2"/>
  <c r="J212" i="2"/>
  <c r="Q211" i="2"/>
  <c r="P211" i="2"/>
  <c r="O211" i="2"/>
  <c r="N211" i="2"/>
  <c r="AB211" i="2"/>
  <c r="AA211" i="2"/>
  <c r="M211" i="2"/>
  <c r="L211" i="2"/>
  <c r="K211" i="2"/>
  <c r="J211" i="2"/>
  <c r="Q210" i="2"/>
  <c r="P210" i="2"/>
  <c r="O210" i="2"/>
  <c r="N210" i="2"/>
  <c r="AB210" i="2"/>
  <c r="AA210" i="2"/>
  <c r="M210" i="2"/>
  <c r="L210" i="2"/>
  <c r="K210" i="2"/>
  <c r="J210" i="2"/>
  <c r="Q209" i="2"/>
  <c r="P209" i="2"/>
  <c r="O209" i="2"/>
  <c r="N209" i="2"/>
  <c r="L209" i="2"/>
  <c r="K209" i="2"/>
  <c r="J209" i="2"/>
  <c r="Q208" i="2"/>
  <c r="P208" i="2"/>
  <c r="O208" i="2"/>
  <c r="N208" i="2"/>
  <c r="AB208" i="2"/>
  <c r="AA208" i="2"/>
  <c r="M208" i="2"/>
  <c r="L208" i="2"/>
  <c r="K208" i="2"/>
  <c r="J208" i="2"/>
  <c r="Q207" i="2"/>
  <c r="P207" i="2"/>
  <c r="O207" i="2"/>
  <c r="N207" i="2"/>
  <c r="AB207" i="2"/>
  <c r="AA207" i="2"/>
  <c r="M207" i="2"/>
  <c r="L207" i="2"/>
  <c r="K207" i="2"/>
  <c r="J207" i="2"/>
  <c r="Q206" i="2"/>
  <c r="P206" i="2"/>
  <c r="O206" i="2"/>
  <c r="N206" i="2"/>
  <c r="AB206" i="2"/>
  <c r="AA206" i="2"/>
  <c r="M206" i="2"/>
  <c r="L206" i="2"/>
  <c r="K206" i="2"/>
  <c r="J206" i="2"/>
  <c r="Q205" i="2"/>
  <c r="P205" i="2"/>
  <c r="O205" i="2"/>
  <c r="N205" i="2"/>
  <c r="AB205" i="2"/>
  <c r="AA205" i="2"/>
  <c r="M205" i="2"/>
  <c r="L205" i="2"/>
  <c r="K205" i="2"/>
  <c r="J205" i="2"/>
  <c r="Q204" i="2"/>
  <c r="P204" i="2"/>
  <c r="O204" i="2"/>
  <c r="N204" i="2"/>
  <c r="AB204" i="2"/>
  <c r="AA204" i="2"/>
  <c r="M204" i="2"/>
  <c r="L204" i="2"/>
  <c r="K204" i="2"/>
  <c r="J204" i="2"/>
  <c r="Q203" i="2"/>
  <c r="P203" i="2"/>
  <c r="O203" i="2"/>
  <c r="N203" i="2"/>
  <c r="AB203" i="2"/>
  <c r="AA203" i="2"/>
  <c r="M203" i="2"/>
  <c r="L203" i="2"/>
  <c r="K203" i="2"/>
  <c r="J203" i="2"/>
  <c r="Q202" i="2"/>
  <c r="P202" i="2"/>
  <c r="O202" i="2"/>
  <c r="N202" i="2"/>
  <c r="AB202" i="2"/>
  <c r="AA202" i="2"/>
  <c r="M202" i="2"/>
  <c r="L202" i="2"/>
  <c r="K202" i="2"/>
  <c r="J202" i="2"/>
  <c r="Q201" i="2"/>
  <c r="P201" i="2"/>
  <c r="O201" i="2"/>
  <c r="N201" i="2"/>
  <c r="AB201" i="2"/>
  <c r="AA201" i="2"/>
  <c r="L201" i="2"/>
  <c r="K201" i="2"/>
  <c r="J201" i="2"/>
  <c r="Q200" i="2"/>
  <c r="P200" i="2"/>
  <c r="L200" i="2"/>
  <c r="K200" i="2"/>
  <c r="J200" i="2"/>
  <c r="Q199" i="2"/>
  <c r="P199" i="2"/>
  <c r="O199" i="2"/>
  <c r="N199" i="2"/>
  <c r="AB199" i="2"/>
  <c r="AA199" i="2"/>
  <c r="Q198" i="2"/>
  <c r="P198" i="2"/>
  <c r="O198" i="2"/>
  <c r="N198" i="2"/>
  <c r="AB198" i="2"/>
  <c r="AA198" i="2"/>
  <c r="Q197" i="2"/>
  <c r="P197" i="2"/>
  <c r="O197" i="2"/>
  <c r="N197" i="2"/>
  <c r="AB197" i="2"/>
  <c r="AA197" i="2"/>
  <c r="Q196" i="2"/>
  <c r="P196" i="2"/>
  <c r="O196" i="2"/>
  <c r="N196" i="2"/>
  <c r="AB196" i="2"/>
  <c r="AA196" i="2"/>
  <c r="AB195" i="2"/>
  <c r="AA195" i="2"/>
  <c r="AB185" i="2"/>
  <c r="AB184" i="2"/>
  <c r="AB183" i="2"/>
  <c r="Z182" i="2"/>
  <c r="Z96" i="2"/>
  <c r="Z66" i="2"/>
  <c r="I2427" i="1"/>
  <c r="M2230" i="1"/>
  <c r="I2230" i="1"/>
  <c r="I2128" i="1"/>
  <c r="N92" i="2" s="1"/>
  <c r="O2056" i="1"/>
  <c r="Q1396" i="1"/>
  <c r="M1178" i="1"/>
  <c r="M1172" i="1"/>
  <c r="M1171" i="1"/>
  <c r="M1170" i="1"/>
  <c r="M1169" i="1"/>
  <c r="M1168" i="1"/>
  <c r="M1166" i="1"/>
  <c r="M1165" i="1"/>
  <c r="M1164" i="1"/>
  <c r="M1159" i="1"/>
  <c r="M1158" i="1"/>
  <c r="M1157" i="1"/>
  <c r="M1156" i="1"/>
  <c r="M1155" i="1"/>
  <c r="M1153" i="1"/>
  <c r="M1152" i="1"/>
  <c r="M1151" i="1"/>
  <c r="M1150" i="1"/>
  <c r="M1149" i="1"/>
  <c r="M1148" i="1"/>
  <c r="I1148" i="1"/>
  <c r="M1147" i="1"/>
  <c r="M1146" i="1"/>
  <c r="M1145" i="1"/>
  <c r="M1144" i="1"/>
  <c r="M1142" i="1"/>
  <c r="M1141" i="1"/>
  <c r="M1140" i="1"/>
  <c r="M1139" i="1"/>
  <c r="M1138" i="1"/>
  <c r="M1137" i="1"/>
  <c r="M1136" i="1"/>
  <c r="M1132" i="1"/>
  <c r="M1131" i="1"/>
  <c r="M1125" i="1"/>
  <c r="M1124" i="1"/>
  <c r="M1123" i="1"/>
  <c r="M1121" i="1"/>
  <c r="M1118" i="1"/>
  <c r="U33" i="2" s="1"/>
  <c r="M1115" i="1"/>
  <c r="M1114" i="1"/>
  <c r="M1109" i="1"/>
  <c r="M1108" i="1"/>
  <c r="M1107" i="1"/>
  <c r="M1106" i="1"/>
  <c r="M1105" i="1"/>
  <c r="M1104" i="1"/>
  <c r="M1100" i="1"/>
  <c r="M1099" i="1"/>
  <c r="M1096" i="1"/>
  <c r="M1093" i="1"/>
  <c r="M1092" i="1"/>
  <c r="M1091" i="1"/>
  <c r="M1090" i="1"/>
  <c r="M1089" i="1"/>
  <c r="M1088" i="1"/>
  <c r="M1087" i="1"/>
  <c r="M1086" i="1"/>
  <c r="M1085" i="1"/>
  <c r="M1084" i="1"/>
  <c r="M1083" i="1"/>
  <c r="I1083" i="1"/>
  <c r="M1080" i="1"/>
  <c r="M1079" i="1"/>
  <c r="M1078" i="1"/>
  <c r="M1077" i="1"/>
  <c r="M1076" i="1"/>
  <c r="M1075" i="1"/>
  <c r="M1074" i="1"/>
  <c r="M1071" i="1"/>
  <c r="M1070" i="1"/>
  <c r="M1067" i="1"/>
  <c r="M1066" i="1"/>
  <c r="M1065" i="1"/>
  <c r="M1064" i="1"/>
  <c r="M1063" i="1"/>
  <c r="M1061" i="1"/>
  <c r="U32" i="2" s="1"/>
  <c r="M1057" i="1"/>
  <c r="M1056" i="1"/>
  <c r="M1052" i="1"/>
  <c r="M1050" i="1"/>
  <c r="M1048" i="1"/>
  <c r="M1047" i="1"/>
  <c r="M1046" i="1"/>
  <c r="M1045" i="1"/>
  <c r="M1044" i="1"/>
  <c r="M1043" i="1"/>
  <c r="M1042" i="1"/>
  <c r="M1041" i="1"/>
  <c r="M1040" i="1"/>
  <c r="M1039" i="1"/>
  <c r="M1038" i="1"/>
  <c r="M1037" i="1"/>
  <c r="M1035" i="1"/>
  <c r="M1029" i="1"/>
  <c r="M1027" i="1"/>
  <c r="M1021" i="1"/>
  <c r="M1020" i="1"/>
  <c r="M1019" i="1"/>
  <c r="M1017" i="1"/>
  <c r="M1016" i="1"/>
  <c r="M1015" i="1"/>
  <c r="M1014" i="1"/>
  <c r="H1009" i="1"/>
  <c r="M1008" i="1"/>
  <c r="M1007" i="1"/>
  <c r="M1004" i="1"/>
  <c r="M1009" i="1" s="1"/>
  <c r="M1000" i="1"/>
  <c r="H1000" i="1"/>
  <c r="M999" i="1"/>
  <c r="M998" i="1"/>
  <c r="H998" i="1"/>
  <c r="M997" i="1"/>
  <c r="M996" i="1"/>
  <c r="M995" i="1"/>
  <c r="M994" i="1"/>
  <c r="H994" i="1"/>
  <c r="M993" i="1"/>
  <c r="M991" i="1"/>
  <c r="M990" i="1"/>
  <c r="H990" i="1"/>
  <c r="M989" i="1"/>
  <c r="H989" i="1"/>
  <c r="M988" i="1"/>
  <c r="H986" i="1"/>
  <c r="M980" i="1"/>
  <c r="M979" i="1"/>
  <c r="M978" i="1"/>
  <c r="M977" i="1"/>
  <c r="H977" i="1"/>
  <c r="M976" i="1"/>
  <c r="H976" i="1"/>
  <c r="M975" i="1"/>
  <c r="H975" i="1"/>
  <c r="M972" i="1"/>
  <c r="M971" i="1"/>
  <c r="M970" i="1"/>
  <c r="M969" i="1"/>
  <c r="M968" i="1"/>
  <c r="U31" i="2" s="1"/>
  <c r="M967" i="1"/>
  <c r="H967" i="1"/>
  <c r="M966" i="1"/>
  <c r="M965" i="1"/>
  <c r="M963" i="1"/>
  <c r="M962" i="1"/>
  <c r="M961" i="1"/>
  <c r="M960" i="1"/>
  <c r="M959" i="1"/>
  <c r="M958" i="1"/>
  <c r="M957" i="1"/>
  <c r="M956" i="1"/>
  <c r="M955" i="1"/>
  <c r="H955" i="1"/>
  <c r="M953" i="1"/>
  <c r="M952" i="1"/>
  <c r="M951" i="1"/>
  <c r="M950" i="1"/>
  <c r="M949" i="1"/>
  <c r="M948" i="1"/>
  <c r="M945" i="1"/>
  <c r="M944" i="1"/>
  <c r="M943" i="1"/>
  <c r="M942" i="1"/>
  <c r="F942" i="1"/>
  <c r="M941" i="1"/>
  <c r="M940" i="1"/>
  <c r="M939" i="1"/>
  <c r="M938" i="1"/>
  <c r="M937" i="1"/>
  <c r="M936" i="1"/>
  <c r="M935" i="1"/>
  <c r="M934" i="1"/>
  <c r="M933" i="1"/>
  <c r="M932" i="1"/>
  <c r="M931" i="1"/>
  <c r="M930" i="1"/>
  <c r="M929" i="1"/>
  <c r="M928" i="1"/>
  <c r="M927" i="1"/>
  <c r="M926" i="1"/>
  <c r="U28" i="2" s="1"/>
  <c r="M925" i="1"/>
  <c r="M924" i="1"/>
  <c r="M923" i="1"/>
  <c r="M922" i="1"/>
  <c r="M921" i="1"/>
  <c r="M920" i="1"/>
  <c r="M919" i="1"/>
  <c r="M918" i="1"/>
  <c r="H918" i="1"/>
  <c r="M917" i="1"/>
  <c r="M916" i="1"/>
  <c r="M915" i="1"/>
  <c r="H915" i="1"/>
  <c r="M914" i="1"/>
  <c r="M913" i="1"/>
  <c r="M912" i="1"/>
  <c r="M911" i="1"/>
  <c r="M910" i="1"/>
  <c r="M909" i="1"/>
  <c r="M908" i="1"/>
  <c r="I908" i="1"/>
  <c r="M907" i="1"/>
  <c r="I907" i="1"/>
  <c r="M906" i="1"/>
  <c r="I906" i="1"/>
  <c r="M905" i="1"/>
  <c r="I905" i="1"/>
  <c r="M904" i="1"/>
  <c r="I904" i="1"/>
  <c r="M903" i="1"/>
  <c r="I903" i="1"/>
  <c r="M902" i="1"/>
  <c r="I902" i="1"/>
  <c r="M901" i="1"/>
  <c r="M900" i="1"/>
  <c r="M899" i="1"/>
  <c r="M898" i="1"/>
  <c r="M897" i="1"/>
  <c r="M896" i="1"/>
  <c r="M895" i="1"/>
  <c r="M894" i="1"/>
  <c r="M893" i="1"/>
  <c r="M892" i="1"/>
  <c r="M891" i="1"/>
  <c r="M890" i="1"/>
  <c r="M889" i="1"/>
  <c r="M888" i="1"/>
  <c r="M887" i="1"/>
  <c r="M886" i="1"/>
  <c r="M885" i="1"/>
  <c r="M884" i="1"/>
  <c r="M883" i="1"/>
  <c r="M882" i="1"/>
  <c r="M881" i="1"/>
  <c r="M880" i="1"/>
  <c r="M879" i="1"/>
  <c r="M878" i="1"/>
  <c r="M877" i="1"/>
  <c r="M876" i="1"/>
  <c r="M875" i="1"/>
  <c r="M874" i="1"/>
  <c r="M873" i="1"/>
  <c r="M872" i="1"/>
  <c r="M871" i="1"/>
  <c r="M870" i="1"/>
  <c r="M869" i="1"/>
  <c r="M868" i="1"/>
  <c r="M867" i="1"/>
  <c r="H867" i="1"/>
  <c r="M866" i="1"/>
  <c r="H866" i="1"/>
  <c r="M865" i="1"/>
  <c r="M864" i="1"/>
  <c r="M863" i="1"/>
  <c r="M862" i="1"/>
  <c r="M861" i="1"/>
  <c r="M860" i="1"/>
  <c r="M859" i="1"/>
  <c r="M858" i="1"/>
  <c r="U27" i="2" s="1"/>
  <c r="M857" i="1"/>
  <c r="M856" i="1"/>
  <c r="M855" i="1"/>
  <c r="M854" i="1"/>
  <c r="M853" i="1"/>
  <c r="M852" i="1"/>
  <c r="M851" i="1"/>
  <c r="M850" i="1"/>
  <c r="M849" i="1"/>
  <c r="M848" i="1"/>
  <c r="M847" i="1"/>
  <c r="M846" i="1"/>
  <c r="M845" i="1"/>
  <c r="M844" i="1"/>
  <c r="M843" i="1"/>
  <c r="M842" i="1"/>
  <c r="M841" i="1"/>
  <c r="M840" i="1"/>
  <c r="M839" i="1"/>
  <c r="M838" i="1"/>
  <c r="M837" i="1"/>
  <c r="M836" i="1"/>
  <c r="M835" i="1"/>
  <c r="M834" i="1"/>
  <c r="M833" i="1"/>
  <c r="M832" i="1"/>
  <c r="M831" i="1"/>
  <c r="M830" i="1"/>
  <c r="M829" i="1"/>
  <c r="M828" i="1"/>
  <c r="M827" i="1"/>
  <c r="M826" i="1"/>
  <c r="M825" i="1"/>
  <c r="M824" i="1"/>
  <c r="M823" i="1"/>
  <c r="M822" i="1"/>
  <c r="H822" i="1"/>
  <c r="M821" i="1"/>
  <c r="M820" i="1"/>
  <c r="M819" i="1"/>
  <c r="M818" i="1"/>
  <c r="M817" i="1"/>
  <c r="M816" i="1"/>
  <c r="M815" i="1"/>
  <c r="M814" i="1"/>
  <c r="M813" i="1"/>
  <c r="M812" i="1"/>
  <c r="M811" i="1"/>
  <c r="M810" i="1"/>
  <c r="M809" i="1"/>
  <c r="M808" i="1"/>
  <c r="M807" i="1"/>
  <c r="M806" i="1"/>
  <c r="M805" i="1"/>
  <c r="M804" i="1"/>
  <c r="M803" i="1"/>
  <c r="M802" i="1"/>
  <c r="M801" i="1"/>
  <c r="M800" i="1"/>
  <c r="M799" i="1"/>
  <c r="M798" i="1"/>
  <c r="M797" i="1"/>
  <c r="M796" i="1"/>
  <c r="M795" i="1"/>
  <c r="M794" i="1"/>
  <c r="M793" i="1"/>
  <c r="M792" i="1"/>
  <c r="M791" i="1"/>
  <c r="M790" i="1"/>
  <c r="M789" i="1"/>
  <c r="M788" i="1"/>
  <c r="M787" i="1"/>
  <c r="M786" i="1"/>
  <c r="M785" i="1"/>
  <c r="M784" i="1"/>
  <c r="M783" i="1"/>
  <c r="M782" i="1"/>
  <c r="M781" i="1"/>
  <c r="M780" i="1"/>
  <c r="M779" i="1"/>
  <c r="M778" i="1"/>
  <c r="M777" i="1"/>
  <c r="M776" i="1"/>
  <c r="M775" i="1"/>
  <c r="M774" i="1"/>
  <c r="M773" i="1"/>
  <c r="M772" i="1"/>
  <c r="M771" i="1"/>
  <c r="M770" i="1"/>
  <c r="M769" i="1"/>
  <c r="M768" i="1"/>
  <c r="M767" i="1"/>
  <c r="M766" i="1"/>
  <c r="M765" i="1"/>
  <c r="M764" i="1"/>
  <c r="M763" i="1"/>
  <c r="M762" i="1"/>
  <c r="M761" i="1"/>
  <c r="M760" i="1"/>
  <c r="M759" i="1"/>
  <c r="M758" i="1"/>
  <c r="M757" i="1"/>
  <c r="M756" i="1"/>
  <c r="M755" i="1"/>
  <c r="M754" i="1"/>
  <c r="M753" i="1"/>
  <c r="H753" i="1"/>
  <c r="M752" i="1"/>
  <c r="M751" i="1"/>
  <c r="M750" i="1"/>
  <c r="H750" i="1"/>
  <c r="M749" i="1"/>
  <c r="H749" i="1"/>
  <c r="M748" i="1"/>
  <c r="H748" i="1"/>
  <c r="M747" i="1"/>
  <c r="H747" i="1"/>
  <c r="M746" i="1"/>
  <c r="H746" i="1"/>
  <c r="M745" i="1"/>
  <c r="H745" i="1"/>
  <c r="M744" i="1"/>
  <c r="H744" i="1"/>
  <c r="M743" i="1"/>
  <c r="H743" i="1"/>
  <c r="M742" i="1"/>
  <c r="H742" i="1"/>
  <c r="M741" i="1"/>
  <c r="M740" i="1"/>
  <c r="M739" i="1"/>
  <c r="M738" i="1"/>
  <c r="M737" i="1"/>
  <c r="M736" i="1"/>
  <c r="M735" i="1"/>
  <c r="M734" i="1"/>
  <c r="M733" i="1"/>
  <c r="M732" i="1"/>
  <c r="M731" i="1"/>
  <c r="M730" i="1"/>
  <c r="M729" i="1"/>
  <c r="M728" i="1"/>
  <c r="M727" i="1"/>
  <c r="M726" i="1"/>
  <c r="M725" i="1"/>
  <c r="M724" i="1"/>
  <c r="H724" i="1"/>
  <c r="M723" i="1"/>
  <c r="M722" i="1"/>
  <c r="H722" i="1"/>
  <c r="M721" i="1"/>
  <c r="H721" i="1"/>
  <c r="M720" i="1"/>
  <c r="H720" i="1"/>
  <c r="M719" i="1"/>
  <c r="H719" i="1"/>
  <c r="M718" i="1"/>
  <c r="M717" i="1"/>
  <c r="M716" i="1"/>
  <c r="M715" i="1"/>
  <c r="M714" i="1"/>
  <c r="M713" i="1"/>
  <c r="M712" i="1"/>
  <c r="M711" i="1"/>
  <c r="M710" i="1"/>
  <c r="M709" i="1"/>
  <c r="M708" i="1"/>
  <c r="H708" i="1"/>
  <c r="M707" i="1"/>
  <c r="M706" i="1"/>
  <c r="H706" i="1"/>
  <c r="M705" i="1"/>
  <c r="H705" i="1"/>
  <c r="M704" i="1"/>
  <c r="H704" i="1"/>
  <c r="M703" i="1"/>
  <c r="M702" i="1"/>
  <c r="M701" i="1"/>
  <c r="H701" i="1"/>
  <c r="M700" i="1"/>
  <c r="H700" i="1"/>
  <c r="M699" i="1"/>
  <c r="M698" i="1"/>
  <c r="M697" i="1"/>
  <c r="M696" i="1"/>
  <c r="M695" i="1"/>
  <c r="M694" i="1"/>
  <c r="M693" i="1"/>
  <c r="M692" i="1"/>
  <c r="H692" i="1"/>
  <c r="M691" i="1"/>
  <c r="M690" i="1"/>
  <c r="M689" i="1"/>
  <c r="M688" i="1"/>
  <c r="M687" i="1"/>
  <c r="M686" i="1"/>
  <c r="M685" i="1"/>
  <c r="M684" i="1"/>
  <c r="M683" i="1"/>
  <c r="M682" i="1"/>
  <c r="M681" i="1"/>
  <c r="M680" i="1"/>
  <c r="M679" i="1"/>
  <c r="M678" i="1"/>
  <c r="M677" i="1"/>
  <c r="M676" i="1"/>
  <c r="M675" i="1"/>
  <c r="M674" i="1"/>
  <c r="M673" i="1"/>
  <c r="M672" i="1"/>
  <c r="M671" i="1"/>
  <c r="M670" i="1"/>
  <c r="M669" i="1"/>
  <c r="M668" i="1"/>
  <c r="M667" i="1"/>
  <c r="M666" i="1"/>
  <c r="M665" i="1"/>
  <c r="M664" i="1"/>
  <c r="M663" i="1"/>
  <c r="M662" i="1"/>
  <c r="M661" i="1"/>
  <c r="M660" i="1"/>
  <c r="M659" i="1"/>
  <c r="M658" i="1"/>
  <c r="M657" i="1"/>
  <c r="M656" i="1"/>
  <c r="M655" i="1"/>
  <c r="M654" i="1"/>
  <c r="M653" i="1"/>
  <c r="M652" i="1"/>
  <c r="M651" i="1"/>
  <c r="M650" i="1"/>
  <c r="M649" i="1"/>
  <c r="M648" i="1"/>
  <c r="M647" i="1"/>
  <c r="M646" i="1"/>
  <c r="M645" i="1"/>
  <c r="M644" i="1"/>
  <c r="M643" i="1"/>
  <c r="M642" i="1"/>
  <c r="M641" i="1"/>
  <c r="M640" i="1"/>
  <c r="M639" i="1"/>
  <c r="M638" i="1"/>
  <c r="M637" i="1"/>
  <c r="M636" i="1"/>
  <c r="M635" i="1"/>
  <c r="M634" i="1"/>
  <c r="M633" i="1"/>
  <c r="M632" i="1"/>
  <c r="M631" i="1"/>
  <c r="M630" i="1"/>
  <c r="M629" i="1"/>
  <c r="M628" i="1"/>
  <c r="M627" i="1"/>
  <c r="M626" i="1"/>
  <c r="M625" i="1"/>
  <c r="M624" i="1"/>
  <c r="M623" i="1"/>
  <c r="M622" i="1"/>
  <c r="M621" i="1"/>
  <c r="M620" i="1"/>
  <c r="M619" i="1"/>
  <c r="M618" i="1"/>
  <c r="M617" i="1"/>
  <c r="M616" i="1"/>
  <c r="M615" i="1"/>
  <c r="M614" i="1"/>
  <c r="M613" i="1"/>
  <c r="M612" i="1"/>
  <c r="M611" i="1"/>
  <c r="M610" i="1"/>
  <c r="M609" i="1"/>
  <c r="M608" i="1"/>
  <c r="M607" i="1"/>
  <c r="M606" i="1"/>
  <c r="M605" i="1"/>
  <c r="M604" i="1"/>
  <c r="M603" i="1"/>
  <c r="M602" i="1"/>
  <c r="M601" i="1"/>
  <c r="M600" i="1"/>
  <c r="M599" i="1"/>
  <c r="M598" i="1"/>
  <c r="M597" i="1"/>
  <c r="M596" i="1"/>
  <c r="M595" i="1"/>
  <c r="M594" i="1"/>
  <c r="M593" i="1"/>
  <c r="M592" i="1"/>
  <c r="M591" i="1"/>
  <c r="M590" i="1"/>
  <c r="M589" i="1"/>
  <c r="M588" i="1"/>
  <c r="M587" i="1"/>
  <c r="M586" i="1"/>
  <c r="M585" i="1"/>
  <c r="M584" i="1"/>
  <c r="M583" i="1"/>
  <c r="M582" i="1"/>
  <c r="M581" i="1"/>
  <c r="M580" i="1"/>
  <c r="M579" i="1"/>
  <c r="M578" i="1"/>
  <c r="M577" i="1"/>
  <c r="M576" i="1"/>
  <c r="M575" i="1"/>
  <c r="M574" i="1"/>
  <c r="M573" i="1"/>
  <c r="M572" i="1"/>
  <c r="M571" i="1"/>
  <c r="M570" i="1"/>
  <c r="M569" i="1"/>
  <c r="M568" i="1"/>
  <c r="M567" i="1"/>
  <c r="M566" i="1"/>
  <c r="M565" i="1"/>
  <c r="M564" i="1"/>
  <c r="M563" i="1"/>
  <c r="M562" i="1"/>
  <c r="M561" i="1"/>
  <c r="M560" i="1"/>
  <c r="M559" i="1"/>
  <c r="M558" i="1"/>
  <c r="M557" i="1"/>
  <c r="M556" i="1"/>
  <c r="M555" i="1"/>
  <c r="M554" i="1"/>
  <c r="M553" i="1"/>
  <c r="M552" i="1"/>
  <c r="M551" i="1"/>
  <c r="M550" i="1"/>
  <c r="M549" i="1"/>
  <c r="M548" i="1"/>
  <c r="M547" i="1"/>
  <c r="M546" i="1"/>
  <c r="M545" i="1"/>
  <c r="M544" i="1"/>
  <c r="M543" i="1"/>
  <c r="M542" i="1"/>
  <c r="M541" i="1"/>
  <c r="M540" i="1"/>
  <c r="M539" i="1"/>
  <c r="M538" i="1"/>
  <c r="M537" i="1"/>
  <c r="M536" i="1"/>
  <c r="M535" i="1"/>
  <c r="M534" i="1"/>
  <c r="M533" i="1"/>
  <c r="M532" i="1"/>
  <c r="M531" i="1"/>
  <c r="M530" i="1"/>
  <c r="M529" i="1"/>
  <c r="M528" i="1"/>
  <c r="M527" i="1"/>
  <c r="M526" i="1"/>
  <c r="M525" i="1"/>
  <c r="M524" i="1"/>
  <c r="M523" i="1"/>
  <c r="M522" i="1"/>
  <c r="M521" i="1"/>
  <c r="M520" i="1"/>
  <c r="M519" i="1"/>
  <c r="M518" i="1"/>
  <c r="M517" i="1"/>
  <c r="M516" i="1"/>
  <c r="M515" i="1"/>
  <c r="M514" i="1"/>
  <c r="M513" i="1"/>
  <c r="M512" i="1"/>
  <c r="M511" i="1"/>
  <c r="M510" i="1"/>
  <c r="M509" i="1"/>
  <c r="M508" i="1"/>
  <c r="M507" i="1"/>
  <c r="M506" i="1"/>
  <c r="M505" i="1"/>
  <c r="M504" i="1"/>
  <c r="M503" i="1"/>
  <c r="M502" i="1"/>
  <c r="M501" i="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H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H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H28" i="1"/>
  <c r="M27" i="1"/>
  <c r="H27" i="1"/>
  <c r="M26" i="1"/>
  <c r="H26" i="1"/>
  <c r="M25" i="1"/>
  <c r="H25" i="1"/>
  <c r="M24" i="1"/>
  <c r="H24" i="1"/>
  <c r="M23" i="1"/>
  <c r="H23" i="1"/>
  <c r="M22" i="1"/>
  <c r="M21" i="1"/>
  <c r="H21" i="1"/>
  <c r="M20" i="1"/>
  <c r="H20" i="1"/>
  <c r="M19" i="1"/>
  <c r="M18" i="1"/>
  <c r="M17" i="1"/>
  <c r="M16" i="1"/>
  <c r="M15" i="1"/>
  <c r="M14" i="1"/>
  <c r="M13" i="1"/>
  <c r="M12" i="1"/>
  <c r="M11" i="1"/>
  <c r="M10" i="1"/>
  <c r="M9" i="1"/>
  <c r="M8" i="1"/>
  <c r="M7" i="1"/>
  <c r="M6" i="1"/>
  <c r="M5" i="1"/>
  <c r="M4" i="1"/>
  <c r="M3" i="1"/>
  <c r="M2" i="1"/>
  <c r="X185" i="2"/>
  <c r="X210" i="2"/>
  <c r="X221" i="2"/>
  <c r="X216" i="2"/>
  <c r="AL14" i="30" l="1"/>
  <c r="O13" i="30"/>
  <c r="N13" i="30"/>
  <c r="IX9" i="8"/>
  <c r="KT25" i="8"/>
  <c r="KT37" i="8"/>
  <c r="KT22" i="8"/>
  <c r="KT12" i="8"/>
  <c r="KT21" i="8"/>
  <c r="KT20" i="8"/>
  <c r="KT11" i="8"/>
  <c r="KT29" i="8"/>
  <c r="KU10" i="8"/>
  <c r="KU11" i="8" s="1"/>
  <c r="KU12" i="8" s="1"/>
  <c r="KU13" i="8" s="1"/>
  <c r="KU14" i="8" s="1"/>
  <c r="KU15" i="8" s="1"/>
  <c r="KU16" i="8" s="1"/>
  <c r="KU17" i="8" s="1"/>
  <c r="KU18" i="8" s="1"/>
  <c r="KU19" i="8" s="1"/>
  <c r="KU20" i="8" s="1"/>
  <c r="KU21" i="8" s="1"/>
  <c r="KU22" i="8" s="1"/>
  <c r="KU23" i="8" s="1"/>
  <c r="KU24" i="8" s="1"/>
  <c r="KU25" i="8" s="1"/>
  <c r="KU26" i="8" s="1"/>
  <c r="KU27" i="8" s="1"/>
  <c r="KU28" i="8" s="1"/>
  <c r="KU29" i="8" s="1"/>
  <c r="KU30" i="8" s="1"/>
  <c r="KU31" i="8" s="1"/>
  <c r="KU32" i="8" s="1"/>
  <c r="KU33" i="8" s="1"/>
  <c r="KU34" i="8" s="1"/>
  <c r="KU35" i="8" s="1"/>
  <c r="KU36" i="8" s="1"/>
  <c r="KU37" i="8" s="1"/>
  <c r="KT10" i="8"/>
  <c r="KT17" i="8"/>
  <c r="KT9" i="8"/>
  <c r="KT13" i="8"/>
  <c r="KT26" i="8"/>
  <c r="KT28" i="8"/>
  <c r="KT19" i="8"/>
  <c r="KT18" i="8"/>
  <c r="KT31" i="8"/>
  <c r="KU9" i="8"/>
  <c r="KT32" i="8"/>
  <c r="KT16" i="8"/>
  <c r="KT33" i="8"/>
  <c r="KU8" i="8"/>
  <c r="KT14" i="8"/>
  <c r="KT24" i="8"/>
  <c r="KT27" i="8"/>
  <c r="KT15" i="8"/>
  <c r="KT30" i="8"/>
  <c r="KT23" i="8"/>
  <c r="KT34" i="8"/>
  <c r="KT8" i="8"/>
  <c r="KT35" i="8"/>
  <c r="KT36" i="8"/>
  <c r="CX14" i="30"/>
  <c r="AY21" i="30"/>
  <c r="AY22" i="30" s="1"/>
  <c r="AY23" i="30" s="1"/>
  <c r="AY24" i="30" s="1"/>
  <c r="AY25" i="30" s="1"/>
  <c r="AY26" i="30" s="1"/>
  <c r="AY27" i="30" s="1"/>
  <c r="AY28" i="30" s="1"/>
  <c r="AY29" i="30" s="1"/>
  <c r="AY30" i="30" s="1"/>
  <c r="AY31" i="30" s="1"/>
  <c r="AY32" i="30" s="1"/>
  <c r="AY33" i="30" s="1"/>
  <c r="AY34" i="30" s="1"/>
  <c r="AY35" i="30" s="1"/>
  <c r="AY36" i="30" s="1"/>
  <c r="AY37" i="30" s="1"/>
  <c r="AY38" i="30" s="1"/>
  <c r="AY39" i="30" s="1"/>
  <c r="AY40" i="30" s="1"/>
  <c r="AY41" i="30" s="1"/>
  <c r="AY42" i="30" s="1"/>
  <c r="AY43" i="30" s="1"/>
  <c r="AY44" i="30" s="1"/>
  <c r="AY45" i="30" s="1"/>
  <c r="AY46" i="30" s="1"/>
  <c r="AY47" i="30" s="1"/>
  <c r="AY48" i="30" s="1"/>
  <c r="H502" i="18"/>
  <c r="H501" i="18"/>
  <c r="O11" i="30"/>
  <c r="O12" i="30"/>
  <c r="DY8" i="30"/>
  <c r="DX8" i="30"/>
  <c r="DZ48" i="30"/>
  <c r="V211" i="2"/>
  <c r="V195" i="2"/>
  <c r="V206" i="2"/>
  <c r="V220" i="2"/>
  <c r="V198" i="2"/>
  <c r="V215" i="2"/>
  <c r="V204" i="2"/>
  <c r="V214" i="2"/>
  <c r="V203" i="2"/>
  <c r="V223" i="2"/>
  <c r="V213" i="2"/>
  <c r="V183" i="2"/>
  <c r="V199" i="2"/>
  <c r="V202" i="2"/>
  <c r="V222" i="2"/>
  <c r="V184" i="2"/>
  <c r="V201" i="2"/>
  <c r="V207" i="2"/>
  <c r="N12" i="30"/>
  <c r="CX13" i="30"/>
  <c r="E1104" i="18"/>
  <c r="G1105" i="18"/>
  <c r="R1105" i="18"/>
  <c r="F1105" i="18"/>
  <c r="P1105" i="18"/>
  <c r="O1105" i="18"/>
  <c r="N1105" i="18"/>
  <c r="M1105" i="18"/>
  <c r="L1105" i="18"/>
  <c r="K1105" i="18"/>
  <c r="Q1105" i="18"/>
  <c r="J1105" i="18"/>
  <c r="I1105" i="18"/>
  <c r="H1105" i="18"/>
  <c r="D1104" i="18"/>
  <c r="F1104" i="18"/>
  <c r="G1104" i="18"/>
  <c r="H1104" i="18"/>
  <c r="I1104" i="18"/>
  <c r="J1104" i="18"/>
  <c r="K1104" i="18"/>
  <c r="L1104" i="18"/>
  <c r="M1104" i="18"/>
  <c r="N1104" i="18"/>
  <c r="O1104" i="18"/>
  <c r="P1104" i="18"/>
  <c r="Q1104" i="18"/>
  <c r="R1104" i="18"/>
  <c r="N651" i="18"/>
  <c r="G1084" i="18"/>
  <c r="I1084" i="18"/>
  <c r="P1084" i="18"/>
  <c r="Q1084" i="18"/>
  <c r="R1084" i="18"/>
  <c r="D1084" i="18"/>
  <c r="E1085" i="18" s="1"/>
  <c r="E834" i="18"/>
  <c r="D1085" i="18"/>
  <c r="E1084" i="18"/>
  <c r="F1085" i="18" s="1"/>
  <c r="F1084" i="18"/>
  <c r="G1085" i="18" s="1"/>
  <c r="H1084" i="18"/>
  <c r="D834" i="18"/>
  <c r="L1084" i="18"/>
  <c r="O1084" i="18"/>
  <c r="K1084" i="18"/>
  <c r="N1084" i="18"/>
  <c r="J1084" i="18"/>
  <c r="M1084" i="18"/>
  <c r="S1084" i="18"/>
  <c r="T1084" i="18"/>
  <c r="U1084" i="18"/>
  <c r="V1084" i="18"/>
  <c r="W1084" i="18"/>
  <c r="X1084" i="18"/>
  <c r="Y1084" i="18"/>
  <c r="Z1084" i="18"/>
  <c r="AA1084" i="18"/>
  <c r="AB1084" i="18"/>
  <c r="AC1084" i="18"/>
  <c r="AD1084" i="18"/>
  <c r="AE1084" i="18"/>
  <c r="AF1084" i="18"/>
  <c r="AG1084" i="18"/>
  <c r="IW9" i="8"/>
  <c r="JX12" i="8"/>
  <c r="IW27" i="8"/>
  <c r="IW25" i="8"/>
  <c r="IW21" i="8"/>
  <c r="IW19" i="8"/>
  <c r="IW15" i="8"/>
  <c r="IW11" i="8"/>
  <c r="IW23" i="8"/>
  <c r="IW17" i="8"/>
  <c r="IW13" i="8"/>
  <c r="IW28" i="8"/>
  <c r="IW26" i="8"/>
  <c r="IW24" i="8"/>
  <c r="IW22" i="8"/>
  <c r="IW20" i="8"/>
  <c r="IW18" i="8"/>
  <c r="IW16" i="8"/>
  <c r="IW14" i="8"/>
  <c r="IW12" i="8"/>
  <c r="IW10" i="8"/>
  <c r="IX10" i="8" s="1"/>
  <c r="IW8" i="8"/>
  <c r="IX8" i="8" s="1"/>
  <c r="B216" i="2"/>
  <c r="B210" i="2"/>
  <c r="B185" i="2"/>
  <c r="B221" i="2"/>
  <c r="D1065" i="18"/>
  <c r="E1064" i="18"/>
  <c r="D1064" i="18"/>
  <c r="F1064" i="18"/>
  <c r="G1064" i="18"/>
  <c r="H1064" i="18"/>
  <c r="O349" i="18"/>
  <c r="O340" i="18"/>
  <c r="CX12" i="30"/>
  <c r="CW10" i="30"/>
  <c r="CX10" i="30"/>
  <c r="CX11" i="30"/>
  <c r="CW13" i="30"/>
  <c r="AY20" i="30"/>
  <c r="AY19" i="30"/>
  <c r="DM48" i="30"/>
  <c r="N11" i="30"/>
  <c r="AL12" i="30"/>
  <c r="V196" i="2"/>
  <c r="V212" i="2"/>
  <c r="V197" i="2"/>
  <c r="V208" i="2"/>
  <c r="M651" i="18"/>
  <c r="D1025" i="18"/>
  <c r="D1045" i="18"/>
  <c r="D1044" i="18"/>
  <c r="E1044" i="18"/>
  <c r="F1044" i="18"/>
  <c r="G1044" i="18"/>
  <c r="H1044" i="18"/>
  <c r="BX22" i="30"/>
  <c r="BX21" i="30"/>
  <c r="D1024" i="18"/>
  <c r="E1024" i="18"/>
  <c r="F1024" i="18"/>
  <c r="G1024" i="18"/>
  <c r="H1024" i="18"/>
  <c r="I1024" i="18"/>
  <c r="J1024" i="18"/>
  <c r="BX20" i="30"/>
  <c r="DL29" i="30"/>
  <c r="DL41" i="30" s="1"/>
  <c r="CX9" i="30"/>
  <c r="DL30" i="30"/>
  <c r="DL42" i="30" s="1"/>
  <c r="CX8" i="30"/>
  <c r="DL19" i="30"/>
  <c r="DL20" i="30"/>
  <c r="DL32" i="30" s="1"/>
  <c r="DL21" i="30"/>
  <c r="DL33" i="30" s="1"/>
  <c r="DL22" i="30"/>
  <c r="DL34" i="30" s="1"/>
  <c r="DL26" i="30"/>
  <c r="DL38" i="30" s="1"/>
  <c r="DL28" i="30"/>
  <c r="DL40" i="30" s="1"/>
  <c r="DL23" i="30"/>
  <c r="DL35" i="30" s="1"/>
  <c r="DL25" i="30"/>
  <c r="DL37" i="30" s="1"/>
  <c r="DL27" i="30"/>
  <c r="DL39" i="30" s="1"/>
  <c r="DL24" i="30"/>
  <c r="DL36" i="30" s="1"/>
  <c r="O10" i="30"/>
  <c r="N10" i="30"/>
  <c r="DK39" i="30"/>
  <c r="DL31" i="30"/>
  <c r="DL43" i="30" s="1"/>
  <c r="CW9" i="30"/>
  <c r="CW8" i="30"/>
  <c r="D1006" i="18"/>
  <c r="E967" i="18"/>
  <c r="DL8" i="30"/>
  <c r="DK40" i="30"/>
  <c r="DK30" i="30"/>
  <c r="DK9" i="30"/>
  <c r="DK11" i="30"/>
  <c r="DK34" i="30"/>
  <c r="DK42" i="30"/>
  <c r="DK22" i="30"/>
  <c r="DK21" i="30"/>
  <c r="DK13" i="30"/>
  <c r="DK10" i="30"/>
  <c r="DK33" i="30"/>
  <c r="DK25" i="30"/>
  <c r="DK38" i="30"/>
  <c r="DK8" i="30"/>
  <c r="DK12" i="30"/>
  <c r="DK16" i="30"/>
  <c r="DK28" i="30"/>
  <c r="DK18" i="30"/>
  <c r="DK37" i="30"/>
  <c r="DK26" i="30"/>
  <c r="DK36" i="30"/>
  <c r="DK27" i="30"/>
  <c r="DK24" i="30"/>
  <c r="DK43" i="30"/>
  <c r="DK14" i="30"/>
  <c r="DK15" i="30"/>
  <c r="DK20" i="30"/>
  <c r="DK35" i="30"/>
  <c r="DK19" i="30"/>
  <c r="DK29" i="30"/>
  <c r="DK31" i="30"/>
  <c r="DK23" i="30"/>
  <c r="DK32" i="30"/>
  <c r="DK17" i="30"/>
  <c r="DK41" i="30"/>
  <c r="D1005" i="18"/>
  <c r="E1005" i="18"/>
  <c r="G1005" i="18"/>
  <c r="H1005" i="18"/>
  <c r="F1005" i="18"/>
  <c r="I1005" i="18"/>
  <c r="J1005" i="18"/>
  <c r="Q596" i="18"/>
  <c r="Q597" i="18"/>
  <c r="P596" i="18"/>
  <c r="P597" i="18"/>
  <c r="D926" i="18"/>
  <c r="I927" i="18"/>
  <c r="F927" i="18"/>
  <c r="G927" i="18"/>
  <c r="H927" i="18"/>
  <c r="J927" i="18"/>
  <c r="E927" i="18"/>
  <c r="E926" i="18"/>
  <c r="F926" i="18"/>
  <c r="G926" i="18"/>
  <c r="H926" i="18"/>
  <c r="I926" i="18"/>
  <c r="J926" i="18"/>
  <c r="D987" i="18"/>
  <c r="D986" i="18"/>
  <c r="E986" i="18"/>
  <c r="F986" i="18"/>
  <c r="G986" i="18"/>
  <c r="H986" i="18"/>
  <c r="I986" i="18"/>
  <c r="J986" i="18"/>
  <c r="JX9" i="8"/>
  <c r="JX10" i="8"/>
  <c r="JW12" i="8"/>
  <c r="JW35" i="8"/>
  <c r="I966" i="18"/>
  <c r="M967" i="18"/>
  <c r="J966" i="18"/>
  <c r="N967" i="18"/>
  <c r="L966" i="18"/>
  <c r="O967" i="18"/>
  <c r="O966" i="18"/>
  <c r="P967" i="18"/>
  <c r="Q967" i="18"/>
  <c r="F967" i="18"/>
  <c r="R967" i="18"/>
  <c r="G967" i="18"/>
  <c r="H967" i="18"/>
  <c r="I967" i="18"/>
  <c r="D946" i="18"/>
  <c r="L967" i="18"/>
  <c r="J967" i="18"/>
  <c r="K967" i="18"/>
  <c r="P966" i="18"/>
  <c r="Q966" i="18"/>
  <c r="G966" i="18"/>
  <c r="R966" i="18"/>
  <c r="N966" i="18"/>
  <c r="M966" i="18"/>
  <c r="D945" i="18"/>
  <c r="D966" i="18"/>
  <c r="K966" i="18"/>
  <c r="F966" i="18"/>
  <c r="H966" i="18"/>
  <c r="E966" i="18"/>
  <c r="E945" i="18"/>
  <c r="F945" i="18"/>
  <c r="G945" i="18"/>
  <c r="H945" i="18"/>
  <c r="I945" i="18"/>
  <c r="J945" i="18"/>
  <c r="K945" i="18"/>
  <c r="L945" i="18"/>
  <c r="M945" i="18"/>
  <c r="N945" i="18"/>
  <c r="O945" i="18"/>
  <c r="P945" i="18"/>
  <c r="Q945" i="18"/>
  <c r="R945" i="18"/>
  <c r="AL11" i="30"/>
  <c r="AK11" i="30"/>
  <c r="D907" i="18"/>
  <c r="E907" i="18"/>
  <c r="F907" i="18"/>
  <c r="G907" i="18"/>
  <c r="H907" i="18"/>
  <c r="F906" i="18"/>
  <c r="E906" i="18"/>
  <c r="D906" i="18"/>
  <c r="G906" i="18"/>
  <c r="H906" i="18"/>
  <c r="F889" i="18"/>
  <c r="E889" i="18"/>
  <c r="K889" i="18"/>
  <c r="D889" i="18"/>
  <c r="J889" i="18"/>
  <c r="G889" i="18"/>
  <c r="H889" i="18"/>
  <c r="I889" i="18"/>
  <c r="D888" i="18"/>
  <c r="E888" i="18"/>
  <c r="F888" i="18"/>
  <c r="G888" i="18"/>
  <c r="H888" i="18"/>
  <c r="I888" i="18"/>
  <c r="J888" i="18"/>
  <c r="K888" i="18"/>
  <c r="D852" i="18"/>
  <c r="D870" i="18"/>
  <c r="D869" i="18"/>
  <c r="E869" i="18"/>
  <c r="F869" i="18"/>
  <c r="G869" i="18"/>
  <c r="H869" i="18"/>
  <c r="L651" i="18"/>
  <c r="D816" i="18"/>
  <c r="H851" i="18"/>
  <c r="E851" i="18"/>
  <c r="D851" i="18"/>
  <c r="F851" i="18"/>
  <c r="G851" i="18"/>
  <c r="J560" i="18"/>
  <c r="K560" i="18" s="1"/>
  <c r="J834" i="18"/>
  <c r="F834" i="18"/>
  <c r="G834" i="18"/>
  <c r="H834" i="18"/>
  <c r="I834" i="18"/>
  <c r="K834" i="18"/>
  <c r="D833" i="18"/>
  <c r="F833" i="18"/>
  <c r="E833" i="18"/>
  <c r="G833" i="18"/>
  <c r="D815" i="18"/>
  <c r="E815" i="18"/>
  <c r="H833" i="18"/>
  <c r="F815" i="18"/>
  <c r="I833" i="18"/>
  <c r="G815" i="18"/>
  <c r="J833" i="18"/>
  <c r="K833" i="18"/>
  <c r="I560" i="18"/>
  <c r="N340" i="18"/>
  <c r="M340" i="18"/>
  <c r="D775" i="18"/>
  <c r="H6" i="3"/>
  <c r="B50" i="3" s="1"/>
  <c r="D797" i="18"/>
  <c r="I59" i="18"/>
  <c r="CK3" i="30"/>
  <c r="AL10" i="30"/>
  <c r="Y8" i="30"/>
  <c r="AL15" i="30"/>
  <c r="AL27" i="30"/>
  <c r="AL39" i="30"/>
  <c r="AL51" i="30"/>
  <c r="AL52" i="30"/>
  <c r="AL17" i="30"/>
  <c r="AL41" i="30"/>
  <c r="AL53" i="30"/>
  <c r="AL30" i="30"/>
  <c r="AL31" i="30"/>
  <c r="AL43" i="30"/>
  <c r="AL55" i="30"/>
  <c r="AL20" i="30"/>
  <c r="AL32" i="30"/>
  <c r="AL44" i="30"/>
  <c r="AL56" i="30"/>
  <c r="AL26" i="30"/>
  <c r="AL16" i="30"/>
  <c r="AL28" i="30"/>
  <c r="AL40" i="30"/>
  <c r="AL29" i="30"/>
  <c r="AL18" i="30"/>
  <c r="AL42" i="30"/>
  <c r="AL54" i="30"/>
  <c r="AL19" i="30"/>
  <c r="AL21" i="30"/>
  <c r="AL33" i="30"/>
  <c r="AL45" i="30"/>
  <c r="AL13" i="30"/>
  <c r="AL37" i="30"/>
  <c r="AL49" i="30"/>
  <c r="AL38" i="30"/>
  <c r="AL50" i="30"/>
  <c r="AL22" i="30"/>
  <c r="AL34" i="30"/>
  <c r="AL46" i="30"/>
  <c r="AL23" i="30"/>
  <c r="AL35" i="30"/>
  <c r="AL47" i="30"/>
  <c r="AL24" i="30"/>
  <c r="AL36" i="30"/>
  <c r="AL48" i="30"/>
  <c r="AL25" i="30"/>
  <c r="O597" i="18"/>
  <c r="O588" i="18" s="1"/>
  <c r="N597" i="18"/>
  <c r="N596" i="18"/>
  <c r="H378" i="18"/>
  <c r="AL9" i="30"/>
  <c r="AK9" i="30"/>
  <c r="N9" i="30"/>
  <c r="O9" i="30"/>
  <c r="CI35" i="8"/>
  <c r="CI36" i="8"/>
  <c r="K651" i="18"/>
  <c r="V210" i="2"/>
  <c r="V216" i="2"/>
  <c r="V219" i="2"/>
  <c r="V185" i="2"/>
  <c r="V221" i="2"/>
  <c r="C218" i="2"/>
  <c r="V218" i="2"/>
  <c r="X20" i="30"/>
  <c r="X16" i="30"/>
  <c r="X12" i="30"/>
  <c r="X9" i="30"/>
  <c r="X17" i="30"/>
  <c r="X19" i="30"/>
  <c r="X15" i="30"/>
  <c r="X11" i="30"/>
  <c r="X8" i="30"/>
  <c r="X21" i="30"/>
  <c r="X13" i="30"/>
  <c r="X18" i="30"/>
  <c r="X14" i="30"/>
  <c r="X10" i="30"/>
  <c r="BL11" i="30"/>
  <c r="BL12" i="30" s="1"/>
  <c r="BL13" i="30" s="1"/>
  <c r="BL14" i="30" s="1"/>
  <c r="BL15" i="30" s="1"/>
  <c r="BL16" i="30" s="1"/>
  <c r="BL17" i="30" s="1"/>
  <c r="BL10" i="30"/>
  <c r="H560" i="18"/>
  <c r="JW8" i="8"/>
  <c r="JW10" i="8"/>
  <c r="JW9" i="8"/>
  <c r="G502" i="18"/>
  <c r="G501" i="18"/>
  <c r="M597" i="18"/>
  <c r="M596" i="18"/>
  <c r="D796" i="18"/>
  <c r="E796" i="18"/>
  <c r="F796" i="18"/>
  <c r="G796" i="18"/>
  <c r="H796" i="18"/>
  <c r="I796" i="18"/>
  <c r="J796" i="18"/>
  <c r="AK48" i="30"/>
  <c r="AK47" i="30"/>
  <c r="AK43" i="30"/>
  <c r="AK50" i="30"/>
  <c r="AK46" i="30"/>
  <c r="AK54" i="30"/>
  <c r="AK45" i="30"/>
  <c r="AK52" i="30"/>
  <c r="AK53" i="30"/>
  <c r="AK49" i="30"/>
  <c r="AK42" i="30"/>
  <c r="AK55" i="30"/>
  <c r="AK40" i="30"/>
  <c r="AK56" i="30"/>
  <c r="AK51" i="30"/>
  <c r="AK44" i="30"/>
  <c r="AD44" i="30" s="1"/>
  <c r="AK41" i="30"/>
  <c r="O8" i="30"/>
  <c r="N8" i="30"/>
  <c r="FK48" i="8"/>
  <c r="FK49" i="8"/>
  <c r="FK50" i="8"/>
  <c r="GL22" i="8"/>
  <c r="CU32" i="8"/>
  <c r="K68" i="18"/>
  <c r="J651" i="18"/>
  <c r="E105" i="14"/>
  <c r="E106" i="14" s="1"/>
  <c r="E104" i="14"/>
  <c r="F104" i="14" s="1"/>
  <c r="G104" i="14" s="1"/>
  <c r="H104" i="14" s="1"/>
  <c r="I104" i="14" s="1"/>
  <c r="J104" i="14" s="1"/>
  <c r="K104" i="14" s="1"/>
  <c r="L104" i="14" s="1"/>
  <c r="M104" i="14" s="1"/>
  <c r="C215" i="2"/>
  <c r="C204" i="2"/>
  <c r="C214" i="2"/>
  <c r="C203" i="2"/>
  <c r="C213" i="2"/>
  <c r="C219" i="2"/>
  <c r="C223" i="2"/>
  <c r="C183" i="2"/>
  <c r="C197" i="2"/>
  <c r="C199" i="2"/>
  <c r="C202" i="2"/>
  <c r="C208" i="2"/>
  <c r="C184" i="2"/>
  <c r="C212" i="2"/>
  <c r="C222" i="2"/>
  <c r="C185" i="2"/>
  <c r="C201" i="2"/>
  <c r="C207" i="2"/>
  <c r="C211" i="2"/>
  <c r="V217" i="2"/>
  <c r="C217" i="2"/>
  <c r="C221" i="2"/>
  <c r="C195" i="2"/>
  <c r="C206" i="2"/>
  <c r="C210" i="2"/>
  <c r="C216" i="2"/>
  <c r="C220" i="2"/>
  <c r="C196" i="2"/>
  <c r="C198" i="2"/>
  <c r="V205" i="2"/>
  <c r="C205" i="2"/>
  <c r="AL8" i="30"/>
  <c r="CJ31" i="30"/>
  <c r="CJ30" i="30"/>
  <c r="D737" i="18"/>
  <c r="H775" i="18"/>
  <c r="D539" i="18"/>
  <c r="E540" i="18" s="1"/>
  <c r="E541" i="18" s="1"/>
  <c r="AG297" i="18"/>
  <c r="KI10" i="8"/>
  <c r="KI12" i="8"/>
  <c r="KI8" i="8"/>
  <c r="KH11" i="8"/>
  <c r="KI9" i="8"/>
  <c r="KH21" i="8"/>
  <c r="KH17" i="8"/>
  <c r="KI11" i="8"/>
  <c r="KI13" i="8"/>
  <c r="KI14" i="8" s="1"/>
  <c r="KI15" i="8" s="1"/>
  <c r="KI16" i="8" s="1"/>
  <c r="KI17" i="8" s="1"/>
  <c r="KI18" i="8" s="1"/>
  <c r="KI19" i="8" s="1"/>
  <c r="KI20" i="8" s="1"/>
  <c r="KI21" i="8" s="1"/>
  <c r="KI22" i="8" s="1"/>
  <c r="KH16" i="8"/>
  <c r="KH8" i="8"/>
  <c r="KH18" i="8"/>
  <c r="KH10" i="8"/>
  <c r="KH13" i="8"/>
  <c r="KH9" i="8"/>
  <c r="KH12" i="8"/>
  <c r="KH22" i="8"/>
  <c r="KH20" i="8"/>
  <c r="KH15" i="8"/>
  <c r="KH14" i="8"/>
  <c r="KH19" i="8"/>
  <c r="JX8" i="8"/>
  <c r="AK34" i="30"/>
  <c r="AK22" i="30"/>
  <c r="AK39" i="30"/>
  <c r="AK32" i="30"/>
  <c r="AK20" i="30"/>
  <c r="AK30" i="30"/>
  <c r="AK18" i="30"/>
  <c r="AK37" i="30"/>
  <c r="AK25" i="30"/>
  <c r="AK35" i="30"/>
  <c r="AK23" i="30"/>
  <c r="AK16" i="30"/>
  <c r="AK14" i="30"/>
  <c r="AK12" i="30"/>
  <c r="AK10" i="30"/>
  <c r="AK8" i="30"/>
  <c r="AK28" i="30"/>
  <c r="AK21" i="30"/>
  <c r="AK33" i="30"/>
  <c r="AK36" i="30"/>
  <c r="AK38" i="30"/>
  <c r="AK26" i="30"/>
  <c r="AK24" i="30"/>
  <c r="AK31" i="30"/>
  <c r="AK19" i="30"/>
  <c r="AK29" i="30"/>
  <c r="AK17" i="30"/>
  <c r="AK15" i="30"/>
  <c r="AK13" i="30"/>
  <c r="AK27" i="30"/>
  <c r="K596" i="18"/>
  <c r="K597" i="18"/>
  <c r="L597" i="18"/>
  <c r="D698" i="18"/>
  <c r="E698" i="18" s="1"/>
  <c r="F698" i="18" s="1"/>
  <c r="I651" i="18"/>
  <c r="G360" i="18"/>
  <c r="H360" i="18" s="1"/>
  <c r="CJ27" i="30"/>
  <c r="CJ28" i="30"/>
  <c r="CJ29" i="30"/>
  <c r="E756" i="18"/>
  <c r="D756" i="18"/>
  <c r="F756" i="18"/>
  <c r="D755" i="18"/>
  <c r="E755" i="18"/>
  <c r="F755" i="18"/>
  <c r="CJ26" i="30"/>
  <c r="CI31" i="30"/>
  <c r="CI30" i="30"/>
  <c r="A50" i="3"/>
  <c r="E736" i="18"/>
  <c r="D736" i="18"/>
  <c r="F736" i="18"/>
  <c r="G736" i="18"/>
  <c r="D358" i="18"/>
  <c r="M1018" i="1"/>
  <c r="V234" i="6"/>
  <c r="V235" i="6" s="1"/>
  <c r="BF21" i="8"/>
  <c r="BH21" i="8" s="1"/>
  <c r="BI21" i="8" s="1"/>
  <c r="BH20" i="8"/>
  <c r="BI20" i="8" s="1"/>
  <c r="E394" i="18"/>
  <c r="E395" i="18"/>
  <c r="E396" i="18" s="1"/>
  <c r="E593" i="18"/>
  <c r="F594" i="18" s="1"/>
  <c r="F595" i="18" s="1"/>
  <c r="E594" i="18"/>
  <c r="E595" i="18" s="1"/>
  <c r="ET9" i="8"/>
  <c r="EV9" i="8"/>
  <c r="EW9" i="8" s="1"/>
  <c r="V52" i="8"/>
  <c r="X52" i="8" s="1"/>
  <c r="Y52" i="8" s="1"/>
  <c r="X51" i="8"/>
  <c r="Y51" i="8" s="1"/>
  <c r="M1002" i="1"/>
  <c r="CE22" i="8"/>
  <c r="CG22" i="8"/>
  <c r="CH22" i="8" s="1"/>
  <c r="M974" i="1"/>
  <c r="E298" i="18"/>
  <c r="F299" i="18" s="1"/>
  <c r="F300" i="18" s="1"/>
  <c r="E299" i="18"/>
  <c r="E300" i="18" s="1"/>
  <c r="E224" i="18"/>
  <c r="E225" i="18" s="1"/>
  <c r="BF28" i="8"/>
  <c r="BH28" i="8" s="1"/>
  <c r="BI28" i="8" s="1"/>
  <c r="BH27" i="8"/>
  <c r="BI27" i="8" s="1"/>
  <c r="E139" i="18"/>
  <c r="F140" i="18" s="1"/>
  <c r="F141" i="18" s="1"/>
  <c r="E140" i="18"/>
  <c r="E141" i="18" s="1"/>
  <c r="D280" i="18"/>
  <c r="H122" i="14"/>
  <c r="F558" i="18"/>
  <c r="BF17" i="8"/>
  <c r="BH17" i="8" s="1"/>
  <c r="BI17" i="8" s="1"/>
  <c r="BH16" i="8"/>
  <c r="BI16" i="8" s="1"/>
  <c r="V26" i="5"/>
  <c r="V27" i="5" s="1"/>
  <c r="M1001" i="1"/>
  <c r="D318" i="18"/>
  <c r="CS9" i="8"/>
  <c r="CT9" i="8" s="1"/>
  <c r="CV3" i="8"/>
  <c r="H651" i="18"/>
  <c r="D719" i="18"/>
  <c r="E718" i="18"/>
  <c r="D718" i="18"/>
  <c r="F718" i="18"/>
  <c r="G718" i="18"/>
  <c r="H718" i="18"/>
  <c r="I718" i="18"/>
  <c r="J718" i="18"/>
  <c r="V215" i="6"/>
  <c r="V216" i="6" s="1"/>
  <c r="AY18" i="30"/>
  <c r="I164" i="18"/>
  <c r="U310" i="6"/>
  <c r="A49" i="3"/>
  <c r="L339" i="18"/>
  <c r="M339" i="18"/>
  <c r="N339" i="18"/>
  <c r="O339" i="18"/>
  <c r="P339" i="18"/>
  <c r="Q339" i="18"/>
  <c r="R339" i="18"/>
  <c r="S339" i="18"/>
  <c r="T339" i="18"/>
  <c r="U339" i="18"/>
  <c r="V339" i="18"/>
  <c r="W339" i="18"/>
  <c r="X339" i="18"/>
  <c r="Y339" i="18"/>
  <c r="Z339" i="18"/>
  <c r="AA339" i="18"/>
  <c r="AB339" i="18"/>
  <c r="AC339" i="18"/>
  <c r="AD339" i="18"/>
  <c r="AE339" i="18"/>
  <c r="AF339" i="18"/>
  <c r="AG339" i="18"/>
  <c r="AH339" i="18"/>
  <c r="AI339" i="18"/>
  <c r="AJ339" i="18"/>
  <c r="AK339" i="18"/>
  <c r="AL339" i="18"/>
  <c r="AM339" i="18"/>
  <c r="F501" i="18"/>
  <c r="D697" i="18"/>
  <c r="E697" i="18"/>
  <c r="F697" i="18"/>
  <c r="J596" i="18"/>
  <c r="G650" i="18"/>
  <c r="D670" i="18"/>
  <c r="E670" i="18"/>
  <c r="F670" i="18"/>
  <c r="E55" i="14"/>
  <c r="E90" i="14"/>
  <c r="F90" i="14"/>
  <c r="G90" i="14"/>
  <c r="H90" i="14" s="1"/>
  <c r="I90" i="14" s="1"/>
  <c r="J90" i="14" s="1"/>
  <c r="K90" i="14" s="1"/>
  <c r="L90" i="14" s="1"/>
  <c r="M90" i="14" s="1"/>
  <c r="N90" i="14" s="1"/>
  <c r="O90" i="14" s="1"/>
  <c r="P90" i="14" s="1"/>
  <c r="D162" i="14"/>
  <c r="E162" i="14" s="1"/>
  <c r="F162" i="14" s="1"/>
  <c r="G162" i="14" s="1"/>
  <c r="H162" i="14" s="1"/>
  <c r="I162" i="14" s="1"/>
  <c r="J162" i="14" s="1"/>
  <c r="K162" i="14" s="1"/>
  <c r="IK16" i="8"/>
  <c r="IK17" i="8"/>
  <c r="IK18" i="8"/>
  <c r="GK19" i="8"/>
  <c r="GX19" i="8"/>
  <c r="IK19" i="8"/>
  <c r="GK20" i="8"/>
  <c r="GX20" i="8"/>
  <c r="IK20" i="8"/>
  <c r="N21" i="8"/>
  <c r="GK21" i="8"/>
  <c r="GX21" i="8"/>
  <c r="IK21" i="8"/>
  <c r="GK22" i="8"/>
  <c r="GX22" i="8"/>
  <c r="IK22" i="8"/>
  <c r="N23" i="8"/>
  <c r="GK23" i="8"/>
  <c r="GX23" i="8"/>
  <c r="IK23" i="8"/>
  <c r="N24" i="8"/>
  <c r="FX24" i="8"/>
  <c r="GK24" i="8"/>
  <c r="GX24" i="8"/>
  <c r="IK24" i="8"/>
  <c r="N25" i="8"/>
  <c r="FK25" i="8"/>
  <c r="FX25" i="8"/>
  <c r="GK25" i="8"/>
  <c r="GX25" i="8"/>
  <c r="IK25" i="8"/>
  <c r="N26" i="8"/>
  <c r="FK26" i="8"/>
  <c r="FX26" i="8"/>
  <c r="GK26" i="8"/>
  <c r="GX26" i="8"/>
  <c r="IK26" i="8"/>
  <c r="N27" i="8"/>
  <c r="FK27" i="8"/>
  <c r="FX27" i="8"/>
  <c r="GK27" i="8"/>
  <c r="GX27" i="8"/>
  <c r="IK27" i="8"/>
  <c r="N28" i="8"/>
  <c r="FK28" i="8"/>
  <c r="FX28" i="8"/>
  <c r="GK28" i="8"/>
  <c r="GX28" i="8"/>
  <c r="IK28" i="8"/>
  <c r="FK29" i="8"/>
  <c r="FX29" i="8"/>
  <c r="GK29" i="8"/>
  <c r="GX29" i="8"/>
  <c r="IK29" i="8"/>
  <c r="FK30" i="8"/>
  <c r="FX30" i="8"/>
  <c r="GK30" i="8"/>
  <c r="GX30" i="8"/>
  <c r="IK30" i="8"/>
  <c r="FK31" i="8"/>
  <c r="FX31" i="8"/>
  <c r="GK31" i="8"/>
  <c r="GX31" i="8"/>
  <c r="IK31" i="8"/>
  <c r="FK32" i="8"/>
  <c r="FX32" i="8"/>
  <c r="GK32" i="8"/>
  <c r="GX32" i="8"/>
  <c r="IK32" i="8"/>
  <c r="CI33" i="8"/>
  <c r="FK33" i="8"/>
  <c r="FX33" i="8"/>
  <c r="GK33" i="8"/>
  <c r="GX33" i="8"/>
  <c r="IK33" i="8"/>
  <c r="CI34" i="8"/>
  <c r="FK34" i="8"/>
  <c r="FX34" i="8"/>
  <c r="GK34" i="8"/>
  <c r="GX34" i="8"/>
  <c r="IK34" i="8"/>
  <c r="FK35" i="8"/>
  <c r="FX35" i="8"/>
  <c r="GK35" i="8"/>
  <c r="GX35" i="8"/>
  <c r="IK35" i="8"/>
  <c r="FK36" i="8"/>
  <c r="FX36" i="8"/>
  <c r="GK36" i="8"/>
  <c r="GX36" i="8"/>
  <c r="IK36" i="8"/>
  <c r="CI37" i="8"/>
  <c r="FK37" i="8"/>
  <c r="FX37" i="8"/>
  <c r="GK37" i="8"/>
  <c r="GX37" i="8"/>
  <c r="IK37" i="8"/>
  <c r="CI38" i="8"/>
  <c r="FK38" i="8"/>
  <c r="FX38" i="8"/>
  <c r="GK38" i="8"/>
  <c r="GX38" i="8"/>
  <c r="IK38" i="8"/>
  <c r="CI39" i="8"/>
  <c r="FK39" i="8"/>
  <c r="FX39" i="8"/>
  <c r="GK39" i="8"/>
  <c r="GX39" i="8"/>
  <c r="IK39" i="8"/>
  <c r="CI40" i="8"/>
  <c r="FK40" i="8"/>
  <c r="FX40" i="8"/>
  <c r="GK40" i="8"/>
  <c r="GX40" i="8"/>
  <c r="IK40" i="8"/>
  <c r="CI41" i="8"/>
  <c r="FK41" i="8"/>
  <c r="FX41" i="8"/>
  <c r="GK41" i="8"/>
  <c r="GX41" i="8"/>
  <c r="IK41" i="8"/>
  <c r="CI42" i="8"/>
  <c r="FK42" i="8"/>
  <c r="FX42" i="8"/>
  <c r="GK42" i="8"/>
  <c r="GX42" i="8"/>
  <c r="IK42" i="8"/>
  <c r="CI43" i="8"/>
  <c r="FK43" i="8"/>
  <c r="FX43" i="8"/>
  <c r="GK43" i="8"/>
  <c r="GX43" i="8"/>
  <c r="IK43" i="8"/>
  <c r="CI44" i="8"/>
  <c r="FK44" i="8"/>
  <c r="FX44" i="8"/>
  <c r="GK44" i="8"/>
  <c r="GX44" i="8"/>
  <c r="CI45" i="8"/>
  <c r="FK45" i="8"/>
  <c r="FX45" i="8"/>
  <c r="GK45" i="8"/>
  <c r="GX45" i="8"/>
  <c r="CI46" i="8"/>
  <c r="FK46" i="8"/>
  <c r="FX46" i="8"/>
  <c r="GK46" i="8"/>
  <c r="GX46" i="8"/>
  <c r="CI47" i="8"/>
  <c r="FK47" i="8"/>
  <c r="FX47" i="8"/>
  <c r="GK47" i="8"/>
  <c r="GX47" i="8"/>
  <c r="CI48" i="8"/>
  <c r="FX48" i="8"/>
  <c r="GK48" i="8"/>
  <c r="GX48" i="8"/>
  <c r="CI49" i="8"/>
  <c r="FX49" i="8"/>
  <c r="GK49" i="8"/>
  <c r="GX49" i="8"/>
  <c r="CI50" i="8"/>
  <c r="FX50" i="8"/>
  <c r="GK50" i="8"/>
  <c r="GX50" i="8"/>
  <c r="CI51" i="8"/>
  <c r="FX51" i="8"/>
  <c r="GK51" i="8"/>
  <c r="GX51" i="8"/>
  <c r="CI52" i="8"/>
  <c r="FX52" i="8"/>
  <c r="GK52" i="8"/>
  <c r="GX52" i="8"/>
  <c r="CI53" i="8"/>
  <c r="FX53" i="8"/>
  <c r="GK53" i="8"/>
  <c r="GX53" i="8"/>
  <c r="CI54" i="8"/>
  <c r="FX54" i="8"/>
  <c r="GK54" i="8"/>
  <c r="GX54" i="8"/>
  <c r="CI55" i="8"/>
  <c r="FX55" i="8"/>
  <c r="GX55" i="8"/>
  <c r="CI56" i="8"/>
  <c r="FX56" i="8"/>
  <c r="GX56" i="8"/>
  <c r="CI57" i="8"/>
  <c r="FX57" i="8"/>
  <c r="GX57" i="8"/>
  <c r="CI58" i="8"/>
  <c r="FX58" i="8"/>
  <c r="GX58" i="8"/>
  <c r="CI59" i="8"/>
  <c r="FX59" i="8"/>
  <c r="GX59" i="8"/>
  <c r="CI60" i="8"/>
  <c r="FX60" i="8"/>
  <c r="GX60" i="8"/>
  <c r="CI61" i="8"/>
  <c r="FX61" i="8"/>
  <c r="GX61" i="8"/>
  <c r="CI62" i="8"/>
  <c r="FX62" i="8"/>
  <c r="GX62" i="8"/>
  <c r="CI63" i="8"/>
  <c r="GX63" i="8"/>
  <c r="CI64" i="8"/>
  <c r="GX64" i="8"/>
  <c r="CI65" i="8"/>
  <c r="GX65" i="8"/>
  <c r="CI66" i="8"/>
  <c r="GX66" i="8"/>
  <c r="CI67" i="8"/>
  <c r="GX67" i="8"/>
  <c r="CI68" i="8"/>
  <c r="GX68" i="8"/>
  <c r="CI69" i="8"/>
  <c r="GX69" i="8"/>
  <c r="CI70" i="8"/>
  <c r="GX70" i="8"/>
  <c r="CI71" i="8"/>
  <c r="GX71" i="8"/>
  <c r="CI72" i="8"/>
  <c r="GX72" i="8"/>
  <c r="CI73" i="8"/>
  <c r="BW9" i="8"/>
  <c r="BW10" i="8"/>
  <c r="BW11" i="8"/>
  <c r="BW12" i="8"/>
  <c r="BW13" i="8"/>
  <c r="BW14" i="8"/>
  <c r="BW15" i="8"/>
  <c r="BW16" i="8"/>
  <c r="BW17" i="8"/>
  <c r="BW18" i="8"/>
  <c r="BW19" i="8"/>
  <c r="BW20" i="8"/>
  <c r="BW21" i="8"/>
  <c r="BW22" i="8"/>
  <c r="BW23" i="8"/>
  <c r="BW24" i="8"/>
  <c r="BW25" i="8"/>
  <c r="HK26" i="8"/>
  <c r="BW26" i="8"/>
  <c r="BW27" i="8"/>
  <c r="BW28" i="8"/>
  <c r="BW29" i="8"/>
  <c r="BW30" i="8"/>
  <c r="BW31" i="8"/>
  <c r="BW32" i="8"/>
  <c r="BW33" i="8"/>
  <c r="BW35" i="8"/>
  <c r="BW36" i="8"/>
  <c r="BW37" i="8"/>
  <c r="BW38" i="8"/>
  <c r="BW39" i="8"/>
  <c r="BK10" i="30"/>
  <c r="BK11" i="30"/>
  <c r="BK12" i="30"/>
  <c r="BK13" i="30"/>
  <c r="BK14" i="30"/>
  <c r="BW14" i="30"/>
  <c r="BK15" i="30"/>
  <c r="BW15" i="30"/>
  <c r="BK16" i="30"/>
  <c r="BW16" i="30"/>
  <c r="BK17" i="30"/>
  <c r="BW17" i="30"/>
  <c r="AX18" i="30"/>
  <c r="BW18" i="30"/>
  <c r="AX19" i="30"/>
  <c r="BW19" i="30"/>
  <c r="AX20" i="30"/>
  <c r="BW20" i="30"/>
  <c r="AX21" i="30"/>
  <c r="BW21" i="30"/>
  <c r="AX22" i="30"/>
  <c r="BW22" i="30"/>
  <c r="AX23" i="30"/>
  <c r="BW23" i="30"/>
  <c r="CI23" i="30"/>
  <c r="AX24" i="30"/>
  <c r="CI24" i="30"/>
  <c r="AX25" i="30"/>
  <c r="CI25" i="30"/>
  <c r="AX26" i="30"/>
  <c r="CI26" i="30"/>
  <c r="AX27" i="30"/>
  <c r="CI27" i="30"/>
  <c r="AX28" i="30"/>
  <c r="AX29" i="30"/>
  <c r="CI29" i="30"/>
  <c r="AX30" i="30"/>
  <c r="AX31" i="30"/>
  <c r="AX32" i="30"/>
  <c r="AX33" i="30"/>
  <c r="AX34" i="30"/>
  <c r="AX35" i="30"/>
  <c r="AX36" i="30"/>
  <c r="AX37" i="30"/>
  <c r="AX38" i="30"/>
  <c r="AX39" i="30"/>
  <c r="AX40" i="30"/>
  <c r="AX41" i="30"/>
  <c r="AX42" i="30"/>
  <c r="AX43" i="30"/>
  <c r="AX44" i="30"/>
  <c r="AQ44" i="30" s="1"/>
  <c r="AX45" i="30"/>
  <c r="AX46" i="30"/>
  <c r="AX47" i="30"/>
  <c r="AX48" i="30"/>
  <c r="D671" i="18"/>
  <c r="E671" i="18" s="1"/>
  <c r="F671" i="18" s="1"/>
  <c r="G651" i="18"/>
  <c r="F651" i="18"/>
  <c r="E651" i="18"/>
  <c r="D651" i="18"/>
  <c r="F650" i="18"/>
  <c r="E650" i="18"/>
  <c r="D650" i="18"/>
  <c r="D633" i="18"/>
  <c r="F632" i="18"/>
  <c r="E632" i="18"/>
  <c r="D632" i="18"/>
  <c r="O614" i="18"/>
  <c r="N614" i="18"/>
  <c r="M614" i="18"/>
  <c r="L614" i="18"/>
  <c r="K614" i="18"/>
  <c r="J614" i="18"/>
  <c r="I614" i="18"/>
  <c r="H614" i="18"/>
  <c r="G614" i="18"/>
  <c r="F614" i="18"/>
  <c r="E614" i="18"/>
  <c r="D614" i="18"/>
  <c r="C614" i="18"/>
  <c r="O613" i="18"/>
  <c r="N613" i="18"/>
  <c r="M613" i="18"/>
  <c r="L613" i="18"/>
  <c r="K613" i="18"/>
  <c r="J613" i="18"/>
  <c r="I613" i="18"/>
  <c r="H613" i="18"/>
  <c r="G613" i="18"/>
  <c r="F613" i="18"/>
  <c r="E613" i="18"/>
  <c r="D613" i="18"/>
  <c r="C613" i="18"/>
  <c r="J597" i="18"/>
  <c r="I597" i="18"/>
  <c r="H597" i="18"/>
  <c r="G597" i="18"/>
  <c r="F597" i="18"/>
  <c r="E597" i="18"/>
  <c r="I596" i="18"/>
  <c r="H596" i="18"/>
  <c r="G596" i="18"/>
  <c r="F596" i="18"/>
  <c r="E596" i="18"/>
  <c r="D596" i="18"/>
  <c r="O579" i="18"/>
  <c r="N579" i="18"/>
  <c r="M579" i="18"/>
  <c r="L579" i="18"/>
  <c r="K579" i="18"/>
  <c r="J579" i="18"/>
  <c r="I579" i="18"/>
  <c r="H579" i="18"/>
  <c r="G579" i="18"/>
  <c r="F579" i="18"/>
  <c r="E579" i="18"/>
  <c r="D579" i="18"/>
  <c r="C579" i="18"/>
  <c r="O578" i="18"/>
  <c r="N578" i="18"/>
  <c r="M578" i="18"/>
  <c r="L578" i="18"/>
  <c r="K578" i="18"/>
  <c r="J578" i="18"/>
  <c r="I578" i="18"/>
  <c r="H578" i="18"/>
  <c r="G578" i="18"/>
  <c r="F578" i="18"/>
  <c r="E578" i="18"/>
  <c r="D578" i="18"/>
  <c r="C578" i="18"/>
  <c r="G560" i="18"/>
  <c r="E560" i="18"/>
  <c r="D560" i="18"/>
  <c r="E559" i="18"/>
  <c r="D559" i="18"/>
  <c r="D543" i="18"/>
  <c r="E542" i="18"/>
  <c r="D542" i="18"/>
  <c r="D525" i="18"/>
  <c r="D524" i="18"/>
  <c r="F502" i="18"/>
  <c r="E502" i="18"/>
  <c r="D502" i="18"/>
  <c r="E501" i="18"/>
  <c r="D501" i="18"/>
  <c r="D479" i="18"/>
  <c r="E478" i="18"/>
  <c r="D478" i="18"/>
  <c r="D459" i="18"/>
  <c r="E458" i="18"/>
  <c r="D458" i="18"/>
  <c r="D435" i="18"/>
  <c r="F434" i="18"/>
  <c r="E434" i="18"/>
  <c r="D434" i="18"/>
  <c r="D417" i="18"/>
  <c r="F416" i="18"/>
  <c r="E416" i="18"/>
  <c r="D416" i="18"/>
  <c r="D398" i="18"/>
  <c r="F397" i="18"/>
  <c r="E397" i="18"/>
  <c r="D397" i="18"/>
  <c r="G378" i="18"/>
  <c r="F378" i="18"/>
  <c r="E378" i="18"/>
  <c r="D378" i="18"/>
  <c r="E377" i="18"/>
  <c r="D377" i="18"/>
  <c r="D360" i="18"/>
  <c r="F359" i="18"/>
  <c r="E359" i="18"/>
  <c r="D359" i="18"/>
  <c r="J340" i="18"/>
  <c r="K340" i="18" s="1"/>
  <c r="I340" i="18"/>
  <c r="H340" i="18"/>
  <c r="G340" i="18"/>
  <c r="F340" i="18"/>
  <c r="E340" i="18"/>
  <c r="D340" i="18"/>
  <c r="K339" i="18"/>
  <c r="J339" i="18"/>
  <c r="I339" i="18"/>
  <c r="H339" i="18"/>
  <c r="G339" i="18"/>
  <c r="F339" i="18"/>
  <c r="E339" i="18"/>
  <c r="D339" i="18"/>
  <c r="D320" i="18"/>
  <c r="H319" i="18"/>
  <c r="G319" i="18"/>
  <c r="F319" i="18"/>
  <c r="E319" i="18"/>
  <c r="D319" i="18"/>
  <c r="D302" i="18"/>
  <c r="G301" i="18"/>
  <c r="F301" i="18"/>
  <c r="E301" i="18"/>
  <c r="D301" i="18"/>
  <c r="D282" i="18"/>
  <c r="F281" i="18"/>
  <c r="E281" i="18"/>
  <c r="D281" i="18"/>
  <c r="D264" i="18"/>
  <c r="G263" i="18"/>
  <c r="F263" i="18"/>
  <c r="E263" i="18"/>
  <c r="D263" i="18"/>
  <c r="D246" i="18"/>
  <c r="G245" i="18"/>
  <c r="F245" i="18"/>
  <c r="G246" i="18" s="1"/>
  <c r="E245" i="18"/>
  <c r="F246" i="18" s="1"/>
  <c r="D245" i="18"/>
  <c r="D227" i="18"/>
  <c r="G226" i="18"/>
  <c r="F226" i="18"/>
  <c r="E226" i="18"/>
  <c r="D226" i="18"/>
  <c r="D209" i="18"/>
  <c r="G208" i="18"/>
  <c r="F208" i="18"/>
  <c r="E208" i="18"/>
  <c r="D208" i="18"/>
  <c r="D185" i="18"/>
  <c r="H184" i="18"/>
  <c r="G184" i="18"/>
  <c r="F184" i="18"/>
  <c r="E184" i="18"/>
  <c r="D184" i="18"/>
  <c r="D164" i="18"/>
  <c r="G163" i="18"/>
  <c r="F163" i="18"/>
  <c r="E163" i="18"/>
  <c r="D163" i="18"/>
  <c r="D143" i="18"/>
  <c r="H142" i="18"/>
  <c r="G142" i="18"/>
  <c r="F142" i="18"/>
  <c r="E142" i="18"/>
  <c r="D142" i="18"/>
  <c r="D124" i="18"/>
  <c r="H123" i="18"/>
  <c r="G123" i="18"/>
  <c r="F123" i="18"/>
  <c r="E123" i="18"/>
  <c r="D123" i="18"/>
  <c r="D105" i="18"/>
  <c r="H104" i="18"/>
  <c r="G104" i="18"/>
  <c r="F104" i="18"/>
  <c r="E104" i="18"/>
  <c r="D104" i="18"/>
  <c r="D85" i="18"/>
  <c r="I84" i="18"/>
  <c r="H84" i="18"/>
  <c r="G84" i="18"/>
  <c r="F84" i="18"/>
  <c r="E84" i="18"/>
  <c r="D84" i="18"/>
  <c r="D68" i="18"/>
  <c r="I67" i="18"/>
  <c r="H67" i="18"/>
  <c r="G67" i="18"/>
  <c r="F67" i="18"/>
  <c r="E67" i="18"/>
  <c r="D67" i="18"/>
  <c r="G51" i="18"/>
  <c r="F51" i="18"/>
  <c r="E51" i="18"/>
  <c r="D51" i="18"/>
  <c r="D34" i="18"/>
  <c r="H33" i="18"/>
  <c r="G33" i="18"/>
  <c r="F33" i="18"/>
  <c r="E33" i="18"/>
  <c r="D33" i="18"/>
  <c r="D16" i="18"/>
  <c r="I15" i="18"/>
  <c r="H15" i="18"/>
  <c r="G15" i="18"/>
  <c r="F15" i="18"/>
  <c r="E15" i="18"/>
  <c r="D15" i="18"/>
  <c r="D55" i="14"/>
  <c r="E54" i="14"/>
  <c r="F55" i="14" s="1"/>
  <c r="D12" i="14"/>
  <c r="O11" i="14"/>
  <c r="N11" i="14"/>
  <c r="M11" i="14"/>
  <c r="L11" i="14"/>
  <c r="K11" i="14"/>
  <c r="J11" i="14"/>
  <c r="I11" i="14"/>
  <c r="H11" i="14"/>
  <c r="G11" i="14"/>
  <c r="F11" i="14"/>
  <c r="E11" i="14"/>
  <c r="F12" i="14" s="1"/>
  <c r="D11" i="14"/>
  <c r="D142" i="14"/>
  <c r="E142" i="14" s="1"/>
  <c r="F142" i="14" s="1"/>
  <c r="G142" i="14" s="1"/>
  <c r="H142" i="14" s="1"/>
  <c r="D126" i="14"/>
  <c r="E126" i="14" s="1"/>
  <c r="F126" i="14" s="1"/>
  <c r="G126" i="14" s="1"/>
  <c r="H126" i="14" s="1"/>
  <c r="D108" i="14"/>
  <c r="E108" i="14" s="1"/>
  <c r="F108" i="14" s="1"/>
  <c r="G108" i="14" s="1"/>
  <c r="H108" i="14" s="1"/>
  <c r="I108" i="14" s="1"/>
  <c r="J108" i="14" s="1"/>
  <c r="K108" i="14" s="1"/>
  <c r="L108" i="14" s="1"/>
  <c r="D90" i="14"/>
  <c r="D73" i="14"/>
  <c r="E73" i="14" s="1"/>
  <c r="F73" i="14" s="1"/>
  <c r="G73" i="14" s="1"/>
  <c r="H73" i="14" s="1"/>
  <c r="D250" i="14"/>
  <c r="E250" i="14" s="1"/>
  <c r="F250" i="14" s="1"/>
  <c r="G250" i="14" s="1"/>
  <c r="H250" i="14" s="1"/>
  <c r="I250" i="14" s="1"/>
  <c r="J250" i="14" s="1"/>
  <c r="K250" i="14" s="1"/>
  <c r="D232" i="14"/>
  <c r="E232" i="14" s="1"/>
  <c r="F232" i="14" s="1"/>
  <c r="G232" i="14" s="1"/>
  <c r="H232" i="14" s="1"/>
  <c r="I232" i="14" s="1"/>
  <c r="J232" i="14" s="1"/>
  <c r="D180" i="14"/>
  <c r="E180" i="14" s="1"/>
  <c r="F180" i="14" s="1"/>
  <c r="G180" i="14" s="1"/>
  <c r="H180" i="14" s="1"/>
  <c r="I180" i="14" s="1"/>
  <c r="J180" i="14" s="1"/>
  <c r="K180" i="14" s="1"/>
  <c r="L180" i="14" s="1"/>
  <c r="D213" i="14"/>
  <c r="E197" i="14"/>
  <c r="D197" i="14"/>
  <c r="D196" i="14"/>
  <c r="E214" i="14"/>
  <c r="D214" i="14"/>
  <c r="Z71" i="8"/>
  <c r="Z70" i="8"/>
  <c r="Z69" i="8"/>
  <c r="Z68" i="8"/>
  <c r="Z67" i="8"/>
  <c r="Z66" i="8"/>
  <c r="Z65" i="8"/>
  <c r="Z64" i="8"/>
  <c r="BJ63" i="8"/>
  <c r="AX63" i="8"/>
  <c r="Z63" i="8"/>
  <c r="BJ62" i="8"/>
  <c r="AX62" i="8"/>
  <c r="Z62" i="8"/>
  <c r="BJ61" i="8"/>
  <c r="AX61" i="8"/>
  <c r="Z61" i="8"/>
  <c r="BJ60" i="8"/>
  <c r="AX60" i="8"/>
  <c r="Z60" i="8"/>
  <c r="BJ59" i="8"/>
  <c r="AX59" i="8"/>
  <c r="Z59" i="8"/>
  <c r="BJ58" i="8"/>
  <c r="AX58" i="8"/>
  <c r="Z58" i="8"/>
  <c r="BJ57" i="8"/>
  <c r="AX57" i="8"/>
  <c r="Z57" i="8"/>
  <c r="BJ56" i="8"/>
  <c r="AX56" i="8"/>
  <c r="Z56" i="8"/>
  <c r="BJ55" i="8"/>
  <c r="AX55" i="8"/>
  <c r="Z55" i="8"/>
  <c r="BJ54" i="8"/>
  <c r="AX54" i="8"/>
  <c r="Z54" i="8"/>
  <c r="DX53" i="8"/>
  <c r="BJ53" i="8"/>
  <c r="AX53" i="8"/>
  <c r="Z53" i="8"/>
  <c r="DX52" i="8"/>
  <c r="BJ52" i="8"/>
  <c r="AX52" i="8"/>
  <c r="Z52" i="8"/>
  <c r="DX51" i="8"/>
  <c r="BJ51" i="8"/>
  <c r="AX51" i="8"/>
  <c r="Z51" i="8"/>
  <c r="DX50" i="8"/>
  <c r="BJ50" i="8"/>
  <c r="AX50" i="8"/>
  <c r="Z50" i="8"/>
  <c r="DX49" i="8"/>
  <c r="BJ49" i="8"/>
  <c r="AX49" i="8"/>
  <c r="Z49" i="8"/>
  <c r="DX48" i="8"/>
  <c r="BJ48" i="8"/>
  <c r="AX48" i="8"/>
  <c r="Z48" i="8"/>
  <c r="DX47" i="8"/>
  <c r="BJ47" i="8"/>
  <c r="AX47" i="8"/>
  <c r="Z47" i="8"/>
  <c r="DX46" i="8"/>
  <c r="BJ46" i="8"/>
  <c r="AX46" i="8"/>
  <c r="Z46" i="8"/>
  <c r="DX45" i="8"/>
  <c r="BJ45" i="8"/>
  <c r="AX45" i="8"/>
  <c r="Z45" i="8"/>
  <c r="DX44" i="8"/>
  <c r="BJ44" i="8"/>
  <c r="AX44" i="8"/>
  <c r="Z44" i="8"/>
  <c r="DX43" i="8"/>
  <c r="BJ43" i="8"/>
  <c r="AX43" i="8"/>
  <c r="Z43" i="8"/>
  <c r="DX42" i="8"/>
  <c r="BJ42" i="8"/>
  <c r="AX42" i="8"/>
  <c r="Z42" i="8"/>
  <c r="DX41" i="8"/>
  <c r="BJ41" i="8"/>
  <c r="AX41" i="8"/>
  <c r="Z41" i="8"/>
  <c r="DX40" i="8"/>
  <c r="BJ40" i="8"/>
  <c r="AX40" i="8"/>
  <c r="Z40" i="8"/>
  <c r="HK39" i="8"/>
  <c r="DX39" i="8"/>
  <c r="BJ39" i="8"/>
  <c r="AX39" i="8"/>
  <c r="Z39" i="8"/>
  <c r="HK38" i="8"/>
  <c r="DX38" i="8"/>
  <c r="BJ38" i="8"/>
  <c r="AX38" i="8"/>
  <c r="Z38" i="8"/>
  <c r="HK37" i="8"/>
  <c r="DX37" i="8"/>
  <c r="BJ37" i="8"/>
  <c r="AX37" i="8"/>
  <c r="Z37" i="8"/>
  <c r="HK36" i="8"/>
  <c r="DX36" i="8"/>
  <c r="BJ36" i="8"/>
  <c r="AX36" i="8"/>
  <c r="Z36" i="8"/>
  <c r="HK35" i="8"/>
  <c r="DX35" i="8"/>
  <c r="BJ35" i="8"/>
  <c r="AX35" i="8"/>
  <c r="Z35" i="8"/>
  <c r="HK34" i="8"/>
  <c r="DX34" i="8"/>
  <c r="BW34" i="8"/>
  <c r="BJ34" i="8"/>
  <c r="AX34" i="8"/>
  <c r="Z34" i="8"/>
  <c r="HK33" i="8"/>
  <c r="DX33" i="8"/>
  <c r="BJ33" i="8"/>
  <c r="AX33" i="8"/>
  <c r="Z33" i="8"/>
  <c r="N33" i="8"/>
  <c r="HK32" i="8"/>
  <c r="DX32" i="8"/>
  <c r="CI32" i="8"/>
  <c r="BJ32" i="8"/>
  <c r="AX32" i="8"/>
  <c r="Z32" i="8"/>
  <c r="N32" i="8"/>
  <c r="HK31" i="8"/>
  <c r="DX31" i="8"/>
  <c r="CU31" i="8"/>
  <c r="CI31" i="8"/>
  <c r="BJ31" i="8"/>
  <c r="AX31" i="8"/>
  <c r="Z31" i="8"/>
  <c r="N31" i="8"/>
  <c r="HK30" i="8"/>
  <c r="DX30" i="8"/>
  <c r="CU30" i="8"/>
  <c r="CI30" i="8"/>
  <c r="BJ30" i="8"/>
  <c r="AX30" i="8"/>
  <c r="Z30" i="8"/>
  <c r="N30" i="8"/>
  <c r="HK29" i="8"/>
  <c r="DX29" i="8"/>
  <c r="CU29" i="8"/>
  <c r="CI29" i="8"/>
  <c r="BJ29" i="8"/>
  <c r="AX29" i="8"/>
  <c r="Z29" i="8"/>
  <c r="N29" i="8"/>
  <c r="HK28" i="8"/>
  <c r="DX28" i="8"/>
  <c r="CU28" i="8"/>
  <c r="CI28" i="8"/>
  <c r="BJ28" i="8"/>
  <c r="AX28" i="8"/>
  <c r="Z28" i="8"/>
  <c r="HK27" i="8"/>
  <c r="DX27" i="8"/>
  <c r="CU27" i="8"/>
  <c r="CI27" i="8"/>
  <c r="BJ27" i="8"/>
  <c r="AX27" i="8"/>
  <c r="Z27" i="8"/>
  <c r="DX26" i="8"/>
  <c r="CU26" i="8"/>
  <c r="CI26" i="8"/>
  <c r="BJ26" i="8"/>
  <c r="AX26" i="8"/>
  <c r="Z26" i="8"/>
  <c r="HK25" i="8"/>
  <c r="EX25" i="8"/>
  <c r="DX25" i="8"/>
  <c r="CU25" i="8"/>
  <c r="CI25" i="8"/>
  <c r="BJ25" i="8"/>
  <c r="AX25" i="8"/>
  <c r="Z25" i="8"/>
  <c r="HK24" i="8"/>
  <c r="FK24" i="8"/>
  <c r="EX24" i="8"/>
  <c r="DX24" i="8"/>
  <c r="CU24" i="8"/>
  <c r="CI24" i="8"/>
  <c r="BJ24" i="8"/>
  <c r="AX24" i="8"/>
  <c r="Z24" i="8"/>
  <c r="HK23" i="8"/>
  <c r="FX23" i="8"/>
  <c r="FK23" i="8"/>
  <c r="EX23" i="8"/>
  <c r="EJ23" i="8"/>
  <c r="EK23" i="8" s="1"/>
  <c r="DX23" i="8"/>
  <c r="CU23" i="8"/>
  <c r="CI23" i="8"/>
  <c r="BJ23" i="8"/>
  <c r="AX23" i="8"/>
  <c r="Z23" i="8"/>
  <c r="HY22" i="8"/>
  <c r="HK22" i="8"/>
  <c r="FX22" i="8"/>
  <c r="FK22" i="8"/>
  <c r="EX22" i="8"/>
  <c r="EJ22" i="8"/>
  <c r="DX22" i="8"/>
  <c r="CU22" i="8"/>
  <c r="CI22" i="8"/>
  <c r="BJ22" i="8"/>
  <c r="AX22" i="8"/>
  <c r="AL22" i="8"/>
  <c r="Z22" i="8"/>
  <c r="N22" i="8"/>
  <c r="HY21" i="8"/>
  <c r="HK21" i="8"/>
  <c r="FX21" i="8"/>
  <c r="FK21" i="8"/>
  <c r="EX21" i="8"/>
  <c r="EJ21" i="8"/>
  <c r="DX21" i="8"/>
  <c r="CU21" i="8"/>
  <c r="CI21" i="8"/>
  <c r="BJ21" i="8"/>
  <c r="AX21" i="8"/>
  <c r="AL21" i="8"/>
  <c r="Z21" i="8"/>
  <c r="HY20" i="8"/>
  <c r="HK20" i="8"/>
  <c r="FX20" i="8"/>
  <c r="FK20" i="8"/>
  <c r="EX20" i="8"/>
  <c r="EJ20" i="8"/>
  <c r="DX20" i="8"/>
  <c r="CU20" i="8"/>
  <c r="CI20" i="8"/>
  <c r="BJ20" i="8"/>
  <c r="AX20" i="8"/>
  <c r="AL20" i="8"/>
  <c r="Z20" i="8"/>
  <c r="N20" i="8"/>
  <c r="HY19" i="8"/>
  <c r="HK19" i="8"/>
  <c r="FX19" i="8"/>
  <c r="FK19" i="8"/>
  <c r="EX19" i="8"/>
  <c r="EJ19" i="8"/>
  <c r="DX19" i="8"/>
  <c r="CU19" i="8"/>
  <c r="CI19" i="8"/>
  <c r="BJ19" i="8"/>
  <c r="AX19" i="8"/>
  <c r="AL19" i="8"/>
  <c r="Z19" i="8"/>
  <c r="N19" i="8"/>
  <c r="HY18" i="8"/>
  <c r="HK18" i="8"/>
  <c r="GX18" i="8"/>
  <c r="GK18" i="8"/>
  <c r="FX18" i="8"/>
  <c r="FK18" i="8"/>
  <c r="EX18" i="8"/>
  <c r="EJ18" i="8"/>
  <c r="DX18" i="8"/>
  <c r="CV18" i="8"/>
  <c r="CU18" i="8"/>
  <c r="CI18" i="8"/>
  <c r="BJ18" i="8"/>
  <c r="AX18" i="8"/>
  <c r="AL18" i="8"/>
  <c r="Z18" i="8"/>
  <c r="N18" i="8"/>
  <c r="HY17" i="8"/>
  <c r="HK17" i="8"/>
  <c r="GX17" i="8"/>
  <c r="GK17" i="8"/>
  <c r="FX17" i="8"/>
  <c r="FK17" i="8"/>
  <c r="EX17" i="8"/>
  <c r="EJ17" i="8"/>
  <c r="DX17" i="8"/>
  <c r="CU17" i="8"/>
  <c r="CI17" i="8"/>
  <c r="BJ17" i="8"/>
  <c r="AX17" i="8"/>
  <c r="AL17" i="8"/>
  <c r="Z17" i="8"/>
  <c r="N17" i="8"/>
  <c r="HY16" i="8"/>
  <c r="HK16" i="8"/>
  <c r="GX16" i="8"/>
  <c r="GK16" i="8"/>
  <c r="FX16" i="8"/>
  <c r="FK16" i="8"/>
  <c r="EX16" i="8"/>
  <c r="EJ16" i="8"/>
  <c r="DX16" i="8"/>
  <c r="CV16" i="8"/>
  <c r="CV17" i="8" s="1"/>
  <c r="CU16" i="8"/>
  <c r="CI16" i="8"/>
  <c r="BJ16" i="8"/>
  <c r="AX16" i="8"/>
  <c r="AL16" i="8"/>
  <c r="Z16" i="8"/>
  <c r="N16" i="8"/>
  <c r="IK15" i="8"/>
  <c r="HZ15" i="8"/>
  <c r="HY15" i="8"/>
  <c r="HK15" i="8"/>
  <c r="GX15" i="8"/>
  <c r="GK15" i="8"/>
  <c r="FX15" i="8"/>
  <c r="FK15" i="8"/>
  <c r="EX15" i="8"/>
  <c r="EJ15" i="8"/>
  <c r="DX15" i="8"/>
  <c r="CV15" i="8"/>
  <c r="CU15" i="8"/>
  <c r="CI15" i="8"/>
  <c r="BJ15" i="8"/>
  <c r="AX15" i="8"/>
  <c r="AL15" i="8"/>
  <c r="Z15" i="8"/>
  <c r="N15" i="8"/>
  <c r="IK14" i="8"/>
  <c r="HY14" i="8"/>
  <c r="HZ14" i="8" s="1"/>
  <c r="HK14" i="8"/>
  <c r="GX14" i="8"/>
  <c r="GK14" i="8"/>
  <c r="FX14" i="8"/>
  <c r="FK14" i="8"/>
  <c r="EX14" i="8"/>
  <c r="EJ14" i="8"/>
  <c r="DX14" i="8"/>
  <c r="CV14" i="8"/>
  <c r="CU14" i="8"/>
  <c r="CI14" i="8"/>
  <c r="BJ14" i="8"/>
  <c r="AX14" i="8"/>
  <c r="AL14" i="8"/>
  <c r="Z14" i="8"/>
  <c r="N14" i="8"/>
  <c r="IK13" i="8"/>
  <c r="HY13" i="8"/>
  <c r="HK13" i="8"/>
  <c r="GX13" i="8"/>
  <c r="GK13" i="8"/>
  <c r="FX13" i="8"/>
  <c r="FK13" i="8"/>
  <c r="EX13" i="8"/>
  <c r="EJ13" i="8"/>
  <c r="DX13" i="8"/>
  <c r="CV13" i="8"/>
  <c r="CU13" i="8"/>
  <c r="CI13" i="8"/>
  <c r="BJ13" i="8"/>
  <c r="AX13" i="8"/>
  <c r="AL13" i="8"/>
  <c r="Z13" i="8"/>
  <c r="N13" i="8"/>
  <c r="IK12" i="8"/>
  <c r="HY12" i="8"/>
  <c r="HK12" i="8"/>
  <c r="GX12" i="8"/>
  <c r="GK12" i="8"/>
  <c r="FX12" i="8"/>
  <c r="FK12" i="8"/>
  <c r="EX12" i="8"/>
  <c r="EJ12" i="8"/>
  <c r="DX12" i="8"/>
  <c r="DL12" i="8"/>
  <c r="CV12" i="8"/>
  <c r="CU12" i="8"/>
  <c r="CI12" i="8"/>
  <c r="BJ12" i="8"/>
  <c r="AX12" i="8"/>
  <c r="AL12" i="8"/>
  <c r="Z12" i="8"/>
  <c r="N12" i="8"/>
  <c r="IK11" i="8"/>
  <c r="HY11" i="8"/>
  <c r="HK11" i="8"/>
  <c r="GY11" i="8"/>
  <c r="GX11" i="8"/>
  <c r="GL11" i="8"/>
  <c r="GK11" i="8"/>
  <c r="FY11" i="8"/>
  <c r="FX11" i="8"/>
  <c r="FL11" i="8"/>
  <c r="FK11" i="8"/>
  <c r="EX11" i="8"/>
  <c r="EJ11" i="8"/>
  <c r="DX11" i="8"/>
  <c r="DL11" i="8"/>
  <c r="CV11" i="8"/>
  <c r="CU11" i="8"/>
  <c r="CI11" i="8"/>
  <c r="BJ11" i="8"/>
  <c r="AX11" i="8"/>
  <c r="AL11" i="8"/>
  <c r="Z11" i="8"/>
  <c r="N11" i="8"/>
  <c r="IK10" i="8"/>
  <c r="HY10" i="8"/>
  <c r="HK10" i="8"/>
  <c r="GY10" i="8"/>
  <c r="GX10" i="8"/>
  <c r="GL10" i="8"/>
  <c r="GK10" i="8"/>
  <c r="FX10" i="8"/>
  <c r="FK10" i="8"/>
  <c r="EX10" i="8"/>
  <c r="EJ10" i="8"/>
  <c r="DX10" i="8"/>
  <c r="DL10" i="8"/>
  <c r="CV10" i="8"/>
  <c r="CU10" i="8"/>
  <c r="CI10" i="8"/>
  <c r="BJ10" i="8"/>
  <c r="AX10" i="8"/>
  <c r="AL10" i="8"/>
  <c r="Z10" i="8"/>
  <c r="N10" i="8"/>
  <c r="IL9" i="8"/>
  <c r="IL11" i="8" s="1"/>
  <c r="IK9" i="8"/>
  <c r="HY9" i="8"/>
  <c r="HK9" i="8"/>
  <c r="GY9" i="8"/>
  <c r="GX9" i="8"/>
  <c r="GL9" i="8"/>
  <c r="GK9" i="8"/>
  <c r="FY9" i="8"/>
  <c r="FY10" i="8" s="1"/>
  <c r="FX9" i="8"/>
  <c r="FL9" i="8"/>
  <c r="FK9" i="8"/>
  <c r="EX9" i="8"/>
  <c r="EJ9" i="8"/>
  <c r="DX9" i="8"/>
  <c r="DL9" i="8"/>
  <c r="CV9" i="8"/>
  <c r="CU9" i="8"/>
  <c r="CI9" i="8"/>
  <c r="BJ9" i="8"/>
  <c r="AX9" i="8"/>
  <c r="AL9" i="8"/>
  <c r="Z9" i="8"/>
  <c r="N9" i="8"/>
  <c r="JL8" i="8"/>
  <c r="JK8" i="8"/>
  <c r="IL8" i="8"/>
  <c r="IK8" i="8"/>
  <c r="HY8" i="8"/>
  <c r="HZ8" i="8" s="1"/>
  <c r="HK8" i="8"/>
  <c r="GY8" i="8"/>
  <c r="GX8" i="8"/>
  <c r="GL8" i="8"/>
  <c r="GK8" i="8"/>
  <c r="FY8" i="8"/>
  <c r="FX8" i="8"/>
  <c r="FL8" i="8"/>
  <c r="FK8" i="8"/>
  <c r="EX8" i="8"/>
  <c r="EJ8" i="8"/>
  <c r="DX8" i="8"/>
  <c r="DM8" i="8"/>
  <c r="DL8" i="8"/>
  <c r="CV8" i="8"/>
  <c r="CU8" i="8"/>
  <c r="CJ8" i="8"/>
  <c r="CI8" i="8"/>
  <c r="CB8" i="8" s="1"/>
  <c r="BW8" i="8"/>
  <c r="BJ8" i="8"/>
  <c r="AX8" i="8"/>
  <c r="AL8" i="8"/>
  <c r="Z8" i="8"/>
  <c r="N8" i="8"/>
  <c r="FL4" i="8"/>
  <c r="FM1" i="8"/>
  <c r="CI22" i="30"/>
  <c r="CI21" i="30"/>
  <c r="CI20" i="30"/>
  <c r="CI19" i="30"/>
  <c r="CI18" i="30"/>
  <c r="CI17" i="30"/>
  <c r="AX17" i="30"/>
  <c r="CI16" i="30"/>
  <c r="AY16" i="30"/>
  <c r="AX16" i="30"/>
  <c r="CI15" i="30"/>
  <c r="AY15" i="30"/>
  <c r="AX15" i="30"/>
  <c r="CI14" i="30"/>
  <c r="AX14" i="30"/>
  <c r="CI13" i="30"/>
  <c r="BW13" i="30"/>
  <c r="AX13" i="30"/>
  <c r="CI12" i="30"/>
  <c r="BW12" i="30"/>
  <c r="AX12" i="30"/>
  <c r="CI11" i="30"/>
  <c r="BW11" i="30"/>
  <c r="AX11" i="30"/>
  <c r="CI10" i="30"/>
  <c r="BW10" i="30"/>
  <c r="AY10" i="30"/>
  <c r="AX10" i="30"/>
  <c r="CJ9" i="30"/>
  <c r="CI9" i="30"/>
  <c r="BW9" i="30"/>
  <c r="BK9" i="30"/>
  <c r="AX9" i="30"/>
  <c r="CJ8" i="30"/>
  <c r="CI8" i="30"/>
  <c r="BX8" i="30"/>
  <c r="BW8" i="30"/>
  <c r="BK8" i="30"/>
  <c r="AY8" i="30"/>
  <c r="AX8" i="30"/>
  <c r="BL8" i="30"/>
  <c r="BL9" i="30" s="1"/>
  <c r="BJ5" i="30"/>
  <c r="F304" i="18"/>
  <c r="E29" i="14"/>
  <c r="E30" i="14" s="1"/>
  <c r="F126" i="18"/>
  <c r="F145" i="18"/>
  <c r="F211" i="18"/>
  <c r="D631" i="18"/>
  <c r="V100" i="6"/>
  <c r="W101" i="6" s="1"/>
  <c r="W102" i="6" s="1"/>
  <c r="V24" i="6"/>
  <c r="W24" i="6" s="1"/>
  <c r="E86" i="14"/>
  <c r="F86" i="14" s="1"/>
  <c r="G86" i="14" s="1"/>
  <c r="V306" i="6"/>
  <c r="W307" i="6" s="1"/>
  <c r="W308" i="6" s="1"/>
  <c r="E178" i="14"/>
  <c r="U134" i="5"/>
  <c r="V135" i="5" s="1"/>
  <c r="V136" i="5" s="1"/>
  <c r="U135" i="5"/>
  <c r="U136" i="5" s="1"/>
  <c r="U5" i="5"/>
  <c r="V6" i="5" s="1"/>
  <c r="V7" i="5" s="1"/>
  <c r="V49" i="5"/>
  <c r="V50" i="5" s="1"/>
  <c r="U26" i="5"/>
  <c r="U27" i="5" s="1"/>
  <c r="T235" i="5"/>
  <c r="W100" i="6"/>
  <c r="X101" i="6" s="1"/>
  <c r="X102" i="6" s="1"/>
  <c r="V195" i="6"/>
  <c r="W195" i="6" s="1"/>
  <c r="E376" i="18"/>
  <c r="E629" i="18"/>
  <c r="F630" i="18" s="1"/>
  <c r="F631" i="18" s="1"/>
  <c r="W26" i="5"/>
  <c r="W27" i="5" s="1"/>
  <c r="U311" i="5"/>
  <c r="V311" i="5" s="1"/>
  <c r="W311" i="5" s="1"/>
  <c r="X312" i="5" s="1"/>
  <c r="X313" i="5" s="1"/>
  <c r="X26" i="5"/>
  <c r="X27" i="5" s="1"/>
  <c r="D649" i="18"/>
  <c r="T136" i="5"/>
  <c r="U273" i="5"/>
  <c r="U274" i="5" s="1"/>
  <c r="U253" i="6"/>
  <c r="H124" i="14"/>
  <c r="AT33" i="8"/>
  <c r="V177" i="6"/>
  <c r="V178" i="6" s="1"/>
  <c r="U271" i="6"/>
  <c r="CQ9" i="8"/>
  <c r="CS10" i="8" s="1"/>
  <c r="CT10" i="8" s="1"/>
  <c r="U49" i="5"/>
  <c r="U50" i="5" s="1"/>
  <c r="V139" i="6"/>
  <c r="V140" i="6" s="1"/>
  <c r="V138" i="6"/>
  <c r="W139" i="6" s="1"/>
  <c r="W140" i="6" s="1"/>
  <c r="W233" i="6"/>
  <c r="X233" i="6" s="1"/>
  <c r="W234" i="6"/>
  <c r="W235" i="6" s="1"/>
  <c r="E228" i="14"/>
  <c r="E229" i="14"/>
  <c r="E230" i="14" s="1"/>
  <c r="V70" i="5"/>
  <c r="V71" i="5"/>
  <c r="V72" i="5" s="1"/>
  <c r="W214" i="6"/>
  <c r="W215" i="6"/>
  <c r="W216" i="6" s="1"/>
  <c r="W49" i="5"/>
  <c r="W50" i="5" s="1"/>
  <c r="W48" i="5"/>
  <c r="W120" i="6"/>
  <c r="W121" i="6" s="1"/>
  <c r="W119" i="6"/>
  <c r="V44" i="6"/>
  <c r="W45" i="6" s="1"/>
  <c r="W46" i="6" s="1"/>
  <c r="V82" i="6"/>
  <c r="D477" i="18"/>
  <c r="E247" i="14"/>
  <c r="E248" i="14" s="1"/>
  <c r="V120" i="6"/>
  <c r="V121" i="6" s="1"/>
  <c r="V157" i="6"/>
  <c r="V251" i="6"/>
  <c r="W252" i="6" s="1"/>
  <c r="W253" i="6" s="1"/>
  <c r="D50" i="18"/>
  <c r="D83" i="18"/>
  <c r="U71" i="5"/>
  <c r="U72" i="5" s="1"/>
  <c r="U292" i="5"/>
  <c r="V293" i="5" s="1"/>
  <c r="V294" i="5" s="1"/>
  <c r="T313" i="5"/>
  <c r="D558" i="18"/>
  <c r="F87" i="14"/>
  <c r="F88" i="14" s="1"/>
  <c r="U312" i="5"/>
  <c r="U313" i="5" s="1"/>
  <c r="V63" i="6"/>
  <c r="W63" i="6" s="1"/>
  <c r="E81" i="18"/>
  <c r="F81" i="18" s="1"/>
  <c r="D230" i="14"/>
  <c r="D178" i="14"/>
  <c r="T194" i="5"/>
  <c r="D457" i="18"/>
  <c r="W25" i="6"/>
  <c r="W26" i="6" s="1"/>
  <c r="D103" i="18"/>
  <c r="D433" i="18"/>
  <c r="D30" i="14"/>
  <c r="DT9" i="8"/>
  <c r="DV10" i="8" s="1"/>
  <c r="DW10" i="8" s="1"/>
  <c r="X195" i="6"/>
  <c r="X196" i="6"/>
  <c r="X197" i="6" s="1"/>
  <c r="X24" i="6"/>
  <c r="X25" i="6"/>
  <c r="X26" i="6" s="1"/>
  <c r="X176" i="6"/>
  <c r="X177" i="6"/>
  <c r="X178" i="6" s="1"/>
  <c r="X214" i="6"/>
  <c r="X215" i="6"/>
  <c r="X216" i="6" s="1"/>
  <c r="W196" i="6"/>
  <c r="W197" i="6" s="1"/>
  <c r="J34" i="14"/>
  <c r="K34" i="14" s="1"/>
  <c r="L34" i="14" s="1"/>
  <c r="M34" i="14" s="1"/>
  <c r="N34" i="14" s="1"/>
  <c r="O34" i="14" s="1"/>
  <c r="P34" i="14" s="1"/>
  <c r="Q34" i="14" s="1"/>
  <c r="R34" i="14" s="1"/>
  <c r="M1135" i="1"/>
  <c r="U64" i="6"/>
  <c r="U65" i="6" s="1"/>
  <c r="X100" i="6"/>
  <c r="V64" i="6"/>
  <c r="V65" i="6" s="1"/>
  <c r="V269" i="6"/>
  <c r="H138" i="14"/>
  <c r="H139" i="14"/>
  <c r="H140" i="14" s="1"/>
  <c r="H141" i="14" s="1"/>
  <c r="W64" i="6"/>
  <c r="W65" i="6" s="1"/>
  <c r="H25" i="14"/>
  <c r="K14" i="14"/>
  <c r="L14" i="14" s="1"/>
  <c r="M14" i="14" s="1"/>
  <c r="N14" i="14" s="1"/>
  <c r="O14" i="14" s="1"/>
  <c r="P14" i="14" s="1"/>
  <c r="Q14" i="14" s="1"/>
  <c r="R14" i="14" s="1"/>
  <c r="F229" i="14"/>
  <c r="F230" i="14" s="1"/>
  <c r="F228" i="14"/>
  <c r="V5" i="6"/>
  <c r="W177" i="6"/>
  <c r="W178" i="6" s="1"/>
  <c r="E262" i="18"/>
  <c r="E260" i="18"/>
  <c r="D212" i="14"/>
  <c r="D210" i="14"/>
  <c r="E122" i="18"/>
  <c r="E120" i="18"/>
  <c r="F246" i="14"/>
  <c r="F247" i="14"/>
  <c r="F248" i="14" s="1"/>
  <c r="E48" i="18"/>
  <c r="F49" i="18" s="1"/>
  <c r="F50" i="18" s="1"/>
  <c r="D66" i="18"/>
  <c r="D72" i="18" s="1"/>
  <c r="F158" i="14"/>
  <c r="E176" i="14"/>
  <c r="E12" i="18"/>
  <c r="F12" i="18" s="1"/>
  <c r="G13" i="18" s="1"/>
  <c r="G14" i="18" s="1"/>
  <c r="E28" i="14"/>
  <c r="F29" i="14" s="1"/>
  <c r="E51" i="14"/>
  <c r="E8" i="14"/>
  <c r="E69" i="14"/>
  <c r="D183" i="18"/>
  <c r="D376" i="18"/>
  <c r="D415" i="18"/>
  <c r="DH9" i="8"/>
  <c r="DJ10" i="8" s="1"/>
  <c r="DK10" i="8" s="1"/>
  <c r="V53" i="8"/>
  <c r="X53" i="8" s="1"/>
  <c r="Y53" i="8" s="1"/>
  <c r="DT10" i="8"/>
  <c r="DV11" i="8" s="1"/>
  <c r="DW11" i="8" s="1"/>
  <c r="D207" i="18"/>
  <c r="AH18" i="8"/>
  <c r="AJ18" i="8" s="1"/>
  <c r="AK18" i="8" s="1"/>
  <c r="Z26" i="5"/>
  <c r="Z27" i="5" s="1"/>
  <c r="Z25" i="5"/>
  <c r="BG41" i="8"/>
  <c r="BI41" i="8" s="1"/>
  <c r="U155" i="5"/>
  <c r="U156" i="5" s="1"/>
  <c r="U154" i="5"/>
  <c r="U212" i="5"/>
  <c r="U213" i="5" s="1"/>
  <c r="U211" i="5"/>
  <c r="U90" i="5"/>
  <c r="Y26" i="5"/>
  <c r="Y27" i="5" s="1"/>
  <c r="U193" i="5"/>
  <c r="U194" i="5" s="1"/>
  <c r="U192" i="5"/>
  <c r="U105" i="5"/>
  <c r="U253" i="5"/>
  <c r="T213" i="5"/>
  <c r="T115" i="5"/>
  <c r="T156" i="5"/>
  <c r="U234" i="5"/>
  <c r="U235" i="5" s="1"/>
  <c r="U233" i="5"/>
  <c r="U113" i="5"/>
  <c r="U114" i="5"/>
  <c r="U115" i="5" s="1"/>
  <c r="E161" i="18"/>
  <c r="E162" i="18" s="1"/>
  <c r="E64" i="18"/>
  <c r="F65" i="18" s="1"/>
  <c r="E66" i="18"/>
  <c r="E101" i="18"/>
  <c r="F102" i="18" s="1"/>
  <c r="E103" i="18"/>
  <c r="E50" i="18"/>
  <c r="E207" i="18"/>
  <c r="E205" i="18"/>
  <c r="F206" i="18" s="1"/>
  <c r="G241" i="18"/>
  <c r="H241" i="18" s="1"/>
  <c r="I241" i="18" s="1"/>
  <c r="J241" i="18" s="1"/>
  <c r="K241" i="18" s="1"/>
  <c r="L241" i="18" s="1"/>
  <c r="M241" i="18" s="1"/>
  <c r="E278" i="18"/>
  <c r="F279" i="18" s="1"/>
  <c r="E280" i="18"/>
  <c r="E316" i="18"/>
  <c r="F317" i="18" s="1"/>
  <c r="E318" i="18"/>
  <c r="E356" i="18"/>
  <c r="F357" i="18" s="1"/>
  <c r="E358" i="18"/>
  <c r="E649" i="18"/>
  <c r="E647" i="18"/>
  <c r="F648" i="18" s="1"/>
  <c r="E30" i="18"/>
  <c r="D162" i="18"/>
  <c r="E431" i="18"/>
  <c r="F432" i="18" s="1"/>
  <c r="E433" i="18"/>
  <c r="E457" i="18"/>
  <c r="E455" i="18"/>
  <c r="F456" i="18" s="1"/>
  <c r="E82" i="18"/>
  <c r="E83" i="18" s="1"/>
  <c r="E415" i="18"/>
  <c r="E413" i="18"/>
  <c r="F414" i="18" s="1"/>
  <c r="E182" i="18"/>
  <c r="E183" i="18" s="1"/>
  <c r="E181" i="18"/>
  <c r="E477" i="18"/>
  <c r="E475" i="18"/>
  <c r="F476" i="18" s="1"/>
  <c r="F394" i="18"/>
  <c r="G395" i="18" s="1"/>
  <c r="E223" i="18"/>
  <c r="F224" i="18" s="1"/>
  <c r="E374" i="18"/>
  <c r="F375" i="18" s="1"/>
  <c r="E631" i="18"/>
  <c r="F556" i="18"/>
  <c r="G557" i="18" s="1"/>
  <c r="M946" i="1"/>
  <c r="U29" i="2" s="1"/>
  <c r="M947" i="1"/>
  <c r="M1030" i="1"/>
  <c r="M973" i="1"/>
  <c r="M982" i="1"/>
  <c r="M1036" i="1"/>
  <c r="M983" i="1"/>
  <c r="M1022" i="1"/>
  <c r="M984" i="1"/>
  <c r="M964" i="1"/>
  <c r="M985" i="1"/>
  <c r="M986" i="1"/>
  <c r="M987" i="1"/>
  <c r="E191" i="14"/>
  <c r="E192" i="14" s="1"/>
  <c r="E208" i="14"/>
  <c r="E209" i="14" s="1"/>
  <c r="D2" i="3"/>
  <c r="D118" i="14"/>
  <c r="B4" i="5"/>
  <c r="B4" i="6"/>
  <c r="U321" i="6"/>
  <c r="A5" i="30"/>
  <c r="A5" i="8"/>
  <c r="A6" i="8" s="1"/>
  <c r="A7" i="8" s="1"/>
  <c r="A8" i="8" s="1"/>
  <c r="A9" i="8" s="1"/>
  <c r="A10" i="8" s="1"/>
  <c r="A11" i="8" s="1"/>
  <c r="F536" i="18"/>
  <c r="E525" i="18"/>
  <c r="D52" i="18"/>
  <c r="E6" i="18"/>
  <c r="V83" i="5"/>
  <c r="T288" i="5"/>
  <c r="V102" i="5"/>
  <c r="G52" i="3" a="1"/>
  <c r="H11" i="3"/>
  <c r="H9" i="3"/>
  <c r="I2" i="3"/>
  <c r="F6" i="6"/>
  <c r="Q598" i="18" a="1"/>
  <c r="L652" i="18" a="1"/>
  <c r="M652" i="18" a="1"/>
  <c r="F3" i="6"/>
  <c r="D835" i="18"/>
  <c r="D890" i="18"/>
  <c r="P598" i="18" a="1"/>
  <c r="S158" i="2" a="1"/>
  <c r="I6" i="6" a="1"/>
  <c r="F4" i="6"/>
  <c r="AE315" i="2" a="1"/>
  <c r="F5" i="6"/>
  <c r="S158" i="2" l="1"/>
  <c r="H1085" i="18"/>
  <c r="I1085" i="18" s="1"/>
  <c r="J1085" i="18" s="1"/>
  <c r="K1085" i="18" s="1"/>
  <c r="L1085" i="18" s="1"/>
  <c r="M1085" i="18" s="1"/>
  <c r="N1085" i="18" s="1"/>
  <c r="O1085" i="18" s="1"/>
  <c r="P1085" i="18" s="1"/>
  <c r="Q1085" i="18" s="1"/>
  <c r="R1085" i="18" s="1"/>
  <c r="IX11" i="8"/>
  <c r="IX12" i="8" s="1"/>
  <c r="IX13" i="8" s="1"/>
  <c r="IX14" i="8" s="1"/>
  <c r="IX15" i="8" s="1"/>
  <c r="IX16" i="8" s="1"/>
  <c r="IX17" i="8" s="1"/>
  <c r="IX18" i="8" s="1"/>
  <c r="IX19" i="8" s="1"/>
  <c r="IX20" i="8" s="1"/>
  <c r="IX21" i="8" s="1"/>
  <c r="IX22" i="8" s="1"/>
  <c r="IX23" i="8" s="1"/>
  <c r="IX24" i="8" s="1"/>
  <c r="IX25" i="8" s="1"/>
  <c r="IX26" i="8" s="1"/>
  <c r="IX27" i="8" s="1"/>
  <c r="IX28" i="8" s="1"/>
  <c r="BF22" i="8"/>
  <c r="BH22" i="8" s="1"/>
  <c r="BI22" i="8" s="1"/>
  <c r="CQ10" i="8"/>
  <c r="E1065" i="18"/>
  <c r="F1065" i="18" s="1"/>
  <c r="G52" i="3"/>
  <c r="P340" i="18"/>
  <c r="Q340" i="18" s="1"/>
  <c r="R340" i="18" s="1"/>
  <c r="S340" i="18" s="1"/>
  <c r="T340" i="18" s="1"/>
  <c r="U340" i="18" s="1"/>
  <c r="V340" i="18" s="1"/>
  <c r="W340" i="18" s="1"/>
  <c r="X340" i="18" s="1"/>
  <c r="Y340" i="18" s="1"/>
  <c r="Z340" i="18" s="1"/>
  <c r="AA340" i="18" s="1"/>
  <c r="AB340" i="18" s="1"/>
  <c r="AC340" i="18" s="1"/>
  <c r="AD340" i="18" s="1"/>
  <c r="AE340" i="18" s="1"/>
  <c r="AF340" i="18" s="1"/>
  <c r="AG340" i="18" s="1"/>
  <c r="AH340" i="18" s="1"/>
  <c r="AI340" i="18" s="1"/>
  <c r="AJ340" i="18" s="1"/>
  <c r="AK340" i="18" s="1"/>
  <c r="AL340" i="18" s="1"/>
  <c r="AM340" i="18" s="1"/>
  <c r="E2" i="3"/>
  <c r="M652" i="18"/>
  <c r="M654" i="18" s="1"/>
  <c r="E1045" i="18"/>
  <c r="F1045" i="18" s="1"/>
  <c r="E1025" i="18"/>
  <c r="DL9" i="30"/>
  <c r="E987" i="18"/>
  <c r="F987" i="18" s="1"/>
  <c r="E1006" i="18"/>
  <c r="F1006" i="18" s="1"/>
  <c r="G1006" i="18" s="1"/>
  <c r="H1006" i="18" s="1"/>
  <c r="I1006" i="18" s="1"/>
  <c r="J1006" i="18" s="1"/>
  <c r="Q598" i="18"/>
  <c r="Q600" i="18" s="1"/>
  <c r="Q601" i="18" s="1"/>
  <c r="P598" i="18"/>
  <c r="E946" i="18"/>
  <c r="F593" i="18"/>
  <c r="G594" i="18" s="1"/>
  <c r="G595" i="18" s="1"/>
  <c r="E539" i="18"/>
  <c r="F540" i="18" s="1"/>
  <c r="F541" i="18" s="1"/>
  <c r="F542" i="18" s="1"/>
  <c r="F139" i="18"/>
  <c r="G140" i="18" s="1"/>
  <c r="D892" i="18"/>
  <c r="D893" i="18" s="1"/>
  <c r="C895" i="18" s="1"/>
  <c r="E870" i="18"/>
  <c r="F870" i="18" s="1"/>
  <c r="G870" i="18" s="1"/>
  <c r="L652" i="18"/>
  <c r="L654" i="18" s="1"/>
  <c r="E816" i="18"/>
  <c r="F816" i="18" s="1"/>
  <c r="G816" i="18" s="1"/>
  <c r="E852" i="18"/>
  <c r="D837" i="18"/>
  <c r="AE315" i="2"/>
  <c r="E797" i="18"/>
  <c r="F797" i="18" s="1"/>
  <c r="G797" i="18" s="1"/>
  <c r="H797" i="18" s="1"/>
  <c r="I797" i="18" s="1"/>
  <c r="J797" i="18" s="1"/>
  <c r="CB9" i="8"/>
  <c r="CB10" i="8" s="1"/>
  <c r="CB11" i="8" s="1"/>
  <c r="CB12" i="8" s="1"/>
  <c r="CB13" i="8" s="1"/>
  <c r="CB14" i="8" s="1"/>
  <c r="CB15" i="8" s="1"/>
  <c r="CB16" i="8" s="1"/>
  <c r="CB17" i="8" s="1"/>
  <c r="CB18" i="8" s="1"/>
  <c r="CB19" i="8" s="1"/>
  <c r="CB20" i="8" s="1"/>
  <c r="CB21" i="8" s="1"/>
  <c r="CB22" i="8" s="1"/>
  <c r="CB23" i="8" s="1"/>
  <c r="CB24" i="8" s="1"/>
  <c r="CB25" i="8" s="1"/>
  <c r="CB26" i="8" s="1"/>
  <c r="CB27" i="8" s="1"/>
  <c r="CB28" i="8" s="1"/>
  <c r="CB29" i="8" s="1"/>
  <c r="CB30" i="8" s="1"/>
  <c r="CB31" i="8" s="1"/>
  <c r="CB32" i="8" s="1"/>
  <c r="CB33" i="8" s="1"/>
  <c r="CB34" i="8" s="1"/>
  <c r="CB35" i="8" s="1"/>
  <c r="CB36" i="8" s="1"/>
  <c r="CB37" i="8" s="1"/>
  <c r="CB38" i="8" s="1"/>
  <c r="CB39" i="8" s="1"/>
  <c r="CB40" i="8" s="1"/>
  <c r="CB41" i="8" s="1"/>
  <c r="CB42" i="8" s="1"/>
  <c r="CB43" i="8" s="1"/>
  <c r="CB44" i="8" s="1"/>
  <c r="CB45" i="8" s="1"/>
  <c r="CB46" i="8" s="1"/>
  <c r="CB47" i="8" s="1"/>
  <c r="CB48" i="8" s="1"/>
  <c r="CB49" i="8" s="1"/>
  <c r="CB50" i="8" s="1"/>
  <c r="CB51" i="8" s="1"/>
  <c r="CB52" i="8" s="1"/>
  <c r="CB53" i="8" s="1"/>
  <c r="CB54" i="8" s="1"/>
  <c r="CB55" i="8" s="1"/>
  <c r="CB56" i="8" s="1"/>
  <c r="CB57" i="8" s="1"/>
  <c r="CB58" i="8" s="1"/>
  <c r="CB59" i="8" s="1"/>
  <c r="CB60" i="8" s="1"/>
  <c r="CB61" i="8" s="1"/>
  <c r="CB62" i="8" s="1"/>
  <c r="CB63" i="8" s="1"/>
  <c r="CB64" i="8" s="1"/>
  <c r="CB65" i="8" s="1"/>
  <c r="CB66" i="8" s="1"/>
  <c r="CB67" i="8" s="1"/>
  <c r="CB68" i="8" s="1"/>
  <c r="CB69" i="8" s="1"/>
  <c r="CB70" i="8" s="1"/>
  <c r="CB71" i="8" s="1"/>
  <c r="CB72" i="8" s="1"/>
  <c r="CB73" i="8" s="1"/>
  <c r="CB74" i="8" s="1"/>
  <c r="CB75" i="8" s="1"/>
  <c r="CB76" i="8" s="1"/>
  <c r="CB77" i="8" s="1"/>
  <c r="E775" i="18"/>
  <c r="H246" i="18"/>
  <c r="HZ9" i="8"/>
  <c r="HZ10" i="8" s="1"/>
  <c r="HZ11" i="8" s="1"/>
  <c r="HZ12" i="8" s="1"/>
  <c r="HZ13" i="8" s="1"/>
  <c r="E68" i="18"/>
  <c r="E143" i="18"/>
  <c r="G12" i="14"/>
  <c r="H12" i="14"/>
  <c r="I12" i="14" s="1"/>
  <c r="J12" i="14" s="1"/>
  <c r="K12" i="14" s="1"/>
  <c r="L12" i="14" s="1"/>
  <c r="M12" i="14" s="1"/>
  <c r="N12" i="14" s="1"/>
  <c r="O12" i="14" s="1"/>
  <c r="P12" i="14" s="1"/>
  <c r="JX11" i="8"/>
  <c r="AD45" i="30"/>
  <c r="AD46" i="30" s="1"/>
  <c r="AD47" i="30" s="1"/>
  <c r="AD48" i="30" s="1"/>
  <c r="AD49" i="30" s="1"/>
  <c r="AD50" i="30" s="1"/>
  <c r="AD51" i="30" s="1"/>
  <c r="AD52" i="30" s="1"/>
  <c r="AD53" i="30" s="1"/>
  <c r="AD54" i="30" s="1"/>
  <c r="AD55" i="30" s="1"/>
  <c r="AD56" i="30" s="1"/>
  <c r="I775" i="18"/>
  <c r="F629" i="18"/>
  <c r="G630" i="18" s="1"/>
  <c r="G631" i="18" s="1"/>
  <c r="G632" i="18" s="1"/>
  <c r="F298" i="18"/>
  <c r="G299" i="18" s="1"/>
  <c r="G300" i="18" s="1"/>
  <c r="G12" i="18"/>
  <c r="H13" i="18" s="1"/>
  <c r="H14" i="18" s="1"/>
  <c r="AY17" i="30"/>
  <c r="AY9" i="30"/>
  <c r="AY11" i="30"/>
  <c r="AY12" i="30" s="1"/>
  <c r="I6" i="6"/>
  <c r="F13" i="18"/>
  <c r="F14" i="18" s="1"/>
  <c r="E737" i="18"/>
  <c r="F737" i="18" s="1"/>
  <c r="F48" i="18"/>
  <c r="G49" i="18" s="1"/>
  <c r="G50" i="18" s="1"/>
  <c r="CQ11" i="8"/>
  <c r="CS12" i="8" s="1"/>
  <c r="CT12" i="8" s="1"/>
  <c r="CS11" i="8"/>
  <c r="CT11" i="8" s="1"/>
  <c r="AT34" i="8"/>
  <c r="AV33" i="8"/>
  <c r="AW33" i="8" s="1"/>
  <c r="W251" i="6"/>
  <c r="F395" i="18"/>
  <c r="F396" i="18" s="1"/>
  <c r="E56" i="18"/>
  <c r="F121" i="18"/>
  <c r="F122" i="18" s="1"/>
  <c r="M1167" i="1"/>
  <c r="G87" i="14"/>
  <c r="V5" i="5"/>
  <c r="F261" i="18"/>
  <c r="F262" i="18" s="1"/>
  <c r="X234" i="6"/>
  <c r="X235" i="6" s="1"/>
  <c r="ET10" i="8"/>
  <c r="EV10" i="8"/>
  <c r="EW10" i="8" s="1"/>
  <c r="E719" i="18"/>
  <c r="F719" i="18" s="1"/>
  <c r="W138" i="6"/>
  <c r="X138" i="6" s="1"/>
  <c r="W44" i="6"/>
  <c r="X45" i="6" s="1"/>
  <c r="X46" i="6" s="1"/>
  <c r="W306" i="6"/>
  <c r="AQ45" i="30"/>
  <c r="AQ46" i="30" s="1"/>
  <c r="AQ47" i="30" s="1"/>
  <c r="AQ48" i="30" s="1"/>
  <c r="X63" i="6"/>
  <c r="X64" i="6"/>
  <c r="X65" i="6" s="1"/>
  <c r="G8" i="8"/>
  <c r="O8" i="8"/>
  <c r="S8" i="8"/>
  <c r="AA8" i="8"/>
  <c r="AE8" i="8"/>
  <c r="AM8" i="8"/>
  <c r="AQ8" i="8"/>
  <c r="AY8" i="8"/>
  <c r="BC8" i="8"/>
  <c r="BK8" i="8"/>
  <c r="BP8" i="8"/>
  <c r="BP9" i="8" s="1"/>
  <c r="CJ9" i="8"/>
  <c r="CN8" i="8"/>
  <c r="CN9" i="8" s="1"/>
  <c r="CN10" i="8" s="1"/>
  <c r="CN11" i="8" s="1"/>
  <c r="CN12" i="8" s="1"/>
  <c r="CN13" i="8" s="1"/>
  <c r="CN14" i="8" s="1"/>
  <c r="CN15" i="8" s="1"/>
  <c r="CN16" i="8" s="1"/>
  <c r="CN17" i="8" s="1"/>
  <c r="CN18" i="8" s="1"/>
  <c r="CN19" i="8" s="1"/>
  <c r="DQ8" i="8"/>
  <c r="DY8" i="8"/>
  <c r="EC8" i="8"/>
  <c r="EC9" i="8" s="1"/>
  <c r="EK8" i="8"/>
  <c r="EQ8" i="8"/>
  <c r="EQ9" i="8" s="1"/>
  <c r="EQ10" i="8" s="1"/>
  <c r="EQ11" i="8" s="1"/>
  <c r="EY8" i="8"/>
  <c r="FD8" i="8"/>
  <c r="FD9" i="8" s="1"/>
  <c r="FD10" i="8" s="1"/>
  <c r="FD11" i="8" s="1"/>
  <c r="FD12" i="8" s="1"/>
  <c r="FD13" i="8" s="1"/>
  <c r="FD14" i="8" s="1"/>
  <c r="FD15" i="8" s="1"/>
  <c r="FD16" i="8" s="1"/>
  <c r="FD17" i="8" s="1"/>
  <c r="FD18" i="8" s="1"/>
  <c r="FD19" i="8" s="1"/>
  <c r="FD20" i="8" s="1"/>
  <c r="FD21" i="8" s="1"/>
  <c r="FD22" i="8" s="1"/>
  <c r="FD23" i="8" s="1"/>
  <c r="FD24" i="8" s="1"/>
  <c r="FD25" i="8" s="1"/>
  <c r="FD26" i="8" s="1"/>
  <c r="FD27" i="8" s="1"/>
  <c r="FD28" i="8" s="1"/>
  <c r="FD29" i="8" s="1"/>
  <c r="FD30" i="8" s="1"/>
  <c r="FD31" i="8" s="1"/>
  <c r="FD32" i="8" s="1"/>
  <c r="FD33" i="8" s="1"/>
  <c r="FD34" i="8" s="1"/>
  <c r="FD35" i="8" s="1"/>
  <c r="FD36" i="8" s="1"/>
  <c r="FD37" i="8" s="1"/>
  <c r="FD38" i="8" s="1"/>
  <c r="FD39" i="8" s="1"/>
  <c r="FD40" i="8" s="1"/>
  <c r="FD41" i="8" s="1"/>
  <c r="FD42" i="8" s="1"/>
  <c r="FD43" i="8" s="1"/>
  <c r="FD44" i="8" s="1"/>
  <c r="FD45" i="8" s="1"/>
  <c r="FD46" i="8" s="1"/>
  <c r="FD47" i="8" s="1"/>
  <c r="FD48" i="8" s="1"/>
  <c r="FD49" i="8" s="1"/>
  <c r="FD50" i="8" s="1"/>
  <c r="FQ8" i="8"/>
  <c r="FQ9" i="8" s="1"/>
  <c r="FQ10" i="8" s="1"/>
  <c r="FQ11" i="8" s="1"/>
  <c r="FQ12" i="8" s="1"/>
  <c r="FQ13" i="8" s="1"/>
  <c r="FQ14" i="8" s="1"/>
  <c r="FQ15" i="8" s="1"/>
  <c r="FQ16" i="8" s="1"/>
  <c r="FQ17" i="8" s="1"/>
  <c r="FQ18" i="8" s="1"/>
  <c r="FQ19" i="8" s="1"/>
  <c r="FQ20" i="8" s="1"/>
  <c r="FQ21" i="8" s="1"/>
  <c r="FQ22" i="8" s="1"/>
  <c r="FQ23" i="8" s="1"/>
  <c r="FQ24" i="8" s="1"/>
  <c r="FQ25" i="8" s="1"/>
  <c r="FQ26" i="8" s="1"/>
  <c r="FQ27" i="8" s="1"/>
  <c r="FQ28" i="8" s="1"/>
  <c r="FQ29" i="8" s="1"/>
  <c r="FQ30" i="8" s="1"/>
  <c r="FQ31" i="8" s="1"/>
  <c r="FQ32" i="8" s="1"/>
  <c r="FQ33" i="8" s="1"/>
  <c r="FQ34" i="8" s="1"/>
  <c r="FQ35" i="8" s="1"/>
  <c r="FQ36" i="8" s="1"/>
  <c r="FQ37" i="8" s="1"/>
  <c r="FQ38" i="8" s="1"/>
  <c r="FQ39" i="8" s="1"/>
  <c r="FQ40" i="8" s="1"/>
  <c r="FQ41" i="8" s="1"/>
  <c r="FQ42" i="8" s="1"/>
  <c r="FQ43" i="8" s="1"/>
  <c r="FQ44" i="8" s="1"/>
  <c r="FQ45" i="8" s="1"/>
  <c r="FQ46" i="8" s="1"/>
  <c r="FQ47" i="8" s="1"/>
  <c r="FQ48" i="8" s="1"/>
  <c r="FQ49" i="8" s="1"/>
  <c r="FQ50" i="8" s="1"/>
  <c r="FQ51" i="8" s="1"/>
  <c r="FQ52" i="8" s="1"/>
  <c r="FQ53" i="8" s="1"/>
  <c r="FQ54" i="8" s="1"/>
  <c r="FQ55" i="8" s="1"/>
  <c r="FQ56" i="8" s="1"/>
  <c r="FQ57" i="8" s="1"/>
  <c r="FQ58" i="8" s="1"/>
  <c r="FQ59" i="8" s="1"/>
  <c r="FQ60" i="8" s="1"/>
  <c r="FQ61" i="8" s="1"/>
  <c r="FQ62" i="8" s="1"/>
  <c r="GD8" i="8"/>
  <c r="GD9" i="8" s="1"/>
  <c r="GD10" i="8" s="1"/>
  <c r="GD11" i="8" s="1"/>
  <c r="GD12" i="8" s="1"/>
  <c r="GD13" i="8" s="1"/>
  <c r="GQ8" i="8"/>
  <c r="GQ9" i="8" s="1"/>
  <c r="GQ10" i="8" s="1"/>
  <c r="GQ11" i="8" s="1"/>
  <c r="GQ12" i="8" s="1"/>
  <c r="GQ13" i="8" s="1"/>
  <c r="HD8" i="8"/>
  <c r="HL8" i="8" s="1"/>
  <c r="G9" i="8"/>
  <c r="O9" i="8"/>
  <c r="S9" i="8"/>
  <c r="AA9" i="8"/>
  <c r="AE9" i="8"/>
  <c r="AM9" i="8"/>
  <c r="AQ9" i="8"/>
  <c r="AY9" i="8"/>
  <c r="BC9" i="8"/>
  <c r="BK9" i="8"/>
  <c r="DQ9" i="8"/>
  <c r="DY9" i="8"/>
  <c r="HD9" i="8"/>
  <c r="HL9" i="8"/>
  <c r="G10" i="8"/>
  <c r="O10" i="8"/>
  <c r="S10" i="8"/>
  <c r="AA10" i="8"/>
  <c r="AE10" i="8"/>
  <c r="AM10" i="8"/>
  <c r="AQ10" i="8"/>
  <c r="AY10" i="8"/>
  <c r="BC10" i="8"/>
  <c r="BK10" i="8"/>
  <c r="DQ10" i="8"/>
  <c r="DY10" i="8"/>
  <c r="HD10" i="8"/>
  <c r="HL10" i="8" s="1"/>
  <c r="G11" i="8"/>
  <c r="O11" i="8"/>
  <c r="S11" i="8"/>
  <c r="AA11" i="8"/>
  <c r="AE11" i="8"/>
  <c r="AM11" i="8"/>
  <c r="AQ11" i="8"/>
  <c r="AY11" i="8"/>
  <c r="BC11" i="8"/>
  <c r="BK11" i="8"/>
  <c r="DQ11" i="8"/>
  <c r="DY11" i="8"/>
  <c r="FL12" i="8"/>
  <c r="FY12" i="8"/>
  <c r="G12" i="8"/>
  <c r="O12" i="8"/>
  <c r="S12" i="8"/>
  <c r="AA12" i="8"/>
  <c r="AE12" i="8"/>
  <c r="AM12" i="8"/>
  <c r="AQ12" i="8"/>
  <c r="AY12" i="8"/>
  <c r="BC12" i="8"/>
  <c r="BK12" i="8"/>
  <c r="DQ12" i="8"/>
  <c r="DY12" i="8"/>
  <c r="G13" i="8"/>
  <c r="O13" i="8"/>
  <c r="S13" i="8"/>
  <c r="AA13" i="8"/>
  <c r="AE13" i="8"/>
  <c r="AM13" i="8"/>
  <c r="AQ13" i="8"/>
  <c r="AY13" i="8"/>
  <c r="BC13" i="8"/>
  <c r="BK13" i="8"/>
  <c r="DQ13" i="8"/>
  <c r="DY13" i="8"/>
  <c r="G14" i="8"/>
  <c r="O14" i="8"/>
  <c r="S14" i="8"/>
  <c r="AA14" i="8"/>
  <c r="AE14" i="8"/>
  <c r="AM14" i="8"/>
  <c r="AQ14" i="8"/>
  <c r="AY14" i="8"/>
  <c r="BC14" i="8"/>
  <c r="BK14" i="8"/>
  <c r="DQ14" i="8"/>
  <c r="DY14" i="8"/>
  <c r="G15" i="8"/>
  <c r="O15" i="8"/>
  <c r="S15" i="8"/>
  <c r="AA15" i="8"/>
  <c r="AE15" i="8"/>
  <c r="AM15" i="8"/>
  <c r="AQ15" i="8"/>
  <c r="AY15" i="8"/>
  <c r="BC15" i="8"/>
  <c r="BK15" i="8"/>
  <c r="DQ15" i="8"/>
  <c r="DY15" i="8"/>
  <c r="G16" i="8"/>
  <c r="O16" i="8"/>
  <c r="S16" i="8"/>
  <c r="AA16" i="8"/>
  <c r="AE16" i="8"/>
  <c r="AM16" i="8"/>
  <c r="AQ16" i="8"/>
  <c r="AY16" i="8"/>
  <c r="BC16" i="8"/>
  <c r="BK16" i="8"/>
  <c r="DQ16" i="8"/>
  <c r="DQ17" i="8" s="1"/>
  <c r="DQ18" i="8" s="1"/>
  <c r="DY16" i="8"/>
  <c r="G17" i="8"/>
  <c r="O17" i="8"/>
  <c r="S17" i="8"/>
  <c r="AA17" i="8"/>
  <c r="AE17" i="8"/>
  <c r="AM17" i="8"/>
  <c r="AQ17" i="8"/>
  <c r="AY17" i="8"/>
  <c r="BC17" i="8"/>
  <c r="BK17" i="8"/>
  <c r="G18" i="8"/>
  <c r="O18" i="8"/>
  <c r="S18" i="8"/>
  <c r="AA18" i="8"/>
  <c r="AE18" i="8"/>
  <c r="AM18" i="8"/>
  <c r="AQ18" i="8"/>
  <c r="AY18" i="8"/>
  <c r="BC18" i="8"/>
  <c r="BK18" i="8"/>
  <c r="G19" i="8"/>
  <c r="O19" i="8"/>
  <c r="S19" i="8"/>
  <c r="AA19" i="8"/>
  <c r="AE19" i="8"/>
  <c r="AM19" i="8"/>
  <c r="AQ19" i="8"/>
  <c r="AY19" i="8"/>
  <c r="BC19" i="8"/>
  <c r="BK19" i="8"/>
  <c r="G20" i="8"/>
  <c r="G21" i="8" s="1"/>
  <c r="O21" i="8" s="1"/>
  <c r="O20" i="8"/>
  <c r="S20" i="8"/>
  <c r="AA20" i="8"/>
  <c r="AE20" i="8"/>
  <c r="AM20" i="8"/>
  <c r="AQ20" i="8"/>
  <c r="AY20" i="8"/>
  <c r="BC20" i="8"/>
  <c r="BK20" i="8"/>
  <c r="S21" i="8"/>
  <c r="AA21" i="8"/>
  <c r="AE21" i="8"/>
  <c r="AM21" i="8"/>
  <c r="AQ21" i="8"/>
  <c r="AY21" i="8"/>
  <c r="BC21" i="8"/>
  <c r="BK21" i="8"/>
  <c r="G22" i="8"/>
  <c r="G23" i="8" s="1"/>
  <c r="O23" i="8" s="1"/>
  <c r="O22" i="8"/>
  <c r="S22" i="8"/>
  <c r="AA22" i="8"/>
  <c r="AE22" i="8"/>
  <c r="AM22" i="8"/>
  <c r="AQ22" i="8"/>
  <c r="AY22" i="8"/>
  <c r="BC22" i="8"/>
  <c r="BK22" i="8"/>
  <c r="S23" i="8"/>
  <c r="AA23" i="8"/>
  <c r="AQ23" i="8"/>
  <c r="AY23" i="8"/>
  <c r="BC23" i="8"/>
  <c r="BK23" i="8"/>
  <c r="S24" i="8"/>
  <c r="AA24" i="8"/>
  <c r="AQ24" i="8"/>
  <c r="AY24" i="8"/>
  <c r="BC24" i="8"/>
  <c r="BK24" i="8"/>
  <c r="S25" i="8"/>
  <c r="AA25" i="8"/>
  <c r="AQ25" i="8"/>
  <c r="AY25" i="8"/>
  <c r="BC25" i="8"/>
  <c r="BK25" i="8"/>
  <c r="S26" i="8"/>
  <c r="AA26" i="8"/>
  <c r="AQ26" i="8"/>
  <c r="AY26" i="8"/>
  <c r="BC26" i="8"/>
  <c r="BK26" i="8"/>
  <c r="S27" i="8"/>
  <c r="AA27" i="8"/>
  <c r="AQ27" i="8"/>
  <c r="AY27" i="8"/>
  <c r="BC27" i="8"/>
  <c r="BK27" i="8"/>
  <c r="S28" i="8"/>
  <c r="AA28" i="8"/>
  <c r="AQ28" i="8"/>
  <c r="AY28" i="8"/>
  <c r="BC28" i="8"/>
  <c r="BK28" i="8"/>
  <c r="G29" i="8"/>
  <c r="O29" i="8"/>
  <c r="S29" i="8"/>
  <c r="AA29" i="8"/>
  <c r="AQ29" i="8"/>
  <c r="AY29" i="8"/>
  <c r="BC29" i="8"/>
  <c r="G30" i="8"/>
  <c r="O30" i="8"/>
  <c r="S30" i="8"/>
  <c r="AA30" i="8"/>
  <c r="AQ30" i="8"/>
  <c r="AY30" i="8"/>
  <c r="G31" i="8"/>
  <c r="O31" i="8"/>
  <c r="S31" i="8"/>
  <c r="AA31" i="8"/>
  <c r="AQ31" i="8"/>
  <c r="AY31" i="8"/>
  <c r="G32" i="8"/>
  <c r="O32" i="8"/>
  <c r="S32" i="8"/>
  <c r="AA32" i="8"/>
  <c r="AQ32" i="8"/>
  <c r="AY32" i="8"/>
  <c r="G33" i="8"/>
  <c r="O33" i="8"/>
  <c r="S33" i="8"/>
  <c r="AA33" i="8"/>
  <c r="AQ33" i="8"/>
  <c r="AY33" i="8"/>
  <c r="S34" i="8"/>
  <c r="AA34" i="8"/>
  <c r="AQ34" i="8"/>
  <c r="AY34" i="8"/>
  <c r="S35" i="8"/>
  <c r="AA35" i="8"/>
  <c r="AQ35" i="8"/>
  <c r="AY35" i="8"/>
  <c r="S36" i="8"/>
  <c r="AA36" i="8"/>
  <c r="AQ36" i="8"/>
  <c r="AY36" i="8"/>
  <c r="S37" i="8"/>
  <c r="AA37" i="8"/>
  <c r="AQ37" i="8"/>
  <c r="AY37" i="8"/>
  <c r="S38" i="8"/>
  <c r="AA38" i="8"/>
  <c r="AQ38" i="8"/>
  <c r="AY38" i="8"/>
  <c r="S39" i="8"/>
  <c r="AA39" i="8"/>
  <c r="AQ39" i="8"/>
  <c r="AY39" i="8"/>
  <c r="S40" i="8"/>
  <c r="AA40" i="8"/>
  <c r="AQ40" i="8"/>
  <c r="AY40" i="8"/>
  <c r="S41" i="8"/>
  <c r="AA41" i="8"/>
  <c r="AQ41" i="8"/>
  <c r="AQ42" i="8" s="1"/>
  <c r="AQ43" i="8" s="1"/>
  <c r="AY41" i="8"/>
  <c r="S42" i="8"/>
  <c r="AA42" i="8"/>
  <c r="S43" i="8"/>
  <c r="AA43" i="8"/>
  <c r="S44" i="8"/>
  <c r="AA44" i="8"/>
  <c r="S45" i="8"/>
  <c r="AA45" i="8"/>
  <c r="S46" i="8"/>
  <c r="AA46" i="8"/>
  <c r="S47" i="8"/>
  <c r="AA47" i="8"/>
  <c r="S48" i="8"/>
  <c r="AA48" i="8"/>
  <c r="S49" i="8"/>
  <c r="AA49" i="8"/>
  <c r="S50" i="8"/>
  <c r="AA50" i="8"/>
  <c r="S51" i="8"/>
  <c r="AA51" i="8"/>
  <c r="S52" i="8"/>
  <c r="AA52" i="8"/>
  <c r="S53" i="8"/>
  <c r="AA53" i="8"/>
  <c r="S54" i="8"/>
  <c r="AA54" i="8"/>
  <c r="S55" i="8"/>
  <c r="S71" i="8"/>
  <c r="AA71" i="8"/>
  <c r="E12" i="14"/>
  <c r="E16" i="18"/>
  <c r="F16" i="18" s="1"/>
  <c r="G16" i="18" s="1"/>
  <c r="H16" i="18" s="1"/>
  <c r="I16" i="18" s="1"/>
  <c r="J16" i="18" s="1"/>
  <c r="E34" i="18"/>
  <c r="F34" i="18" s="1"/>
  <c r="G34" i="18" s="1"/>
  <c r="H34" i="18" s="1"/>
  <c r="I34" i="18" s="1"/>
  <c r="D56" i="18"/>
  <c r="E52" i="18"/>
  <c r="F52" i="18" s="1"/>
  <c r="G52" i="18" s="1"/>
  <c r="E85" i="18"/>
  <c r="F85" i="18" s="1"/>
  <c r="G85" i="18" s="1"/>
  <c r="H85" i="18" s="1"/>
  <c r="I85" i="18" s="1"/>
  <c r="J85" i="18" s="1"/>
  <c r="E105" i="18"/>
  <c r="F105" i="18" s="1"/>
  <c r="G105" i="18" s="1"/>
  <c r="H105" i="18" s="1"/>
  <c r="I105" i="18" s="1"/>
  <c r="E124" i="18"/>
  <c r="F124" i="18" s="1"/>
  <c r="G124" i="18" s="1"/>
  <c r="H124" i="18" s="1"/>
  <c r="I124" i="18" s="1"/>
  <c r="E164" i="18"/>
  <c r="F164" i="18" s="1"/>
  <c r="G164" i="18" s="1"/>
  <c r="H164" i="18" s="1"/>
  <c r="E185" i="18"/>
  <c r="F185" i="18" s="1"/>
  <c r="G185" i="18" s="1"/>
  <c r="H185" i="18" s="1"/>
  <c r="I185" i="18" s="1"/>
  <c r="E209" i="18"/>
  <c r="F209" i="18" s="1"/>
  <c r="G209" i="18" s="1"/>
  <c r="H209" i="18" s="1"/>
  <c r="E227" i="18"/>
  <c r="F227" i="18" s="1"/>
  <c r="G227" i="18" s="1"/>
  <c r="H227" i="18" s="1"/>
  <c r="E246" i="18"/>
  <c r="E264" i="18"/>
  <c r="F264" i="18" s="1"/>
  <c r="G264" i="18" s="1"/>
  <c r="H264" i="18" s="1"/>
  <c r="E282" i="18"/>
  <c r="F282" i="18" s="1"/>
  <c r="G282" i="18" s="1"/>
  <c r="E302" i="18"/>
  <c r="F302" i="18" s="1"/>
  <c r="G302" i="18" s="1"/>
  <c r="H302" i="18" s="1"/>
  <c r="E320" i="18"/>
  <c r="F320" i="18" s="1"/>
  <c r="G320" i="18" s="1"/>
  <c r="H320" i="18" s="1"/>
  <c r="I320" i="18" s="1"/>
  <c r="E360" i="18"/>
  <c r="F360" i="18" s="1"/>
  <c r="E398" i="18"/>
  <c r="F398" i="18" s="1"/>
  <c r="G398" i="18" s="1"/>
  <c r="E417" i="18"/>
  <c r="F417" i="18" s="1"/>
  <c r="G417" i="18" s="1"/>
  <c r="E435" i="18"/>
  <c r="F435" i="18" s="1"/>
  <c r="G435" i="18" s="1"/>
  <c r="E459" i="18"/>
  <c r="F459" i="18" s="1"/>
  <c r="E479" i="18"/>
  <c r="F479" i="18" s="1"/>
  <c r="E543" i="18"/>
  <c r="F543" i="18" s="1"/>
  <c r="E633" i="18"/>
  <c r="F633" i="18" s="1"/>
  <c r="G633" i="18" s="1"/>
  <c r="DM9" i="8"/>
  <c r="DM10" i="8" s="1"/>
  <c r="DM11" i="8" s="1"/>
  <c r="DM12" i="8" s="1"/>
  <c r="DE8" i="8"/>
  <c r="DE9" i="8"/>
  <c r="DE10" i="8" s="1"/>
  <c r="DE11" i="8" s="1"/>
  <c r="DE12" i="8" s="1"/>
  <c r="L340" i="18"/>
  <c r="G304" i="18"/>
  <c r="G211" i="18"/>
  <c r="G145" i="18"/>
  <c r="G126" i="18"/>
  <c r="F82" i="18"/>
  <c r="F83" i="18" s="1"/>
  <c r="G242" i="18"/>
  <c r="H243" i="18" s="1"/>
  <c r="V292" i="5"/>
  <c r="W293" i="5" s="1"/>
  <c r="W294" i="5" s="1"/>
  <c r="W312" i="5"/>
  <c r="W313" i="5" s="1"/>
  <c r="F260" i="18"/>
  <c r="G261" i="18" s="1"/>
  <c r="G262" i="18" s="1"/>
  <c r="X311" i="5"/>
  <c r="V312" i="5"/>
  <c r="V313" i="5" s="1"/>
  <c r="V134" i="5"/>
  <c r="W135" i="5" s="1"/>
  <c r="W136" i="5" s="1"/>
  <c r="F105" i="14"/>
  <c r="F106" i="14" s="1"/>
  <c r="W83" i="6"/>
  <c r="W84" i="6" s="1"/>
  <c r="W82" i="6"/>
  <c r="W70" i="5"/>
  <c r="W71" i="5"/>
  <c r="W72" i="5" s="1"/>
  <c r="W158" i="6"/>
  <c r="W159" i="6" s="1"/>
  <c r="W157" i="6"/>
  <c r="X120" i="6"/>
  <c r="X121" i="6" s="1"/>
  <c r="X119" i="6"/>
  <c r="X49" i="5"/>
  <c r="X50" i="5" s="1"/>
  <c r="X48" i="5"/>
  <c r="X306" i="6"/>
  <c r="X307" i="6"/>
  <c r="X308" i="6" s="1"/>
  <c r="Y176" i="6"/>
  <c r="Y177" i="6"/>
  <c r="Y178" i="6" s="1"/>
  <c r="E72" i="18"/>
  <c r="W6" i="5"/>
  <c r="W7" i="5" s="1"/>
  <c r="W5" i="5"/>
  <c r="AA26" i="5"/>
  <c r="AA27" i="5" s="1"/>
  <c r="AA25" i="5"/>
  <c r="DH10" i="8"/>
  <c r="DJ11" i="8" s="1"/>
  <c r="DK11" i="8" s="1"/>
  <c r="BF23" i="8"/>
  <c r="BH23" i="8" s="1"/>
  <c r="BI23" i="8" s="1"/>
  <c r="V193" i="5"/>
  <c r="V194" i="5" s="1"/>
  <c r="V192" i="5"/>
  <c r="F177" i="14"/>
  <c r="F178" i="14" s="1"/>
  <c r="F176" i="14"/>
  <c r="H87" i="14"/>
  <c r="H88" i="14" s="1"/>
  <c r="H86" i="14"/>
  <c r="Y24" i="6"/>
  <c r="Y25" i="6"/>
  <c r="Y26" i="6" s="1"/>
  <c r="F70" i="14"/>
  <c r="F71" i="14" s="1"/>
  <c r="F69" i="14"/>
  <c r="G159" i="14"/>
  <c r="G160" i="14" s="1"/>
  <c r="G158" i="14"/>
  <c r="X252" i="6"/>
  <c r="X253" i="6" s="1"/>
  <c r="X251" i="6"/>
  <c r="V234" i="5"/>
  <c r="V235" i="5" s="1"/>
  <c r="V233" i="5"/>
  <c r="V253" i="5"/>
  <c r="V254" i="5"/>
  <c r="V255" i="5" s="1"/>
  <c r="AH19" i="8"/>
  <c r="AJ19" i="8" s="1"/>
  <c r="AK19" i="8" s="1"/>
  <c r="F9" i="14"/>
  <c r="F10" i="14" s="1"/>
  <c r="F8" i="14"/>
  <c r="X139" i="6"/>
  <c r="X140" i="6" s="1"/>
  <c r="F649" i="18"/>
  <c r="F647" i="18"/>
  <c r="W292" i="5"/>
  <c r="V212" i="5"/>
  <c r="V213" i="5" s="1"/>
  <c r="V211" i="5"/>
  <c r="CQ12" i="8"/>
  <c r="Y101" i="6"/>
  <c r="Y102" i="6" s="1"/>
  <c r="Y100" i="6"/>
  <c r="Y233" i="6"/>
  <c r="Y234" i="6"/>
  <c r="Y235" i="6" s="1"/>
  <c r="G229" i="14"/>
  <c r="G230" i="14" s="1"/>
  <c r="G228" i="14"/>
  <c r="M954" i="1"/>
  <c r="U30" i="2" s="1"/>
  <c r="F52" i="14"/>
  <c r="F53" i="14" s="1"/>
  <c r="F54" i="14" s="1"/>
  <c r="G55" i="14" s="1"/>
  <c r="F51" i="14"/>
  <c r="DT11" i="8"/>
  <c r="DV12" i="8" s="1"/>
  <c r="DW12" i="8" s="1"/>
  <c r="F120" i="18"/>
  <c r="G247" i="14"/>
  <c r="G248" i="14" s="1"/>
  <c r="G246" i="14"/>
  <c r="V91" i="5"/>
  <c r="V92" i="5" s="1"/>
  <c r="V90" i="5"/>
  <c r="F30" i="14"/>
  <c r="F28" i="14"/>
  <c r="G29" i="14" s="1"/>
  <c r="W6" i="6"/>
  <c r="W7" i="6" s="1"/>
  <c r="W5" i="6"/>
  <c r="W270" i="6"/>
  <c r="W271" i="6" s="1"/>
  <c r="W269" i="6"/>
  <c r="Y215" i="6"/>
  <c r="Y216" i="6" s="1"/>
  <c r="Y214" i="6"/>
  <c r="Y195" i="6"/>
  <c r="Y196" i="6"/>
  <c r="Y197" i="6" s="1"/>
  <c r="V113" i="5"/>
  <c r="V114" i="5"/>
  <c r="V115" i="5" s="1"/>
  <c r="V104" i="5"/>
  <c r="V105" i="5" s="1"/>
  <c r="V155" i="5"/>
  <c r="V156" i="5" s="1"/>
  <c r="V154" i="5"/>
  <c r="V54" i="8"/>
  <c r="X54" i="8" s="1"/>
  <c r="Y54" i="8" s="1"/>
  <c r="F31" i="18"/>
  <c r="F32" i="18" s="1"/>
  <c r="F30" i="18"/>
  <c r="G81" i="18"/>
  <c r="G82" i="18"/>
  <c r="G83" i="18" s="1"/>
  <c r="F376" i="18"/>
  <c r="F374" i="18"/>
  <c r="G244" i="18"/>
  <c r="F207" i="18"/>
  <c r="F205" i="18"/>
  <c r="G206" i="18" s="1"/>
  <c r="F225" i="18"/>
  <c r="F223" i="18"/>
  <c r="G224" i="18" s="1"/>
  <c r="F182" i="18"/>
  <c r="F183" i="18" s="1"/>
  <c r="F181" i="18"/>
  <c r="G394" i="18"/>
  <c r="H395" i="18" s="1"/>
  <c r="G396" i="18"/>
  <c r="G397" i="18" s="1"/>
  <c r="F457" i="18"/>
  <c r="F458" i="18" s="1"/>
  <c r="F455" i="18"/>
  <c r="G456" i="18" s="1"/>
  <c r="F356" i="18"/>
  <c r="G357" i="18" s="1"/>
  <c r="F358" i="18"/>
  <c r="F101" i="18"/>
  <c r="G102" i="18" s="1"/>
  <c r="F103" i="18"/>
  <c r="G141" i="18"/>
  <c r="G139" i="18"/>
  <c r="H140" i="18" s="1"/>
  <c r="F316" i="18"/>
  <c r="G317" i="18" s="1"/>
  <c r="F318" i="18"/>
  <c r="F161" i="18"/>
  <c r="F162" i="18" s="1"/>
  <c r="F431" i="18"/>
  <c r="G432" i="18" s="1"/>
  <c r="F433" i="18"/>
  <c r="F477" i="18"/>
  <c r="F478" i="18" s="1"/>
  <c r="F475" i="18"/>
  <c r="G476" i="18" s="1"/>
  <c r="F278" i="18"/>
  <c r="G279" i="18" s="1"/>
  <c r="F280" i="18"/>
  <c r="F64" i="18"/>
  <c r="G65" i="18" s="1"/>
  <c r="F66" i="18"/>
  <c r="G558" i="18"/>
  <c r="G556" i="18"/>
  <c r="F415" i="18"/>
  <c r="F413" i="18"/>
  <c r="G414" i="18" s="1"/>
  <c r="M981" i="1"/>
  <c r="M992" i="1"/>
  <c r="M1031" i="1"/>
  <c r="M1023" i="1"/>
  <c r="BO9" i="30"/>
  <c r="G4" i="3"/>
  <c r="Q5" i="3"/>
  <c r="A7" i="30"/>
  <c r="GL12" i="8"/>
  <c r="E115" i="18"/>
  <c r="U20" i="6"/>
  <c r="U1" i="6"/>
  <c r="HZ16" i="8"/>
  <c r="CJ10" i="30"/>
  <c r="GY12" i="8"/>
  <c r="IL13" i="8"/>
  <c r="T21" i="5"/>
  <c r="T66" i="5" s="1"/>
  <c r="T86" i="5" s="1"/>
  <c r="T44" i="5"/>
  <c r="T1" i="5"/>
  <c r="FL10" i="8"/>
  <c r="IL10" i="8"/>
  <c r="BX9" i="30"/>
  <c r="G1065" i="18" l="1"/>
  <c r="G1045" i="18"/>
  <c r="F1025" i="18"/>
  <c r="DL10" i="30"/>
  <c r="P600" i="18"/>
  <c r="P601" i="18" s="1"/>
  <c r="C603" i="18" s="1"/>
  <c r="G987" i="18"/>
  <c r="F946" i="18"/>
  <c r="G946" i="18" s="1"/>
  <c r="F539" i="18"/>
  <c r="G540" i="18" s="1"/>
  <c r="G541" i="18" s="1"/>
  <c r="G542" i="18" s="1"/>
  <c r="G543" i="18"/>
  <c r="G593" i="18"/>
  <c r="H594" i="18" s="1"/>
  <c r="H595" i="18" s="1"/>
  <c r="G629" i="18"/>
  <c r="H630" i="18" s="1"/>
  <c r="H631" i="18" s="1"/>
  <c r="H632" i="18" s="1"/>
  <c r="H870" i="18"/>
  <c r="F852" i="18"/>
  <c r="D838" i="18"/>
  <c r="H557" i="18"/>
  <c r="H558" i="18" s="1"/>
  <c r="F143" i="18"/>
  <c r="G143" i="18" s="1"/>
  <c r="H143" i="18" s="1"/>
  <c r="I143" i="18" s="1"/>
  <c r="J775" i="18"/>
  <c r="F775" i="18"/>
  <c r="BX8" i="8"/>
  <c r="G172" i="18"/>
  <c r="H23" i="14"/>
  <c r="CN20" i="8"/>
  <c r="CV19" i="8"/>
  <c r="GQ14" i="8"/>
  <c r="GQ15" i="8" s="1"/>
  <c r="GY13" i="8"/>
  <c r="GY14" i="8" s="1"/>
  <c r="AQ44" i="8"/>
  <c r="GD14" i="8"/>
  <c r="GL13" i="8"/>
  <c r="DQ19" i="8"/>
  <c r="DY17" i="8"/>
  <c r="DY18" i="8" s="1"/>
  <c r="EY9" i="8"/>
  <c r="EY10" i="8" s="1"/>
  <c r="EQ12" i="8"/>
  <c r="EY11" i="8"/>
  <c r="G459" i="18"/>
  <c r="AY42" i="8"/>
  <c r="AY43" i="8" s="1"/>
  <c r="H398" i="18"/>
  <c r="H52" i="18"/>
  <c r="BX9" i="8"/>
  <c r="HD11" i="8"/>
  <c r="AA55" i="8"/>
  <c r="S56" i="8"/>
  <c r="BK29" i="8"/>
  <c r="BC30" i="8"/>
  <c r="EK9" i="8"/>
  <c r="EC10" i="8"/>
  <c r="F68" i="18"/>
  <c r="JX13" i="8"/>
  <c r="JX14" i="8" s="1"/>
  <c r="JX15" i="8" s="1"/>
  <c r="JX16" i="8" s="1"/>
  <c r="JX17" i="8" s="1"/>
  <c r="JX18" i="8" s="1"/>
  <c r="JX19" i="8" s="1"/>
  <c r="JX20" i="8" s="1"/>
  <c r="JX21" i="8" s="1"/>
  <c r="JX22" i="8" s="1"/>
  <c r="JX23" i="8" s="1"/>
  <c r="JX24" i="8" s="1"/>
  <c r="JX25" i="8" s="1"/>
  <c r="JX26" i="8" s="1"/>
  <c r="JX27" i="8" s="1"/>
  <c r="JX28" i="8" s="1"/>
  <c r="JX29" i="8" s="1"/>
  <c r="JX30" i="8" s="1"/>
  <c r="JX31" i="8" s="1"/>
  <c r="JX32" i="8" s="1"/>
  <c r="JX33" i="8" s="1"/>
  <c r="JX34" i="8" s="1"/>
  <c r="JX35" i="8" s="1"/>
  <c r="G298" i="18"/>
  <c r="H299" i="18" s="1"/>
  <c r="H300" i="18" s="1"/>
  <c r="H301" i="18" s="1"/>
  <c r="G48" i="18"/>
  <c r="H49" i="18" s="1"/>
  <c r="H50" i="18" s="1"/>
  <c r="F56" i="18"/>
  <c r="H12" i="18"/>
  <c r="I13" i="18" s="1"/>
  <c r="I14" i="18" s="1"/>
  <c r="G260" i="18"/>
  <c r="H261" i="18" s="1"/>
  <c r="H262" i="18" s="1"/>
  <c r="H263" i="18" s="1"/>
  <c r="H242" i="18"/>
  <c r="I243" i="18" s="1"/>
  <c r="I244" i="18" s="1"/>
  <c r="I245" i="18" s="1"/>
  <c r="G737" i="18"/>
  <c r="G375" i="18"/>
  <c r="G376" i="18" s="1"/>
  <c r="G374" i="18"/>
  <c r="G121" i="18"/>
  <c r="G122" i="18" s="1"/>
  <c r="W134" i="5"/>
  <c r="G648" i="18"/>
  <c r="G649" i="18" s="1"/>
  <c r="G647" i="18"/>
  <c r="G88" i="14"/>
  <c r="G97" i="14"/>
  <c r="EV11" i="8"/>
  <c r="EW11" i="8" s="1"/>
  <c r="ET11" i="8"/>
  <c r="AV34" i="8"/>
  <c r="AW34" i="8" s="1"/>
  <c r="AT35" i="8"/>
  <c r="G719" i="18"/>
  <c r="X44" i="6"/>
  <c r="Y45" i="6" s="1"/>
  <c r="Y46" i="6" s="1"/>
  <c r="I20" i="8"/>
  <c r="J20" i="8" s="1"/>
  <c r="T315" i="5"/>
  <c r="X314" i="5"/>
  <c r="W314" i="5"/>
  <c r="V314" i="5"/>
  <c r="U314" i="5"/>
  <c r="T314" i="5"/>
  <c r="T296" i="5"/>
  <c r="AH295" i="5"/>
  <c r="AG295" i="5"/>
  <c r="AF295" i="5"/>
  <c r="AE295" i="5"/>
  <c r="AD295" i="5"/>
  <c r="AC295" i="5"/>
  <c r="AB295" i="5"/>
  <c r="AA295" i="5"/>
  <c r="Z295" i="5"/>
  <c r="Y295" i="5"/>
  <c r="X295" i="5"/>
  <c r="W295" i="5"/>
  <c r="V295" i="5"/>
  <c r="U295" i="5"/>
  <c r="T295" i="5"/>
  <c r="U296" i="5" s="1"/>
  <c r="T276" i="5"/>
  <c r="U275" i="5"/>
  <c r="T275" i="5"/>
  <c r="T257" i="5"/>
  <c r="Y256" i="5"/>
  <c r="X256" i="5"/>
  <c r="W256" i="5"/>
  <c r="V256" i="5"/>
  <c r="U256" i="5"/>
  <c r="T256" i="5"/>
  <c r="T237" i="5"/>
  <c r="AG236" i="5"/>
  <c r="AF236" i="5"/>
  <c r="AE236" i="5"/>
  <c r="AD236" i="5"/>
  <c r="AC236" i="5"/>
  <c r="AB236" i="5"/>
  <c r="AA236" i="5"/>
  <c r="Z236" i="5"/>
  <c r="Y236" i="5"/>
  <c r="X236" i="5"/>
  <c r="W236" i="5"/>
  <c r="V236" i="5"/>
  <c r="U236" i="5"/>
  <c r="T236" i="5"/>
  <c r="T215" i="5"/>
  <c r="AE214" i="5"/>
  <c r="AD214" i="5"/>
  <c r="AC214" i="5"/>
  <c r="AB214" i="5"/>
  <c r="AA214" i="5"/>
  <c r="Z214" i="5"/>
  <c r="Y214" i="5"/>
  <c r="X214" i="5"/>
  <c r="W214" i="5"/>
  <c r="V214" i="5"/>
  <c r="U214" i="5"/>
  <c r="V215" i="5" s="1"/>
  <c r="T214" i="5"/>
  <c r="U215" i="5" s="1"/>
  <c r="T196" i="5"/>
  <c r="AG195" i="5"/>
  <c r="AF195" i="5"/>
  <c r="AE195" i="5"/>
  <c r="AD195" i="5"/>
  <c r="AC195" i="5"/>
  <c r="AB195" i="5"/>
  <c r="AA195" i="5"/>
  <c r="Z195" i="5"/>
  <c r="Y195" i="5"/>
  <c r="X195" i="5"/>
  <c r="W195" i="5"/>
  <c r="V195" i="5"/>
  <c r="U195" i="5"/>
  <c r="T195" i="5"/>
  <c r="U196" i="5" s="1"/>
  <c r="T158" i="5"/>
  <c r="AH157" i="5"/>
  <c r="AG157" i="5"/>
  <c r="AF157" i="5"/>
  <c r="AE157" i="5"/>
  <c r="AD157" i="5"/>
  <c r="AC157" i="5"/>
  <c r="AB157" i="5"/>
  <c r="AA157" i="5"/>
  <c r="Z157" i="5"/>
  <c r="Y157" i="5"/>
  <c r="X157" i="5"/>
  <c r="W157" i="5"/>
  <c r="V157" i="5"/>
  <c r="U157" i="5"/>
  <c r="T157" i="5"/>
  <c r="T138" i="5"/>
  <c r="AH137" i="5"/>
  <c r="AG137" i="5"/>
  <c r="AF137" i="5"/>
  <c r="AE137" i="5"/>
  <c r="AD137" i="5"/>
  <c r="AC137" i="5"/>
  <c r="AB137" i="5"/>
  <c r="AA137" i="5"/>
  <c r="Z137" i="5"/>
  <c r="Y137" i="5"/>
  <c r="X137" i="5"/>
  <c r="W137" i="5"/>
  <c r="V137" i="5"/>
  <c r="U137" i="5"/>
  <c r="T137" i="5"/>
  <c r="T117" i="5"/>
  <c r="Z116" i="5"/>
  <c r="Y116" i="5"/>
  <c r="X116" i="5"/>
  <c r="W116" i="5"/>
  <c r="V116" i="5"/>
  <c r="U116" i="5"/>
  <c r="T116" i="5"/>
  <c r="U117" i="5" s="1"/>
  <c r="T94" i="5"/>
  <c r="AH93" i="5"/>
  <c r="AG93" i="5"/>
  <c r="AF93" i="5"/>
  <c r="AE93" i="5"/>
  <c r="AD93" i="5"/>
  <c r="AC93" i="5"/>
  <c r="AB93" i="5"/>
  <c r="AA93" i="5"/>
  <c r="Z93" i="5"/>
  <c r="Y93" i="5"/>
  <c r="X93" i="5"/>
  <c r="W93" i="5"/>
  <c r="V93" i="5"/>
  <c r="U93" i="5"/>
  <c r="T93" i="5"/>
  <c r="T74" i="5"/>
  <c r="AH73" i="5"/>
  <c r="AG73" i="5"/>
  <c r="AF73" i="5"/>
  <c r="AE73" i="5"/>
  <c r="AD73" i="5"/>
  <c r="AC73" i="5"/>
  <c r="AB73" i="5"/>
  <c r="AA73" i="5"/>
  <c r="Z73" i="5"/>
  <c r="Y73" i="5"/>
  <c r="X73" i="5"/>
  <c r="W73" i="5"/>
  <c r="V73" i="5"/>
  <c r="U73" i="5"/>
  <c r="T73" i="5"/>
  <c r="U74" i="5" s="1"/>
  <c r="T52" i="5"/>
  <c r="AH51" i="5"/>
  <c r="AG51" i="5"/>
  <c r="AF51" i="5"/>
  <c r="AE51" i="5"/>
  <c r="AD51" i="5"/>
  <c r="AC51" i="5"/>
  <c r="AB51" i="5"/>
  <c r="AA51" i="5"/>
  <c r="Z51" i="5"/>
  <c r="Y51" i="5"/>
  <c r="X51" i="5"/>
  <c r="W51" i="5"/>
  <c r="V51" i="5"/>
  <c r="U51" i="5"/>
  <c r="T51" i="5"/>
  <c r="T29" i="5"/>
  <c r="AH28" i="5"/>
  <c r="AG28" i="5"/>
  <c r="AF28" i="5"/>
  <c r="AE28" i="5"/>
  <c r="AD28" i="5"/>
  <c r="AC28" i="5"/>
  <c r="AB28" i="5"/>
  <c r="AA28" i="5"/>
  <c r="Z28" i="5"/>
  <c r="Y28" i="5"/>
  <c r="X28" i="5"/>
  <c r="W28" i="5"/>
  <c r="V28" i="5"/>
  <c r="U28" i="5"/>
  <c r="T28" i="5"/>
  <c r="T9" i="5"/>
  <c r="AH8" i="5"/>
  <c r="AG8" i="5"/>
  <c r="AF8" i="5"/>
  <c r="AE8" i="5"/>
  <c r="AD8" i="5"/>
  <c r="AC8" i="5"/>
  <c r="AB8" i="5"/>
  <c r="AA8" i="5"/>
  <c r="Z8" i="5"/>
  <c r="Y8" i="5"/>
  <c r="X8" i="5"/>
  <c r="W8" i="5"/>
  <c r="V8" i="5"/>
  <c r="U8" i="5"/>
  <c r="T8" i="5"/>
  <c r="U9" i="5" s="1"/>
  <c r="U329" i="6"/>
  <c r="AA328" i="6"/>
  <c r="Z328" i="6"/>
  <c r="Y328" i="6"/>
  <c r="X328" i="6"/>
  <c r="W328" i="6"/>
  <c r="V328" i="6"/>
  <c r="U328" i="6"/>
  <c r="AL309" i="6"/>
  <c r="AK309" i="6"/>
  <c r="AJ309" i="6"/>
  <c r="AI309" i="6"/>
  <c r="AH309" i="6"/>
  <c r="AG309" i="6"/>
  <c r="AF309" i="6"/>
  <c r="AE309" i="6"/>
  <c r="AD309" i="6"/>
  <c r="AC309" i="6"/>
  <c r="AB309" i="6"/>
  <c r="AA309" i="6"/>
  <c r="Z309" i="6"/>
  <c r="Y309" i="6"/>
  <c r="X309" i="6"/>
  <c r="W309" i="6"/>
  <c r="V309" i="6"/>
  <c r="U309" i="6"/>
  <c r="U291" i="6"/>
  <c r="Y290" i="6"/>
  <c r="X290" i="6"/>
  <c r="W290" i="6"/>
  <c r="V290" i="6"/>
  <c r="W291" i="6" s="1"/>
  <c r="U290" i="6"/>
  <c r="V291" i="6" s="1"/>
  <c r="U273" i="6"/>
  <c r="AI272" i="6"/>
  <c r="AH272" i="6"/>
  <c r="AG272" i="6"/>
  <c r="AF272" i="6"/>
  <c r="AE272" i="6"/>
  <c r="AD272" i="6"/>
  <c r="AC272" i="6"/>
  <c r="AB272" i="6"/>
  <c r="AA272" i="6"/>
  <c r="Z272" i="6"/>
  <c r="Y272" i="6"/>
  <c r="X272" i="6"/>
  <c r="W272" i="6"/>
  <c r="V272" i="6"/>
  <c r="U272" i="6"/>
  <c r="V273" i="6" s="1"/>
  <c r="U255" i="6"/>
  <c r="AI254" i="6"/>
  <c r="AH254" i="6"/>
  <c r="AG254" i="6"/>
  <c r="AF254" i="6"/>
  <c r="AE254" i="6"/>
  <c r="AD254" i="6"/>
  <c r="AC254" i="6"/>
  <c r="AB254" i="6"/>
  <c r="AA254" i="6"/>
  <c r="Z254" i="6"/>
  <c r="Y254" i="6"/>
  <c r="X254" i="6"/>
  <c r="W254" i="6"/>
  <c r="V254" i="6"/>
  <c r="U254" i="6"/>
  <c r="U237" i="6"/>
  <c r="Y236" i="6"/>
  <c r="X236" i="6"/>
  <c r="W236" i="6"/>
  <c r="V236" i="6"/>
  <c r="U236" i="6"/>
  <c r="V237" i="6" s="1"/>
  <c r="U218" i="6"/>
  <c r="AI217" i="6"/>
  <c r="AH217" i="6"/>
  <c r="AG217" i="6"/>
  <c r="AF217" i="6"/>
  <c r="AE217" i="6"/>
  <c r="AD217" i="6"/>
  <c r="AC217" i="6"/>
  <c r="AB217" i="6"/>
  <c r="AA217" i="6"/>
  <c r="Z217" i="6"/>
  <c r="Y217" i="6"/>
  <c r="X217" i="6"/>
  <c r="W217" i="6"/>
  <c r="V217" i="6"/>
  <c r="U217" i="6"/>
  <c r="U199" i="6"/>
  <c r="AD198" i="6"/>
  <c r="AC198" i="6"/>
  <c r="AB198" i="6"/>
  <c r="AA198" i="6"/>
  <c r="Z198" i="6"/>
  <c r="Y198" i="6"/>
  <c r="X198" i="6"/>
  <c r="W198" i="6"/>
  <c r="V198" i="6"/>
  <c r="W199" i="6" s="1"/>
  <c r="U198" i="6"/>
  <c r="V199" i="6" s="1"/>
  <c r="U180" i="6"/>
  <c r="AD179" i="6"/>
  <c r="AC179" i="6"/>
  <c r="AB179" i="6"/>
  <c r="AA179" i="6"/>
  <c r="Z179" i="6"/>
  <c r="Y179" i="6"/>
  <c r="X179" i="6"/>
  <c r="W179" i="6"/>
  <c r="V179" i="6"/>
  <c r="U179" i="6"/>
  <c r="V180" i="6" s="1"/>
  <c r="U161" i="6"/>
  <c r="AD160" i="6"/>
  <c r="AC160" i="6"/>
  <c r="AB160" i="6"/>
  <c r="AA160" i="6"/>
  <c r="Z160" i="6"/>
  <c r="Y160" i="6"/>
  <c r="X160" i="6"/>
  <c r="W160" i="6"/>
  <c r="V160" i="6"/>
  <c r="U160" i="6"/>
  <c r="V161" i="6" s="1"/>
  <c r="U142" i="6"/>
  <c r="AI141" i="6"/>
  <c r="AH141" i="6"/>
  <c r="AG141" i="6"/>
  <c r="AF141" i="6"/>
  <c r="AE141" i="6"/>
  <c r="AD141" i="6"/>
  <c r="AC141" i="6"/>
  <c r="AB141" i="6"/>
  <c r="AA141" i="6"/>
  <c r="Z141" i="6"/>
  <c r="Y141" i="6"/>
  <c r="X141" i="6"/>
  <c r="W141" i="6"/>
  <c r="V141" i="6"/>
  <c r="U141" i="6"/>
  <c r="U123" i="6"/>
  <c r="AI122" i="6"/>
  <c r="AH122" i="6"/>
  <c r="AG122" i="6"/>
  <c r="AF122" i="6"/>
  <c r="AE122" i="6"/>
  <c r="AD122" i="6"/>
  <c r="AC122" i="6"/>
  <c r="AB122" i="6"/>
  <c r="AA122" i="6"/>
  <c r="Z122" i="6"/>
  <c r="Y122" i="6"/>
  <c r="X122" i="6"/>
  <c r="W122" i="6"/>
  <c r="V122" i="6"/>
  <c r="U122" i="6"/>
  <c r="V123" i="6" s="1"/>
  <c r="U104" i="6"/>
  <c r="Y103" i="6"/>
  <c r="X103" i="6"/>
  <c r="W103" i="6"/>
  <c r="V103" i="6"/>
  <c r="W104" i="6" s="1"/>
  <c r="U103" i="6"/>
  <c r="V104" i="6" s="1"/>
  <c r="U86" i="6"/>
  <c r="Y85" i="6"/>
  <c r="X85" i="6"/>
  <c r="W85" i="6"/>
  <c r="V85" i="6"/>
  <c r="U85" i="6"/>
  <c r="V86" i="6" s="1"/>
  <c r="U67" i="6"/>
  <c r="AA66" i="6"/>
  <c r="Z66" i="6"/>
  <c r="Y66" i="6"/>
  <c r="X66" i="6"/>
  <c r="W66" i="6"/>
  <c r="V66" i="6"/>
  <c r="U66" i="6"/>
  <c r="U48" i="6"/>
  <c r="AI47" i="6"/>
  <c r="AH47" i="6"/>
  <c r="AG47" i="6"/>
  <c r="AF47" i="6"/>
  <c r="AE47" i="6"/>
  <c r="AD47" i="6"/>
  <c r="AC47" i="6"/>
  <c r="AB47" i="6"/>
  <c r="AA47" i="6"/>
  <c r="Z47" i="6"/>
  <c r="Y47" i="6"/>
  <c r="X47" i="6"/>
  <c r="W47" i="6"/>
  <c r="V47" i="6"/>
  <c r="U47" i="6"/>
  <c r="V48" i="6" s="1"/>
  <c r="U28" i="6"/>
  <c r="Y27" i="6"/>
  <c r="X27" i="6"/>
  <c r="W27" i="6"/>
  <c r="V27" i="6"/>
  <c r="W28" i="6" s="1"/>
  <c r="U27" i="6"/>
  <c r="V28" i="6" s="1"/>
  <c r="U9" i="6"/>
  <c r="AI8" i="6"/>
  <c r="AH8" i="6"/>
  <c r="AG8" i="6"/>
  <c r="AF8" i="6"/>
  <c r="AE8" i="6"/>
  <c r="AD8" i="6"/>
  <c r="AC8" i="6"/>
  <c r="AB8" i="6"/>
  <c r="AA8" i="6"/>
  <c r="Z8" i="6"/>
  <c r="Y8" i="6"/>
  <c r="X8" i="6"/>
  <c r="W8" i="6"/>
  <c r="V8" i="6"/>
  <c r="U8" i="6"/>
  <c r="V9" i="6" s="1"/>
  <c r="Y63" i="6"/>
  <c r="Y64" i="6"/>
  <c r="Y65" i="6" s="1"/>
  <c r="G24" i="8"/>
  <c r="BP10" i="8"/>
  <c r="FY13" i="8"/>
  <c r="FL13" i="8"/>
  <c r="CJ10" i="8"/>
  <c r="H304" i="18"/>
  <c r="H633" i="18"/>
  <c r="G479" i="18"/>
  <c r="AY13" i="30"/>
  <c r="H244" i="18"/>
  <c r="H245" i="18" s="1"/>
  <c r="H126" i="18"/>
  <c r="H145" i="18"/>
  <c r="H211" i="18"/>
  <c r="G120" i="18"/>
  <c r="G105" i="14"/>
  <c r="G106" i="14" s="1"/>
  <c r="X158" i="6"/>
  <c r="X159" i="6" s="1"/>
  <c r="X157" i="6"/>
  <c r="X70" i="5"/>
  <c r="X71" i="5"/>
  <c r="X72" i="5" s="1"/>
  <c r="Y307" i="6"/>
  <c r="Y308" i="6" s="1"/>
  <c r="Y306" i="6"/>
  <c r="Y49" i="5"/>
  <c r="Y50" i="5" s="1"/>
  <c r="Y48" i="5"/>
  <c r="X83" i="6"/>
  <c r="X84" i="6" s="1"/>
  <c r="X82" i="6"/>
  <c r="F72" i="18"/>
  <c r="X135" i="5"/>
  <c r="X136" i="5" s="1"/>
  <c r="X134" i="5"/>
  <c r="Y120" i="6"/>
  <c r="Y121" i="6" s="1"/>
  <c r="Y119" i="6"/>
  <c r="W104" i="5"/>
  <c r="W105" i="5" s="1"/>
  <c r="G69" i="14"/>
  <c r="G70" i="14"/>
  <c r="G71" i="14" s="1"/>
  <c r="W114" i="5"/>
  <c r="W115" i="5" s="1"/>
  <c r="W113" i="5"/>
  <c r="Y44" i="6"/>
  <c r="X292" i="5"/>
  <c r="X293" i="5"/>
  <c r="X294" i="5" s="1"/>
  <c r="AB26" i="5"/>
  <c r="AB27" i="5" s="1"/>
  <c r="AB25" i="5"/>
  <c r="Z195" i="6"/>
  <c r="Z196" i="6"/>
  <c r="Z197" i="6" s="1"/>
  <c r="V55" i="8"/>
  <c r="X55" i="8" s="1"/>
  <c r="Y55" i="8" s="1"/>
  <c r="Z215" i="6"/>
  <c r="Z216" i="6" s="1"/>
  <c r="Z214" i="6"/>
  <c r="H247" i="14"/>
  <c r="H248" i="14" s="1"/>
  <c r="H246" i="14"/>
  <c r="W253" i="5"/>
  <c r="W254" i="5"/>
  <c r="W255" i="5" s="1"/>
  <c r="X6" i="5"/>
  <c r="X7" i="5" s="1"/>
  <c r="X5" i="5"/>
  <c r="W155" i="5"/>
  <c r="W156" i="5" s="1"/>
  <c r="W154" i="5"/>
  <c r="W234" i="5"/>
  <c r="W235" i="5" s="1"/>
  <c r="W233" i="5"/>
  <c r="X270" i="6"/>
  <c r="X271" i="6" s="1"/>
  <c r="X269" i="6"/>
  <c r="H229" i="14"/>
  <c r="H230" i="14" s="1"/>
  <c r="H228" i="14"/>
  <c r="W212" i="5"/>
  <c r="W213" i="5" s="1"/>
  <c r="W211" i="5"/>
  <c r="Y139" i="6"/>
  <c r="Y140" i="6" s="1"/>
  <c r="Y138" i="6"/>
  <c r="W193" i="5"/>
  <c r="W194" i="5" s="1"/>
  <c r="W192" i="5"/>
  <c r="X6" i="6"/>
  <c r="X7" i="6" s="1"/>
  <c r="X5" i="6"/>
  <c r="G9" i="14"/>
  <c r="G10" i="14" s="1"/>
  <c r="G8" i="14"/>
  <c r="G52" i="14"/>
  <c r="G53" i="14" s="1"/>
  <c r="G54" i="14" s="1"/>
  <c r="H55" i="14" s="1"/>
  <c r="G51" i="14"/>
  <c r="Y252" i="6"/>
  <c r="Y253" i="6" s="1"/>
  <c r="Y251" i="6"/>
  <c r="I87" i="14"/>
  <c r="I88" i="14" s="1"/>
  <c r="I86" i="14"/>
  <c r="G30" i="14"/>
  <c r="G28" i="14"/>
  <c r="H29" i="14" s="1"/>
  <c r="Z176" i="6"/>
  <c r="Z177" i="6"/>
  <c r="Z178" i="6" s="1"/>
  <c r="DT12" i="8"/>
  <c r="DV13" i="8" s="1"/>
  <c r="DW13" i="8" s="1"/>
  <c r="AH20" i="8"/>
  <c r="AJ20" i="8" s="1"/>
  <c r="AK20" i="8" s="1"/>
  <c r="H159" i="14"/>
  <c r="H160" i="14" s="1"/>
  <c r="H158" i="14"/>
  <c r="G177" i="14"/>
  <c r="G178" i="14" s="1"/>
  <c r="G176" i="14"/>
  <c r="W91" i="5"/>
  <c r="W92" i="5" s="1"/>
  <c r="W90" i="5"/>
  <c r="DH11" i="8"/>
  <c r="DJ12" i="8" s="1"/>
  <c r="DK12" i="8" s="1"/>
  <c r="G431" i="18"/>
  <c r="H432" i="18" s="1"/>
  <c r="G433" i="18"/>
  <c r="G434" i="18" s="1"/>
  <c r="G161" i="18"/>
  <c r="G162" i="18" s="1"/>
  <c r="G223" i="18"/>
  <c r="H224" i="18" s="1"/>
  <c r="G225" i="18"/>
  <c r="G64" i="18"/>
  <c r="H65" i="18" s="1"/>
  <c r="G66" i="18"/>
  <c r="G356" i="18"/>
  <c r="H357" i="18" s="1"/>
  <c r="G358" i="18"/>
  <c r="G359" i="18" s="1"/>
  <c r="G457" i="18"/>
  <c r="G458" i="18" s="1"/>
  <c r="G455" i="18"/>
  <c r="H456" i="18" s="1"/>
  <c r="G278" i="18"/>
  <c r="H279" i="18" s="1"/>
  <c r="G280" i="18"/>
  <c r="G281" i="18" s="1"/>
  <c r="G316" i="18"/>
  <c r="H317" i="18" s="1"/>
  <c r="G318" i="18"/>
  <c r="G182" i="18"/>
  <c r="G183" i="18" s="1"/>
  <c r="G181" i="18"/>
  <c r="G475" i="18"/>
  <c r="H476" i="18" s="1"/>
  <c r="G477" i="18"/>
  <c r="G478" i="18" s="1"/>
  <c r="H139" i="18"/>
  <c r="I140" i="18" s="1"/>
  <c r="H141" i="18"/>
  <c r="G207" i="18"/>
  <c r="G205" i="18"/>
  <c r="H206" i="18" s="1"/>
  <c r="H81" i="18"/>
  <c r="H82" i="18"/>
  <c r="H83" i="18" s="1"/>
  <c r="H394" i="18"/>
  <c r="I395" i="18" s="1"/>
  <c r="H396" i="18"/>
  <c r="H397" i="18" s="1"/>
  <c r="G415" i="18"/>
  <c r="G416" i="18" s="1"/>
  <c r="G413" i="18"/>
  <c r="H414" i="18" s="1"/>
  <c r="G101" i="18"/>
  <c r="H102" i="18" s="1"/>
  <c r="G103" i="18"/>
  <c r="G31" i="18"/>
  <c r="G32" i="18" s="1"/>
  <c r="G30" i="18"/>
  <c r="H556" i="18"/>
  <c r="I556" i="18" s="1"/>
  <c r="M1032" i="1"/>
  <c r="M1026" i="1"/>
  <c r="M1024" i="1"/>
  <c r="D49" i="3"/>
  <c r="A8" i="30"/>
  <c r="U59" i="6"/>
  <c r="U40" i="6"/>
  <c r="U78" i="6"/>
  <c r="U96" i="6" s="1"/>
  <c r="U115" i="6" s="1"/>
  <c r="U134" i="6" s="1"/>
  <c r="U153" i="6" s="1"/>
  <c r="U172" i="6" s="1"/>
  <c r="U191" i="6" s="1"/>
  <c r="U210" i="6" s="1"/>
  <c r="U229" i="6" s="1"/>
  <c r="U247" i="6" s="1"/>
  <c r="U265" i="6" s="1"/>
  <c r="U283" i="6" s="1"/>
  <c r="HZ17" i="8"/>
  <c r="BX10" i="30"/>
  <c r="IL12" i="8"/>
  <c r="T188" i="5"/>
  <c r="CJ11" i="30"/>
  <c r="T109" i="5"/>
  <c r="T130" i="5" s="1"/>
  <c r="T150" i="5" s="1"/>
  <c r="IL15" i="8"/>
  <c r="H1065" i="18" l="1"/>
  <c r="H1045" i="18"/>
  <c r="G1025" i="18"/>
  <c r="DL11" i="30"/>
  <c r="H987" i="18"/>
  <c r="H543" i="18"/>
  <c r="G539" i="18"/>
  <c r="H540" i="18" s="1"/>
  <c r="H541" i="18" s="1"/>
  <c r="H542" i="18" s="1"/>
  <c r="H946" i="18"/>
  <c r="H593" i="18"/>
  <c r="I594" i="18" s="1"/>
  <c r="H629" i="18"/>
  <c r="I630" i="18" s="1"/>
  <c r="I242" i="18"/>
  <c r="J243" i="18" s="1"/>
  <c r="J557" i="18"/>
  <c r="J556" i="18"/>
  <c r="H647" i="18"/>
  <c r="H648" i="18"/>
  <c r="G852" i="18"/>
  <c r="H375" i="18"/>
  <c r="H376" i="18" s="1"/>
  <c r="H374" i="18"/>
  <c r="K775" i="18"/>
  <c r="G775" i="18"/>
  <c r="U276" i="5"/>
  <c r="I398" i="18"/>
  <c r="BC31" i="8"/>
  <c r="BK30" i="8"/>
  <c r="EY12" i="8"/>
  <c r="EQ13" i="8"/>
  <c r="CV20" i="8"/>
  <c r="CN21" i="8"/>
  <c r="AA56" i="8"/>
  <c r="S57" i="8"/>
  <c r="HD12" i="8"/>
  <c r="HL11" i="8"/>
  <c r="DY19" i="8"/>
  <c r="DQ20" i="8"/>
  <c r="GD15" i="8"/>
  <c r="GL14" i="8"/>
  <c r="AQ45" i="8"/>
  <c r="AY44" i="8"/>
  <c r="G68" i="18"/>
  <c r="EK10" i="8"/>
  <c r="EC11" i="8"/>
  <c r="GY15" i="8"/>
  <c r="GQ16" i="8"/>
  <c r="W215" i="5"/>
  <c r="G56" i="18"/>
  <c r="H298" i="18"/>
  <c r="I299" i="18" s="1"/>
  <c r="H48" i="18"/>
  <c r="I49" i="18" s="1"/>
  <c r="I12" i="18"/>
  <c r="H260" i="18"/>
  <c r="I261" i="18" s="1"/>
  <c r="X104" i="6"/>
  <c r="Y104" i="6" s="1"/>
  <c r="X199" i="6"/>
  <c r="W273" i="6"/>
  <c r="Y28" i="6"/>
  <c r="W161" i="6"/>
  <c r="Y199" i="6"/>
  <c r="X273" i="6"/>
  <c r="V329" i="6"/>
  <c r="U29" i="5"/>
  <c r="V29" i="5" s="1"/>
  <c r="W29" i="5" s="1"/>
  <c r="X29" i="5" s="1"/>
  <c r="Y29" i="5" s="1"/>
  <c r="Z29" i="5" s="1"/>
  <c r="AA29" i="5" s="1"/>
  <c r="AB29" i="5" s="1"/>
  <c r="AC29" i="5" s="1"/>
  <c r="AD29" i="5" s="1"/>
  <c r="AE29" i="5" s="1"/>
  <c r="AF29" i="5" s="1"/>
  <c r="AG29" i="5" s="1"/>
  <c r="AH29" i="5" s="1"/>
  <c r="U94" i="5"/>
  <c r="U138" i="5"/>
  <c r="U237" i="5"/>
  <c r="V237" i="5" s="1"/>
  <c r="W237" i="5" s="1"/>
  <c r="X237" i="5" s="1"/>
  <c r="Y237" i="5" s="1"/>
  <c r="Z237" i="5" s="1"/>
  <c r="AA237" i="5" s="1"/>
  <c r="AB237" i="5" s="1"/>
  <c r="AC237" i="5" s="1"/>
  <c r="AD237" i="5" s="1"/>
  <c r="AE237" i="5" s="1"/>
  <c r="AF237" i="5" s="1"/>
  <c r="AG237" i="5" s="1"/>
  <c r="AH237" i="5" s="1"/>
  <c r="W329" i="6"/>
  <c r="X329" i="6" s="1"/>
  <c r="Y329" i="6" s="1"/>
  <c r="Z329" i="6" s="1"/>
  <c r="V94" i="5"/>
  <c r="V138" i="5"/>
  <c r="W138" i="5" s="1"/>
  <c r="X138" i="5" s="1"/>
  <c r="Y138" i="5" s="1"/>
  <c r="Z138" i="5" s="1"/>
  <c r="AA138" i="5" s="1"/>
  <c r="AB138" i="5" s="1"/>
  <c r="AC138" i="5" s="1"/>
  <c r="AD138" i="5" s="1"/>
  <c r="AE138" i="5" s="1"/>
  <c r="AF138" i="5" s="1"/>
  <c r="AG138" i="5" s="1"/>
  <c r="AH138" i="5" s="1"/>
  <c r="X291" i="6"/>
  <c r="W94" i="5"/>
  <c r="X94" i="5" s="1"/>
  <c r="Y94" i="5" s="1"/>
  <c r="Z94" i="5" s="1"/>
  <c r="AA94" i="5" s="1"/>
  <c r="AB94" i="5" s="1"/>
  <c r="AC94" i="5" s="1"/>
  <c r="AD94" i="5" s="1"/>
  <c r="AE94" i="5" s="1"/>
  <c r="AF94" i="5" s="1"/>
  <c r="AG94" i="5" s="1"/>
  <c r="AH94" i="5" s="1"/>
  <c r="X215" i="5"/>
  <c r="Y215" i="5" s="1"/>
  <c r="Z215" i="5" s="1"/>
  <c r="AA215" i="5" s="1"/>
  <c r="AB215" i="5" s="1"/>
  <c r="AC215" i="5" s="1"/>
  <c r="AD215" i="5" s="1"/>
  <c r="AE215" i="5" s="1"/>
  <c r="AF215" i="5" s="1"/>
  <c r="V296" i="5"/>
  <c r="W296" i="5" s="1"/>
  <c r="X296" i="5" s="1"/>
  <c r="Y296" i="5" s="1"/>
  <c r="Z296" i="5" s="1"/>
  <c r="AA296" i="5" s="1"/>
  <c r="AB296" i="5" s="1"/>
  <c r="AC296" i="5" s="1"/>
  <c r="AD296" i="5" s="1"/>
  <c r="AE296" i="5" s="1"/>
  <c r="AF296" i="5" s="1"/>
  <c r="AG296" i="5" s="1"/>
  <c r="AH296" i="5" s="1"/>
  <c r="X28" i="6"/>
  <c r="X48" i="6"/>
  <c r="Y48" i="6" s="1"/>
  <c r="Z48" i="6" s="1"/>
  <c r="AA48" i="6" s="1"/>
  <c r="AB48" i="6" s="1"/>
  <c r="AC48" i="6" s="1"/>
  <c r="AD48" i="6" s="1"/>
  <c r="AE48" i="6" s="1"/>
  <c r="AF48" i="6" s="1"/>
  <c r="AG48" i="6" s="1"/>
  <c r="AH48" i="6" s="1"/>
  <c r="AI48" i="6" s="1"/>
  <c r="U257" i="5"/>
  <c r="V257" i="5" s="1"/>
  <c r="W257" i="5" s="1"/>
  <c r="X257" i="5" s="1"/>
  <c r="Y257" i="5" s="1"/>
  <c r="Z257" i="5" s="1"/>
  <c r="W9" i="6"/>
  <c r="V255" i="6"/>
  <c r="U52" i="5"/>
  <c r="U158" i="5"/>
  <c r="W86" i="6"/>
  <c r="X86" i="6"/>
  <c r="Y86" i="6" s="1"/>
  <c r="X9" i="6"/>
  <c r="V67" i="6"/>
  <c r="V142" i="6"/>
  <c r="W142" i="6" s="1"/>
  <c r="X142" i="6" s="1"/>
  <c r="Y142" i="6" s="1"/>
  <c r="Z142" i="6" s="1"/>
  <c r="AA142" i="6" s="1"/>
  <c r="AB142" i="6" s="1"/>
  <c r="AC142" i="6" s="1"/>
  <c r="AD142" i="6" s="1"/>
  <c r="AE142" i="6" s="1"/>
  <c r="AF142" i="6" s="1"/>
  <c r="AG142" i="6" s="1"/>
  <c r="AH142" i="6" s="1"/>
  <c r="AI142" i="6" s="1"/>
  <c r="W255" i="6"/>
  <c r="V52" i="5"/>
  <c r="V117" i="5"/>
  <c r="W117" i="5" s="1"/>
  <c r="X117" i="5" s="1"/>
  <c r="Y117" i="5" s="1"/>
  <c r="Z117" i="5" s="1"/>
  <c r="V158" i="5"/>
  <c r="U315" i="5"/>
  <c r="V315" i="5" s="1"/>
  <c r="W315" i="5" s="1"/>
  <c r="X315" i="5" s="1"/>
  <c r="W123" i="6"/>
  <c r="X123" i="6" s="1"/>
  <c r="Y123" i="6" s="1"/>
  <c r="Z123" i="6" s="1"/>
  <c r="AA123" i="6" s="1"/>
  <c r="AB123" i="6" s="1"/>
  <c r="AC123" i="6" s="1"/>
  <c r="AD123" i="6" s="1"/>
  <c r="AE123" i="6" s="1"/>
  <c r="AF123" i="6" s="1"/>
  <c r="AG123" i="6" s="1"/>
  <c r="AH123" i="6" s="1"/>
  <c r="AI123" i="6" s="1"/>
  <c r="Y291" i="6"/>
  <c r="Y9" i="6"/>
  <c r="W67" i="6"/>
  <c r="X67" i="6" s="1"/>
  <c r="Y67" i="6" s="1"/>
  <c r="Z67" i="6" s="1"/>
  <c r="AA67" i="6" s="1"/>
  <c r="V218" i="6"/>
  <c r="W218" i="6" s="1"/>
  <c r="X218" i="6" s="1"/>
  <c r="Y218" i="6" s="1"/>
  <c r="Z218" i="6" s="1"/>
  <c r="AA218" i="6" s="1"/>
  <c r="AB218" i="6" s="1"/>
  <c r="AC218" i="6" s="1"/>
  <c r="AD218" i="6" s="1"/>
  <c r="AE218" i="6" s="1"/>
  <c r="AF218" i="6" s="1"/>
  <c r="AG218" i="6" s="1"/>
  <c r="AH218" i="6" s="1"/>
  <c r="AI218" i="6" s="1"/>
  <c r="X255" i="6"/>
  <c r="Y255" i="6" s="1"/>
  <c r="Z255" i="6" s="1"/>
  <c r="AA255" i="6" s="1"/>
  <c r="AB255" i="6" s="1"/>
  <c r="AC255" i="6" s="1"/>
  <c r="AD255" i="6" s="1"/>
  <c r="AE255" i="6" s="1"/>
  <c r="AF255" i="6" s="1"/>
  <c r="AG255" i="6" s="1"/>
  <c r="AH255" i="6" s="1"/>
  <c r="AI255" i="6" s="1"/>
  <c r="W52" i="5"/>
  <c r="X52" i="5" s="1"/>
  <c r="Y52" i="5" s="1"/>
  <c r="Z52" i="5" s="1"/>
  <c r="AA52" i="5" s="1"/>
  <c r="AB52" i="5" s="1"/>
  <c r="AC52" i="5" s="1"/>
  <c r="AD52" i="5" s="1"/>
  <c r="AE52" i="5" s="1"/>
  <c r="AF52" i="5" s="1"/>
  <c r="AG52" i="5" s="1"/>
  <c r="AH52" i="5" s="1"/>
  <c r="W158" i="5"/>
  <c r="X158" i="5" s="1"/>
  <c r="Y158" i="5" s="1"/>
  <c r="Z158" i="5" s="1"/>
  <c r="AA158" i="5" s="1"/>
  <c r="AB158" i="5" s="1"/>
  <c r="AC158" i="5" s="1"/>
  <c r="AD158" i="5" s="1"/>
  <c r="AE158" i="5" s="1"/>
  <c r="AF158" i="5" s="1"/>
  <c r="AG158" i="5" s="1"/>
  <c r="AH158" i="5" s="1"/>
  <c r="W48" i="6"/>
  <c r="Z9" i="6"/>
  <c r="AA9" i="6" s="1"/>
  <c r="AB9" i="6" s="1"/>
  <c r="AC9" i="6" s="1"/>
  <c r="AD9" i="6" s="1"/>
  <c r="AE9" i="6" s="1"/>
  <c r="AF9" i="6" s="1"/>
  <c r="AG9" i="6" s="1"/>
  <c r="AH9" i="6" s="1"/>
  <c r="AI9" i="6" s="1"/>
  <c r="V9" i="5"/>
  <c r="W9" i="5" s="1"/>
  <c r="X9" i="5" s="1"/>
  <c r="Y9" i="5" s="1"/>
  <c r="Z9" i="5" s="1"/>
  <c r="AA9" i="5" s="1"/>
  <c r="AB9" i="5" s="1"/>
  <c r="AC9" i="5" s="1"/>
  <c r="AD9" i="5" s="1"/>
  <c r="AE9" i="5" s="1"/>
  <c r="AF9" i="5" s="1"/>
  <c r="AG9" i="5" s="1"/>
  <c r="AH9" i="5" s="1"/>
  <c r="V74" i="5"/>
  <c r="V196" i="5"/>
  <c r="W180" i="6"/>
  <c r="W74" i="5"/>
  <c r="X180" i="6"/>
  <c r="Y180" i="6" s="1"/>
  <c r="Z180" i="6" s="1"/>
  <c r="AA180" i="6" s="1"/>
  <c r="AB180" i="6" s="1"/>
  <c r="AC180" i="6" s="1"/>
  <c r="AD180" i="6" s="1"/>
  <c r="W196" i="5"/>
  <c r="X161" i="6"/>
  <c r="Y161" i="6" s="1"/>
  <c r="Z161" i="6" s="1"/>
  <c r="AA161" i="6" s="1"/>
  <c r="AB161" i="6" s="1"/>
  <c r="AC161" i="6" s="1"/>
  <c r="AD161" i="6" s="1"/>
  <c r="Z199" i="6"/>
  <c r="AA199" i="6" s="1"/>
  <c r="AB199" i="6" s="1"/>
  <c r="AC199" i="6" s="1"/>
  <c r="AD199" i="6" s="1"/>
  <c r="W237" i="6"/>
  <c r="X237" i="6" s="1"/>
  <c r="Y237" i="6" s="1"/>
  <c r="Y273" i="6"/>
  <c r="Z273" i="6" s="1"/>
  <c r="AA273" i="6" s="1"/>
  <c r="AB273" i="6" s="1"/>
  <c r="AC273" i="6" s="1"/>
  <c r="AD273" i="6" s="1"/>
  <c r="AE273" i="6" s="1"/>
  <c r="AF273" i="6" s="1"/>
  <c r="AG273" i="6" s="1"/>
  <c r="AH273" i="6" s="1"/>
  <c r="AI273" i="6" s="1"/>
  <c r="X74" i="5"/>
  <c r="Y74" i="5" s="1"/>
  <c r="Z74" i="5" s="1"/>
  <c r="AA74" i="5" s="1"/>
  <c r="AB74" i="5" s="1"/>
  <c r="AC74" i="5" s="1"/>
  <c r="X196" i="5"/>
  <c r="Y196" i="5" s="1"/>
  <c r="Z196" i="5" s="1"/>
  <c r="AA196" i="5" s="1"/>
  <c r="AB196" i="5" s="1"/>
  <c r="AC196" i="5" s="1"/>
  <c r="AD196" i="5" s="1"/>
  <c r="AE196" i="5" s="1"/>
  <c r="AF196" i="5" s="1"/>
  <c r="AG196" i="5" s="1"/>
  <c r="AH196" i="5" s="1"/>
  <c r="H1025" i="18" l="1"/>
  <c r="DL12" i="30"/>
  <c r="H539" i="18"/>
  <c r="I540" i="18" s="1"/>
  <c r="I541" i="18" s="1"/>
  <c r="I542" i="18" s="1"/>
  <c r="I987" i="18"/>
  <c r="I946" i="18"/>
  <c r="K557" i="18"/>
  <c r="K556" i="18"/>
  <c r="H852" i="18"/>
  <c r="L775" i="18"/>
  <c r="M775" i="18" s="1"/>
  <c r="H68" i="18"/>
  <c r="BC32" i="8"/>
  <c r="BK31" i="8"/>
  <c r="DY20" i="8"/>
  <c r="DQ21" i="8"/>
  <c r="EY13" i="8"/>
  <c r="EQ14" i="8"/>
  <c r="GL15" i="8"/>
  <c r="GD16" i="8"/>
  <c r="GQ17" i="8"/>
  <c r="GY16" i="8"/>
  <c r="EK11" i="8"/>
  <c r="EC12" i="8"/>
  <c r="HL12" i="8"/>
  <c r="HD13" i="8"/>
  <c r="AA57" i="8"/>
  <c r="S58" i="8"/>
  <c r="AY45" i="8"/>
  <c r="AQ46" i="8"/>
  <c r="CV21" i="8"/>
  <c r="CN22" i="8"/>
  <c r="H649" i="18"/>
  <c r="H650" i="18" s="1"/>
  <c r="AV35" i="8"/>
  <c r="AW35" i="8" s="1"/>
  <c r="AT36" i="8"/>
  <c r="AV36" i="8" s="1"/>
  <c r="AW36" i="8" s="1"/>
  <c r="EV12" i="8"/>
  <c r="EW12" i="8" s="1"/>
  <c r="ET12" i="8"/>
  <c r="H120" i="18"/>
  <c r="I121" i="18" s="1"/>
  <c r="I122" i="18" s="1"/>
  <c r="I123" i="18" s="1"/>
  <c r="J124" i="18" s="1"/>
  <c r="H121" i="18"/>
  <c r="H122" i="18" s="1"/>
  <c r="H719" i="18"/>
  <c r="V310" i="6"/>
  <c r="W310" i="6"/>
  <c r="X310" i="6"/>
  <c r="Y310" i="6"/>
  <c r="Z310" i="6"/>
  <c r="AA310" i="6" s="1"/>
  <c r="AB310" i="6" s="1"/>
  <c r="AC310" i="6" s="1"/>
  <c r="AD310" i="6" s="1"/>
  <c r="AE310" i="6" s="1"/>
  <c r="AF310" i="6" s="1"/>
  <c r="AG310" i="6" s="1"/>
  <c r="AH310" i="6" s="1"/>
  <c r="AI310" i="6" s="1"/>
  <c r="AJ310" i="6" s="1"/>
  <c r="AK310" i="6" s="1"/>
  <c r="AL310" i="6" s="1"/>
  <c r="AM310" i="6" s="1"/>
  <c r="T75" i="6"/>
  <c r="T76" i="6" s="1"/>
  <c r="T77" i="6" s="1"/>
  <c r="AA329" i="6"/>
  <c r="AD74" i="5"/>
  <c r="AE74" i="5" s="1"/>
  <c r="AF74" i="5" s="1"/>
  <c r="AG74" i="5" s="1"/>
  <c r="AH74" i="5" s="1"/>
  <c r="Z63" i="6"/>
  <c r="Z64" i="6"/>
  <c r="Z65" i="6" s="1"/>
  <c r="CJ11" i="8"/>
  <c r="FL14" i="8"/>
  <c r="FY14" i="8"/>
  <c r="BX10" i="8"/>
  <c r="BP11" i="8"/>
  <c r="O24" i="8"/>
  <c r="G25" i="8"/>
  <c r="I304" i="18"/>
  <c r="J304" i="18" s="1"/>
  <c r="K304" i="18" s="1"/>
  <c r="L304" i="18" s="1"/>
  <c r="M304" i="18" s="1"/>
  <c r="N304" i="18" s="1"/>
  <c r="O304" i="18" s="1"/>
  <c r="P304" i="18" s="1"/>
  <c r="Q304" i="18" s="1"/>
  <c r="R304" i="18" s="1"/>
  <c r="S304" i="18" s="1"/>
  <c r="T304" i="18" s="1"/>
  <c r="U304" i="18" s="1"/>
  <c r="V304" i="18" s="1"/>
  <c r="W304" i="18" s="1"/>
  <c r="X304" i="18" s="1"/>
  <c r="Y304" i="18" s="1"/>
  <c r="Z304" i="18" s="1"/>
  <c r="AA304" i="18" s="1"/>
  <c r="AB304" i="18" s="1"/>
  <c r="AC304" i="18" s="1"/>
  <c r="AD304" i="18" s="1"/>
  <c r="AE304" i="18" s="1"/>
  <c r="AF304" i="18" s="1"/>
  <c r="AG304" i="18" s="1"/>
  <c r="I264" i="18"/>
  <c r="H51" i="18"/>
  <c r="I52" i="18" s="1"/>
  <c r="H417" i="18"/>
  <c r="H479" i="18"/>
  <c r="I543" i="18"/>
  <c r="I633" i="18"/>
  <c r="H282" i="18"/>
  <c r="I302" i="18"/>
  <c r="H459" i="18"/>
  <c r="H435" i="18"/>
  <c r="I246" i="18"/>
  <c r="AY14" i="30"/>
  <c r="I211" i="18"/>
  <c r="J211" i="18" s="1"/>
  <c r="K211" i="18" s="1"/>
  <c r="L211" i="18" s="1"/>
  <c r="M211" i="18" s="1"/>
  <c r="N211" i="18" s="1"/>
  <c r="O211" i="18" s="1"/>
  <c r="P211" i="18" s="1"/>
  <c r="Q211" i="18" s="1"/>
  <c r="R211" i="18" s="1"/>
  <c r="S211" i="18" s="1"/>
  <c r="T211" i="18" s="1"/>
  <c r="U211" i="18" s="1"/>
  <c r="V211" i="18" s="1"/>
  <c r="W211" i="18" s="1"/>
  <c r="X211" i="18" s="1"/>
  <c r="Y211" i="18" s="1"/>
  <c r="Z211" i="18" s="1"/>
  <c r="AA211" i="18" s="1"/>
  <c r="AB211" i="18" s="1"/>
  <c r="I145" i="18"/>
  <c r="I126" i="18"/>
  <c r="H105" i="14"/>
  <c r="H106" i="14" s="1"/>
  <c r="Y157" i="6"/>
  <c r="Y158" i="6"/>
  <c r="Y159" i="6" s="1"/>
  <c r="Y83" i="6"/>
  <c r="Y84" i="6" s="1"/>
  <c r="Y82" i="6"/>
  <c r="Z49" i="5"/>
  <c r="Z50" i="5" s="1"/>
  <c r="Z48" i="5"/>
  <c r="Z307" i="6"/>
  <c r="Z308" i="6" s="1"/>
  <c r="Z306" i="6"/>
  <c r="Z120" i="6"/>
  <c r="Z121" i="6" s="1"/>
  <c r="Z119" i="6"/>
  <c r="Y71" i="5"/>
  <c r="Y72" i="5" s="1"/>
  <c r="Y70" i="5"/>
  <c r="Y135" i="5"/>
  <c r="Y136" i="5" s="1"/>
  <c r="Y134" i="5"/>
  <c r="H52" i="14"/>
  <c r="H53" i="14" s="1"/>
  <c r="H54" i="14" s="1"/>
  <c r="I55" i="14" s="1"/>
  <c r="H51" i="14"/>
  <c r="Z45" i="6"/>
  <c r="Z46" i="6" s="1"/>
  <c r="Z44" i="6"/>
  <c r="Z139" i="6"/>
  <c r="Z140" i="6" s="1"/>
  <c r="Z138" i="6"/>
  <c r="X233" i="5"/>
  <c r="X234" i="5"/>
  <c r="X235" i="5" s="1"/>
  <c r="I247" i="14"/>
  <c r="I248" i="14" s="1"/>
  <c r="I246" i="14"/>
  <c r="DH12" i="8"/>
  <c r="H177" i="14"/>
  <c r="H178" i="14" s="1"/>
  <c r="H176" i="14"/>
  <c r="H9" i="14"/>
  <c r="H10" i="14" s="1"/>
  <c r="H8" i="14"/>
  <c r="AA195" i="6"/>
  <c r="AA196" i="6"/>
  <c r="AA197" i="6" s="1"/>
  <c r="I595" i="18"/>
  <c r="I593" i="18"/>
  <c r="AA177" i="6"/>
  <c r="AA178" i="6" s="1"/>
  <c r="AA176" i="6"/>
  <c r="X211" i="5"/>
  <c r="X212" i="5"/>
  <c r="X213" i="5" s="1"/>
  <c r="X155" i="5"/>
  <c r="X156" i="5" s="1"/>
  <c r="X154" i="5"/>
  <c r="AA215" i="6"/>
  <c r="AA216" i="6" s="1"/>
  <c r="AA214" i="6"/>
  <c r="AC26" i="5"/>
  <c r="AC27" i="5" s="1"/>
  <c r="AC25" i="5"/>
  <c r="I159" i="14"/>
  <c r="I160" i="14" s="1"/>
  <c r="I158" i="14"/>
  <c r="Y5" i="6"/>
  <c r="Y6" i="6"/>
  <c r="Y7" i="6" s="1"/>
  <c r="I229" i="14"/>
  <c r="I230" i="14" s="1"/>
  <c r="I228" i="14"/>
  <c r="X114" i="5"/>
  <c r="X115" i="5" s="1"/>
  <c r="X113" i="5"/>
  <c r="H30" i="14"/>
  <c r="H28" i="14"/>
  <c r="I29" i="14" s="1"/>
  <c r="V56" i="8"/>
  <c r="X56" i="8" s="1"/>
  <c r="Y56" i="8" s="1"/>
  <c r="AH21" i="8"/>
  <c r="AJ21" i="8" s="1"/>
  <c r="AK21" i="8" s="1"/>
  <c r="X192" i="5"/>
  <c r="X193" i="5"/>
  <c r="X194" i="5" s="1"/>
  <c r="Y6" i="5"/>
  <c r="Y7" i="5" s="1"/>
  <c r="Y5" i="5"/>
  <c r="J87" i="14"/>
  <c r="J88" i="14" s="1"/>
  <c r="J86" i="14"/>
  <c r="Y292" i="5"/>
  <c r="Y293" i="5"/>
  <c r="Y294" i="5" s="1"/>
  <c r="H69" i="14"/>
  <c r="H70" i="14"/>
  <c r="H71" i="14" s="1"/>
  <c r="Y270" i="6"/>
  <c r="Y271" i="6" s="1"/>
  <c r="Y269" i="6"/>
  <c r="X91" i="5"/>
  <c r="X92" i="5" s="1"/>
  <c r="X90" i="5"/>
  <c r="DT13" i="8"/>
  <c r="DV14" i="8" s="1"/>
  <c r="DW14" i="8" s="1"/>
  <c r="Z252" i="6"/>
  <c r="Z253" i="6" s="1"/>
  <c r="Z251" i="6"/>
  <c r="X253" i="5"/>
  <c r="X254" i="5"/>
  <c r="X255" i="5" s="1"/>
  <c r="X104" i="5"/>
  <c r="X105" i="5" s="1"/>
  <c r="H207" i="18"/>
  <c r="H208" i="18" s="1"/>
  <c r="H205" i="18"/>
  <c r="I206" i="18" s="1"/>
  <c r="H457" i="18"/>
  <c r="H458" i="18" s="1"/>
  <c r="H455" i="18"/>
  <c r="H101" i="18"/>
  <c r="I102" i="18" s="1"/>
  <c r="H103" i="18"/>
  <c r="H278" i="18"/>
  <c r="I279" i="18" s="1"/>
  <c r="H280" i="18"/>
  <c r="H281" i="18" s="1"/>
  <c r="H358" i="18"/>
  <c r="H359" i="18" s="1"/>
  <c r="H356" i="18"/>
  <c r="H415" i="18"/>
  <c r="H416" i="18" s="1"/>
  <c r="H413" i="18"/>
  <c r="I414" i="18" s="1"/>
  <c r="I139" i="18"/>
  <c r="J140" i="18" s="1"/>
  <c r="I141" i="18"/>
  <c r="I142" i="18" s="1"/>
  <c r="G72" i="18"/>
  <c r="H475" i="18"/>
  <c r="I476" i="18" s="1"/>
  <c r="H477" i="18"/>
  <c r="H478" i="18" s="1"/>
  <c r="I631" i="18"/>
  <c r="I632" i="18" s="1"/>
  <c r="I629" i="18"/>
  <c r="J630" i="18" s="1"/>
  <c r="H223" i="18"/>
  <c r="I224" i="18" s="1"/>
  <c r="H225" i="18"/>
  <c r="H226" i="18" s="1"/>
  <c r="I298" i="18"/>
  <c r="J299" i="18" s="1"/>
  <c r="I300" i="18"/>
  <c r="I301" i="18" s="1"/>
  <c r="J13" i="18"/>
  <c r="J14" i="18" s="1"/>
  <c r="J15" i="18" s="1"/>
  <c r="J12" i="18"/>
  <c r="I394" i="18"/>
  <c r="J395" i="18" s="1"/>
  <c r="I396" i="18"/>
  <c r="I397" i="18" s="1"/>
  <c r="J398" i="18" s="1"/>
  <c r="H64" i="18"/>
  <c r="I65" i="18" s="1"/>
  <c r="H66" i="18"/>
  <c r="J242" i="18"/>
  <c r="K243" i="18" s="1"/>
  <c r="J244" i="18"/>
  <c r="J245" i="18" s="1"/>
  <c r="H31" i="18"/>
  <c r="H32" i="18" s="1"/>
  <c r="H30" i="18"/>
  <c r="I81" i="18"/>
  <c r="I82" i="18"/>
  <c r="I83" i="18" s="1"/>
  <c r="H161" i="18"/>
  <c r="H162" i="18" s="1"/>
  <c r="H163" i="18" s="1"/>
  <c r="I260" i="18"/>
  <c r="J261" i="18" s="1"/>
  <c r="I262" i="18"/>
  <c r="I263" i="18" s="1"/>
  <c r="H56" i="18"/>
  <c r="H182" i="18"/>
  <c r="H183" i="18" s="1"/>
  <c r="H181" i="18"/>
  <c r="I48" i="18"/>
  <c r="J49" i="18" s="1"/>
  <c r="I50" i="18"/>
  <c r="I51" i="18" s="1"/>
  <c r="H318" i="18"/>
  <c r="H316" i="18"/>
  <c r="I317" i="18" s="1"/>
  <c r="H433" i="18"/>
  <c r="H434" i="18" s="1"/>
  <c r="H431" i="18"/>
  <c r="M1025" i="1"/>
  <c r="M1033" i="1"/>
  <c r="A9" i="30"/>
  <c r="BX11" i="30"/>
  <c r="IL14" i="8"/>
  <c r="HZ18" i="8"/>
  <c r="I21" i="8"/>
  <c r="T207" i="5"/>
  <c r="AH204" i="5"/>
  <c r="AH205" i="5" s="1"/>
  <c r="IL17" i="8"/>
  <c r="CJ12" i="30"/>
  <c r="I1025" i="18" l="1"/>
  <c r="DL13" i="30"/>
  <c r="I539" i="18"/>
  <c r="J540" i="18" s="1"/>
  <c r="J541" i="18" s="1"/>
  <c r="J542" i="18" s="1"/>
  <c r="J987" i="18"/>
  <c r="J946" i="18"/>
  <c r="K558" i="18"/>
  <c r="J558" i="18"/>
  <c r="I557" i="18"/>
  <c r="I558" i="18" s="1"/>
  <c r="HL13" i="8"/>
  <c r="HD14" i="8"/>
  <c r="EK12" i="8"/>
  <c r="EC13" i="8"/>
  <c r="I68" i="18"/>
  <c r="GQ18" i="8"/>
  <c r="GY17" i="8"/>
  <c r="CV22" i="8"/>
  <c r="CN23" i="8"/>
  <c r="GD17" i="8"/>
  <c r="GL16" i="8"/>
  <c r="AY46" i="8"/>
  <c r="AQ47" i="8"/>
  <c r="EQ15" i="8"/>
  <c r="EY14" i="8"/>
  <c r="AA58" i="8"/>
  <c r="S59" i="8"/>
  <c r="DY21" i="8"/>
  <c r="DQ22" i="8"/>
  <c r="BC33" i="8"/>
  <c r="BK32" i="8"/>
  <c r="N775" i="18"/>
  <c r="I120" i="18"/>
  <c r="J121" i="18" s="1"/>
  <c r="J122" i="18" s="1"/>
  <c r="J123" i="18" s="1"/>
  <c r="K124" i="18" s="1"/>
  <c r="I648" i="18"/>
  <c r="I649" i="18" s="1"/>
  <c r="I650" i="18" s="1"/>
  <c r="I647" i="18"/>
  <c r="EV13" i="8"/>
  <c r="EW13" i="8" s="1"/>
  <c r="ET13" i="8"/>
  <c r="J594" i="18"/>
  <c r="J595" i="18" s="1"/>
  <c r="J593" i="18"/>
  <c r="I719" i="18"/>
  <c r="J52" i="18"/>
  <c r="AA63" i="6"/>
  <c r="AA64" i="6"/>
  <c r="AA65" i="6" s="1"/>
  <c r="O25" i="8"/>
  <c r="G26" i="8"/>
  <c r="BX11" i="8"/>
  <c r="BP12" i="8"/>
  <c r="FY15" i="8"/>
  <c r="FL15" i="8"/>
  <c r="CJ12" i="8"/>
  <c r="J246" i="18"/>
  <c r="K246" i="18" s="1"/>
  <c r="J264" i="18"/>
  <c r="J302" i="18"/>
  <c r="I227" i="18"/>
  <c r="J633" i="18"/>
  <c r="I479" i="18"/>
  <c r="J143" i="18"/>
  <c r="I417" i="18"/>
  <c r="I282" i="18"/>
  <c r="J543" i="18"/>
  <c r="I209" i="18"/>
  <c r="J126" i="18"/>
  <c r="K126" i="18" s="1"/>
  <c r="L126" i="18" s="1"/>
  <c r="M126" i="18" s="1"/>
  <c r="N126" i="18" s="1"/>
  <c r="O126" i="18" s="1"/>
  <c r="P126" i="18" s="1"/>
  <c r="Q126" i="18" s="1"/>
  <c r="R126" i="18" s="1"/>
  <c r="S126" i="18" s="1"/>
  <c r="T126" i="18" s="1"/>
  <c r="U126" i="18" s="1"/>
  <c r="V126" i="18" s="1"/>
  <c r="W126" i="18" s="1"/>
  <c r="X126" i="18" s="1"/>
  <c r="Y126" i="18" s="1"/>
  <c r="Z126" i="18" s="1"/>
  <c r="AA126" i="18" s="1"/>
  <c r="AB126" i="18" s="1"/>
  <c r="AC126" i="18" s="1"/>
  <c r="AD126" i="18" s="1"/>
  <c r="AE126" i="18" s="1"/>
  <c r="AF126" i="18" s="1"/>
  <c r="AG126" i="18" s="1"/>
  <c r="J145" i="18"/>
  <c r="K145" i="18" s="1"/>
  <c r="L145" i="18" s="1"/>
  <c r="M145" i="18" s="1"/>
  <c r="N145" i="18" s="1"/>
  <c r="O145" i="18" s="1"/>
  <c r="P145" i="18" s="1"/>
  <c r="Q145" i="18" s="1"/>
  <c r="R145" i="18" s="1"/>
  <c r="I105" i="14"/>
  <c r="I106" i="14" s="1"/>
  <c r="Z71" i="5"/>
  <c r="Z72" i="5" s="1"/>
  <c r="Z70" i="5"/>
  <c r="AA119" i="6"/>
  <c r="AA120" i="6"/>
  <c r="AA121" i="6" s="1"/>
  <c r="AA307" i="6"/>
  <c r="AA308" i="6" s="1"/>
  <c r="AA306" i="6"/>
  <c r="H72" i="18"/>
  <c r="AA49" i="5"/>
  <c r="AA50" i="5" s="1"/>
  <c r="AA48" i="5"/>
  <c r="Z135" i="5"/>
  <c r="Z136" i="5" s="1"/>
  <c r="Z134" i="5"/>
  <c r="Z157" i="6"/>
  <c r="Z158" i="6"/>
  <c r="Z159" i="6" s="1"/>
  <c r="Y104" i="5"/>
  <c r="Y105" i="5" s="1"/>
  <c r="AA252" i="6"/>
  <c r="AA253" i="6" s="1"/>
  <c r="AA251" i="6"/>
  <c r="Z6" i="5"/>
  <c r="Z7" i="5" s="1"/>
  <c r="Z5" i="5"/>
  <c r="I30" i="14"/>
  <c r="I28" i="14"/>
  <c r="J29" i="14" s="1"/>
  <c r="AB177" i="6"/>
  <c r="AB178" i="6" s="1"/>
  <c r="AB176" i="6"/>
  <c r="DT14" i="8"/>
  <c r="DV15" i="8" s="1"/>
  <c r="DW15" i="8" s="1"/>
  <c r="Y114" i="5"/>
  <c r="Y115" i="5" s="1"/>
  <c r="Y113" i="5"/>
  <c r="J247" i="14"/>
  <c r="J248" i="14" s="1"/>
  <c r="J246" i="14"/>
  <c r="I52" i="14"/>
  <c r="I53" i="14" s="1"/>
  <c r="I54" i="14" s="1"/>
  <c r="J55" i="14" s="1"/>
  <c r="I51" i="14"/>
  <c r="Z292" i="5"/>
  <c r="Z293" i="5"/>
  <c r="Z294" i="5" s="1"/>
  <c r="Y91" i="5"/>
  <c r="Y92" i="5" s="1"/>
  <c r="Y90" i="5"/>
  <c r="K87" i="14"/>
  <c r="K88" i="14" s="1"/>
  <c r="K86" i="14"/>
  <c r="J229" i="14"/>
  <c r="J230" i="14" s="1"/>
  <c r="J231" i="14" s="1"/>
  <c r="J228" i="14"/>
  <c r="AD26" i="5"/>
  <c r="AD27" i="5" s="1"/>
  <c r="AD25" i="5"/>
  <c r="Y192" i="5"/>
  <c r="Y193" i="5"/>
  <c r="Y194" i="5" s="1"/>
  <c r="Y233" i="5"/>
  <c r="Y234" i="5"/>
  <c r="Y235" i="5" s="1"/>
  <c r="AB215" i="6"/>
  <c r="AB216" i="6" s="1"/>
  <c r="AB214" i="6"/>
  <c r="AA139" i="6"/>
  <c r="AA140" i="6" s="1"/>
  <c r="AA138" i="6"/>
  <c r="AH22" i="8"/>
  <c r="AJ22" i="8" s="1"/>
  <c r="AK22" i="8" s="1"/>
  <c r="AB195" i="6"/>
  <c r="AB196" i="6"/>
  <c r="AB197" i="6" s="1"/>
  <c r="Y155" i="5"/>
  <c r="Y156" i="5" s="1"/>
  <c r="Y154" i="5"/>
  <c r="I8" i="14"/>
  <c r="I9" i="14"/>
  <c r="I10" i="14" s="1"/>
  <c r="AA45" i="6"/>
  <c r="AA46" i="6" s="1"/>
  <c r="AA44" i="6"/>
  <c r="Y253" i="5"/>
  <c r="Y254" i="5"/>
  <c r="Y255" i="5" s="1"/>
  <c r="Z5" i="6"/>
  <c r="Z6" i="6"/>
  <c r="Z7" i="6" s="1"/>
  <c r="Z270" i="6"/>
  <c r="Z271" i="6" s="1"/>
  <c r="Z269" i="6"/>
  <c r="J159" i="14"/>
  <c r="J160" i="14" s="1"/>
  <c r="J158" i="14"/>
  <c r="I177" i="14"/>
  <c r="I178" i="14" s="1"/>
  <c r="I176" i="14"/>
  <c r="V57" i="8"/>
  <c r="X57" i="8" s="1"/>
  <c r="Y57" i="8" s="1"/>
  <c r="Y211" i="5"/>
  <c r="Y212" i="5"/>
  <c r="Y213" i="5" s="1"/>
  <c r="I318" i="18"/>
  <c r="I319" i="18" s="1"/>
  <c r="I316" i="18"/>
  <c r="J317" i="18" s="1"/>
  <c r="I182" i="18"/>
  <c r="I183" i="18" s="1"/>
  <c r="I184" i="18" s="1"/>
  <c r="J185" i="18" s="1"/>
  <c r="I181" i="18"/>
  <c r="J300" i="18"/>
  <c r="J301" i="18" s="1"/>
  <c r="J298" i="18"/>
  <c r="K299" i="18" s="1"/>
  <c r="I278" i="18"/>
  <c r="J279" i="18" s="1"/>
  <c r="I280" i="18"/>
  <c r="I281" i="18" s="1"/>
  <c r="K242" i="18"/>
  <c r="L243" i="18" s="1"/>
  <c r="K244" i="18"/>
  <c r="K245" i="18" s="1"/>
  <c r="J82" i="18"/>
  <c r="J83" i="18" s="1"/>
  <c r="J84" i="18" s="1"/>
  <c r="K85" i="18" s="1"/>
  <c r="J81" i="18"/>
  <c r="I31" i="18"/>
  <c r="I32" i="18" s="1"/>
  <c r="I33" i="18" s="1"/>
  <c r="J34" i="18" s="1"/>
  <c r="I30" i="18"/>
  <c r="J139" i="18"/>
  <c r="K140" i="18" s="1"/>
  <c r="J141" i="18"/>
  <c r="J142" i="18" s="1"/>
  <c r="I103" i="18"/>
  <c r="I104" i="18" s="1"/>
  <c r="I101" i="18"/>
  <c r="J102" i="18" s="1"/>
  <c r="J260" i="18"/>
  <c r="K261" i="18" s="1"/>
  <c r="J262" i="18"/>
  <c r="J263" i="18" s="1"/>
  <c r="I223" i="18"/>
  <c r="J224" i="18" s="1"/>
  <c r="I225" i="18"/>
  <c r="I226" i="18" s="1"/>
  <c r="I64" i="18"/>
  <c r="J65" i="18" s="1"/>
  <c r="I66" i="18"/>
  <c r="J631" i="18"/>
  <c r="J632" i="18" s="1"/>
  <c r="J629" i="18"/>
  <c r="K630" i="18" s="1"/>
  <c r="I56" i="18"/>
  <c r="I475" i="18"/>
  <c r="J476" i="18" s="1"/>
  <c r="I477" i="18"/>
  <c r="I478" i="18" s="1"/>
  <c r="I413" i="18"/>
  <c r="J414" i="18" s="1"/>
  <c r="I415" i="18"/>
  <c r="I416" i="18" s="1"/>
  <c r="I205" i="18"/>
  <c r="J206" i="18" s="1"/>
  <c r="I207" i="18"/>
  <c r="I208" i="18" s="1"/>
  <c r="I161" i="18"/>
  <c r="I162" i="18" s="1"/>
  <c r="I163" i="18" s="1"/>
  <c r="J48" i="18"/>
  <c r="K49" i="18" s="1"/>
  <c r="J50" i="18"/>
  <c r="J51" i="18" s="1"/>
  <c r="J394" i="18"/>
  <c r="K395" i="18" s="1"/>
  <c r="J396" i="18"/>
  <c r="J397" i="18" s="1"/>
  <c r="K398" i="18" s="1"/>
  <c r="M1034" i="1"/>
  <c r="A10" i="30"/>
  <c r="IL16" i="8"/>
  <c r="IL19" i="8"/>
  <c r="CJ13" i="30"/>
  <c r="BX12" i="30"/>
  <c r="AG225" i="5"/>
  <c r="AG226" i="5" s="1"/>
  <c r="T229" i="5"/>
  <c r="HZ19" i="8"/>
  <c r="J539" i="18" l="1"/>
  <c r="J1025" i="18"/>
  <c r="DL14" i="30"/>
  <c r="K946" i="18"/>
  <c r="S145" i="18"/>
  <c r="T145" i="18" s="1"/>
  <c r="U145" i="18" s="1"/>
  <c r="V145" i="18" s="1"/>
  <c r="W145" i="18" s="1"/>
  <c r="X145" i="18" s="1"/>
  <c r="Y145" i="18" s="1"/>
  <c r="Z145" i="18" s="1"/>
  <c r="AA145" i="18" s="1"/>
  <c r="EK13" i="8"/>
  <c r="EC14" i="8"/>
  <c r="AY47" i="8"/>
  <c r="AQ48" i="8"/>
  <c r="HD15" i="8"/>
  <c r="HL14" i="8"/>
  <c r="GL17" i="8"/>
  <c r="GD18" i="8"/>
  <c r="CV23" i="8"/>
  <c r="CN24" i="8"/>
  <c r="BC34" i="8"/>
  <c r="BK33" i="8"/>
  <c r="DQ23" i="8"/>
  <c r="DY22" i="8"/>
  <c r="GQ19" i="8"/>
  <c r="GY18" i="8"/>
  <c r="AA59" i="8"/>
  <c r="S60" i="8"/>
  <c r="EQ16" i="8"/>
  <c r="EY15" i="8"/>
  <c r="J648" i="18"/>
  <c r="J649" i="18" s="1"/>
  <c r="J650" i="18" s="1"/>
  <c r="J647" i="18"/>
  <c r="O775" i="18"/>
  <c r="J120" i="18"/>
  <c r="K121" i="18" s="1"/>
  <c r="K122" i="18" s="1"/>
  <c r="K123" i="18" s="1"/>
  <c r="L124" i="18" s="1"/>
  <c r="K593" i="18"/>
  <c r="K594" i="18"/>
  <c r="K595" i="18" s="1"/>
  <c r="EV14" i="8"/>
  <c r="EW14" i="8" s="1"/>
  <c r="ET14" i="8"/>
  <c r="J719" i="18"/>
  <c r="K52" i="18"/>
  <c r="CJ13" i="8"/>
  <c r="FL16" i="8"/>
  <c r="FY16" i="8"/>
  <c r="BX12" i="8"/>
  <c r="BP13" i="8"/>
  <c r="O26" i="8"/>
  <c r="G27" i="8"/>
  <c r="J164" i="18"/>
  <c r="J209" i="18"/>
  <c r="J417" i="18"/>
  <c r="J479" i="18"/>
  <c r="K633" i="18"/>
  <c r="J227" i="18"/>
  <c r="K264" i="18"/>
  <c r="J105" i="18"/>
  <c r="K143" i="18"/>
  <c r="L246" i="18"/>
  <c r="J282" i="18"/>
  <c r="K302" i="18"/>
  <c r="J320" i="18"/>
  <c r="K232" i="14"/>
  <c r="J105" i="14"/>
  <c r="J106" i="14" s="1"/>
  <c r="AA157" i="6"/>
  <c r="AA158" i="6"/>
  <c r="AA159" i="6" s="1"/>
  <c r="AA135" i="5"/>
  <c r="AA136" i="5" s="1"/>
  <c r="AA134" i="5"/>
  <c r="AB49" i="5"/>
  <c r="AB50" i="5" s="1"/>
  <c r="AB48" i="5"/>
  <c r="AB307" i="6"/>
  <c r="AB308" i="6" s="1"/>
  <c r="AB306" i="6"/>
  <c r="AB120" i="6"/>
  <c r="AB121" i="6" s="1"/>
  <c r="AB119" i="6"/>
  <c r="AA71" i="5"/>
  <c r="AA72" i="5" s="1"/>
  <c r="AA70" i="5"/>
  <c r="Z233" i="5"/>
  <c r="Z234" i="5"/>
  <c r="Z235" i="5" s="1"/>
  <c r="DT15" i="8"/>
  <c r="DV16" i="8" s="1"/>
  <c r="DW16" i="8" s="1"/>
  <c r="K247" i="14"/>
  <c r="K248" i="14" s="1"/>
  <c r="K249" i="14" s="1"/>
  <c r="L250" i="14" s="1"/>
  <c r="K246" i="14"/>
  <c r="Z104" i="5"/>
  <c r="Z105" i="5" s="1"/>
  <c r="Z211" i="5"/>
  <c r="Z212" i="5"/>
  <c r="Z213" i="5" s="1"/>
  <c r="Z253" i="5"/>
  <c r="Z254" i="5"/>
  <c r="Z255" i="5" s="1"/>
  <c r="Z256" i="5" s="1"/>
  <c r="AA257" i="5" s="1"/>
  <c r="AC195" i="6"/>
  <c r="AC196" i="6"/>
  <c r="AC197" i="6" s="1"/>
  <c r="K229" i="14"/>
  <c r="K230" i="14" s="1"/>
  <c r="K231" i="14" s="1"/>
  <c r="K228" i="14"/>
  <c r="AC176" i="6"/>
  <c r="AC177" i="6"/>
  <c r="AC178" i="6" s="1"/>
  <c r="AA269" i="6"/>
  <c r="AA270" i="6"/>
  <c r="AA271" i="6" s="1"/>
  <c r="L87" i="14"/>
  <c r="L88" i="14" s="1"/>
  <c r="L86" i="14"/>
  <c r="AB45" i="6"/>
  <c r="AB46" i="6" s="1"/>
  <c r="AB44" i="6"/>
  <c r="Z91" i="5"/>
  <c r="Z92" i="5" s="1"/>
  <c r="Z90" i="5"/>
  <c r="Z114" i="5"/>
  <c r="Z115" i="5" s="1"/>
  <c r="Z113" i="5"/>
  <c r="J30" i="14"/>
  <c r="J28" i="14"/>
  <c r="K29" i="14" s="1"/>
  <c r="V58" i="8"/>
  <c r="X58" i="8" s="1"/>
  <c r="Y58" i="8" s="1"/>
  <c r="AA5" i="5"/>
  <c r="AA6" i="5"/>
  <c r="AA7" i="5" s="1"/>
  <c r="AA5" i="6"/>
  <c r="AA6" i="6"/>
  <c r="AA7" i="6" s="1"/>
  <c r="J8" i="14"/>
  <c r="J9" i="14"/>
  <c r="Z192" i="5"/>
  <c r="Z193" i="5"/>
  <c r="Z194" i="5" s="1"/>
  <c r="J177" i="14"/>
  <c r="J178" i="14" s="1"/>
  <c r="J176" i="14"/>
  <c r="Z154" i="5"/>
  <c r="Z155" i="5"/>
  <c r="Z156" i="5" s="1"/>
  <c r="AB139" i="6"/>
  <c r="AB140" i="6" s="1"/>
  <c r="AB138" i="6"/>
  <c r="AA292" i="5"/>
  <c r="AA293" i="5"/>
  <c r="AA294" i="5" s="1"/>
  <c r="AB252" i="6"/>
  <c r="AB253" i="6" s="1"/>
  <c r="AB251" i="6"/>
  <c r="K159" i="14"/>
  <c r="K160" i="14" s="1"/>
  <c r="K161" i="14" s="1"/>
  <c r="L162" i="14" s="1"/>
  <c r="K158" i="14"/>
  <c r="AC215" i="6"/>
  <c r="AC216" i="6" s="1"/>
  <c r="AC214" i="6"/>
  <c r="AE26" i="5"/>
  <c r="AE27" i="5" s="1"/>
  <c r="AE25" i="5"/>
  <c r="J51" i="14"/>
  <c r="J52" i="14"/>
  <c r="J53" i="14" s="1"/>
  <c r="J54" i="14" s="1"/>
  <c r="K55" i="14" s="1"/>
  <c r="I72" i="18"/>
  <c r="J56" i="18"/>
  <c r="J31" i="18"/>
  <c r="J32" i="18" s="1"/>
  <c r="J33" i="18" s="1"/>
  <c r="K34" i="18" s="1"/>
  <c r="J30" i="18"/>
  <c r="J318" i="18"/>
  <c r="J319" i="18" s="1"/>
  <c r="J316" i="18"/>
  <c r="K317" i="18" s="1"/>
  <c r="J162" i="18"/>
  <c r="J163" i="18" s="1"/>
  <c r="K82" i="18"/>
  <c r="K83" i="18" s="1"/>
  <c r="K84" i="18" s="1"/>
  <c r="L85" i="18" s="1"/>
  <c r="K81" i="18"/>
  <c r="J207" i="18"/>
  <c r="J208" i="18" s="1"/>
  <c r="J205" i="18"/>
  <c r="K206" i="18" s="1"/>
  <c r="J223" i="18"/>
  <c r="J225" i="18"/>
  <c r="J226" i="18" s="1"/>
  <c r="L242" i="18"/>
  <c r="M243" i="18" s="1"/>
  <c r="L244" i="18"/>
  <c r="L245" i="18" s="1"/>
  <c r="J413" i="18"/>
  <c r="J415" i="18"/>
  <c r="J416" i="18" s="1"/>
  <c r="K260" i="18"/>
  <c r="L261" i="18" s="1"/>
  <c r="K262" i="18"/>
  <c r="K263" i="18" s="1"/>
  <c r="J278" i="18"/>
  <c r="K279" i="18" s="1"/>
  <c r="J280" i="18"/>
  <c r="J281" i="18" s="1"/>
  <c r="K631" i="18"/>
  <c r="K632" i="18" s="1"/>
  <c r="K629" i="18"/>
  <c r="L630" i="18" s="1"/>
  <c r="K300" i="18"/>
  <c r="K301" i="18" s="1"/>
  <c r="K298" i="18"/>
  <c r="L299" i="18" s="1"/>
  <c r="J477" i="18"/>
  <c r="J478" i="18" s="1"/>
  <c r="J475" i="18"/>
  <c r="K476" i="18" s="1"/>
  <c r="K48" i="18"/>
  <c r="L49" i="18" s="1"/>
  <c r="K50" i="18"/>
  <c r="K51" i="18" s="1"/>
  <c r="J103" i="18"/>
  <c r="J104" i="18" s="1"/>
  <c r="J101" i="18"/>
  <c r="K394" i="18"/>
  <c r="L395" i="18" s="1"/>
  <c r="K396" i="18"/>
  <c r="K397" i="18" s="1"/>
  <c r="L398" i="18" s="1"/>
  <c r="J64" i="18"/>
  <c r="K65" i="18" s="1"/>
  <c r="K66" i="18" s="1"/>
  <c r="J66" i="18"/>
  <c r="J67" i="18" s="1"/>
  <c r="K139" i="18"/>
  <c r="L140" i="18" s="1"/>
  <c r="K141" i="18"/>
  <c r="K142" i="18" s="1"/>
  <c r="J182" i="18"/>
  <c r="J183" i="18" s="1"/>
  <c r="J184" i="18" s="1"/>
  <c r="K185" i="18" s="1"/>
  <c r="J181" i="18"/>
  <c r="A11" i="30"/>
  <c r="IL18" i="8"/>
  <c r="HZ20" i="8"/>
  <c r="AB329" i="6"/>
  <c r="BX13" i="30"/>
  <c r="CJ14" i="30"/>
  <c r="IL21" i="8"/>
  <c r="H10" i="3"/>
  <c r="G221" i="14"/>
  <c r="DL15" i="30" l="1"/>
  <c r="L946" i="18"/>
  <c r="AB145" i="18"/>
  <c r="AC145" i="18" s="1"/>
  <c r="AD145" i="18" s="1"/>
  <c r="AE145" i="18" s="1"/>
  <c r="AF145" i="18" s="1"/>
  <c r="AG145" i="18" s="1"/>
  <c r="K648" i="18"/>
  <c r="K649" i="18" s="1"/>
  <c r="K650" i="18" s="1"/>
  <c r="K647" i="18"/>
  <c r="HD16" i="8"/>
  <c r="HL15" i="8"/>
  <c r="AY48" i="8"/>
  <c r="AQ49" i="8"/>
  <c r="GY19" i="8"/>
  <c r="GQ20" i="8"/>
  <c r="EC15" i="8"/>
  <c r="EK14" i="8"/>
  <c r="DQ24" i="8"/>
  <c r="DY23" i="8"/>
  <c r="BK34" i="8"/>
  <c r="BC35" i="8"/>
  <c r="CN25" i="8"/>
  <c r="CV24" i="8"/>
  <c r="EQ17" i="8"/>
  <c r="EY16" i="8"/>
  <c r="GD19" i="8"/>
  <c r="GL18" i="8"/>
  <c r="AA60" i="8"/>
  <c r="S61" i="8"/>
  <c r="P775" i="18"/>
  <c r="K120" i="18"/>
  <c r="L121" i="18" s="1"/>
  <c r="L122" i="18" s="1"/>
  <c r="L123" i="18" s="1"/>
  <c r="M124" i="18" s="1"/>
  <c r="L594" i="18"/>
  <c r="L595" i="18" s="1"/>
  <c r="L596" i="18" s="1"/>
  <c r="L593" i="18"/>
  <c r="EV15" i="8"/>
  <c r="EW15" i="8" s="1"/>
  <c r="ET15" i="8"/>
  <c r="L52" i="18"/>
  <c r="O27" i="8"/>
  <c r="G28" i="8"/>
  <c r="BX13" i="8"/>
  <c r="BP14" i="8"/>
  <c r="FY17" i="8"/>
  <c r="FL17" i="8"/>
  <c r="CJ14" i="8"/>
  <c r="L143" i="18"/>
  <c r="K479" i="18"/>
  <c r="L302" i="18"/>
  <c r="L633" i="18"/>
  <c r="K282" i="18"/>
  <c r="L264" i="18"/>
  <c r="M246" i="18"/>
  <c r="K209" i="18"/>
  <c r="K164" i="18"/>
  <c r="K320" i="18"/>
  <c r="L232" i="14"/>
  <c r="K105" i="14"/>
  <c r="K106" i="14" s="1"/>
  <c r="AB71" i="5"/>
  <c r="AB72" i="5" s="1"/>
  <c r="AB70" i="5"/>
  <c r="AC120" i="6"/>
  <c r="AC121" i="6" s="1"/>
  <c r="AC119" i="6"/>
  <c r="AC307" i="6"/>
  <c r="AC308" i="6" s="1"/>
  <c r="AC306" i="6"/>
  <c r="AC49" i="5"/>
  <c r="AC50" i="5" s="1"/>
  <c r="AC48" i="5"/>
  <c r="AB135" i="5"/>
  <c r="AB136" i="5" s="1"/>
  <c r="AB134" i="5"/>
  <c r="AB157" i="6"/>
  <c r="AB158" i="6"/>
  <c r="AB159" i="6" s="1"/>
  <c r="AA104" i="5"/>
  <c r="AA105" i="5" s="1"/>
  <c r="L159" i="14"/>
  <c r="L160" i="14" s="1"/>
  <c r="L161" i="14" s="1"/>
  <c r="M162" i="14" s="1"/>
  <c r="L158" i="14"/>
  <c r="DT16" i="8"/>
  <c r="DV17" i="8" s="1"/>
  <c r="DW17" i="8" s="1"/>
  <c r="AA234" i="5"/>
  <c r="AA235" i="5" s="1"/>
  <c r="AA233" i="5"/>
  <c r="AC44" i="6"/>
  <c r="AC45" i="6"/>
  <c r="AC46" i="6" s="1"/>
  <c r="AB5" i="5"/>
  <c r="AB6" i="5"/>
  <c r="AB7" i="5" s="1"/>
  <c r="AB269" i="6"/>
  <c r="AB270" i="6"/>
  <c r="AB271" i="6" s="1"/>
  <c r="AA253" i="5"/>
  <c r="AA254" i="5"/>
  <c r="AA255" i="5" s="1"/>
  <c r="AA256" i="5" s="1"/>
  <c r="AB257" i="5" s="1"/>
  <c r="K51" i="14"/>
  <c r="K52" i="14"/>
  <c r="K53" i="14" s="1"/>
  <c r="K54" i="14" s="1"/>
  <c r="L55" i="14" s="1"/>
  <c r="AB292" i="5"/>
  <c r="AB293" i="5"/>
  <c r="AB294" i="5" s="1"/>
  <c r="AD176" i="6"/>
  <c r="AD177" i="6"/>
  <c r="AD178" i="6" s="1"/>
  <c r="AA211" i="5"/>
  <c r="AA212" i="5"/>
  <c r="AA213" i="5" s="1"/>
  <c r="L229" i="14"/>
  <c r="L230" i="14" s="1"/>
  <c r="L231" i="14" s="1"/>
  <c r="L228" i="14"/>
  <c r="V59" i="8"/>
  <c r="X59" i="8" s="1"/>
  <c r="Y59" i="8" s="1"/>
  <c r="AD215" i="6"/>
  <c r="AD216" i="6" s="1"/>
  <c r="AD214" i="6"/>
  <c r="AC138" i="6"/>
  <c r="AC139" i="6"/>
  <c r="AC140" i="6" s="1"/>
  <c r="L247" i="14"/>
  <c r="L248" i="14" s="1"/>
  <c r="L249" i="14" s="1"/>
  <c r="M250" i="14" s="1"/>
  <c r="L246" i="14"/>
  <c r="AF26" i="5"/>
  <c r="AF27" i="5" s="1"/>
  <c r="AF25" i="5"/>
  <c r="J10" i="14"/>
  <c r="H21" i="14" s="1"/>
  <c r="I21" i="14" s="1"/>
  <c r="H20" i="14"/>
  <c r="I20" i="14" s="1"/>
  <c r="J20" i="14" s="1"/>
  <c r="K30" i="14"/>
  <c r="K28" i="14"/>
  <c r="L29" i="14" s="1"/>
  <c r="M87" i="14"/>
  <c r="M88" i="14" s="1"/>
  <c r="M86" i="14"/>
  <c r="AA192" i="5"/>
  <c r="AA193" i="5"/>
  <c r="AA194" i="5" s="1"/>
  <c r="AA154" i="5"/>
  <c r="AA155" i="5"/>
  <c r="AA156" i="5" s="1"/>
  <c r="K8" i="14"/>
  <c r="K9" i="14"/>
  <c r="K10" i="14" s="1"/>
  <c r="K177" i="14"/>
  <c r="K178" i="14" s="1"/>
  <c r="K176" i="14"/>
  <c r="AB6" i="6"/>
  <c r="AB7" i="6" s="1"/>
  <c r="AB5" i="6"/>
  <c r="AD195" i="6"/>
  <c r="AD196" i="6"/>
  <c r="AD197" i="6" s="1"/>
  <c r="AC251" i="6"/>
  <c r="AC252" i="6"/>
  <c r="AC253" i="6" s="1"/>
  <c r="AA91" i="5"/>
  <c r="AA92" i="5" s="1"/>
  <c r="AA90" i="5"/>
  <c r="L139" i="18"/>
  <c r="M140" i="18" s="1"/>
  <c r="L141" i="18"/>
  <c r="L142" i="18" s="1"/>
  <c r="M242" i="18"/>
  <c r="M244" i="18"/>
  <c r="M245" i="18" s="1"/>
  <c r="L631" i="18"/>
  <c r="L632" i="18" s="1"/>
  <c r="L629" i="18"/>
  <c r="M630" i="18" s="1"/>
  <c r="K161" i="18"/>
  <c r="K162" i="18" s="1"/>
  <c r="K163" i="18" s="1"/>
  <c r="J72" i="18"/>
  <c r="L300" i="18"/>
  <c r="L301" i="18" s="1"/>
  <c r="L298" i="18"/>
  <c r="M299" i="18" s="1"/>
  <c r="K64" i="18"/>
  <c r="K67" i="18"/>
  <c r="L68" i="18" s="1"/>
  <c r="L394" i="18"/>
  <c r="M395" i="18" s="1"/>
  <c r="L396" i="18"/>
  <c r="L397" i="18" s="1"/>
  <c r="M398" i="18" s="1"/>
  <c r="K207" i="18"/>
  <c r="K208" i="18" s="1"/>
  <c r="K205" i="18"/>
  <c r="L206" i="18" s="1"/>
  <c r="K56" i="18"/>
  <c r="L81" i="18"/>
  <c r="L82" i="18"/>
  <c r="L83" i="18" s="1"/>
  <c r="L84" i="18" s="1"/>
  <c r="M85" i="18" s="1"/>
  <c r="K31" i="18"/>
  <c r="K32" i="18" s="1"/>
  <c r="K33" i="18" s="1"/>
  <c r="L34" i="18" s="1"/>
  <c r="K30" i="18"/>
  <c r="K477" i="18"/>
  <c r="K478" i="18" s="1"/>
  <c r="K475" i="18"/>
  <c r="L476" i="18" s="1"/>
  <c r="K318" i="18"/>
  <c r="K319" i="18" s="1"/>
  <c r="K316" i="18"/>
  <c r="L317" i="18" s="1"/>
  <c r="K278" i="18"/>
  <c r="L279" i="18" s="1"/>
  <c r="K280" i="18"/>
  <c r="K281" i="18" s="1"/>
  <c r="L260" i="18"/>
  <c r="M261" i="18" s="1"/>
  <c r="L262" i="18"/>
  <c r="L263" i="18" s="1"/>
  <c r="K182" i="18"/>
  <c r="K183" i="18" s="1"/>
  <c r="K184" i="18" s="1"/>
  <c r="L185" i="18" s="1"/>
  <c r="K181" i="18"/>
  <c r="L48" i="18"/>
  <c r="M49" i="18" s="1"/>
  <c r="L50" i="18"/>
  <c r="L51" i="18" s="1"/>
  <c r="A12" i="30"/>
  <c r="A12" i="8"/>
  <c r="HZ21" i="8"/>
  <c r="BX14" i="30"/>
  <c r="IL20" i="8"/>
  <c r="IL23" i="8"/>
  <c r="CJ15" i="30"/>
  <c r="S1085" i="18" l="1"/>
  <c r="M76" i="18"/>
  <c r="L65" i="18"/>
  <c r="L66" i="18" s="1"/>
  <c r="DL16" i="30"/>
  <c r="M946" i="18"/>
  <c r="L648" i="18"/>
  <c r="L649" i="18" s="1"/>
  <c r="L650" i="18" s="1"/>
  <c r="L647" i="18"/>
  <c r="M594" i="18"/>
  <c r="M595" i="18" s="1"/>
  <c r="M593" i="18"/>
  <c r="N593" i="18" s="1"/>
  <c r="GL19" i="8"/>
  <c r="GD20" i="8"/>
  <c r="AY49" i="8"/>
  <c r="AQ50" i="8"/>
  <c r="EY17" i="8"/>
  <c r="EQ18" i="8"/>
  <c r="CV25" i="8"/>
  <c r="CN26" i="8"/>
  <c r="HL16" i="8"/>
  <c r="HD17" i="8"/>
  <c r="BK35" i="8"/>
  <c r="BC36" i="8"/>
  <c r="DY24" i="8"/>
  <c r="DQ25" i="8"/>
  <c r="AA61" i="8"/>
  <c r="S62" i="8"/>
  <c r="EK15" i="8"/>
  <c r="EC16" i="8"/>
  <c r="GY20" i="8"/>
  <c r="GQ21" i="8"/>
  <c r="K72" i="18"/>
  <c r="Q775" i="18"/>
  <c r="L120" i="18"/>
  <c r="M121" i="18" s="1"/>
  <c r="M122" i="18" s="1"/>
  <c r="M123" i="18" s="1"/>
  <c r="N124" i="18" s="1"/>
  <c r="EV16" i="8"/>
  <c r="EW16" i="8" s="1"/>
  <c r="ET16" i="8"/>
  <c r="M52" i="18"/>
  <c r="O28" i="8"/>
  <c r="CJ15" i="8"/>
  <c r="FL18" i="8"/>
  <c r="FY18" i="8"/>
  <c r="BX14" i="8"/>
  <c r="BP15" i="8"/>
  <c r="M264" i="18"/>
  <c r="L282" i="18"/>
  <c r="L320" i="18"/>
  <c r="L479" i="18"/>
  <c r="L209" i="18"/>
  <c r="M302" i="18"/>
  <c r="L164" i="18"/>
  <c r="M633" i="18"/>
  <c r="M143" i="18"/>
  <c r="M232" i="14"/>
  <c r="L105" i="14"/>
  <c r="L106" i="14" s="1"/>
  <c r="AC157" i="6"/>
  <c r="AC158" i="6"/>
  <c r="AC159" i="6" s="1"/>
  <c r="AC134" i="5"/>
  <c r="AC135" i="5"/>
  <c r="AC136" i="5" s="1"/>
  <c r="AC71" i="5"/>
  <c r="AC72" i="5" s="1"/>
  <c r="AC70" i="5"/>
  <c r="AD49" i="5"/>
  <c r="AD50" i="5" s="1"/>
  <c r="AD48" i="5"/>
  <c r="AD307" i="6"/>
  <c r="AD308" i="6" s="1"/>
  <c r="AD306" i="6"/>
  <c r="AD120" i="6"/>
  <c r="AD121" i="6" s="1"/>
  <c r="AD119" i="6"/>
  <c r="AB104" i="5"/>
  <c r="AB105" i="5" s="1"/>
  <c r="AG25" i="5"/>
  <c r="AG26" i="5"/>
  <c r="AG27" i="5" s="1"/>
  <c r="AD251" i="6"/>
  <c r="AD252" i="6"/>
  <c r="AD253" i="6" s="1"/>
  <c r="AC5" i="5"/>
  <c r="AC6" i="5"/>
  <c r="AC7" i="5" s="1"/>
  <c r="AD44" i="6"/>
  <c r="AD45" i="6"/>
  <c r="AD46" i="6" s="1"/>
  <c r="AC6" i="6"/>
  <c r="AC7" i="6" s="1"/>
  <c r="AC5" i="6"/>
  <c r="N87" i="14"/>
  <c r="N88" i="14" s="1"/>
  <c r="N86" i="14"/>
  <c r="M246" i="14"/>
  <c r="M247" i="14"/>
  <c r="M248" i="14" s="1"/>
  <c r="M249" i="14" s="1"/>
  <c r="N250" i="14" s="1"/>
  <c r="V60" i="8"/>
  <c r="X60" i="8" s="1"/>
  <c r="Y60" i="8" s="1"/>
  <c r="AC293" i="5"/>
  <c r="AC294" i="5" s="1"/>
  <c r="AC292" i="5"/>
  <c r="AB154" i="5"/>
  <c r="AB155" i="5"/>
  <c r="AB156" i="5" s="1"/>
  <c r="L28" i="14"/>
  <c r="M29" i="14" s="1"/>
  <c r="L30" i="14"/>
  <c r="AB234" i="5"/>
  <c r="AB235" i="5" s="1"/>
  <c r="AB233" i="5"/>
  <c r="L9" i="14"/>
  <c r="L10" i="14" s="1"/>
  <c r="L8" i="14"/>
  <c r="L51" i="14"/>
  <c r="L52" i="14"/>
  <c r="L53" i="14" s="1"/>
  <c r="L54" i="14" s="1"/>
  <c r="M55" i="14" s="1"/>
  <c r="AB91" i="5"/>
  <c r="AB92" i="5" s="1"/>
  <c r="AB90" i="5"/>
  <c r="M229" i="14"/>
  <c r="M230" i="14" s="1"/>
  <c r="M231" i="14" s="1"/>
  <c r="M228" i="14"/>
  <c r="AB253" i="5"/>
  <c r="AB254" i="5"/>
  <c r="AB255" i="5" s="1"/>
  <c r="AB256" i="5" s="1"/>
  <c r="AC257" i="5" s="1"/>
  <c r="DT17" i="8"/>
  <c r="DV18" i="8" s="1"/>
  <c r="DW18" i="8" s="1"/>
  <c r="AB192" i="5"/>
  <c r="AB193" i="5"/>
  <c r="AB194" i="5" s="1"/>
  <c r="M159" i="14"/>
  <c r="M160" i="14" s="1"/>
  <c r="M161" i="14" s="1"/>
  <c r="N162" i="14" s="1"/>
  <c r="M158" i="14"/>
  <c r="L177" i="14"/>
  <c r="L178" i="14" s="1"/>
  <c r="L179" i="14" s="1"/>
  <c r="L176" i="14"/>
  <c r="AD138" i="6"/>
  <c r="AD139" i="6"/>
  <c r="AD140" i="6" s="1"/>
  <c r="AB211" i="5"/>
  <c r="AB212" i="5"/>
  <c r="AB213" i="5" s="1"/>
  <c r="AC269" i="6"/>
  <c r="AC270" i="6"/>
  <c r="AC271" i="6" s="1"/>
  <c r="AE215" i="6"/>
  <c r="AE216" i="6" s="1"/>
  <c r="AE214" i="6"/>
  <c r="L30" i="18"/>
  <c r="L31" i="18"/>
  <c r="L32" i="18" s="1"/>
  <c r="L33" i="18" s="1"/>
  <c r="L56" i="18"/>
  <c r="M139" i="18"/>
  <c r="N140" i="18" s="1"/>
  <c r="M141" i="18"/>
  <c r="M142" i="18" s="1"/>
  <c r="M48" i="18"/>
  <c r="M50" i="18"/>
  <c r="M51" i="18" s="1"/>
  <c r="L278" i="18"/>
  <c r="M279" i="18" s="1"/>
  <c r="L280" i="18"/>
  <c r="L281" i="18" s="1"/>
  <c r="M81" i="18"/>
  <c r="M82" i="18"/>
  <c r="M83" i="18" s="1"/>
  <c r="M84" i="18" s="1"/>
  <c r="L182" i="18"/>
  <c r="L183" i="18" s="1"/>
  <c r="L184" i="18" s="1"/>
  <c r="M185" i="18" s="1"/>
  <c r="L181" i="18"/>
  <c r="L318" i="18"/>
  <c r="L319" i="18" s="1"/>
  <c r="L316" i="18"/>
  <c r="M317" i="18" s="1"/>
  <c r="L161" i="18"/>
  <c r="L162" i="18" s="1"/>
  <c r="L163" i="18" s="1"/>
  <c r="M394" i="18"/>
  <c r="M396" i="18"/>
  <c r="M397" i="18" s="1"/>
  <c r="M300" i="18"/>
  <c r="M301" i="18" s="1"/>
  <c r="M298" i="18"/>
  <c r="N299" i="18" s="1"/>
  <c r="M629" i="18"/>
  <c r="N630" i="18" s="1"/>
  <c r="M631" i="18"/>
  <c r="M632" i="18" s="1"/>
  <c r="M260" i="18"/>
  <c r="N261" i="18" s="1"/>
  <c r="M262" i="18"/>
  <c r="M263" i="18" s="1"/>
  <c r="L477" i="18"/>
  <c r="L478" i="18" s="1"/>
  <c r="L475" i="18"/>
  <c r="M476" i="18" s="1"/>
  <c r="L207" i="18"/>
  <c r="L208" i="18" s="1"/>
  <c r="L205" i="18"/>
  <c r="M206" i="18" s="1"/>
  <c r="L64" i="18"/>
  <c r="M65" i="18" s="1"/>
  <c r="L67" i="18"/>
  <c r="M68" i="18" s="1"/>
  <c r="A13" i="30"/>
  <c r="A13" i="8"/>
  <c r="BX15" i="30"/>
  <c r="HZ22" i="8"/>
  <c r="IB22" i="8" s="1"/>
  <c r="CJ16" i="30"/>
  <c r="IL22" i="8"/>
  <c r="IL25" i="8"/>
  <c r="T1085" i="18" l="1"/>
  <c r="M648" i="18"/>
  <c r="M649" i="18" s="1"/>
  <c r="M650" i="18" s="1"/>
  <c r="M647" i="18"/>
  <c r="DL17" i="30"/>
  <c r="N946" i="18"/>
  <c r="L655" i="18"/>
  <c r="N594" i="18"/>
  <c r="N595" i="18" s="1"/>
  <c r="HL17" i="8"/>
  <c r="HD18" i="8"/>
  <c r="AY50" i="8"/>
  <c r="AQ51" i="8"/>
  <c r="BK36" i="8"/>
  <c r="BC37" i="8"/>
  <c r="GY21" i="8"/>
  <c r="GQ22" i="8"/>
  <c r="CV26" i="8"/>
  <c r="CN27" i="8"/>
  <c r="EY18" i="8"/>
  <c r="EQ19" i="8"/>
  <c r="EK16" i="8"/>
  <c r="EC17" i="8"/>
  <c r="AA62" i="8"/>
  <c r="S63" i="8"/>
  <c r="DY25" i="8"/>
  <c r="DQ26" i="8"/>
  <c r="GL20" i="8"/>
  <c r="GD21" i="8"/>
  <c r="R775" i="18"/>
  <c r="M120" i="18"/>
  <c r="N121" i="18" s="1"/>
  <c r="N122" i="18" s="1"/>
  <c r="N123" i="18" s="1"/>
  <c r="O124" i="18" s="1"/>
  <c r="EV17" i="8"/>
  <c r="EW17" i="8" s="1"/>
  <c r="ET17" i="8"/>
  <c r="BX15" i="8"/>
  <c r="BP16" i="8"/>
  <c r="FY19" i="8"/>
  <c r="FL19" i="8"/>
  <c r="CJ16" i="8"/>
  <c r="M209" i="18"/>
  <c r="M479" i="18"/>
  <c r="N264" i="18"/>
  <c r="N633" i="18"/>
  <c r="N302" i="18"/>
  <c r="M164" i="18"/>
  <c r="M320" i="18"/>
  <c r="M282" i="18"/>
  <c r="N143" i="18"/>
  <c r="M180" i="14"/>
  <c r="N232" i="14"/>
  <c r="M105" i="14"/>
  <c r="M106" i="14" s="1"/>
  <c r="M107" i="14" s="1"/>
  <c r="AD157" i="6"/>
  <c r="AD158" i="6"/>
  <c r="AD159" i="6" s="1"/>
  <c r="AE119" i="6"/>
  <c r="AE120" i="6"/>
  <c r="AE121" i="6" s="1"/>
  <c r="AE307" i="6"/>
  <c r="AE308" i="6" s="1"/>
  <c r="AE306" i="6"/>
  <c r="AD135" i="5"/>
  <c r="AD136" i="5" s="1"/>
  <c r="AD134" i="5"/>
  <c r="AD70" i="5"/>
  <c r="AD71" i="5"/>
  <c r="AD72" i="5" s="1"/>
  <c r="AE48" i="5"/>
  <c r="AE49" i="5"/>
  <c r="AE50" i="5" s="1"/>
  <c r="AD5" i="5"/>
  <c r="AD6" i="5"/>
  <c r="AD7" i="5" s="1"/>
  <c r="DT18" i="8"/>
  <c r="DV19" i="8" s="1"/>
  <c r="DW19" i="8" s="1"/>
  <c r="AC90" i="5"/>
  <c r="AC91" i="5"/>
  <c r="AC92" i="5" s="1"/>
  <c r="AE138" i="6"/>
  <c r="AE139" i="6"/>
  <c r="AE140" i="6" s="1"/>
  <c r="V61" i="8"/>
  <c r="X61" i="8" s="1"/>
  <c r="Y61" i="8" s="1"/>
  <c r="AC104" i="5"/>
  <c r="AC105" i="5" s="1"/>
  <c r="N246" i="14"/>
  <c r="N247" i="14"/>
  <c r="N248" i="14" s="1"/>
  <c r="N249" i="14" s="1"/>
  <c r="O250" i="14" s="1"/>
  <c r="O87" i="14"/>
  <c r="O88" i="14" s="1"/>
  <c r="O86" i="14"/>
  <c r="AF215" i="6"/>
  <c r="AF216" i="6" s="1"/>
  <c r="AF214" i="6"/>
  <c r="AC253" i="5"/>
  <c r="AC254" i="5"/>
  <c r="AC255" i="5" s="1"/>
  <c r="AC256" i="5" s="1"/>
  <c r="M52" i="14"/>
  <c r="M53" i="14" s="1"/>
  <c r="M54" i="14" s="1"/>
  <c r="N55" i="14" s="1"/>
  <c r="M51" i="14"/>
  <c r="M28" i="14"/>
  <c r="N29" i="14" s="1"/>
  <c r="M30" i="14"/>
  <c r="M176" i="14"/>
  <c r="M177" i="14"/>
  <c r="M178" i="14" s="1"/>
  <c r="M179" i="14" s="1"/>
  <c r="AD6" i="6"/>
  <c r="AD7" i="6" s="1"/>
  <c r="AD5" i="6"/>
  <c r="AC154" i="5"/>
  <c r="AC155" i="5"/>
  <c r="AC156" i="5" s="1"/>
  <c r="AE251" i="6"/>
  <c r="AE252" i="6"/>
  <c r="AE253" i="6" s="1"/>
  <c r="N158" i="14"/>
  <c r="N159" i="14"/>
  <c r="N160" i="14" s="1"/>
  <c r="N161" i="14" s="1"/>
  <c r="O162" i="14" s="1"/>
  <c r="AD270" i="6"/>
  <c r="AD271" i="6" s="1"/>
  <c r="AD269" i="6"/>
  <c r="AE44" i="6"/>
  <c r="AE45" i="6"/>
  <c r="AE46" i="6" s="1"/>
  <c r="N229" i="14"/>
  <c r="N230" i="14" s="1"/>
  <c r="N231" i="14" s="1"/>
  <c r="N228" i="14"/>
  <c r="M9" i="14"/>
  <c r="M10" i="14" s="1"/>
  <c r="M8" i="14"/>
  <c r="AD293" i="5"/>
  <c r="AD294" i="5" s="1"/>
  <c r="AD292" i="5"/>
  <c r="AC212" i="5"/>
  <c r="AC213" i="5" s="1"/>
  <c r="AC211" i="5"/>
  <c r="AC193" i="5"/>
  <c r="AC194" i="5" s="1"/>
  <c r="AC192" i="5"/>
  <c r="AH25" i="5"/>
  <c r="AH26" i="5"/>
  <c r="AH27" i="5" s="1"/>
  <c r="AC234" i="5"/>
  <c r="AC235" i="5" s="1"/>
  <c r="AC233" i="5"/>
  <c r="N260" i="18"/>
  <c r="O261" i="18" s="1"/>
  <c r="N262" i="18"/>
  <c r="N263" i="18" s="1"/>
  <c r="M278" i="18"/>
  <c r="M280" i="18"/>
  <c r="M281" i="18" s="1"/>
  <c r="N629" i="18"/>
  <c r="O630" i="18" s="1"/>
  <c r="N631" i="18"/>
  <c r="N632" i="18" s="1"/>
  <c r="M207" i="18"/>
  <c r="M208" i="18" s="1"/>
  <c r="M205" i="18"/>
  <c r="N206" i="18" s="1"/>
  <c r="M56" i="18"/>
  <c r="N141" i="18"/>
  <c r="N142" i="18" s="1"/>
  <c r="N139" i="18"/>
  <c r="O140" i="18" s="1"/>
  <c r="M161" i="18"/>
  <c r="M162" i="18" s="1"/>
  <c r="M163" i="18" s="1"/>
  <c r="M477" i="18"/>
  <c r="M478" i="18" s="1"/>
  <c r="M475" i="18"/>
  <c r="N476" i="18" s="1"/>
  <c r="N300" i="18"/>
  <c r="N301" i="18" s="1"/>
  <c r="N298" i="18"/>
  <c r="O299" i="18" s="1"/>
  <c r="M318" i="18"/>
  <c r="M319" i="18" s="1"/>
  <c r="M316" i="18"/>
  <c r="N317" i="18" s="1"/>
  <c r="M64" i="18"/>
  <c r="M66" i="18"/>
  <c r="M67" i="18" s="1"/>
  <c r="L72" i="18"/>
  <c r="M182" i="18"/>
  <c r="M183" i="18" s="1"/>
  <c r="M184" i="18" s="1"/>
  <c r="N185" i="18" s="1"/>
  <c r="M181" i="18"/>
  <c r="A14" i="30"/>
  <c r="A14" i="8"/>
  <c r="IL24" i="8"/>
  <c r="BX16" i="30"/>
  <c r="CJ17" i="30"/>
  <c r="IL27" i="8"/>
  <c r="N648" i="18" l="1"/>
  <c r="N649" i="18" s="1"/>
  <c r="N650" i="18" s="1"/>
  <c r="N647" i="18"/>
  <c r="U1085" i="18"/>
  <c r="M655" i="18"/>
  <c r="DL18" i="30"/>
  <c r="O946" i="18"/>
  <c r="O595" i="18"/>
  <c r="O596" i="18" s="1"/>
  <c r="AA63" i="8"/>
  <c r="S64" i="8"/>
  <c r="AQ52" i="8"/>
  <c r="AY51" i="8"/>
  <c r="EK17" i="8"/>
  <c r="EC18" i="8"/>
  <c r="HD19" i="8"/>
  <c r="HL18" i="8"/>
  <c r="EY19" i="8"/>
  <c r="EQ20" i="8"/>
  <c r="CV27" i="8"/>
  <c r="CN28" i="8"/>
  <c r="GL21" i="8"/>
  <c r="GD22" i="8"/>
  <c r="GD23" i="8" s="1"/>
  <c r="GQ23" i="8"/>
  <c r="GY22" i="8"/>
  <c r="DQ27" i="8"/>
  <c r="DY26" i="8"/>
  <c r="BK37" i="8"/>
  <c r="BC38" i="8"/>
  <c r="S775" i="18"/>
  <c r="N120" i="18"/>
  <c r="O121" i="18" s="1"/>
  <c r="O122" i="18" s="1"/>
  <c r="O123" i="18" s="1"/>
  <c r="P124" i="18" s="1"/>
  <c r="EV18" i="8"/>
  <c r="EW18" i="8" s="1"/>
  <c r="ET18" i="8"/>
  <c r="CJ17" i="8"/>
  <c r="FL20" i="8"/>
  <c r="FY20" i="8"/>
  <c r="BX16" i="8"/>
  <c r="BP17" i="8"/>
  <c r="N320" i="18"/>
  <c r="O302" i="18"/>
  <c r="N479" i="18"/>
  <c r="N164" i="18"/>
  <c r="O143" i="18"/>
  <c r="N209" i="18"/>
  <c r="O633" i="18"/>
  <c r="O264" i="18"/>
  <c r="O232" i="14"/>
  <c r="N180" i="14"/>
  <c r="N106" i="14"/>
  <c r="N107" i="14" s="1"/>
  <c r="N104" i="14"/>
  <c r="AF48" i="5"/>
  <c r="AF49" i="5"/>
  <c r="AF50" i="5" s="1"/>
  <c r="AE134" i="5"/>
  <c r="AE135" i="5"/>
  <c r="AE136" i="5" s="1"/>
  <c r="AF307" i="6"/>
  <c r="AF308" i="6" s="1"/>
  <c r="AF306" i="6"/>
  <c r="AE71" i="5"/>
  <c r="AE72" i="5" s="1"/>
  <c r="AE70" i="5"/>
  <c r="AF119" i="6"/>
  <c r="AF120" i="6"/>
  <c r="AF121" i="6" s="1"/>
  <c r="AF139" i="6"/>
  <c r="AF140" i="6" s="1"/>
  <c r="AF138" i="6"/>
  <c r="AD212" i="5"/>
  <c r="AD213" i="5" s="1"/>
  <c r="AD211" i="5"/>
  <c r="AE270" i="6"/>
  <c r="AE271" i="6" s="1"/>
  <c r="AE269" i="6"/>
  <c r="O158" i="14"/>
  <c r="O159" i="14"/>
  <c r="O160" i="14" s="1"/>
  <c r="O161" i="14" s="1"/>
  <c r="P162" i="14" s="1"/>
  <c r="N28" i="14"/>
  <c r="O29" i="14" s="1"/>
  <c r="N30" i="14"/>
  <c r="N52" i="14"/>
  <c r="N53" i="14" s="1"/>
  <c r="N54" i="14" s="1"/>
  <c r="O55" i="14" s="1"/>
  <c r="N51" i="14"/>
  <c r="AE293" i="5"/>
  <c r="AE294" i="5" s="1"/>
  <c r="AE292" i="5"/>
  <c r="O246" i="14"/>
  <c r="O247" i="14"/>
  <c r="O248" i="14" s="1"/>
  <c r="O249" i="14" s="1"/>
  <c r="P250" i="14" s="1"/>
  <c r="AD90" i="5"/>
  <c r="AD91" i="5"/>
  <c r="AD92" i="5" s="1"/>
  <c r="DT19" i="8"/>
  <c r="DV20" i="8" s="1"/>
  <c r="DW20" i="8" s="1"/>
  <c r="AD154" i="5"/>
  <c r="AD155" i="5"/>
  <c r="AD156" i="5" s="1"/>
  <c r="AD104" i="5"/>
  <c r="AD106" i="5" s="1"/>
  <c r="AE6" i="6"/>
  <c r="AE7" i="6" s="1"/>
  <c r="AE5" i="6"/>
  <c r="AG215" i="6"/>
  <c r="AG216" i="6" s="1"/>
  <c r="AG214" i="6"/>
  <c r="V62" i="8"/>
  <c r="X62" i="8" s="1"/>
  <c r="Y62" i="8" s="1"/>
  <c r="AF252" i="6"/>
  <c r="AF253" i="6" s="1"/>
  <c r="AF251" i="6"/>
  <c r="AD234" i="5"/>
  <c r="AD235" i="5" s="1"/>
  <c r="AD233" i="5"/>
  <c r="N9" i="14"/>
  <c r="N10" i="14" s="1"/>
  <c r="N8" i="14"/>
  <c r="O228" i="14"/>
  <c r="O229" i="14"/>
  <c r="O230" i="14" s="1"/>
  <c r="O231" i="14" s="1"/>
  <c r="P87" i="14"/>
  <c r="P88" i="14" s="1"/>
  <c r="P89" i="14" s="1"/>
  <c r="Q90" i="14" s="1"/>
  <c r="P86" i="14"/>
  <c r="N176" i="14"/>
  <c r="N177" i="14"/>
  <c r="N178" i="14" s="1"/>
  <c r="N179" i="14" s="1"/>
  <c r="AE5" i="5"/>
  <c r="AE6" i="5"/>
  <c r="AE7" i="5" s="1"/>
  <c r="AF45" i="6"/>
  <c r="AF46" i="6" s="1"/>
  <c r="AF44" i="6"/>
  <c r="AD193" i="5"/>
  <c r="AD194" i="5" s="1"/>
  <c r="AD192" i="5"/>
  <c r="N207" i="18"/>
  <c r="N208" i="18" s="1"/>
  <c r="N205" i="18"/>
  <c r="O206" i="18" s="1"/>
  <c r="O141" i="18"/>
  <c r="O142" i="18" s="1"/>
  <c r="O139" i="18"/>
  <c r="P140" i="18" s="1"/>
  <c r="O629" i="18"/>
  <c r="P630" i="18" s="1"/>
  <c r="O631" i="18"/>
  <c r="O632" i="18" s="1"/>
  <c r="N318" i="18"/>
  <c r="N319" i="18" s="1"/>
  <c r="N316" i="18"/>
  <c r="O317" i="18" s="1"/>
  <c r="N161" i="18"/>
  <c r="N162" i="18" s="1"/>
  <c r="N163" i="18" s="1"/>
  <c r="M72" i="18"/>
  <c r="O300" i="18"/>
  <c r="O301" i="18" s="1"/>
  <c r="O298" i="18"/>
  <c r="P299" i="18" s="1"/>
  <c r="N181" i="18"/>
  <c r="N182" i="18"/>
  <c r="N183" i="18" s="1"/>
  <c r="N477" i="18"/>
  <c r="N478" i="18" s="1"/>
  <c r="N475" i="18"/>
  <c r="O476" i="18" s="1"/>
  <c r="O262" i="18"/>
  <c r="O263" i="18" s="1"/>
  <c r="O260" i="18"/>
  <c r="P261" i="18" s="1"/>
  <c r="A15" i="30"/>
  <c r="A15" i="8"/>
  <c r="IL29" i="8"/>
  <c r="BX17" i="30"/>
  <c r="BX18" i="30" s="1"/>
  <c r="BX19" i="30" s="1"/>
  <c r="CJ18" i="30"/>
  <c r="IL26" i="8"/>
  <c r="V1085" i="18" l="1"/>
  <c r="P946" i="18"/>
  <c r="GY23" i="8"/>
  <c r="GQ24" i="8"/>
  <c r="AY52" i="8"/>
  <c r="AQ53" i="8"/>
  <c r="GL23" i="8"/>
  <c r="GD24" i="8"/>
  <c r="AA64" i="8"/>
  <c r="S65" i="8"/>
  <c r="CV28" i="8"/>
  <c r="CN29" i="8"/>
  <c r="DY27" i="8"/>
  <c r="DQ28" i="8"/>
  <c r="EY20" i="8"/>
  <c r="EQ21" i="8"/>
  <c r="BC39" i="8"/>
  <c r="BK38" i="8"/>
  <c r="HL19" i="8"/>
  <c r="HD20" i="8"/>
  <c r="EC19" i="8"/>
  <c r="EK18" i="8"/>
  <c r="T775" i="18"/>
  <c r="O120" i="18"/>
  <c r="P121" i="18" s="1"/>
  <c r="P122" i="18" s="1"/>
  <c r="P123" i="18" s="1"/>
  <c r="Q124" i="18" s="1"/>
  <c r="N184" i="18"/>
  <c r="O185" i="18" s="1"/>
  <c r="EV19" i="8"/>
  <c r="EW19" i="8" s="1"/>
  <c r="ET19" i="8"/>
  <c r="BX17" i="8"/>
  <c r="BP18" i="8"/>
  <c r="FY21" i="8"/>
  <c r="FL21" i="8"/>
  <c r="CJ18" i="8"/>
  <c r="P264" i="18"/>
  <c r="O479" i="18"/>
  <c r="P302" i="18"/>
  <c r="O164" i="18"/>
  <c r="O320" i="18"/>
  <c r="P633" i="18"/>
  <c r="P143" i="18"/>
  <c r="O209" i="18"/>
  <c r="O180" i="14"/>
  <c r="P232" i="14"/>
  <c r="O106" i="14"/>
  <c r="O107" i="14" s="1"/>
  <c r="O104" i="14"/>
  <c r="AF135" i="5"/>
  <c r="AF136" i="5" s="1"/>
  <c r="AF134" i="5"/>
  <c r="AG306" i="6"/>
  <c r="AG307" i="6"/>
  <c r="AG308" i="6" s="1"/>
  <c r="AG119" i="6"/>
  <c r="AG120" i="6"/>
  <c r="AG121" i="6" s="1"/>
  <c r="AF71" i="5"/>
  <c r="AF72" i="5" s="1"/>
  <c r="AF70" i="5"/>
  <c r="AG48" i="5"/>
  <c r="AG49" i="5"/>
  <c r="AG50" i="5" s="1"/>
  <c r="O176" i="14"/>
  <c r="O177" i="14"/>
  <c r="O178" i="14" s="1"/>
  <c r="O179" i="14" s="1"/>
  <c r="AE155" i="5"/>
  <c r="AE156" i="5" s="1"/>
  <c r="AE154" i="5"/>
  <c r="Q86" i="14"/>
  <c r="Q87" i="14"/>
  <c r="Q88" i="14" s="1"/>
  <c r="Q89" i="14" s="1"/>
  <c r="R90" i="14" s="1"/>
  <c r="O52" i="14"/>
  <c r="O53" i="14" s="1"/>
  <c r="O54" i="14" s="1"/>
  <c r="P55" i="14" s="1"/>
  <c r="O51" i="14"/>
  <c r="AG139" i="6"/>
  <c r="AG140" i="6" s="1"/>
  <c r="AG138" i="6"/>
  <c r="AE234" i="5"/>
  <c r="AE235" i="5" s="1"/>
  <c r="AE233" i="5"/>
  <c r="V63" i="8"/>
  <c r="X63" i="8" s="1"/>
  <c r="Y63" i="8" s="1"/>
  <c r="AH214" i="6"/>
  <c r="AH215" i="6"/>
  <c r="AH216" i="6" s="1"/>
  <c r="O30" i="14"/>
  <c r="O28" i="14"/>
  <c r="P29" i="14" s="1"/>
  <c r="O9" i="14"/>
  <c r="O10" i="14" s="1"/>
  <c r="O8" i="14"/>
  <c r="AF6" i="6"/>
  <c r="AF7" i="6" s="1"/>
  <c r="AF5" i="6"/>
  <c r="AG45" i="6"/>
  <c r="AG46" i="6" s="1"/>
  <c r="AG44" i="6"/>
  <c r="DT20" i="8"/>
  <c r="DV21" i="8" s="1"/>
  <c r="DW21" i="8" s="1"/>
  <c r="P228" i="14"/>
  <c r="P229" i="14"/>
  <c r="P230" i="14" s="1"/>
  <c r="P231" i="14" s="1"/>
  <c r="AF6" i="5"/>
  <c r="AF7" i="5" s="1"/>
  <c r="AF5" i="5"/>
  <c r="AE90" i="5"/>
  <c r="AE91" i="5"/>
  <c r="AE92" i="5" s="1"/>
  <c r="P158" i="14"/>
  <c r="P159" i="14"/>
  <c r="P160" i="14" s="1"/>
  <c r="P161" i="14" s="1"/>
  <c r="Q162" i="14" s="1"/>
  <c r="AF270" i="6"/>
  <c r="AF271" i="6" s="1"/>
  <c r="AF269" i="6"/>
  <c r="AD105" i="5"/>
  <c r="P246" i="14"/>
  <c r="P247" i="14"/>
  <c r="P248" i="14" s="1"/>
  <c r="P249" i="14" s="1"/>
  <c r="Q250" i="14" s="1"/>
  <c r="AE193" i="5"/>
  <c r="AE194" i="5" s="1"/>
  <c r="AE192" i="5"/>
  <c r="AG252" i="6"/>
  <c r="AG253" i="6" s="1"/>
  <c r="AG251" i="6"/>
  <c r="AF293" i="5"/>
  <c r="AF294" i="5" s="1"/>
  <c r="AF292" i="5"/>
  <c r="AE212" i="5"/>
  <c r="AE213" i="5" s="1"/>
  <c r="AE211" i="5"/>
  <c r="O181" i="18"/>
  <c r="O182" i="18"/>
  <c r="O183" i="18" s="1"/>
  <c r="O184" i="18" s="1"/>
  <c r="O318" i="18"/>
  <c r="O319" i="18" s="1"/>
  <c r="O316" i="18"/>
  <c r="P317" i="18" s="1"/>
  <c r="P629" i="18"/>
  <c r="Q630" i="18" s="1"/>
  <c r="P631" i="18"/>
  <c r="P632" i="18" s="1"/>
  <c r="P141" i="18"/>
  <c r="P142" i="18" s="1"/>
  <c r="P139" i="18"/>
  <c r="Q140" i="18" s="1"/>
  <c r="P298" i="18"/>
  <c r="Q299" i="18" s="1"/>
  <c r="P300" i="18"/>
  <c r="P301" i="18" s="1"/>
  <c r="P262" i="18"/>
  <c r="P263" i="18" s="1"/>
  <c r="P260" i="18"/>
  <c r="Q261" i="18" s="1"/>
  <c r="O161" i="18"/>
  <c r="O162" i="18" s="1"/>
  <c r="O163" i="18" s="1"/>
  <c r="O477" i="18"/>
  <c r="O478" i="18" s="1"/>
  <c r="O475" i="18"/>
  <c r="P476" i="18" s="1"/>
  <c r="O207" i="18"/>
  <c r="O208" i="18" s="1"/>
  <c r="O205" i="18"/>
  <c r="P206" i="18" s="1"/>
  <c r="A16" i="8"/>
  <c r="A16" i="30"/>
  <c r="IL28" i="8"/>
  <c r="CJ19" i="30"/>
  <c r="IL31" i="8"/>
  <c r="W1085" i="18" l="1"/>
  <c r="Q946" i="18"/>
  <c r="AQ54" i="8"/>
  <c r="AY53" i="8"/>
  <c r="BC40" i="8"/>
  <c r="BK39" i="8"/>
  <c r="EY21" i="8"/>
  <c r="EQ22" i="8"/>
  <c r="GY24" i="8"/>
  <c r="GQ25" i="8"/>
  <c r="DY28" i="8"/>
  <c r="DQ29" i="8"/>
  <c r="CV29" i="8"/>
  <c r="CN30" i="8"/>
  <c r="AA65" i="8"/>
  <c r="S66" i="8"/>
  <c r="EK19" i="8"/>
  <c r="EC20" i="8"/>
  <c r="HD21" i="8"/>
  <c r="HL20" i="8"/>
  <c r="GL24" i="8"/>
  <c r="GD25" i="8"/>
  <c r="U775" i="18"/>
  <c r="P120" i="18"/>
  <c r="Q121" i="18" s="1"/>
  <c r="Q122" i="18" s="1"/>
  <c r="Q123" i="18" s="1"/>
  <c r="R124" i="18" s="1"/>
  <c r="EV20" i="8"/>
  <c r="EW20" i="8" s="1"/>
  <c r="ET20" i="8"/>
  <c r="P185" i="18"/>
  <c r="CJ19" i="8"/>
  <c r="FL22" i="8"/>
  <c r="FY22" i="8"/>
  <c r="BX18" i="8"/>
  <c r="BP19" i="8"/>
  <c r="P209" i="18"/>
  <c r="P479" i="18"/>
  <c r="P164" i="18"/>
  <c r="Q264" i="18"/>
  <c r="Q302" i="18"/>
  <c r="Q143" i="18"/>
  <c r="Q633" i="18"/>
  <c r="P320" i="18"/>
  <c r="Q232" i="14"/>
  <c r="P180" i="14"/>
  <c r="P106" i="14"/>
  <c r="P107" i="14" s="1"/>
  <c r="P104" i="14"/>
  <c r="AH48" i="5"/>
  <c r="AH49" i="5"/>
  <c r="AH50" i="5" s="1"/>
  <c r="AG71" i="5"/>
  <c r="AG72" i="5" s="1"/>
  <c r="AG70" i="5"/>
  <c r="AH120" i="6"/>
  <c r="AH121" i="6" s="1"/>
  <c r="AH119" i="6"/>
  <c r="AH307" i="6"/>
  <c r="AH308" i="6" s="1"/>
  <c r="AH306" i="6"/>
  <c r="AG134" i="5"/>
  <c r="AG135" i="5"/>
  <c r="AG136" i="5" s="1"/>
  <c r="Q159" i="14"/>
  <c r="Q160" i="14" s="1"/>
  <c r="Q161" i="14" s="1"/>
  <c r="R162" i="14" s="1"/>
  <c r="Q158" i="14"/>
  <c r="Q246" i="14"/>
  <c r="Q247" i="14"/>
  <c r="Q248" i="14" s="1"/>
  <c r="Q249" i="14" s="1"/>
  <c r="R250" i="14" s="1"/>
  <c r="P9" i="14"/>
  <c r="P10" i="14" s="1"/>
  <c r="P11" i="14" s="1"/>
  <c r="Q12" i="14" s="1"/>
  <c r="P8" i="14"/>
  <c r="V64" i="8"/>
  <c r="X64" i="8" s="1"/>
  <c r="Y64" i="8" s="1"/>
  <c r="AE104" i="5"/>
  <c r="AE105" i="5" s="1"/>
  <c r="AF90" i="5"/>
  <c r="AF91" i="5"/>
  <c r="AF92" i="5" s="1"/>
  <c r="AG6" i="5"/>
  <c r="AG7" i="5" s="1"/>
  <c r="AG5" i="5"/>
  <c r="P30" i="14"/>
  <c r="P28" i="14"/>
  <c r="Q29" i="14" s="1"/>
  <c r="AF212" i="5"/>
  <c r="AF213" i="5" s="1"/>
  <c r="AF214" i="5" s="1"/>
  <c r="AF211" i="5"/>
  <c r="R86" i="14"/>
  <c r="R87" i="14"/>
  <c r="R88" i="14" s="1"/>
  <c r="R89" i="14" s="1"/>
  <c r="AI214" i="6"/>
  <c r="AI215" i="6"/>
  <c r="AI216" i="6" s="1"/>
  <c r="AG270" i="6"/>
  <c r="AG271" i="6" s="1"/>
  <c r="AG269" i="6"/>
  <c r="DT21" i="8"/>
  <c r="DV22" i="8" s="1"/>
  <c r="DW22" i="8" s="1"/>
  <c r="AF234" i="5"/>
  <c r="AF235" i="5" s="1"/>
  <c r="AF233" i="5"/>
  <c r="AH252" i="6"/>
  <c r="AH253" i="6" s="1"/>
  <c r="AH251" i="6"/>
  <c r="AF155" i="5"/>
  <c r="AF156" i="5" s="1"/>
  <c r="AF154" i="5"/>
  <c r="AG293" i="5"/>
  <c r="AG294" i="5" s="1"/>
  <c r="AG292" i="5"/>
  <c r="AH45" i="6"/>
  <c r="AH46" i="6" s="1"/>
  <c r="AH44" i="6"/>
  <c r="AH139" i="6"/>
  <c r="AH140" i="6" s="1"/>
  <c r="AH138" i="6"/>
  <c r="AF193" i="5"/>
  <c r="AF194" i="5" s="1"/>
  <c r="AF192" i="5"/>
  <c r="Q228" i="14"/>
  <c r="Q229" i="14"/>
  <c r="Q230" i="14" s="1"/>
  <c r="Q231" i="14" s="1"/>
  <c r="AG6" i="6"/>
  <c r="AG7" i="6" s="1"/>
  <c r="AG5" i="6"/>
  <c r="P52" i="14"/>
  <c r="P53" i="14" s="1"/>
  <c r="P54" i="14" s="1"/>
  <c r="Q55" i="14" s="1"/>
  <c r="P51" i="14"/>
  <c r="P177" i="14"/>
  <c r="P178" i="14" s="1"/>
  <c r="P179" i="14" s="1"/>
  <c r="P176" i="14"/>
  <c r="P161" i="18"/>
  <c r="P162" i="18" s="1"/>
  <c r="P163" i="18" s="1"/>
  <c r="P318" i="18"/>
  <c r="P319" i="18" s="1"/>
  <c r="P316" i="18"/>
  <c r="Q317" i="18" s="1"/>
  <c r="P477" i="18"/>
  <c r="P478" i="18" s="1"/>
  <c r="P475" i="18"/>
  <c r="Q476" i="18" s="1"/>
  <c r="Q629" i="18"/>
  <c r="R630" i="18" s="1"/>
  <c r="Q631" i="18"/>
  <c r="Q632" i="18" s="1"/>
  <c r="Q262" i="18"/>
  <c r="Q263" i="18" s="1"/>
  <c r="Q260" i="18"/>
  <c r="R261" i="18" s="1"/>
  <c r="P181" i="18"/>
  <c r="P182" i="18"/>
  <c r="P183" i="18" s="1"/>
  <c r="P184" i="18" s="1"/>
  <c r="Q141" i="18"/>
  <c r="Q142" i="18" s="1"/>
  <c r="Q139" i="18"/>
  <c r="R140" i="18" s="1"/>
  <c r="P207" i="18"/>
  <c r="P208" i="18" s="1"/>
  <c r="P205" i="18"/>
  <c r="Q206" i="18" s="1"/>
  <c r="Q298" i="18"/>
  <c r="R299" i="18" s="1"/>
  <c r="Q300" i="18"/>
  <c r="Q301" i="18" s="1"/>
  <c r="A17" i="8"/>
  <c r="A17" i="30"/>
  <c r="IL33" i="8"/>
  <c r="IL30" i="8"/>
  <c r="CJ20" i="30"/>
  <c r="X1085" i="18" l="1"/>
  <c r="R946" i="18"/>
  <c r="EK20" i="8"/>
  <c r="EC21" i="8"/>
  <c r="BK40" i="8"/>
  <c r="BC41" i="8"/>
  <c r="AA66" i="8"/>
  <c r="S67" i="8"/>
  <c r="AY54" i="8"/>
  <c r="AQ55" i="8"/>
  <c r="CN31" i="8"/>
  <c r="CV30" i="8"/>
  <c r="HD22" i="8"/>
  <c r="HL21" i="8"/>
  <c r="DQ30" i="8"/>
  <c r="DY29" i="8"/>
  <c r="GL25" i="8"/>
  <c r="GD26" i="8"/>
  <c r="GY25" i="8"/>
  <c r="GQ26" i="8"/>
  <c r="EY22" i="8"/>
  <c r="EQ23" i="8"/>
  <c r="V775" i="18"/>
  <c r="Q120" i="18"/>
  <c r="R121" i="18" s="1"/>
  <c r="R122" i="18" s="1"/>
  <c r="R123" i="18" s="1"/>
  <c r="S124" i="18" s="1"/>
  <c r="Q185" i="18"/>
  <c r="EV21" i="8"/>
  <c r="EW21" i="8" s="1"/>
  <c r="ET21" i="8"/>
  <c r="AG215" i="5"/>
  <c r="BX19" i="8"/>
  <c r="BP20" i="8"/>
  <c r="FY23" i="8"/>
  <c r="FL23" i="8"/>
  <c r="CJ20" i="8"/>
  <c r="R302" i="18"/>
  <c r="Q209" i="18"/>
  <c r="R143" i="18"/>
  <c r="R264" i="18"/>
  <c r="R633" i="18"/>
  <c r="Q479" i="18"/>
  <c r="Q320" i="18"/>
  <c r="Q164" i="18"/>
  <c r="Q180" i="14"/>
  <c r="R232" i="14"/>
  <c r="Q106" i="14"/>
  <c r="Q107" i="14" s="1"/>
  <c r="Q104" i="14"/>
  <c r="AH135" i="5"/>
  <c r="AH136" i="5" s="1"/>
  <c r="AH134" i="5"/>
  <c r="AI307" i="6"/>
  <c r="AI308" i="6" s="1"/>
  <c r="AI306" i="6"/>
  <c r="AI120" i="6"/>
  <c r="AI121" i="6" s="1"/>
  <c r="AI119" i="6"/>
  <c r="AH70" i="5"/>
  <c r="AH71" i="5"/>
  <c r="AH72" i="5" s="1"/>
  <c r="AI139" i="6"/>
  <c r="AI140" i="6" s="1"/>
  <c r="AI138" i="6"/>
  <c r="AG234" i="5"/>
  <c r="AG235" i="5" s="1"/>
  <c r="AG233" i="5"/>
  <c r="AF104" i="5"/>
  <c r="AF105" i="5" s="1"/>
  <c r="AG104" i="5" s="1"/>
  <c r="AH6" i="6"/>
  <c r="AH7" i="6" s="1"/>
  <c r="AH5" i="6"/>
  <c r="AI45" i="6"/>
  <c r="AI46" i="6" s="1"/>
  <c r="AI44" i="6"/>
  <c r="DT22" i="8"/>
  <c r="DV23" i="8" s="1"/>
  <c r="DW23" i="8" s="1"/>
  <c r="AG212" i="5"/>
  <c r="AG213" i="5" s="1"/>
  <c r="AG214" i="5" s="1"/>
  <c r="AG211" i="5"/>
  <c r="AH270" i="6"/>
  <c r="AH271" i="6" s="1"/>
  <c r="AH269" i="6"/>
  <c r="V65" i="8"/>
  <c r="X65" i="8" s="1"/>
  <c r="Y65" i="8" s="1"/>
  <c r="R229" i="14"/>
  <c r="R230" i="14" s="1"/>
  <c r="R231" i="14" s="1"/>
  <c r="R228" i="14"/>
  <c r="Q30" i="14"/>
  <c r="Q31" i="14" s="1"/>
  <c r="Q28" i="14"/>
  <c r="R29" i="14" s="1"/>
  <c r="Q9" i="14"/>
  <c r="Q10" i="14" s="1"/>
  <c r="Q11" i="14" s="1"/>
  <c r="R12" i="14" s="1"/>
  <c r="Q8" i="14"/>
  <c r="Q177" i="14"/>
  <c r="Q178" i="14" s="1"/>
  <c r="Q179" i="14" s="1"/>
  <c r="Q176" i="14"/>
  <c r="AG193" i="5"/>
  <c r="AG194" i="5" s="1"/>
  <c r="AG192" i="5"/>
  <c r="AG155" i="5"/>
  <c r="AG156" i="5" s="1"/>
  <c r="AG154" i="5"/>
  <c r="AH6" i="5"/>
  <c r="AH7" i="5" s="1"/>
  <c r="AH5" i="5"/>
  <c r="R246" i="14"/>
  <c r="R247" i="14"/>
  <c r="R248" i="14" s="1"/>
  <c r="R249" i="14" s="1"/>
  <c r="S250" i="14" s="1"/>
  <c r="Q52" i="14"/>
  <c r="Q53" i="14" s="1"/>
  <c r="Q54" i="14" s="1"/>
  <c r="R55" i="14" s="1"/>
  <c r="Q51" i="14"/>
  <c r="AI252" i="6"/>
  <c r="AI253" i="6" s="1"/>
  <c r="AI251" i="6"/>
  <c r="R159" i="14"/>
  <c r="R160" i="14" s="1"/>
  <c r="R161" i="14" s="1"/>
  <c r="R158" i="14"/>
  <c r="AH293" i="5"/>
  <c r="AH294" i="5" s="1"/>
  <c r="AH292" i="5"/>
  <c r="AG90" i="5"/>
  <c r="AG91" i="5"/>
  <c r="AG102" i="5" s="1"/>
  <c r="R629" i="18"/>
  <c r="S630" i="18" s="1"/>
  <c r="R631" i="18"/>
  <c r="R632" i="18" s="1"/>
  <c r="R141" i="18"/>
  <c r="R142" i="18" s="1"/>
  <c r="R139" i="18"/>
  <c r="Q477" i="18"/>
  <c r="Q478" i="18" s="1"/>
  <c r="Q475" i="18"/>
  <c r="R476" i="18" s="1"/>
  <c r="Q207" i="18"/>
  <c r="Q208" i="18" s="1"/>
  <c r="Q205" i="18"/>
  <c r="R206" i="18" s="1"/>
  <c r="R262" i="18"/>
  <c r="R263" i="18" s="1"/>
  <c r="R260" i="18"/>
  <c r="S261" i="18" s="1"/>
  <c r="Q316" i="18"/>
  <c r="R317" i="18" s="1"/>
  <c r="Q318" i="18"/>
  <c r="Q319" i="18" s="1"/>
  <c r="Q161" i="18"/>
  <c r="Q162" i="18" s="1"/>
  <c r="Q163" i="18" s="1"/>
  <c r="Q182" i="18"/>
  <c r="Q183" i="18" s="1"/>
  <c r="Q184" i="18" s="1"/>
  <c r="Q181" i="18"/>
  <c r="R298" i="18"/>
  <c r="S299" i="18" s="1"/>
  <c r="R300" i="18"/>
  <c r="R301" i="18" s="1"/>
  <c r="A18" i="30"/>
  <c r="A18" i="8"/>
  <c r="IL35" i="8"/>
  <c r="CJ21" i="30"/>
  <c r="IL32" i="8"/>
  <c r="Y1085" i="18" l="1"/>
  <c r="S139" i="18"/>
  <c r="T140" i="18" s="1"/>
  <c r="S140" i="18"/>
  <c r="S141" i="18" s="1"/>
  <c r="S142" i="18" s="1"/>
  <c r="S143" i="18"/>
  <c r="GL26" i="8"/>
  <c r="GD27" i="8"/>
  <c r="BK41" i="8"/>
  <c r="BC42" i="8"/>
  <c r="EK21" i="8"/>
  <c r="EC22" i="8"/>
  <c r="EK22" i="8" s="1"/>
  <c r="DY30" i="8"/>
  <c r="DQ31" i="8"/>
  <c r="HL22" i="8"/>
  <c r="HD23" i="8"/>
  <c r="CN32" i="8"/>
  <c r="CV31" i="8"/>
  <c r="EY23" i="8"/>
  <c r="EQ24" i="8"/>
  <c r="AY55" i="8"/>
  <c r="AQ56" i="8"/>
  <c r="GY26" i="8"/>
  <c r="GQ27" i="8"/>
  <c r="AA67" i="8"/>
  <c r="S68" i="8"/>
  <c r="W775" i="18"/>
  <c r="R120" i="18"/>
  <c r="S121" i="18" s="1"/>
  <c r="S122" i="18" s="1"/>
  <c r="S123" i="18" s="1"/>
  <c r="T124" i="18" s="1"/>
  <c r="R185" i="18"/>
  <c r="EV22" i="8"/>
  <c r="EW22" i="8" s="1"/>
  <c r="ET22" i="8"/>
  <c r="AH215" i="5"/>
  <c r="CJ21" i="8"/>
  <c r="FL24" i="8"/>
  <c r="FY24" i="8"/>
  <c r="BX20" i="8"/>
  <c r="BP21" i="8"/>
  <c r="S302" i="18"/>
  <c r="R164" i="18"/>
  <c r="R320" i="18"/>
  <c r="S264" i="18"/>
  <c r="R209" i="18"/>
  <c r="R479" i="18"/>
  <c r="S633" i="18"/>
  <c r="R180" i="14"/>
  <c r="R32" i="14"/>
  <c r="R104" i="14"/>
  <c r="M101" i="14" s="1"/>
  <c r="R106" i="14"/>
  <c r="R107" i="14" s="1"/>
  <c r="AJ306" i="6"/>
  <c r="AJ307" i="6"/>
  <c r="AJ308" i="6" s="1"/>
  <c r="AG92" i="5"/>
  <c r="AI270" i="6"/>
  <c r="AI271" i="6" s="1"/>
  <c r="AI269" i="6"/>
  <c r="AI6" i="6"/>
  <c r="AI7" i="6" s="1"/>
  <c r="AI5" i="6"/>
  <c r="S247" i="14"/>
  <c r="S248" i="14" s="1"/>
  <c r="S249" i="14" s="1"/>
  <c r="T250" i="14" s="1"/>
  <c r="S246" i="14"/>
  <c r="R9" i="14"/>
  <c r="R10" i="14" s="1"/>
  <c r="R11" i="14" s="1"/>
  <c r="R8" i="14"/>
  <c r="AH155" i="5"/>
  <c r="AH156" i="5" s="1"/>
  <c r="AH154" i="5"/>
  <c r="R30" i="14"/>
  <c r="R31" i="14" s="1"/>
  <c r="R28" i="14"/>
  <c r="AH193" i="5"/>
  <c r="AH194" i="5" s="1"/>
  <c r="AH195" i="5" s="1"/>
  <c r="AH192" i="5"/>
  <c r="AH212" i="5"/>
  <c r="AH213" i="5" s="1"/>
  <c r="AH214" i="5" s="1"/>
  <c r="AH211" i="5"/>
  <c r="AH91" i="5"/>
  <c r="AH92" i="5" s="1"/>
  <c r="AH90" i="5"/>
  <c r="R177" i="14"/>
  <c r="R178" i="14" s="1"/>
  <c r="R179" i="14" s="1"/>
  <c r="R176" i="14"/>
  <c r="DT23" i="8"/>
  <c r="DV24" i="8" s="1"/>
  <c r="DW24" i="8" s="1"/>
  <c r="AH234" i="5"/>
  <c r="AH235" i="5" s="1"/>
  <c r="AH236" i="5" s="1"/>
  <c r="AH233" i="5"/>
  <c r="V66" i="8"/>
  <c r="X66" i="8" s="1"/>
  <c r="Y66" i="8" s="1"/>
  <c r="R52" i="14"/>
  <c r="R53" i="14" s="1"/>
  <c r="R54" i="14" s="1"/>
  <c r="R51" i="14"/>
  <c r="R207" i="18"/>
  <c r="R208" i="18" s="1"/>
  <c r="R205" i="18"/>
  <c r="S206" i="18" s="1"/>
  <c r="R477" i="18"/>
  <c r="R478" i="18" s="1"/>
  <c r="R475" i="18"/>
  <c r="R161" i="18"/>
  <c r="R162" i="18" s="1"/>
  <c r="R163" i="18" s="1"/>
  <c r="S298" i="18"/>
  <c r="T299" i="18" s="1"/>
  <c r="S300" i="18"/>
  <c r="S301" i="18" s="1"/>
  <c r="R316" i="18"/>
  <c r="R318" i="18"/>
  <c r="R319" i="18" s="1"/>
  <c r="R182" i="18"/>
  <c r="R183" i="18" s="1"/>
  <c r="R184" i="18" s="1"/>
  <c r="R181" i="18"/>
  <c r="S262" i="18"/>
  <c r="S263" i="18" s="1"/>
  <c r="S260" i="18"/>
  <c r="T261" i="18" s="1"/>
  <c r="S631" i="18"/>
  <c r="S632" i="18" s="1"/>
  <c r="S629" i="18"/>
  <c r="T630" i="18" s="1"/>
  <c r="A19" i="8"/>
  <c r="A19" i="30"/>
  <c r="IL37" i="8"/>
  <c r="CJ22" i="30"/>
  <c r="IL34" i="8"/>
  <c r="Z1085" i="18" l="1"/>
  <c r="CV32" i="8"/>
  <c r="HL23" i="8"/>
  <c r="HD24" i="8"/>
  <c r="DQ32" i="8"/>
  <c r="DY31" i="8"/>
  <c r="GY27" i="8"/>
  <c r="GQ28" i="8"/>
  <c r="S69" i="8"/>
  <c r="AA68" i="8"/>
  <c r="AQ57" i="8"/>
  <c r="AY56" i="8"/>
  <c r="BC43" i="8"/>
  <c r="BK42" i="8"/>
  <c r="EY24" i="8"/>
  <c r="EQ25" i="8"/>
  <c r="GL27" i="8"/>
  <c r="GD28" i="8"/>
  <c r="X775" i="18"/>
  <c r="S120" i="18"/>
  <c r="T121" i="18" s="1"/>
  <c r="T122" i="18" s="1"/>
  <c r="T123" i="18" s="1"/>
  <c r="U124" i="18" s="1"/>
  <c r="EV23" i="8"/>
  <c r="EW23" i="8" s="1"/>
  <c r="ET23" i="8"/>
  <c r="BX21" i="8"/>
  <c r="BP22" i="8"/>
  <c r="FY25" i="8"/>
  <c r="FL25" i="8"/>
  <c r="CJ22" i="8"/>
  <c r="T633" i="18"/>
  <c r="T264" i="18"/>
  <c r="T143" i="18"/>
  <c r="T302" i="18"/>
  <c r="S209" i="18"/>
  <c r="AK307" i="6"/>
  <c r="AK308" i="6" s="1"/>
  <c r="AK306" i="6"/>
  <c r="DT24" i="8"/>
  <c r="DV25" i="8" s="1"/>
  <c r="DW25" i="8" s="1"/>
  <c r="T247" i="14"/>
  <c r="T248" i="14" s="1"/>
  <c r="T249" i="14" s="1"/>
  <c r="U250" i="14" s="1"/>
  <c r="T246" i="14"/>
  <c r="V67" i="8"/>
  <c r="X67" i="8" s="1"/>
  <c r="Y67" i="8" s="1"/>
  <c r="T139" i="18"/>
  <c r="U140" i="18" s="1"/>
  <c r="T141" i="18"/>
  <c r="T142" i="18" s="1"/>
  <c r="T298" i="18"/>
  <c r="U299" i="18" s="1"/>
  <c r="T300" i="18"/>
  <c r="T301" i="18" s="1"/>
  <c r="T631" i="18"/>
  <c r="T632" i="18" s="1"/>
  <c r="T629" i="18"/>
  <c r="U630" i="18" s="1"/>
  <c r="T262" i="18"/>
  <c r="T263" i="18" s="1"/>
  <c r="T260" i="18"/>
  <c r="U261" i="18" s="1"/>
  <c r="S207" i="18"/>
  <c r="S208" i="18" s="1"/>
  <c r="S205" i="18"/>
  <c r="T206" i="18" s="1"/>
  <c r="A20" i="8"/>
  <c r="A20" i="30"/>
  <c r="CJ23" i="30"/>
  <c r="IL36" i="8"/>
  <c r="IL39" i="8"/>
  <c r="AA1085" i="18" l="1"/>
  <c r="T120" i="18"/>
  <c r="U121" i="18" s="1"/>
  <c r="U122" i="18" s="1"/>
  <c r="U123" i="18" s="1"/>
  <c r="V124" i="18" s="1"/>
  <c r="EY25" i="8"/>
  <c r="BK43" i="8"/>
  <c r="BC44" i="8"/>
  <c r="GY28" i="8"/>
  <c r="GQ29" i="8"/>
  <c r="DQ33" i="8"/>
  <c r="DY32" i="8"/>
  <c r="HD25" i="8"/>
  <c r="HL24" i="8"/>
  <c r="AA69" i="8"/>
  <c r="S70" i="8"/>
  <c r="GL28" i="8"/>
  <c r="GD29" i="8"/>
  <c r="AQ58" i="8"/>
  <c r="AY57" i="8"/>
  <c r="Y775" i="18"/>
  <c r="EV24" i="8"/>
  <c r="EW24" i="8" s="1"/>
  <c r="ET24" i="8"/>
  <c r="CJ23" i="8"/>
  <c r="FL26" i="8"/>
  <c r="FY26" i="8"/>
  <c r="BX22" i="8"/>
  <c r="BP23" i="8"/>
  <c r="T209" i="18"/>
  <c r="U264" i="18"/>
  <c r="U633" i="18"/>
  <c r="U302" i="18"/>
  <c r="U143" i="18"/>
  <c r="AL307" i="6"/>
  <c r="AL308" i="6" s="1"/>
  <c r="AL306" i="6"/>
  <c r="U247" i="14"/>
  <c r="U248" i="14" s="1"/>
  <c r="U249" i="14" s="1"/>
  <c r="U246" i="14"/>
  <c r="DT25" i="8"/>
  <c r="DV26" i="8" s="1"/>
  <c r="DW26" i="8" s="1"/>
  <c r="V68" i="8"/>
  <c r="X68" i="8" s="1"/>
  <c r="Y68" i="8" s="1"/>
  <c r="U298" i="18"/>
  <c r="V299" i="18" s="1"/>
  <c r="U300" i="18"/>
  <c r="U301" i="18" s="1"/>
  <c r="U260" i="18"/>
  <c r="V261" i="18" s="1"/>
  <c r="U262" i="18"/>
  <c r="U263" i="18" s="1"/>
  <c r="U631" i="18"/>
  <c r="U632" i="18" s="1"/>
  <c r="U629" i="18"/>
  <c r="V630" i="18" s="1"/>
  <c r="T207" i="18"/>
  <c r="T208" i="18" s="1"/>
  <c r="T205" i="18"/>
  <c r="U206" i="18" s="1"/>
  <c r="U139" i="18"/>
  <c r="V140" i="18" s="1"/>
  <c r="U141" i="18"/>
  <c r="U142" i="18" s="1"/>
  <c r="A21" i="30"/>
  <c r="A21" i="8"/>
  <c r="IL38" i="8"/>
  <c r="BX23" i="30"/>
  <c r="CJ24" i="30"/>
  <c r="IL41" i="8"/>
  <c r="AB1085" i="18" l="1"/>
  <c r="U120" i="18"/>
  <c r="V121" i="18" s="1"/>
  <c r="V122" i="18" s="1"/>
  <c r="V123" i="18" s="1"/>
  <c r="W124" i="18" s="1"/>
  <c r="AA70" i="8"/>
  <c r="HD26" i="8"/>
  <c r="HL25" i="8"/>
  <c r="DQ34" i="8"/>
  <c r="DY33" i="8"/>
  <c r="GQ30" i="8"/>
  <c r="GY29" i="8"/>
  <c r="GL29" i="8"/>
  <c r="GD30" i="8"/>
  <c r="BC45" i="8"/>
  <c r="BK44" i="8"/>
  <c r="AY58" i="8"/>
  <c r="AQ59" i="8"/>
  <c r="Z775" i="18"/>
  <c r="EV25" i="8"/>
  <c r="EW25" i="8" s="1"/>
  <c r="ET25" i="8"/>
  <c r="BX23" i="8"/>
  <c r="BP24" i="8"/>
  <c r="FY27" i="8"/>
  <c r="FL27" i="8"/>
  <c r="CJ24" i="8"/>
  <c r="V143" i="18"/>
  <c r="U209" i="18"/>
  <c r="V633" i="18"/>
  <c r="V264" i="18"/>
  <c r="V302" i="18"/>
  <c r="AM306" i="6"/>
  <c r="AM307" i="6"/>
  <c r="AM308" i="6" s="1"/>
  <c r="AM309" i="6" s="1"/>
  <c r="V69" i="8"/>
  <c r="X69" i="8" s="1"/>
  <c r="Y69" i="8" s="1"/>
  <c r="DT26" i="8"/>
  <c r="DV27" i="8" s="1"/>
  <c r="DW27" i="8" s="1"/>
  <c r="U205" i="18"/>
  <c r="V206" i="18" s="1"/>
  <c r="U207" i="18"/>
  <c r="U208" i="18" s="1"/>
  <c r="V300" i="18"/>
  <c r="V301" i="18" s="1"/>
  <c r="V298" i="18"/>
  <c r="W299" i="18" s="1"/>
  <c r="V631" i="18"/>
  <c r="V632" i="18" s="1"/>
  <c r="V629" i="18"/>
  <c r="W630" i="18" s="1"/>
  <c r="V260" i="18"/>
  <c r="W261" i="18" s="1"/>
  <c r="V262" i="18"/>
  <c r="V263" i="18" s="1"/>
  <c r="V139" i="18"/>
  <c r="W140" i="18" s="1"/>
  <c r="V141" i="18"/>
  <c r="V142" i="18" s="1"/>
  <c r="A22" i="30"/>
  <c r="A22" i="8"/>
  <c r="IL43" i="8"/>
  <c r="CJ25" i="30"/>
  <c r="IL40" i="8"/>
  <c r="AC1085" i="18" l="1"/>
  <c r="V120" i="18"/>
  <c r="W121" i="18" s="1"/>
  <c r="W122" i="18" s="1"/>
  <c r="W123" i="18" s="1"/>
  <c r="X124" i="18" s="1"/>
  <c r="GD31" i="8"/>
  <c r="GL30" i="8"/>
  <c r="GY30" i="8"/>
  <c r="GQ31" i="8"/>
  <c r="AY59" i="8"/>
  <c r="AQ60" i="8"/>
  <c r="BC46" i="8"/>
  <c r="BK45" i="8"/>
  <c r="DQ35" i="8"/>
  <c r="DY34" i="8"/>
  <c r="HL26" i="8"/>
  <c r="HD27" i="8"/>
  <c r="AA775" i="18"/>
  <c r="AN310" i="6"/>
  <c r="CJ25" i="8"/>
  <c r="FL28" i="8"/>
  <c r="FY28" i="8"/>
  <c r="BX24" i="8"/>
  <c r="BP25" i="8"/>
  <c r="W143" i="18"/>
  <c r="W264" i="18"/>
  <c r="W633" i="18"/>
  <c r="W302" i="18"/>
  <c r="V209" i="18"/>
  <c r="AN307" i="6"/>
  <c r="AN308" i="6" s="1"/>
  <c r="AN309" i="6" s="1"/>
  <c r="AN306" i="6"/>
  <c r="DT27" i="8"/>
  <c r="DV28" i="8" s="1"/>
  <c r="DW28" i="8" s="1"/>
  <c r="V70" i="8"/>
  <c r="X70" i="8" s="1"/>
  <c r="Y70" i="8" s="1"/>
  <c r="W260" i="18"/>
  <c r="X261" i="18" s="1"/>
  <c r="W262" i="18"/>
  <c r="W263" i="18" s="1"/>
  <c r="W631" i="18"/>
  <c r="W632" i="18" s="1"/>
  <c r="W629" i="18"/>
  <c r="X630" i="18" s="1"/>
  <c r="W300" i="18"/>
  <c r="W301" i="18" s="1"/>
  <c r="W298" i="18"/>
  <c r="X299" i="18" s="1"/>
  <c r="V207" i="18"/>
  <c r="V208" i="18" s="1"/>
  <c r="V205" i="18"/>
  <c r="W206" i="18" s="1"/>
  <c r="W139" i="18"/>
  <c r="X140" i="18" s="1"/>
  <c r="W141" i="18"/>
  <c r="W142" i="18" s="1"/>
  <c r="IL42" i="8"/>
  <c r="AD1085" i="18" l="1"/>
  <c r="W120" i="18"/>
  <c r="X121" i="18" s="1"/>
  <c r="X122" i="18" s="1"/>
  <c r="X123" i="18" s="1"/>
  <c r="Y124" i="18" s="1"/>
  <c r="HD28" i="8"/>
  <c r="HL27" i="8"/>
  <c r="AQ61" i="8"/>
  <c r="AY60" i="8"/>
  <c r="GY31" i="8"/>
  <c r="GQ32" i="8"/>
  <c r="DY35" i="8"/>
  <c r="DQ36" i="8"/>
  <c r="BK46" i="8"/>
  <c r="BC47" i="8"/>
  <c r="GL31" i="8"/>
  <c r="GD32" i="8"/>
  <c r="AB775" i="18"/>
  <c r="AO310" i="6"/>
  <c r="BX25" i="8"/>
  <c r="BP26" i="8"/>
  <c r="FY29" i="8"/>
  <c r="FL29" i="8"/>
  <c r="CJ26" i="8"/>
  <c r="X143" i="18"/>
  <c r="W209" i="18"/>
  <c r="X302" i="18"/>
  <c r="X633" i="18"/>
  <c r="X264" i="18"/>
  <c r="AO306" i="6"/>
  <c r="AO307" i="6"/>
  <c r="AO308" i="6" s="1"/>
  <c r="AO309" i="6" s="1"/>
  <c r="V71" i="8"/>
  <c r="X71" i="8" s="1"/>
  <c r="Y71" i="8" s="1"/>
  <c r="DT28" i="8"/>
  <c r="DV29" i="8" s="1"/>
  <c r="DW29" i="8" s="1"/>
  <c r="X300" i="18"/>
  <c r="X301" i="18" s="1"/>
  <c r="X298" i="18"/>
  <c r="Y299" i="18" s="1"/>
  <c r="X631" i="18"/>
  <c r="X632" i="18" s="1"/>
  <c r="X629" i="18"/>
  <c r="Y630" i="18" s="1"/>
  <c r="X139" i="18"/>
  <c r="Y140" i="18" s="1"/>
  <c r="X141" i="18"/>
  <c r="X142" i="18" s="1"/>
  <c r="W207" i="18"/>
  <c r="W208" i="18" s="1"/>
  <c r="W205" i="18"/>
  <c r="X206" i="18" s="1"/>
  <c r="X260" i="18"/>
  <c r="Y261" i="18" s="1"/>
  <c r="X262" i="18"/>
  <c r="X263" i="18" s="1"/>
  <c r="B8" i="6"/>
  <c r="AE1085" i="18" l="1"/>
  <c r="X120" i="18"/>
  <c r="Y121" i="18" s="1"/>
  <c r="Y122" i="18" s="1"/>
  <c r="Y123" i="18" s="1"/>
  <c r="Z124" i="18" s="1"/>
  <c r="GQ33" i="8"/>
  <c r="GY32" i="8"/>
  <c r="DY36" i="8"/>
  <c r="DQ37" i="8"/>
  <c r="BK47" i="8"/>
  <c r="BC48" i="8"/>
  <c r="AY61" i="8"/>
  <c r="AQ62" i="8"/>
  <c r="GD33" i="8"/>
  <c r="GL32" i="8"/>
  <c r="HD29" i="8"/>
  <c r="HL28" i="8"/>
  <c r="AC775" i="18"/>
  <c r="AP310" i="6"/>
  <c r="CJ27" i="8"/>
  <c r="FL30" i="8"/>
  <c r="FY30" i="8"/>
  <c r="BX26" i="8"/>
  <c r="BP27" i="8"/>
  <c r="Y264" i="18"/>
  <c r="X209" i="18"/>
  <c r="Y143" i="18"/>
  <c r="Y633" i="18"/>
  <c r="Y302" i="18"/>
  <c r="AP306" i="6"/>
  <c r="AP307" i="6"/>
  <c r="AP308" i="6" s="1"/>
  <c r="AP309" i="6" s="1"/>
  <c r="DT29" i="8"/>
  <c r="DV30" i="8" s="1"/>
  <c r="DW30" i="8" s="1"/>
  <c r="Y260" i="18"/>
  <c r="Z261" i="18" s="1"/>
  <c r="Y262" i="18"/>
  <c r="Y263" i="18" s="1"/>
  <c r="X207" i="18"/>
  <c r="X208" i="18" s="1"/>
  <c r="X205" i="18"/>
  <c r="Y206" i="18" s="1"/>
  <c r="Y139" i="18"/>
  <c r="Z140" i="18" s="1"/>
  <c r="Y141" i="18"/>
  <c r="Y142" i="18" s="1"/>
  <c r="Y629" i="18"/>
  <c r="Z630" i="18" s="1"/>
  <c r="Y631" i="18"/>
  <c r="Y632" i="18" s="1"/>
  <c r="Y300" i="18"/>
  <c r="Y301" i="18" s="1"/>
  <c r="Y298" i="18"/>
  <c r="Z299" i="18" s="1"/>
  <c r="CH28" i="30"/>
  <c r="CI28" i="30" s="1"/>
  <c r="Y120" i="18" l="1"/>
  <c r="Z121" i="18" s="1"/>
  <c r="AF1085" i="18"/>
  <c r="AQ63" i="8"/>
  <c r="AY62" i="8"/>
  <c r="HD30" i="8"/>
  <c r="HL29" i="8"/>
  <c r="BC49" i="8"/>
  <c r="BK48" i="8"/>
  <c r="DQ38" i="8"/>
  <c r="DY37" i="8"/>
  <c r="GL33" i="8"/>
  <c r="GD34" i="8"/>
  <c r="GY33" i="8"/>
  <c r="GQ34" i="8"/>
  <c r="AD775" i="18"/>
  <c r="AQ310" i="6"/>
  <c r="BX27" i="8"/>
  <c r="BP28" i="8"/>
  <c r="FY31" i="8"/>
  <c r="FL31" i="8"/>
  <c r="CJ28" i="8"/>
  <c r="Z302" i="18"/>
  <c r="Z633" i="18"/>
  <c r="Z143" i="18"/>
  <c r="Y209" i="18"/>
  <c r="Z264" i="18"/>
  <c r="AQ307" i="6"/>
  <c r="AQ308" i="6" s="1"/>
  <c r="AQ309" i="6" s="1"/>
  <c r="AQ306" i="6"/>
  <c r="DT30" i="8"/>
  <c r="DV31" i="8" s="1"/>
  <c r="DW31" i="8" s="1"/>
  <c r="Z300" i="18"/>
  <c r="Z301" i="18" s="1"/>
  <c r="Z298" i="18"/>
  <c r="AA299" i="18" s="1"/>
  <c r="Z260" i="18"/>
  <c r="AA261" i="18" s="1"/>
  <c r="Z262" i="18"/>
  <c r="Z263" i="18" s="1"/>
  <c r="Z629" i="18"/>
  <c r="AA630" i="18" s="1"/>
  <c r="Z631" i="18"/>
  <c r="Z632" i="18" s="1"/>
  <c r="Z120" i="18"/>
  <c r="AA121" i="18" s="1"/>
  <c r="Z122" i="18"/>
  <c r="Z123" i="18" s="1"/>
  <c r="AA124" i="18" s="1"/>
  <c r="Z141" i="18"/>
  <c r="Z142" i="18" s="1"/>
  <c r="Z139" i="18"/>
  <c r="AA140" i="18" s="1"/>
  <c r="Y207" i="18"/>
  <c r="Y208" i="18" s="1"/>
  <c r="Y205" i="18"/>
  <c r="Z206" i="18" s="1"/>
  <c r="AG1085" i="18" l="1"/>
  <c r="GY34" i="8"/>
  <c r="GQ35" i="8"/>
  <c r="GL34" i="8"/>
  <c r="GD35" i="8"/>
  <c r="DY38" i="8"/>
  <c r="DQ39" i="8"/>
  <c r="BK49" i="8"/>
  <c r="BC50" i="8"/>
  <c r="HL30" i="8"/>
  <c r="HD31" i="8"/>
  <c r="AY63" i="8"/>
  <c r="AE775" i="18"/>
  <c r="AR310" i="6"/>
  <c r="CJ29" i="8"/>
  <c r="FL32" i="8"/>
  <c r="FY32" i="8"/>
  <c r="BX28" i="8"/>
  <c r="BP29" i="8"/>
  <c r="Z209" i="18"/>
  <c r="AA143" i="18"/>
  <c r="AA633" i="18"/>
  <c r="AA264" i="18"/>
  <c r="AA302" i="18"/>
  <c r="AR306" i="6"/>
  <c r="AR307" i="6"/>
  <c r="AR308" i="6" s="1"/>
  <c r="AR309" i="6" s="1"/>
  <c r="DT31" i="8"/>
  <c r="DV32" i="8" s="1"/>
  <c r="DW32" i="8" s="1"/>
  <c r="AA141" i="18"/>
  <c r="AA142" i="18" s="1"/>
  <c r="AA139" i="18"/>
  <c r="AB140" i="18" s="1"/>
  <c r="AA120" i="18"/>
  <c r="AB121" i="18" s="1"/>
  <c r="AA122" i="18"/>
  <c r="AA123" i="18" s="1"/>
  <c r="AB124" i="18" s="1"/>
  <c r="AA629" i="18"/>
  <c r="AB630" i="18" s="1"/>
  <c r="AA631" i="18"/>
  <c r="AA632" i="18" s="1"/>
  <c r="AA262" i="18"/>
  <c r="AA263" i="18" s="1"/>
  <c r="AA260" i="18"/>
  <c r="AB261" i="18" s="1"/>
  <c r="Z207" i="18"/>
  <c r="Z208" i="18" s="1"/>
  <c r="Z205" i="18"/>
  <c r="AA206" i="18" s="1"/>
  <c r="AA300" i="18"/>
  <c r="AA301" i="18" s="1"/>
  <c r="AA298" i="18"/>
  <c r="AB299" i="18" s="1"/>
  <c r="H146" i="2"/>
  <c r="H130" i="2"/>
  <c r="H164" i="2"/>
  <c r="H102" i="2"/>
  <c r="H139" i="2"/>
  <c r="H237" i="2"/>
  <c r="H79" i="2"/>
  <c r="H118" i="2"/>
  <c r="H73" i="2"/>
  <c r="H101" i="2"/>
  <c r="H64" i="2"/>
  <c r="H66" i="2"/>
  <c r="H40" i="2"/>
  <c r="H98" i="2"/>
  <c r="H44" i="2"/>
  <c r="H251" i="2"/>
  <c r="H243" i="2"/>
  <c r="H168" i="2"/>
  <c r="H115" i="2"/>
  <c r="H240" i="2"/>
  <c r="H51" i="2"/>
  <c r="H252" i="2"/>
  <c r="H141" i="2"/>
  <c r="H191" i="2"/>
  <c r="H155" i="2"/>
  <c r="H35" i="2"/>
  <c r="H231" i="2"/>
  <c r="H131" i="2"/>
  <c r="H151" i="2"/>
  <c r="H160" i="2"/>
  <c r="H92" i="2"/>
  <c r="H233" i="2"/>
  <c r="H114" i="2"/>
  <c r="H53" i="2"/>
  <c r="H45" i="2"/>
  <c r="H143" i="2"/>
  <c r="H235" i="2"/>
  <c r="H179" i="2"/>
  <c r="H60" i="2"/>
  <c r="H63" i="2"/>
  <c r="H57" i="2"/>
  <c r="H77" i="2"/>
  <c r="H95" i="2"/>
  <c r="H42" i="2"/>
  <c r="H100" i="2"/>
  <c r="H94" i="2"/>
  <c r="H244" i="2"/>
  <c r="H111" i="2"/>
  <c r="H167" i="2"/>
  <c r="H230" i="2"/>
  <c r="H72" i="2"/>
  <c r="H145" i="2"/>
  <c r="H93" i="2"/>
  <c r="H190" i="2"/>
  <c r="H33" i="2"/>
  <c r="H177" i="2"/>
  <c r="H142" i="2"/>
  <c r="H169" i="2"/>
  <c r="H255" i="2"/>
  <c r="H187" i="2"/>
  <c r="H178" i="2"/>
  <c r="H158" i="2"/>
  <c r="H109" i="2"/>
  <c r="H123" i="2"/>
  <c r="H236" i="2"/>
  <c r="H193" i="2"/>
  <c r="H232" i="2"/>
  <c r="H75" i="2"/>
  <c r="H194" i="2"/>
  <c r="H108" i="2"/>
  <c r="H186" i="2"/>
  <c r="H154" i="2"/>
  <c r="H88" i="2"/>
  <c r="H47" i="2"/>
  <c r="H46" i="2"/>
  <c r="H229" i="2"/>
  <c r="H34" i="2"/>
  <c r="H87" i="2"/>
  <c r="H107" i="2"/>
  <c r="H113" i="2"/>
  <c r="H176" i="2"/>
  <c r="H81" i="2"/>
  <c r="H119" i="2"/>
  <c r="H166" i="2"/>
  <c r="H171" i="2"/>
  <c r="H78" i="2"/>
  <c r="H140" i="2"/>
  <c r="H56" i="2"/>
  <c r="H254" i="2"/>
  <c r="H65" i="2"/>
  <c r="H27" i="2"/>
  <c r="H234" i="2"/>
  <c r="H97" i="2"/>
  <c r="H105" i="2"/>
  <c r="H128" i="2"/>
  <c r="H54" i="2"/>
  <c r="H189" i="2"/>
  <c r="H37" i="2"/>
  <c r="H49" i="2"/>
  <c r="H126" i="2"/>
  <c r="H257" i="2"/>
  <c r="H174" i="2"/>
  <c r="D79" i="6"/>
  <c r="H238" i="2"/>
  <c r="H71" i="2"/>
  <c r="H147" i="2"/>
  <c r="H137" i="2"/>
  <c r="H135" i="2"/>
  <c r="H133" i="2"/>
  <c r="H152" i="2"/>
  <c r="H89" i="2"/>
  <c r="H69" i="2"/>
  <c r="H86" i="2"/>
  <c r="H249" i="2"/>
  <c r="H256" i="2"/>
  <c r="H170" i="2"/>
  <c r="H161" i="2"/>
  <c r="H121" i="2"/>
  <c r="Z31" i="2"/>
  <c r="H52" i="2"/>
  <c r="H67" i="2"/>
  <c r="H172" i="2"/>
  <c r="H61" i="2"/>
  <c r="H150" i="2"/>
  <c r="H41" i="2"/>
  <c r="H74" i="2"/>
  <c r="H124" i="2"/>
  <c r="H149" i="2"/>
  <c r="H156" i="2"/>
  <c r="H182" i="2"/>
  <c r="H59" i="2"/>
  <c r="H39" i="2"/>
  <c r="H82" i="2"/>
  <c r="H248" i="2"/>
  <c r="H138" i="2"/>
  <c r="H120" i="2"/>
  <c r="H58" i="2"/>
  <c r="H246" i="2"/>
  <c r="H28" i="2"/>
  <c r="H38" i="2"/>
  <c r="H134" i="2"/>
  <c r="H83" i="2"/>
  <c r="H239" i="2"/>
  <c r="H157" i="2"/>
  <c r="H159" i="2"/>
  <c r="H29" i="2"/>
  <c r="H112" i="2"/>
  <c r="H122" i="2"/>
  <c r="H162" i="2"/>
  <c r="H117" i="2"/>
  <c r="H165" i="2"/>
  <c r="H125" i="2"/>
  <c r="D78" i="6"/>
  <c r="B9" i="6"/>
  <c r="H43" i="2"/>
  <c r="H90" i="2"/>
  <c r="H180" i="2"/>
  <c r="H132" i="2"/>
  <c r="H153" i="2"/>
  <c r="H253" i="2"/>
  <c r="H80" i="2"/>
  <c r="H55" i="2"/>
  <c r="H36" i="2"/>
  <c r="H50" i="2"/>
  <c r="H48" i="2"/>
  <c r="H106" i="2"/>
  <c r="H85" i="2"/>
  <c r="H70" i="2"/>
  <c r="H250" i="2"/>
  <c r="H129" i="2"/>
  <c r="H188" i="2"/>
  <c r="H62" i="2"/>
  <c r="H241" i="2"/>
  <c r="H192" i="2"/>
  <c r="H110" i="2"/>
  <c r="H116" i="2"/>
  <c r="H31" i="2"/>
  <c r="GD36" i="8" l="1"/>
  <c r="GL35" i="8"/>
  <c r="GY35" i="8"/>
  <c r="GQ36" i="8"/>
  <c r="HL31" i="8"/>
  <c r="HD32" i="8"/>
  <c r="BC51" i="8"/>
  <c r="BK50" i="8"/>
  <c r="DQ40" i="8"/>
  <c r="DY39" i="8"/>
  <c r="AF775" i="18"/>
  <c r="AS310" i="6"/>
  <c r="BX29" i="8"/>
  <c r="BP30" i="8"/>
  <c r="FY33" i="8"/>
  <c r="CJ30" i="8"/>
  <c r="AB302" i="18"/>
  <c r="AA209" i="18"/>
  <c r="AB264" i="18"/>
  <c r="AB633" i="18"/>
  <c r="AB143" i="18"/>
  <c r="AS306" i="6"/>
  <c r="AS307" i="6"/>
  <c r="AS308" i="6" s="1"/>
  <c r="AS309" i="6" s="1"/>
  <c r="DT32" i="8"/>
  <c r="DV33" i="8" s="1"/>
  <c r="DW33" i="8" s="1"/>
  <c r="AB122" i="18"/>
  <c r="AB123" i="18" s="1"/>
  <c r="AC124" i="18" s="1"/>
  <c r="AB120" i="18"/>
  <c r="AC121" i="18" s="1"/>
  <c r="AB141" i="18"/>
  <c r="AB142" i="18" s="1"/>
  <c r="AB139" i="18"/>
  <c r="AC140" i="18" s="1"/>
  <c r="AA207" i="18"/>
  <c r="AA208" i="18" s="1"/>
  <c r="AA205" i="18"/>
  <c r="AB206" i="18" s="1"/>
  <c r="AB629" i="18"/>
  <c r="AC630" i="18" s="1"/>
  <c r="AB631" i="18"/>
  <c r="AB632" i="18" s="1"/>
  <c r="AB298" i="18"/>
  <c r="AC299" i="18" s="1"/>
  <c r="AB300" i="18"/>
  <c r="AB301" i="18" s="1"/>
  <c r="AB262" i="18"/>
  <c r="AB263" i="18" s="1"/>
  <c r="AB260" i="18"/>
  <c r="AC261" i="18" s="1"/>
  <c r="H76" i="2"/>
  <c r="H173" i="2"/>
  <c r="H148" i="2"/>
  <c r="H84" i="2"/>
  <c r="H30" i="2"/>
  <c r="H175" i="2"/>
  <c r="B10" i="6"/>
  <c r="H247" i="2"/>
  <c r="H163" i="2"/>
  <c r="H32" i="2"/>
  <c r="H68" i="2"/>
  <c r="AG775" i="18" l="1"/>
  <c r="GQ37" i="8"/>
  <c r="GY36" i="8"/>
  <c r="GD37" i="8"/>
  <c r="GL36" i="8"/>
  <c r="DQ41" i="8"/>
  <c r="DY40" i="8"/>
  <c r="BC52" i="8"/>
  <c r="BK51" i="8"/>
  <c r="HL32" i="8"/>
  <c r="HD33" i="8"/>
  <c r="CJ31" i="8"/>
  <c r="FY34" i="8"/>
  <c r="BX30" i="8"/>
  <c r="BP31" i="8"/>
  <c r="AC264" i="18"/>
  <c r="AC302" i="18"/>
  <c r="AC633" i="18"/>
  <c r="AB209" i="18"/>
  <c r="AC143" i="18"/>
  <c r="DT33" i="8"/>
  <c r="DV34" i="8" s="1"/>
  <c r="DW34" i="8" s="1"/>
  <c r="AC141" i="18"/>
  <c r="AC142" i="18" s="1"/>
  <c r="AC139" i="18"/>
  <c r="AD140" i="18" s="1"/>
  <c r="AC262" i="18"/>
  <c r="AC263" i="18" s="1"/>
  <c r="AC260" i="18"/>
  <c r="AD261" i="18" s="1"/>
  <c r="AC122" i="18"/>
  <c r="AC123" i="18" s="1"/>
  <c r="AD124" i="18" s="1"/>
  <c r="AC120" i="18"/>
  <c r="AD121" i="18" s="1"/>
  <c r="AC298" i="18"/>
  <c r="AD299" i="18" s="1"/>
  <c r="AC300" i="18"/>
  <c r="AC301" i="18" s="1"/>
  <c r="AC629" i="18"/>
  <c r="AD630" i="18" s="1"/>
  <c r="AC631" i="18"/>
  <c r="AC632" i="18" s="1"/>
  <c r="AB207" i="18"/>
  <c r="AB208" i="18" s="1"/>
  <c r="AB205" i="18"/>
  <c r="DY41" i="8" l="1"/>
  <c r="DQ42" i="8"/>
  <c r="GL37" i="8"/>
  <c r="GD38" i="8"/>
  <c r="GY37" i="8"/>
  <c r="GQ38" i="8"/>
  <c r="HL33" i="8"/>
  <c r="HD34" i="8"/>
  <c r="BK52" i="8"/>
  <c r="BC53" i="8"/>
  <c r="BX31" i="8"/>
  <c r="BP32" i="8"/>
  <c r="FY35" i="8"/>
  <c r="CJ32" i="8"/>
  <c r="AD633" i="18"/>
  <c r="AD302" i="18"/>
  <c r="AD264" i="18"/>
  <c r="AD143" i="18"/>
  <c r="DT34" i="8"/>
  <c r="DV35" i="8" s="1"/>
  <c r="DW35" i="8" s="1"/>
  <c r="AD141" i="18"/>
  <c r="AD142" i="18" s="1"/>
  <c r="AD139" i="18"/>
  <c r="AE140" i="18" s="1"/>
  <c r="AD262" i="18"/>
  <c r="AD263" i="18" s="1"/>
  <c r="AD260" i="18"/>
  <c r="AE261" i="18" s="1"/>
  <c r="AD629" i="18"/>
  <c r="AE630" i="18" s="1"/>
  <c r="AD631" i="18"/>
  <c r="AD632" i="18" s="1"/>
  <c r="AD298" i="18"/>
  <c r="AE299" i="18" s="1"/>
  <c r="AD300" i="18"/>
  <c r="AD301" i="18" s="1"/>
  <c r="AD122" i="18"/>
  <c r="AD123" i="18" s="1"/>
  <c r="AE124" i="18" s="1"/>
  <c r="AD120" i="18"/>
  <c r="AE121" i="18" s="1"/>
  <c r="GL38" i="8" l="1"/>
  <c r="GD39" i="8"/>
  <c r="HD35" i="8"/>
  <c r="HL34" i="8"/>
  <c r="BC54" i="8"/>
  <c r="BK53" i="8"/>
  <c r="GY38" i="8"/>
  <c r="GQ39" i="8"/>
  <c r="DY42" i="8"/>
  <c r="DQ43" i="8"/>
  <c r="CJ33" i="8"/>
  <c r="FY36" i="8"/>
  <c r="BX32" i="8"/>
  <c r="BP33" i="8"/>
  <c r="AE302" i="18"/>
  <c r="AE633" i="18"/>
  <c r="AE264" i="18"/>
  <c r="AE143" i="18"/>
  <c r="DT35" i="8"/>
  <c r="DV36" i="8" s="1"/>
  <c r="DW36" i="8" s="1"/>
  <c r="AE262" i="18"/>
  <c r="AE263" i="18" s="1"/>
  <c r="AE260" i="18"/>
  <c r="AF261" i="18" s="1"/>
  <c r="AE122" i="18"/>
  <c r="AE123" i="18" s="1"/>
  <c r="AF124" i="18" s="1"/>
  <c r="AE120" i="18"/>
  <c r="AF121" i="18" s="1"/>
  <c r="AE298" i="18"/>
  <c r="AF299" i="18" s="1"/>
  <c r="AE300" i="18"/>
  <c r="AE301" i="18" s="1"/>
  <c r="AE631" i="18"/>
  <c r="AE632" i="18" s="1"/>
  <c r="AE629" i="18"/>
  <c r="AF630" i="18" s="1"/>
  <c r="AE141" i="18"/>
  <c r="AE142" i="18" s="1"/>
  <c r="AE139" i="18"/>
  <c r="AF140" i="18" s="1"/>
  <c r="BK54" i="8" l="1"/>
  <c r="BC55" i="8"/>
  <c r="DY43" i="8"/>
  <c r="DQ44" i="8"/>
  <c r="GY39" i="8"/>
  <c r="GQ40" i="8"/>
  <c r="HD36" i="8"/>
  <c r="HL35" i="8"/>
  <c r="GL39" i="8"/>
  <c r="GD40" i="8"/>
  <c r="BP34" i="8"/>
  <c r="BX33" i="8"/>
  <c r="FY37" i="8"/>
  <c r="CJ34" i="8"/>
  <c r="AF143" i="18"/>
  <c r="AF633" i="18"/>
  <c r="AF302" i="18"/>
  <c r="AF264" i="18"/>
  <c r="DT36" i="8"/>
  <c r="DV37" i="8" s="1"/>
  <c r="DW37" i="8" s="1"/>
  <c r="AF139" i="18"/>
  <c r="AG140" i="18" s="1"/>
  <c r="AG141" i="18" s="1"/>
  <c r="AG142" i="18" s="1"/>
  <c r="AF141" i="18"/>
  <c r="AF142" i="18" s="1"/>
  <c r="AF631" i="18"/>
  <c r="AF632" i="18" s="1"/>
  <c r="AF629" i="18"/>
  <c r="AG630" i="18" s="1"/>
  <c r="AF298" i="18"/>
  <c r="AG299" i="18" s="1"/>
  <c r="AF300" i="18"/>
  <c r="AF301" i="18" s="1"/>
  <c r="AF122" i="18"/>
  <c r="AF123" i="18" s="1"/>
  <c r="AG124" i="18" s="1"/>
  <c r="AF120" i="18"/>
  <c r="AG121" i="18" s="1"/>
  <c r="AF262" i="18"/>
  <c r="AF263" i="18" s="1"/>
  <c r="AF260" i="18"/>
  <c r="AG261" i="18" s="1"/>
  <c r="GL40" i="8" l="1"/>
  <c r="GD41" i="8"/>
  <c r="HL36" i="8"/>
  <c r="HD37" i="8"/>
  <c r="GQ41" i="8"/>
  <c r="GY40" i="8"/>
  <c r="DY44" i="8"/>
  <c r="DQ45" i="8"/>
  <c r="BK55" i="8"/>
  <c r="BC56" i="8"/>
  <c r="CJ35" i="8"/>
  <c r="CJ36" i="8" s="1"/>
  <c r="FY38" i="8"/>
  <c r="BX34" i="8"/>
  <c r="BP35" i="8"/>
  <c r="AG264" i="18"/>
  <c r="AG302" i="18"/>
  <c r="AG633" i="18"/>
  <c r="AG143" i="18"/>
  <c r="DT37" i="8"/>
  <c r="DV38" i="8" s="1"/>
  <c r="DW38" i="8" s="1"/>
  <c r="AG122" i="18"/>
  <c r="AG123" i="18" s="1"/>
  <c r="AG120" i="18"/>
  <c r="AG298" i="18"/>
  <c r="AG300" i="18"/>
  <c r="AG301" i="18" s="1"/>
  <c r="AG260" i="18"/>
  <c r="AG262" i="18"/>
  <c r="AG263" i="18" s="1"/>
  <c r="AG631" i="18"/>
  <c r="AG632" i="18" s="1"/>
  <c r="AG629" i="18"/>
  <c r="AG139" i="18"/>
  <c r="FL34" i="8" l="1"/>
  <c r="FL35" i="8" s="1"/>
  <c r="FL36" i="8" s="1"/>
  <c r="FL37" i="8" s="1"/>
  <c r="FL38" i="8" s="1"/>
  <c r="FL39" i="8" s="1"/>
  <c r="FL40" i="8" s="1"/>
  <c r="FL41" i="8" s="1"/>
  <c r="FL42" i="8" s="1"/>
  <c r="FL43" i="8" s="1"/>
  <c r="FL44" i="8" s="1"/>
  <c r="FL45" i="8" s="1"/>
  <c r="FL46" i="8" s="1"/>
  <c r="FL47" i="8" s="1"/>
  <c r="FL48" i="8" s="1"/>
  <c r="FL49" i="8" s="1"/>
  <c r="FL50" i="8" s="1"/>
  <c r="FL51" i="8" s="1"/>
  <c r="CJ37" i="8"/>
  <c r="BC57" i="8"/>
  <c r="BK56" i="8"/>
  <c r="DQ46" i="8"/>
  <c r="DY45" i="8"/>
  <c r="GY41" i="8"/>
  <c r="GQ42" i="8"/>
  <c r="HL37" i="8"/>
  <c r="HD38" i="8"/>
  <c r="GL41" i="8"/>
  <c r="GD42" i="8"/>
  <c r="BX35" i="8"/>
  <c r="BP36" i="8"/>
  <c r="FY39" i="8"/>
  <c r="DT38" i="8"/>
  <c r="DV39" i="8" s="1"/>
  <c r="DW39" i="8" s="1"/>
  <c r="HD39" i="8" l="1"/>
  <c r="HL38" i="8"/>
  <c r="GY42" i="8"/>
  <c r="GQ43" i="8"/>
  <c r="GL42" i="8"/>
  <c r="GD43" i="8"/>
  <c r="DQ47" i="8"/>
  <c r="DY46" i="8"/>
  <c r="BK57" i="8"/>
  <c r="BC58" i="8"/>
  <c r="FY40" i="8"/>
  <c r="BX36" i="8"/>
  <c r="BP37" i="8"/>
  <c r="DT39" i="8"/>
  <c r="DV40" i="8" s="1"/>
  <c r="DW40" i="8" s="1"/>
  <c r="HL39" i="8" l="1"/>
  <c r="BK58" i="8"/>
  <c r="BC59" i="8"/>
  <c r="DY47" i="8"/>
  <c r="DQ48" i="8"/>
  <c r="GL43" i="8"/>
  <c r="GD44" i="8"/>
  <c r="GY43" i="8"/>
  <c r="GQ44" i="8"/>
  <c r="BX37" i="8"/>
  <c r="BP38" i="8"/>
  <c r="FY41" i="8"/>
  <c r="CJ38" i="8"/>
  <c r="DT40" i="8"/>
  <c r="DV41" i="8" s="1"/>
  <c r="DW41" i="8" s="1"/>
  <c r="DQ49" i="8" l="1"/>
  <c r="DY48" i="8"/>
  <c r="GL44" i="8"/>
  <c r="GD45" i="8"/>
  <c r="BK59" i="8"/>
  <c r="BC60" i="8"/>
  <c r="GY44" i="8"/>
  <c r="GQ45" i="8"/>
  <c r="CJ39" i="8"/>
  <c r="FY42" i="8"/>
  <c r="BX38" i="8"/>
  <c r="BP39" i="8"/>
  <c r="DT41" i="8"/>
  <c r="DV42" i="8" s="1"/>
  <c r="DW42" i="8" s="1"/>
  <c r="B11" i="6"/>
  <c r="BK60" i="8" l="1"/>
  <c r="BC61" i="8"/>
  <c r="GY45" i="8"/>
  <c r="GQ46" i="8"/>
  <c r="GD46" i="8"/>
  <c r="GL45" i="8"/>
  <c r="DQ50" i="8"/>
  <c r="DY49" i="8"/>
  <c r="BX39" i="8"/>
  <c r="FY43" i="8"/>
  <c r="CJ40" i="8"/>
  <c r="DT42" i="8"/>
  <c r="DV43" i="8" s="1"/>
  <c r="DW43" i="8" s="1"/>
  <c r="B12" i="6"/>
  <c r="H207" i="2"/>
  <c r="H201" i="2"/>
  <c r="D90" i="6"/>
  <c r="H210" i="2"/>
  <c r="D9" i="6"/>
  <c r="H199" i="2"/>
  <c r="D99" i="6"/>
  <c r="D96" i="6"/>
  <c r="H196" i="2"/>
  <c r="D82" i="6"/>
  <c r="H226" i="2"/>
  <c r="D10" i="6"/>
  <c r="D98" i="6"/>
  <c r="D102" i="6"/>
  <c r="D11" i="6"/>
  <c r="H212" i="2"/>
  <c r="H208" i="2"/>
  <c r="D25" i="6"/>
  <c r="D34" i="6"/>
  <c r="D24" i="5"/>
  <c r="D9" i="5"/>
  <c r="H223" i="2"/>
  <c r="D19" i="5"/>
  <c r="D20" i="6"/>
  <c r="D13" i="5"/>
  <c r="D33" i="6"/>
  <c r="D83" i="6"/>
  <c r="D94" i="6"/>
  <c r="H215" i="2"/>
  <c r="D77" i="6"/>
  <c r="D93" i="6"/>
  <c r="D25" i="5"/>
  <c r="H184" i="2"/>
  <c r="D84" i="6"/>
  <c r="H206" i="2"/>
  <c r="D7" i="5"/>
  <c r="D15" i="5"/>
  <c r="D76" i="6"/>
  <c r="H197" i="2"/>
  <c r="D35" i="6"/>
  <c r="D80" i="6"/>
  <c r="H204" i="2"/>
  <c r="D29" i="6"/>
  <c r="H195" i="2"/>
  <c r="D23" i="6"/>
  <c r="D7" i="6"/>
  <c r="H213" i="2"/>
  <c r="D16" i="6"/>
  <c r="D22" i="5"/>
  <c r="D11" i="5"/>
  <c r="D22" i="6"/>
  <c r="D92" i="6"/>
  <c r="D97" i="6"/>
  <c r="H198" i="2"/>
  <c r="H227" i="2"/>
  <c r="D87" i="6"/>
  <c r="D85" i="6"/>
  <c r="H211" i="2"/>
  <c r="H200" i="2"/>
  <c r="D17" i="5"/>
  <c r="H221" i="2"/>
  <c r="D8" i="6"/>
  <c r="H183" i="2"/>
  <c r="D86" i="6"/>
  <c r="H222" i="2"/>
  <c r="D18" i="5"/>
  <c r="D17" i="6"/>
  <c r="H218" i="2"/>
  <c r="D26" i="6"/>
  <c r="D81" i="6"/>
  <c r="H181" i="2"/>
  <c r="H217" i="2"/>
  <c r="D88" i="6"/>
  <c r="D8" i="5"/>
  <c r="D10" i="5"/>
  <c r="D31" i="6"/>
  <c r="H202" i="2"/>
  <c r="D21" i="5"/>
  <c r="D14" i="6"/>
  <c r="D14" i="5"/>
  <c r="D28" i="6"/>
  <c r="D23" i="5"/>
  <c r="D24" i="6"/>
  <c r="D103" i="6"/>
  <c r="D19" i="6"/>
  <c r="D12" i="6"/>
  <c r="D100" i="6"/>
  <c r="D18" i="6"/>
  <c r="H228" i="2"/>
  <c r="D15" i="6"/>
  <c r="D89" i="6"/>
  <c r="D91" i="6"/>
  <c r="D21" i="6"/>
  <c r="D6" i="5"/>
  <c r="H224" i="2"/>
  <c r="D13" i="6"/>
  <c r="H214" i="2"/>
  <c r="D101" i="6"/>
  <c r="D20" i="5"/>
  <c r="D16" i="5"/>
  <c r="D104" i="6"/>
  <c r="D30" i="6"/>
  <c r="D12" i="5"/>
  <c r="D27" i="6"/>
  <c r="H219" i="2"/>
  <c r="D32" i="6"/>
  <c r="H225" i="2"/>
  <c r="H205" i="2"/>
  <c r="D95" i="6"/>
  <c r="DY50" i="8" l="1"/>
  <c r="DQ51" i="8"/>
  <c r="GL46" i="8"/>
  <c r="GD47" i="8"/>
  <c r="GY46" i="8"/>
  <c r="GQ47" i="8"/>
  <c r="BK61" i="8"/>
  <c r="BC62" i="8"/>
  <c r="CJ41" i="8"/>
  <c r="FY44" i="8"/>
  <c r="DT43" i="8"/>
  <c r="DV44" i="8" s="1"/>
  <c r="DW44" i="8" s="1"/>
  <c r="B13" i="6"/>
  <c r="H203" i="2"/>
  <c r="H216" i="2"/>
  <c r="H220" i="2"/>
  <c r="H185" i="2"/>
  <c r="BC63" i="8" l="1"/>
  <c r="BK62" i="8"/>
  <c r="GQ48" i="8"/>
  <c r="GY47" i="8"/>
  <c r="GD48" i="8"/>
  <c r="GL47" i="8"/>
  <c r="DY51" i="8"/>
  <c r="DQ52" i="8"/>
  <c r="FY45" i="8"/>
  <c r="CJ42" i="8"/>
  <c r="DT44" i="8"/>
  <c r="DV45" i="8" s="1"/>
  <c r="DW45" i="8" s="1"/>
  <c r="B14" i="6"/>
  <c r="F71" i="6"/>
  <c r="F73" i="6"/>
  <c r="F74" i="6"/>
  <c r="F72" i="6"/>
  <c r="GL48" i="8" l="1"/>
  <c r="GD49" i="8"/>
  <c r="GY48" i="8"/>
  <c r="GQ49" i="8"/>
  <c r="BK63" i="8"/>
  <c r="DY52" i="8"/>
  <c r="DQ53" i="8"/>
  <c r="DY53" i="8" s="1"/>
  <c r="CJ43" i="8"/>
  <c r="FY46" i="8"/>
  <c r="DT45" i="8"/>
  <c r="DV46" i="8" s="1"/>
  <c r="DW46" i="8" s="1"/>
  <c r="B15" i="6"/>
  <c r="GL49" i="8" l="1"/>
  <c r="GD50" i="8"/>
  <c r="GQ50" i="8"/>
  <c r="GY49" i="8"/>
  <c r="FY47" i="8"/>
  <c r="CJ44" i="8"/>
  <c r="DT46" i="8"/>
  <c r="DV47" i="8" s="1"/>
  <c r="DW47" i="8" s="1"/>
  <c r="C27" i="6"/>
  <c r="B16" i="6"/>
  <c r="M2" i="3"/>
  <c r="M5" i="3"/>
  <c r="M4" i="3"/>
  <c r="M3" i="3"/>
  <c r="M8" i="3"/>
  <c r="M6" i="3"/>
  <c r="M7" i="3"/>
  <c r="G6" i="6"/>
  <c r="J53" i="18" a="1"/>
  <c r="H53" i="18" a="1"/>
  <c r="F75" i="6"/>
  <c r="G53" i="18" a="1"/>
  <c r="D598" i="18" a="1"/>
  <c r="F53" i="18" a="1"/>
  <c r="M53" i="18" a="1"/>
  <c r="I53" i="18" a="1"/>
  <c r="F2" i="6"/>
  <c r="K53" i="18" a="1"/>
  <c r="C26" i="6"/>
  <c r="B17" i="6" l="1"/>
  <c r="B18" i="6" s="1"/>
  <c r="B19" i="6" s="1"/>
  <c r="B20" i="6" s="1"/>
  <c r="B21" i="6" s="1"/>
  <c r="B22" i="6" s="1"/>
  <c r="B23" i="6" s="1"/>
  <c r="B24" i="6" s="1"/>
  <c r="B25" i="6" s="1"/>
  <c r="GQ51" i="8"/>
  <c r="GY50" i="8"/>
  <c r="GL50" i="8"/>
  <c r="GD51" i="8"/>
  <c r="H6" i="6"/>
  <c r="H53" i="18"/>
  <c r="H55" i="18" s="1"/>
  <c r="H57" i="18" s="1"/>
  <c r="M53" i="18"/>
  <c r="M55" i="18" s="1"/>
  <c r="M57" i="18" s="1"/>
  <c r="J53" i="18"/>
  <c r="J55" i="18" s="1"/>
  <c r="J57" i="18" s="1"/>
  <c r="C58" i="18" s="1"/>
  <c r="X95" i="2" s="1"/>
  <c r="B95" i="2" s="1"/>
  <c r="D135" i="34" s="1"/>
  <c r="E135" i="34" s="1"/>
  <c r="F53" i="18"/>
  <c r="F55" i="18" s="1"/>
  <c r="F57" i="18" s="1"/>
  <c r="G53" i="18"/>
  <c r="G55" i="18" s="1"/>
  <c r="G57" i="18" s="1"/>
  <c r="D598" i="18"/>
  <c r="K53" i="18"/>
  <c r="K55" i="18" s="1"/>
  <c r="K57" i="18" s="1"/>
  <c r="I53" i="18"/>
  <c r="I55" i="18" s="1"/>
  <c r="I57" i="18" s="1"/>
  <c r="CJ45" i="8"/>
  <c r="FY48" i="8"/>
  <c r="DT47" i="8"/>
  <c r="DV48" i="8" s="1"/>
  <c r="DW48" i="8" s="1"/>
  <c r="GL51" i="8" l="1"/>
  <c r="GD52" i="8"/>
  <c r="GY51" i="8"/>
  <c r="GQ52" i="8"/>
  <c r="B27" i="6"/>
  <c r="GY52" i="8" l="1"/>
  <c r="GQ53" i="8"/>
  <c r="GD53" i="8"/>
  <c r="GL52" i="8"/>
  <c r="L5" i="6"/>
  <c r="D600" i="18"/>
  <c r="D601" i="18"/>
  <c r="FY49" i="8"/>
  <c r="CJ46" i="8"/>
  <c r="DT48" i="8"/>
  <c r="DV49" i="8" s="1"/>
  <c r="DW49" i="8" s="1"/>
  <c r="B26" i="6"/>
  <c r="W238" i="5"/>
  <c r="Z311" i="6" a="1"/>
  <c r="D91" i="14"/>
  <c r="E56" i="14"/>
  <c r="X311" i="6" a="1"/>
  <c r="AB311" i="6" a="1"/>
  <c r="G75" i="6"/>
  <c r="AC311" i="6" a="1"/>
  <c r="X238" i="5"/>
  <c r="Y311" i="6" a="1"/>
  <c r="AA311" i="6" a="1"/>
  <c r="D56" i="14"/>
  <c r="F91" i="14"/>
  <c r="V238" i="5"/>
  <c r="E91" i="14"/>
  <c r="U311" i="6" a="1"/>
  <c r="I561" i="18" a="1"/>
  <c r="I99" i="14"/>
  <c r="V311" i="6" a="1"/>
  <c r="U238" i="5"/>
  <c r="I561" i="18" l="1"/>
  <c r="GL53" i="8"/>
  <c r="GD54" i="8"/>
  <c r="GY53" i="8"/>
  <c r="GQ54" i="8"/>
  <c r="Y311" i="6"/>
  <c r="Y313" i="6" s="1"/>
  <c r="Y314" i="6" s="1"/>
  <c r="H75" i="6"/>
  <c r="L74" i="6"/>
  <c r="AB311" i="6"/>
  <c r="AB313" i="6" s="1"/>
  <c r="AB314" i="6" s="1"/>
  <c r="U311" i="6"/>
  <c r="U313" i="6" s="1"/>
  <c r="U314" i="6" s="1"/>
  <c r="W240" i="5"/>
  <c r="W241" i="5" s="1"/>
  <c r="AC311" i="6"/>
  <c r="AC313" i="6" s="1"/>
  <c r="AC314" i="6" s="1"/>
  <c r="V311" i="6"/>
  <c r="V313" i="6" s="1"/>
  <c r="V314" i="6" s="1"/>
  <c r="U240" i="5"/>
  <c r="U241" i="5" s="1"/>
  <c r="Z311" i="6"/>
  <c r="Z313" i="6" s="1"/>
  <c r="Z314" i="6" s="1"/>
  <c r="X311" i="6"/>
  <c r="X313" i="6" s="1"/>
  <c r="X314" i="6" s="1"/>
  <c r="X240" i="5"/>
  <c r="X241" i="5" s="1"/>
  <c r="V240" i="5"/>
  <c r="V241" i="5" s="1"/>
  <c r="AA311" i="6"/>
  <c r="AA313" i="6" s="1"/>
  <c r="AA314" i="6" s="1"/>
  <c r="CJ47" i="8"/>
  <c r="FY50" i="8"/>
  <c r="DT49" i="8"/>
  <c r="DV50" i="8" s="1"/>
  <c r="DW50" i="8" s="1"/>
  <c r="F56" i="14"/>
  <c r="W311" i="6" a="1"/>
  <c r="W311" i="6" l="1"/>
  <c r="W313" i="6" s="1"/>
  <c r="W314" i="6" s="1"/>
  <c r="GL54" i="8"/>
  <c r="GD55" i="8"/>
  <c r="GY54" i="8"/>
  <c r="GQ55" i="8"/>
  <c r="FY51" i="8"/>
  <c r="CJ48" i="8"/>
  <c r="DT50" i="8"/>
  <c r="DV51" i="8" s="1"/>
  <c r="DW51" i="8" s="1"/>
  <c r="GY55" i="8" l="1"/>
  <c r="GQ56" i="8"/>
  <c r="GD56" i="8"/>
  <c r="CJ49" i="8"/>
  <c r="FY52" i="8"/>
  <c r="DT51" i="8"/>
  <c r="DV52" i="8" s="1"/>
  <c r="DW52" i="8" s="1"/>
  <c r="GY56" i="8" l="1"/>
  <c r="GQ57" i="8"/>
  <c r="FY53" i="8"/>
  <c r="CJ50" i="8"/>
  <c r="DT52" i="8"/>
  <c r="DV53" i="8" s="1"/>
  <c r="DW53" i="8" s="1"/>
  <c r="GQ58" i="8" l="1"/>
  <c r="GY57" i="8"/>
  <c r="CJ51" i="8"/>
  <c r="FY54" i="8"/>
  <c r="DT53" i="8"/>
  <c r="GY58" i="8" l="1"/>
  <c r="GQ59" i="8"/>
  <c r="FY55" i="8"/>
  <c r="CJ52" i="8"/>
  <c r="GY59" i="8" l="1"/>
  <c r="GQ60" i="8"/>
  <c r="CJ53" i="8"/>
  <c r="FY56" i="8"/>
  <c r="GY60" i="8" l="1"/>
  <c r="GQ61" i="8"/>
  <c r="FY57" i="8"/>
  <c r="CJ54" i="8"/>
  <c r="GQ62" i="8" l="1"/>
  <c r="GY61" i="8"/>
  <c r="CJ55" i="8"/>
  <c r="FY58" i="8"/>
  <c r="GY62" i="8" l="1"/>
  <c r="GQ63" i="8"/>
  <c r="FY59" i="8"/>
  <c r="CJ56" i="8"/>
  <c r="GQ64" i="8" l="1"/>
  <c r="GY63" i="8"/>
  <c r="CJ57" i="8"/>
  <c r="FY60" i="8"/>
  <c r="GY64" i="8" l="1"/>
  <c r="GQ65" i="8"/>
  <c r="FY61" i="8"/>
  <c r="CJ58" i="8"/>
  <c r="GY65" i="8" l="1"/>
  <c r="GQ66" i="8"/>
  <c r="CJ59" i="8"/>
  <c r="FY62" i="8"/>
  <c r="GY66" i="8" l="1"/>
  <c r="GQ67" i="8"/>
  <c r="CJ60" i="8"/>
  <c r="GQ68" i="8" l="1"/>
  <c r="GY67" i="8"/>
  <c r="CJ61" i="8"/>
  <c r="GQ69" i="8" l="1"/>
  <c r="GY68" i="8"/>
  <c r="CJ62" i="8"/>
  <c r="GY69" i="8" l="1"/>
  <c r="GQ70" i="8"/>
  <c r="CJ63" i="8"/>
  <c r="G74" i="6"/>
  <c r="G72" i="6"/>
  <c r="L72" i="6" a="1"/>
  <c r="GY70" i="8" l="1"/>
  <c r="GQ71" i="8"/>
  <c r="GQ72" i="8" s="1"/>
  <c r="L72" i="6"/>
  <c r="CJ64" i="8"/>
  <c r="B5" i="30"/>
  <c r="B5" i="8"/>
  <c r="GY71" i="8" l="1"/>
  <c r="GY72" i="8" s="1"/>
  <c r="CJ65" i="8"/>
  <c r="G5" i="6"/>
  <c r="G2" i="6"/>
  <c r="G4" i="6"/>
  <c r="G73" i="6"/>
  <c r="G3" i="6"/>
  <c r="L3" i="6" s="1"/>
  <c r="B7" i="30"/>
  <c r="B7" i="8"/>
  <c r="H4" i="3"/>
  <c r="E49" i="3" s="1"/>
  <c r="G71" i="6"/>
  <c r="D50" i="3"/>
  <c r="Q6" i="3"/>
  <c r="B6" i="8"/>
  <c r="B6" i="30"/>
  <c r="B8" i="30"/>
  <c r="B8" i="8"/>
  <c r="L73" i="6" a="1"/>
  <c r="F76" i="6"/>
  <c r="F85" i="6"/>
  <c r="F90" i="6"/>
  <c r="F81" i="6"/>
  <c r="F82" i="6"/>
  <c r="F84" i="6"/>
  <c r="F86" i="6"/>
  <c r="F80" i="6"/>
  <c r="F79" i="6"/>
  <c r="S501" i="2" a="1"/>
  <c r="F97" i="6"/>
  <c r="F91" i="6"/>
  <c r="F78" i="6"/>
  <c r="F89" i="6"/>
  <c r="F99" i="6"/>
  <c r="F83" i="6"/>
  <c r="F98" i="6"/>
  <c r="F87" i="6"/>
  <c r="F93" i="6"/>
  <c r="F92" i="6"/>
  <c r="F96" i="6"/>
  <c r="F88" i="6"/>
  <c r="F95" i="6"/>
  <c r="F100" i="6"/>
  <c r="F94" i="6"/>
  <c r="F77" i="6"/>
  <c r="S501" i="2" l="1"/>
  <c r="T501" i="2" s="1"/>
  <c r="D501" i="2" s="1"/>
  <c r="G7" i="6"/>
  <c r="G76" i="6"/>
  <c r="L73" i="6"/>
  <c r="L4" i="6"/>
  <c r="CJ66" i="8"/>
  <c r="Z54" i="2"/>
  <c r="S5" i="3"/>
  <c r="Q4" i="3"/>
  <c r="S4" i="3" s="1"/>
  <c r="B24" i="30"/>
  <c r="B24" i="8"/>
  <c r="B23" i="30"/>
  <c r="B23" i="8"/>
  <c r="B9" i="8"/>
  <c r="B9" i="30"/>
  <c r="S83" i="2" a="1"/>
  <c r="S287" i="2" a="1"/>
  <c r="S192" i="2" a="1"/>
  <c r="S132" i="2" a="1"/>
  <c r="S273" i="2" a="1"/>
  <c r="S103" i="2" a="1"/>
  <c r="S312" i="2" a="1"/>
  <c r="S108" i="2" a="1"/>
  <c r="S289" i="2" a="1"/>
  <c r="S170" i="2" a="1"/>
  <c r="S217" i="2" a="1"/>
  <c r="S271" i="2" a="1"/>
  <c r="S350" i="2" a="1"/>
  <c r="S202" i="2" a="1"/>
  <c r="S224" i="2" a="1"/>
  <c r="S387" i="2" a="1"/>
  <c r="S219" i="2" a="1"/>
  <c r="S208" i="2" a="1"/>
  <c r="S374" i="2" a="1"/>
  <c r="S116" i="2" a="1"/>
  <c r="S253" i="2" a="1"/>
  <c r="S142" i="2" a="1"/>
  <c r="S250" i="2" a="1"/>
  <c r="S386" i="2" a="1"/>
  <c r="S502" i="2" a="1"/>
  <c r="S381" i="2" a="1"/>
  <c r="S318" i="2" a="1"/>
  <c r="S166" i="2" a="1"/>
  <c r="S296" i="2" a="1"/>
  <c r="S251" i="2" a="1"/>
  <c r="S183" i="2" a="1"/>
  <c r="S246" i="2" a="1"/>
  <c r="S200" i="2" a="1"/>
  <c r="S315" i="2" a="1"/>
  <c r="S71" i="2" a="1"/>
  <c r="S141" i="2" a="1"/>
  <c r="S262" i="2" a="1"/>
  <c r="S352" i="2" a="1"/>
  <c r="S300" i="2" a="1"/>
  <c r="S90" i="2" a="1"/>
  <c r="S79" i="2" a="1"/>
  <c r="S196" i="2" a="1"/>
  <c r="S133" i="2" a="1"/>
  <c r="S492" i="2" a="1"/>
  <c r="S324" i="2" a="1"/>
  <c r="S54" i="2" a="1"/>
  <c r="S327" i="2" a="1"/>
  <c r="S295" i="2" a="1"/>
  <c r="S185" i="2" a="1"/>
  <c r="S259" i="2" a="1"/>
  <c r="S321" i="2" a="1"/>
  <c r="S114" i="2" a="1"/>
  <c r="S380" i="2" a="1"/>
  <c r="S130" i="2" a="1"/>
  <c r="S488" i="2" a="1"/>
  <c r="S310" i="2" a="1"/>
  <c r="S127" i="2" a="1"/>
  <c r="S272" i="2" a="1"/>
  <c r="S212" i="2" a="1"/>
  <c r="S285" i="2" a="1"/>
  <c r="S104" i="2" a="1"/>
  <c r="S205" i="2" a="1"/>
  <c r="S87" i="2" a="1"/>
  <c r="S416" i="2" a="1"/>
  <c r="S269" i="2" a="1"/>
  <c r="S377" i="2" a="1"/>
  <c r="S225" i="2" a="1"/>
  <c r="S128" i="2" a="1"/>
  <c r="S292" i="2" a="1"/>
  <c r="S261" i="2" a="1"/>
  <c r="S50" i="2" a="1"/>
  <c r="S119" i="2" a="1"/>
  <c r="S129" i="2" a="1"/>
  <c r="S27" i="2" a="1"/>
  <c r="S286" i="2" a="1"/>
  <c r="S378" i="2" a="1"/>
  <c r="S408" i="2" a="1"/>
  <c r="S302" i="2" a="1"/>
  <c r="S28" i="2" a="1"/>
  <c r="S256" i="2" a="1"/>
  <c r="S81" i="2" a="1"/>
  <c r="S135" i="2" a="1"/>
  <c r="S411" i="2" a="1"/>
  <c r="S328" i="2" a="1"/>
  <c r="S454" i="2" a="1"/>
  <c r="S126" i="2" a="1"/>
  <c r="S361" i="2" a="1"/>
  <c r="S417" i="2" a="1"/>
  <c r="S414" i="2" a="1"/>
  <c r="S311" i="2" a="1"/>
  <c r="S307" i="2" a="1"/>
  <c r="S188" i="2" a="1"/>
  <c r="S134" i="2" a="1"/>
  <c r="S197" i="2" a="1"/>
  <c r="S118" i="2" a="1"/>
  <c r="S407" i="2" a="1"/>
  <c r="X501" i="2"/>
  <c r="S226" i="2" a="1"/>
  <c r="S72" i="2" a="1"/>
  <c r="S48" i="2" a="1"/>
  <c r="S144" i="2" a="1"/>
  <c r="S319" i="2" a="1"/>
  <c r="S95" i="2" a="1"/>
  <c r="S218" i="2" a="1"/>
  <c r="S284" i="2" a="1"/>
  <c r="S336" i="2" a="1"/>
  <c r="S51" i="2" a="1"/>
  <c r="S210" i="2" a="1"/>
  <c r="S34" i="2" a="1"/>
  <c r="S136" i="2" a="1"/>
  <c r="S203" i="2" a="1"/>
  <c r="S326" i="2" a="1"/>
  <c r="S304" i="2" a="1"/>
  <c r="S496" i="2" a="1"/>
  <c r="S440" i="2" a="1"/>
  <c r="S189" i="2" a="1"/>
  <c r="S222" i="2" a="1"/>
  <c r="S503" i="2" a="1"/>
  <c r="S360" i="2" a="1"/>
  <c r="G501" i="2"/>
  <c r="S288" i="2" a="1"/>
  <c r="S489" i="2" a="1"/>
  <c r="S301" i="2" a="1"/>
  <c r="S221" i="2" a="1"/>
  <c r="S43" i="2" a="1"/>
  <c r="S122" i="2" a="1"/>
  <c r="S29" i="2" a="1"/>
  <c r="S223" i="2" a="1"/>
  <c r="S316" i="2" a="1"/>
  <c r="S409" i="2" a="1"/>
  <c r="S260" i="2" a="1"/>
  <c r="S216" i="2" a="1"/>
  <c r="S490" i="2" a="1"/>
  <c r="S357" i="2" a="1"/>
  <c r="S413" i="2" a="1"/>
  <c r="S503" i="2" l="1"/>
  <c r="T503" i="2" s="1"/>
  <c r="D503" i="2" s="1"/>
  <c r="S502" i="2"/>
  <c r="T502" i="2" s="1"/>
  <c r="D502" i="2" s="1"/>
  <c r="I502" i="2" s="1"/>
  <c r="B501" i="2"/>
  <c r="D101" i="34" s="1"/>
  <c r="E101" i="34" s="1"/>
  <c r="F501" i="2"/>
  <c r="I501" i="2"/>
  <c r="S492" i="2"/>
  <c r="T492" i="2" s="1"/>
  <c r="D492" i="2" s="1"/>
  <c r="S496" i="2"/>
  <c r="T496" i="2" s="1"/>
  <c r="D496" i="2" s="1"/>
  <c r="I496" i="2" s="1"/>
  <c r="S490" i="2"/>
  <c r="T490" i="2" s="1"/>
  <c r="D490" i="2" s="1"/>
  <c r="I490" i="2" s="1"/>
  <c r="S488" i="2"/>
  <c r="T488" i="2" s="1"/>
  <c r="D488" i="2" s="1"/>
  <c r="I488" i="2" s="1"/>
  <c r="S489" i="2"/>
  <c r="T489" i="2" s="1"/>
  <c r="D489" i="2" s="1"/>
  <c r="F489" i="2" s="1"/>
  <c r="S454" i="2"/>
  <c r="T454" i="2" s="1"/>
  <c r="D454" i="2" s="1"/>
  <c r="I454" i="2" s="1"/>
  <c r="S440" i="2"/>
  <c r="T440" i="2" s="1"/>
  <c r="D440" i="2" s="1"/>
  <c r="F440" i="2" s="1"/>
  <c r="S327" i="2"/>
  <c r="S416" i="2"/>
  <c r="T416" i="2" s="1"/>
  <c r="D416" i="2" s="1"/>
  <c r="S414" i="2"/>
  <c r="T414" i="2" s="1"/>
  <c r="D414" i="2" s="1"/>
  <c r="S413" i="2"/>
  <c r="T413" i="2" s="1"/>
  <c r="D413" i="2" s="1"/>
  <c r="S417" i="2"/>
  <c r="T417" i="2" s="1"/>
  <c r="D417" i="2" s="1"/>
  <c r="S408" i="2"/>
  <c r="T408" i="2" s="1"/>
  <c r="D408" i="2" s="1"/>
  <c r="S411" i="2"/>
  <c r="T411" i="2" s="1"/>
  <c r="D411" i="2" s="1"/>
  <c r="S409" i="2"/>
  <c r="T409" i="2" s="1"/>
  <c r="D409" i="2" s="1"/>
  <c r="S407" i="2"/>
  <c r="T407" i="2" s="1"/>
  <c r="D407" i="2" s="1"/>
  <c r="S387" i="2"/>
  <c r="T387" i="2" s="1"/>
  <c r="D387" i="2" s="1"/>
  <c r="S386" i="2"/>
  <c r="T386" i="2" s="1"/>
  <c r="D386" i="2" s="1"/>
  <c r="S381" i="2"/>
  <c r="T381" i="2" s="1"/>
  <c r="D381" i="2" s="1"/>
  <c r="S380" i="2"/>
  <c r="T380" i="2" s="1"/>
  <c r="D380" i="2" s="1"/>
  <c r="S377" i="2"/>
  <c r="T377" i="2" s="1"/>
  <c r="D377" i="2" s="1"/>
  <c r="S378" i="2"/>
  <c r="T378" i="2" s="1"/>
  <c r="D378" i="2" s="1"/>
  <c r="H76" i="6"/>
  <c r="L75" i="6"/>
  <c r="S311" i="2"/>
  <c r="S260" i="2"/>
  <c r="S129" i="2"/>
  <c r="S90" i="2"/>
  <c r="S196" i="2"/>
  <c r="S216" i="2"/>
  <c r="S203" i="2"/>
  <c r="S189" i="2"/>
  <c r="S166" i="2"/>
  <c r="S296" i="2"/>
  <c r="S302" i="2"/>
  <c r="S261" i="2"/>
  <c r="X261" i="2" s="1"/>
  <c r="B261" i="2" s="1"/>
  <c r="S361" i="2"/>
  <c r="S328" i="2"/>
  <c r="S295" i="2"/>
  <c r="S246" i="2"/>
  <c r="S108" i="2"/>
  <c r="S312" i="2"/>
  <c r="S285" i="2"/>
  <c r="S218" i="2"/>
  <c r="S50" i="2"/>
  <c r="S170" i="2"/>
  <c r="S301" i="2"/>
  <c r="S208" i="2"/>
  <c r="S284" i="2"/>
  <c r="S95" i="2"/>
  <c r="S132" i="2"/>
  <c r="S126" i="2"/>
  <c r="S350" i="2"/>
  <c r="S127" i="2"/>
  <c r="T127" i="2" s="1"/>
  <c r="D127" i="2" s="1"/>
  <c r="S83" i="2"/>
  <c r="S286" i="2"/>
  <c r="S29" i="2"/>
  <c r="S114" i="2"/>
  <c r="S27" i="2"/>
  <c r="S374" i="2"/>
  <c r="T374" i="2" s="1"/>
  <c r="S197" i="2"/>
  <c r="S217" i="2"/>
  <c r="S79" i="2"/>
  <c r="S28" i="2"/>
  <c r="S316" i="2"/>
  <c r="S87" i="2"/>
  <c r="S273" i="2"/>
  <c r="S321" i="2"/>
  <c r="S43" i="2"/>
  <c r="S122" i="2"/>
  <c r="S133" i="2"/>
  <c r="S223" i="2"/>
  <c r="S136" i="2"/>
  <c r="T136" i="2" s="1"/>
  <c r="D136" i="2" s="1"/>
  <c r="S210" i="2"/>
  <c r="S221" i="2"/>
  <c r="S224" i="2"/>
  <c r="S304" i="2"/>
  <c r="S81" i="2"/>
  <c r="S116" i="2"/>
  <c r="S360" i="2"/>
  <c r="S135" i="2"/>
  <c r="S212" i="2"/>
  <c r="S300" i="2"/>
  <c r="S119" i="2"/>
  <c r="S222" i="2"/>
  <c r="S225" i="2"/>
  <c r="S144" i="2"/>
  <c r="T144" i="2" s="1"/>
  <c r="D144" i="2" s="1"/>
  <c r="S259" i="2"/>
  <c r="S34" i="2"/>
  <c r="S134" i="2"/>
  <c r="S292" i="2"/>
  <c r="N3" i="30"/>
  <c r="M3" i="30" s="1"/>
  <c r="S118" i="2"/>
  <c r="S324" i="2"/>
  <c r="S72" i="2"/>
  <c r="S200" i="2"/>
  <c r="S253" i="2"/>
  <c r="S205" i="2"/>
  <c r="S226" i="2"/>
  <c r="S71" i="2"/>
  <c r="S289" i="2"/>
  <c r="S256" i="2"/>
  <c r="S288" i="2"/>
  <c r="S319" i="2"/>
  <c r="S272" i="2"/>
  <c r="S54" i="2"/>
  <c r="S51" i="2"/>
  <c r="S185" i="2"/>
  <c r="S219" i="2"/>
  <c r="S202" i="2"/>
  <c r="S48" i="2"/>
  <c r="S130" i="2"/>
  <c r="S271" i="2"/>
  <c r="S103" i="2"/>
  <c r="T103" i="2" s="1"/>
  <c r="D103" i="2" s="1"/>
  <c r="S352" i="2"/>
  <c r="S188" i="2"/>
  <c r="S251" i="2"/>
  <c r="S336" i="2"/>
  <c r="S250" i="2"/>
  <c r="X250" i="2" s="1"/>
  <c r="B250" i="2" s="1"/>
  <c r="S357" i="2"/>
  <c r="X357" i="2" s="1"/>
  <c r="S310" i="2"/>
  <c r="S192" i="2"/>
  <c r="S183" i="2"/>
  <c r="S307" i="2"/>
  <c r="S104" i="2"/>
  <c r="T104" i="2" s="1"/>
  <c r="D104" i="2" s="1"/>
  <c r="S318" i="2"/>
  <c r="S287" i="2"/>
  <c r="S142" i="2"/>
  <c r="S315" i="2"/>
  <c r="S269" i="2"/>
  <c r="X269" i="2" s="1"/>
  <c r="B269" i="2" s="1"/>
  <c r="S128" i="2"/>
  <c r="S262" i="2"/>
  <c r="S141" i="2"/>
  <c r="S326" i="2"/>
  <c r="T326" i="2" s="1"/>
  <c r="I95" i="2"/>
  <c r="I357" i="2"/>
  <c r="CJ67" i="8"/>
  <c r="D5" i="8"/>
  <c r="D5" i="30"/>
  <c r="B10" i="8"/>
  <c r="B10" i="30"/>
  <c r="X440" i="2"/>
  <c r="X411" i="2"/>
  <c r="X380" i="2"/>
  <c r="G407" i="2"/>
  <c r="G440" i="2"/>
  <c r="X381" i="2"/>
  <c r="X488" i="2"/>
  <c r="G454" i="2"/>
  <c r="G490" i="2"/>
  <c r="X408" i="2"/>
  <c r="X378" i="2"/>
  <c r="X413" i="2"/>
  <c r="G409" i="2"/>
  <c r="X490" i="2"/>
  <c r="X387" i="2"/>
  <c r="G408" i="2"/>
  <c r="G411" i="2"/>
  <c r="G386" i="2"/>
  <c r="G380" i="2"/>
  <c r="X414" i="2"/>
  <c r="G492" i="2"/>
  <c r="U501" i="2"/>
  <c r="G416" i="2"/>
  <c r="G417" i="2"/>
  <c r="X409" i="2"/>
  <c r="G378" i="2"/>
  <c r="G387" i="2"/>
  <c r="G377" i="2"/>
  <c r="G488" i="2"/>
  <c r="X386" i="2"/>
  <c r="X407" i="2"/>
  <c r="X377" i="2"/>
  <c r="X492" i="2"/>
  <c r="G413" i="2"/>
  <c r="G489" i="2"/>
  <c r="G496" i="2"/>
  <c r="X496" i="2"/>
  <c r="G503" i="2"/>
  <c r="G381" i="2"/>
  <c r="G502" i="2"/>
  <c r="G414" i="2"/>
  <c r="F502" i="2" l="1"/>
  <c r="F503" i="2"/>
  <c r="I503" i="2"/>
  <c r="B492" i="2"/>
  <c r="D305" i="34" s="1"/>
  <c r="E305" i="34" s="1"/>
  <c r="F492" i="2"/>
  <c r="I492" i="2"/>
  <c r="F496" i="2"/>
  <c r="B496" i="2"/>
  <c r="D52" i="34" s="1"/>
  <c r="E52" i="34" s="1"/>
  <c r="B490" i="2"/>
  <c r="D4" i="34" s="1"/>
  <c r="E4" i="34" s="1"/>
  <c r="F490" i="2"/>
  <c r="B488" i="2"/>
  <c r="D334" i="34" s="1"/>
  <c r="E334" i="34" s="1"/>
  <c r="F488" i="2"/>
  <c r="I489" i="2"/>
  <c r="B378" i="2"/>
  <c r="B386" i="2"/>
  <c r="B407" i="2"/>
  <c r="B408" i="2"/>
  <c r="B380" i="2"/>
  <c r="I380" i="2" s="1"/>
  <c r="B381" i="2"/>
  <c r="F454" i="2"/>
  <c r="B409" i="2"/>
  <c r="B387" i="2"/>
  <c r="B377" i="2"/>
  <c r="B411" i="2"/>
  <c r="B413" i="2"/>
  <c r="B440" i="2"/>
  <c r="B414" i="2"/>
  <c r="I440" i="2"/>
  <c r="F387" i="2"/>
  <c r="F377" i="2"/>
  <c r="F413" i="2"/>
  <c r="I414" i="2"/>
  <c r="F414" i="2"/>
  <c r="I413" i="2"/>
  <c r="I417" i="2"/>
  <c r="F417" i="2"/>
  <c r="I416" i="2"/>
  <c r="F416" i="2"/>
  <c r="I411" i="2"/>
  <c r="F411" i="2"/>
  <c r="I408" i="2"/>
  <c r="F408" i="2"/>
  <c r="I407" i="2"/>
  <c r="F407" i="2"/>
  <c r="I409" i="2"/>
  <c r="F409" i="2"/>
  <c r="F386" i="2"/>
  <c r="F380" i="2"/>
  <c r="F381" i="2"/>
  <c r="F378" i="2"/>
  <c r="G77" i="6"/>
  <c r="CJ68" i="8"/>
  <c r="B11" i="30"/>
  <c r="B11" i="8"/>
  <c r="U454" i="2"/>
  <c r="U408" i="2"/>
  <c r="U377" i="2"/>
  <c r="U489" i="2"/>
  <c r="U378" i="2"/>
  <c r="U409" i="2"/>
  <c r="U411" i="2"/>
  <c r="U490" i="2"/>
  <c r="U386" i="2"/>
  <c r="U387" i="2"/>
  <c r="U414" i="2"/>
  <c r="U380" i="2"/>
  <c r="U492" i="2"/>
  <c r="U381" i="2"/>
  <c r="U496" i="2"/>
  <c r="U440" i="2"/>
  <c r="U488" i="2"/>
  <c r="U407" i="2"/>
  <c r="U413" i="2"/>
  <c r="I386" i="2" l="1"/>
  <c r="I387" i="2"/>
  <c r="I381" i="2"/>
  <c r="I377" i="2"/>
  <c r="I378" i="2"/>
  <c r="L76" i="6"/>
  <c r="H77" i="6"/>
  <c r="CJ69" i="8"/>
  <c r="B12" i="30"/>
  <c r="B12" i="8"/>
  <c r="G78" i="6" l="1"/>
  <c r="CJ70" i="8"/>
  <c r="B13" i="8"/>
  <c r="B13" i="30"/>
  <c r="H78" i="6" l="1"/>
  <c r="L77" i="6"/>
  <c r="CJ71" i="8"/>
  <c r="B14" i="30"/>
  <c r="B14" i="8"/>
  <c r="G79" i="6" l="1"/>
  <c r="CJ72" i="8"/>
  <c r="B15" i="30"/>
  <c r="B15" i="8"/>
  <c r="L78" i="6" l="1"/>
  <c r="H79" i="6"/>
  <c r="CJ73" i="8"/>
  <c r="B16" i="8"/>
  <c r="B16" i="30"/>
  <c r="G80" i="6" l="1"/>
  <c r="B17" i="30"/>
  <c r="B17" i="8"/>
  <c r="L79" i="6" l="1"/>
  <c r="H80" i="6"/>
  <c r="B18" i="30"/>
  <c r="B18" i="8"/>
  <c r="G81" i="6" l="1"/>
  <c r="B19" i="30"/>
  <c r="B19" i="8"/>
  <c r="H81" i="6" l="1"/>
  <c r="L80" i="6"/>
  <c r="B20" i="30"/>
  <c r="B20" i="8"/>
  <c r="G82" i="6" l="1"/>
  <c r="B21" i="30"/>
  <c r="B21" i="8"/>
  <c r="H82" i="6" l="1"/>
  <c r="L81" i="6"/>
  <c r="D93" i="14"/>
  <c r="D94" i="14" s="1"/>
  <c r="F58" i="14"/>
  <c r="F59" i="14" s="1"/>
  <c r="D58" i="14"/>
  <c r="D59" i="14" s="1"/>
  <c r="F93" i="14"/>
  <c r="F94" i="14" s="1"/>
  <c r="E93" i="14"/>
  <c r="E94" i="14" s="1"/>
  <c r="E58" i="14"/>
  <c r="E59" i="14" s="1"/>
  <c r="B22" i="30"/>
  <c r="B22" i="8"/>
  <c r="CY14" i="30" a="1"/>
  <c r="IY8" i="8" a="1"/>
  <c r="DZ46" i="30" a="1"/>
  <c r="CY10" i="30" a="1"/>
  <c r="CK30" i="30" a="1"/>
  <c r="CK31" i="30" a="1"/>
  <c r="CY13" i="30" a="1"/>
  <c r="BY21" i="30" a="1"/>
  <c r="DM46" i="30" a="1"/>
  <c r="BY22" i="30" a="1"/>
  <c r="CY8" i="30" a="1"/>
  <c r="CY9" i="30" a="1"/>
  <c r="CY13" i="30" l="1"/>
  <c r="CY14" i="30"/>
  <c r="CZ14" i="30" s="1"/>
  <c r="CV3" i="30" s="1"/>
  <c r="DZ46" i="30"/>
  <c r="IY8" i="8"/>
  <c r="IZ8" i="8" s="1"/>
  <c r="DM46" i="30"/>
  <c r="BY22" i="30"/>
  <c r="BZ22" i="30" s="1"/>
  <c r="BY21" i="30"/>
  <c r="BZ21" i="30" s="1"/>
  <c r="CY10" i="30"/>
  <c r="CZ10" i="30" s="1"/>
  <c r="CY9" i="30"/>
  <c r="CZ9" i="30" s="1"/>
  <c r="CY8" i="30"/>
  <c r="CZ8" i="30" s="1"/>
  <c r="G83" i="6"/>
  <c r="CK31" i="30"/>
  <c r="CL31" i="30" s="1"/>
  <c r="CK30" i="30"/>
  <c r="CL30" i="30" s="1"/>
  <c r="H83" i="6" l="1"/>
  <c r="L82" i="6"/>
  <c r="G84" i="6" l="1"/>
  <c r="L83" i="6" l="1"/>
  <c r="H84" i="6"/>
  <c r="G85" i="6" l="1"/>
  <c r="H85" i="6" l="1"/>
  <c r="L84" i="6"/>
  <c r="H7" i="6"/>
  <c r="L6" i="6"/>
  <c r="G86" i="6" l="1"/>
  <c r="G8" i="6"/>
  <c r="D6" i="30"/>
  <c r="D6" i="8"/>
  <c r="L85" i="6" l="1"/>
  <c r="H86" i="6"/>
  <c r="H8" i="6"/>
  <c r="L7" i="6"/>
  <c r="G87" i="6" l="1"/>
  <c r="D7" i="8"/>
  <c r="D7" i="30"/>
  <c r="G9" i="6"/>
  <c r="H87" i="6" l="1"/>
  <c r="L86" i="6"/>
  <c r="H9" i="6"/>
  <c r="L8" i="6"/>
  <c r="G88" i="6" l="1"/>
  <c r="G10" i="6"/>
  <c r="D8" i="8"/>
  <c r="D8" i="30"/>
  <c r="L87" i="6" l="1"/>
  <c r="H88" i="6"/>
  <c r="G89" i="6" s="1"/>
  <c r="H10" i="6"/>
  <c r="L9" i="6"/>
  <c r="L88" i="6" l="1"/>
  <c r="H89" i="6"/>
  <c r="G90" i="6" s="1"/>
  <c r="D9" i="30"/>
  <c r="D9" i="8"/>
  <c r="G11" i="6"/>
  <c r="L89" i="6" l="1"/>
  <c r="H90" i="6"/>
  <c r="G91" i="6" s="1"/>
  <c r="H11" i="6"/>
  <c r="L10" i="6"/>
  <c r="L90" i="6" l="1"/>
  <c r="H91" i="6"/>
  <c r="G92" i="6" s="1"/>
  <c r="D10" i="30"/>
  <c r="D10" i="8"/>
  <c r="G12" i="6"/>
  <c r="L91" i="6" l="1"/>
  <c r="H92" i="6"/>
  <c r="G93" i="6" s="1"/>
  <c r="H12" i="6"/>
  <c r="G13" i="6" s="1"/>
  <c r="L11" i="6"/>
  <c r="L92" i="6" l="1"/>
  <c r="H93" i="6"/>
  <c r="G94" i="6" s="1"/>
  <c r="D11" i="8"/>
  <c r="D11" i="30"/>
  <c r="H13" i="6"/>
  <c r="G14" i="6" s="1"/>
  <c r="L12" i="6"/>
  <c r="L93" i="6" l="1"/>
  <c r="H94" i="6"/>
  <c r="G95" i="6" s="1"/>
  <c r="D12" i="8"/>
  <c r="D12" i="30"/>
  <c r="H14" i="6"/>
  <c r="G15" i="6" s="1"/>
  <c r="L13" i="6"/>
  <c r="L94" i="6" l="1"/>
  <c r="H95" i="6"/>
  <c r="G96" i="6" s="1"/>
  <c r="D13" i="30"/>
  <c r="D13" i="8"/>
  <c r="H15" i="6"/>
  <c r="G16" i="6" s="1"/>
  <c r="L14" i="6"/>
  <c r="H96" i="6" l="1"/>
  <c r="G97" i="6" s="1"/>
  <c r="L95" i="6"/>
  <c r="D14" i="30"/>
  <c r="D14" i="8"/>
  <c r="H16" i="6"/>
  <c r="G17" i="6" s="1"/>
  <c r="L15" i="6"/>
  <c r="H97" i="6" l="1"/>
  <c r="G98" i="6" s="1"/>
  <c r="L96" i="6"/>
  <c r="D15" i="8"/>
  <c r="D15" i="30"/>
  <c r="H17" i="6"/>
  <c r="G18" i="6" s="1"/>
  <c r="L16" i="6"/>
  <c r="H98" i="6" l="1"/>
  <c r="G99" i="6" s="1"/>
  <c r="L97" i="6"/>
  <c r="D16" i="8"/>
  <c r="D16" i="30"/>
  <c r="H18" i="6"/>
  <c r="G19" i="6" s="1"/>
  <c r="L17" i="6"/>
  <c r="H99" i="6" l="1"/>
  <c r="G100" i="6" s="1"/>
  <c r="L98" i="6"/>
  <c r="D17" i="8"/>
  <c r="D17" i="30"/>
  <c r="H19" i="6"/>
  <c r="G20" i="6" s="1"/>
  <c r="L18" i="6"/>
  <c r="H100" i="6" l="1"/>
  <c r="L99" i="6"/>
  <c r="D18" i="30"/>
  <c r="D18" i="8"/>
  <c r="H20" i="6"/>
  <c r="G21" i="6" s="1"/>
  <c r="L19" i="6"/>
  <c r="T29" i="2" l="1"/>
  <c r="T288" i="2"/>
  <c r="D288" i="2" s="1"/>
  <c r="T119" i="2"/>
  <c r="D119" i="2" s="1"/>
  <c r="T225" i="2"/>
  <c r="D225" i="2" s="1"/>
  <c r="T129" i="2"/>
  <c r="D129" i="2" s="1"/>
  <c r="T260" i="2"/>
  <c r="D260" i="2" s="1"/>
  <c r="T34" i="2"/>
  <c r="D34" i="2" s="1"/>
  <c r="T324" i="2"/>
  <c r="D324" i="2" s="1"/>
  <c r="T210" i="2"/>
  <c r="D210" i="2" s="1"/>
  <c r="T319" i="2"/>
  <c r="D319" i="2" s="1"/>
  <c r="X319" i="2" s="1"/>
  <c r="B319" i="2" s="1"/>
  <c r="T321" i="2"/>
  <c r="D321" i="2" s="1"/>
  <c r="X321" i="2" s="1"/>
  <c r="B321" i="2" s="1"/>
  <c r="T128" i="2"/>
  <c r="T54" i="2"/>
  <c r="T95" i="2"/>
  <c r="D95" i="2" s="1"/>
  <c r="T141" i="2"/>
  <c r="D141" i="2" s="1"/>
  <c r="T360" i="2"/>
  <c r="D360" i="2" s="1"/>
  <c r="T133" i="2"/>
  <c r="D133" i="2" s="1"/>
  <c r="T185" i="2"/>
  <c r="D185" i="2" s="1"/>
  <c r="T350" i="2"/>
  <c r="D350" i="2" s="1"/>
  <c r="T142" i="2"/>
  <c r="D142" i="2" s="1"/>
  <c r="T262" i="2"/>
  <c r="D262" i="2" s="1"/>
  <c r="T221" i="2"/>
  <c r="D221" i="2" s="1"/>
  <c r="T216" i="2"/>
  <c r="D216" i="2" s="1"/>
  <c r="T328" i="2"/>
  <c r="D328" i="2" s="1"/>
  <c r="T134" i="2"/>
  <c r="T301" i="2"/>
  <c r="D301" i="2" s="1"/>
  <c r="T352" i="2"/>
  <c r="D352" i="2" s="1"/>
  <c r="T170" i="2"/>
  <c r="T300" i="2"/>
  <c r="D300" i="2" s="1"/>
  <c r="T223" i="2"/>
  <c r="T287" i="2"/>
  <c r="D287" i="2" s="1"/>
  <c r="T219" i="2"/>
  <c r="D219" i="2" s="1"/>
  <c r="T256" i="2"/>
  <c r="D256" i="2" s="1"/>
  <c r="T83" i="2"/>
  <c r="T361" i="2"/>
  <c r="D361" i="2" s="1"/>
  <c r="T296" i="2"/>
  <c r="D296" i="2" s="1"/>
  <c r="T292" i="2"/>
  <c r="D292" i="2" s="1"/>
  <c r="T285" i="2"/>
  <c r="D285" i="2" s="1"/>
  <c r="T284" i="2"/>
  <c r="D284" i="2" s="1"/>
  <c r="T51" i="2"/>
  <c r="D51" i="2" s="1"/>
  <c r="T79" i="2"/>
  <c r="D79" i="2" s="1"/>
  <c r="T27" i="2"/>
  <c r="D27" i="2" s="1"/>
  <c r="T48" i="2"/>
  <c r="D48" i="2" s="1"/>
  <c r="T205" i="2"/>
  <c r="D205" i="2" s="1"/>
  <c r="T192" i="2"/>
  <c r="D192" i="2" s="1"/>
  <c r="T196" i="2"/>
  <c r="D196" i="2" s="1"/>
  <c r="T212" i="2"/>
  <c r="D212" i="2" s="1"/>
  <c r="T218" i="2"/>
  <c r="D374" i="2"/>
  <c r="T318" i="2"/>
  <c r="D318" i="2" s="1"/>
  <c r="T307" i="2"/>
  <c r="D307" i="2" s="1"/>
  <c r="T310" i="2"/>
  <c r="D310" i="2" s="1"/>
  <c r="X310" i="2" s="1"/>
  <c r="B310" i="2" s="1"/>
  <c r="T166" i="2"/>
  <c r="D166" i="2" s="1"/>
  <c r="T28" i="2"/>
  <c r="D28" i="2" s="1"/>
  <c r="T273" i="2"/>
  <c r="D273" i="2" s="1"/>
  <c r="T271" i="2"/>
  <c r="D271" i="2" s="1"/>
  <c r="T130" i="2"/>
  <c r="D130" i="2" s="1"/>
  <c r="T208" i="2"/>
  <c r="D208" i="2" s="1"/>
  <c r="T87" i="2"/>
  <c r="D87" i="2" s="1"/>
  <c r="T108" i="2"/>
  <c r="D108" i="2" s="1"/>
  <c r="T302" i="2"/>
  <c r="D302" i="2" s="1"/>
  <c r="T122" i="2"/>
  <c r="D122" i="2" s="1"/>
  <c r="T259" i="2"/>
  <c r="D259" i="2" s="1"/>
  <c r="T253" i="2"/>
  <c r="D253" i="2" s="1"/>
  <c r="T188" i="2"/>
  <c r="D188" i="2" s="1"/>
  <c r="T203" i="2"/>
  <c r="D203" i="2" s="1"/>
  <c r="T246" i="2"/>
  <c r="D246" i="2" s="1"/>
  <c r="T200" i="2"/>
  <c r="D200" i="2" s="1"/>
  <c r="T315" i="2"/>
  <c r="D315" i="2" s="1"/>
  <c r="X315" i="2" s="1"/>
  <c r="B315" i="2" s="1"/>
  <c r="T114" i="2"/>
  <c r="D114" i="2" s="1"/>
  <c r="T316" i="2"/>
  <c r="D316" i="2" s="1"/>
  <c r="T202" i="2"/>
  <c r="T311" i="2"/>
  <c r="D311" i="2" s="1"/>
  <c r="T226" i="2"/>
  <c r="T336" i="2"/>
  <c r="D336" i="2" s="1"/>
  <c r="T327" i="2"/>
  <c r="D327" i="2" s="1"/>
  <c r="T72" i="2"/>
  <c r="D72" i="2" s="1"/>
  <c r="T224" i="2"/>
  <c r="D224" i="2" s="1"/>
  <c r="T189" i="2"/>
  <c r="D189" i="2" s="1"/>
  <c r="T116" i="2"/>
  <c r="D116" i="2" s="1"/>
  <c r="T251" i="2"/>
  <c r="D251" i="2" s="1"/>
  <c r="T295" i="2"/>
  <c r="D295" i="2" s="1"/>
  <c r="T126" i="2"/>
  <c r="D126" i="2" s="1"/>
  <c r="T43" i="2"/>
  <c r="D43" i="2" s="1"/>
  <c r="T90" i="2"/>
  <c r="T222" i="2"/>
  <c r="T217" i="2"/>
  <c r="D217" i="2" s="1"/>
  <c r="T289" i="2"/>
  <c r="D289" i="2" s="1"/>
  <c r="T135" i="2"/>
  <c r="T286" i="2"/>
  <c r="D286" i="2" s="1"/>
  <c r="T118" i="2"/>
  <c r="D118" i="2" s="1"/>
  <c r="T132" i="2"/>
  <c r="D132" i="2" s="1"/>
  <c r="T81" i="2"/>
  <c r="D81" i="2" s="1"/>
  <c r="T304" i="2"/>
  <c r="D304" i="2" s="1"/>
  <c r="T272" i="2"/>
  <c r="D272" i="2" s="1"/>
  <c r="T197" i="2"/>
  <c r="D197" i="2" s="1"/>
  <c r="T71" i="2"/>
  <c r="D71" i="2" s="1"/>
  <c r="T183" i="2"/>
  <c r="T50" i="2"/>
  <c r="D50" i="2" s="1"/>
  <c r="T312" i="2"/>
  <c r="D312" i="2" s="1"/>
  <c r="X312" i="2" s="1"/>
  <c r="B312" i="2" s="1"/>
  <c r="X285" i="2"/>
  <c r="X307" i="2"/>
  <c r="X51" i="2"/>
  <c r="X197" i="2"/>
  <c r="X286" i="2"/>
  <c r="X327" i="2"/>
  <c r="X328" i="2"/>
  <c r="X262" i="2"/>
  <c r="X192" i="2"/>
  <c r="X200" i="2"/>
  <c r="X219" i="2"/>
  <c r="X188" i="2"/>
  <c r="X246" i="2"/>
  <c r="X34" i="2"/>
  <c r="X304" i="2"/>
  <c r="X50" i="2"/>
  <c r="X259" i="2"/>
  <c r="X273" i="2"/>
  <c r="X166" i="2"/>
  <c r="X133" i="2"/>
  <c r="X350" i="2"/>
  <c r="X300" i="2"/>
  <c r="X361" i="2"/>
  <c r="X360" i="2"/>
  <c r="X126" i="2"/>
  <c r="X302" i="2"/>
  <c r="X324" i="2"/>
  <c r="X129" i="2"/>
  <c r="X205" i="2"/>
  <c r="X28" i="2"/>
  <c r="X251" i="2"/>
  <c r="X292" i="2"/>
  <c r="X118" i="2"/>
  <c r="X27" i="2"/>
  <c r="X43" i="2"/>
  <c r="X116" i="2"/>
  <c r="X352" i="2"/>
  <c r="X256" i="2"/>
  <c r="X208" i="2"/>
  <c r="X196" i="2"/>
  <c r="X119" i="2"/>
  <c r="X260" i="2"/>
  <c r="X122" i="2"/>
  <c r="X295" i="2"/>
  <c r="X130" i="2"/>
  <c r="X141" i="2"/>
  <c r="X87" i="2"/>
  <c r="X316" i="2"/>
  <c r="X212" i="2"/>
  <c r="X296" i="2"/>
  <c r="X289" i="2"/>
  <c r="X224" i="2"/>
  <c r="X374" i="2"/>
  <c r="X336" i="2"/>
  <c r="X284" i="2"/>
  <c r="X132" i="2"/>
  <c r="X114" i="2"/>
  <c r="X318" i="2"/>
  <c r="X287" i="2"/>
  <c r="X217" i="2"/>
  <c r="U327" i="2"/>
  <c r="B273" i="2" l="1"/>
  <c r="B116" i="2"/>
  <c r="I116" i="2" s="1"/>
  <c r="B316" i="2"/>
  <c r="B302" i="2"/>
  <c r="B205" i="2"/>
  <c r="B352" i="2"/>
  <c r="B197" i="2"/>
  <c r="B114" i="2"/>
  <c r="I114" i="2" s="1"/>
  <c r="B361" i="2"/>
  <c r="B324" i="2"/>
  <c r="B289" i="2"/>
  <c r="B166" i="2"/>
  <c r="I166" i="2" s="1"/>
  <c r="B360" i="2"/>
  <c r="B34" i="2"/>
  <c r="I34" i="2" s="1"/>
  <c r="B27" i="2"/>
  <c r="I27" i="2" s="1"/>
  <c r="B256" i="2"/>
  <c r="B260" i="2"/>
  <c r="B304" i="2"/>
  <c r="B307" i="2"/>
  <c r="I307" i="2" s="1"/>
  <c r="B219" i="2"/>
  <c r="I219" i="2" s="1"/>
  <c r="B129" i="2"/>
  <c r="B200" i="2"/>
  <c r="B87" i="2"/>
  <c r="B318" i="2"/>
  <c r="B51" i="2"/>
  <c r="B287" i="2"/>
  <c r="B192" i="2"/>
  <c r="B246" i="2"/>
  <c r="I246" i="2" s="1"/>
  <c r="B284" i="2"/>
  <c r="I284" i="2" s="1"/>
  <c r="B122" i="2"/>
  <c r="B43" i="2"/>
  <c r="B336" i="2"/>
  <c r="I336" i="2" s="1"/>
  <c r="B208" i="2"/>
  <c r="B374" i="2"/>
  <c r="B285" i="2"/>
  <c r="I285" i="2" s="1"/>
  <c r="B262" i="2"/>
  <c r="B296" i="2"/>
  <c r="I296" i="2" s="1"/>
  <c r="B188" i="2"/>
  <c r="B119" i="2"/>
  <c r="B286" i="2"/>
  <c r="I286" i="2" s="1"/>
  <c r="B50" i="2"/>
  <c r="B126" i="2"/>
  <c r="B130" i="2"/>
  <c r="B212" i="2"/>
  <c r="B300" i="2"/>
  <c r="I300" i="2" s="1"/>
  <c r="B350" i="2"/>
  <c r="B251" i="2"/>
  <c r="I251" i="2" s="1"/>
  <c r="B118" i="2"/>
  <c r="B295" i="2"/>
  <c r="I295" i="2" s="1"/>
  <c r="B259" i="2"/>
  <c r="B196" i="2"/>
  <c r="B292" i="2"/>
  <c r="B133" i="2"/>
  <c r="B327" i="2"/>
  <c r="B28" i="2"/>
  <c r="B132" i="2"/>
  <c r="B328" i="2"/>
  <c r="B217" i="2"/>
  <c r="B141" i="2"/>
  <c r="B224" i="2"/>
  <c r="I271" i="2"/>
  <c r="I301" i="2"/>
  <c r="I119" i="2"/>
  <c r="I71" i="2"/>
  <c r="I118" i="2"/>
  <c r="I108" i="2"/>
  <c r="I288" i="2"/>
  <c r="I210" i="2"/>
  <c r="I272" i="2"/>
  <c r="I253" i="2"/>
  <c r="I216" i="2"/>
  <c r="I72" i="2"/>
  <c r="I221" i="2"/>
  <c r="I122" i="2"/>
  <c r="I48" i="2"/>
  <c r="I142" i="2"/>
  <c r="I185" i="2"/>
  <c r="I225" i="2"/>
  <c r="I312" i="2"/>
  <c r="I350" i="2"/>
  <c r="T158" i="2"/>
  <c r="D158" i="2" s="1"/>
  <c r="I324" i="2"/>
  <c r="T357" i="2"/>
  <c r="D357" i="2" s="1"/>
  <c r="T250" i="2"/>
  <c r="D250" i="2" s="1"/>
  <c r="I250" i="2"/>
  <c r="T269" i="2"/>
  <c r="D269" i="2" s="1"/>
  <c r="I269" i="2"/>
  <c r="I310" i="2"/>
  <c r="T261" i="2"/>
  <c r="D261" i="2" s="1"/>
  <c r="I261" i="2"/>
  <c r="D226" i="2"/>
  <c r="D202" i="2"/>
  <c r="D222" i="2"/>
  <c r="D223" i="2"/>
  <c r="D218" i="2"/>
  <c r="Z133" i="2"/>
  <c r="D19" i="30"/>
  <c r="D19" i="8"/>
  <c r="H21" i="6"/>
  <c r="G22" i="6" s="1"/>
  <c r="L20" i="6"/>
  <c r="E79" i="2"/>
  <c r="E289" i="2"/>
  <c r="U360" i="2"/>
  <c r="D53" i="18" a="1"/>
  <c r="U285" i="2"/>
  <c r="G310" i="2"/>
  <c r="P32" i="8" a="1"/>
  <c r="U284" i="2"/>
  <c r="U103" i="2"/>
  <c r="U189" i="2"/>
  <c r="U295" i="2"/>
  <c r="DZ15" i="8" a="1"/>
  <c r="U119" i="2"/>
  <c r="AB33" i="8" a="1"/>
  <c r="U216" i="2"/>
  <c r="U318" i="2"/>
  <c r="X223" i="2"/>
  <c r="G300" i="2"/>
  <c r="U224" i="2"/>
  <c r="U136" i="2"/>
  <c r="U324" i="2"/>
  <c r="AB45" i="8" a="1"/>
  <c r="AZ27" i="8" a="1"/>
  <c r="BL16" i="8" a="1"/>
  <c r="DZ8" i="8" a="1"/>
  <c r="E315" i="2"/>
  <c r="D526" i="18" a="1"/>
  <c r="E259" i="2"/>
  <c r="AB57" i="8" a="1"/>
  <c r="BL19" i="8" a="1"/>
  <c r="AB34" i="8" a="1"/>
  <c r="DZ16" i="8" a="1"/>
  <c r="AZ18" i="8" a="1"/>
  <c r="AB52" i="8" a="1"/>
  <c r="E316" i="2"/>
  <c r="E251" i="2"/>
  <c r="G142" i="2"/>
  <c r="AN15" i="8" a="1"/>
  <c r="P18" i="8" a="1"/>
  <c r="AZ30" i="8" a="1"/>
  <c r="P20" i="8" a="1"/>
  <c r="U133" i="2"/>
  <c r="E311" i="2"/>
  <c r="DZ11" i="8" a="1"/>
  <c r="U361" i="2"/>
  <c r="G379" i="18" a="1"/>
  <c r="E200" i="2"/>
  <c r="E295" i="2"/>
  <c r="G87" i="2"/>
  <c r="E350" i="2"/>
  <c r="F598" i="18" a="1"/>
  <c r="G288" i="2"/>
  <c r="P9" i="8" a="1"/>
  <c r="AZ34" i="8" a="1"/>
  <c r="E318" i="2"/>
  <c r="G119" i="2"/>
  <c r="E253" i="2"/>
  <c r="AN8" i="8" a="1"/>
  <c r="HM10" i="8" a="1"/>
  <c r="E95" i="2"/>
  <c r="E212" i="2"/>
  <c r="AB35" i="8" a="1"/>
  <c r="BL22" i="8" a="1"/>
  <c r="DZ17" i="8" a="1"/>
  <c r="E118" i="2"/>
  <c r="G302" i="2"/>
  <c r="G95" i="2"/>
  <c r="U127" i="2"/>
  <c r="E225" i="2"/>
  <c r="AB48" i="8" a="1"/>
  <c r="I598" i="18" a="1"/>
  <c r="P22" i="8" a="1"/>
  <c r="AB19" i="8" a="1"/>
  <c r="I652" i="18" a="1"/>
  <c r="AN19" i="8" a="1"/>
  <c r="G292" i="2"/>
  <c r="AB31" i="8" a="1"/>
  <c r="AB43" i="8" a="1"/>
  <c r="L598" i="18" a="1"/>
  <c r="DZ9" i="8" a="1"/>
  <c r="AZ26" i="8" a="1"/>
  <c r="G34" i="2"/>
  <c r="AZ28" i="8" a="1"/>
  <c r="IA10" i="8" a="1"/>
  <c r="E203" i="2"/>
  <c r="AB10" i="8" a="1"/>
  <c r="P19" i="8" a="1"/>
  <c r="E114" i="2"/>
  <c r="G598" i="18" a="1"/>
  <c r="P10" i="8" a="1"/>
  <c r="BL17" i="8" a="1"/>
  <c r="U262" i="2"/>
  <c r="BL30" i="8" a="1"/>
  <c r="AZ44" i="8" a="1"/>
  <c r="E69" i="18" a="1"/>
  <c r="U118" i="2"/>
  <c r="AZ22" i="8" a="1"/>
  <c r="G210" i="2"/>
  <c r="AB13" i="8" a="1"/>
  <c r="G251" i="2"/>
  <c r="G69" i="18" a="1"/>
  <c r="DZ19" i="8" a="1"/>
  <c r="AZ15" i="8" a="1"/>
  <c r="AZ21" i="8" a="1"/>
  <c r="E304" i="2"/>
  <c r="U328" i="2"/>
  <c r="AB14" i="8" a="1"/>
  <c r="AB9" i="8" a="1"/>
  <c r="AZ17" i="8" a="1"/>
  <c r="G307" i="2"/>
  <c r="P31" i="8" a="1"/>
  <c r="G304" i="2"/>
  <c r="AZ39" i="8" a="1"/>
  <c r="E296" i="2"/>
  <c r="AB12" i="8" a="1"/>
  <c r="AB17" i="8" a="1"/>
  <c r="P16" i="8" a="1"/>
  <c r="G219" i="2"/>
  <c r="E53" i="18" a="1"/>
  <c r="AB40" i="8" a="1"/>
  <c r="M598" i="18" a="1"/>
  <c r="P14" i="8" a="1"/>
  <c r="F69" i="18" a="1"/>
  <c r="AZ14" i="8" a="1"/>
  <c r="AB38" i="8" a="1"/>
  <c r="U271" i="2"/>
  <c r="E27" i="2"/>
  <c r="U122" i="2"/>
  <c r="E122" i="2"/>
  <c r="AZ13" i="8" a="1"/>
  <c r="BL10" i="8" a="1"/>
  <c r="E34" i="2"/>
  <c r="U310" i="2"/>
  <c r="G221" i="2"/>
  <c r="E166" i="2"/>
  <c r="G318" i="2"/>
  <c r="G185" i="2"/>
  <c r="U221" i="2"/>
  <c r="P29" i="8" a="1"/>
  <c r="AB41" i="8" a="1"/>
  <c r="AN17" i="8" a="1"/>
  <c r="AZ33" i="8" a="1"/>
  <c r="U205" i="2"/>
  <c r="U300" i="2"/>
  <c r="U130" i="2"/>
  <c r="AB24" i="8" a="1"/>
  <c r="G253" i="2"/>
  <c r="E87" i="2"/>
  <c r="E256" i="2"/>
  <c r="IA9" i="8" a="1"/>
  <c r="G71" i="2"/>
  <c r="E321" i="2"/>
  <c r="F757" i="18"/>
  <c r="G374" i="2"/>
  <c r="U210" i="2"/>
  <c r="E272" i="2"/>
  <c r="AZ16" i="8" a="1"/>
  <c r="E43" i="2"/>
  <c r="AB8" i="8" a="1"/>
  <c r="G652" i="18" a="1"/>
  <c r="U287" i="2"/>
  <c r="E185" i="2"/>
  <c r="E310" i="2"/>
  <c r="U141" i="2"/>
  <c r="E327" i="2"/>
  <c r="AZ41" i="8" a="1"/>
  <c r="U188" i="2"/>
  <c r="G273" i="2"/>
  <c r="G189" i="2"/>
  <c r="DZ12" i="8" a="1"/>
  <c r="U219" i="2"/>
  <c r="AZ32" i="8" a="1"/>
  <c r="E319" i="2"/>
  <c r="E352" i="2"/>
  <c r="G203" i="2"/>
  <c r="G316" i="2"/>
  <c r="AZ9" i="8" a="1"/>
  <c r="U336" i="2"/>
  <c r="AB58" i="8" a="1"/>
  <c r="AN20" i="8" a="1"/>
  <c r="U197" i="2"/>
  <c r="E757" i="18"/>
  <c r="U292" i="2"/>
  <c r="E287" i="2"/>
  <c r="AN9" i="8" a="1"/>
  <c r="AB71" i="8" a="1"/>
  <c r="E286" i="2"/>
  <c r="AB51" i="8" a="1"/>
  <c r="AB32" i="8" a="1"/>
  <c r="U273" i="2"/>
  <c r="J652" i="18" a="1"/>
  <c r="G116" i="2"/>
  <c r="E301" i="2"/>
  <c r="AZ36" i="8" a="1"/>
  <c r="E273" i="2"/>
  <c r="G262" i="2"/>
  <c r="E598" i="18" a="1"/>
  <c r="D503" i="18" a="1"/>
  <c r="BL27" i="8" a="1"/>
  <c r="BL13" i="8" a="1"/>
  <c r="AB44" i="8" a="1"/>
  <c r="AB56" i="8" a="1"/>
  <c r="AZ19" i="8" a="1"/>
  <c r="U272" i="2"/>
  <c r="IA8" i="8" a="1"/>
  <c r="G284" i="2"/>
  <c r="BL14" i="8" a="1"/>
  <c r="G122" i="2"/>
  <c r="CK4" i="30" a="1"/>
  <c r="AB27" i="8" a="1"/>
  <c r="U104" i="2"/>
  <c r="G205" i="2"/>
  <c r="AB28" i="8" a="1"/>
  <c r="AB50" i="8" a="1"/>
  <c r="G259" i="2"/>
  <c r="AB42" i="8" a="1"/>
  <c r="E216" i="2"/>
  <c r="X218" i="2"/>
  <c r="P25" i="8" a="1"/>
  <c r="G286" i="2"/>
  <c r="S6" i="3"/>
  <c r="E285" i="2"/>
  <c r="G289" i="2"/>
  <c r="AZ38" i="8" a="1"/>
  <c r="X222" i="2"/>
  <c r="E132" i="2"/>
  <c r="AN21" i="8" a="1"/>
  <c r="G350" i="2"/>
  <c r="BL23" i="8" a="1"/>
  <c r="AZ23" i="8" a="1"/>
  <c r="E72" i="2"/>
  <c r="U321" i="2"/>
  <c r="U315" i="2"/>
  <c r="X226" i="2"/>
  <c r="AZ45" i="8" a="1"/>
  <c r="G295" i="2"/>
  <c r="U166" i="2"/>
  <c r="AB23" i="8" a="1"/>
  <c r="G129" i="2"/>
  <c r="E205" i="2"/>
  <c r="AZ29" i="8" a="1"/>
  <c r="E361" i="2"/>
  <c r="E188" i="2"/>
  <c r="E108" i="2"/>
  <c r="AB30" i="8" a="1"/>
  <c r="AN22" i="8" a="1"/>
  <c r="AB15" i="8" a="1"/>
  <c r="G271" i="2"/>
  <c r="U185" i="2"/>
  <c r="AN18" i="8" a="1"/>
  <c r="P11" i="8" a="1"/>
  <c r="U289" i="2"/>
  <c r="P12" i="8" a="1"/>
  <c r="G225" i="2"/>
  <c r="AB18" i="8" a="1"/>
  <c r="G285" i="2"/>
  <c r="AZ25" i="8" a="1"/>
  <c r="E48" i="2"/>
  <c r="DZ13" i="8" a="1"/>
  <c r="U286" i="2"/>
  <c r="E219" i="2"/>
  <c r="U225" i="2"/>
  <c r="AZ31" i="8" a="1"/>
  <c r="U212" i="2"/>
  <c r="O598" i="18" a="1"/>
  <c r="U129" i="2"/>
  <c r="AB29" i="8" a="1"/>
  <c r="G328" i="2"/>
  <c r="E307" i="2"/>
  <c r="BL12" i="8" a="1"/>
  <c r="AB46" i="8" a="1"/>
  <c r="E208" i="2"/>
  <c r="E328" i="2"/>
  <c r="AB49" i="8" a="1"/>
  <c r="BL15" i="8" a="1"/>
  <c r="AZ8" i="8" a="1"/>
  <c r="E116" i="2"/>
  <c r="G301" i="2"/>
  <c r="G272" i="2"/>
  <c r="F503" i="18" a="1"/>
  <c r="BL25" i="8" a="1"/>
  <c r="AB39" i="8" a="1"/>
  <c r="AZ20" i="8" a="1"/>
  <c r="G118" i="2"/>
  <c r="U108" i="2"/>
  <c r="DZ18" i="8" a="1"/>
  <c r="AZ42" i="8" a="1"/>
  <c r="BL29" i="8" a="1"/>
  <c r="H598" i="18" a="1"/>
  <c r="E196" i="2"/>
  <c r="E142" i="2"/>
  <c r="U304" i="2"/>
  <c r="AB21" i="8" a="1"/>
  <c r="AN14" i="8" a="1"/>
  <c r="DZ14" i="8" a="1"/>
  <c r="E81" i="2"/>
  <c r="U296" i="2"/>
  <c r="K69" i="18" a="1"/>
  <c r="HM8" i="8" a="1"/>
  <c r="E324" i="2"/>
  <c r="U259" i="2"/>
  <c r="G197" i="2"/>
  <c r="I69" i="18" a="1"/>
  <c r="E284" i="2"/>
  <c r="E246" i="2"/>
  <c r="E271" i="2"/>
  <c r="BL8" i="8" a="1"/>
  <c r="D379" i="18" a="1"/>
  <c r="H652" i="18" a="1"/>
  <c r="P23" i="8" a="1"/>
  <c r="E262" i="2"/>
  <c r="G79" i="2"/>
  <c r="E51" i="2"/>
  <c r="AB55" i="8" a="1"/>
  <c r="E192" i="2"/>
  <c r="BL18" i="8" a="1"/>
  <c r="P13" i="8" a="1"/>
  <c r="G166" i="2"/>
  <c r="G287" i="2"/>
  <c r="N598" i="18" a="1"/>
  <c r="E71" i="2"/>
  <c r="J598" i="18" a="1"/>
  <c r="U114" i="2"/>
  <c r="AN12" i="8" a="1"/>
  <c r="AZ12" i="8" a="1"/>
  <c r="U144" i="2"/>
  <c r="HM9" i="8" a="1"/>
  <c r="BL32" i="8" a="1"/>
  <c r="AZ40" i="8" a="1"/>
  <c r="F652" i="18" a="1"/>
  <c r="BL9" i="8" a="1"/>
  <c r="E652" i="18" a="1"/>
  <c r="U253" i="2"/>
  <c r="AB16" i="8" a="1"/>
  <c r="AZ37" i="8" a="1"/>
  <c r="AZ35" i="8" a="1"/>
  <c r="AZ11" i="8" a="1"/>
  <c r="AB11" i="8" a="1"/>
  <c r="P24" i="8" a="1"/>
  <c r="F379" i="18" a="1"/>
  <c r="BL26" i="8" a="1"/>
  <c r="AB25" i="8" a="1"/>
  <c r="E374" i="2"/>
  <c r="P26" i="8" a="1"/>
  <c r="G27" i="2"/>
  <c r="E503" i="18" a="1"/>
  <c r="P8" i="8" a="1"/>
  <c r="AB20" i="8" a="1"/>
  <c r="U192" i="2"/>
  <c r="G72" i="2"/>
  <c r="E197" i="2"/>
  <c r="U288" i="2"/>
  <c r="E302" i="2"/>
  <c r="U311" i="2"/>
  <c r="P15" i="8" a="1"/>
  <c r="U246" i="2"/>
  <c r="AB37" i="8" a="1"/>
  <c r="G352" i="2"/>
  <c r="G188" i="2"/>
  <c r="BL20" i="8" a="1"/>
  <c r="E260" i="2"/>
  <c r="E221" i="2"/>
  <c r="G315" i="2"/>
  <c r="U301" i="2"/>
  <c r="G324" i="2"/>
  <c r="G321" i="2"/>
  <c r="BL21" i="8" a="1"/>
  <c r="AN10" i="8" a="1"/>
  <c r="AN16" i="8" a="1"/>
  <c r="AB47" i="8" a="1"/>
  <c r="G256" i="2"/>
  <c r="G246" i="2"/>
  <c r="DZ10" i="8" a="1"/>
  <c r="BL31" i="8" a="1"/>
  <c r="G108" i="2"/>
  <c r="E126" i="2"/>
  <c r="U203" i="2"/>
  <c r="AN13" i="8" a="1"/>
  <c r="BL24" i="8" a="1"/>
  <c r="U142" i="2"/>
  <c r="P33" i="8" a="1"/>
  <c r="E360" i="2"/>
  <c r="E379" i="18" a="1"/>
  <c r="E141" i="2"/>
  <c r="U307" i="2"/>
  <c r="E336" i="2"/>
  <c r="AB36" i="8" a="1"/>
  <c r="E312" i="2"/>
  <c r="U217" i="2"/>
  <c r="AB22" i="8" a="1"/>
  <c r="AB53" i="8" a="1"/>
  <c r="G114" i="2"/>
  <c r="G327" i="2"/>
  <c r="U302" i="2"/>
  <c r="BL28" i="8" a="1"/>
  <c r="P30" i="8" a="1"/>
  <c r="U256" i="2"/>
  <c r="BL11" i="8" a="1"/>
  <c r="E292" i="2"/>
  <c r="U208" i="2"/>
  <c r="G48" i="2"/>
  <c r="E189" i="2"/>
  <c r="G296" i="2"/>
  <c r="AZ24" i="8" a="1"/>
  <c r="U126" i="2"/>
  <c r="K652" i="18" a="1"/>
  <c r="AZ10" i="8" a="1"/>
  <c r="U132" i="2"/>
  <c r="AN11" i="8" a="1"/>
  <c r="E210" i="2"/>
  <c r="G141" i="2"/>
  <c r="X202" i="2"/>
  <c r="E288" i="2"/>
  <c r="E129" i="2"/>
  <c r="G311" i="2"/>
  <c r="D757" i="18"/>
  <c r="H69" i="18" a="1"/>
  <c r="G216" i="2"/>
  <c r="U196" i="2"/>
  <c r="G360" i="2"/>
  <c r="AB26" i="8" a="1"/>
  <c r="G361" i="2"/>
  <c r="G336" i="2"/>
  <c r="E119" i="2"/>
  <c r="D69" i="18" a="1"/>
  <c r="G319" i="2"/>
  <c r="E50" i="2"/>
  <c r="P21" i="8" a="1"/>
  <c r="AB54" i="8" a="1"/>
  <c r="P17" i="8" a="1"/>
  <c r="E130" i="2"/>
  <c r="K598" i="18" a="1"/>
  <c r="E300" i="2"/>
  <c r="G312" i="2"/>
  <c r="G212" i="2"/>
  <c r="AZ43" i="8" a="1"/>
  <c r="U352" i="2"/>
  <c r="B202" i="2" l="1"/>
  <c r="B218" i="2"/>
  <c r="B223" i="2"/>
  <c r="B222" i="2"/>
  <c r="B226" i="2"/>
  <c r="X158" i="2"/>
  <c r="B158" i="2" s="1"/>
  <c r="D15" i="34" s="1"/>
  <c r="E15" i="34" s="1"/>
  <c r="F48" i="2"/>
  <c r="F304" i="2"/>
  <c r="F350" i="2"/>
  <c r="F286" i="2"/>
  <c r="F212" i="2"/>
  <c r="F197" i="2"/>
  <c r="F72" i="2"/>
  <c r="F203" i="2"/>
  <c r="F126" i="2"/>
  <c r="F132" i="2"/>
  <c r="F142" i="2"/>
  <c r="F321" i="2"/>
  <c r="F130" i="2"/>
  <c r="F122" i="2"/>
  <c r="F262" i="2"/>
  <c r="F292" i="2"/>
  <c r="F260" i="2"/>
  <c r="F216" i="2"/>
  <c r="F361" i="2"/>
  <c r="F200" i="2"/>
  <c r="F312" i="2"/>
  <c r="F95" i="2"/>
  <c r="F318" i="2"/>
  <c r="F87" i="2"/>
  <c r="F256" i="2"/>
  <c r="F189" i="2"/>
  <c r="F360" i="2"/>
  <c r="F271" i="2"/>
  <c r="F316" i="2"/>
  <c r="F284" i="2"/>
  <c r="F205" i="2"/>
  <c r="F118" i="2"/>
  <c r="F188" i="2"/>
  <c r="F185" i="2"/>
  <c r="F319" i="2"/>
  <c r="F50" i="2"/>
  <c r="F285" i="2"/>
  <c r="F225" i="2"/>
  <c r="F114" i="2"/>
  <c r="F79" i="2"/>
  <c r="F208" i="2"/>
  <c r="F272" i="2"/>
  <c r="F327" i="2"/>
  <c r="F221" i="2"/>
  <c r="F196" i="2"/>
  <c r="F296" i="2"/>
  <c r="F71" i="2"/>
  <c r="F210" i="2"/>
  <c r="F310" i="2"/>
  <c r="F336" i="2"/>
  <c r="F251" i="2"/>
  <c r="F352" i="2"/>
  <c r="F311" i="2"/>
  <c r="F301" i="2"/>
  <c r="F219" i="2"/>
  <c r="F295" i="2"/>
  <c r="F34" i="2"/>
  <c r="F315" i="2"/>
  <c r="F302" i="2"/>
  <c r="F192" i="2"/>
  <c r="F246" i="2"/>
  <c r="F108" i="2"/>
  <c r="F288" i="2"/>
  <c r="F287" i="2"/>
  <c r="F119" i="2"/>
  <c r="F324" i="2"/>
  <c r="F81" i="2"/>
  <c r="F273" i="2"/>
  <c r="F43" i="2"/>
  <c r="F129" i="2"/>
  <c r="F51" i="2"/>
  <c r="F116" i="2"/>
  <c r="F253" i="2"/>
  <c r="F141" i="2"/>
  <c r="F289" i="2"/>
  <c r="F27" i="2"/>
  <c r="F259" i="2"/>
  <c r="F166" i="2"/>
  <c r="F374" i="2"/>
  <c r="F328" i="2"/>
  <c r="F307" i="2"/>
  <c r="F300" i="2"/>
  <c r="D53" i="18"/>
  <c r="D55" i="18" s="1"/>
  <c r="D57" i="18" s="1"/>
  <c r="F503" i="18"/>
  <c r="F505" i="18" s="1"/>
  <c r="F506" i="18" s="1"/>
  <c r="K652" i="18"/>
  <c r="K654" i="18" s="1"/>
  <c r="K655" i="18" s="1"/>
  <c r="E652" i="18"/>
  <c r="E654" i="18" s="1"/>
  <c r="E655" i="18" s="1"/>
  <c r="E379" i="18"/>
  <c r="E381" i="18" s="1"/>
  <c r="E382" i="18" s="1"/>
  <c r="G379" i="18"/>
  <c r="G381" i="18" s="1"/>
  <c r="G382" i="18" s="1"/>
  <c r="F598" i="18"/>
  <c r="F600" i="18" s="1"/>
  <c r="M598" i="18"/>
  <c r="M600" i="18" s="1"/>
  <c r="M601" i="18" s="1"/>
  <c r="E69" i="18"/>
  <c r="E71" i="18" s="1"/>
  <c r="E73" i="18" s="1"/>
  <c r="D759" i="18"/>
  <c r="D760" i="18" s="1"/>
  <c r="L598" i="18"/>
  <c r="L600" i="18" s="1"/>
  <c r="L601" i="18" s="1"/>
  <c r="E53" i="18"/>
  <c r="E55" i="18" s="1"/>
  <c r="E57" i="18" s="1"/>
  <c r="E759" i="18"/>
  <c r="E760" i="18" s="1"/>
  <c r="H598" i="18"/>
  <c r="H600" i="18" s="1"/>
  <c r="H601" i="18" s="1"/>
  <c r="F69" i="18"/>
  <c r="F71" i="18" s="1"/>
  <c r="F73" i="18" s="1"/>
  <c r="H69" i="18"/>
  <c r="H71" i="18" s="1"/>
  <c r="H73" i="18" s="1"/>
  <c r="D503" i="18"/>
  <c r="D505" i="18" s="1"/>
  <c r="D506" i="18" s="1"/>
  <c r="I598" i="18"/>
  <c r="I600" i="18" s="1"/>
  <c r="I601" i="18" s="1"/>
  <c r="N598" i="18"/>
  <c r="CK4" i="30"/>
  <c r="CL4" i="30" s="1"/>
  <c r="CI3" i="30" s="1"/>
  <c r="CH3" i="30" s="1"/>
  <c r="X189" i="2" s="1"/>
  <c r="B189" i="2" s="1"/>
  <c r="G69" i="18"/>
  <c r="G71" i="18" s="1"/>
  <c r="G73" i="18" s="1"/>
  <c r="BL32" i="8"/>
  <c r="BM32" i="8" s="1"/>
  <c r="AZ37" i="8"/>
  <c r="BA37" i="8" s="1"/>
  <c r="AZ23" i="8"/>
  <c r="BA23" i="8" s="1"/>
  <c r="BL13" i="8"/>
  <c r="BM13" i="8" s="1"/>
  <c r="BL10" i="8"/>
  <c r="BM10" i="8" s="1"/>
  <c r="P17" i="8"/>
  <c r="Q17" i="8" s="1"/>
  <c r="AZ8" i="8"/>
  <c r="BA8" i="8" s="1"/>
  <c r="AB48" i="8"/>
  <c r="AC48" i="8" s="1"/>
  <c r="AB24" i="8"/>
  <c r="AC24" i="8" s="1"/>
  <c r="AZ18" i="8"/>
  <c r="BA18" i="8" s="1"/>
  <c r="AZ36" i="8"/>
  <c r="BA36" i="8" s="1"/>
  <c r="AB56" i="8"/>
  <c r="AC56" i="8" s="1"/>
  <c r="HM10" i="8"/>
  <c r="HN10" i="8" s="1"/>
  <c r="AN11" i="8"/>
  <c r="AO11" i="8" s="1"/>
  <c r="AN18" i="8"/>
  <c r="AO18" i="8" s="1"/>
  <c r="P24" i="8"/>
  <c r="Q24" i="8" s="1"/>
  <c r="P18" i="8"/>
  <c r="Q18" i="8" s="1"/>
  <c r="AB41" i="8"/>
  <c r="AC41" i="8" s="1"/>
  <c r="DZ18" i="8"/>
  <c r="EA18" i="8" s="1"/>
  <c r="DZ14" i="8"/>
  <c r="EA14" i="8" s="1"/>
  <c r="AB21" i="8"/>
  <c r="AC21" i="8" s="1"/>
  <c r="BL8" i="8"/>
  <c r="BM8" i="8" s="1"/>
  <c r="AZ41" i="8"/>
  <c r="BA41" i="8" s="1"/>
  <c r="AZ29" i="8"/>
  <c r="BA29" i="8" s="1"/>
  <c r="AB43" i="8"/>
  <c r="AC43" i="8" s="1"/>
  <c r="BL26" i="8"/>
  <c r="BM26" i="8" s="1"/>
  <c r="BL15" i="8"/>
  <c r="BM15" i="8" s="1"/>
  <c r="BL22" i="8"/>
  <c r="BM22" i="8" s="1"/>
  <c r="AB55" i="8"/>
  <c r="AC55" i="8" s="1"/>
  <c r="DZ16" i="8"/>
  <c r="EA16" i="8" s="1"/>
  <c r="AN9" i="8"/>
  <c r="AO9" i="8" s="1"/>
  <c r="P12" i="8"/>
  <c r="Q12" i="8" s="1"/>
  <c r="AB27" i="8"/>
  <c r="AC27" i="8" s="1"/>
  <c r="P25" i="8"/>
  <c r="Q25" i="8" s="1"/>
  <c r="AB28" i="8"/>
  <c r="AC28" i="8" s="1"/>
  <c r="AZ28" i="8"/>
  <c r="BA28" i="8" s="1"/>
  <c r="AB9" i="8"/>
  <c r="AC9" i="8" s="1"/>
  <c r="BL19" i="8"/>
  <c r="BM19" i="8" s="1"/>
  <c r="AB15" i="8"/>
  <c r="AC15" i="8" s="1"/>
  <c r="AZ12" i="8"/>
  <c r="BA12" i="8" s="1"/>
  <c r="AB51" i="8"/>
  <c r="AC51" i="8" s="1"/>
  <c r="BL17" i="8"/>
  <c r="BM17" i="8" s="1"/>
  <c r="BL27" i="8"/>
  <c r="BM27" i="8" s="1"/>
  <c r="BL16" i="8"/>
  <c r="BM16" i="8" s="1"/>
  <c r="AB22" i="8"/>
  <c r="AC22" i="8" s="1"/>
  <c r="P33" i="8"/>
  <c r="Q33" i="8" s="1"/>
  <c r="AB31" i="8"/>
  <c r="AC31" i="8" s="1"/>
  <c r="AN22" i="8"/>
  <c r="AO22" i="8" s="1"/>
  <c r="P9" i="8"/>
  <c r="Q9" i="8" s="1"/>
  <c r="AZ30" i="8"/>
  <c r="BA30" i="8" s="1"/>
  <c r="E50" i="3"/>
  <c r="AB46" i="8"/>
  <c r="AC46" i="8" s="1"/>
  <c r="AB39" i="8"/>
  <c r="AC39" i="8" s="1"/>
  <c r="AZ33" i="8"/>
  <c r="BA33" i="8" s="1"/>
  <c r="AZ34" i="8"/>
  <c r="BA34" i="8" s="1"/>
  <c r="DZ12" i="8"/>
  <c r="EA12" i="8" s="1"/>
  <c r="AB26" i="8"/>
  <c r="AC26" i="8" s="1"/>
  <c r="AN21" i="8"/>
  <c r="AO21" i="8" s="1"/>
  <c r="AB20" i="8"/>
  <c r="AC20" i="8" s="1"/>
  <c r="AN13" i="8"/>
  <c r="AO13" i="8" s="1"/>
  <c r="P22" i="8"/>
  <c r="Q22" i="8" s="1"/>
  <c r="P10" i="8"/>
  <c r="Q10" i="8" s="1"/>
  <c r="AB18" i="8"/>
  <c r="AC18" i="8" s="1"/>
  <c r="AN10" i="8"/>
  <c r="AO10" i="8" s="1"/>
  <c r="HM8" i="8"/>
  <c r="HN8" i="8" s="1"/>
  <c r="P21" i="8"/>
  <c r="Q21" i="8" s="1"/>
  <c r="AB33" i="8"/>
  <c r="AC33" i="8" s="1"/>
  <c r="AB34" i="8"/>
  <c r="AC34" i="8" s="1"/>
  <c r="AN16" i="8"/>
  <c r="AO16" i="8" s="1"/>
  <c r="AZ27" i="8"/>
  <c r="BA27" i="8" s="1"/>
  <c r="DZ10" i="8"/>
  <c r="EA10" i="8" s="1"/>
  <c r="DZ17" i="8"/>
  <c r="EA17" i="8" s="1"/>
  <c r="AB42" i="8"/>
  <c r="AC42" i="8" s="1"/>
  <c r="AB8" i="8"/>
  <c r="AC8" i="8" s="1"/>
  <c r="BL31" i="8"/>
  <c r="BM31" i="8" s="1"/>
  <c r="AN15" i="8"/>
  <c r="AO15" i="8" s="1"/>
  <c r="AB23" i="8"/>
  <c r="AC23" i="8" s="1"/>
  <c r="AZ44" i="8"/>
  <c r="BA44" i="8" s="1"/>
  <c r="P8" i="8"/>
  <c r="Q8" i="8" s="1"/>
  <c r="P29" i="8"/>
  <c r="Q29" i="8" s="1"/>
  <c r="DZ11" i="8"/>
  <c r="EA11" i="8" s="1"/>
  <c r="AN8" i="8"/>
  <c r="AO8" i="8" s="1"/>
  <c r="P26" i="8"/>
  <c r="Q26" i="8" s="1"/>
  <c r="AZ20" i="8"/>
  <c r="BA20" i="8" s="1"/>
  <c r="AB58" i="8"/>
  <c r="AC58" i="8" s="1"/>
  <c r="AZ16" i="8"/>
  <c r="BA16" i="8" s="1"/>
  <c r="AZ13" i="8"/>
  <c r="BA13" i="8" s="1"/>
  <c r="AB37" i="8"/>
  <c r="AC37" i="8" s="1"/>
  <c r="D69" i="18"/>
  <c r="D71" i="18" s="1"/>
  <c r="D73" i="18" s="1"/>
  <c r="H652" i="18"/>
  <c r="H654" i="18" s="1"/>
  <c r="H655" i="18" s="1"/>
  <c r="I652" i="18"/>
  <c r="I654" i="18" s="1"/>
  <c r="I655" i="18" s="1"/>
  <c r="I69" i="18"/>
  <c r="I71" i="18" s="1"/>
  <c r="I73" i="18" s="1"/>
  <c r="E598" i="18"/>
  <c r="G598" i="18"/>
  <c r="G600" i="18" s="1"/>
  <c r="G601" i="18" s="1"/>
  <c r="K69" i="18"/>
  <c r="K71" i="18" s="1"/>
  <c r="K73" i="18" s="1"/>
  <c r="D526" i="18"/>
  <c r="D528" i="18" s="1"/>
  <c r="D529" i="18" s="1"/>
  <c r="C531" i="18" s="1"/>
  <c r="C532" i="18" s="1"/>
  <c r="J652" i="18"/>
  <c r="J654" i="18" s="1"/>
  <c r="J655" i="18" s="1"/>
  <c r="D379" i="18"/>
  <c r="D381" i="18" s="1"/>
  <c r="D382" i="18" s="1"/>
  <c r="F652" i="18"/>
  <c r="F654" i="18" s="1"/>
  <c r="F655" i="18" s="1"/>
  <c r="J598" i="18"/>
  <c r="J600" i="18" s="1"/>
  <c r="J601" i="18" s="1"/>
  <c r="F759" i="18"/>
  <c r="F760" i="18" s="1"/>
  <c r="G652" i="18"/>
  <c r="G654" i="18" s="1"/>
  <c r="G655" i="18" s="1"/>
  <c r="K598" i="18"/>
  <c r="K600" i="18" s="1"/>
  <c r="K601" i="18" s="1"/>
  <c r="F379" i="18"/>
  <c r="F381" i="18" s="1"/>
  <c r="F382" i="18" s="1"/>
  <c r="E503" i="18"/>
  <c r="E505" i="18" s="1"/>
  <c r="E506" i="18" s="1"/>
  <c r="O598" i="18"/>
  <c r="O600" i="18" s="1"/>
  <c r="DZ8" i="8"/>
  <c r="EA8" i="8" s="1"/>
  <c r="AB10" i="8"/>
  <c r="AC10" i="8" s="1"/>
  <c r="AB44" i="8"/>
  <c r="AC44" i="8" s="1"/>
  <c r="P30" i="8"/>
  <c r="Q30" i="8" s="1"/>
  <c r="AB11" i="8"/>
  <c r="AC11" i="8" s="1"/>
  <c r="AZ31" i="8"/>
  <c r="BA31" i="8" s="1"/>
  <c r="P19" i="8"/>
  <c r="Q19" i="8" s="1"/>
  <c r="P11" i="8"/>
  <c r="Q11" i="8" s="1"/>
  <c r="AZ39" i="8"/>
  <c r="BA39" i="8" s="1"/>
  <c r="BL18" i="8"/>
  <c r="BM18" i="8" s="1"/>
  <c r="AB38" i="8"/>
  <c r="AC38" i="8" s="1"/>
  <c r="AZ21" i="8"/>
  <c r="BA21" i="8" s="1"/>
  <c r="P23" i="8"/>
  <c r="Q23" i="8" s="1"/>
  <c r="BL12" i="8"/>
  <c r="BM12" i="8" s="1"/>
  <c r="AZ35" i="8"/>
  <c r="BA35" i="8" s="1"/>
  <c r="AB30" i="8"/>
  <c r="AC30" i="8" s="1"/>
  <c r="DZ9" i="8"/>
  <c r="EA9" i="8" s="1"/>
  <c r="AZ45" i="8"/>
  <c r="BA45" i="8" s="1"/>
  <c r="P16" i="8"/>
  <c r="Q16" i="8" s="1"/>
  <c r="BL29" i="8"/>
  <c r="BM29" i="8" s="1"/>
  <c r="AZ38" i="8"/>
  <c r="BA38" i="8" s="1"/>
  <c r="BL25" i="8"/>
  <c r="BM25" i="8" s="1"/>
  <c r="P13" i="8"/>
  <c r="Q13" i="8" s="1"/>
  <c r="AZ25" i="8"/>
  <c r="BA25" i="8" s="1"/>
  <c r="AB14" i="8"/>
  <c r="AC14" i="8" s="1"/>
  <c r="P20" i="8"/>
  <c r="Q20" i="8" s="1"/>
  <c r="AB17" i="8"/>
  <c r="AC17" i="8" s="1"/>
  <c r="AZ32" i="8"/>
  <c r="BA32" i="8" s="1"/>
  <c r="AB12" i="8"/>
  <c r="AC12" i="8" s="1"/>
  <c r="AB50" i="8"/>
  <c r="AC50" i="8" s="1"/>
  <c r="AB35" i="8"/>
  <c r="AC35" i="8" s="1"/>
  <c r="AB40" i="8"/>
  <c r="AC40" i="8" s="1"/>
  <c r="AZ43" i="8"/>
  <c r="BA43" i="8" s="1"/>
  <c r="AB49" i="8"/>
  <c r="AC49" i="8" s="1"/>
  <c r="AB29" i="8"/>
  <c r="AC29" i="8" s="1"/>
  <c r="AZ26" i="8"/>
  <c r="BA26" i="8" s="1"/>
  <c r="AB52" i="8"/>
  <c r="AC52" i="8" s="1"/>
  <c r="AZ22" i="8"/>
  <c r="BA22" i="8" s="1"/>
  <c r="AZ17" i="8"/>
  <c r="BA17" i="8" s="1"/>
  <c r="AN12" i="8"/>
  <c r="AO12" i="8" s="1"/>
  <c r="IA10" i="8"/>
  <c r="IB10" i="8" s="1"/>
  <c r="P14" i="8"/>
  <c r="Q14" i="8" s="1"/>
  <c r="BL11" i="8"/>
  <c r="BM11" i="8" s="1"/>
  <c r="BL9" i="8"/>
  <c r="BM9" i="8" s="1"/>
  <c r="HM9" i="8"/>
  <c r="HN9" i="8" s="1"/>
  <c r="AZ10" i="8"/>
  <c r="BA10" i="8" s="1"/>
  <c r="AB45" i="8"/>
  <c r="AC45" i="8" s="1"/>
  <c r="BL28" i="8"/>
  <c r="BM28" i="8" s="1"/>
  <c r="AN20" i="8"/>
  <c r="AO20" i="8" s="1"/>
  <c r="AB71" i="8"/>
  <c r="AC71" i="8" s="1"/>
  <c r="BL30" i="8"/>
  <c r="BM30" i="8" s="1"/>
  <c r="AZ9" i="8"/>
  <c r="BA9" i="8" s="1"/>
  <c r="BL24" i="8"/>
  <c r="BM24" i="8" s="1"/>
  <c r="BL21" i="8"/>
  <c r="BM21" i="8" s="1"/>
  <c r="P15" i="8"/>
  <c r="Q15" i="8" s="1"/>
  <c r="P32" i="8"/>
  <c r="Q32" i="8" s="1"/>
  <c r="AB25" i="8"/>
  <c r="AC25" i="8" s="1"/>
  <c r="BL23" i="8"/>
  <c r="BM23" i="8" s="1"/>
  <c r="AZ15" i="8"/>
  <c r="BA15" i="8" s="1"/>
  <c r="AN19" i="8"/>
  <c r="AO19" i="8" s="1"/>
  <c r="AN14" i="8"/>
  <c r="AO14" i="8" s="1"/>
  <c r="BL20" i="8"/>
  <c r="BM20" i="8" s="1"/>
  <c r="P31" i="8"/>
  <c r="Q31" i="8" s="1"/>
  <c r="AB47" i="8"/>
  <c r="AC47" i="8" s="1"/>
  <c r="AB13" i="8"/>
  <c r="AC13" i="8" s="1"/>
  <c r="DZ15" i="8"/>
  <c r="EA15" i="8" s="1"/>
  <c r="AZ40" i="8"/>
  <c r="BA40" i="8" s="1"/>
  <c r="AZ24" i="8"/>
  <c r="BA24" i="8" s="1"/>
  <c r="IA9" i="8"/>
  <c r="IB9" i="8" s="1"/>
  <c r="DZ19" i="8"/>
  <c r="EA19" i="8" s="1"/>
  <c r="AZ19" i="8"/>
  <c r="BA19" i="8" s="1"/>
  <c r="AB19" i="8"/>
  <c r="AC19" i="8" s="1"/>
  <c r="AB53" i="8"/>
  <c r="AC53" i="8" s="1"/>
  <c r="AZ11" i="8"/>
  <c r="BA11" i="8" s="1"/>
  <c r="AB54" i="8"/>
  <c r="AC54" i="8" s="1"/>
  <c r="AB36" i="8"/>
  <c r="AC36" i="8" s="1"/>
  <c r="AZ42" i="8"/>
  <c r="BA42" i="8" s="1"/>
  <c r="AB32" i="8"/>
  <c r="AC32" i="8" s="1"/>
  <c r="BL14" i="8"/>
  <c r="BM14" i="8" s="1"/>
  <c r="DZ13" i="8"/>
  <c r="EA13" i="8" s="1"/>
  <c r="AB16" i="8"/>
  <c r="AC16" i="8" s="1"/>
  <c r="AZ14" i="8"/>
  <c r="BA14" i="8" s="1"/>
  <c r="AB57" i="8"/>
  <c r="AC57" i="8" s="1"/>
  <c r="IA8" i="8"/>
  <c r="IB8" i="8" s="1"/>
  <c r="AN17" i="8"/>
  <c r="AO17" i="8" s="1"/>
  <c r="M16" i="3"/>
  <c r="M24" i="3"/>
  <c r="M18" i="3"/>
  <c r="M10" i="3"/>
  <c r="M26" i="3"/>
  <c r="U116" i="2"/>
  <c r="U223" i="2"/>
  <c r="S362" i="2" a="1"/>
  <c r="S62" i="2" a="1"/>
  <c r="S179" i="2" a="1"/>
  <c r="S365" i="2" a="1"/>
  <c r="S58" i="2" a="1"/>
  <c r="S276" i="2" a="1"/>
  <c r="S469" i="2" a="1"/>
  <c r="S480" i="2" a="1"/>
  <c r="S439" i="2" a="1"/>
  <c r="S376" i="2" a="1"/>
  <c r="S245" i="2" a="1"/>
  <c r="S258" i="2" a="1"/>
  <c r="J835" i="18"/>
  <c r="S462" i="2" a="1"/>
  <c r="F908" i="18" a="1"/>
  <c r="D928" i="18" a="1"/>
  <c r="S331" i="2" a="1"/>
  <c r="S181" i="2" a="1"/>
  <c r="S164" i="2" a="1"/>
  <c r="S237" i="2" a="1"/>
  <c r="S209" i="2" a="1"/>
  <c r="S94" i="2" a="1"/>
  <c r="S298" i="2" a="1"/>
  <c r="S255" i="2" a="1"/>
  <c r="S293" i="2" a="1"/>
  <c r="S39" i="2" a="1"/>
  <c r="S476" i="2" a="1"/>
  <c r="S320" i="2" a="1"/>
  <c r="E1106" i="18" a="1"/>
  <c r="S314" i="2" a="1"/>
  <c r="S204" i="2" a="1"/>
  <c r="S460" i="2" a="1"/>
  <c r="S235" i="2" a="1"/>
  <c r="G158" i="2"/>
  <c r="F32" i="6"/>
  <c r="S91" i="2" a="1"/>
  <c r="S53" i="2" a="1"/>
  <c r="S89" i="2" a="1"/>
  <c r="S410" i="2" a="1"/>
  <c r="S450" i="2" a="1"/>
  <c r="S106" i="2" a="1"/>
  <c r="S382" i="2" a="1"/>
  <c r="S367" i="2" a="1"/>
  <c r="S375" i="2" a="1"/>
  <c r="S398" i="2" a="1"/>
  <c r="S472" i="2" a="1"/>
  <c r="S452" i="2" a="1"/>
  <c r="S38" i="2" a="1"/>
  <c r="F890" i="18"/>
  <c r="S177" i="2" a="1"/>
  <c r="S471" i="2" a="1"/>
  <c r="S206" i="2" a="1"/>
  <c r="S447" i="2" a="1"/>
  <c r="S153" i="2" a="1"/>
  <c r="U417" i="2"/>
  <c r="U312" i="2"/>
  <c r="S233" i="2" a="1"/>
  <c r="S424" i="2" a="1"/>
  <c r="S483" i="2" a="1"/>
  <c r="S481" i="2" a="1"/>
  <c r="S96" i="2" a="1"/>
  <c r="S451" i="2" a="1"/>
  <c r="L7" i="3"/>
  <c r="S207" i="2" a="1"/>
  <c r="S162" i="2" a="1"/>
  <c r="S78" i="2" a="1"/>
  <c r="S466" i="2" a="1"/>
  <c r="H13" i="3"/>
  <c r="S99" i="2" a="1"/>
  <c r="S240" i="2" a="1"/>
  <c r="K1106" i="18" a="1"/>
  <c r="S143" i="2" a="1"/>
  <c r="S234" i="2" a="1"/>
  <c r="G928" i="18" a="1"/>
  <c r="N968" i="18" a="1"/>
  <c r="I968" i="18" a="1"/>
  <c r="O1106" i="18" a="1"/>
  <c r="G357" i="2"/>
  <c r="G908" i="18" a="1"/>
  <c r="S305" i="2" a="1"/>
  <c r="S105" i="2" a="1"/>
  <c r="S425" i="2" a="1"/>
  <c r="I1106" i="18" a="1"/>
  <c r="S313" i="2" a="1"/>
  <c r="S371" i="2" a="1"/>
  <c r="S211" i="2" a="1"/>
  <c r="S279" i="2" a="1"/>
  <c r="S61" i="2" a="1"/>
  <c r="S444" i="2" a="1"/>
  <c r="Q1106" i="18" a="1"/>
  <c r="F11" i="6"/>
  <c r="S400" i="2" a="1"/>
  <c r="S174" i="2" a="1"/>
  <c r="S229" i="2" a="1"/>
  <c r="S73" i="2" a="1"/>
  <c r="S101" i="2" a="1"/>
  <c r="S82" i="2" a="1"/>
  <c r="S123" i="2" a="1"/>
  <c r="G250" i="2"/>
  <c r="S151" i="2" a="1"/>
  <c r="S369" i="2" a="1"/>
  <c r="L968" i="18" a="1"/>
  <c r="S75" i="2" a="1"/>
  <c r="S397" i="2" a="1"/>
  <c r="S88" i="2" a="1"/>
  <c r="H1106" i="18" a="1"/>
  <c r="E261" i="2"/>
  <c r="E908" i="18" a="1"/>
  <c r="L69" i="18" a="1"/>
  <c r="P968" i="18" a="1"/>
  <c r="S435" i="2" a="1"/>
  <c r="S109" i="2" a="1"/>
  <c r="S363" i="2" a="1"/>
  <c r="D968" i="18" a="1"/>
  <c r="S112" i="2" a="1"/>
  <c r="S149" i="2" a="1"/>
  <c r="R968" i="18" a="1"/>
  <c r="S168" i="2" a="1"/>
  <c r="S497" i="2" a="1"/>
  <c r="S124" i="2" a="1"/>
  <c r="S406" i="2" a="1"/>
  <c r="U319" i="2"/>
  <c r="U202" i="2"/>
  <c r="S175" i="2" a="1"/>
  <c r="S463" i="2" a="1"/>
  <c r="S107" i="2" a="1"/>
  <c r="S241" i="2" a="1"/>
  <c r="S422" i="2" a="1"/>
  <c r="S44" i="2" a="1"/>
  <c r="S247" i="2" a="1"/>
  <c r="M968" i="18" a="1"/>
  <c r="S366" i="2" a="1"/>
  <c r="L3" i="3"/>
  <c r="S36" i="2" a="1"/>
  <c r="S263" i="2" a="1"/>
  <c r="S465" i="2" a="1"/>
  <c r="S41" i="2" a="1"/>
  <c r="J890" i="18"/>
  <c r="S306" i="2" a="1"/>
  <c r="I890" i="18"/>
  <c r="F34" i="6"/>
  <c r="S344" i="2" a="1"/>
  <c r="S458" i="2" a="1"/>
  <c r="S32" i="2" a="1"/>
  <c r="S394" i="2" a="1"/>
  <c r="S420" i="2" a="1"/>
  <c r="S282" i="2" a="1"/>
  <c r="F27" i="6"/>
  <c r="S359" i="2" a="1"/>
  <c r="S35" i="2" a="1"/>
  <c r="E928" i="18" a="1"/>
  <c r="S231" i="2" a="1"/>
  <c r="S157" i="2" a="1"/>
  <c r="S150" i="2" a="1"/>
  <c r="F25" i="6"/>
  <c r="S339" i="2" a="1"/>
  <c r="S248" i="2" a="1"/>
  <c r="S333" i="2" a="1"/>
  <c r="S431" i="2" a="1"/>
  <c r="S419" i="2" a="1"/>
  <c r="S500" i="2" a="1"/>
  <c r="S70" i="2" a="1"/>
  <c r="S341" i="2" a="1"/>
  <c r="S184" i="2" a="1"/>
  <c r="F28" i="6"/>
  <c r="G835" i="18"/>
  <c r="S146" i="2" a="1"/>
  <c r="F26" i="6"/>
  <c r="S486" i="2" a="1"/>
  <c r="S478" i="2" a="1"/>
  <c r="S342" i="2" a="1"/>
  <c r="S493" i="2" a="1"/>
  <c r="S392" i="2" a="1"/>
  <c r="S267" i="2" a="1"/>
  <c r="S477" i="2" a="1"/>
  <c r="S69" i="2" a="1"/>
  <c r="S227" i="2" a="1"/>
  <c r="S145" i="2" a="1"/>
  <c r="S446" i="2" a="1"/>
  <c r="S322" i="2" a="1"/>
  <c r="S160" i="2" a="1"/>
  <c r="S433" i="2" a="1"/>
  <c r="S403" i="2" a="1"/>
  <c r="S161" i="2" a="1"/>
  <c r="S474" i="2" a="1"/>
  <c r="S165" i="2" a="1"/>
  <c r="S355" i="2" a="1"/>
  <c r="S59" i="2" a="1"/>
  <c r="U251" i="2"/>
  <c r="U226" i="2"/>
  <c r="S442" i="2" a="1"/>
  <c r="S228" i="2" a="1"/>
  <c r="S325" i="2" a="1"/>
  <c r="S46" i="2" a="1"/>
  <c r="F9" i="6"/>
  <c r="F33" i="6"/>
  <c r="S396" i="2" a="1"/>
  <c r="F7" i="6"/>
  <c r="S317" i="2" a="1"/>
  <c r="S52" i="2" a="1"/>
  <c r="S64" i="2" a="1"/>
  <c r="S291" i="2" a="1"/>
  <c r="F20" i="6"/>
  <c r="S33" i="2" a="1"/>
  <c r="S147" i="2" a="1"/>
  <c r="S309" i="2" a="1"/>
  <c r="S193" i="2" a="1"/>
  <c r="S427" i="2" a="1"/>
  <c r="G968" i="18" a="1"/>
  <c r="F8" i="6"/>
  <c r="S388" i="2" a="1"/>
  <c r="H835" i="18"/>
  <c r="S473" i="2" a="1"/>
  <c r="S264" i="2" a="1"/>
  <c r="F968" i="18" a="1"/>
  <c r="F12" i="6"/>
  <c r="S238" i="2" a="1"/>
  <c r="S448" i="2" a="1"/>
  <c r="S401" i="2" a="1"/>
  <c r="I928" i="18" a="1"/>
  <c r="F18" i="6"/>
  <c r="S461" i="2" a="1"/>
  <c r="S232" i="2" a="1"/>
  <c r="F17" i="6"/>
  <c r="S353" i="2" a="1"/>
  <c r="S393" i="2" a="1"/>
  <c r="S294" i="2" a="1"/>
  <c r="S346" i="2" a="1"/>
  <c r="F16" i="6"/>
  <c r="S358" i="2" a="1"/>
  <c r="G269" i="2"/>
  <c r="S373" i="2" a="1"/>
  <c r="S303" i="2" a="1"/>
  <c r="S156" i="2" a="1"/>
  <c r="S354" i="2" a="1"/>
  <c r="F3" i="5"/>
  <c r="S364" i="2" a="1"/>
  <c r="S290" i="2" a="1"/>
  <c r="S391" i="2" a="1"/>
  <c r="S280" i="2" a="1"/>
  <c r="S171" i="2" a="1"/>
  <c r="S125" i="2" a="1"/>
  <c r="S214" i="2" a="1"/>
  <c r="E835" i="18"/>
  <c r="S140" i="2" a="1"/>
  <c r="H928" i="18" a="1"/>
  <c r="L4" i="3"/>
  <c r="S343" i="2" a="1"/>
  <c r="S484" i="2" a="1"/>
  <c r="L8" i="3"/>
  <c r="S297" i="2" a="1"/>
  <c r="Q968" i="18" a="1"/>
  <c r="S349" i="2" a="1"/>
  <c r="S441" i="2" a="1"/>
  <c r="S274" i="2" a="1"/>
  <c r="F30" i="6"/>
  <c r="S120" i="2" a="1"/>
  <c r="U200" i="2"/>
  <c r="U502" i="2"/>
  <c r="U374" i="2"/>
  <c r="F25" i="5"/>
  <c r="S436" i="2" a="1"/>
  <c r="S42" i="2" a="1"/>
  <c r="S244" i="2" a="1"/>
  <c r="S430" i="2" a="1"/>
  <c r="S389" i="2" a="1"/>
  <c r="L56" i="3"/>
  <c r="S47" i="2" a="1"/>
  <c r="S308" i="2" a="1"/>
  <c r="S163" i="2" a="1"/>
  <c r="S55" i="2" a="1"/>
  <c r="S351" i="2" a="1"/>
  <c r="S405" i="2" a="1"/>
  <c r="S372" i="2" a="1"/>
  <c r="H379" i="18" a="1"/>
  <c r="P1106" i="18" a="1"/>
  <c r="S40" i="2" a="1"/>
  <c r="S178" i="2" a="1"/>
  <c r="S215" i="2" a="1"/>
  <c r="S110" i="2" a="1"/>
  <c r="S265" i="2" a="1"/>
  <c r="J1106" i="18" a="1"/>
  <c r="S236" i="2" a="1"/>
  <c r="S449" i="2" a="1"/>
  <c r="S415" i="2" a="1"/>
  <c r="S152" i="2" a="1"/>
  <c r="S76" i="2" a="1"/>
  <c r="S384" i="2" a="1"/>
  <c r="S187" i="2" a="1"/>
  <c r="F14" i="6"/>
  <c r="S239" i="2" a="1"/>
  <c r="S176" i="2" a="1"/>
  <c r="F10" i="6"/>
  <c r="S194" i="2" a="1"/>
  <c r="E250" i="2"/>
  <c r="S154" i="2" a="1"/>
  <c r="S338" i="2" a="1"/>
  <c r="S404" i="2" a="1"/>
  <c r="S30" i="2" a="1"/>
  <c r="F13" i="6"/>
  <c r="M69" i="18" a="1"/>
  <c r="S180" i="2" a="1"/>
  <c r="S155" i="2" a="1"/>
  <c r="F24" i="6"/>
  <c r="S467" i="2" a="1"/>
  <c r="J69" i="18" a="1"/>
  <c r="S457" i="2" a="1"/>
  <c r="S49" i="2" a="1"/>
  <c r="N1106" i="18" a="1"/>
  <c r="S98" i="2" a="1"/>
  <c r="J928" i="18" a="1"/>
  <c r="S498" i="2" a="1"/>
  <c r="L44" i="3"/>
  <c r="S275" i="2" a="1"/>
  <c r="S370" i="2" a="1"/>
  <c r="S111" i="2" a="1"/>
  <c r="S337" i="2" a="1"/>
  <c r="S459" i="2" a="1"/>
  <c r="S330" i="2" a="1"/>
  <c r="S383" i="2" a="1"/>
  <c r="M40" i="3"/>
  <c r="S131" i="2" a="1"/>
  <c r="F928" i="18" a="1"/>
  <c r="S379" i="2" a="1"/>
  <c r="S242" i="2" a="1"/>
  <c r="F31" i="6"/>
  <c r="F23" i="6"/>
  <c r="U218" i="2"/>
  <c r="U503" i="2"/>
  <c r="U350" i="2"/>
  <c r="S456" i="2" a="1"/>
  <c r="S356" i="2" a="1"/>
  <c r="R1106" i="18" a="1"/>
  <c r="S113" i="2" a="1"/>
  <c r="S455" i="2" a="1"/>
  <c r="H890" i="18"/>
  <c r="S385" i="2" a="1"/>
  <c r="K835" i="18"/>
  <c r="S445" i="2" a="1"/>
  <c r="E968" i="18" a="1"/>
  <c r="G261" i="2"/>
  <c r="G890" i="18"/>
  <c r="F29" i="6"/>
  <c r="F22" i="6"/>
  <c r="F2" i="5"/>
  <c r="E890" i="18"/>
  <c r="H968" i="18" a="1"/>
  <c r="S121" i="2" a="1"/>
  <c r="S67" i="2" a="1"/>
  <c r="S495" i="2" a="1"/>
  <c r="S332" i="2" a="1"/>
  <c r="S138" i="2" a="1"/>
  <c r="F19" i="6"/>
  <c r="S399" i="2" a="1"/>
  <c r="S347" i="2" a="1"/>
  <c r="L62" i="3"/>
  <c r="S92" i="2" a="1"/>
  <c r="S428" i="2" a="1"/>
  <c r="S37" i="2" a="1"/>
  <c r="S482" i="2" a="1"/>
  <c r="O968" i="18" a="1"/>
  <c r="S468" i="2" a="1"/>
  <c r="S199" i="2" a="1"/>
  <c r="S93" i="2" a="1"/>
  <c r="S485" i="2" a="1"/>
  <c r="S443" i="2" a="1"/>
  <c r="S117" i="2" a="1"/>
  <c r="E269" i="2"/>
  <c r="S268" i="2" a="1"/>
  <c r="S368" i="2" a="1"/>
  <c r="S243" i="2" a="1"/>
  <c r="S139" i="2" a="1"/>
  <c r="S257" i="2" a="1"/>
  <c r="S335" i="2" a="1"/>
  <c r="S77" i="2" a="1"/>
  <c r="S334" i="2" a="1"/>
  <c r="S475" i="2" a="1"/>
  <c r="S491" i="2" a="1"/>
  <c r="H15" i="3"/>
  <c r="F1106" i="18" a="1"/>
  <c r="E158" i="2"/>
  <c r="S281" i="2" a="1"/>
  <c r="S340" i="2" a="1"/>
  <c r="S252" i="2" a="1"/>
  <c r="S191" i="2" a="1"/>
  <c r="S68" i="2" a="1"/>
  <c r="S429" i="2" a="1"/>
  <c r="S173" i="2" a="1"/>
  <c r="S402" i="2" a="1"/>
  <c r="S169" i="2" a="1"/>
  <c r="D908" i="18" a="1"/>
  <c r="S190" i="2" a="1"/>
  <c r="K968" i="18" a="1"/>
  <c r="U416" i="2"/>
  <c r="U222" i="2"/>
  <c r="S74" i="2" a="1"/>
  <c r="S277" i="2" a="1"/>
  <c r="S220" i="2" a="1"/>
  <c r="S182" i="2" a="1"/>
  <c r="S31" i="2" a="1"/>
  <c r="S84" i="2" a="1"/>
  <c r="S56" i="2" a="1"/>
  <c r="S421" i="2" a="1"/>
  <c r="L34" i="3"/>
  <c r="L2" i="3"/>
  <c r="S249" i="2" a="1"/>
  <c r="S63" i="2" a="1"/>
  <c r="S60" i="2" a="1"/>
  <c r="F15" i="6"/>
  <c r="L1106" i="18" a="1"/>
  <c r="S65" i="2" a="1"/>
  <c r="S437" i="2" a="1"/>
  <c r="F21" i="6"/>
  <c r="S186" i="2" a="1"/>
  <c r="S230" i="2" a="1"/>
  <c r="L5" i="3"/>
  <c r="S198" i="2" a="1"/>
  <c r="H908" i="18" a="1"/>
  <c r="S270" i="2" a="1"/>
  <c r="S57" i="2" a="1"/>
  <c r="S479" i="2" a="1"/>
  <c r="M63" i="3"/>
  <c r="S395" i="2" a="1"/>
  <c r="S213" i="2" a="1"/>
  <c r="N652" i="18" a="1"/>
  <c r="S434" i="2" a="1"/>
  <c r="F35" i="6"/>
  <c r="S254" i="2" a="1"/>
  <c r="S159" i="2" a="1"/>
  <c r="G1106" i="18" a="1"/>
  <c r="D1106" i="18" a="1"/>
  <c r="S80" i="2" a="1"/>
  <c r="J968" i="18" a="1"/>
  <c r="S453" i="2" a="1"/>
  <c r="S487" i="2" a="1"/>
  <c r="G503" i="18" a="1"/>
  <c r="F835" i="18"/>
  <c r="S266" i="2" a="1"/>
  <c r="S148" i="2" a="1"/>
  <c r="S499" i="2" a="1"/>
  <c r="S86" i="2" a="1"/>
  <c r="S283" i="2" a="1"/>
  <c r="S323" i="2" a="1"/>
  <c r="S167" i="2" a="1"/>
  <c r="S432" i="2" a="1"/>
  <c r="S137" i="2" a="1"/>
  <c r="S329" i="2" a="1"/>
  <c r="S438" i="2" a="1"/>
  <c r="F4" i="5"/>
  <c r="I835" i="18"/>
  <c r="S115" i="2" a="1"/>
  <c r="M1106" i="18" a="1"/>
  <c r="S172" i="2" a="1"/>
  <c r="S45" i="2" a="1"/>
  <c r="S345" i="2" a="1"/>
  <c r="S299" i="2" a="1"/>
  <c r="S494" i="2" a="1"/>
  <c r="S464" i="2" a="1"/>
  <c r="S97" i="2" a="1"/>
  <c r="S390" i="2" a="1"/>
  <c r="S423" i="2" a="1"/>
  <c r="S195" i="2" a="1"/>
  <c r="B18" i="35"/>
  <c r="B11" i="35"/>
  <c r="B27" i="35"/>
  <c r="B12" i="35"/>
  <c r="B20" i="35"/>
  <c r="B28" i="35"/>
  <c r="B29" i="35"/>
  <c r="B26" i="35"/>
  <c r="B19" i="35"/>
  <c r="B13" i="35"/>
  <c r="B21" i="35"/>
  <c r="B14" i="35"/>
  <c r="B22" i="35"/>
  <c r="B30" i="35"/>
  <c r="B31" i="35"/>
  <c r="B10" i="35"/>
  <c r="B15" i="35"/>
  <c r="B8" i="35"/>
  <c r="B24" i="35"/>
  <c r="B32" i="35"/>
  <c r="B7" i="35"/>
  <c r="B23" i="35"/>
  <c r="B16" i="35"/>
  <c r="B9" i="35"/>
  <c r="B17" i="35"/>
  <c r="B25" i="35"/>
  <c r="B33" i="35"/>
  <c r="B34" i="35"/>
  <c r="B35" i="35"/>
  <c r="U260" i="2"/>
  <c r="U316" i="2"/>
  <c r="K890" i="18"/>
  <c r="S85" i="2" a="1"/>
  <c r="S100" i="2" a="1"/>
  <c r="S418" i="2" a="1"/>
  <c r="S102" i="2" a="1"/>
  <c r="S348" i="2" a="1"/>
  <c r="S201" i="2" a="1"/>
  <c r="S426" i="2" a="1"/>
  <c r="S66" i="2" a="1"/>
  <c r="E357" i="2"/>
  <c r="H503" i="18" a="1"/>
  <c r="D7" i="35" l="1"/>
  <c r="S500" i="2"/>
  <c r="T500" i="2" s="1"/>
  <c r="D500" i="2" s="1"/>
  <c r="S498" i="2"/>
  <c r="T498" i="2" s="1"/>
  <c r="D498" i="2" s="1"/>
  <c r="S499" i="2"/>
  <c r="T499" i="2" s="1"/>
  <c r="D499" i="2" s="1"/>
  <c r="S497" i="2"/>
  <c r="T497" i="2" s="1"/>
  <c r="D497" i="2" s="1"/>
  <c r="S493" i="2"/>
  <c r="T493" i="2" s="1"/>
  <c r="D493" i="2" s="1"/>
  <c r="S494" i="2"/>
  <c r="T494" i="2" s="1"/>
  <c r="D494" i="2" s="1"/>
  <c r="S495" i="2"/>
  <c r="T495" i="2" s="1"/>
  <c r="D495" i="2" s="1"/>
  <c r="I495" i="2" s="1"/>
  <c r="S491" i="2"/>
  <c r="T491" i="2" s="1"/>
  <c r="D491" i="2" s="1"/>
  <c r="D1106" i="18"/>
  <c r="E1106" i="18"/>
  <c r="E1108" i="18" s="1"/>
  <c r="E1109" i="18" s="1"/>
  <c r="S487" i="2"/>
  <c r="T487" i="2" s="1"/>
  <c r="D487" i="2" s="1"/>
  <c r="H503" i="18"/>
  <c r="H505" i="18" s="1"/>
  <c r="H506" i="18" s="1"/>
  <c r="C508" i="18" s="1"/>
  <c r="S486" i="2"/>
  <c r="T486" i="2" s="1"/>
  <c r="D486" i="2" s="1"/>
  <c r="I486" i="2" s="1"/>
  <c r="S485" i="2"/>
  <c r="T485" i="2" s="1"/>
  <c r="D485" i="2" s="1"/>
  <c r="I485" i="2" s="1"/>
  <c r="S484" i="2"/>
  <c r="T484" i="2" s="1"/>
  <c r="D484" i="2" s="1"/>
  <c r="I484" i="2" s="1"/>
  <c r="S159" i="2"/>
  <c r="T159" i="2" s="1"/>
  <c r="D159" i="2" s="1"/>
  <c r="D908" i="18"/>
  <c r="D910" i="18" s="1"/>
  <c r="D911" i="18" s="1"/>
  <c r="C913" i="18" s="1"/>
  <c r="X395" i="2" s="1"/>
  <c r="B395" i="2" s="1"/>
  <c r="D78" i="34" s="1"/>
  <c r="E78" i="34" s="1"/>
  <c r="N652" i="18"/>
  <c r="N654" i="18" s="1"/>
  <c r="N655" i="18" s="1"/>
  <c r="C657" i="18" s="1"/>
  <c r="X203" i="2" s="1"/>
  <c r="B203" i="2" s="1"/>
  <c r="D3" i="34" s="1"/>
  <c r="E3" i="34" s="1"/>
  <c r="D968" i="18"/>
  <c r="L69" i="18"/>
  <c r="L71" i="18" s="1"/>
  <c r="L73" i="18" s="1"/>
  <c r="C74" i="18" s="1"/>
  <c r="X67" i="2" s="1"/>
  <c r="B67" i="2" s="1"/>
  <c r="D124" i="34" s="1"/>
  <c r="E124" i="34" s="1"/>
  <c r="S480" i="2"/>
  <c r="T480" i="2" s="1"/>
  <c r="D480" i="2" s="1"/>
  <c r="S483" i="2"/>
  <c r="T483" i="2" s="1"/>
  <c r="D483" i="2" s="1"/>
  <c r="S481" i="2"/>
  <c r="T481" i="2" s="1"/>
  <c r="D481" i="2" s="1"/>
  <c r="S349" i="2"/>
  <c r="T349" i="2" s="1"/>
  <c r="D349" i="2" s="1"/>
  <c r="S430" i="2"/>
  <c r="T430" i="2" s="1"/>
  <c r="D430" i="2" s="1"/>
  <c r="S435" i="2"/>
  <c r="T435" i="2" s="1"/>
  <c r="D435" i="2" s="1"/>
  <c r="S186" i="2"/>
  <c r="T186" i="2" s="1"/>
  <c r="D186" i="2" s="1"/>
  <c r="S482" i="2"/>
  <c r="T482" i="2" s="1"/>
  <c r="D482" i="2" s="1"/>
  <c r="S478" i="2"/>
  <c r="T478" i="2" s="1"/>
  <c r="D478" i="2" s="1"/>
  <c r="S355" i="2"/>
  <c r="T355" i="2" s="1"/>
  <c r="D355" i="2" s="1"/>
  <c r="S395" i="2"/>
  <c r="T395" i="2" s="1"/>
  <c r="D395" i="2" s="1"/>
  <c r="S466" i="2"/>
  <c r="T466" i="2" s="1"/>
  <c r="D466" i="2" s="1"/>
  <c r="S266" i="2"/>
  <c r="T266" i="2" s="1"/>
  <c r="D266" i="2" s="1"/>
  <c r="S475" i="2"/>
  <c r="T475" i="2" s="1"/>
  <c r="D475" i="2" s="1"/>
  <c r="S145" i="2"/>
  <c r="T145" i="2" s="1"/>
  <c r="D145" i="2" s="1"/>
  <c r="S181" i="2"/>
  <c r="T181" i="2" s="1"/>
  <c r="D181" i="2" s="1"/>
  <c r="S283" i="2"/>
  <c r="T283" i="2" s="1"/>
  <c r="D283" i="2" s="1"/>
  <c r="S455" i="2"/>
  <c r="T455" i="2" s="1"/>
  <c r="D455" i="2" s="1"/>
  <c r="S62" i="2"/>
  <c r="T62" i="2" s="1"/>
  <c r="D62" i="2" s="1"/>
  <c r="S84" i="2"/>
  <c r="T84" i="2" s="1"/>
  <c r="D84" i="2" s="1"/>
  <c r="S342" i="2"/>
  <c r="T342" i="2" s="1"/>
  <c r="D342" i="2" s="1"/>
  <c r="S125" i="2"/>
  <c r="T125" i="2" s="1"/>
  <c r="D125" i="2" s="1"/>
  <c r="S182" i="2"/>
  <c r="T182" i="2" s="1"/>
  <c r="D182" i="2" s="1"/>
  <c r="S139" i="2"/>
  <c r="T139" i="2" s="1"/>
  <c r="D139" i="2" s="1"/>
  <c r="S97" i="2"/>
  <c r="T97" i="2" s="1"/>
  <c r="D97" i="2" s="1"/>
  <c r="S231" i="2"/>
  <c r="T231" i="2" s="1"/>
  <c r="D231" i="2" s="1"/>
  <c r="S420" i="2"/>
  <c r="T420" i="2" s="1"/>
  <c r="D420" i="2" s="1"/>
  <c r="S340" i="2"/>
  <c r="T340" i="2" s="1"/>
  <c r="D340" i="2" s="1"/>
  <c r="S329" i="2"/>
  <c r="T329" i="2" s="1"/>
  <c r="D329" i="2" s="1"/>
  <c r="S268" i="2"/>
  <c r="T268" i="2" s="1"/>
  <c r="D268" i="2" s="1"/>
  <c r="S418" i="2"/>
  <c r="T418" i="2" s="1"/>
  <c r="D418" i="2" s="1"/>
  <c r="S424" i="2"/>
  <c r="T424" i="2" s="1"/>
  <c r="D424" i="2" s="1"/>
  <c r="S476" i="2"/>
  <c r="T476" i="2" s="1"/>
  <c r="D476" i="2" s="1"/>
  <c r="S385" i="2"/>
  <c r="T385" i="2" s="1"/>
  <c r="D385" i="2" s="1"/>
  <c r="S345" i="2"/>
  <c r="T345" i="2" s="1"/>
  <c r="D345" i="2" s="1"/>
  <c r="S275" i="2"/>
  <c r="T275" i="2" s="1"/>
  <c r="D275" i="2" s="1"/>
  <c r="S180" i="2"/>
  <c r="T180" i="2" s="1"/>
  <c r="D180" i="2" s="1"/>
  <c r="S471" i="2"/>
  <c r="T471" i="2" s="1"/>
  <c r="D471" i="2" s="1"/>
  <c r="S479" i="2"/>
  <c r="T479" i="2" s="1"/>
  <c r="D479" i="2" s="1"/>
  <c r="S330" i="2"/>
  <c r="S107" i="2"/>
  <c r="T107" i="2" s="1"/>
  <c r="D107" i="2" s="1"/>
  <c r="S436" i="2"/>
  <c r="T436" i="2" s="1"/>
  <c r="D436" i="2" s="1"/>
  <c r="S165" i="2"/>
  <c r="T165" i="2" s="1"/>
  <c r="D165" i="2" s="1"/>
  <c r="S392" i="2"/>
  <c r="T392" i="2" s="1"/>
  <c r="D392" i="2" s="1"/>
  <c r="S61" i="2"/>
  <c r="T61" i="2" s="1"/>
  <c r="D61" i="2" s="1"/>
  <c r="S334" i="2"/>
  <c r="T334" i="2" s="1"/>
  <c r="D334" i="2" s="1"/>
  <c r="S423" i="2"/>
  <c r="T423" i="2" s="1"/>
  <c r="D423" i="2" s="1"/>
  <c r="S384" i="2"/>
  <c r="T384" i="2" s="1"/>
  <c r="D384" i="2" s="1"/>
  <c r="S434" i="2"/>
  <c r="T434" i="2" s="1"/>
  <c r="D434" i="2" s="1"/>
  <c r="S338" i="2"/>
  <c r="T338" i="2" s="1"/>
  <c r="D338" i="2" s="1"/>
  <c r="S209" i="2"/>
  <c r="T209" i="2" s="1"/>
  <c r="D209" i="2" s="1"/>
  <c r="S437" i="2"/>
  <c r="T437" i="2" s="1"/>
  <c r="D437" i="2" s="1"/>
  <c r="S230" i="2"/>
  <c r="T230" i="2" s="1"/>
  <c r="D230" i="2" s="1"/>
  <c r="S235" i="2"/>
  <c r="T235" i="2" s="1"/>
  <c r="D235" i="2" s="1"/>
  <c r="S474" i="2"/>
  <c r="T474" i="2" s="1"/>
  <c r="D474" i="2" s="1"/>
  <c r="S70" i="2"/>
  <c r="T70" i="2" s="1"/>
  <c r="D70" i="2" s="1"/>
  <c r="S63" i="2"/>
  <c r="T63" i="2" s="1"/>
  <c r="D63" i="2" s="1"/>
  <c r="S227" i="2"/>
  <c r="S86" i="2"/>
  <c r="T86" i="2" s="1"/>
  <c r="D86" i="2" s="1"/>
  <c r="S187" i="2"/>
  <c r="T187" i="2" s="1"/>
  <c r="D187" i="2" s="1"/>
  <c r="S140" i="2"/>
  <c r="T140" i="2" s="1"/>
  <c r="D140" i="2" s="1"/>
  <c r="H379" i="18"/>
  <c r="H381" i="18" s="1"/>
  <c r="H382" i="18" s="1"/>
  <c r="C384" i="18" s="1"/>
  <c r="X136" i="2" s="1"/>
  <c r="B136" i="2" s="1"/>
  <c r="D13" i="34" s="1"/>
  <c r="E13" i="34" s="1"/>
  <c r="S373" i="2"/>
  <c r="X373" i="2" s="1"/>
  <c r="B373" i="2" s="1"/>
  <c r="D83" i="34" s="1"/>
  <c r="E83" i="34" s="1"/>
  <c r="S258" i="2"/>
  <c r="T258" i="2" s="1"/>
  <c r="D258" i="2" s="1"/>
  <c r="S320" i="2"/>
  <c r="T320" i="2" s="1"/>
  <c r="D320" i="2" s="1"/>
  <c r="S263" i="2"/>
  <c r="T263" i="2" s="1"/>
  <c r="D263" i="2" s="1"/>
  <c r="S91" i="2"/>
  <c r="T91" i="2" s="1"/>
  <c r="D91" i="2" s="1"/>
  <c r="S241" i="2"/>
  <c r="T241" i="2" s="1"/>
  <c r="D241" i="2" s="1"/>
  <c r="S255" i="2"/>
  <c r="T255" i="2" s="1"/>
  <c r="D255" i="2" s="1"/>
  <c r="S149" i="2"/>
  <c r="T149" i="2" s="1"/>
  <c r="D149" i="2" s="1"/>
  <c r="S194" i="2"/>
  <c r="T194" i="2" s="1"/>
  <c r="D194" i="2" s="1"/>
  <c r="S368" i="2"/>
  <c r="T368" i="2" s="1"/>
  <c r="D368" i="2" s="1"/>
  <c r="S220" i="2"/>
  <c r="T220" i="2" s="1"/>
  <c r="D220" i="2" s="1"/>
  <c r="S33" i="2"/>
  <c r="T33" i="2" s="1"/>
  <c r="D33" i="2" s="1"/>
  <c r="S242" i="2"/>
  <c r="X242" i="2" s="1"/>
  <c r="B242" i="2" s="1"/>
  <c r="D252" i="34" s="1"/>
  <c r="E252" i="34" s="1"/>
  <c r="S238" i="2"/>
  <c r="T238" i="2" s="1"/>
  <c r="D238" i="2" s="1"/>
  <c r="S240" i="2"/>
  <c r="T240" i="2" s="1"/>
  <c r="D240" i="2" s="1"/>
  <c r="G503" i="18"/>
  <c r="G505" i="18" s="1"/>
  <c r="G506" i="18" s="1"/>
  <c r="S179" i="2"/>
  <c r="T179" i="2" s="1"/>
  <c r="D179" i="2" s="1"/>
  <c r="S143" i="2"/>
  <c r="T143" i="2" s="1"/>
  <c r="D143" i="2" s="1"/>
  <c r="S314" i="2"/>
  <c r="T314" i="2" s="1"/>
  <c r="D314" i="2" s="1"/>
  <c r="X314" i="2" s="1"/>
  <c r="B314" i="2" s="1"/>
  <c r="D68" i="34" s="1"/>
  <c r="E68" i="34" s="1"/>
  <c r="S177" i="2"/>
  <c r="T177" i="2" s="1"/>
  <c r="D177" i="2" s="1"/>
  <c r="S77" i="2"/>
  <c r="T77" i="2" s="1"/>
  <c r="D77" i="2" s="1"/>
  <c r="S190" i="2"/>
  <c r="T190" i="2" s="1"/>
  <c r="D190" i="2" s="1"/>
  <c r="S366" i="2"/>
  <c r="T366" i="2" s="1"/>
  <c r="D366" i="2" s="1"/>
  <c r="S299" i="2"/>
  <c r="T299" i="2" s="1"/>
  <c r="D299" i="2" s="1"/>
  <c r="S96" i="2"/>
  <c r="T96" i="2" s="1"/>
  <c r="D96" i="2" s="1"/>
  <c r="S244" i="2"/>
  <c r="T244" i="2" s="1"/>
  <c r="D244" i="2" s="1"/>
  <c r="S245" i="2"/>
  <c r="T245" i="2" s="1"/>
  <c r="D245" i="2" s="1"/>
  <c r="S137" i="2"/>
  <c r="T137" i="2" s="1"/>
  <c r="D137" i="2" s="1"/>
  <c r="Q1106" i="18"/>
  <c r="Q1108" i="18" s="1"/>
  <c r="Q1109" i="18" s="1"/>
  <c r="K1106" i="18"/>
  <c r="K1108" i="18" s="1"/>
  <c r="K1109" i="18" s="1"/>
  <c r="F1106" i="18"/>
  <c r="F1108" i="18" s="1"/>
  <c r="F1109" i="18" s="1"/>
  <c r="H1106" i="18"/>
  <c r="H1108" i="18" s="1"/>
  <c r="H1109" i="18" s="1"/>
  <c r="N1106" i="18"/>
  <c r="N1108" i="18" s="1"/>
  <c r="N1109" i="18" s="1"/>
  <c r="R1106" i="18"/>
  <c r="R1108" i="18" s="1"/>
  <c r="R1109" i="18" s="1"/>
  <c r="G1106" i="18"/>
  <c r="G1108" i="18" s="1"/>
  <c r="G1109" i="18" s="1"/>
  <c r="L1106" i="18"/>
  <c r="L1108" i="18" s="1"/>
  <c r="L1109" i="18" s="1"/>
  <c r="I1106" i="18"/>
  <c r="I1108" i="18" s="1"/>
  <c r="I1109" i="18" s="1"/>
  <c r="M1106" i="18"/>
  <c r="M1108" i="18" s="1"/>
  <c r="M1109" i="18" s="1"/>
  <c r="P1106" i="18"/>
  <c r="P1108" i="18" s="1"/>
  <c r="P1109" i="18" s="1"/>
  <c r="O1106" i="18"/>
  <c r="O1108" i="18" s="1"/>
  <c r="O1109" i="18" s="1"/>
  <c r="J1106" i="18"/>
  <c r="J1108" i="18" s="1"/>
  <c r="J1109" i="18" s="1"/>
  <c r="S477" i="2"/>
  <c r="T477" i="2" s="1"/>
  <c r="D477" i="2" s="1"/>
  <c r="S473" i="2"/>
  <c r="T473" i="2" s="1"/>
  <c r="D473" i="2" s="1"/>
  <c r="S472" i="2"/>
  <c r="T472" i="2" s="1"/>
  <c r="D472" i="2" s="1"/>
  <c r="S469" i="2"/>
  <c r="T469" i="2" s="1"/>
  <c r="D469" i="2" s="1"/>
  <c r="S468" i="2"/>
  <c r="T468" i="2" s="1"/>
  <c r="D468" i="2" s="1"/>
  <c r="S467" i="2"/>
  <c r="T467" i="2" s="1"/>
  <c r="D467" i="2" s="1"/>
  <c r="S465" i="2"/>
  <c r="S464" i="2"/>
  <c r="T464" i="2" s="1"/>
  <c r="D464" i="2" s="1"/>
  <c r="E837" i="18"/>
  <c r="S463" i="2"/>
  <c r="T463" i="2" s="1"/>
  <c r="D463" i="2" s="1"/>
  <c r="S462" i="2"/>
  <c r="T462" i="2" s="1"/>
  <c r="D462" i="2" s="1"/>
  <c r="S461" i="2"/>
  <c r="T461" i="2" s="1"/>
  <c r="D461" i="2" s="1"/>
  <c r="S460" i="2"/>
  <c r="T460" i="2" s="1"/>
  <c r="D460" i="2" s="1"/>
  <c r="S346" i="2"/>
  <c r="T346" i="2" s="1"/>
  <c r="D346" i="2" s="1"/>
  <c r="S457" i="2"/>
  <c r="T457" i="2" s="1"/>
  <c r="D457" i="2" s="1"/>
  <c r="S459" i="2"/>
  <c r="T459" i="2" s="1"/>
  <c r="D459" i="2" s="1"/>
  <c r="S458" i="2"/>
  <c r="T458" i="2" s="1"/>
  <c r="D458" i="2" s="1"/>
  <c r="S456" i="2"/>
  <c r="T456" i="2" s="1"/>
  <c r="D456" i="2" s="1"/>
  <c r="S453" i="2"/>
  <c r="T453" i="2" s="1"/>
  <c r="D453" i="2" s="1"/>
  <c r="S67" i="2"/>
  <c r="T67" i="2" s="1"/>
  <c r="D67" i="2" s="1"/>
  <c r="S452" i="2"/>
  <c r="T452" i="2" s="1"/>
  <c r="D452" i="2" s="1"/>
  <c r="S451" i="2"/>
  <c r="T451" i="2" s="1"/>
  <c r="D451" i="2" s="1"/>
  <c r="S450" i="2"/>
  <c r="T450" i="2" s="1"/>
  <c r="D450" i="2" s="1"/>
  <c r="S32" i="2"/>
  <c r="T32" i="2" s="1"/>
  <c r="D32" i="2" s="1"/>
  <c r="S446" i="2"/>
  <c r="T446" i="2" s="1"/>
  <c r="D446" i="2" s="1"/>
  <c r="S449" i="2"/>
  <c r="T449" i="2" s="1"/>
  <c r="D449" i="2" s="1"/>
  <c r="S447" i="2"/>
  <c r="T447" i="2" s="1"/>
  <c r="D447" i="2" s="1"/>
  <c r="S448" i="2"/>
  <c r="T448" i="2" s="1"/>
  <c r="D448" i="2" s="1"/>
  <c r="S445" i="2"/>
  <c r="T445" i="2" s="1"/>
  <c r="D445" i="2" s="1"/>
  <c r="S444" i="2"/>
  <c r="T444" i="2" s="1"/>
  <c r="D444" i="2" s="1"/>
  <c r="S443" i="2"/>
  <c r="T443" i="2" s="1"/>
  <c r="D443" i="2" s="1"/>
  <c r="S442" i="2"/>
  <c r="T442" i="2" s="1"/>
  <c r="D442" i="2" s="1"/>
  <c r="S441" i="2"/>
  <c r="T441" i="2" s="1"/>
  <c r="D441" i="2" s="1"/>
  <c r="I441" i="2" s="1"/>
  <c r="S439" i="2"/>
  <c r="T439" i="2" s="1"/>
  <c r="D439" i="2" s="1"/>
  <c r="I439" i="2" s="1"/>
  <c r="S438" i="2"/>
  <c r="T438" i="2" s="1"/>
  <c r="D438" i="2" s="1"/>
  <c r="I438" i="2" s="1"/>
  <c r="I189" i="2"/>
  <c r="G2" i="5"/>
  <c r="N3" i="3"/>
  <c r="N2" i="3"/>
  <c r="S433" i="2"/>
  <c r="S432" i="2"/>
  <c r="T432" i="2" s="1"/>
  <c r="D432" i="2" s="1"/>
  <c r="S431" i="2"/>
  <c r="T431" i="2" s="1"/>
  <c r="D431" i="2" s="1"/>
  <c r="S429" i="2"/>
  <c r="T429" i="2" s="1"/>
  <c r="D429" i="2" s="1"/>
  <c r="S428" i="2"/>
  <c r="T428" i="2" s="1"/>
  <c r="D428" i="2" s="1"/>
  <c r="S427" i="2"/>
  <c r="T427" i="2" s="1"/>
  <c r="D427" i="2" s="1"/>
  <c r="S426" i="2"/>
  <c r="T426" i="2" s="1"/>
  <c r="D426" i="2" s="1"/>
  <c r="S425" i="2"/>
  <c r="S422" i="2"/>
  <c r="T422" i="2" s="1"/>
  <c r="D422" i="2" s="1"/>
  <c r="S419" i="2"/>
  <c r="T419" i="2" s="1"/>
  <c r="D419" i="2" s="1"/>
  <c r="S421" i="2"/>
  <c r="T421" i="2" s="1"/>
  <c r="D421" i="2" s="1"/>
  <c r="G968" i="18"/>
  <c r="G970" i="18" s="1"/>
  <c r="G971" i="18" s="1"/>
  <c r="E968" i="18"/>
  <c r="E970" i="18" s="1"/>
  <c r="E971" i="18" s="1"/>
  <c r="F968" i="18"/>
  <c r="F970" i="18" s="1"/>
  <c r="F971" i="18" s="1"/>
  <c r="S415" i="2"/>
  <c r="T415" i="2" s="1"/>
  <c r="D415" i="2" s="1"/>
  <c r="S410" i="2"/>
  <c r="T410" i="2" s="1"/>
  <c r="D410" i="2" s="1"/>
  <c r="S406" i="2"/>
  <c r="S405" i="2"/>
  <c r="G3" i="5"/>
  <c r="L3" i="5" s="1"/>
  <c r="N4" i="3"/>
  <c r="N7" i="3"/>
  <c r="N5" i="3"/>
  <c r="S404" i="2"/>
  <c r="T404" i="2" s="1"/>
  <c r="D404" i="2" s="1"/>
  <c r="S403" i="2"/>
  <c r="T403" i="2" s="1"/>
  <c r="D403" i="2" s="1"/>
  <c r="D928" i="18"/>
  <c r="E928" i="18"/>
  <c r="E930" i="18" s="1"/>
  <c r="E931" i="18" s="1"/>
  <c r="H928" i="18"/>
  <c r="H930" i="18" s="1"/>
  <c r="H931" i="18" s="1"/>
  <c r="J928" i="18"/>
  <c r="J930" i="18" s="1"/>
  <c r="J931" i="18" s="1"/>
  <c r="G928" i="18"/>
  <c r="G930" i="18" s="1"/>
  <c r="G931" i="18" s="1"/>
  <c r="I928" i="18"/>
  <c r="I930" i="18" s="1"/>
  <c r="I931" i="18" s="1"/>
  <c r="F928" i="18"/>
  <c r="F930" i="18" s="1"/>
  <c r="F931" i="18" s="1"/>
  <c r="Q968" i="18"/>
  <c r="Q970" i="18" s="1"/>
  <c r="Q971" i="18" s="1"/>
  <c r="R968" i="18"/>
  <c r="R970" i="18" s="1"/>
  <c r="R971" i="18" s="1"/>
  <c r="M968" i="18"/>
  <c r="M970" i="18" s="1"/>
  <c r="M971" i="18" s="1"/>
  <c r="H968" i="18"/>
  <c r="H970" i="18" s="1"/>
  <c r="H971" i="18" s="1"/>
  <c r="N968" i="18"/>
  <c r="N970" i="18" s="1"/>
  <c r="N971" i="18" s="1"/>
  <c r="I968" i="18"/>
  <c r="I970" i="18" s="1"/>
  <c r="I971" i="18" s="1"/>
  <c r="O968" i="18"/>
  <c r="O970" i="18" s="1"/>
  <c r="O971" i="18" s="1"/>
  <c r="L968" i="18"/>
  <c r="L970" i="18" s="1"/>
  <c r="L971" i="18" s="1"/>
  <c r="J968" i="18"/>
  <c r="J970" i="18" s="1"/>
  <c r="J971" i="18" s="1"/>
  <c r="P968" i="18"/>
  <c r="P970" i="18" s="1"/>
  <c r="P971" i="18" s="1"/>
  <c r="K968" i="18"/>
  <c r="K970" i="18" s="1"/>
  <c r="K971" i="18" s="1"/>
  <c r="S399" i="2"/>
  <c r="T399" i="2" s="1"/>
  <c r="D399" i="2" s="1"/>
  <c r="S270" i="2"/>
  <c r="T270" i="2" s="1"/>
  <c r="D270" i="2" s="1"/>
  <c r="S400" i="2"/>
  <c r="T400" i="2" s="1"/>
  <c r="D400" i="2" s="1"/>
  <c r="S401" i="2"/>
  <c r="T401" i="2" s="1"/>
  <c r="D401" i="2" s="1"/>
  <c r="S402" i="2"/>
  <c r="T402" i="2" s="1"/>
  <c r="D402" i="2" s="1"/>
  <c r="S398" i="2"/>
  <c r="T398" i="2" s="1"/>
  <c r="D398" i="2" s="1"/>
  <c r="S99" i="2"/>
  <c r="T99" i="2" s="1"/>
  <c r="D99" i="2" s="1"/>
  <c r="S397" i="2"/>
  <c r="T397" i="2" s="1"/>
  <c r="D397" i="2" s="1"/>
  <c r="S396" i="2"/>
  <c r="T396" i="2" s="1"/>
  <c r="D396" i="2" s="1"/>
  <c r="S394" i="2"/>
  <c r="T394" i="2" s="1"/>
  <c r="D394" i="2" s="1"/>
  <c r="H908" i="18"/>
  <c r="H910" i="18" s="1"/>
  <c r="H911" i="18" s="1"/>
  <c r="G908" i="18"/>
  <c r="G910" i="18" s="1"/>
  <c r="G911" i="18" s="1"/>
  <c r="F908" i="18"/>
  <c r="F910" i="18" s="1"/>
  <c r="F911" i="18" s="1"/>
  <c r="E908" i="18"/>
  <c r="E910" i="18" s="1"/>
  <c r="E911" i="18" s="1"/>
  <c r="S393" i="2"/>
  <c r="T393" i="2" s="1"/>
  <c r="D393" i="2" s="1"/>
  <c r="G892" i="18"/>
  <c r="G893" i="18" s="1"/>
  <c r="F892" i="18"/>
  <c r="F893" i="18" s="1"/>
  <c r="E892" i="18"/>
  <c r="E893" i="18" s="1"/>
  <c r="J892" i="18"/>
  <c r="J893" i="18" s="1"/>
  <c r="K892" i="18"/>
  <c r="K893" i="18" s="1"/>
  <c r="I892" i="18"/>
  <c r="I893" i="18" s="1"/>
  <c r="H892" i="18"/>
  <c r="H893" i="18" s="1"/>
  <c r="S391" i="2"/>
  <c r="T391" i="2" s="1"/>
  <c r="D391" i="2" s="1"/>
  <c r="N8" i="3"/>
  <c r="G4" i="5"/>
  <c r="L4" i="5" s="1"/>
  <c r="S390" i="2"/>
  <c r="T390" i="2" s="1"/>
  <c r="D390" i="2" s="1"/>
  <c r="I390" i="2" s="1"/>
  <c r="S389" i="2"/>
  <c r="T389" i="2" s="1"/>
  <c r="D389" i="2" s="1"/>
  <c r="S388" i="2"/>
  <c r="T388" i="2" s="1"/>
  <c r="D388" i="2" s="1"/>
  <c r="S60" i="2"/>
  <c r="T60" i="2" s="1"/>
  <c r="D60" i="2" s="1"/>
  <c r="S305" i="2"/>
  <c r="T305" i="2" s="1"/>
  <c r="D305" i="2" s="1"/>
  <c r="S53" i="2"/>
  <c r="T53" i="2" s="1"/>
  <c r="D53" i="2" s="1"/>
  <c r="S362" i="2"/>
  <c r="T362" i="2" s="1"/>
  <c r="D362" i="2" s="1"/>
  <c r="S191" i="2"/>
  <c r="T191" i="2" s="1"/>
  <c r="D191" i="2" s="1"/>
  <c r="S276" i="2"/>
  <c r="T276" i="2" s="1"/>
  <c r="D276" i="2" s="1"/>
  <c r="S172" i="2"/>
  <c r="T172" i="2" s="1"/>
  <c r="D172" i="2" s="1"/>
  <c r="S138" i="2"/>
  <c r="T138" i="2" s="1"/>
  <c r="D138" i="2" s="1"/>
  <c r="S161" i="2"/>
  <c r="T161" i="2" s="1"/>
  <c r="D161" i="2" s="1"/>
  <c r="S110" i="2"/>
  <c r="T110" i="2" s="1"/>
  <c r="D110" i="2" s="1"/>
  <c r="S171" i="2"/>
  <c r="T171" i="2" s="1"/>
  <c r="D171" i="2" s="1"/>
  <c r="S252" i="2"/>
  <c r="T252" i="2" s="1"/>
  <c r="D252" i="2" s="1"/>
  <c r="S111" i="2"/>
  <c r="T111" i="2" s="1"/>
  <c r="D111" i="2" s="1"/>
  <c r="S31" i="2"/>
  <c r="T31" i="2" s="1"/>
  <c r="D31" i="2" s="1"/>
  <c r="S56" i="2"/>
  <c r="T56" i="2" s="1"/>
  <c r="D56" i="2" s="1"/>
  <c r="S59" i="2"/>
  <c r="T59" i="2" s="1"/>
  <c r="D59" i="2" s="1"/>
  <c r="S243" i="2"/>
  <c r="T243" i="2" s="1"/>
  <c r="D243" i="2" s="1"/>
  <c r="S89" i="2"/>
  <c r="T89" i="2" s="1"/>
  <c r="D89" i="2" s="1"/>
  <c r="S80" i="2"/>
  <c r="T80" i="2" s="1"/>
  <c r="D80" i="2" s="1"/>
  <c r="S57" i="2"/>
  <c r="T57" i="2" s="1"/>
  <c r="D57" i="2" s="1"/>
  <c r="S178" i="2"/>
  <c r="T178" i="2" s="1"/>
  <c r="D178" i="2" s="1"/>
  <c r="S281" i="2"/>
  <c r="S206" i="2"/>
  <c r="T206" i="2" s="1"/>
  <c r="D206" i="2" s="1"/>
  <c r="S69" i="2"/>
  <c r="T69" i="2" s="1"/>
  <c r="D69" i="2" s="1"/>
  <c r="S282" i="2"/>
  <c r="T282" i="2" s="1"/>
  <c r="D282" i="2" s="1"/>
  <c r="S291" i="2"/>
  <c r="T291" i="2" s="1"/>
  <c r="D291" i="2" s="1"/>
  <c r="S317" i="2"/>
  <c r="T317" i="2" s="1"/>
  <c r="D317" i="2" s="1"/>
  <c r="S207" i="2"/>
  <c r="T207" i="2" s="1"/>
  <c r="D207" i="2" s="1"/>
  <c r="S308" i="2"/>
  <c r="T308" i="2" s="1"/>
  <c r="D308" i="2" s="1"/>
  <c r="S30" i="2"/>
  <c r="T30" i="2" s="1"/>
  <c r="D30" i="2" s="1"/>
  <c r="S120" i="2"/>
  <c r="T120" i="2" s="1"/>
  <c r="D120" i="2" s="1"/>
  <c r="S168" i="2"/>
  <c r="T168" i="2" s="1"/>
  <c r="D168" i="2" s="1"/>
  <c r="S157" i="2"/>
  <c r="T157" i="2" s="1"/>
  <c r="D157" i="2" s="1"/>
  <c r="S215" i="2"/>
  <c r="T215" i="2" s="1"/>
  <c r="D215" i="2" s="1"/>
  <c r="S280" i="2"/>
  <c r="T280" i="2" s="1"/>
  <c r="D280" i="2" s="1"/>
  <c r="S354" i="2"/>
  <c r="T354" i="2" s="1"/>
  <c r="D354" i="2" s="1"/>
  <c r="S38" i="2"/>
  <c r="T38" i="2" s="1"/>
  <c r="D38" i="2" s="1"/>
  <c r="S358" i="2"/>
  <c r="T358" i="2" s="1"/>
  <c r="D358" i="2" s="1"/>
  <c r="S58" i="2"/>
  <c r="T58" i="2" s="1"/>
  <c r="D58" i="2" s="1"/>
  <c r="S40" i="2"/>
  <c r="T40" i="2" s="1"/>
  <c r="D40" i="2" s="1"/>
  <c r="S369" i="2"/>
  <c r="T369" i="2" s="1"/>
  <c r="D369" i="2" s="1"/>
  <c r="S375" i="2"/>
  <c r="T375" i="2" s="1"/>
  <c r="D375" i="2" s="1"/>
  <c r="S41" i="2"/>
  <c r="T41" i="2" s="1"/>
  <c r="D41" i="2" s="1"/>
  <c r="S257" i="2"/>
  <c r="T257" i="2" s="1"/>
  <c r="D257" i="2" s="1"/>
  <c r="S82" i="2"/>
  <c r="T82" i="2" s="1"/>
  <c r="D82" i="2" s="1"/>
  <c r="S75" i="2"/>
  <c r="T75" i="2" s="1"/>
  <c r="D75" i="2" s="1"/>
  <c r="S151" i="2"/>
  <c r="T151" i="2" s="1"/>
  <c r="D151" i="2" s="1"/>
  <c r="S247" i="2"/>
  <c r="T247" i="2" s="1"/>
  <c r="D247" i="2" s="1"/>
  <c r="S85" i="2"/>
  <c r="T85" i="2" s="1"/>
  <c r="D85" i="2" s="1"/>
  <c r="S45" i="2"/>
  <c r="T45" i="2" s="1"/>
  <c r="D45" i="2" s="1"/>
  <c r="S153" i="2"/>
  <c r="T153" i="2" s="1"/>
  <c r="D153" i="2" s="1"/>
  <c r="S370" i="2"/>
  <c r="T370" i="2" s="1"/>
  <c r="D370" i="2" s="1"/>
  <c r="S198" i="2"/>
  <c r="T198" i="2" s="1"/>
  <c r="D198" i="2" s="1"/>
  <c r="S325" i="2"/>
  <c r="T325" i="2" s="1"/>
  <c r="D325" i="2" s="1"/>
  <c r="S36" i="2"/>
  <c r="T36" i="2" s="1"/>
  <c r="D36" i="2" s="1"/>
  <c r="S98" i="2"/>
  <c r="T98" i="2" s="1"/>
  <c r="D98" i="2" s="1"/>
  <c r="S92" i="2"/>
  <c r="T92" i="2" s="1"/>
  <c r="D92" i="2" s="1"/>
  <c r="S365" i="2"/>
  <c r="T365" i="2" s="1"/>
  <c r="D365" i="2" s="1"/>
  <c r="S264" i="2"/>
  <c r="T264" i="2" s="1"/>
  <c r="D264" i="2" s="1"/>
  <c r="S249" i="2"/>
  <c r="T249" i="2" s="1"/>
  <c r="D249" i="2" s="1"/>
  <c r="S228" i="2"/>
  <c r="T228" i="2" s="1"/>
  <c r="D228" i="2" s="1"/>
  <c r="S233" i="2"/>
  <c r="T233" i="2" s="1"/>
  <c r="D233" i="2" s="1"/>
  <c r="S150" i="2"/>
  <c r="T150" i="2" s="1"/>
  <c r="D150" i="2" s="1"/>
  <c r="S44" i="2"/>
  <c r="T44" i="2" s="1"/>
  <c r="D44" i="2" s="1"/>
  <c r="S112" i="2"/>
  <c r="T112" i="2" s="1"/>
  <c r="D112" i="2" s="1"/>
  <c r="S74" i="2"/>
  <c r="T74" i="2" s="1"/>
  <c r="D74" i="2" s="1"/>
  <c r="S49" i="2"/>
  <c r="T49" i="2" s="1"/>
  <c r="D49" i="2" s="1"/>
  <c r="S344" i="2"/>
  <c r="T344" i="2" s="1"/>
  <c r="D344" i="2" s="1"/>
  <c r="S229" i="2"/>
  <c r="T229" i="2" s="1"/>
  <c r="D229" i="2" s="1"/>
  <c r="S331" i="2"/>
  <c r="T331" i="2" s="1"/>
  <c r="D331" i="2" s="1"/>
  <c r="S343" i="2"/>
  <c r="T343" i="2" s="1"/>
  <c r="D343" i="2" s="1"/>
  <c r="S297" i="2"/>
  <c r="T297" i="2" s="1"/>
  <c r="D297" i="2" s="1"/>
  <c r="S115" i="2"/>
  <c r="T115" i="2" s="1"/>
  <c r="D115" i="2" s="1"/>
  <c r="S37" i="2"/>
  <c r="T37" i="2" s="1"/>
  <c r="D37" i="2" s="1"/>
  <c r="S66" i="2"/>
  <c r="T66" i="2" s="1"/>
  <c r="D66" i="2" s="1"/>
  <c r="S274" i="2"/>
  <c r="T274" i="2" s="1"/>
  <c r="D274" i="2" s="1"/>
  <c r="S155" i="2"/>
  <c r="T155" i="2" s="1"/>
  <c r="D155" i="2" s="1"/>
  <c r="S348" i="2"/>
  <c r="T348" i="2" s="1"/>
  <c r="D348" i="2" s="1"/>
  <c r="S121" i="2"/>
  <c r="T121" i="2" s="1"/>
  <c r="D121" i="2" s="1"/>
  <c r="S164" i="2"/>
  <c r="T164" i="2" s="1"/>
  <c r="D164" i="2" s="1"/>
  <c r="S195" i="2"/>
  <c r="T195" i="2" s="1"/>
  <c r="D195" i="2" s="1"/>
  <c r="S213" i="2"/>
  <c r="T213" i="2" s="1"/>
  <c r="D213" i="2" s="1"/>
  <c r="S167" i="2"/>
  <c r="T167" i="2" s="1"/>
  <c r="D167" i="2" s="1"/>
  <c r="F837" i="18"/>
  <c r="F838" i="18" s="1"/>
  <c r="I837" i="18"/>
  <c r="I838" i="18" s="1"/>
  <c r="H837" i="18"/>
  <c r="H838" i="18" s="1"/>
  <c r="M69" i="18"/>
  <c r="M71" i="18" s="1"/>
  <c r="M73" i="18" s="1"/>
  <c r="S101" i="2"/>
  <c r="T101" i="2" s="1"/>
  <c r="D101" i="2" s="1"/>
  <c r="S367" i="2"/>
  <c r="T367" i="2" s="1"/>
  <c r="D367" i="2" s="1"/>
  <c r="S78" i="2"/>
  <c r="T78" i="2" s="1"/>
  <c r="D78" i="2" s="1"/>
  <c r="S372" i="2"/>
  <c r="T372" i="2" s="1"/>
  <c r="D372" i="2" s="1"/>
  <c r="S68" i="2"/>
  <c r="T68" i="2" s="1"/>
  <c r="D68" i="2" s="1"/>
  <c r="S306" i="2"/>
  <c r="T306" i="2" s="1"/>
  <c r="D306" i="2" s="1"/>
  <c r="S322" i="2"/>
  <c r="T322" i="2" s="1"/>
  <c r="D322" i="2" s="1"/>
  <c r="S347" i="2"/>
  <c r="T347" i="2" s="1"/>
  <c r="D347" i="2" s="1"/>
  <c r="S65" i="2"/>
  <c r="T65" i="2" s="1"/>
  <c r="D65" i="2" s="1"/>
  <c r="S131" i="2"/>
  <c r="T131" i="2" s="1"/>
  <c r="D131" i="2" s="1"/>
  <c r="S379" i="2"/>
  <c r="T379" i="2" s="1"/>
  <c r="D379" i="2" s="1"/>
  <c r="S55" i="2"/>
  <c r="T55" i="2" s="1"/>
  <c r="D55" i="2" s="1"/>
  <c r="S154" i="2"/>
  <c r="T154" i="2" s="1"/>
  <c r="D154" i="2" s="1"/>
  <c r="S123" i="2"/>
  <c r="T123" i="2" s="1"/>
  <c r="D123" i="2" s="1"/>
  <c r="S175" i="2"/>
  <c r="T175" i="2" s="1"/>
  <c r="D175" i="2" s="1"/>
  <c r="S184" i="2"/>
  <c r="T184" i="2" s="1"/>
  <c r="D184" i="2" s="1"/>
  <c r="S376" i="2"/>
  <c r="T376" i="2" s="1"/>
  <c r="D376" i="2" s="1"/>
  <c r="S39" i="2"/>
  <c r="T39" i="2" s="1"/>
  <c r="D39" i="2" s="1"/>
  <c r="S277" i="2"/>
  <c r="T277" i="2" s="1"/>
  <c r="D277" i="2" s="1"/>
  <c r="S156" i="2"/>
  <c r="T156" i="2" s="1"/>
  <c r="D156" i="2" s="1"/>
  <c r="S236" i="2"/>
  <c r="T236" i="2" s="1"/>
  <c r="D236" i="2" s="1"/>
  <c r="S333" i="2"/>
  <c r="T333" i="2" s="1"/>
  <c r="D333" i="2" s="1"/>
  <c r="S371" i="2"/>
  <c r="T371" i="2" s="1"/>
  <c r="D371" i="2" s="1"/>
  <c r="S265" i="2"/>
  <c r="T265" i="2" s="1"/>
  <c r="D265" i="2" s="1"/>
  <c r="S35" i="2"/>
  <c r="T35" i="2" s="1"/>
  <c r="D35" i="2" s="1"/>
  <c r="S279" i="2"/>
  <c r="T279" i="2" s="1"/>
  <c r="D279" i="2" s="1"/>
  <c r="S88" i="2"/>
  <c r="T88" i="2" s="1"/>
  <c r="D88" i="2" s="1"/>
  <c r="S353" i="2"/>
  <c r="T353" i="2" s="1"/>
  <c r="D353" i="2" s="1"/>
  <c r="S163" i="2"/>
  <c r="T163" i="2" s="1"/>
  <c r="D163" i="2" s="1"/>
  <c r="S339" i="2"/>
  <c r="T339" i="2" s="1"/>
  <c r="D339" i="2" s="1"/>
  <c r="S147" i="2"/>
  <c r="T147" i="2" s="1"/>
  <c r="D147" i="2" s="1"/>
  <c r="S248" i="2"/>
  <c r="T248" i="2" s="1"/>
  <c r="D248" i="2" s="1"/>
  <c r="S174" i="2"/>
  <c r="T174" i="2" s="1"/>
  <c r="D174" i="2" s="1"/>
  <c r="S294" i="2"/>
  <c r="T294" i="2" s="1"/>
  <c r="D294" i="2" s="1"/>
  <c r="S106" i="2"/>
  <c r="T106" i="2" s="1"/>
  <c r="D106" i="2" s="1"/>
  <c r="S239" i="2"/>
  <c r="T239" i="2" s="1"/>
  <c r="D239" i="2" s="1"/>
  <c r="S52" i="2"/>
  <c r="T52" i="2" s="1"/>
  <c r="D52" i="2" s="1"/>
  <c r="S290" i="2"/>
  <c r="T290" i="2" s="1"/>
  <c r="D290" i="2" s="1"/>
  <c r="S201" i="2"/>
  <c r="T201" i="2" s="1"/>
  <c r="D201" i="2" s="1"/>
  <c r="S117" i="2"/>
  <c r="T117" i="2" s="1"/>
  <c r="D117" i="2" s="1"/>
  <c r="S160" i="2"/>
  <c r="T160" i="2" s="1"/>
  <c r="D160" i="2" s="1"/>
  <c r="S237" i="2"/>
  <c r="T237" i="2" s="1"/>
  <c r="D237" i="2" s="1"/>
  <c r="S113" i="2"/>
  <c r="T113" i="2" s="1"/>
  <c r="D113" i="2" s="1"/>
  <c r="S293" i="2"/>
  <c r="T293" i="2" s="1"/>
  <c r="D293" i="2" s="1"/>
  <c r="S337" i="2"/>
  <c r="T337" i="2" s="1"/>
  <c r="D337" i="2" s="1"/>
  <c r="S109" i="2"/>
  <c r="T109" i="2" s="1"/>
  <c r="D109" i="2" s="1"/>
  <c r="S176" i="2"/>
  <c r="T176" i="2" s="1"/>
  <c r="D176" i="2" s="1"/>
  <c r="S309" i="2"/>
  <c r="T309" i="2" s="1"/>
  <c r="D309" i="2" s="1"/>
  <c r="S93" i="2"/>
  <c r="T93" i="2" s="1"/>
  <c r="D93" i="2" s="1"/>
  <c r="S356" i="2"/>
  <c r="T356" i="2" s="1"/>
  <c r="D356" i="2" s="1"/>
  <c r="S383" i="2"/>
  <c r="T383" i="2" s="1"/>
  <c r="D383" i="2" s="1"/>
  <c r="S64" i="2"/>
  <c r="T64" i="2" s="1"/>
  <c r="D64" i="2" s="1"/>
  <c r="S105" i="2"/>
  <c r="T105" i="2" s="1"/>
  <c r="D105" i="2" s="1"/>
  <c r="S232" i="2"/>
  <c r="T232" i="2" s="1"/>
  <c r="D232" i="2" s="1"/>
  <c r="S46" i="2"/>
  <c r="T46" i="2" s="1"/>
  <c r="D46" i="2" s="1"/>
  <c r="S73" i="2"/>
  <c r="T73" i="2" s="1"/>
  <c r="D73" i="2" s="1"/>
  <c r="S313" i="2"/>
  <c r="T313" i="2" s="1"/>
  <c r="D313" i="2" s="1"/>
  <c r="S169" i="2"/>
  <c r="T169" i="2" s="1"/>
  <c r="D169" i="2" s="1"/>
  <c r="S199" i="2"/>
  <c r="T199" i="2" s="1"/>
  <c r="D199" i="2" s="1"/>
  <c r="S298" i="2"/>
  <c r="T298" i="2" s="1"/>
  <c r="D298" i="2" s="1"/>
  <c r="S124" i="2"/>
  <c r="T124" i="2" s="1"/>
  <c r="D124" i="2" s="1"/>
  <c r="S254" i="2"/>
  <c r="T254" i="2" s="1"/>
  <c r="D254" i="2" s="1"/>
  <c r="S162" i="2"/>
  <c r="T162" i="2" s="1"/>
  <c r="D162" i="2" s="1"/>
  <c r="S234" i="2"/>
  <c r="T234" i="2" s="1"/>
  <c r="D234" i="2" s="1"/>
  <c r="S42" i="2"/>
  <c r="T42" i="2" s="1"/>
  <c r="D42" i="2" s="1"/>
  <c r="S341" i="2"/>
  <c r="T341" i="2" s="1"/>
  <c r="D341" i="2" s="1"/>
  <c r="S359" i="2"/>
  <c r="T359" i="2" s="1"/>
  <c r="D359" i="2" s="1"/>
  <c r="S303" i="2"/>
  <c r="T303" i="2" s="1"/>
  <c r="D303" i="2" s="1"/>
  <c r="S47" i="2"/>
  <c r="T47" i="2" s="1"/>
  <c r="D47" i="2" s="1"/>
  <c r="S363" i="2"/>
  <c r="T363" i="2" s="1"/>
  <c r="D363" i="2" s="1"/>
  <c r="S146" i="2"/>
  <c r="T146" i="2" s="1"/>
  <c r="D146" i="2" s="1"/>
  <c r="S193" i="2"/>
  <c r="T193" i="2" s="1"/>
  <c r="D193" i="2" s="1"/>
  <c r="S152" i="2"/>
  <c r="T152" i="2" s="1"/>
  <c r="D152" i="2" s="1"/>
  <c r="S214" i="2"/>
  <c r="T214" i="2" s="1"/>
  <c r="D214" i="2" s="1"/>
  <c r="S364" i="2"/>
  <c r="T364" i="2" s="1"/>
  <c r="D364" i="2" s="1"/>
  <c r="S76" i="2"/>
  <c r="T76" i="2" s="1"/>
  <c r="D76" i="2" s="1"/>
  <c r="S100" i="2"/>
  <c r="T100" i="2" s="1"/>
  <c r="D100" i="2" s="1"/>
  <c r="S102" i="2"/>
  <c r="T102" i="2" s="1"/>
  <c r="D102" i="2" s="1"/>
  <c r="S323" i="2"/>
  <c r="T323" i="2" s="1"/>
  <c r="D323" i="2" s="1"/>
  <c r="S173" i="2"/>
  <c r="T173" i="2" s="1"/>
  <c r="D173" i="2" s="1"/>
  <c r="S351" i="2"/>
  <c r="T351" i="2" s="1"/>
  <c r="D351" i="2" s="1"/>
  <c r="S204" i="2"/>
  <c r="T204" i="2" s="1"/>
  <c r="D204" i="2" s="1"/>
  <c r="S382" i="2"/>
  <c r="T382" i="2" s="1"/>
  <c r="D382" i="2" s="1"/>
  <c r="S211" i="2"/>
  <c r="T211" i="2" s="1"/>
  <c r="D211" i="2" s="1"/>
  <c r="S94" i="2"/>
  <c r="T94" i="2" s="1"/>
  <c r="D94" i="2" s="1"/>
  <c r="S332" i="2"/>
  <c r="T332" i="2" s="1"/>
  <c r="D332" i="2" s="1"/>
  <c r="S148" i="2"/>
  <c r="T148" i="2" s="1"/>
  <c r="D148" i="2" s="1"/>
  <c r="S267" i="2"/>
  <c r="T267" i="2" s="1"/>
  <c r="D267" i="2" s="1"/>
  <c r="K837" i="18"/>
  <c r="K838" i="18" s="1"/>
  <c r="G837" i="18"/>
  <c r="G838" i="18" s="1"/>
  <c r="J837" i="18"/>
  <c r="J838" i="18" s="1"/>
  <c r="J69" i="18"/>
  <c r="J71" i="18" s="1"/>
  <c r="S335" i="2"/>
  <c r="T335" i="2" s="1"/>
  <c r="D335" i="2" s="1"/>
  <c r="M3" i="8"/>
  <c r="M4" i="8" s="1"/>
  <c r="O601" i="18"/>
  <c r="P588" i="18"/>
  <c r="N600" i="18" s="1"/>
  <c r="N601" i="18" s="1"/>
  <c r="E600" i="18"/>
  <c r="E601" i="18"/>
  <c r="AK3" i="8"/>
  <c r="AK4" i="8" s="1"/>
  <c r="C762" i="18"/>
  <c r="C763" i="18" s="1"/>
  <c r="I212" i="2"/>
  <c r="I205" i="2"/>
  <c r="I129" i="2"/>
  <c r="I328" i="2"/>
  <c r="I292" i="2"/>
  <c r="I262" i="2"/>
  <c r="I304" i="2"/>
  <c r="I197" i="2"/>
  <c r="I87" i="2"/>
  <c r="I259" i="2"/>
  <c r="I287" i="2"/>
  <c r="I289" i="2"/>
  <c r="I141" i="2"/>
  <c r="I273" i="2"/>
  <c r="F357" i="2"/>
  <c r="F269" i="2"/>
  <c r="F158" i="2"/>
  <c r="F261" i="2"/>
  <c r="F250" i="2"/>
  <c r="I327" i="2"/>
  <c r="I361" i="2"/>
  <c r="I360" i="2"/>
  <c r="I316" i="2"/>
  <c r="I352" i="2"/>
  <c r="I318" i="2"/>
  <c r="I302" i="2"/>
  <c r="I256" i="2"/>
  <c r="I374" i="2"/>
  <c r="I202" i="2"/>
  <c r="D183" i="2"/>
  <c r="D90" i="2"/>
  <c r="D134" i="2"/>
  <c r="D170" i="2"/>
  <c r="D128" i="2"/>
  <c r="D83" i="2"/>
  <c r="D29" i="2"/>
  <c r="D135" i="2"/>
  <c r="D54" i="2"/>
  <c r="I43" i="2"/>
  <c r="I200" i="2"/>
  <c r="D20" i="8"/>
  <c r="D20" i="30"/>
  <c r="H22" i="6"/>
  <c r="G23" i="6" s="1"/>
  <c r="L21" i="6"/>
  <c r="U468" i="2"/>
  <c r="E436" i="2"/>
  <c r="X42" i="2"/>
  <c r="X392" i="2"/>
  <c r="X494" i="2"/>
  <c r="G464" i="2"/>
  <c r="X107" i="2"/>
  <c r="X268" i="2"/>
  <c r="X239" i="2"/>
  <c r="G486" i="2"/>
  <c r="G500" i="2"/>
  <c r="G467" i="2"/>
  <c r="X32" i="2"/>
  <c r="E340" i="2"/>
  <c r="S412" i="2" a="1"/>
  <c r="X450" i="2"/>
  <c r="X177" i="2"/>
  <c r="X472" i="2"/>
  <c r="X230" i="2"/>
  <c r="X293" i="2"/>
  <c r="U493" i="2"/>
  <c r="X493" i="2"/>
  <c r="X456" i="2"/>
  <c r="G487" i="2"/>
  <c r="X436" i="2"/>
  <c r="X363" i="2"/>
  <c r="X112" i="2"/>
  <c r="E494" i="2"/>
  <c r="E481" i="2"/>
  <c r="E487" i="2"/>
  <c r="X498" i="2"/>
  <c r="E485" i="2"/>
  <c r="X497" i="2"/>
  <c r="E493" i="2"/>
  <c r="G346" i="2"/>
  <c r="X491" i="2"/>
  <c r="G485" i="2"/>
  <c r="G472" i="2"/>
  <c r="E498" i="2"/>
  <c r="X62" i="2"/>
  <c r="E499" i="2"/>
  <c r="E375" i="2"/>
  <c r="U487" i="2"/>
  <c r="U456" i="2"/>
  <c r="G349" i="2"/>
  <c r="G435" i="2"/>
  <c r="G139" i="2"/>
  <c r="E497" i="2"/>
  <c r="E397" i="2"/>
  <c r="X325" i="2"/>
  <c r="X76" i="2"/>
  <c r="G187" i="2"/>
  <c r="E359" i="2"/>
  <c r="E186" i="2"/>
  <c r="G275" i="2"/>
  <c r="G484" i="2"/>
  <c r="X47" i="2"/>
  <c r="X484" i="2"/>
  <c r="G266" i="2"/>
  <c r="E190" i="2"/>
  <c r="G442" i="2"/>
  <c r="G498" i="2"/>
  <c r="E402" i="2"/>
  <c r="E140" i="2"/>
  <c r="U452" i="2"/>
  <c r="U461" i="2"/>
  <c r="G194" i="2"/>
  <c r="E452" i="2"/>
  <c r="G499" i="2"/>
  <c r="X333" i="2"/>
  <c r="E379" i="2"/>
  <c r="E500" i="2"/>
  <c r="X474" i="2"/>
  <c r="X359" i="2"/>
  <c r="U451" i="2"/>
  <c r="U494" i="2"/>
  <c r="E491" i="2"/>
  <c r="X499" i="2"/>
  <c r="G493" i="2"/>
  <c r="G96" i="2"/>
  <c r="X279" i="2"/>
  <c r="E479" i="2"/>
  <c r="G491" i="2"/>
  <c r="G450" i="2"/>
  <c r="E342" i="2"/>
  <c r="X455" i="2"/>
  <c r="G430" i="2"/>
  <c r="G33" i="2"/>
  <c r="G63" i="2"/>
  <c r="U491" i="2"/>
  <c r="G86" i="2"/>
  <c r="G400" i="2"/>
  <c r="X351" i="2"/>
  <c r="G494" i="2"/>
  <c r="E447" i="2"/>
  <c r="X471" i="2"/>
  <c r="X487" i="2"/>
  <c r="X500" i="2"/>
  <c r="E182" i="2"/>
  <c r="E91" i="2"/>
  <c r="E283" i="2"/>
  <c r="X191" i="2"/>
  <c r="G182" i="2"/>
  <c r="G385" i="2"/>
  <c r="E187" i="2"/>
  <c r="X445" i="2"/>
  <c r="E329" i="2"/>
  <c r="G497" i="2"/>
  <c r="E77" i="2"/>
  <c r="E461" i="2"/>
  <c r="U473" i="2"/>
  <c r="X495" i="2"/>
  <c r="E245" i="2"/>
  <c r="G495" i="2"/>
  <c r="X462" i="2"/>
  <c r="X400" i="2"/>
  <c r="X249" i="2"/>
  <c r="E486" i="2"/>
  <c r="G320" i="2"/>
  <c r="E478" i="2"/>
  <c r="E334" i="2"/>
  <c r="U457" i="2"/>
  <c r="E355" i="2"/>
  <c r="E495" i="2"/>
  <c r="X356" i="2"/>
  <c r="G363" i="2"/>
  <c r="G475" i="2"/>
  <c r="G420" i="2"/>
  <c r="E484" i="2"/>
  <c r="X486" i="2"/>
  <c r="E382" i="2"/>
  <c r="X342" i="2"/>
  <c r="E345" i="2"/>
  <c r="X29" i="2"/>
  <c r="X168" i="2"/>
  <c r="X485" i="2"/>
  <c r="E7" i="35" l="1"/>
  <c r="F7" i="35"/>
  <c r="B499" i="2"/>
  <c r="D332" i="34" s="1"/>
  <c r="E332" i="34" s="1"/>
  <c r="F499" i="2"/>
  <c r="B498" i="2"/>
  <c r="D258" i="34" s="1"/>
  <c r="E258" i="34" s="1"/>
  <c r="F498" i="2"/>
  <c r="B500" i="2"/>
  <c r="D280" i="34" s="1"/>
  <c r="E280" i="34" s="1"/>
  <c r="F500" i="2"/>
  <c r="F497" i="2"/>
  <c r="B497" i="2"/>
  <c r="D288" i="34" s="1"/>
  <c r="E288" i="34" s="1"/>
  <c r="I499" i="2"/>
  <c r="I498" i="2"/>
  <c r="I500" i="2"/>
  <c r="I497" i="2"/>
  <c r="F495" i="2"/>
  <c r="B495" i="2"/>
  <c r="D336" i="34" s="1"/>
  <c r="E336" i="34" s="1"/>
  <c r="F494" i="2"/>
  <c r="B494" i="2"/>
  <c r="D75" i="34" s="1"/>
  <c r="E75" i="34" s="1"/>
  <c r="F493" i="2"/>
  <c r="B493" i="2"/>
  <c r="D345" i="34" s="1"/>
  <c r="E345" i="34" s="1"/>
  <c r="I494" i="2"/>
  <c r="I493" i="2"/>
  <c r="F491" i="2"/>
  <c r="B491" i="2"/>
  <c r="D249" i="34" s="1"/>
  <c r="E249" i="34" s="1"/>
  <c r="I491" i="2"/>
  <c r="S412" i="2"/>
  <c r="T412" i="2" s="1"/>
  <c r="D412" i="2" s="1"/>
  <c r="D1108" i="18"/>
  <c r="D1109" i="18"/>
  <c r="F487" i="2"/>
  <c r="B487" i="2"/>
  <c r="D59" i="34" s="1"/>
  <c r="E59" i="34" s="1"/>
  <c r="I487" i="2"/>
  <c r="F486" i="2"/>
  <c r="B486" i="2"/>
  <c r="D290" i="34" s="1"/>
  <c r="E290" i="34" s="1"/>
  <c r="B485" i="2"/>
  <c r="D67" i="34" s="1"/>
  <c r="E67" i="34" s="1"/>
  <c r="F485" i="2"/>
  <c r="X171" i="2"/>
  <c r="B171" i="2" s="1"/>
  <c r="D159" i="34" s="1"/>
  <c r="E159" i="34" s="1"/>
  <c r="B484" i="2"/>
  <c r="D88" i="34" s="1"/>
  <c r="E88" i="34" s="1"/>
  <c r="F484" i="2"/>
  <c r="U500" i="2"/>
  <c r="U499" i="2"/>
  <c r="U498" i="2"/>
  <c r="G457" i="2"/>
  <c r="E483" i="2"/>
  <c r="E67" i="2"/>
  <c r="E338" i="2"/>
  <c r="E448" i="2"/>
  <c r="G449" i="2"/>
  <c r="G483" i="2"/>
  <c r="X86" i="2"/>
  <c r="G434" i="2"/>
  <c r="X323" i="2"/>
  <c r="X190" i="2"/>
  <c r="G180" i="2"/>
  <c r="E177" i="2"/>
  <c r="E469" i="2"/>
  <c r="X468" i="2"/>
  <c r="X460" i="2"/>
  <c r="E230" i="2"/>
  <c r="G355" i="2"/>
  <c r="G455" i="2"/>
  <c r="X204" i="2"/>
  <c r="E434" i="2"/>
  <c r="X180" i="2"/>
  <c r="G478" i="2"/>
  <c r="X240" i="2"/>
  <c r="E86" i="2"/>
  <c r="E139" i="2"/>
  <c r="X61" i="2"/>
  <c r="E450" i="2"/>
  <c r="G479" i="2"/>
  <c r="G67" i="2"/>
  <c r="G329" i="2"/>
  <c r="X235" i="2"/>
  <c r="X423" i="2"/>
  <c r="X244" i="2"/>
  <c r="X291" i="2"/>
  <c r="E458" i="2"/>
  <c r="G32" i="2"/>
  <c r="X231" i="2"/>
  <c r="E70" i="2"/>
  <c r="G209" i="2"/>
  <c r="X70" i="2"/>
  <c r="U462" i="2"/>
  <c r="U450" i="2"/>
  <c r="G107" i="2"/>
  <c r="E435" i="2"/>
  <c r="E32" i="2"/>
  <c r="X481" i="2"/>
  <c r="X358" i="2"/>
  <c r="E180" i="2"/>
  <c r="E426" i="2"/>
  <c r="E472" i="2"/>
  <c r="G97" i="2"/>
  <c r="X448" i="2"/>
  <c r="G283" i="2"/>
  <c r="G190" i="2"/>
  <c r="U252" i="2"/>
  <c r="U469" i="2"/>
  <c r="G451" i="2"/>
  <c r="E209" i="2"/>
  <c r="G463" i="2"/>
  <c r="E453" i="2"/>
  <c r="X332" i="2"/>
  <c r="G366" i="2"/>
  <c r="X97" i="2"/>
  <c r="E181" i="2"/>
  <c r="E462" i="2"/>
  <c r="G473" i="2"/>
  <c r="X245" i="2"/>
  <c r="E480" i="2"/>
  <c r="G230" i="2"/>
  <c r="E418" i="2"/>
  <c r="X90" i="2"/>
  <c r="X220" i="2"/>
  <c r="E457" i="2"/>
  <c r="X213" i="2"/>
  <c r="X340" i="2"/>
  <c r="X329" i="2"/>
  <c r="X255" i="2"/>
  <c r="X137" i="2"/>
  <c r="X140" i="2"/>
  <c r="X469" i="2"/>
  <c r="X186" i="2"/>
  <c r="E443" i="2"/>
  <c r="X385" i="2"/>
  <c r="G459" i="2"/>
  <c r="E464" i="2"/>
  <c r="X243" i="2"/>
  <c r="E384" i="2"/>
  <c r="L22" i="3"/>
  <c r="X73" i="2"/>
  <c r="E96" i="2"/>
  <c r="E482" i="2"/>
  <c r="X478" i="2"/>
  <c r="X149" i="2"/>
  <c r="E137" i="2"/>
  <c r="X391" i="2"/>
  <c r="X420" i="2"/>
  <c r="G466" i="2"/>
  <c r="X473" i="2"/>
  <c r="G443" i="2"/>
  <c r="U472" i="2"/>
  <c r="U497" i="2"/>
  <c r="G462" i="2"/>
  <c r="X429" i="2"/>
  <c r="G461" i="2"/>
  <c r="E33" i="2"/>
  <c r="X150" i="2"/>
  <c r="X467" i="2"/>
  <c r="E477" i="2"/>
  <c r="E368" i="2"/>
  <c r="X404" i="2"/>
  <c r="E455" i="2"/>
  <c r="X63" i="2"/>
  <c r="E475" i="2"/>
  <c r="E61" i="2"/>
  <c r="X263" i="2"/>
  <c r="G445" i="2"/>
  <c r="G437" i="2"/>
  <c r="G268" i="2"/>
  <c r="G423" i="2"/>
  <c r="G345" i="2"/>
  <c r="X181" i="2"/>
  <c r="X265" i="2"/>
  <c r="G419" i="2"/>
  <c r="X452" i="2"/>
  <c r="X209" i="2"/>
  <c r="E420" i="2"/>
  <c r="E353" i="2"/>
  <c r="G231" i="2"/>
  <c r="X44" i="2"/>
  <c r="G334" i="2"/>
  <c r="X56" i="2"/>
  <c r="X111" i="2"/>
  <c r="G460" i="2"/>
  <c r="G477" i="2"/>
  <c r="G471" i="2"/>
  <c r="X35" i="2"/>
  <c r="E107" i="2"/>
  <c r="X33" i="2"/>
  <c r="G91" i="2"/>
  <c r="X376" i="2"/>
  <c r="E172" i="2"/>
  <c r="U458" i="2"/>
  <c r="U177" i="2"/>
  <c r="G415" i="2"/>
  <c r="G84" i="2"/>
  <c r="G342" i="2"/>
  <c r="X299" i="2"/>
  <c r="X165" i="2"/>
  <c r="E468" i="2"/>
  <c r="X110" i="2"/>
  <c r="X49" i="2"/>
  <c r="E460" i="2"/>
  <c r="X275" i="2"/>
  <c r="X339" i="2"/>
  <c r="E62" i="2"/>
  <c r="E63" i="2"/>
  <c r="X258" i="2"/>
  <c r="G474" i="2"/>
  <c r="X442" i="2"/>
  <c r="X193" i="2"/>
  <c r="X175" i="2"/>
  <c r="X207" i="2"/>
  <c r="G476" i="2"/>
  <c r="G140" i="2"/>
  <c r="G481" i="2"/>
  <c r="X349" i="2"/>
  <c r="X457" i="2"/>
  <c r="X283" i="2"/>
  <c r="X164" i="2"/>
  <c r="X368" i="2"/>
  <c r="E430" i="2"/>
  <c r="X198" i="2"/>
  <c r="G137" i="2"/>
  <c r="X215" i="2"/>
  <c r="G181" i="2"/>
  <c r="G61" i="2"/>
  <c r="X346" i="2"/>
  <c r="X432" i="2"/>
  <c r="X178" i="2"/>
  <c r="G340" i="2"/>
  <c r="U477" i="2"/>
  <c r="U495" i="2"/>
  <c r="G70" i="2"/>
  <c r="E451" i="2"/>
  <c r="E476" i="2"/>
  <c r="X366" i="2"/>
  <c r="X334" i="2"/>
  <c r="E179" i="2"/>
  <c r="G344" i="2"/>
  <c r="X483" i="2"/>
  <c r="E449" i="2"/>
  <c r="X238" i="2"/>
  <c r="E349" i="2"/>
  <c r="G333" i="2"/>
  <c r="G392" i="2"/>
  <c r="G186" i="2"/>
  <c r="G338" i="2"/>
  <c r="X396" i="2"/>
  <c r="E456" i="2"/>
  <c r="X77" i="2"/>
  <c r="X446" i="2"/>
  <c r="X105" i="2"/>
  <c r="E337" i="2"/>
  <c r="X229" i="2"/>
  <c r="X75" i="2"/>
  <c r="X176" i="2"/>
  <c r="X241" i="2"/>
  <c r="G482" i="2"/>
  <c r="X379" i="2"/>
  <c r="G456" i="2"/>
  <c r="E459" i="2"/>
  <c r="E275" i="2"/>
  <c r="X125" i="2"/>
  <c r="E354" i="2"/>
  <c r="X167" i="2"/>
  <c r="E445" i="2"/>
  <c r="X182" i="2"/>
  <c r="X65" i="2"/>
  <c r="G384" i="2"/>
  <c r="E446" i="2"/>
  <c r="E84" i="2"/>
  <c r="X365" i="2"/>
  <c r="X447" i="2"/>
  <c r="G468" i="2"/>
  <c r="X194" i="2"/>
  <c r="X480" i="2"/>
  <c r="U486" i="2"/>
  <c r="U445" i="2"/>
  <c r="U484" i="2"/>
  <c r="E366" i="2"/>
  <c r="X354" i="2"/>
  <c r="E467" i="2"/>
  <c r="G422" i="2"/>
  <c r="G359" i="2"/>
  <c r="S278" i="2" a="1"/>
  <c r="X459" i="2"/>
  <c r="E463" i="2"/>
  <c r="X453" i="2"/>
  <c r="X422" i="2"/>
  <c r="S470" i="2" a="1"/>
  <c r="X482" i="2"/>
  <c r="E346" i="2"/>
  <c r="E97" i="2"/>
  <c r="X449" i="2"/>
  <c r="X91" i="2"/>
  <c r="G424" i="2"/>
  <c r="G448" i="2"/>
  <c r="X362" i="2"/>
  <c r="G418" i="2"/>
  <c r="E194" i="2"/>
  <c r="X464" i="2"/>
  <c r="X418" i="2"/>
  <c r="E437" i="2"/>
  <c r="E266" i="2"/>
  <c r="X371" i="2"/>
  <c r="X89" i="2"/>
  <c r="X430" i="2"/>
  <c r="X476" i="2"/>
  <c r="X435" i="2"/>
  <c r="E385" i="2"/>
  <c r="E268" i="2"/>
  <c r="G62" i="2"/>
  <c r="E392" i="2"/>
  <c r="X195" i="2"/>
  <c r="G395" i="2"/>
  <c r="X347" i="2"/>
  <c r="X437" i="2"/>
  <c r="X466" i="2"/>
  <c r="U485" i="2"/>
  <c r="U453" i="2"/>
  <c r="U449" i="2"/>
  <c r="X424" i="2"/>
  <c r="E466" i="2"/>
  <c r="X338" i="2"/>
  <c r="X60" i="2"/>
  <c r="G453" i="2"/>
  <c r="E474" i="2"/>
  <c r="G177" i="2"/>
  <c r="X139" i="2"/>
  <c r="E231" i="2"/>
  <c r="X370" i="2"/>
  <c r="E320" i="2"/>
  <c r="E125" i="2"/>
  <c r="X266" i="2"/>
  <c r="X451" i="2"/>
  <c r="G452" i="2"/>
  <c r="G469" i="2"/>
  <c r="X84" i="2"/>
  <c r="X317" i="2"/>
  <c r="G368" i="2"/>
  <c r="E395" i="2"/>
  <c r="X187" i="2"/>
  <c r="E473" i="2"/>
  <c r="E424" i="2"/>
  <c r="X345" i="2"/>
  <c r="X458" i="2"/>
  <c r="G480" i="2"/>
  <c r="X434" i="2"/>
  <c r="G179" i="2"/>
  <c r="G458" i="2"/>
  <c r="X96" i="2"/>
  <c r="E423" i="2"/>
  <c r="X343" i="2"/>
  <c r="G447" i="2"/>
  <c r="G446" i="2"/>
  <c r="X475" i="2"/>
  <c r="E471" i="2"/>
  <c r="G436" i="2"/>
  <c r="X233" i="2"/>
  <c r="X106" i="2"/>
  <c r="D8" i="35" l="1"/>
  <c r="C1111" i="18"/>
  <c r="T373" i="2"/>
  <c r="D373" i="2" s="1"/>
  <c r="T242" i="2"/>
  <c r="D242" i="2" s="1"/>
  <c r="C509" i="18"/>
  <c r="I203" i="2"/>
  <c r="S470" i="2"/>
  <c r="T470" i="2" s="1"/>
  <c r="D470" i="2" s="1"/>
  <c r="I470" i="2" s="1"/>
  <c r="S278" i="2"/>
  <c r="T278" i="2" s="1"/>
  <c r="D278" i="2" s="1"/>
  <c r="C385" i="18"/>
  <c r="B241" i="2"/>
  <c r="D21" i="34" s="1"/>
  <c r="E21" i="34" s="1"/>
  <c r="B70" i="2"/>
  <c r="D126" i="34" s="1"/>
  <c r="E126" i="34" s="1"/>
  <c r="F70" i="2"/>
  <c r="F392" i="2"/>
  <c r="B392" i="2"/>
  <c r="D103" i="34" s="1"/>
  <c r="E103" i="34" s="1"/>
  <c r="B424" i="2"/>
  <c r="F424" i="2"/>
  <c r="B84" i="2"/>
  <c r="D132" i="34" s="1"/>
  <c r="E132" i="34" s="1"/>
  <c r="F84" i="2"/>
  <c r="B482" i="2"/>
  <c r="F482" i="2"/>
  <c r="B91" i="2"/>
  <c r="D209" i="34" s="1"/>
  <c r="E209" i="34" s="1"/>
  <c r="F91" i="2"/>
  <c r="F474" i="2"/>
  <c r="B474" i="2"/>
  <c r="D323" i="34" s="1"/>
  <c r="E323" i="34" s="1"/>
  <c r="F418" i="2"/>
  <c r="B418" i="2"/>
  <c r="B62" i="2"/>
  <c r="D120" i="34" s="1"/>
  <c r="E120" i="34" s="1"/>
  <c r="F62" i="2"/>
  <c r="B186" i="2"/>
  <c r="D165" i="34" s="1"/>
  <c r="E165" i="34" s="1"/>
  <c r="F186" i="2"/>
  <c r="B263" i="2"/>
  <c r="D99" i="34" s="1"/>
  <c r="E99" i="34" s="1"/>
  <c r="B235" i="2"/>
  <c r="F436" i="2"/>
  <c r="B436" i="2"/>
  <c r="B268" i="2"/>
  <c r="D262" i="34" s="1"/>
  <c r="E262" i="34" s="1"/>
  <c r="F268" i="2"/>
  <c r="B455" i="2"/>
  <c r="D321" i="34" s="1"/>
  <c r="E321" i="34" s="1"/>
  <c r="F455" i="2"/>
  <c r="B435" i="2"/>
  <c r="D320" i="34" s="1"/>
  <c r="E320" i="34" s="1"/>
  <c r="F435" i="2"/>
  <c r="B245" i="2"/>
  <c r="B240" i="2"/>
  <c r="F320" i="2"/>
  <c r="B230" i="2"/>
  <c r="D58" i="34" s="1"/>
  <c r="E58" i="34" s="1"/>
  <c r="F230" i="2"/>
  <c r="B107" i="2"/>
  <c r="D142" i="34" s="1"/>
  <c r="E142" i="34" s="1"/>
  <c r="F107" i="2"/>
  <c r="B329" i="2"/>
  <c r="D278" i="34" s="1"/>
  <c r="E278" i="34" s="1"/>
  <c r="F329" i="2"/>
  <c r="B283" i="2"/>
  <c r="D326" i="34" s="1"/>
  <c r="E326" i="34" s="1"/>
  <c r="F283" i="2"/>
  <c r="F430" i="2"/>
  <c r="B430" i="2"/>
  <c r="B244" i="2"/>
  <c r="D100" i="34" s="1"/>
  <c r="E100" i="34" s="1"/>
  <c r="B238" i="2"/>
  <c r="B258" i="2"/>
  <c r="D307" i="34" s="1"/>
  <c r="E307" i="34" s="1"/>
  <c r="F437" i="2"/>
  <c r="B437" i="2"/>
  <c r="D274" i="34" s="1"/>
  <c r="E274" i="34" s="1"/>
  <c r="B340" i="2"/>
  <c r="D285" i="34" s="1"/>
  <c r="E285" i="34" s="1"/>
  <c r="F340" i="2"/>
  <c r="B181" i="2"/>
  <c r="D163" i="34" s="1"/>
  <c r="E163" i="34" s="1"/>
  <c r="F181" i="2"/>
  <c r="B349" i="2"/>
  <c r="F349" i="2"/>
  <c r="B96" i="2"/>
  <c r="F96" i="2"/>
  <c r="B209" i="2"/>
  <c r="D169" i="34" s="1"/>
  <c r="E169" i="34" s="1"/>
  <c r="F209" i="2"/>
  <c r="F479" i="2"/>
  <c r="F420" i="2"/>
  <c r="B420" i="2"/>
  <c r="D275" i="34" s="1"/>
  <c r="E275" i="34" s="1"/>
  <c r="B481" i="2"/>
  <c r="D273" i="34" s="1"/>
  <c r="E273" i="34" s="1"/>
  <c r="F481" i="2"/>
  <c r="B299" i="2"/>
  <c r="B33" i="2"/>
  <c r="D114" i="34" s="1"/>
  <c r="E114" i="34" s="1"/>
  <c r="F33" i="2"/>
  <c r="B338" i="2"/>
  <c r="D291" i="34" s="1"/>
  <c r="E291" i="34" s="1"/>
  <c r="F338" i="2"/>
  <c r="F471" i="2"/>
  <c r="B471" i="2"/>
  <c r="D344" i="34" s="1"/>
  <c r="E344" i="34" s="1"/>
  <c r="B231" i="2"/>
  <c r="D318" i="34" s="1"/>
  <c r="E318" i="34" s="1"/>
  <c r="F231" i="2"/>
  <c r="F475" i="2"/>
  <c r="B475" i="2"/>
  <c r="D259" i="34" s="1"/>
  <c r="E259" i="34" s="1"/>
  <c r="B483" i="2"/>
  <c r="D283" i="34" s="1"/>
  <c r="E283" i="34" s="1"/>
  <c r="F483" i="2"/>
  <c r="B366" i="2"/>
  <c r="F366" i="2"/>
  <c r="B220" i="2"/>
  <c r="B140" i="2"/>
  <c r="D152" i="34" s="1"/>
  <c r="E152" i="34" s="1"/>
  <c r="F140" i="2"/>
  <c r="F434" i="2"/>
  <c r="B434" i="2"/>
  <c r="B180" i="2"/>
  <c r="D162" i="34" s="1"/>
  <c r="E162" i="34" s="1"/>
  <c r="F180" i="2"/>
  <c r="B97" i="2"/>
  <c r="D136" i="34" s="1"/>
  <c r="E136" i="34" s="1"/>
  <c r="F97" i="2"/>
  <c r="B266" i="2"/>
  <c r="D301" i="34" s="1"/>
  <c r="E301" i="34" s="1"/>
  <c r="F266" i="2"/>
  <c r="F480" i="2"/>
  <c r="B480" i="2"/>
  <c r="F190" i="2"/>
  <c r="B190" i="2"/>
  <c r="D167" i="34" s="1"/>
  <c r="E167" i="34" s="1"/>
  <c r="B368" i="2"/>
  <c r="D74" i="34" s="1"/>
  <c r="E74" i="34" s="1"/>
  <c r="F368" i="2"/>
  <c r="B187" i="2"/>
  <c r="D166" i="34" s="1"/>
  <c r="E166" i="34" s="1"/>
  <c r="F187" i="2"/>
  <c r="F384" i="2"/>
  <c r="B275" i="2"/>
  <c r="D89" i="34" s="1"/>
  <c r="E89" i="34" s="1"/>
  <c r="F275" i="2"/>
  <c r="B139" i="2"/>
  <c r="D151" i="34" s="1"/>
  <c r="E151" i="34" s="1"/>
  <c r="F139" i="2"/>
  <c r="B466" i="2"/>
  <c r="F466" i="2"/>
  <c r="F77" i="2"/>
  <c r="B77" i="2"/>
  <c r="D128" i="34" s="1"/>
  <c r="E128" i="34" s="1"/>
  <c r="F194" i="2"/>
  <c r="B194" i="2"/>
  <c r="D168" i="34" s="1"/>
  <c r="E168" i="34" s="1"/>
  <c r="B86" i="2"/>
  <c r="D134" i="34" s="1"/>
  <c r="E134" i="34" s="1"/>
  <c r="F86" i="2"/>
  <c r="F423" i="2"/>
  <c r="B423" i="2"/>
  <c r="D309" i="34" s="1"/>
  <c r="E309" i="34" s="1"/>
  <c r="B345" i="2"/>
  <c r="F345" i="2"/>
  <c r="B182" i="2"/>
  <c r="D164" i="34" s="1"/>
  <c r="E164" i="34" s="1"/>
  <c r="F182" i="2"/>
  <c r="F395" i="2"/>
  <c r="B177" i="2"/>
  <c r="D215" i="34" s="1"/>
  <c r="E215" i="34" s="1"/>
  <c r="F177" i="2"/>
  <c r="B334" i="2"/>
  <c r="D72" i="34" s="1"/>
  <c r="E72" i="34" s="1"/>
  <c r="F334" i="2"/>
  <c r="B385" i="2"/>
  <c r="D314" i="34" s="1"/>
  <c r="E314" i="34" s="1"/>
  <c r="F385" i="2"/>
  <c r="B125" i="2"/>
  <c r="D148" i="34" s="1"/>
  <c r="E148" i="34" s="1"/>
  <c r="F125" i="2"/>
  <c r="F355" i="2"/>
  <c r="B255" i="2"/>
  <c r="D257" i="34" s="1"/>
  <c r="E257" i="34" s="1"/>
  <c r="B63" i="2"/>
  <c r="D121" i="34" s="1"/>
  <c r="E121" i="34" s="1"/>
  <c r="F63" i="2"/>
  <c r="B61" i="2"/>
  <c r="D119" i="34" s="1"/>
  <c r="E119" i="34" s="1"/>
  <c r="F61" i="2"/>
  <c r="F476" i="2"/>
  <c r="B476" i="2"/>
  <c r="D80" i="34" s="1"/>
  <c r="E80" i="34" s="1"/>
  <c r="B342" i="2"/>
  <c r="D296" i="34" s="1"/>
  <c r="E296" i="34" s="1"/>
  <c r="F342" i="2"/>
  <c r="B478" i="2"/>
  <c r="F478" i="2"/>
  <c r="I392" i="2"/>
  <c r="I424" i="2"/>
  <c r="I482" i="2"/>
  <c r="I474" i="2"/>
  <c r="I418" i="2"/>
  <c r="I436" i="2"/>
  <c r="I455" i="2"/>
  <c r="I435" i="2"/>
  <c r="X320" i="2"/>
  <c r="B320" i="2" s="1"/>
  <c r="D295" i="34" s="1"/>
  <c r="E295" i="34" s="1"/>
  <c r="I430" i="2"/>
  <c r="I437" i="2"/>
  <c r="T330" i="2"/>
  <c r="D330" i="2" s="1"/>
  <c r="AE330" i="2"/>
  <c r="I479" i="2"/>
  <c r="I420" i="2"/>
  <c r="I481" i="2"/>
  <c r="I471" i="2"/>
  <c r="I475" i="2"/>
  <c r="I483" i="2"/>
  <c r="I434" i="2"/>
  <c r="I480" i="2"/>
  <c r="I187" i="2"/>
  <c r="I466" i="2"/>
  <c r="I423" i="2"/>
  <c r="I395" i="2"/>
  <c r="D971" i="18"/>
  <c r="C973" i="18" s="1"/>
  <c r="X398" i="2" s="1"/>
  <c r="B398" i="2" s="1"/>
  <c r="D292" i="34" s="1"/>
  <c r="E292" i="34" s="1"/>
  <c r="D970" i="18"/>
  <c r="Z227" i="2"/>
  <c r="T227" i="2"/>
  <c r="D227" i="2" s="1"/>
  <c r="AH231" i="2" s="1"/>
  <c r="X227" i="2" s="1"/>
  <c r="I476" i="2"/>
  <c r="I478" i="2"/>
  <c r="B137" i="2"/>
  <c r="D149" i="34" s="1"/>
  <c r="E149" i="34" s="1"/>
  <c r="F137" i="2"/>
  <c r="F477" i="2"/>
  <c r="I477" i="2"/>
  <c r="B472" i="2"/>
  <c r="D105" i="34" s="1"/>
  <c r="E105" i="34" s="1"/>
  <c r="F472" i="2"/>
  <c r="B473" i="2"/>
  <c r="D337" i="34" s="1"/>
  <c r="E337" i="34" s="1"/>
  <c r="F473" i="2"/>
  <c r="I472" i="2"/>
  <c r="I473" i="2"/>
  <c r="T465" i="2"/>
  <c r="D465" i="2" s="1"/>
  <c r="I465" i="2" s="1"/>
  <c r="F469" i="2"/>
  <c r="B469" i="2"/>
  <c r="D50" i="34" s="1"/>
  <c r="E50" i="34" s="1"/>
  <c r="I469" i="2"/>
  <c r="B467" i="2"/>
  <c r="D266" i="34" s="1"/>
  <c r="E266" i="34" s="1"/>
  <c r="F467" i="2"/>
  <c r="F468" i="2"/>
  <c r="B468" i="2"/>
  <c r="I467" i="2"/>
  <c r="I468" i="2"/>
  <c r="F464" i="2"/>
  <c r="B464" i="2"/>
  <c r="D93" i="34" s="1"/>
  <c r="E93" i="34" s="1"/>
  <c r="I464" i="2"/>
  <c r="E838" i="18"/>
  <c r="C840" i="18" s="1"/>
  <c r="X384" i="2" s="1"/>
  <c r="B384" i="2" s="1"/>
  <c r="D84" i="34" s="1"/>
  <c r="E84" i="34" s="1"/>
  <c r="F463" i="2"/>
  <c r="I463" i="2"/>
  <c r="B462" i="2"/>
  <c r="D33" i="34" s="1"/>
  <c r="E33" i="34" s="1"/>
  <c r="F462" i="2"/>
  <c r="I462" i="2"/>
  <c r="F461" i="2"/>
  <c r="B346" i="2"/>
  <c r="D270" i="34" s="1"/>
  <c r="E270" i="34" s="1"/>
  <c r="F346" i="2"/>
  <c r="F460" i="2"/>
  <c r="B460" i="2"/>
  <c r="D300" i="34" s="1"/>
  <c r="E300" i="34" s="1"/>
  <c r="I461" i="2"/>
  <c r="I460" i="2"/>
  <c r="F459" i="2"/>
  <c r="B459" i="2"/>
  <c r="D25" i="34" s="1"/>
  <c r="E25" i="34" s="1"/>
  <c r="I459" i="2"/>
  <c r="B457" i="2"/>
  <c r="D333" i="34" s="1"/>
  <c r="E333" i="34" s="1"/>
  <c r="F458" i="2"/>
  <c r="B458" i="2"/>
  <c r="D255" i="34" s="1"/>
  <c r="E255" i="34" s="1"/>
  <c r="I457" i="2"/>
  <c r="F457" i="2"/>
  <c r="I458" i="2"/>
  <c r="B42" i="2"/>
  <c r="D223" i="34" s="1"/>
  <c r="E223" i="34" s="1"/>
  <c r="B105" i="2"/>
  <c r="D140" i="34" s="1"/>
  <c r="E140" i="34" s="1"/>
  <c r="B452" i="2"/>
  <c r="D264" i="34" s="1"/>
  <c r="E264" i="34" s="1"/>
  <c r="B243" i="2"/>
  <c r="D342" i="34" s="1"/>
  <c r="E342" i="34" s="1"/>
  <c r="B442" i="2"/>
  <c r="D94" i="34" s="1"/>
  <c r="E94" i="34" s="1"/>
  <c r="B90" i="2"/>
  <c r="B29" i="2"/>
  <c r="B325" i="2"/>
  <c r="D319" i="34" s="1"/>
  <c r="E319" i="34" s="1"/>
  <c r="B47" i="2"/>
  <c r="D116" i="34" s="1"/>
  <c r="E116" i="34" s="1"/>
  <c r="B456" i="2"/>
  <c r="D27" i="34" s="1"/>
  <c r="E27" i="34" s="1"/>
  <c r="B279" i="2"/>
  <c r="D299" i="34" s="1"/>
  <c r="E299" i="34" s="1"/>
  <c r="B396" i="2"/>
  <c r="D312" i="34" s="1"/>
  <c r="E312" i="34" s="1"/>
  <c r="B446" i="2"/>
  <c r="D40" i="34" s="1"/>
  <c r="E40" i="34" s="1"/>
  <c r="B191" i="2"/>
  <c r="D203" i="34" s="1"/>
  <c r="E203" i="34" s="1"/>
  <c r="B343" i="2"/>
  <c r="D85" i="34" s="1"/>
  <c r="E85" i="34" s="1"/>
  <c r="B400" i="2"/>
  <c r="D29" i="34" s="1"/>
  <c r="E29" i="34" s="1"/>
  <c r="B291" i="2"/>
  <c r="D56" i="34" s="1"/>
  <c r="E56" i="34" s="1"/>
  <c r="B165" i="2"/>
  <c r="B448" i="2"/>
  <c r="D20" i="34" s="1"/>
  <c r="E20" i="34" s="1"/>
  <c r="B44" i="2"/>
  <c r="D224" i="34" s="1"/>
  <c r="E224" i="34" s="1"/>
  <c r="B354" i="2"/>
  <c r="D341" i="34" s="1"/>
  <c r="E341" i="34" s="1"/>
  <c r="B176" i="2"/>
  <c r="D161" i="34" s="1"/>
  <c r="E161" i="34" s="1"/>
  <c r="B265" i="2"/>
  <c r="D107" i="34" s="1"/>
  <c r="E107" i="34" s="1"/>
  <c r="B198" i="2"/>
  <c r="D202" i="34" s="1"/>
  <c r="E202" i="34" s="1"/>
  <c r="B391" i="2"/>
  <c r="D324" i="34" s="1"/>
  <c r="E324" i="34" s="1"/>
  <c r="B195" i="2"/>
  <c r="D206" i="34" s="1"/>
  <c r="E206" i="34" s="1"/>
  <c r="B432" i="2"/>
  <c r="D102" i="34" s="1"/>
  <c r="E102" i="34" s="1"/>
  <c r="B73" i="2"/>
  <c r="D127" i="34" s="1"/>
  <c r="E127" i="34" s="1"/>
  <c r="B106" i="2"/>
  <c r="D141" i="34" s="1"/>
  <c r="E141" i="34" s="1"/>
  <c r="B358" i="2"/>
  <c r="D95" i="34" s="1"/>
  <c r="E95" i="34" s="1"/>
  <c r="B445" i="2"/>
  <c r="D38" i="34" s="1"/>
  <c r="E38" i="34" s="1"/>
  <c r="B239" i="2"/>
  <c r="D289" i="34" s="1"/>
  <c r="E289" i="34" s="1"/>
  <c r="B323" i="2"/>
  <c r="D57" i="34" s="1"/>
  <c r="E57" i="34" s="1"/>
  <c r="B35" i="2"/>
  <c r="D219" i="34" s="1"/>
  <c r="E219" i="34" s="1"/>
  <c r="B317" i="2"/>
  <c r="D79" i="34" s="1"/>
  <c r="E79" i="34" s="1"/>
  <c r="B370" i="2"/>
  <c r="D269" i="34" s="1"/>
  <c r="E269" i="34" s="1"/>
  <c r="B89" i="2"/>
  <c r="D186" i="34" s="1"/>
  <c r="E186" i="34" s="1"/>
  <c r="B332" i="2"/>
  <c r="D48" i="34" s="1"/>
  <c r="E48" i="34" s="1"/>
  <c r="B213" i="2"/>
  <c r="D174" i="34" s="1"/>
  <c r="E174" i="34" s="1"/>
  <c r="B371" i="2"/>
  <c r="D304" i="34" s="1"/>
  <c r="E304" i="34" s="1"/>
  <c r="B168" i="2"/>
  <c r="D199" i="34" s="1"/>
  <c r="E199" i="34" s="1"/>
  <c r="B65" i="2"/>
  <c r="D123" i="34" s="1"/>
  <c r="E123" i="34" s="1"/>
  <c r="B333" i="2"/>
  <c r="D256" i="34" s="1"/>
  <c r="E256" i="34" s="1"/>
  <c r="B453" i="2"/>
  <c r="D30" i="34" s="1"/>
  <c r="E30" i="34" s="1"/>
  <c r="B49" i="2"/>
  <c r="D117" i="34" s="1"/>
  <c r="E117" i="34" s="1"/>
  <c r="B178" i="2"/>
  <c r="D201" i="34" s="1"/>
  <c r="E201" i="34" s="1"/>
  <c r="B447" i="2"/>
  <c r="D34" i="34" s="1"/>
  <c r="E34" i="34" s="1"/>
  <c r="B365" i="2"/>
  <c r="D55" i="34" s="1"/>
  <c r="E55" i="34" s="1"/>
  <c r="B339" i="2"/>
  <c r="D322" i="34" s="1"/>
  <c r="E322" i="34" s="1"/>
  <c r="B60" i="2"/>
  <c r="D183" i="34" s="1"/>
  <c r="E183" i="34" s="1"/>
  <c r="B233" i="2"/>
  <c r="D32" i="34" s="1"/>
  <c r="E32" i="34" s="1"/>
  <c r="B347" i="2"/>
  <c r="B76" i="2"/>
  <c r="D111" i="34" s="1"/>
  <c r="E111" i="34" s="1"/>
  <c r="B175" i="2"/>
  <c r="D214" i="34" s="1"/>
  <c r="E214" i="34" s="1"/>
  <c r="B112" i="2"/>
  <c r="D190" i="34" s="1"/>
  <c r="E190" i="34" s="1"/>
  <c r="B422" i="2"/>
  <c r="D44" i="34" s="1"/>
  <c r="E44" i="34" s="1"/>
  <c r="B229" i="2"/>
  <c r="D31" i="34" s="1"/>
  <c r="E31" i="34" s="1"/>
  <c r="B56" i="2"/>
  <c r="D179" i="34" s="1"/>
  <c r="E179" i="34" s="1"/>
  <c r="B32" i="2"/>
  <c r="D113" i="34" s="1"/>
  <c r="E113" i="34" s="1"/>
  <c r="B110" i="2"/>
  <c r="D189" i="34" s="1"/>
  <c r="E189" i="34" s="1"/>
  <c r="B450" i="2"/>
  <c r="D276" i="34" s="1"/>
  <c r="E276" i="34" s="1"/>
  <c r="B379" i="2"/>
  <c r="B149" i="2"/>
  <c r="D170" i="34" s="1"/>
  <c r="E170" i="34" s="1"/>
  <c r="B404" i="2"/>
  <c r="D308" i="34" s="1"/>
  <c r="E308" i="34" s="1"/>
  <c r="B249" i="2"/>
  <c r="D90" i="34" s="1"/>
  <c r="E90" i="34" s="1"/>
  <c r="B363" i="2"/>
  <c r="D46" i="34" s="1"/>
  <c r="E46" i="34" s="1"/>
  <c r="B193" i="2"/>
  <c r="D205" i="34" s="1"/>
  <c r="E205" i="34" s="1"/>
  <c r="B451" i="2"/>
  <c r="D97" i="34" s="1"/>
  <c r="E97" i="34" s="1"/>
  <c r="B207" i="2"/>
  <c r="D172" i="34" s="1"/>
  <c r="E172" i="34" s="1"/>
  <c r="B429" i="2"/>
  <c r="D265" i="34" s="1"/>
  <c r="E265" i="34" s="1"/>
  <c r="B75" i="2"/>
  <c r="D184" i="34" s="1"/>
  <c r="E184" i="34" s="1"/>
  <c r="B362" i="2"/>
  <c r="D64" i="34" s="1"/>
  <c r="E64" i="34" s="1"/>
  <c r="B167" i="2"/>
  <c r="D157" i="34" s="1"/>
  <c r="E157" i="34" s="1"/>
  <c r="B449" i="2"/>
  <c r="D325" i="34" s="1"/>
  <c r="E325" i="34" s="1"/>
  <c r="B150" i="2"/>
  <c r="D196" i="34" s="1"/>
  <c r="E196" i="34" s="1"/>
  <c r="B204" i="2"/>
  <c r="D208" i="34" s="1"/>
  <c r="E208" i="34" s="1"/>
  <c r="B215" i="2"/>
  <c r="D216" i="34" s="1"/>
  <c r="E216" i="34" s="1"/>
  <c r="B111" i="2"/>
  <c r="D191" i="34" s="1"/>
  <c r="E191" i="34" s="1"/>
  <c r="B376" i="2"/>
  <c r="D282" i="34" s="1"/>
  <c r="E282" i="34" s="1"/>
  <c r="F456" i="2"/>
  <c r="I456" i="2"/>
  <c r="F453" i="2"/>
  <c r="I453" i="2"/>
  <c r="E202" i="14"/>
  <c r="F67" i="2"/>
  <c r="F452" i="2"/>
  <c r="I452" i="2"/>
  <c r="F451" i="2"/>
  <c r="I451" i="2"/>
  <c r="F446" i="2"/>
  <c r="F32" i="2"/>
  <c r="F450" i="2"/>
  <c r="I446" i="2"/>
  <c r="I450" i="2"/>
  <c r="F448" i="2"/>
  <c r="F447" i="2"/>
  <c r="F449" i="2"/>
  <c r="I448" i="2"/>
  <c r="I447" i="2"/>
  <c r="I449" i="2"/>
  <c r="F445" i="2"/>
  <c r="I445" i="2"/>
  <c r="U476" i="2"/>
  <c r="U186" i="2"/>
  <c r="U338" i="2"/>
  <c r="U355" i="2"/>
  <c r="U349" i="2"/>
  <c r="U231" i="2"/>
  <c r="U418" i="2"/>
  <c r="U483" i="2"/>
  <c r="X277" i="2"/>
  <c r="X57" i="2"/>
  <c r="X403" i="2"/>
  <c r="X421" i="2"/>
  <c r="X394" i="2"/>
  <c r="U137" i="2"/>
  <c r="X170" i="2"/>
  <c r="G356" i="2"/>
  <c r="E438" i="2"/>
  <c r="U444" i="2"/>
  <c r="U423" i="2"/>
  <c r="X470" i="2"/>
  <c r="X236" i="2"/>
  <c r="X121" i="2"/>
  <c r="U424" i="2"/>
  <c r="U385" i="2"/>
  <c r="U446" i="2"/>
  <c r="U275" i="2"/>
  <c r="U97" i="2"/>
  <c r="U263" i="2"/>
  <c r="U430" i="2"/>
  <c r="U220" i="2"/>
  <c r="U384" i="2"/>
  <c r="E322" i="2"/>
  <c r="G444" i="2"/>
  <c r="X45" i="2"/>
  <c r="X234" i="2"/>
  <c r="X364" i="2"/>
  <c r="X294" i="2"/>
  <c r="X31" i="2"/>
  <c r="X54" i="2"/>
  <c r="E465" i="2"/>
  <c r="X441" i="2"/>
  <c r="X184" i="2"/>
  <c r="G375" i="2"/>
  <c r="X298" i="2"/>
  <c r="X174" i="2"/>
  <c r="E389" i="2"/>
  <c r="E332" i="2"/>
  <c r="X40" i="2"/>
  <c r="X313" i="2"/>
  <c r="X163" i="2"/>
  <c r="X322" i="2"/>
  <c r="U463" i="2"/>
  <c r="U346" i="2"/>
  <c r="U471" i="2"/>
  <c r="U366" i="2"/>
  <c r="U241" i="2"/>
  <c r="U181" i="2"/>
  <c r="G410" i="2"/>
  <c r="X267" i="2"/>
  <c r="X162" i="2"/>
  <c r="X123" i="2"/>
  <c r="X206" i="2"/>
  <c r="E442" i="2"/>
  <c r="G438" i="2"/>
  <c r="G335" i="2"/>
  <c r="G227" i="2"/>
  <c r="E404" i="2"/>
  <c r="X393" i="2"/>
  <c r="G465" i="2"/>
  <c r="X93" i="2"/>
  <c r="E227" i="2"/>
  <c r="G396" i="2"/>
  <c r="U480" i="2"/>
  <c r="U125" i="2"/>
  <c r="U190" i="2"/>
  <c r="X128" i="2"/>
  <c r="E419" i="2"/>
  <c r="E323" i="2"/>
  <c r="X426" i="2"/>
  <c r="X148" i="2"/>
  <c r="G330" i="2"/>
  <c r="X99" i="2"/>
  <c r="X37" i="2"/>
  <c r="X237" i="2"/>
  <c r="U420" i="2"/>
  <c r="X64" i="2"/>
  <c r="X211" i="2"/>
  <c r="U209" i="2"/>
  <c r="U235" i="2"/>
  <c r="U443" i="2"/>
  <c r="U266" i="2"/>
  <c r="U435" i="2"/>
  <c r="U340" i="2"/>
  <c r="U481" i="2"/>
  <c r="U392" i="2"/>
  <c r="U139" i="2"/>
  <c r="E317" i="2"/>
  <c r="E341" i="2"/>
  <c r="G365" i="2"/>
  <c r="E347" i="2"/>
  <c r="X278" i="2"/>
  <c r="X30" i="2"/>
  <c r="X59" i="2"/>
  <c r="X199" i="2"/>
  <c r="G354" i="2"/>
  <c r="X214" i="2"/>
  <c r="E331" i="2"/>
  <c r="X248" i="2"/>
  <c r="G402" i="2"/>
  <c r="X382" i="2"/>
  <c r="E470" i="2"/>
  <c r="E412" i="2"/>
  <c r="X201" i="2"/>
  <c r="X154" i="2"/>
  <c r="X228" i="2"/>
  <c r="U187" i="2"/>
  <c r="U345" i="2"/>
  <c r="U395" i="2"/>
  <c r="U180" i="2"/>
  <c r="U474" i="2"/>
  <c r="U475" i="2"/>
  <c r="U283" i="2"/>
  <c r="U334" i="2"/>
  <c r="G391" i="2"/>
  <c r="X41" i="2"/>
  <c r="X412" i="2"/>
  <c r="X80" i="2"/>
  <c r="X145" i="2"/>
  <c r="X410" i="2"/>
  <c r="X415" i="2"/>
  <c r="X375" i="2"/>
  <c r="X147" i="2"/>
  <c r="U238" i="2"/>
  <c r="U140" i="2"/>
  <c r="U434" i="2"/>
  <c r="U389" i="2"/>
  <c r="X444" i="2"/>
  <c r="X372" i="2"/>
  <c r="X257" i="2"/>
  <c r="X82" i="2"/>
  <c r="X156" i="2"/>
  <c r="X58" i="2"/>
  <c r="X88" i="2"/>
  <c r="X290" i="2"/>
  <c r="E444" i="2"/>
  <c r="X247" i="2"/>
  <c r="X78" i="2"/>
  <c r="X367" i="2"/>
  <c r="U182" i="2"/>
  <c r="X39" i="2"/>
  <c r="G390" i="2"/>
  <c r="X439" i="2"/>
  <c r="X369" i="2"/>
  <c r="X74" i="2"/>
  <c r="X305" i="2"/>
  <c r="X431" i="2"/>
  <c r="X389" i="2"/>
  <c r="X443" i="2"/>
  <c r="E439" i="2"/>
  <c r="U244" i="2"/>
  <c r="U320" i="2"/>
  <c r="U466" i="2"/>
  <c r="U459" i="2"/>
  <c r="X85" i="2"/>
  <c r="G399" i="2"/>
  <c r="X134" i="2"/>
  <c r="X308" i="2"/>
  <c r="X270" i="2"/>
  <c r="E441" i="2"/>
  <c r="X52" i="2"/>
  <c r="X353" i="2"/>
  <c r="G172" i="2"/>
  <c r="G429" i="2"/>
  <c r="U479" i="2"/>
  <c r="X335" i="2"/>
  <c r="X282" i="2"/>
  <c r="U107" i="2"/>
  <c r="X254" i="2"/>
  <c r="X309" i="2"/>
  <c r="G428" i="2"/>
  <c r="X160" i="2"/>
  <c r="X419" i="2"/>
  <c r="X143" i="2"/>
  <c r="X138" i="2"/>
  <c r="X264" i="2"/>
  <c r="G470" i="2"/>
  <c r="U464" i="2"/>
  <c r="X146" i="2"/>
  <c r="X98" i="2"/>
  <c r="U230" i="2"/>
  <c r="U460" i="2"/>
  <c r="U436" i="2"/>
  <c r="U482" i="2"/>
  <c r="U448" i="2"/>
  <c r="U268" i="2"/>
  <c r="U478" i="2"/>
  <c r="U455" i="2"/>
  <c r="U467" i="2"/>
  <c r="U299" i="2"/>
  <c r="X306" i="2"/>
  <c r="X276" i="2"/>
  <c r="E333" i="2"/>
  <c r="X55" i="2"/>
  <c r="E343" i="2"/>
  <c r="X331" i="2"/>
  <c r="G393" i="2"/>
  <c r="X297" i="2"/>
  <c r="G439" i="2"/>
  <c r="X53" i="2"/>
  <c r="X153" i="2"/>
  <c r="G337" i="2"/>
  <c r="G382" i="2"/>
  <c r="X341" i="2"/>
  <c r="X401" i="2"/>
  <c r="X348" i="2"/>
  <c r="X113" i="2"/>
  <c r="X303" i="2"/>
  <c r="X330" i="2"/>
  <c r="U437" i="2"/>
  <c r="E422" i="2"/>
  <c r="X157" i="2"/>
  <c r="X438" i="2"/>
  <c r="X169" i="2"/>
  <c r="U447" i="2"/>
  <c r="U342" i="2"/>
  <c r="U329" i="2"/>
  <c r="G389" i="2"/>
  <c r="E330" i="2"/>
  <c r="G441" i="2"/>
  <c r="E8" i="35" l="1"/>
  <c r="F8" i="35"/>
  <c r="B278" i="2"/>
  <c r="D297" i="34" s="1"/>
  <c r="E297" i="34" s="1"/>
  <c r="F470" i="2"/>
  <c r="B470" i="2"/>
  <c r="D293" i="34" s="1"/>
  <c r="E293" i="34" s="1"/>
  <c r="F227" i="2"/>
  <c r="B330" i="2"/>
  <c r="D54" i="34" s="1"/>
  <c r="E54" i="34" s="1"/>
  <c r="F330" i="2"/>
  <c r="I231" i="2"/>
  <c r="I61" i="2"/>
  <c r="I230" i="2"/>
  <c r="I209" i="2"/>
  <c r="I63" i="2"/>
  <c r="I140" i="2"/>
  <c r="I182" i="2"/>
  <c r="I338" i="2"/>
  <c r="I186" i="2"/>
  <c r="I84" i="2"/>
  <c r="I345" i="2"/>
  <c r="I139" i="2"/>
  <c r="I349" i="2"/>
  <c r="I62" i="2"/>
  <c r="I125" i="2"/>
  <c r="I266" i="2"/>
  <c r="I283" i="2"/>
  <c r="I275" i="2"/>
  <c r="I181" i="2"/>
  <c r="I342" i="2"/>
  <c r="I385" i="2"/>
  <c r="I97" i="2"/>
  <c r="I329" i="2"/>
  <c r="I86" i="2"/>
  <c r="I340" i="2"/>
  <c r="I268" i="2"/>
  <c r="I70" i="2"/>
  <c r="I334" i="2"/>
  <c r="I180" i="2"/>
  <c r="I107" i="2"/>
  <c r="I137" i="2"/>
  <c r="F465" i="2"/>
  <c r="I384" i="2"/>
  <c r="I346" i="2"/>
  <c r="B214" i="2"/>
  <c r="D175" i="34" s="1"/>
  <c r="E175" i="34" s="1"/>
  <c r="B439" i="2"/>
  <c r="D303" i="34" s="1"/>
  <c r="E303" i="34" s="1"/>
  <c r="B53" i="2"/>
  <c r="D178" i="34" s="1"/>
  <c r="E178" i="34" s="1"/>
  <c r="B59" i="2"/>
  <c r="D118" i="34" s="1"/>
  <c r="E118" i="34" s="1"/>
  <c r="B348" i="2"/>
  <c r="D41" i="34" s="1"/>
  <c r="E41" i="34" s="1"/>
  <c r="B228" i="2"/>
  <c r="D287" i="34" s="1"/>
  <c r="E287" i="34" s="1"/>
  <c r="B364" i="2"/>
  <c r="D340" i="34" s="1"/>
  <c r="E340" i="34" s="1"/>
  <c r="B264" i="2"/>
  <c r="D35" i="34" s="1"/>
  <c r="E35" i="34" s="1"/>
  <c r="B297" i="2"/>
  <c r="D310" i="34" s="1"/>
  <c r="E310" i="34" s="1"/>
  <c r="B290" i="2"/>
  <c r="D45" i="34" s="1"/>
  <c r="E45" i="34" s="1"/>
  <c r="B153" i="2"/>
  <c r="D197" i="34" s="1"/>
  <c r="E197" i="34" s="1"/>
  <c r="B443" i="2"/>
  <c r="D87" i="34" s="1"/>
  <c r="E87" i="34" s="1"/>
  <c r="B85" i="2"/>
  <c r="D133" i="34" s="1"/>
  <c r="E133" i="34" s="1"/>
  <c r="B254" i="2"/>
  <c r="D271" i="34" s="1"/>
  <c r="E271" i="34" s="1"/>
  <c r="B298" i="2"/>
  <c r="D279" i="34" s="1"/>
  <c r="E279" i="34" s="1"/>
  <c r="B412" i="2"/>
  <c r="D28" i="34" s="1"/>
  <c r="E28" i="34" s="1"/>
  <c r="B415" i="2"/>
  <c r="D317" i="34" s="1"/>
  <c r="E317" i="34" s="1"/>
  <c r="B308" i="2"/>
  <c r="D39" i="34" s="1"/>
  <c r="E39" i="34" s="1"/>
  <c r="B421" i="2"/>
  <c r="D284" i="34" s="1"/>
  <c r="E284" i="34" s="1"/>
  <c r="B146" i="2"/>
  <c r="D193" i="34" s="1"/>
  <c r="E193" i="34" s="1"/>
  <c r="B257" i="2"/>
  <c r="D77" i="34" s="1"/>
  <c r="E77" i="34" s="1"/>
  <c r="B93" i="2"/>
  <c r="D188" i="34" s="1"/>
  <c r="E188" i="34" s="1"/>
  <c r="B147" i="2"/>
  <c r="D195" i="34" s="1"/>
  <c r="E195" i="34" s="1"/>
  <c r="B438" i="2"/>
  <c r="D316" i="34" s="1"/>
  <c r="E316" i="34" s="1"/>
  <c r="B276" i="2"/>
  <c r="D260" i="34" s="1"/>
  <c r="E260" i="34" s="1"/>
  <c r="B247" i="2"/>
  <c r="D51" i="34" s="1"/>
  <c r="E51" i="34" s="1"/>
  <c r="B41" i="2"/>
  <c r="D222" i="34" s="1"/>
  <c r="E222" i="34" s="1"/>
  <c r="B55" i="2"/>
  <c r="D180" i="34" s="1"/>
  <c r="E180" i="34" s="1"/>
  <c r="B170" i="2"/>
  <c r="B313" i="2"/>
  <c r="D272" i="34" s="1"/>
  <c r="E272" i="34" s="1"/>
  <c r="B123" i="2"/>
  <c r="D139" i="34" s="1"/>
  <c r="E139" i="34" s="1"/>
  <c r="B294" i="2"/>
  <c r="D98" i="34" s="1"/>
  <c r="E98" i="34" s="1"/>
  <c r="B367" i="2"/>
  <c r="D22" i="34" s="1"/>
  <c r="E22" i="34" s="1"/>
  <c r="B211" i="2"/>
  <c r="D173" i="34" s="1"/>
  <c r="E173" i="34" s="1"/>
  <c r="B99" i="2"/>
  <c r="D138" i="34" s="1"/>
  <c r="E138" i="34" s="1"/>
  <c r="B74" i="2"/>
  <c r="D185" i="34" s="1"/>
  <c r="E185" i="34" s="1"/>
  <c r="B39" i="2"/>
  <c r="D106" i="34" s="1"/>
  <c r="E106" i="34" s="1"/>
  <c r="B369" i="2"/>
  <c r="D267" i="34" s="1"/>
  <c r="E267" i="34" s="1"/>
  <c r="B113" i="2"/>
  <c r="D192" i="34" s="1"/>
  <c r="E192" i="34" s="1"/>
  <c r="B160" i="2"/>
  <c r="D171" i="34" s="1"/>
  <c r="E171" i="34" s="1"/>
  <c r="B282" i="2"/>
  <c r="D331" i="34" s="1"/>
  <c r="E331" i="34" s="1"/>
  <c r="B236" i="2"/>
  <c r="D268" i="34" s="1"/>
  <c r="E268" i="34" s="1"/>
  <c r="B163" i="2"/>
  <c r="D155" i="34" s="1"/>
  <c r="E155" i="34" s="1"/>
  <c r="B45" i="2"/>
  <c r="D176" i="34" s="1"/>
  <c r="E176" i="34" s="1"/>
  <c r="B270" i="2"/>
  <c r="D62" i="34" s="1"/>
  <c r="E62" i="34" s="1"/>
  <c r="B164" i="2"/>
  <c r="D156" i="34" s="1"/>
  <c r="E156" i="34" s="1"/>
  <c r="B82" i="2"/>
  <c r="D131" i="34" s="1"/>
  <c r="E131" i="34" s="1"/>
  <c r="B148" i="2"/>
  <c r="D153" i="34" s="1"/>
  <c r="E153" i="34" s="1"/>
  <c r="B375" i="2"/>
  <c r="B98" i="2"/>
  <c r="D137" i="34" s="1"/>
  <c r="E137" i="34" s="1"/>
  <c r="B184" i="2"/>
  <c r="D200" i="34" s="1"/>
  <c r="E200" i="34" s="1"/>
  <c r="B426" i="2"/>
  <c r="D70" i="34" s="1"/>
  <c r="E70" i="34" s="1"/>
  <c r="B306" i="2"/>
  <c r="D60" i="34" s="1"/>
  <c r="E60" i="34" s="1"/>
  <c r="B234" i="2"/>
  <c r="D306" i="34" s="1"/>
  <c r="E306" i="34" s="1"/>
  <c r="B156" i="2"/>
  <c r="D211" i="34" s="1"/>
  <c r="E211" i="34" s="1"/>
  <c r="B199" i="2"/>
  <c r="D204" i="34" s="1"/>
  <c r="E204" i="34" s="1"/>
  <c r="B389" i="2"/>
  <c r="D42" i="34" s="1"/>
  <c r="E42" i="34" s="1"/>
  <c r="B393" i="2"/>
  <c r="D82" i="34" s="1"/>
  <c r="E82" i="34" s="1"/>
  <c r="B134" i="2"/>
  <c r="B54" i="2"/>
  <c r="B444" i="2"/>
  <c r="D69" i="34" s="1"/>
  <c r="E69" i="34" s="1"/>
  <c r="B335" i="2"/>
  <c r="D26" i="34" s="1"/>
  <c r="E26" i="34" s="1"/>
  <c r="B382" i="2"/>
  <c r="D24" i="34" s="1"/>
  <c r="E24" i="34" s="1"/>
  <c r="B128" i="2"/>
  <c r="B58" i="2"/>
  <c r="D182" i="34" s="1"/>
  <c r="E182" i="34" s="1"/>
  <c r="B351" i="2"/>
  <c r="D277" i="34" s="1"/>
  <c r="E277" i="34" s="1"/>
  <c r="B52" i="2"/>
  <c r="D177" i="34" s="1"/>
  <c r="E177" i="34" s="1"/>
  <c r="B31" i="2"/>
  <c r="D218" i="34" s="1"/>
  <c r="E218" i="34" s="1"/>
  <c r="B322" i="2"/>
  <c r="D281" i="34" s="1"/>
  <c r="E281" i="34" s="1"/>
  <c r="B267" i="2"/>
  <c r="D250" i="34" s="1"/>
  <c r="E250" i="34" s="1"/>
  <c r="B309" i="2"/>
  <c r="D328" i="34" s="1"/>
  <c r="E328" i="34" s="1"/>
  <c r="B88" i="2"/>
  <c r="D187" i="34" s="1"/>
  <c r="E187" i="34" s="1"/>
  <c r="B331" i="2"/>
  <c r="D63" i="34" s="1"/>
  <c r="E63" i="34" s="1"/>
  <c r="B419" i="2"/>
  <c r="D104" i="34" s="1"/>
  <c r="E104" i="34" s="1"/>
  <c r="B78" i="2"/>
  <c r="D129" i="34" s="1"/>
  <c r="E129" i="34" s="1"/>
  <c r="B201" i="2"/>
  <c r="D210" i="34" s="1"/>
  <c r="E210" i="34" s="1"/>
  <c r="B37" i="2"/>
  <c r="D220" i="34" s="1"/>
  <c r="E220" i="34" s="1"/>
  <c r="B169" i="2"/>
  <c r="D158" i="34" s="1"/>
  <c r="E158" i="34" s="1"/>
  <c r="B394" i="2"/>
  <c r="D53" i="34" s="1"/>
  <c r="E53" i="34" s="1"/>
  <c r="B138" i="2"/>
  <c r="D150" i="34" s="1"/>
  <c r="E150" i="34" s="1"/>
  <c r="B431" i="2"/>
  <c r="D253" i="34" s="1"/>
  <c r="E253" i="34" s="1"/>
  <c r="B305" i="2"/>
  <c r="D263" i="34" s="1"/>
  <c r="E263" i="34" s="1"/>
  <c r="B206" i="2"/>
  <c r="D207" i="34" s="1"/>
  <c r="E207" i="34" s="1"/>
  <c r="B303" i="2"/>
  <c r="D37" i="34" s="1"/>
  <c r="E37" i="34" s="1"/>
  <c r="B157" i="2"/>
  <c r="D212" i="34" s="1"/>
  <c r="E212" i="34" s="1"/>
  <c r="B80" i="2"/>
  <c r="D130" i="34" s="1"/>
  <c r="E130" i="34" s="1"/>
  <c r="B401" i="2"/>
  <c r="D65" i="34" s="1"/>
  <c r="E65" i="34" s="1"/>
  <c r="B154" i="2"/>
  <c r="D198" i="34" s="1"/>
  <c r="E198" i="34" s="1"/>
  <c r="B359" i="2"/>
  <c r="D248" i="34" s="1"/>
  <c r="E248" i="34" s="1"/>
  <c r="B353" i="2"/>
  <c r="D330" i="34" s="1"/>
  <c r="E330" i="34" s="1"/>
  <c r="B30" i="2"/>
  <c r="D217" i="34" s="1"/>
  <c r="E217" i="34" s="1"/>
  <c r="B145" i="2"/>
  <c r="B356" i="2"/>
  <c r="D298" i="34" s="1"/>
  <c r="E298" i="34" s="1"/>
  <c r="B277" i="2"/>
  <c r="D338" i="34" s="1"/>
  <c r="E338" i="34" s="1"/>
  <c r="B441" i="2"/>
  <c r="D294" i="34" s="1"/>
  <c r="E294" i="34" s="1"/>
  <c r="B40" i="2"/>
  <c r="D221" i="34" s="1"/>
  <c r="E221" i="34" s="1"/>
  <c r="B64" i="2"/>
  <c r="D122" i="34" s="1"/>
  <c r="E122" i="34" s="1"/>
  <c r="B57" i="2"/>
  <c r="D181" i="34" s="1"/>
  <c r="E181" i="34" s="1"/>
  <c r="B162" i="2"/>
  <c r="D213" i="34" s="1"/>
  <c r="E213" i="34" s="1"/>
  <c r="B174" i="2"/>
  <c r="D160" i="34" s="1"/>
  <c r="E160" i="34" s="1"/>
  <c r="B341" i="2"/>
  <c r="D76" i="34" s="1"/>
  <c r="E76" i="34" s="1"/>
  <c r="B248" i="2"/>
  <c r="D71" i="34" s="1"/>
  <c r="E71" i="34" s="1"/>
  <c r="B372" i="2"/>
  <c r="D311" i="34" s="1"/>
  <c r="E311" i="34" s="1"/>
  <c r="B410" i="2"/>
  <c r="D327" i="34" s="1"/>
  <c r="E327" i="34" s="1"/>
  <c r="B237" i="2"/>
  <c r="D329" i="34" s="1"/>
  <c r="E329" i="34" s="1"/>
  <c r="B121" i="2"/>
  <c r="D146" i="34" s="1"/>
  <c r="E146" i="34" s="1"/>
  <c r="B143" i="2"/>
  <c r="D194" i="34" s="1"/>
  <c r="E194" i="34" s="1"/>
  <c r="B403" i="2"/>
  <c r="D49" i="34" s="1"/>
  <c r="E49" i="34" s="1"/>
  <c r="I32" i="2"/>
  <c r="F443" i="2"/>
  <c r="F444" i="2"/>
  <c r="I443" i="2"/>
  <c r="I444" i="2"/>
  <c r="F442" i="2"/>
  <c r="I442" i="2"/>
  <c r="F441" i="2"/>
  <c r="F438" i="2"/>
  <c r="F439" i="2"/>
  <c r="I364" i="2"/>
  <c r="I363" i="2"/>
  <c r="I201" i="2"/>
  <c r="I404" i="2"/>
  <c r="T433" i="2"/>
  <c r="D433" i="2" s="1"/>
  <c r="G394" i="2"/>
  <c r="U391" i="2"/>
  <c r="U99" i="2"/>
  <c r="U194" i="2"/>
  <c r="G398" i="2"/>
  <c r="G99" i="2"/>
  <c r="E393" i="2"/>
  <c r="G371" i="2"/>
  <c r="E369" i="2"/>
  <c r="E421" i="2"/>
  <c r="G426" i="2"/>
  <c r="E362" i="2"/>
  <c r="G432" i="2"/>
  <c r="U470" i="2"/>
  <c r="G376" i="2"/>
  <c r="E348" i="2"/>
  <c r="G401" i="2"/>
  <c r="U442" i="2"/>
  <c r="E431" i="2"/>
  <c r="E373" i="2"/>
  <c r="E383" i="2"/>
  <c r="X433" i="2"/>
  <c r="U439" i="2"/>
  <c r="U441" i="2"/>
  <c r="U428" i="2"/>
  <c r="E432" i="2"/>
  <c r="E325" i="2"/>
  <c r="G433" i="2"/>
  <c r="E433" i="2"/>
  <c r="G364" i="2"/>
  <c r="G353" i="2"/>
  <c r="G347" i="2"/>
  <c r="E396" i="2"/>
  <c r="G331" i="2"/>
  <c r="E339" i="2"/>
  <c r="U240" i="2"/>
  <c r="U438" i="2"/>
  <c r="U415" i="2"/>
  <c r="U401" i="2"/>
  <c r="E410" i="2"/>
  <c r="E364" i="2"/>
  <c r="E399" i="2"/>
  <c r="E388" i="2"/>
  <c r="G383" i="2"/>
  <c r="E394" i="2"/>
  <c r="G397" i="2"/>
  <c r="G348" i="2"/>
  <c r="U433" i="2"/>
  <c r="E370" i="2"/>
  <c r="E99" i="2"/>
  <c r="E371" i="2"/>
  <c r="U429" i="2"/>
  <c r="E367" i="2"/>
  <c r="G369" i="2"/>
  <c r="G317" i="2"/>
  <c r="E398" i="2"/>
  <c r="U432" i="2"/>
  <c r="E351" i="2"/>
  <c r="G343" i="2"/>
  <c r="U397" i="2"/>
  <c r="U402" i="2"/>
  <c r="U426" i="2"/>
  <c r="U400" i="2"/>
  <c r="E356" i="2"/>
  <c r="G427" i="2"/>
  <c r="E390" i="2"/>
  <c r="E400" i="2"/>
  <c r="G341" i="2"/>
  <c r="G403" i="2"/>
  <c r="E428" i="2"/>
  <c r="G412" i="2"/>
  <c r="G421" i="2"/>
  <c r="G367" i="2"/>
  <c r="G322" i="2"/>
  <c r="U232" i="2"/>
  <c r="E403" i="2"/>
  <c r="E415" i="2"/>
  <c r="E270" i="2"/>
  <c r="U270" i="2"/>
  <c r="G339" i="2"/>
  <c r="E376" i="2"/>
  <c r="E401" i="2"/>
  <c r="G379" i="2"/>
  <c r="G351" i="2"/>
  <c r="G373" i="2"/>
  <c r="E344" i="2"/>
  <c r="G325" i="2"/>
  <c r="G362" i="2"/>
  <c r="G323" i="2"/>
  <c r="U227" i="2"/>
  <c r="E391" i="2"/>
  <c r="U280" i="2"/>
  <c r="U399" i="2"/>
  <c r="U214" i="2"/>
  <c r="U398" i="2"/>
  <c r="G388" i="2"/>
  <c r="G332" i="2"/>
  <c r="G372" i="2"/>
  <c r="E427" i="2"/>
  <c r="G404" i="2"/>
  <c r="E363" i="2"/>
  <c r="E372" i="2"/>
  <c r="G431" i="2"/>
  <c r="H17" i="3"/>
  <c r="E429" i="2"/>
  <c r="U427" i="2"/>
  <c r="U465" i="2"/>
  <c r="G370" i="2"/>
  <c r="E335" i="2"/>
  <c r="E365" i="2"/>
  <c r="D9" i="35" l="1"/>
  <c r="AH236" i="2"/>
  <c r="AH241" i="2" s="1"/>
  <c r="AG239" i="2"/>
  <c r="B227" i="2"/>
  <c r="D315" i="34" s="1"/>
  <c r="E315" i="34" s="1"/>
  <c r="C1112" i="18"/>
  <c r="X477" i="2"/>
  <c r="B477" i="2" s="1"/>
  <c r="D335" i="34" s="1"/>
  <c r="E335" i="34" s="1"/>
  <c r="B465" i="2"/>
  <c r="D2" i="34" s="1"/>
  <c r="E2" i="34" s="1"/>
  <c r="B433" i="2"/>
  <c r="D36" i="34" s="1"/>
  <c r="E36" i="34" s="1"/>
  <c r="F433" i="2"/>
  <c r="I433" i="2"/>
  <c r="F432" i="2"/>
  <c r="I432" i="2"/>
  <c r="F431" i="2"/>
  <c r="I431" i="2"/>
  <c r="F429" i="2"/>
  <c r="I429" i="2"/>
  <c r="F428" i="2"/>
  <c r="I428" i="2"/>
  <c r="F427" i="2"/>
  <c r="I427" i="2"/>
  <c r="F426" i="2"/>
  <c r="I426" i="2"/>
  <c r="T425" i="2"/>
  <c r="D425" i="2" s="1"/>
  <c r="F421" i="2"/>
  <c r="F419" i="2"/>
  <c r="F422" i="2"/>
  <c r="I421" i="2"/>
  <c r="I419" i="2"/>
  <c r="I422" i="2"/>
  <c r="T281" i="2"/>
  <c r="D281" i="2" s="1"/>
  <c r="AL285" i="2"/>
  <c r="AL286" i="2"/>
  <c r="F415" i="2"/>
  <c r="I415" i="2"/>
  <c r="F412" i="2"/>
  <c r="I412" i="2"/>
  <c r="F410" i="2"/>
  <c r="I410" i="2"/>
  <c r="T405" i="2"/>
  <c r="D405" i="2" s="1"/>
  <c r="I405" i="2" s="1"/>
  <c r="T406" i="2"/>
  <c r="D406" i="2" s="1"/>
  <c r="F404" i="2"/>
  <c r="D930" i="18"/>
  <c r="D931" i="18"/>
  <c r="C933" i="18" s="1"/>
  <c r="X397" i="2" s="1"/>
  <c r="B397" i="2" s="1"/>
  <c r="D81" i="34" s="1"/>
  <c r="E81" i="34" s="1"/>
  <c r="F403" i="2"/>
  <c r="I403" i="2"/>
  <c r="F399" i="2"/>
  <c r="I399" i="2"/>
  <c r="C974" i="18"/>
  <c r="F270" i="2"/>
  <c r="F402" i="2"/>
  <c r="F401" i="2"/>
  <c r="F400" i="2"/>
  <c r="I402" i="2"/>
  <c r="I401" i="2"/>
  <c r="I400" i="2"/>
  <c r="F99" i="2"/>
  <c r="F398" i="2"/>
  <c r="I398" i="2"/>
  <c r="F397" i="2"/>
  <c r="I397" i="2"/>
  <c r="F396" i="2"/>
  <c r="I396" i="2"/>
  <c r="F394" i="2"/>
  <c r="I394" i="2"/>
  <c r="C914" i="18"/>
  <c r="F393" i="2"/>
  <c r="I393" i="2"/>
  <c r="C896" i="18"/>
  <c r="F391" i="2"/>
  <c r="I391" i="2"/>
  <c r="F390" i="2"/>
  <c r="F388" i="2"/>
  <c r="F389" i="2"/>
  <c r="I389" i="2"/>
  <c r="I33" i="2"/>
  <c r="J73" i="18"/>
  <c r="I194" i="2"/>
  <c r="I366" i="2"/>
  <c r="I91" i="2"/>
  <c r="I177" i="2"/>
  <c r="I373" i="2"/>
  <c r="F382" i="2"/>
  <c r="F351" i="2"/>
  <c r="F323" i="2"/>
  <c r="F364" i="2"/>
  <c r="F359" i="2"/>
  <c r="F383" i="2"/>
  <c r="F337" i="2"/>
  <c r="F371" i="2"/>
  <c r="F376" i="2"/>
  <c r="I379" i="2"/>
  <c r="F379" i="2"/>
  <c r="F322" i="2"/>
  <c r="F348" i="2"/>
  <c r="F331" i="2"/>
  <c r="F344" i="2"/>
  <c r="F365" i="2"/>
  <c r="F325" i="2"/>
  <c r="F370" i="2"/>
  <c r="F375" i="2"/>
  <c r="F354" i="2"/>
  <c r="F172" i="2"/>
  <c r="F373" i="2"/>
  <c r="F335" i="2"/>
  <c r="F332" i="2"/>
  <c r="F363" i="2"/>
  <c r="F341" i="2"/>
  <c r="F356" i="2"/>
  <c r="F339" i="2"/>
  <c r="F353" i="2"/>
  <c r="F333" i="2"/>
  <c r="I347" i="2"/>
  <c r="F347" i="2"/>
  <c r="F372" i="2"/>
  <c r="F367" i="2"/>
  <c r="F343" i="2"/>
  <c r="F369" i="2"/>
  <c r="F317" i="2"/>
  <c r="F362" i="2"/>
  <c r="C841" i="18"/>
  <c r="I67" i="2"/>
  <c r="I321" i="2"/>
  <c r="I330" i="2"/>
  <c r="U199" i="2"/>
  <c r="U332" i="2"/>
  <c r="G405" i="2"/>
  <c r="U404" i="2"/>
  <c r="U353" i="2"/>
  <c r="U237" i="2"/>
  <c r="U337" i="2"/>
  <c r="U382" i="2"/>
  <c r="U373" i="2"/>
  <c r="U375" i="2"/>
  <c r="U335" i="2"/>
  <c r="U277" i="2"/>
  <c r="U431" i="2"/>
  <c r="U172" i="2"/>
  <c r="X406" i="2"/>
  <c r="U348" i="2"/>
  <c r="U419" i="2"/>
  <c r="U234" i="2"/>
  <c r="U379" i="2"/>
  <c r="G406" i="2"/>
  <c r="U388" i="2"/>
  <c r="U248" i="2"/>
  <c r="U322" i="2"/>
  <c r="U249" i="2"/>
  <c r="E425" i="2"/>
  <c r="U294" i="2"/>
  <c r="U243" i="2"/>
  <c r="U279" i="2"/>
  <c r="U363" i="2"/>
  <c r="U236" i="2"/>
  <c r="U362" i="2"/>
  <c r="U333" i="2"/>
  <c r="U291" i="2"/>
  <c r="U403" i="2"/>
  <c r="U233" i="2"/>
  <c r="U354" i="2"/>
  <c r="U369" i="2"/>
  <c r="U343" i="2"/>
  <c r="U383" i="2"/>
  <c r="X425" i="2"/>
  <c r="U257" i="2"/>
  <c r="U372" i="2"/>
  <c r="U394" i="2"/>
  <c r="U206" i="2"/>
  <c r="U422" i="2"/>
  <c r="U371" i="2"/>
  <c r="U325" i="2"/>
  <c r="U344" i="2"/>
  <c r="U204" i="2"/>
  <c r="U276" i="2"/>
  <c r="U198" i="2"/>
  <c r="U339" i="2"/>
  <c r="U370" i="2"/>
  <c r="U393" i="2"/>
  <c r="U396" i="2"/>
  <c r="U341" i="2"/>
  <c r="U351" i="2"/>
  <c r="U317" i="2"/>
  <c r="U376" i="2"/>
  <c r="U303" i="2"/>
  <c r="U211" i="2"/>
  <c r="U410" i="2"/>
  <c r="G425" i="2"/>
  <c r="U267" i="2"/>
  <c r="E406" i="2"/>
  <c r="U228" i="2"/>
  <c r="U421" i="2"/>
  <c r="U156" i="2"/>
  <c r="U308" i="2"/>
  <c r="U213" i="2"/>
  <c r="U313" i="2"/>
  <c r="U239" i="2"/>
  <c r="U364" i="2"/>
  <c r="U347" i="2"/>
  <c r="U323" i="2"/>
  <c r="U265" i="2"/>
  <c r="U229" i="2"/>
  <c r="U201" i="2"/>
  <c r="X281" i="2"/>
  <c r="U412" i="2"/>
  <c r="U390" i="2"/>
  <c r="U309" i="2"/>
  <c r="U215" i="2"/>
  <c r="U406" i="2"/>
  <c r="U356" i="2"/>
  <c r="E405" i="2"/>
  <c r="U254" i="2"/>
  <c r="U207" i="2"/>
  <c r="U305" i="2"/>
  <c r="U331" i="2"/>
  <c r="U264" i="2"/>
  <c r="E9" i="35" l="1"/>
  <c r="F9" i="35"/>
  <c r="I227" i="2"/>
  <c r="B406" i="2"/>
  <c r="D254" i="34" s="1"/>
  <c r="E254" i="34" s="1"/>
  <c r="B425" i="2"/>
  <c r="D339" i="34" s="1"/>
  <c r="E339" i="34" s="1"/>
  <c r="B281" i="2"/>
  <c r="D343" i="34" s="1"/>
  <c r="E343" i="34" s="1"/>
  <c r="I425" i="2"/>
  <c r="Q7" i="35"/>
  <c r="F425" i="2"/>
  <c r="AL288" i="2"/>
  <c r="AL290" i="2" s="1"/>
  <c r="I406" i="2"/>
  <c r="F405" i="2"/>
  <c r="F406" i="2"/>
  <c r="C934" i="18"/>
  <c r="I99" i="2"/>
  <c r="I375" i="2"/>
  <c r="I376" i="2"/>
  <c r="I382" i="2"/>
  <c r="I319" i="2"/>
  <c r="I315" i="2"/>
  <c r="C604" i="18"/>
  <c r="I372" i="2"/>
  <c r="I370" i="2"/>
  <c r="I371" i="2"/>
  <c r="I369" i="2"/>
  <c r="I368" i="2"/>
  <c r="I367" i="2"/>
  <c r="I365" i="2"/>
  <c r="I96" i="2"/>
  <c r="I359" i="2"/>
  <c r="I362" i="2"/>
  <c r="F179" i="2"/>
  <c r="I356" i="2"/>
  <c r="I190" i="2"/>
  <c r="I335" i="2"/>
  <c r="I322" i="2"/>
  <c r="I343" i="2"/>
  <c r="I323" i="2"/>
  <c r="I351" i="2"/>
  <c r="I325" i="2"/>
  <c r="I348" i="2"/>
  <c r="I339" i="2"/>
  <c r="I332" i="2"/>
  <c r="I317" i="2"/>
  <c r="I341" i="2"/>
  <c r="I331" i="2"/>
  <c r="I353" i="2"/>
  <c r="I333" i="2"/>
  <c r="I354" i="2"/>
  <c r="I320" i="2"/>
  <c r="F245" i="2"/>
  <c r="F211" i="2"/>
  <c r="I314" i="2"/>
  <c r="I123" i="2"/>
  <c r="I121" i="2"/>
  <c r="I171" i="2"/>
  <c r="I176" i="2"/>
  <c r="B293" i="2"/>
  <c r="D23" i="34" s="1"/>
  <c r="E23" i="34" s="1"/>
  <c r="U425" i="2"/>
  <c r="U405" i="2"/>
  <c r="D10" i="35" l="1"/>
  <c r="I242" i="2"/>
  <c r="M14" i="3"/>
  <c r="M32" i="3"/>
  <c r="M11" i="3"/>
  <c r="M15" i="3"/>
  <c r="M13" i="3"/>
  <c r="M22" i="3"/>
  <c r="M12" i="3"/>
  <c r="M28" i="3"/>
  <c r="M25" i="3"/>
  <c r="M21" i="3"/>
  <c r="M9" i="3"/>
  <c r="M23" i="3"/>
  <c r="M30" i="3"/>
  <c r="M29" i="3"/>
  <c r="M17" i="3"/>
  <c r="M31" i="3"/>
  <c r="M33" i="3"/>
  <c r="M27" i="3"/>
  <c r="M19" i="3"/>
  <c r="U162" i="2"/>
  <c r="U174" i="2"/>
  <c r="U105" i="2"/>
  <c r="U245" i="2"/>
  <c r="U195" i="2"/>
  <c r="U171" i="2"/>
  <c r="U359" i="2"/>
  <c r="U163" i="2"/>
  <c r="U100" i="2"/>
  <c r="E249" i="2"/>
  <c r="E128" i="2"/>
  <c r="L28" i="3"/>
  <c r="G198" i="2"/>
  <c r="E202" i="2"/>
  <c r="E55" i="2"/>
  <c r="E282" i="2"/>
  <c r="E148" i="2"/>
  <c r="G132" i="2"/>
  <c r="G202" i="2"/>
  <c r="G130" i="2"/>
  <c r="E152" i="2"/>
  <c r="E193" i="2"/>
  <c r="L63" i="3"/>
  <c r="G74" i="2"/>
  <c r="E49" i="2"/>
  <c r="E155" i="2"/>
  <c r="E160" i="2"/>
  <c r="E308" i="2"/>
  <c r="E121" i="2"/>
  <c r="G252" i="2"/>
  <c r="F21" i="5"/>
  <c r="G247" i="2"/>
  <c r="E233" i="2"/>
  <c r="E191" i="2"/>
  <c r="G151" i="2"/>
  <c r="G102" i="2"/>
  <c r="E217" i="2"/>
  <c r="E222" i="2"/>
  <c r="L27" i="3"/>
  <c r="G242" i="2"/>
  <c r="L21" i="3"/>
  <c r="E183" i="2"/>
  <c r="E226" i="2"/>
  <c r="G100" i="2"/>
  <c r="E306" i="2"/>
  <c r="M54" i="3"/>
  <c r="G88" i="2"/>
  <c r="E41" i="2"/>
  <c r="M56" i="3"/>
  <c r="E228" i="2"/>
  <c r="G50" i="2"/>
  <c r="G65" i="2"/>
  <c r="L54" i="3"/>
  <c r="G249" i="2"/>
  <c r="E290" i="2"/>
  <c r="G165" i="2"/>
  <c r="L52" i="3"/>
  <c r="U282" i="2"/>
  <c r="U365" i="2"/>
  <c r="U193" i="2"/>
  <c r="U161" i="2"/>
  <c r="U117" i="2"/>
  <c r="U357" i="2"/>
  <c r="U330" i="2"/>
  <c r="U121" i="2"/>
  <c r="U179" i="2"/>
  <c r="E164" i="2"/>
  <c r="G64" i="2"/>
  <c r="G134" i="2"/>
  <c r="F9" i="5"/>
  <c r="G41" i="2"/>
  <c r="E163" i="2"/>
  <c r="E153" i="2"/>
  <c r="M47" i="3"/>
  <c r="E252" i="2"/>
  <c r="M42" i="3"/>
  <c r="E291" i="2"/>
  <c r="M55" i="3"/>
  <c r="G239" i="2"/>
  <c r="F22" i="5"/>
  <c r="G76" i="2"/>
  <c r="L20" i="3"/>
  <c r="G36" i="2"/>
  <c r="F7" i="5"/>
  <c r="F8" i="5"/>
  <c r="G237" i="2"/>
  <c r="F15" i="5"/>
  <c r="G94" i="2"/>
  <c r="G290" i="2"/>
  <c r="E199" i="2"/>
  <c r="E313" i="2"/>
  <c r="G125" i="2"/>
  <c r="G233" i="2"/>
  <c r="G191" i="2"/>
  <c r="L41" i="3"/>
  <c r="G206" i="2"/>
  <c r="G154" i="2"/>
  <c r="F103" i="6"/>
  <c r="M48" i="3"/>
  <c r="G92" i="2"/>
  <c r="E176" i="2"/>
  <c r="G201" i="2"/>
  <c r="F23" i="5"/>
  <c r="G109" i="2"/>
  <c r="E174" i="2"/>
  <c r="G263" i="2"/>
  <c r="E243" i="2"/>
  <c r="G150" i="2"/>
  <c r="E100" i="2"/>
  <c r="L50" i="3"/>
  <c r="E75" i="2"/>
  <c r="E239" i="2"/>
  <c r="G68" i="2"/>
  <c r="G146" i="2"/>
  <c r="M20" i="3"/>
  <c r="G211" i="2"/>
  <c r="E297" i="2"/>
  <c r="E165" i="2"/>
  <c r="E184" i="2"/>
  <c r="G29" i="2"/>
  <c r="E161" i="2"/>
  <c r="G43" i="2"/>
  <c r="G175" i="2"/>
  <c r="M34" i="3"/>
  <c r="E110" i="2"/>
  <c r="E52" i="2"/>
  <c r="G183" i="2"/>
  <c r="U115" i="2"/>
  <c r="U175" i="2"/>
  <c r="U143" i="2"/>
  <c r="U170" i="2"/>
  <c r="U184" i="2"/>
  <c r="U102" i="2"/>
  <c r="U151" i="2"/>
  <c r="U367" i="2"/>
  <c r="U358" i="2"/>
  <c r="G196" i="2"/>
  <c r="G236" i="2"/>
  <c r="F104" i="6"/>
  <c r="G128" i="2"/>
  <c r="E65" i="2"/>
  <c r="G90" i="2"/>
  <c r="G78" i="2"/>
  <c r="E314" i="2"/>
  <c r="G157" i="2"/>
  <c r="E150" i="2"/>
  <c r="G260" i="2"/>
  <c r="E115" i="2"/>
  <c r="L23" i="3"/>
  <c r="E47" i="2"/>
  <c r="G248" i="2"/>
  <c r="L36" i="3"/>
  <c r="E40" i="2"/>
  <c r="L31" i="3"/>
  <c r="E159" i="2"/>
  <c r="G75" i="2"/>
  <c r="BM8" i="30" a="1"/>
  <c r="E82" i="2"/>
  <c r="G46" i="2"/>
  <c r="G163" i="2"/>
  <c r="L59" i="3"/>
  <c r="H12" i="3"/>
  <c r="E234" i="2"/>
  <c r="E89" i="2"/>
  <c r="E101" i="2"/>
  <c r="E240" i="2"/>
  <c r="L19" i="3"/>
  <c r="M44" i="3"/>
  <c r="G40" i="2"/>
  <c r="G59" i="2"/>
  <c r="L40" i="3"/>
  <c r="G176" i="2"/>
  <c r="G117" i="2"/>
  <c r="M53" i="3"/>
  <c r="E293" i="2"/>
  <c r="E73" i="2"/>
  <c r="L49" i="3"/>
  <c r="L11" i="3"/>
  <c r="G244" i="2"/>
  <c r="G281" i="2"/>
  <c r="G131" i="2"/>
  <c r="E274" i="2"/>
  <c r="L9" i="3"/>
  <c r="E46" i="2"/>
  <c r="M45" i="3"/>
  <c r="G133" i="2"/>
  <c r="G208" i="2"/>
  <c r="U150" i="2"/>
  <c r="U138" i="2"/>
  <c r="U147" i="2"/>
  <c r="U176" i="2"/>
  <c r="U120" i="2"/>
  <c r="U368" i="2"/>
  <c r="U169" i="2"/>
  <c r="U155" i="2"/>
  <c r="U134" i="2"/>
  <c r="E247" i="2"/>
  <c r="G232" i="2"/>
  <c r="G143" i="2"/>
  <c r="E66" i="2"/>
  <c r="L25" i="3"/>
  <c r="E83" i="2"/>
  <c r="G174" i="2"/>
  <c r="L55" i="3"/>
  <c r="E109" i="2"/>
  <c r="G245" i="2"/>
  <c r="G112" i="2"/>
  <c r="M61" i="3"/>
  <c r="G243" i="2"/>
  <c r="E220" i="2"/>
  <c r="E59" i="2"/>
  <c r="G240" i="2"/>
  <c r="G138" i="2"/>
  <c r="G258" i="2"/>
  <c r="E242" i="2"/>
  <c r="G58" i="2"/>
  <c r="E64" i="2"/>
  <c r="E213" i="2"/>
  <c r="G153" i="2"/>
  <c r="E149" i="2"/>
  <c r="G218" i="2"/>
  <c r="E263" i="2"/>
  <c r="G222" i="2"/>
  <c r="G106" i="2"/>
  <c r="G80" i="2"/>
  <c r="F12" i="5"/>
  <c r="E206" i="2"/>
  <c r="E258" i="2"/>
  <c r="G121" i="2"/>
  <c r="G238" i="2"/>
  <c r="G204" i="2"/>
  <c r="E198" i="2"/>
  <c r="M46" i="3"/>
  <c r="L10" i="3"/>
  <c r="G257" i="2"/>
  <c r="E175" i="2"/>
  <c r="H16" i="3"/>
  <c r="E76" i="2"/>
  <c r="E133" i="2"/>
  <c r="G110" i="2"/>
  <c r="G214" i="2"/>
  <c r="L26" i="3"/>
  <c r="E173" i="2"/>
  <c r="G44" i="2"/>
  <c r="G37" i="2"/>
  <c r="G124" i="2"/>
  <c r="E98" i="2"/>
  <c r="G42" i="2"/>
  <c r="M51" i="3"/>
  <c r="U152" i="2"/>
  <c r="U160" i="2"/>
  <c r="U123" i="2"/>
  <c r="U109" i="2"/>
  <c r="U159" i="2"/>
  <c r="U250" i="2"/>
  <c r="U278" i="2"/>
  <c r="U148" i="2"/>
  <c r="U153" i="2"/>
  <c r="U168" i="2"/>
  <c r="E255" i="2"/>
  <c r="E223" i="2"/>
  <c r="E281" i="2"/>
  <c r="E278" i="2"/>
  <c r="G255" i="2"/>
  <c r="E94" i="2"/>
  <c r="E39" i="2"/>
  <c r="E85" i="2"/>
  <c r="M52" i="3"/>
  <c r="E204" i="2"/>
  <c r="L30" i="3"/>
  <c r="G160" i="2"/>
  <c r="E74" i="2"/>
  <c r="F24" i="5"/>
  <c r="G35" i="2"/>
  <c r="E124" i="2"/>
  <c r="G51" i="2"/>
  <c r="G274" i="2"/>
  <c r="G299" i="2"/>
  <c r="E264" i="2"/>
  <c r="E232" i="2"/>
  <c r="G161" i="2"/>
  <c r="E35" i="2"/>
  <c r="G234" i="2"/>
  <c r="G83" i="2"/>
  <c r="L6" i="3"/>
  <c r="G168" i="2"/>
  <c r="E214" i="2"/>
  <c r="E90" i="2"/>
  <c r="G254" i="2"/>
  <c r="G98" i="2"/>
  <c r="L61" i="3"/>
  <c r="E168" i="2"/>
  <c r="E154" i="2"/>
  <c r="L57" i="3"/>
  <c r="E224" i="2"/>
  <c r="G159" i="2"/>
  <c r="E30" i="2"/>
  <c r="E294" i="2"/>
  <c r="E257" i="2"/>
  <c r="F102" i="6"/>
  <c r="G54" i="2"/>
  <c r="E78" i="2"/>
  <c r="F11" i="5"/>
  <c r="E36" i="2"/>
  <c r="M59" i="3"/>
  <c r="L48" i="3"/>
  <c r="E38" i="2"/>
  <c r="M49" i="3"/>
  <c r="G49" i="2"/>
  <c r="E111" i="2"/>
  <c r="G228" i="2"/>
  <c r="G192" i="2"/>
  <c r="E117" i="2"/>
  <c r="M37" i="3"/>
  <c r="G135" i="2"/>
  <c r="L60" i="3"/>
  <c r="G217" i="2"/>
  <c r="G207" i="2"/>
  <c r="G30" i="2"/>
  <c r="F18" i="5"/>
  <c r="G53" i="2"/>
  <c r="E169" i="2"/>
  <c r="G73" i="2"/>
  <c r="G38" i="2"/>
  <c r="E68" i="2"/>
  <c r="E102" i="2"/>
  <c r="E280" i="2"/>
  <c r="G69" i="2"/>
  <c r="E31" i="2"/>
  <c r="H14" i="3"/>
  <c r="E147" i="2"/>
  <c r="G282" i="2"/>
  <c r="E113" i="2"/>
  <c r="G278" i="2"/>
  <c r="E201" i="2"/>
  <c r="G224" i="2"/>
  <c r="U178" i="2"/>
  <c r="U111" i="2"/>
  <c r="U135" i="2"/>
  <c r="U145" i="2"/>
  <c r="U293" i="2"/>
  <c r="U164" i="2"/>
  <c r="U191" i="2"/>
  <c r="U269" i="2"/>
  <c r="U173" i="2"/>
  <c r="U124" i="2"/>
  <c r="E37" i="2"/>
  <c r="E167" i="2"/>
  <c r="G358" i="2"/>
  <c r="G226" i="2"/>
  <c r="G66" i="2"/>
  <c r="G309" i="2"/>
  <c r="E279" i="2"/>
  <c r="G270" i="2"/>
  <c r="G306" i="2"/>
  <c r="G171" i="2"/>
  <c r="E276" i="2"/>
  <c r="G169" i="2"/>
  <c r="L46" i="3"/>
  <c r="G120" i="2"/>
  <c r="G105" i="2"/>
  <c r="E195" i="2"/>
  <c r="E170" i="2"/>
  <c r="G113" i="2"/>
  <c r="G148" i="2"/>
  <c r="G193" i="2"/>
  <c r="L35" i="3"/>
  <c r="G170" i="2"/>
  <c r="G52" i="2"/>
  <c r="E80" i="2"/>
  <c r="G215" i="2"/>
  <c r="E105" i="2"/>
  <c r="L47" i="3"/>
  <c r="G213" i="2"/>
  <c r="E235" i="2"/>
  <c r="L53" i="3"/>
  <c r="F14" i="5"/>
  <c r="G81" i="2"/>
  <c r="F5" i="5"/>
  <c r="M60" i="3"/>
  <c r="E54" i="2"/>
  <c r="L13" i="3"/>
  <c r="G155" i="2"/>
  <c r="G229" i="2"/>
  <c r="E238" i="2"/>
  <c r="G184" i="2"/>
  <c r="E241" i="2"/>
  <c r="E120" i="2"/>
  <c r="F6" i="5"/>
  <c r="E146" i="2"/>
  <c r="L17" i="3"/>
  <c r="G264" i="2"/>
  <c r="G293" i="2"/>
  <c r="L33" i="3"/>
  <c r="L14" i="3"/>
  <c r="E171" i="2"/>
  <c r="L16" i="3"/>
  <c r="G152" i="2"/>
  <c r="L32" i="3"/>
  <c r="G277" i="2"/>
  <c r="G305" i="2"/>
  <c r="E265" i="2"/>
  <c r="E215" i="2"/>
  <c r="G220" i="2"/>
  <c r="E138" i="2"/>
  <c r="G164" i="2"/>
  <c r="M41" i="3"/>
  <c r="E254" i="2"/>
  <c r="F10" i="5"/>
  <c r="M38" i="3"/>
  <c r="U314" i="2"/>
  <c r="U167" i="2"/>
  <c r="U306" i="2"/>
  <c r="U112" i="2"/>
  <c r="U98" i="2"/>
  <c r="U101" i="2"/>
  <c r="U128" i="2"/>
  <c r="U131" i="2"/>
  <c r="U110" i="2"/>
  <c r="U261" i="2"/>
  <c r="E28" i="2"/>
  <c r="L38" i="3"/>
  <c r="G147" i="2"/>
  <c r="M57" i="3"/>
  <c r="F19" i="5"/>
  <c r="E123" i="2"/>
  <c r="E56" i="2"/>
  <c r="E298" i="2"/>
  <c r="G298" i="2"/>
  <c r="E303" i="2"/>
  <c r="E92" i="2"/>
  <c r="G195" i="2"/>
  <c r="L24" i="3"/>
  <c r="E151" i="2"/>
  <c r="G199" i="2"/>
  <c r="F13" i="5"/>
  <c r="G241" i="2"/>
  <c r="G308" i="2"/>
  <c r="G85" i="2"/>
  <c r="E157" i="2"/>
  <c r="E112" i="2"/>
  <c r="G115" i="2"/>
  <c r="G294" i="2"/>
  <c r="F16" i="5"/>
  <c r="G235" i="2"/>
  <c r="G313" i="2"/>
  <c r="M43" i="3"/>
  <c r="G101" i="2"/>
  <c r="U149" i="2"/>
  <c r="U157" i="2"/>
  <c r="U146" i="2"/>
  <c r="U165" i="2"/>
  <c r="U106" i="2"/>
  <c r="U183" i="2"/>
  <c r="U96" i="2"/>
  <c r="U158" i="2"/>
  <c r="U113" i="2"/>
  <c r="U154" i="2"/>
  <c r="E42" i="2"/>
  <c r="E106" i="2"/>
  <c r="G178" i="2"/>
  <c r="G303" i="2"/>
  <c r="E93" i="2"/>
  <c r="M62" i="3"/>
  <c r="L18" i="3"/>
  <c r="L12" i="3"/>
  <c r="L37" i="3"/>
  <c r="E131" i="2"/>
  <c r="G297" i="2"/>
  <c r="M36" i="3"/>
  <c r="E299" i="2"/>
  <c r="M58" i="3"/>
  <c r="G39" i="2"/>
  <c r="L42" i="3"/>
  <c r="G200" i="2"/>
  <c r="E244" i="2"/>
  <c r="E218" i="2"/>
  <c r="L58" i="3"/>
  <c r="G93" i="2"/>
  <c r="E229" i="2"/>
  <c r="G279" i="2"/>
  <c r="L45" i="3"/>
  <c r="F17" i="5"/>
  <c r="E267" i="2"/>
  <c r="G280" i="2"/>
  <c r="E309" i="2"/>
  <c r="E178" i="2"/>
  <c r="M39" i="3"/>
  <c r="G31" i="2"/>
  <c r="G162" i="2"/>
  <c r="L29" i="3"/>
  <c r="G28" i="2"/>
  <c r="L51" i="3"/>
  <c r="G223" i="2"/>
  <c r="E57" i="2"/>
  <c r="L53" i="18" a="1"/>
  <c r="E143" i="2"/>
  <c r="G47" i="2"/>
  <c r="E53" i="2"/>
  <c r="G126" i="2"/>
  <c r="E358" i="2"/>
  <c r="G89" i="2"/>
  <c r="E162" i="2"/>
  <c r="L39" i="3"/>
  <c r="G265" i="2"/>
  <c r="G167" i="2"/>
  <c r="E69" i="2"/>
  <c r="G149" i="2"/>
  <c r="F20" i="5"/>
  <c r="E207" i="2"/>
  <c r="E277" i="2"/>
  <c r="E29" i="2"/>
  <c r="E236" i="2"/>
  <c r="G291" i="2"/>
  <c r="F101" i="6"/>
  <c r="G173" i="2"/>
  <c r="L15" i="3"/>
  <c r="G111" i="2"/>
  <c r="G123" i="2"/>
  <c r="M50" i="3"/>
  <c r="G267" i="2"/>
  <c r="G77" i="2"/>
  <c r="E135" i="2"/>
  <c r="G314" i="2"/>
  <c r="E237" i="2"/>
  <c r="L43" i="3"/>
  <c r="E305" i="2"/>
  <c r="G276" i="2"/>
  <c r="M35" i="3"/>
  <c r="E134" i="2"/>
  <c r="G82" i="2"/>
  <c r="E248" i="2"/>
  <c r="E88" i="2"/>
  <c r="E10" i="35" l="1"/>
  <c r="F10" i="35"/>
  <c r="F161" i="2"/>
  <c r="F74" i="2"/>
  <c r="F121" i="2"/>
  <c r="F165" i="2"/>
  <c r="F133" i="2"/>
  <c r="F167" i="2"/>
  <c r="F111" i="2"/>
  <c r="F153" i="2"/>
  <c r="N51" i="3"/>
  <c r="F224" i="2"/>
  <c r="F36" i="2"/>
  <c r="N52" i="3"/>
  <c r="N35" i="3"/>
  <c r="N60" i="3"/>
  <c r="F102" i="2"/>
  <c r="F85" i="2"/>
  <c r="N27" i="3"/>
  <c r="N21" i="3"/>
  <c r="F206" i="2"/>
  <c r="N42" i="3"/>
  <c r="F35" i="2"/>
  <c r="F234" i="2"/>
  <c r="N30" i="3"/>
  <c r="F215" i="2"/>
  <c r="F201" i="2"/>
  <c r="F222" i="2"/>
  <c r="F92" i="2"/>
  <c r="F115" i="2"/>
  <c r="N6" i="3"/>
  <c r="N53" i="3"/>
  <c r="F131" i="2"/>
  <c r="N58" i="3"/>
  <c r="N38" i="3"/>
  <c r="N44" i="3"/>
  <c r="N39" i="3"/>
  <c r="F93" i="2"/>
  <c r="F214" i="2"/>
  <c r="F258" i="2"/>
  <c r="F42" i="2"/>
  <c r="N47" i="3"/>
  <c r="F247" i="2"/>
  <c r="N43" i="3"/>
  <c r="N45" i="3"/>
  <c r="F243" i="2"/>
  <c r="F298" i="2"/>
  <c r="F235" i="2"/>
  <c r="N22" i="3"/>
  <c r="F257" i="2"/>
  <c r="F59" i="2"/>
  <c r="F159" i="2"/>
  <c r="F38" i="2"/>
  <c r="F82" i="2"/>
  <c r="F76" i="2"/>
  <c r="F350" i="3"/>
  <c r="F100" i="2"/>
  <c r="F314" i="2"/>
  <c r="F226" i="2"/>
  <c r="F282" i="2"/>
  <c r="F191" i="2"/>
  <c r="F162" i="2"/>
  <c r="F244" i="2"/>
  <c r="N49" i="3"/>
  <c r="F94" i="2"/>
  <c r="F198" i="2"/>
  <c r="F313" i="2"/>
  <c r="N56" i="3"/>
  <c r="F78" i="2"/>
  <c r="F305" i="2"/>
  <c r="F123" i="2"/>
  <c r="F204" i="2"/>
  <c r="F297" i="2"/>
  <c r="F160" i="2"/>
  <c r="F37" i="2"/>
  <c r="F150" i="2"/>
  <c r="F241" i="2"/>
  <c r="F105" i="2"/>
  <c r="N19" i="3"/>
  <c r="F213" i="2"/>
  <c r="F98" i="2"/>
  <c r="F49" i="2"/>
  <c r="N33" i="3"/>
  <c r="N11" i="3"/>
  <c r="N24" i="3"/>
  <c r="F47" i="2"/>
  <c r="F31" i="2"/>
  <c r="F65" i="2"/>
  <c r="F143" i="2"/>
  <c r="F217" i="2"/>
  <c r="F232" i="2"/>
  <c r="F183" i="2"/>
  <c r="F90" i="2"/>
  <c r="F274" i="2"/>
  <c r="N63" i="3"/>
  <c r="F240" i="2"/>
  <c r="G6" i="5"/>
  <c r="L5" i="5" s="1"/>
  <c r="F83" i="2"/>
  <c r="F73" i="2"/>
  <c r="F174" i="2"/>
  <c r="F41" i="2"/>
  <c r="F199" i="2"/>
  <c r="F252" i="2"/>
  <c r="F113" i="2"/>
  <c r="N54" i="3"/>
  <c r="F280" i="2"/>
  <c r="F193" i="2"/>
  <c r="F178" i="2"/>
  <c r="F80" i="2"/>
  <c r="F68" i="2"/>
  <c r="F175" i="2"/>
  <c r="F155" i="2"/>
  <c r="N14" i="3"/>
  <c r="N28" i="3"/>
  <c r="F134" i="2"/>
  <c r="F170" i="2"/>
  <c r="F106" i="2"/>
  <c r="N26" i="3"/>
  <c r="F309" i="2"/>
  <c r="N16" i="3"/>
  <c r="F233" i="2"/>
  <c r="F64" i="2"/>
  <c r="L53" i="18"/>
  <c r="L55" i="18" s="1"/>
  <c r="L57" i="18" s="1"/>
  <c r="N55" i="3"/>
  <c r="N29" i="3"/>
  <c r="F281" i="2"/>
  <c r="F290" i="2"/>
  <c r="F236" i="2"/>
  <c r="N37" i="3"/>
  <c r="F169" i="2"/>
  <c r="F148" i="2"/>
  <c r="F202" i="2"/>
  <c r="N20" i="3"/>
  <c r="F88" i="2"/>
  <c r="G5" i="5"/>
  <c r="N23" i="3"/>
  <c r="N36" i="3"/>
  <c r="F277" i="2"/>
  <c r="F176" i="2"/>
  <c r="F164" i="2"/>
  <c r="F184" i="2"/>
  <c r="F248" i="2"/>
  <c r="N13" i="3"/>
  <c r="N25" i="3"/>
  <c r="N34" i="3"/>
  <c r="N46" i="3"/>
  <c r="F265" i="2"/>
  <c r="F39" i="2"/>
  <c r="N40" i="3"/>
  <c r="F168" i="2"/>
  <c r="F242" i="2"/>
  <c r="F239" i="2"/>
  <c r="F53" i="2"/>
  <c r="F195" i="2"/>
  <c r="F171" i="2"/>
  <c r="F238" i="2"/>
  <c r="N61" i="3"/>
  <c r="F157" i="2"/>
  <c r="N62" i="3"/>
  <c r="F267" i="2"/>
  <c r="F229" i="2"/>
  <c r="F52" i="2"/>
  <c r="F147" i="2"/>
  <c r="F146" i="2"/>
  <c r="F154" i="2"/>
  <c r="F138" i="2"/>
  <c r="N59" i="3"/>
  <c r="F124" i="2"/>
  <c r="F46" i="2"/>
  <c r="F264" i="2"/>
  <c r="F40" i="2"/>
  <c r="N31" i="3"/>
  <c r="F173" i="2"/>
  <c r="N10" i="3"/>
  <c r="N50" i="3"/>
  <c r="G101" i="6"/>
  <c r="L100" i="6" s="1"/>
  <c r="F54" i="2"/>
  <c r="F308" i="2"/>
  <c r="F293" i="2"/>
  <c r="F101" i="2"/>
  <c r="F218" i="2"/>
  <c r="F75" i="2"/>
  <c r="F237" i="2"/>
  <c r="F279" i="2"/>
  <c r="F306" i="2"/>
  <c r="F299" i="2"/>
  <c r="F149" i="2"/>
  <c r="F120" i="2"/>
  <c r="N15" i="3"/>
  <c r="F291" i="2"/>
  <c r="F249" i="2"/>
  <c r="F263" i="2"/>
  <c r="F151" i="2"/>
  <c r="F117" i="2"/>
  <c r="F254" i="2"/>
  <c r="BM8" i="30"/>
  <c r="BN8" i="30" s="1"/>
  <c r="F255" i="2"/>
  <c r="N57" i="3"/>
  <c r="F109" i="2"/>
  <c r="F28" i="2"/>
  <c r="F112" i="2"/>
  <c r="N48" i="3"/>
  <c r="F228" i="2"/>
  <c r="N41" i="3"/>
  <c r="F128" i="2"/>
  <c r="N12" i="3"/>
  <c r="N18" i="3"/>
  <c r="F220" i="2"/>
  <c r="F30" i="2"/>
  <c r="F66" i="2"/>
  <c r="F29" i="2"/>
  <c r="F358" i="2"/>
  <c r="N17" i="3"/>
  <c r="F163" i="2"/>
  <c r="F294" i="2"/>
  <c r="N9" i="3"/>
  <c r="F89" i="2"/>
  <c r="F152" i="2"/>
  <c r="F207" i="2"/>
  <c r="F278" i="2"/>
  <c r="F135" i="2"/>
  <c r="F303" i="2"/>
  <c r="F69" i="2"/>
  <c r="F223" i="2"/>
  <c r="F110" i="2"/>
  <c r="N32" i="3"/>
  <c r="F276" i="2"/>
  <c r="U298" i="2"/>
  <c r="U297" i="2"/>
  <c r="U255" i="2"/>
  <c r="U242" i="2"/>
  <c r="E145" i="2"/>
  <c r="G145" i="2"/>
  <c r="G45" i="2"/>
  <c r="E45" i="2"/>
  <c r="E58" i="2"/>
  <c r="E60" i="2"/>
  <c r="G57" i="2"/>
  <c r="E44" i="2"/>
  <c r="U281" i="2"/>
  <c r="U247" i="2"/>
  <c r="G56" i="2"/>
  <c r="U274" i="2"/>
  <c r="U258" i="2"/>
  <c r="G55" i="2"/>
  <c r="E156" i="2"/>
  <c r="G60" i="2"/>
  <c r="U290" i="2"/>
  <c r="D11" i="35" l="1"/>
  <c r="I299" i="2"/>
  <c r="I358" i="2"/>
  <c r="I238" i="2"/>
  <c r="I277" i="2"/>
  <c r="I254" i="2"/>
  <c r="I217" i="2"/>
  <c r="I199" i="2"/>
  <c r="I305" i="2"/>
  <c r="I279" i="2"/>
  <c r="I239" i="2"/>
  <c r="I258" i="2"/>
  <c r="I235" i="2"/>
  <c r="I229" i="2"/>
  <c r="I211" i="2"/>
  <c r="I245" i="2"/>
  <c r="H101" i="6"/>
  <c r="G102" i="6" s="1"/>
  <c r="H102" i="6" s="1"/>
  <c r="G103" i="6" s="1"/>
  <c r="L102" i="6" s="1"/>
  <c r="I224" i="2"/>
  <c r="BM9" i="30"/>
  <c r="BN9" i="30" s="1"/>
  <c r="I213" i="2"/>
  <c r="I240" i="2"/>
  <c r="I282" i="2"/>
  <c r="I270" i="2"/>
  <c r="I264" i="2"/>
  <c r="I298" i="2"/>
  <c r="I130" i="2"/>
  <c r="H6" i="5"/>
  <c r="G7" i="5" s="1"/>
  <c r="H7" i="5" s="1"/>
  <c r="I220" i="2"/>
  <c r="I35" i="2"/>
  <c r="I192" i="2"/>
  <c r="I255" i="2"/>
  <c r="I50" i="2"/>
  <c r="I51" i="2"/>
  <c r="I208" i="2"/>
  <c r="I276" i="2"/>
  <c r="I132" i="2"/>
  <c r="I260" i="2"/>
  <c r="I234" i="2"/>
  <c r="I308" i="2"/>
  <c r="I206" i="2"/>
  <c r="I297" i="2"/>
  <c r="I265" i="2"/>
  <c r="I77" i="2"/>
  <c r="I188" i="2"/>
  <c r="I196" i="2"/>
  <c r="I126" i="2"/>
  <c r="I28" i="2"/>
  <c r="I31" i="2"/>
  <c r="I73" i="2"/>
  <c r="I113" i="2"/>
  <c r="I59" i="2"/>
  <c r="I278" i="2"/>
  <c r="I65" i="2"/>
  <c r="I93" i="2"/>
  <c r="I146" i="2"/>
  <c r="I153" i="2"/>
  <c r="I178" i="2"/>
  <c r="I138" i="2"/>
  <c r="I49" i="2"/>
  <c r="I98" i="2"/>
  <c r="I157" i="2"/>
  <c r="I165" i="2"/>
  <c r="I174" i="2"/>
  <c r="I167" i="2"/>
  <c r="I110" i="2"/>
  <c r="I80" i="2"/>
  <c r="I85" i="2"/>
  <c r="I169" i="2"/>
  <c r="I74" i="2"/>
  <c r="I164" i="2"/>
  <c r="I112" i="2"/>
  <c r="I191" i="2"/>
  <c r="I37" i="2"/>
  <c r="I149" i="2"/>
  <c r="I76" i="2"/>
  <c r="I39" i="2"/>
  <c r="I42" i="2"/>
  <c r="I244" i="2"/>
  <c r="I30" i="2"/>
  <c r="I290" i="2"/>
  <c r="I160" i="2"/>
  <c r="I207" i="2"/>
  <c r="I313" i="2"/>
  <c r="I243" i="2"/>
  <c r="I128" i="2"/>
  <c r="I41" i="2"/>
  <c r="F45" i="2"/>
  <c r="F44" i="2"/>
  <c r="I218" i="2"/>
  <c r="I204" i="2"/>
  <c r="F57" i="2"/>
  <c r="I52" i="2"/>
  <c r="I154" i="2"/>
  <c r="I148" i="2"/>
  <c r="I195" i="2"/>
  <c r="I214" i="2"/>
  <c r="F145" i="2"/>
  <c r="I249" i="2"/>
  <c r="I226" i="2"/>
  <c r="I89" i="2"/>
  <c r="F60" i="2"/>
  <c r="I88" i="2"/>
  <c r="I90" i="2"/>
  <c r="I294" i="2"/>
  <c r="F156" i="2"/>
  <c r="F58" i="2"/>
  <c r="I150" i="2"/>
  <c r="I47" i="2"/>
  <c r="I105" i="2"/>
  <c r="I106" i="2"/>
  <c r="I162" i="2"/>
  <c r="I175" i="2"/>
  <c r="I248" i="2"/>
  <c r="F55" i="2"/>
  <c r="I281" i="2"/>
  <c r="I75" i="2"/>
  <c r="I291" i="2"/>
  <c r="I82" i="2"/>
  <c r="I233" i="2"/>
  <c r="F56" i="2"/>
  <c r="I53" i="2"/>
  <c r="I198" i="2"/>
  <c r="I223" i="2"/>
  <c r="I78" i="2"/>
  <c r="I168" i="2"/>
  <c r="I263" i="2"/>
  <c r="I64" i="2"/>
  <c r="I170" i="2"/>
  <c r="I257" i="2"/>
  <c r="I303" i="2"/>
  <c r="I193" i="2"/>
  <c r="I241" i="2"/>
  <c r="I236" i="2"/>
  <c r="I40" i="2"/>
  <c r="I215" i="2"/>
  <c r="I163" i="2"/>
  <c r="I143" i="2"/>
  <c r="I54" i="2"/>
  <c r="I147" i="2"/>
  <c r="I184" i="2"/>
  <c r="I228" i="2"/>
  <c r="I306" i="2"/>
  <c r="I237" i="2"/>
  <c r="I247" i="2"/>
  <c r="I222" i="2"/>
  <c r="I267" i="2"/>
  <c r="I309" i="2"/>
  <c r="I134" i="2"/>
  <c r="I111" i="2"/>
  <c r="I29" i="2"/>
  <c r="I133" i="2"/>
  <c r="D21" i="8"/>
  <c r="D21" i="30"/>
  <c r="H23" i="6"/>
  <c r="G24" i="6" s="1"/>
  <c r="L22" i="6"/>
  <c r="G156" i="2"/>
  <c r="F11" i="35" l="1"/>
  <c r="E11" i="35"/>
  <c r="D12" i="35" s="1"/>
  <c r="H103" i="6"/>
  <c r="G104" i="6" s="1"/>
  <c r="L103" i="6" s="1"/>
  <c r="L101" i="6"/>
  <c r="BM10" i="30"/>
  <c r="BN10" i="30" s="1"/>
  <c r="L6" i="5"/>
  <c r="I44" i="2"/>
  <c r="I45" i="2"/>
  <c r="I58" i="2"/>
  <c r="I60" i="2"/>
  <c r="I156" i="2"/>
  <c r="I57" i="2"/>
  <c r="I145" i="2"/>
  <c r="I56" i="2"/>
  <c r="I55" i="2"/>
  <c r="G8" i="5"/>
  <c r="D22" i="8"/>
  <c r="D22" i="30"/>
  <c r="H24" i="6"/>
  <c r="G25" i="6" s="1"/>
  <c r="L23" i="6"/>
  <c r="K580" i="18" a="1"/>
  <c r="L615" i="18" a="1"/>
  <c r="AB634" i="18" a="1"/>
  <c r="FZ45" i="8" a="1"/>
  <c r="FZ48" i="8" a="1"/>
  <c r="FZ36" i="8" a="1"/>
  <c r="P265" i="18" a="1"/>
  <c r="FZ47" i="8" a="1"/>
  <c r="U303" i="18"/>
  <c r="E247" i="18" a="1"/>
  <c r="P480" i="18" a="1"/>
  <c r="Y265" i="18" a="1"/>
  <c r="J399" i="18" a="1"/>
  <c r="FZ35" i="8" a="1"/>
  <c r="AF303" i="18"/>
  <c r="F247" i="18" a="1"/>
  <c r="H634" i="18" a="1"/>
  <c r="GZ17" i="8" a="1"/>
  <c r="FZ40" i="8" a="1"/>
  <c r="I580" i="18" a="1"/>
  <c r="FZ41" i="8" a="1"/>
  <c r="GZ57" i="8" a="1"/>
  <c r="GZ29" i="8" a="1"/>
  <c r="V303" i="18"/>
  <c r="L399" i="18" a="1"/>
  <c r="R303" i="18"/>
  <c r="K321" i="18" a="1"/>
  <c r="F634" i="18" a="1"/>
  <c r="AG265" i="18" a="1"/>
  <c r="GZ24" i="8" a="1"/>
  <c r="GZ37" i="8" a="1"/>
  <c r="D303" i="18" a="1"/>
  <c r="FZ27" i="8" a="1"/>
  <c r="AC303" i="18"/>
  <c r="H265" i="18" a="1"/>
  <c r="FZ24" i="8" a="1"/>
  <c r="GZ52" i="8" a="1"/>
  <c r="AE303" i="18"/>
  <c r="GZ54" i="8" a="1"/>
  <c r="CK8" i="8" a="1"/>
  <c r="GZ59" i="8" a="1"/>
  <c r="FZ58" i="8" a="1"/>
  <c r="F580" i="18" a="1"/>
  <c r="H303" i="18" a="1"/>
  <c r="Q303" i="18"/>
  <c r="FZ34" i="8" a="1"/>
  <c r="H480" i="18" a="1"/>
  <c r="FZ49" i="8" a="1"/>
  <c r="E265" i="18" a="1"/>
  <c r="GZ55" i="8" a="1"/>
  <c r="I247" i="18" a="1"/>
  <c r="M480" i="18" a="1"/>
  <c r="GZ16" i="8" a="1"/>
  <c r="GZ62" i="8" a="1"/>
  <c r="GZ36" i="8" a="1"/>
  <c r="GZ21" i="8" a="1"/>
  <c r="GZ22" i="8" a="1"/>
  <c r="C580" i="18" a="1"/>
  <c r="M321" i="18" a="1"/>
  <c r="GZ68" i="8" a="1"/>
  <c r="D580" i="18" a="1"/>
  <c r="FZ60" i="8" a="1"/>
  <c r="GZ34" i="8" a="1"/>
  <c r="F480" i="18" a="1"/>
  <c r="AA265" i="18" a="1"/>
  <c r="AC634" i="18" a="1"/>
  <c r="C615" i="18" a="1"/>
  <c r="AB303" i="18"/>
  <c r="G634" i="18" a="1"/>
  <c r="N634" i="18" a="1"/>
  <c r="GZ50" i="8" a="1"/>
  <c r="J634" i="18" a="1"/>
  <c r="FZ25" i="8" a="1"/>
  <c r="R265" i="18" a="1"/>
  <c r="J580" i="18" a="1"/>
  <c r="FZ44" i="8" a="1"/>
  <c r="L321" i="18" a="1"/>
  <c r="GZ48" i="8" a="1"/>
  <c r="R634" i="18" a="1"/>
  <c r="GZ65" i="8" a="1"/>
  <c r="O615" i="18"/>
  <c r="GZ43" i="8" a="1"/>
  <c r="F399" i="18" a="1"/>
  <c r="FZ62" i="8" a="1"/>
  <c r="D615" i="18" a="1"/>
  <c r="N303" i="18"/>
  <c r="G265" i="18" a="1"/>
  <c r="H436" i="18" a="1"/>
  <c r="E580" i="18" a="1"/>
  <c r="GZ71" i="8" a="1"/>
  <c r="AA303" i="18"/>
  <c r="O265" i="18" a="1"/>
  <c r="K303" i="18" a="1"/>
  <c r="G303" i="18" a="1"/>
  <c r="FZ23" i="8" a="1"/>
  <c r="P20" i="18" a="1"/>
  <c r="M615" i="18" a="1"/>
  <c r="L480" i="18" a="1"/>
  <c r="GZ51" i="8" a="1"/>
  <c r="GZ42" i="8" a="1"/>
  <c r="I480" i="18" a="1"/>
  <c r="Q321" i="18" a="1"/>
  <c r="FZ28" i="8" a="1"/>
  <c r="FZ52" i="8" a="1"/>
  <c r="FZ38" i="8" a="1"/>
  <c r="M247" i="18" a="1"/>
  <c r="O580" i="18"/>
  <c r="N580" i="18"/>
  <c r="GZ58" i="8" a="1"/>
  <c r="I321" i="18" a="1"/>
  <c r="O303" i="18"/>
  <c r="O634" i="18" a="1"/>
  <c r="GZ61" i="8" a="1"/>
  <c r="L634" i="18" a="1"/>
  <c r="GZ35" i="8" a="1"/>
  <c r="FZ42" i="8" a="1"/>
  <c r="GZ33" i="8" a="1"/>
  <c r="M265" i="18" a="1"/>
  <c r="I303" i="18" a="1"/>
  <c r="E561" i="18" a="1"/>
  <c r="M399" i="18" a="1"/>
  <c r="AD303" i="18"/>
  <c r="AG634" i="18" a="1"/>
  <c r="N615" i="18"/>
  <c r="X634" i="18" a="1"/>
  <c r="Z634" i="18" a="1"/>
  <c r="L265" i="18" a="1"/>
  <c r="GZ14" i="8" a="1"/>
  <c r="P321" i="18" a="1"/>
  <c r="GZ32" i="8" a="1"/>
  <c r="FZ20" i="8" a="1"/>
  <c r="N265" i="18" a="1"/>
  <c r="E634" i="18" a="1"/>
  <c r="K615" i="18" a="1"/>
  <c r="N480" i="18" a="1"/>
  <c r="G321" i="18" a="1"/>
  <c r="G561" i="18" a="1"/>
  <c r="G615" i="18" a="1"/>
  <c r="L303" i="18" a="1"/>
  <c r="I634" i="18" a="1"/>
  <c r="GZ23" i="8" a="1"/>
  <c r="T634" i="18" a="1"/>
  <c r="FZ46" i="8" a="1"/>
  <c r="FZ30" i="8" a="1"/>
  <c r="GZ56" i="8" a="1"/>
  <c r="G580" i="18" a="1"/>
  <c r="GZ53" i="8" a="1"/>
  <c r="GZ47" i="8" a="1"/>
  <c r="W634" i="18" a="1"/>
  <c r="D561" i="18" a="1"/>
  <c r="F265" i="18" a="1"/>
  <c r="L247" i="18" a="1"/>
  <c r="AE634" i="18" a="1"/>
  <c r="G399" i="18" a="1"/>
  <c r="F303" i="18" a="1"/>
  <c r="GZ64" i="8" a="1"/>
  <c r="GZ38" i="8" a="1"/>
  <c r="U265" i="18" a="1"/>
  <c r="E399" i="18" a="1"/>
  <c r="GZ40" i="8" a="1"/>
  <c r="J265" i="18" a="1"/>
  <c r="I265" i="18" a="1"/>
  <c r="GZ30" i="8" a="1"/>
  <c r="H615" i="18" a="1"/>
  <c r="AC265" i="18" a="1"/>
  <c r="FZ55" i="8" a="1"/>
  <c r="P303" i="18"/>
  <c r="D321" i="18" a="1"/>
  <c r="AD634" i="18" a="1"/>
  <c r="FZ56" i="8" a="1"/>
  <c r="M634" i="18" a="1"/>
  <c r="G480" i="18" a="1"/>
  <c r="F321" i="18" a="1"/>
  <c r="E321" i="18" a="1"/>
  <c r="FZ50" i="8" a="1"/>
  <c r="AF634" i="18" a="1"/>
  <c r="K247" i="18" a="1"/>
  <c r="Q265" i="18" a="1"/>
  <c r="M580" i="18" a="1"/>
  <c r="K265" i="18" a="1"/>
  <c r="FZ53" i="8" a="1"/>
  <c r="K399" i="18" a="1"/>
  <c r="X265" i="18" a="1"/>
  <c r="FZ51" i="8" a="1"/>
  <c r="FZ31" i="8" a="1"/>
  <c r="Q480" i="18" a="1"/>
  <c r="AE265" i="18" a="1"/>
  <c r="GZ27" i="8" a="1"/>
  <c r="R480" i="18" a="1"/>
  <c r="D634" i="18" a="1"/>
  <c r="GZ66" i="8" a="1"/>
  <c r="H247" i="18" a="1"/>
  <c r="N321" i="18" a="1"/>
  <c r="E615" i="18" a="1"/>
  <c r="FZ61" i="8" a="1"/>
  <c r="FZ37" i="8" a="1"/>
  <c r="H399" i="18" a="1"/>
  <c r="GZ18" i="8" a="1"/>
  <c r="FZ26" i="8" a="1"/>
  <c r="G436" i="18" a="1"/>
  <c r="GZ25" i="8" a="1"/>
  <c r="P634" i="18" a="1"/>
  <c r="O321" i="18" a="1"/>
  <c r="FZ39" i="8" a="1"/>
  <c r="U634" i="18" a="1"/>
  <c r="GZ20" i="8" a="1"/>
  <c r="K634" i="18" a="1"/>
  <c r="GZ39" i="8" a="1"/>
  <c r="F561" i="18" a="1"/>
  <c r="GZ45" i="8" a="1"/>
  <c r="V634" i="18" a="1"/>
  <c r="G247" i="18" a="1"/>
  <c r="GZ49" i="8" a="1"/>
  <c r="GZ19" i="8" a="1"/>
  <c r="R321" i="18" a="1"/>
  <c r="GZ63" i="8" a="1"/>
  <c r="FZ57" i="8" a="1"/>
  <c r="FZ29" i="8" a="1"/>
  <c r="Y303" i="18"/>
  <c r="J321" i="18" a="1"/>
  <c r="S634" i="18" a="1"/>
  <c r="D480" i="18" a="1"/>
  <c r="T265" i="18" a="1"/>
  <c r="GZ44" i="8" a="1"/>
  <c r="V265" i="18" a="1"/>
  <c r="D399" i="18" a="1"/>
  <c r="W265" i="18" a="1"/>
  <c r="H561" i="18" a="1"/>
  <c r="L580" i="18" a="1"/>
  <c r="D436" i="18" a="1"/>
  <c r="GZ72" i="8" a="1"/>
  <c r="GZ67" i="8" a="1"/>
  <c r="O480" i="18" a="1"/>
  <c r="GZ28" i="8" a="1"/>
  <c r="Z303" i="18"/>
  <c r="K480" i="18" a="1"/>
  <c r="AA634" i="18" a="1"/>
  <c r="S303" i="18"/>
  <c r="AG303" i="18"/>
  <c r="FZ43" i="8" a="1"/>
  <c r="J615" i="18" a="1"/>
  <c r="GZ31" i="8" a="1"/>
  <c r="FZ54" i="8" a="1"/>
  <c r="J247" i="18" a="1"/>
  <c r="GZ41" i="8" a="1"/>
  <c r="Q634" i="18" a="1"/>
  <c r="D247" i="18" a="1"/>
  <c r="J303" i="18" a="1"/>
  <c r="AB265" i="18" a="1"/>
  <c r="M303" i="18" a="1"/>
  <c r="E480" i="18" a="1"/>
  <c r="GZ60" i="8" a="1"/>
  <c r="H321" i="18" a="1"/>
  <c r="AD265" i="18" a="1"/>
  <c r="Y634" i="18" a="1"/>
  <c r="J480" i="18" a="1"/>
  <c r="GZ70" i="8" a="1"/>
  <c r="FZ59" i="8" a="1"/>
  <c r="Z265" i="18" a="1"/>
  <c r="FZ21" i="8" a="1"/>
  <c r="FZ32" i="8" a="1"/>
  <c r="FZ8" i="8" a="1"/>
  <c r="F615" i="18" a="1"/>
  <c r="I399" i="18" a="1"/>
  <c r="E303" i="18" a="1"/>
  <c r="FZ33" i="8" a="1"/>
  <c r="T303" i="18"/>
  <c r="E436" i="18" a="1"/>
  <c r="D265" i="18" a="1"/>
  <c r="FZ22" i="8" a="1"/>
  <c r="GZ26" i="8" a="1"/>
  <c r="I615" i="18" a="1"/>
  <c r="H580" i="18" a="1"/>
  <c r="X303" i="18"/>
  <c r="W303" i="18"/>
  <c r="GZ69" i="8" a="1"/>
  <c r="S265" i="18" a="1"/>
  <c r="AF265" i="18" a="1"/>
  <c r="GZ46" i="8" a="1"/>
  <c r="F436" i="18" a="1"/>
  <c r="E12" i="35" l="1"/>
  <c r="D13" i="35" s="1"/>
  <c r="F12" i="35"/>
  <c r="I293" i="2"/>
  <c r="E480" i="18"/>
  <c r="E482" i="18" s="1"/>
  <c r="E483" i="18" s="1"/>
  <c r="D634" i="18"/>
  <c r="D561" i="18"/>
  <c r="D563" i="18" s="1"/>
  <c r="D564" i="18" s="1"/>
  <c r="E634" i="18"/>
  <c r="D436" i="18"/>
  <c r="D438" i="18" s="1"/>
  <c r="D439" i="18" s="1"/>
  <c r="E247" i="18"/>
  <c r="E249" i="18" s="1"/>
  <c r="E250" i="18" s="1"/>
  <c r="F634" i="18"/>
  <c r="D615" i="18"/>
  <c r="D617" i="18" s="1"/>
  <c r="D580" i="18"/>
  <c r="D582" i="18" s="1"/>
  <c r="E265" i="18"/>
  <c r="E267" i="18" s="1"/>
  <c r="E268" i="18" s="1"/>
  <c r="C615" i="18"/>
  <c r="C617" i="18" s="1"/>
  <c r="G399" i="18"/>
  <c r="G401" i="18" s="1"/>
  <c r="I563" i="18"/>
  <c r="I564" i="18" s="1"/>
  <c r="F247" i="18"/>
  <c r="F249" i="18" s="1"/>
  <c r="F250" i="18" s="1"/>
  <c r="D247" i="18"/>
  <c r="D249" i="18" s="1"/>
  <c r="D250" i="18" s="1"/>
  <c r="E580" i="18"/>
  <c r="E582" i="18" s="1"/>
  <c r="E561" i="18"/>
  <c r="E563" i="18" s="1"/>
  <c r="E564" i="18" s="1"/>
  <c r="H561" i="18"/>
  <c r="H563" i="18" s="1"/>
  <c r="H564" i="18" s="1"/>
  <c r="F480" i="18"/>
  <c r="F482" i="18" s="1"/>
  <c r="F483" i="18" s="1"/>
  <c r="G634" i="18"/>
  <c r="F561" i="18"/>
  <c r="F563" i="18" s="1"/>
  <c r="F564" i="18" s="1"/>
  <c r="G436" i="18"/>
  <c r="G438" i="18" s="1"/>
  <c r="G439" i="18" s="1"/>
  <c r="E399" i="18"/>
  <c r="E401" i="18" s="1"/>
  <c r="F436" i="18"/>
  <c r="F438" i="18" s="1"/>
  <c r="F439" i="18" s="1"/>
  <c r="F321" i="18"/>
  <c r="F323" i="18" s="1"/>
  <c r="F324" i="18" s="1"/>
  <c r="G265" i="18"/>
  <c r="G267" i="18" s="1"/>
  <c r="G268" i="18" s="1"/>
  <c r="E303" i="18"/>
  <c r="E305" i="18" s="1"/>
  <c r="E306" i="18" s="1"/>
  <c r="F265" i="18"/>
  <c r="F267" i="18" s="1"/>
  <c r="F268" i="18" s="1"/>
  <c r="D265" i="18"/>
  <c r="D267" i="18" s="1"/>
  <c r="D268" i="18" s="1"/>
  <c r="D399" i="18"/>
  <c r="D401" i="18" s="1"/>
  <c r="D402" i="18" s="1"/>
  <c r="C404" i="18" s="1"/>
  <c r="C405" i="18" s="1"/>
  <c r="G561" i="18"/>
  <c r="G563" i="18" s="1"/>
  <c r="G564" i="18" s="1"/>
  <c r="C580" i="18"/>
  <c r="C582" i="18" s="1"/>
  <c r="D303" i="18"/>
  <c r="D305" i="18" s="1"/>
  <c r="D306" i="18" s="1"/>
  <c r="H303" i="18"/>
  <c r="H305" i="18" s="1"/>
  <c r="H306" i="18" s="1"/>
  <c r="F399" i="18"/>
  <c r="F401" i="18" s="1"/>
  <c r="D480" i="18"/>
  <c r="D482" i="18" s="1"/>
  <c r="D483" i="18" s="1"/>
  <c r="E615" i="18"/>
  <c r="E617" i="18" s="1"/>
  <c r="H265" i="18"/>
  <c r="H267" i="18" s="1"/>
  <c r="H268" i="18" s="1"/>
  <c r="G247" i="18"/>
  <c r="G249" i="18" s="1"/>
  <c r="G250" i="18" s="1"/>
  <c r="G303" i="18"/>
  <c r="G305" i="18" s="1"/>
  <c r="G306" i="18" s="1"/>
  <c r="D321" i="18"/>
  <c r="D323" i="18" s="1"/>
  <c r="D324" i="18" s="1"/>
  <c r="E321" i="18"/>
  <c r="E323" i="18" s="1"/>
  <c r="E324" i="18" s="1"/>
  <c r="H321" i="18"/>
  <c r="H323" i="18" s="1"/>
  <c r="H324" i="18" s="1"/>
  <c r="H247" i="18"/>
  <c r="H249" i="18" s="1"/>
  <c r="H250" i="18" s="1"/>
  <c r="G321" i="18"/>
  <c r="G323" i="18" s="1"/>
  <c r="G324" i="18" s="1"/>
  <c r="E436" i="18"/>
  <c r="E438" i="18" s="1"/>
  <c r="E439" i="18" s="1"/>
  <c r="F303" i="18"/>
  <c r="F305" i="18" s="1"/>
  <c r="F306" i="18" s="1"/>
  <c r="GZ23" i="8"/>
  <c r="F615" i="18"/>
  <c r="GZ17" i="8"/>
  <c r="HA17" i="8" s="1"/>
  <c r="FZ20" i="8"/>
  <c r="GA20" i="8" s="1"/>
  <c r="FZ21" i="8"/>
  <c r="GA21" i="8" s="1"/>
  <c r="GZ14" i="8"/>
  <c r="HA14" i="8" s="1"/>
  <c r="H634" i="18"/>
  <c r="F580" i="18"/>
  <c r="CK8" i="8"/>
  <c r="CL8" i="8" s="1"/>
  <c r="FZ22" i="8"/>
  <c r="GA22" i="8" s="1"/>
  <c r="GZ16" i="8"/>
  <c r="HA16" i="8" s="1"/>
  <c r="GZ20" i="8"/>
  <c r="HA20" i="8" s="1"/>
  <c r="FZ26" i="8"/>
  <c r="GA26" i="8" s="1"/>
  <c r="GZ21" i="8"/>
  <c r="HA21" i="8" s="1"/>
  <c r="GZ22" i="8"/>
  <c r="HA22" i="8" s="1"/>
  <c r="FZ8" i="8"/>
  <c r="GA8" i="8" s="1"/>
  <c r="GZ19" i="8"/>
  <c r="HA19" i="8" s="1"/>
  <c r="FZ24" i="8"/>
  <c r="GA24" i="8" s="1"/>
  <c r="GZ18" i="8"/>
  <c r="HA18" i="8" s="1"/>
  <c r="FZ23" i="8"/>
  <c r="GA23" i="8" s="1"/>
  <c r="FZ25" i="8"/>
  <c r="GA25" i="8" s="1"/>
  <c r="GZ24" i="8"/>
  <c r="FZ28" i="8"/>
  <c r="FZ27" i="8"/>
  <c r="GA27" i="8" s="1"/>
  <c r="FZ29" i="8"/>
  <c r="H104" i="6"/>
  <c r="P20" i="18"/>
  <c r="BM11" i="30"/>
  <c r="BO11" i="30" s="1"/>
  <c r="S634" i="18"/>
  <c r="FZ50" i="8"/>
  <c r="I615" i="18"/>
  <c r="Y634" i="18"/>
  <c r="GZ55" i="8"/>
  <c r="P480" i="18"/>
  <c r="GZ41" i="8"/>
  <c r="FZ36" i="8"/>
  <c r="K480" i="18"/>
  <c r="X265" i="18"/>
  <c r="Z265" i="18"/>
  <c r="GZ32" i="8"/>
  <c r="G480" i="18"/>
  <c r="I247" i="18"/>
  <c r="AG265" i="18"/>
  <c r="Q321" i="18"/>
  <c r="W634" i="18"/>
  <c r="AA265" i="18"/>
  <c r="GZ61" i="8"/>
  <c r="GZ34" i="8"/>
  <c r="FZ60" i="8"/>
  <c r="AB265" i="18"/>
  <c r="GZ56" i="8"/>
  <c r="L321" i="18"/>
  <c r="K303" i="18"/>
  <c r="K580" i="18"/>
  <c r="J480" i="18"/>
  <c r="Q265" i="18"/>
  <c r="GZ49" i="8"/>
  <c r="Y265" i="18"/>
  <c r="V265" i="18"/>
  <c r="AD265" i="18"/>
  <c r="W265" i="18"/>
  <c r="FZ43" i="8"/>
  <c r="FZ42" i="8"/>
  <c r="GZ25" i="8"/>
  <c r="GZ48" i="8"/>
  <c r="M247" i="18"/>
  <c r="GZ33" i="8"/>
  <c r="FZ57" i="8"/>
  <c r="I321" i="18"/>
  <c r="L615" i="18"/>
  <c r="AA634" i="18"/>
  <c r="FZ40" i="8"/>
  <c r="H480" i="18"/>
  <c r="I480" i="18"/>
  <c r="I634" i="18"/>
  <c r="GZ44" i="8"/>
  <c r="T265" i="18"/>
  <c r="U265" i="18"/>
  <c r="P265" i="18"/>
  <c r="FZ48" i="8"/>
  <c r="K265" i="18"/>
  <c r="FZ52" i="8"/>
  <c r="AE634" i="18"/>
  <c r="GZ64" i="8"/>
  <c r="M321" i="18"/>
  <c r="N321" i="18"/>
  <c r="M399" i="18"/>
  <c r="FZ32" i="8"/>
  <c r="AB634" i="18"/>
  <c r="J580" i="18"/>
  <c r="O480" i="18"/>
  <c r="R634" i="18"/>
  <c r="K615" i="18"/>
  <c r="K321" i="18"/>
  <c r="FZ62" i="8"/>
  <c r="FZ37" i="8"/>
  <c r="FZ49" i="8"/>
  <c r="GZ52" i="8"/>
  <c r="U634" i="18"/>
  <c r="Q480" i="18"/>
  <c r="S265" i="18"/>
  <c r="AE265" i="18"/>
  <c r="J303" i="18"/>
  <c r="N634" i="18"/>
  <c r="K247" i="18"/>
  <c r="AG634" i="18"/>
  <c r="H615" i="18"/>
  <c r="GZ45" i="8"/>
  <c r="GZ28" i="8"/>
  <c r="FZ59" i="8"/>
  <c r="GZ27" i="8"/>
  <c r="J265" i="18"/>
  <c r="I265" i="18"/>
  <c r="AC265" i="18"/>
  <c r="FZ41" i="8"/>
  <c r="P634" i="18"/>
  <c r="I303" i="18"/>
  <c r="O265" i="18"/>
  <c r="H399" i="18"/>
  <c r="M480" i="18"/>
  <c r="K399" i="18"/>
  <c r="R265" i="18"/>
  <c r="GZ72" i="8"/>
  <c r="Z634" i="18"/>
  <c r="GZ51" i="8"/>
  <c r="GZ68" i="8"/>
  <c r="GZ62" i="8"/>
  <c r="J399" i="18"/>
  <c r="GZ36" i="8"/>
  <c r="GZ29" i="8"/>
  <c r="I580" i="18"/>
  <c r="R321" i="18"/>
  <c r="GZ70" i="8"/>
  <c r="M634" i="18"/>
  <c r="O634" i="18"/>
  <c r="AC634" i="18"/>
  <c r="GZ63" i="8"/>
  <c r="AF634" i="18"/>
  <c r="FZ56" i="8"/>
  <c r="FZ39" i="8"/>
  <c r="GZ35" i="8"/>
  <c r="GZ38" i="8"/>
  <c r="L247" i="18"/>
  <c r="FZ33" i="8"/>
  <c r="GZ59" i="8"/>
  <c r="GZ40" i="8"/>
  <c r="AF265" i="18"/>
  <c r="FZ31" i="8"/>
  <c r="FZ30" i="8"/>
  <c r="GZ30" i="8"/>
  <c r="FZ45" i="8"/>
  <c r="H580" i="18"/>
  <c r="GZ57" i="8"/>
  <c r="GZ67" i="8"/>
  <c r="GZ66" i="8"/>
  <c r="GZ26" i="8"/>
  <c r="FZ58" i="8"/>
  <c r="FZ51" i="8"/>
  <c r="FZ55" i="8"/>
  <c r="V634" i="18"/>
  <c r="N265" i="18"/>
  <c r="N480" i="18"/>
  <c r="FZ44" i="8"/>
  <c r="GZ39" i="8"/>
  <c r="GZ31" i="8"/>
  <c r="P321" i="18"/>
  <c r="O321" i="18"/>
  <c r="AD634" i="18"/>
  <c r="X634" i="18"/>
  <c r="FZ61" i="8"/>
  <c r="GZ50" i="8"/>
  <c r="GZ47" i="8"/>
  <c r="GZ71" i="8"/>
  <c r="HA71" i="8" s="1"/>
  <c r="FZ54" i="8"/>
  <c r="R480" i="18"/>
  <c r="GZ65" i="8"/>
  <c r="J634" i="18"/>
  <c r="T634" i="18"/>
  <c r="GZ60" i="8"/>
  <c r="K634" i="18"/>
  <c r="G615" i="18"/>
  <c r="I399" i="18"/>
  <c r="FZ46" i="8"/>
  <c r="GZ58" i="8"/>
  <c r="GZ42" i="8"/>
  <c r="J247" i="18"/>
  <c r="FZ34" i="8"/>
  <c r="FZ47" i="8"/>
  <c r="H436" i="18"/>
  <c r="Q634" i="18"/>
  <c r="M615" i="18"/>
  <c r="FZ38" i="8"/>
  <c r="GZ69" i="8"/>
  <c r="L399" i="18"/>
  <c r="GZ54" i="8"/>
  <c r="G580" i="18"/>
  <c r="L634" i="18"/>
  <c r="L303" i="18"/>
  <c r="J615" i="18"/>
  <c r="L480" i="18"/>
  <c r="M303" i="18"/>
  <c r="M265" i="18"/>
  <c r="FZ53" i="8"/>
  <c r="J321" i="18"/>
  <c r="GZ46" i="8"/>
  <c r="GZ43" i="8"/>
  <c r="GZ37" i="8"/>
  <c r="M580" i="18"/>
  <c r="FZ35" i="8"/>
  <c r="GZ53" i="8"/>
  <c r="L265" i="18"/>
  <c r="L580" i="18"/>
  <c r="H8" i="5"/>
  <c r="L7" i="5"/>
  <c r="D23" i="30"/>
  <c r="D23" i="8"/>
  <c r="H25" i="6"/>
  <c r="G26" i="6" s="1"/>
  <c r="L24" i="6"/>
  <c r="G56" i="14"/>
  <c r="D163" i="14"/>
  <c r="F74" i="14"/>
  <c r="F251" i="14"/>
  <c r="AJ311" i="6" a="1"/>
  <c r="G163" i="14"/>
  <c r="AE311" i="6" a="1"/>
  <c r="P91" i="14"/>
  <c r="G251" i="14"/>
  <c r="E127" i="14"/>
  <c r="I91" i="14"/>
  <c r="D143" i="14"/>
  <c r="O56" i="14"/>
  <c r="K181" i="14"/>
  <c r="I181" i="14"/>
  <c r="F127" i="14"/>
  <c r="O91" i="14"/>
  <c r="H56" i="14"/>
  <c r="E17" i="18" a="1"/>
  <c r="P56" i="14"/>
  <c r="I56" i="14"/>
  <c r="AG311" i="6" a="1"/>
  <c r="AL311" i="6" a="1"/>
  <c r="H143" i="14"/>
  <c r="E143" i="14"/>
  <c r="Y238" i="5"/>
  <c r="L91" i="14"/>
  <c r="I251" i="14"/>
  <c r="J181" i="14"/>
  <c r="J251" i="14"/>
  <c r="E74" i="14"/>
  <c r="L181" i="14"/>
  <c r="D127" i="14"/>
  <c r="AK311" i="6" a="1"/>
  <c r="H127" i="14"/>
  <c r="D74" i="14"/>
  <c r="F143" i="14"/>
  <c r="K163" i="14"/>
  <c r="E163" i="14"/>
  <c r="F17" i="18" a="1"/>
  <c r="H74" i="14"/>
  <c r="E251" i="14"/>
  <c r="N91" i="14"/>
  <c r="AF238" i="5"/>
  <c r="H17" i="18" a="1"/>
  <c r="I17" i="18" a="1"/>
  <c r="F181" i="14"/>
  <c r="L56" i="14"/>
  <c r="D198" i="14"/>
  <c r="F163" i="14"/>
  <c r="G143" i="14"/>
  <c r="N56" i="14"/>
  <c r="D251" i="14"/>
  <c r="K251" i="14"/>
  <c r="M181" i="14"/>
  <c r="AI311" i="6" a="1"/>
  <c r="D215" i="14"/>
  <c r="AC238" i="5"/>
  <c r="AF311" i="6" a="1"/>
  <c r="AG238" i="5"/>
  <c r="AA238" i="5"/>
  <c r="AD311" i="6" a="1"/>
  <c r="H91" i="14"/>
  <c r="J17" i="18" a="1"/>
  <c r="G127" i="14"/>
  <c r="G74" i="14"/>
  <c r="D17" i="18" a="1"/>
  <c r="I163" i="14"/>
  <c r="D181" i="14"/>
  <c r="K91" i="14"/>
  <c r="M56" i="14"/>
  <c r="G181" i="14"/>
  <c r="J163" i="14"/>
  <c r="J91" i="14"/>
  <c r="E181" i="14"/>
  <c r="G17" i="18" a="1"/>
  <c r="H251" i="14"/>
  <c r="AB238" i="5"/>
  <c r="H181" i="14"/>
  <c r="AE238" i="5"/>
  <c r="Z238" i="5"/>
  <c r="AM311" i="6" a="1"/>
  <c r="M91" i="14"/>
  <c r="AD238" i="5"/>
  <c r="G91" i="14"/>
  <c r="K56" i="14"/>
  <c r="AH311" i="6" a="1"/>
  <c r="J56" i="14"/>
  <c r="H163" i="14"/>
  <c r="AH238" i="5"/>
  <c r="F13" i="35" l="1"/>
  <c r="E13" i="35"/>
  <c r="D14" i="35" s="1"/>
  <c r="D217" i="14"/>
  <c r="I183" i="14"/>
  <c r="I184" i="14" s="1"/>
  <c r="H58" i="14"/>
  <c r="H59" i="14" s="1"/>
  <c r="AM311" i="6"/>
  <c r="AM313" i="6" s="1"/>
  <c r="AM314" i="6" s="1"/>
  <c r="AM315" i="6" s="1"/>
  <c r="G17" i="18"/>
  <c r="G19" i="18" s="1"/>
  <c r="G20" i="18" s="1"/>
  <c r="N93" i="14"/>
  <c r="N94" i="14" s="1"/>
  <c r="D76" i="14"/>
  <c r="D77" i="14" s="1"/>
  <c r="F145" i="14"/>
  <c r="F146" i="14" s="1"/>
  <c r="G253" i="14"/>
  <c r="G254" i="14" s="1"/>
  <c r="G145" i="14"/>
  <c r="G146" i="14" s="1"/>
  <c r="H129" i="14"/>
  <c r="H130" i="14" s="1"/>
  <c r="J183" i="14"/>
  <c r="J184" i="14" s="1"/>
  <c r="H76" i="14"/>
  <c r="H77" i="14" s="1"/>
  <c r="AG311" i="6"/>
  <c r="AG313" i="6" s="1"/>
  <c r="AG314" i="6" s="1"/>
  <c r="AG315" i="6" s="1"/>
  <c r="E17" i="18"/>
  <c r="E19" i="18" s="1"/>
  <c r="E20" i="18" s="1"/>
  <c r="E165" i="14"/>
  <c r="E166" i="14" s="1"/>
  <c r="F129" i="14"/>
  <c r="F130" i="14" s="1"/>
  <c r="M93" i="14"/>
  <c r="M94" i="14" s="1"/>
  <c r="O58" i="14"/>
  <c r="O59" i="14" s="1"/>
  <c r="F253" i="14"/>
  <c r="F254" i="14" s="1"/>
  <c r="K93" i="14"/>
  <c r="K94" i="14" s="1"/>
  <c r="I17" i="18"/>
  <c r="I19" i="18" s="1"/>
  <c r="I20" i="18" s="1"/>
  <c r="J253" i="14"/>
  <c r="J254" i="14" s="1"/>
  <c r="AF311" i="6"/>
  <c r="AF313" i="6" s="1"/>
  <c r="AF314" i="6" s="1"/>
  <c r="AF315" i="6" s="1"/>
  <c r="Z240" i="5"/>
  <c r="Z241" i="5" s="1"/>
  <c r="H145" i="14"/>
  <c r="H146" i="14" s="1"/>
  <c r="H183" i="14"/>
  <c r="H184" i="14" s="1"/>
  <c r="L183" i="14"/>
  <c r="L184" i="14" s="1"/>
  <c r="H93" i="14"/>
  <c r="H94" i="14" s="1"/>
  <c r="I58" i="14"/>
  <c r="I59" i="14" s="1"/>
  <c r="L58" i="14"/>
  <c r="L59" i="14" s="1"/>
  <c r="E253" i="14"/>
  <c r="E254" i="14" s="1"/>
  <c r="AH311" i="6"/>
  <c r="AH313" i="6" s="1"/>
  <c r="AH314" i="6" s="1"/>
  <c r="AH315" i="6" s="1"/>
  <c r="I93" i="14"/>
  <c r="I94" i="14" s="1"/>
  <c r="I165" i="14"/>
  <c r="I166" i="14" s="1"/>
  <c r="AE240" i="5"/>
  <c r="AE241" i="5" s="1"/>
  <c r="AJ311" i="6"/>
  <c r="AJ313" i="6" s="1"/>
  <c r="AJ314" i="6" s="1"/>
  <c r="AJ315" i="6" s="1"/>
  <c r="G58" i="14"/>
  <c r="G59" i="14" s="1"/>
  <c r="K183" i="14"/>
  <c r="K184" i="14" s="1"/>
  <c r="G93" i="14"/>
  <c r="G94" i="14" s="1"/>
  <c r="E183" i="14"/>
  <c r="E184" i="14" s="1"/>
  <c r="H253" i="14"/>
  <c r="H254" i="14" s="1"/>
  <c r="AC240" i="5"/>
  <c r="AC241" i="5" s="1"/>
  <c r="Y240" i="5"/>
  <c r="Y241" i="5" s="1"/>
  <c r="I253" i="14"/>
  <c r="I254" i="14" s="1"/>
  <c r="J165" i="14"/>
  <c r="J166" i="14" s="1"/>
  <c r="G165" i="14"/>
  <c r="G166" i="14" s="1"/>
  <c r="F17" i="18"/>
  <c r="F19" i="18" s="1"/>
  <c r="F20" i="18" s="1"/>
  <c r="AH240" i="5"/>
  <c r="AH241" i="5" s="1"/>
  <c r="D17" i="18"/>
  <c r="D19" i="18" s="1"/>
  <c r="D20" i="18" s="1"/>
  <c r="H165" i="14"/>
  <c r="H166" i="14" s="1"/>
  <c r="E145" i="14"/>
  <c r="E146" i="14" s="1"/>
  <c r="F183" i="14"/>
  <c r="F184" i="14" s="1"/>
  <c r="AE311" i="6"/>
  <c r="AE313" i="6" s="1"/>
  <c r="AE314" i="6" s="1"/>
  <c r="AE315" i="6" s="1"/>
  <c r="E76" i="14"/>
  <c r="E77" i="14" s="1"/>
  <c r="F76" i="14"/>
  <c r="F77" i="14" s="1"/>
  <c r="AL311" i="6"/>
  <c r="AL313" i="6" s="1"/>
  <c r="AL314" i="6" s="1"/>
  <c r="AL315" i="6" s="1"/>
  <c r="AD240" i="5"/>
  <c r="AD241" i="5" s="1"/>
  <c r="L93" i="14"/>
  <c r="L94" i="14" s="1"/>
  <c r="D183" i="14"/>
  <c r="D184" i="14" s="1"/>
  <c r="N58" i="14"/>
  <c r="N59" i="14" s="1"/>
  <c r="P93" i="14"/>
  <c r="P94" i="14" s="1"/>
  <c r="AG240" i="5"/>
  <c r="AG241" i="5" s="1"/>
  <c r="H17" i="18"/>
  <c r="H19" i="18" s="1"/>
  <c r="H20" i="18" s="1"/>
  <c r="AI311" i="6"/>
  <c r="AI313" i="6" s="1"/>
  <c r="D145" i="14"/>
  <c r="D146" i="14" s="1"/>
  <c r="D165" i="14"/>
  <c r="D166" i="14" s="1"/>
  <c r="AD311" i="6"/>
  <c r="AD313" i="6" s="1"/>
  <c r="AD314" i="6" s="1"/>
  <c r="E129" i="14"/>
  <c r="E130" i="14" s="1"/>
  <c r="J93" i="14"/>
  <c r="J94" i="14" s="1"/>
  <c r="AA240" i="5"/>
  <c r="AA241" i="5" s="1"/>
  <c r="AB240" i="5"/>
  <c r="AB241" i="5" s="1"/>
  <c r="G183" i="14"/>
  <c r="G184" i="14" s="1"/>
  <c r="D200" i="14"/>
  <c r="K58" i="14"/>
  <c r="K59" i="14" s="1"/>
  <c r="M58" i="14"/>
  <c r="M59" i="14" s="1"/>
  <c r="J58" i="14"/>
  <c r="J59" i="14" s="1"/>
  <c r="AK311" i="6"/>
  <c r="AK313" i="6" s="1"/>
  <c r="AK314" i="6" s="1"/>
  <c r="AK315" i="6" s="1"/>
  <c r="AF240" i="5"/>
  <c r="AF241" i="5" s="1"/>
  <c r="F165" i="14"/>
  <c r="F166" i="14" s="1"/>
  <c r="K253" i="14"/>
  <c r="K254" i="14" s="1"/>
  <c r="G76" i="14"/>
  <c r="G77" i="14" s="1"/>
  <c r="G129" i="14"/>
  <c r="G130" i="14" s="1"/>
  <c r="K165" i="14"/>
  <c r="K166" i="14" s="1"/>
  <c r="D129" i="14"/>
  <c r="D130" i="14" s="1"/>
  <c r="P58" i="14"/>
  <c r="P59" i="14" s="1"/>
  <c r="O93" i="14"/>
  <c r="O94" i="14" s="1"/>
  <c r="D253" i="14"/>
  <c r="D254" i="14" s="1"/>
  <c r="J17" i="18"/>
  <c r="J19" i="18" s="1"/>
  <c r="J20" i="18" s="1"/>
  <c r="M183" i="14"/>
  <c r="M184" i="14" s="1"/>
  <c r="D636" i="18"/>
  <c r="D637" i="18"/>
  <c r="M583" i="18"/>
  <c r="L618" i="18"/>
  <c r="N583" i="18"/>
  <c r="M618" i="18"/>
  <c r="C583" i="18"/>
  <c r="O583" i="18"/>
  <c r="N618" i="18"/>
  <c r="D583" i="18"/>
  <c r="C618" i="18"/>
  <c r="O618" i="18"/>
  <c r="E583" i="18"/>
  <c r="D618" i="18"/>
  <c r="F583" i="18"/>
  <c r="E618" i="18"/>
  <c r="I618" i="18"/>
  <c r="G583" i="18"/>
  <c r="F618" i="18"/>
  <c r="H583" i="18"/>
  <c r="G618" i="18"/>
  <c r="I583" i="18"/>
  <c r="H618" i="18"/>
  <c r="J583" i="18"/>
  <c r="K583" i="18"/>
  <c r="J618" i="18"/>
  <c r="L583" i="18"/>
  <c r="K618" i="18"/>
  <c r="G636" i="18"/>
  <c r="G637" i="18"/>
  <c r="F636" i="18"/>
  <c r="F637" i="18"/>
  <c r="E636" i="18"/>
  <c r="E637" i="18"/>
  <c r="BM12" i="30"/>
  <c r="BN12" i="30" s="1"/>
  <c r="BN11" i="30"/>
  <c r="G9" i="5"/>
  <c r="D24" i="30"/>
  <c r="D24" i="8"/>
  <c r="H26" i="6"/>
  <c r="G27" i="6" s="1"/>
  <c r="L25" i="6"/>
  <c r="HM26" i="8" a="1"/>
  <c r="DM12" i="30" a="1"/>
  <c r="DM30" i="30" a="1"/>
  <c r="DM18" i="30" a="1"/>
  <c r="IY25" i="8" a="1"/>
  <c r="DM31" i="30" a="1"/>
  <c r="DM41" i="30" a="1"/>
  <c r="DZ47" i="30" a="1"/>
  <c r="CY12" i="30" a="1"/>
  <c r="DM28" i="30" a="1"/>
  <c r="DZ8" i="30" a="1"/>
  <c r="DM32" i="30" a="1"/>
  <c r="DM37" i="30" a="1"/>
  <c r="DM10" i="30" a="1"/>
  <c r="DM26" i="30" a="1"/>
  <c r="IY24" i="8" a="1"/>
  <c r="IY17" i="8" a="1"/>
  <c r="DM40" i="30" a="1"/>
  <c r="DM36" i="30" a="1"/>
  <c r="DM22" i="30" a="1"/>
  <c r="IY16" i="8" a="1"/>
  <c r="IY22" i="8" a="1"/>
  <c r="IY26" i="8" a="1"/>
  <c r="DM9" i="30" a="1"/>
  <c r="DM14" i="30" a="1"/>
  <c r="DM34" i="30" a="1"/>
  <c r="DM38" i="30" a="1"/>
  <c r="DM25" i="30" a="1"/>
  <c r="IY9" i="8" a="1"/>
  <c r="DM47" i="30" a="1"/>
  <c r="IY21" i="8" a="1"/>
  <c r="DM42" i="30" a="1"/>
  <c r="DM35" i="30" a="1"/>
  <c r="IY28" i="8" a="1"/>
  <c r="DM20" i="30" a="1"/>
  <c r="IY13" i="8" a="1"/>
  <c r="DM19" i="30" a="1"/>
  <c r="IY12" i="8" a="1"/>
  <c r="DM21" i="30" a="1"/>
  <c r="DM8" i="30" a="1"/>
  <c r="DM16" i="30" a="1"/>
  <c r="IY11" i="8" a="1"/>
  <c r="IY27" i="8" a="1"/>
  <c r="IY18" i="8" a="1"/>
  <c r="DM13" i="30" a="1"/>
  <c r="IY23" i="8" a="1"/>
  <c r="DM39" i="30" a="1"/>
  <c r="IY20" i="8" a="1"/>
  <c r="DM15" i="30" a="1"/>
  <c r="DM11" i="30" a="1"/>
  <c r="IY19" i="8" a="1"/>
  <c r="IY14" i="8" a="1"/>
  <c r="DM27" i="30" a="1"/>
  <c r="IY10" i="8" a="1"/>
  <c r="DM33" i="30" a="1"/>
  <c r="CY11" i="30" a="1"/>
  <c r="DM24" i="30" a="1"/>
  <c r="IY15" i="8" a="1"/>
  <c r="DM43" i="30" a="1"/>
  <c r="DM29" i="30" a="1"/>
  <c r="DM23" i="30" a="1"/>
  <c r="DM17" i="30" a="1"/>
  <c r="E14" i="35" l="1"/>
  <c r="D15" i="35" s="1"/>
  <c r="F14" i="35"/>
  <c r="IY9" i="8"/>
  <c r="IZ9" i="8" s="1"/>
  <c r="IY10" i="8"/>
  <c r="IZ10" i="8" s="1"/>
  <c r="IY11" i="8"/>
  <c r="IZ11" i="8" s="1"/>
  <c r="DM10" i="30"/>
  <c r="DN10" i="30" s="1"/>
  <c r="CY12" i="30"/>
  <c r="CZ12" i="30" s="1"/>
  <c r="DZ8" i="30"/>
  <c r="DM8" i="30"/>
  <c r="DN8" i="30" s="1"/>
  <c r="CY11" i="30"/>
  <c r="CZ11" i="30" s="1"/>
  <c r="DM9" i="30"/>
  <c r="DN9" i="30" s="1"/>
  <c r="DZ47" i="30"/>
  <c r="IY12" i="8"/>
  <c r="IZ12" i="8" s="1"/>
  <c r="IY13" i="8"/>
  <c r="IZ13" i="8" s="1"/>
  <c r="IY14" i="8"/>
  <c r="IZ14" i="8" s="1"/>
  <c r="IY15" i="8"/>
  <c r="IZ15" i="8" s="1"/>
  <c r="IY16" i="8"/>
  <c r="IZ16" i="8" s="1"/>
  <c r="IY17" i="8"/>
  <c r="IZ17" i="8" s="1"/>
  <c r="IY18" i="8"/>
  <c r="IZ18" i="8" s="1"/>
  <c r="IY19" i="8"/>
  <c r="IZ19" i="8" s="1"/>
  <c r="IY20" i="8"/>
  <c r="IZ20" i="8" s="1"/>
  <c r="IY21" i="8"/>
  <c r="IZ21" i="8" s="1"/>
  <c r="IY22" i="8"/>
  <c r="IZ22" i="8" s="1"/>
  <c r="IY23" i="8"/>
  <c r="IZ23" i="8" s="1"/>
  <c r="IY24" i="8"/>
  <c r="IZ24" i="8" s="1"/>
  <c r="IY25" i="8"/>
  <c r="IZ25" i="8" s="1"/>
  <c r="IY26" i="8"/>
  <c r="IZ26" i="8" s="1"/>
  <c r="IY27" i="8"/>
  <c r="IZ27" i="8" s="1"/>
  <c r="IY28" i="8"/>
  <c r="IZ28" i="8" s="1"/>
  <c r="DM47" i="30"/>
  <c r="DM42" i="30"/>
  <c r="DN42" i="30" s="1"/>
  <c r="DM43" i="30"/>
  <c r="DM39" i="30"/>
  <c r="DN39" i="30" s="1"/>
  <c r="DM19" i="30"/>
  <c r="DN19" i="30" s="1"/>
  <c r="DM11" i="30"/>
  <c r="DN11" i="30" s="1"/>
  <c r="DM12" i="30"/>
  <c r="DN12" i="30" s="1"/>
  <c r="DM13" i="30"/>
  <c r="DN13" i="30" s="1"/>
  <c r="DM14" i="30"/>
  <c r="DN14" i="30" s="1"/>
  <c r="DM15" i="30"/>
  <c r="DN15" i="30" s="1"/>
  <c r="DM16" i="30"/>
  <c r="DN16" i="30" s="1"/>
  <c r="DM17" i="30"/>
  <c r="DN17" i="30" s="1"/>
  <c r="DM18" i="30"/>
  <c r="DN18" i="30" s="1"/>
  <c r="DM20" i="30"/>
  <c r="DN20" i="30" s="1"/>
  <c r="DM21" i="30"/>
  <c r="DN21" i="30" s="1"/>
  <c r="DM22" i="30"/>
  <c r="DN22" i="30" s="1"/>
  <c r="DM23" i="30"/>
  <c r="DN23" i="30" s="1"/>
  <c r="DM24" i="30"/>
  <c r="DN24" i="30" s="1"/>
  <c r="DM25" i="30"/>
  <c r="DN25" i="30" s="1"/>
  <c r="DM26" i="30"/>
  <c r="DN26" i="30" s="1"/>
  <c r="DM27" i="30"/>
  <c r="DN27" i="30" s="1"/>
  <c r="DM28" i="30"/>
  <c r="DN28" i="30" s="1"/>
  <c r="DM29" i="30"/>
  <c r="DN29" i="30" s="1"/>
  <c r="DM30" i="30"/>
  <c r="DN30" i="30" s="1"/>
  <c r="DM31" i="30"/>
  <c r="DN31" i="30" s="1"/>
  <c r="DM32" i="30"/>
  <c r="DN32" i="30" s="1"/>
  <c r="DM33" i="30"/>
  <c r="DN33" i="30" s="1"/>
  <c r="DM34" i="30"/>
  <c r="DN34" i="30" s="1"/>
  <c r="DM35" i="30"/>
  <c r="DN35" i="30" s="1"/>
  <c r="DM36" i="30"/>
  <c r="DN36" i="30" s="1"/>
  <c r="DM37" i="30"/>
  <c r="DN37" i="30" s="1"/>
  <c r="DM38" i="30"/>
  <c r="DN38" i="30" s="1"/>
  <c r="DM40" i="30"/>
  <c r="DN40" i="30" s="1"/>
  <c r="DM41" i="30"/>
  <c r="DN41" i="30" s="1"/>
  <c r="C22" i="18"/>
  <c r="X81" i="2" s="1"/>
  <c r="B81" i="2" s="1"/>
  <c r="C148" i="14"/>
  <c r="HM26" i="8"/>
  <c r="HN26" i="8" s="1"/>
  <c r="C79" i="14"/>
  <c r="C620" i="18"/>
  <c r="C585" i="18"/>
  <c r="AI314" i="6"/>
  <c r="AI318" i="6"/>
  <c r="AI315" i="6"/>
  <c r="D201" i="14"/>
  <c r="E201" i="14"/>
  <c r="C132" i="14"/>
  <c r="D219" i="14"/>
  <c r="C220" i="14" s="1"/>
  <c r="D218" i="14"/>
  <c r="E218" i="14"/>
  <c r="BM13" i="30"/>
  <c r="BN13" i="30" s="1"/>
  <c r="L8" i="5"/>
  <c r="H9" i="5"/>
  <c r="H27" i="6"/>
  <c r="G28" i="6" s="1"/>
  <c r="L26" i="6"/>
  <c r="E15" i="35" l="1"/>
  <c r="D16" i="35" s="1"/>
  <c r="F15" i="35"/>
  <c r="CZ13" i="30"/>
  <c r="X416" i="2" s="1"/>
  <c r="B416" i="2" s="1"/>
  <c r="D73" i="34" s="1"/>
  <c r="E73" i="34" s="1"/>
  <c r="EA8" i="30"/>
  <c r="DW3" i="30" s="1"/>
  <c r="IV3" i="8"/>
  <c r="DO42" i="30"/>
  <c r="DN43" i="30"/>
  <c r="DJ3" i="30" s="1"/>
  <c r="X417" i="2" s="1"/>
  <c r="B417" i="2" s="1"/>
  <c r="D286" i="34" s="1"/>
  <c r="E286" i="34" s="1"/>
  <c r="DO43" i="30"/>
  <c r="C23" i="18"/>
  <c r="C203" i="14"/>
  <c r="E203" i="14"/>
  <c r="BM14" i="30"/>
  <c r="BN14" i="30" s="1"/>
  <c r="G10" i="5"/>
  <c r="H28" i="6"/>
  <c r="G29" i="6" s="1"/>
  <c r="L27" i="6"/>
  <c r="X118" i="5"/>
  <c r="EZ18" i="8" a="1"/>
  <c r="IM15" i="8" a="1"/>
  <c r="HM12" i="8" a="1"/>
  <c r="W274" i="6" a="1"/>
  <c r="AD200" i="6" a="1"/>
  <c r="U53" i="5"/>
  <c r="BY20" i="30" a="1"/>
  <c r="R56" i="14"/>
  <c r="P27" i="8" a="1"/>
  <c r="DZ24" i="8" a="1"/>
  <c r="BY35" i="8" a="1"/>
  <c r="W10" i="5"/>
  <c r="U75" i="5"/>
  <c r="BY13" i="30" a="1"/>
  <c r="U95" i="5"/>
  <c r="IA19" i="8" a="1"/>
  <c r="FM12" i="8" a="1"/>
  <c r="AB62" i="8" a="1"/>
  <c r="CK28" i="8" a="1"/>
  <c r="Q91" i="14"/>
  <c r="HM23" i="8" a="1"/>
  <c r="DZ22" i="8" a="1"/>
  <c r="Z258" i="5"/>
  <c r="IM14" i="8" a="1"/>
  <c r="X124" i="6" a="1"/>
  <c r="Q181" i="14"/>
  <c r="AI256" i="6" a="1"/>
  <c r="W68" i="6" a="1"/>
  <c r="BL36" i="8" a="1"/>
  <c r="Z68" i="6" a="1"/>
  <c r="CK26" i="8" a="1"/>
  <c r="BY37" i="8" a="1"/>
  <c r="AC258" i="5"/>
  <c r="BY32" i="8" a="1"/>
  <c r="FM13" i="8" a="1"/>
  <c r="FM23" i="8" a="1"/>
  <c r="T139" i="5"/>
  <c r="CW13" i="8" a="1"/>
  <c r="V143" i="6" a="1"/>
  <c r="AD53" i="5"/>
  <c r="GZ8" i="8" a="1"/>
  <c r="AA143" i="6" a="1"/>
  <c r="AG124" i="6" a="1"/>
  <c r="Z200" i="6" a="1"/>
  <c r="Y30" i="5"/>
  <c r="AB75" i="5"/>
  <c r="AZ56" i="8" a="1"/>
  <c r="IM34" i="8" a="1"/>
  <c r="FZ19" i="8" a="1"/>
  <c r="W256" i="6" a="1"/>
  <c r="BL58" i="8" a="1"/>
  <c r="DZ33" i="8" a="1"/>
  <c r="FZ10" i="8" a="1"/>
  <c r="AB66" i="8" a="1"/>
  <c r="AC49" i="6" a="1"/>
  <c r="Y75" i="5"/>
  <c r="AE139" i="5"/>
  <c r="AA200" i="6" a="1"/>
  <c r="CW24" i="8" a="1"/>
  <c r="AF197" i="5"/>
  <c r="AG95" i="5"/>
  <c r="T316" i="5"/>
  <c r="AZ49" i="8" a="1"/>
  <c r="CK19" i="30" a="1"/>
  <c r="IA20" i="8" a="1"/>
  <c r="IM24" i="8" a="1"/>
  <c r="BY31" i="8" a="1"/>
  <c r="BL45" i="8" a="1"/>
  <c r="AZ48" i="8" a="1"/>
  <c r="CK11" i="30" a="1"/>
  <c r="CK11" i="8" a="1"/>
  <c r="AB124" i="6" a="1"/>
  <c r="BY17" i="30" a="1"/>
  <c r="AG143" i="6" a="1"/>
  <c r="DZ28" i="8" a="1"/>
  <c r="EL16" i="8" a="1"/>
  <c r="Z75" i="5"/>
  <c r="EL10" i="8" a="1"/>
  <c r="GZ10" i="8" a="1"/>
  <c r="Y219" i="6" a="1"/>
  <c r="AB159" i="5"/>
  <c r="BL37" i="8" a="1"/>
  <c r="DZ23" i="8" a="1"/>
  <c r="FZ9" i="8" a="1"/>
  <c r="AB162" i="6" a="1"/>
  <c r="DZ34" i="8" a="1"/>
  <c r="U68" i="6" a="1"/>
  <c r="AH274" i="6" a="1"/>
  <c r="AC95" i="5"/>
  <c r="Z159" i="5"/>
  <c r="HM13" i="8" a="1"/>
  <c r="AB256" i="6" a="1"/>
  <c r="IM17" i="8" a="1"/>
  <c r="IM23" i="8" a="1"/>
  <c r="X256" i="6" a="1"/>
  <c r="BL57" i="8" a="1"/>
  <c r="GZ12" i="8" a="1"/>
  <c r="CK20" i="8" a="1"/>
  <c r="BY9" i="8" a="1"/>
  <c r="CK24" i="8" a="1"/>
  <c r="IM25" i="8" a="1"/>
  <c r="IA17" i="8" a="1"/>
  <c r="Y292" i="6" a="1"/>
  <c r="BY27" i="8" a="1"/>
  <c r="CK25" i="30" a="1"/>
  <c r="AD159" i="5"/>
  <c r="AA95" i="5"/>
  <c r="HM14" i="8" a="1"/>
  <c r="AF216" i="5"/>
  <c r="W216" i="5"/>
  <c r="IM28" i="8" a="1"/>
  <c r="AB60" i="8" a="1"/>
  <c r="AB64" i="8" a="1"/>
  <c r="EL17" i="8" a="1"/>
  <c r="FM15" i="8" a="1"/>
  <c r="AE124" i="6" a="1"/>
  <c r="FM9" i="8" a="1"/>
  <c r="T30" i="5"/>
  <c r="EZ12" i="8" a="1"/>
  <c r="T159" i="5"/>
  <c r="AG219" i="6" a="1"/>
  <c r="AR311" i="6"/>
  <c r="DZ41" i="8" a="1"/>
  <c r="EL12" i="8" a="1"/>
  <c r="BL50" i="8" a="1"/>
  <c r="Y162" i="6" a="1"/>
  <c r="AA181" i="6" a="1"/>
  <c r="IM16" i="8" a="1"/>
  <c r="V159" i="5"/>
  <c r="AB139" i="5"/>
  <c r="EL20" i="8" a="1"/>
  <c r="L251" i="14"/>
  <c r="CW28" i="8" a="1"/>
  <c r="Z216" i="5"/>
  <c r="DN10" i="8" a="1"/>
  <c r="V162" i="6" a="1"/>
  <c r="DZ21" i="8" a="1"/>
  <c r="DZ30" i="8" a="1"/>
  <c r="AD162" i="6" a="1"/>
  <c r="Z274" i="6" a="1"/>
  <c r="DZ29" i="8" a="1"/>
  <c r="M163" i="14"/>
  <c r="AA53" i="5"/>
  <c r="Z139" i="5"/>
  <c r="FM10" i="8" a="1"/>
  <c r="IM21" i="8" a="1"/>
  <c r="AA162" i="6" a="1"/>
  <c r="T197" i="5"/>
  <c r="AF219" i="6" a="1"/>
  <c r="IM22" i="8" a="1"/>
  <c r="CK14" i="8" a="1"/>
  <c r="IM30" i="8" a="1"/>
  <c r="AG216" i="5"/>
  <c r="U274" i="6" a="1"/>
  <c r="AG256" i="6" a="1"/>
  <c r="M251" i="14"/>
  <c r="BY30" i="8" a="1"/>
  <c r="V200" i="6" a="1"/>
  <c r="EZ21" i="8" a="1"/>
  <c r="AE219" i="6" a="1"/>
  <c r="AZ61" i="8" a="1"/>
  <c r="HM16" i="8" a="1"/>
  <c r="V197" i="5"/>
  <c r="V75" i="5"/>
  <c r="EZ16" i="8" a="1"/>
  <c r="BL53" i="8" a="1"/>
  <c r="EL22" i="8" a="1"/>
  <c r="DN9" i="8" a="1"/>
  <c r="HM11" i="8" a="1"/>
  <c r="BY18" i="30" a="1"/>
  <c r="AH219" i="6" a="1"/>
  <c r="AC274" i="6" a="1"/>
  <c r="AG10" i="5"/>
  <c r="V124" i="6" a="1"/>
  <c r="IA12" i="8" a="1"/>
  <c r="V297" i="5"/>
  <c r="AA330" i="6" a="1"/>
  <c r="T95" i="5"/>
  <c r="IM10" i="8" a="1"/>
  <c r="CW10" i="8" a="1"/>
  <c r="DZ32" i="8" a="1"/>
  <c r="U29" i="6" a="1"/>
  <c r="FZ12" i="8" a="1"/>
  <c r="AD216" i="5"/>
  <c r="CK13" i="30" a="1"/>
  <c r="EZ23" i="8" a="1"/>
  <c r="V105" i="6" a="1"/>
  <c r="FM20" i="8" a="1"/>
  <c r="AE10" i="5"/>
  <c r="CW23" i="8" a="1"/>
  <c r="R251" i="14"/>
  <c r="IM31" i="8" a="1"/>
  <c r="Y95" i="5"/>
  <c r="CK22" i="8" a="1"/>
  <c r="BY8" i="30" a="1"/>
  <c r="X53" i="5"/>
  <c r="CW21" i="8" a="1"/>
  <c r="V292" i="6" a="1"/>
  <c r="AE95" i="5"/>
  <c r="AB181" i="6" a="1"/>
  <c r="U216" i="5"/>
  <c r="V181" i="6" a="1"/>
  <c r="IM32" i="8" a="1"/>
  <c r="DN11" i="8" a="1"/>
  <c r="AB10" i="6" a="1"/>
  <c r="W53" i="5"/>
  <c r="W10" i="6" a="1"/>
  <c r="AE216" i="5"/>
  <c r="BY19" i="30" a="1"/>
  <c r="AI49" i="6" a="1"/>
  <c r="IA15" i="8" a="1"/>
  <c r="Z118" i="5"/>
  <c r="AE256" i="6" a="1"/>
  <c r="HM38" i="8" a="1"/>
  <c r="V118" i="5"/>
  <c r="AC143" i="6" a="1"/>
  <c r="Y274" i="6" a="1"/>
  <c r="V53" i="5"/>
  <c r="X238" i="6" a="1"/>
  <c r="EL8" i="8" a="1"/>
  <c r="W118" i="5"/>
  <c r="Z330" i="6" a="1"/>
  <c r="W238" i="6" a="1"/>
  <c r="BY13" i="8" a="1"/>
  <c r="BY10" i="8" a="1"/>
  <c r="HM39" i="8" a="1"/>
  <c r="X162" i="6" a="1"/>
  <c r="DZ42" i="8" a="1"/>
  <c r="AD143" i="6" a="1"/>
  <c r="CW27" i="8" a="1"/>
  <c r="FM26" i="8" a="1"/>
  <c r="FZ11" i="8" a="1"/>
  <c r="CK19" i="8" a="1"/>
  <c r="CW12" i="8" a="1"/>
  <c r="AD30" i="5"/>
  <c r="X181" i="6" a="1"/>
  <c r="AF75" i="5"/>
  <c r="HM21" i="8" a="1"/>
  <c r="EZ14" i="8" a="1"/>
  <c r="CK9" i="8" a="1"/>
  <c r="AF124" i="6" a="1"/>
  <c r="BL33" i="8" a="1"/>
  <c r="Y216" i="5"/>
  <c r="AZ47" i="8" a="1"/>
  <c r="AG30" i="5"/>
  <c r="AZ60" i="8" a="1"/>
  <c r="W105" i="6" a="1"/>
  <c r="BL59" i="8" a="1"/>
  <c r="T53" i="5"/>
  <c r="BY9" i="30" a="1"/>
  <c r="BL42" i="8" a="1"/>
  <c r="AE297" i="5"/>
  <c r="BY29" i="8" a="1"/>
  <c r="U10" i="5"/>
  <c r="BL47" i="8" a="1"/>
  <c r="HM35" i="8" a="1"/>
  <c r="CW11" i="8" a="1"/>
  <c r="CW26" i="8" a="1"/>
  <c r="AB216" i="5"/>
  <c r="L163" i="14"/>
  <c r="AB67" i="8" a="1"/>
  <c r="BY16" i="30" a="1"/>
  <c r="Y297" i="5"/>
  <c r="V10" i="5"/>
  <c r="CW17" i="8" a="1"/>
  <c r="AA49" i="6" a="1"/>
  <c r="AA124" i="6" a="1"/>
  <c r="AQ311" i="6"/>
  <c r="W95" i="5"/>
  <c r="Z181" i="6" a="1"/>
  <c r="FM19" i="8" a="1"/>
  <c r="IA11" i="8" a="1"/>
  <c r="CK14" i="30" a="1"/>
  <c r="P251" i="14"/>
  <c r="AD49" i="6" a="1"/>
  <c r="BL62" i="8" a="1"/>
  <c r="BL48" i="8" a="1"/>
  <c r="AZ46" i="8" a="1"/>
  <c r="AE159" i="5"/>
  <c r="DZ36" i="8" a="1"/>
  <c r="AI274" i="6" a="1"/>
  <c r="AC139" i="5"/>
  <c r="EL19" i="8" a="1"/>
  <c r="IM36" i="8" a="1"/>
  <c r="IM41" i="8" a="1"/>
  <c r="AC10" i="6" a="1"/>
  <c r="X258" i="5"/>
  <c r="W181" i="6" a="1"/>
  <c r="Y124" i="6" a="1"/>
  <c r="W200" i="6" a="1"/>
  <c r="HM24" i="8" a="1"/>
  <c r="BY38" i="8" a="1"/>
  <c r="U143" i="6" a="1"/>
  <c r="AH143" i="6" a="1"/>
  <c r="AZ51" i="8" a="1"/>
  <c r="U197" i="5"/>
  <c r="AZ54" i="8" a="1"/>
  <c r="V139" i="5"/>
  <c r="AB200" i="6" a="1"/>
  <c r="W75" i="5"/>
  <c r="X95" i="5"/>
  <c r="AG139" i="5"/>
  <c r="IM8" i="8" a="1"/>
  <c r="BY15" i="30" a="1"/>
  <c r="AC162" i="6" a="1"/>
  <c r="BY36" i="8" a="1"/>
  <c r="BL39" i="8" a="1"/>
  <c r="AA258" i="5"/>
  <c r="DZ44" i="8" a="1"/>
  <c r="AZ52" i="8" a="1"/>
  <c r="DZ20" i="8" a="1"/>
  <c r="AH95" i="5"/>
  <c r="U49" i="6" a="1"/>
  <c r="X75" i="5"/>
  <c r="AS311" i="6"/>
  <c r="IM20" i="8" a="1"/>
  <c r="AF143" i="6" a="1"/>
  <c r="Y181" i="6" a="1"/>
  <c r="AO311" i="6"/>
  <c r="R91" i="14"/>
  <c r="W292" i="6" a="1"/>
  <c r="U258" i="5"/>
  <c r="AB63" i="8" a="1"/>
  <c r="V238" i="6" a="1"/>
  <c r="R181" i="14"/>
  <c r="Y143" i="6" a="1"/>
  <c r="BY17" i="8" a="1"/>
  <c r="Z143" i="6" a="1"/>
  <c r="Y197" i="5"/>
  <c r="FZ14" i="8" a="1"/>
  <c r="HM20" i="8" a="1"/>
  <c r="IM42" i="8" a="1"/>
  <c r="CK10" i="8" a="1"/>
  <c r="DZ50" i="8" a="1"/>
  <c r="R163" i="14"/>
  <c r="BY8" i="8" a="1"/>
  <c r="HM34" i="8" a="1"/>
  <c r="AF159" i="5"/>
  <c r="HM15" i="8" a="1"/>
  <c r="EL11" i="8" a="1"/>
  <c r="EL18" i="8" a="1"/>
  <c r="V49" i="6" a="1"/>
  <c r="CK10" i="30" a="1"/>
  <c r="DZ39" i="8" a="1"/>
  <c r="Y53" i="5"/>
  <c r="BL40" i="8" a="1"/>
  <c r="Z124" i="6" a="1"/>
  <c r="Z53" i="5"/>
  <c r="AE10" i="6" a="1"/>
  <c r="BY34" i="8" a="1"/>
  <c r="AF95" i="5"/>
  <c r="BY33" i="8" a="1"/>
  <c r="W124" i="6" a="1"/>
  <c r="HM25" i="8" a="1"/>
  <c r="Q251" i="14"/>
  <c r="CW19" i="8" a="1"/>
  <c r="BY14" i="30" a="1"/>
  <c r="AE274" i="6" a="1"/>
  <c r="EL9" i="8" a="1"/>
  <c r="EZ19" i="8" a="1"/>
  <c r="U330" i="6" a="1"/>
  <c r="CW16" i="8" a="1"/>
  <c r="FZ16" i="8" a="1"/>
  <c r="AE143" i="6" a="1"/>
  <c r="FZ18" i="8" a="1"/>
  <c r="DZ45" i="8" a="1"/>
  <c r="U238" i="6" a="1"/>
  <c r="BL34" i="8" a="1"/>
  <c r="IM19" i="8" a="1"/>
  <c r="EZ25" i="8" a="1"/>
  <c r="Y258" i="5"/>
  <c r="W316" i="5"/>
  <c r="AC75" i="5"/>
  <c r="AC53" i="5"/>
  <c r="BY14" i="8" a="1"/>
  <c r="Z297" i="5"/>
  <c r="AA10" i="6" a="1"/>
  <c r="U277" i="5"/>
  <c r="X219" i="6" a="1"/>
  <c r="CK13" i="8" a="1"/>
  <c r="AG197" i="5"/>
  <c r="AB143" i="6" a="1"/>
  <c r="Y238" i="6" a="1"/>
  <c r="AF10" i="6" a="1"/>
  <c r="CK32" i="8" a="1"/>
  <c r="U139" i="5"/>
  <c r="BY15" i="8" a="1"/>
  <c r="AA68" i="6" a="1"/>
  <c r="AF274" i="6" a="1"/>
  <c r="HM30" i="8" a="1"/>
  <c r="IA18" i="8" a="1"/>
  <c r="BY18" i="8" a="1"/>
  <c r="AC181" i="6" a="1"/>
  <c r="X49" i="6" a="1"/>
  <c r="O181" i="14"/>
  <c r="AC216" i="5"/>
  <c r="U200" i="6" a="1"/>
  <c r="CK15" i="8" a="1"/>
  <c r="U162" i="6" a="1"/>
  <c r="Y87" i="6" a="1"/>
  <c r="AD197" i="5"/>
  <c r="DZ31" i="8" a="1"/>
  <c r="CK9" i="30" a="1"/>
  <c r="W162" i="6" a="1"/>
  <c r="AB61" i="8" a="1"/>
  <c r="CK21" i="8" a="1"/>
  <c r="AD274" i="6" a="1"/>
  <c r="IM13" i="8" a="1"/>
  <c r="V274" i="6" a="1"/>
  <c r="W143" i="6" a="1"/>
  <c r="CK17" i="30" a="1"/>
  <c r="P181" i="14"/>
  <c r="U181" i="6" a="1"/>
  <c r="AA274" i="6" a="1"/>
  <c r="BY19" i="8" a="1"/>
  <c r="FM18" i="8" a="1"/>
  <c r="CK15" i="30" a="1"/>
  <c r="W87" i="6" a="1"/>
  <c r="CK33" i="8" a="1"/>
  <c r="AB10" i="5"/>
  <c r="P28" i="8" a="1"/>
  <c r="AH159" i="5"/>
  <c r="GZ15" i="8" a="1"/>
  <c r="AD219" i="6" a="1"/>
  <c r="AI124" i="6" a="1"/>
  <c r="AB30" i="5"/>
  <c r="CW14" i="8" a="1"/>
  <c r="DZ46" i="8" a="1"/>
  <c r="AA139" i="5"/>
  <c r="X87" i="6" a="1"/>
  <c r="O163" i="14"/>
  <c r="AB219" i="6" a="1"/>
  <c r="HM36" i="8" a="1"/>
  <c r="X143" i="6" a="1"/>
  <c r="AE75" i="5"/>
  <c r="IM12" i="8" a="1"/>
  <c r="BL61" i="8" a="1"/>
  <c r="BY11" i="30" a="1"/>
  <c r="CK12" i="30" a="1"/>
  <c r="AD95" i="5"/>
  <c r="Y200" i="6" a="1"/>
  <c r="Z10" i="6" a="1"/>
  <c r="AG159" i="5"/>
  <c r="AH53" i="5"/>
  <c r="EL21" i="8" a="1"/>
  <c r="T75" i="5"/>
  <c r="BL56" i="8" a="1"/>
  <c r="AA216" i="5"/>
  <c r="AG274" i="6" a="1"/>
  <c r="GZ9" i="8" a="1"/>
  <c r="CK18" i="30" a="1"/>
  <c r="AA159" i="5"/>
  <c r="BL52" i="8" a="1"/>
  <c r="X292" i="6" a="1"/>
  <c r="EZ22" i="8" a="1"/>
  <c r="AD124" i="6" a="1"/>
  <c r="DZ47" i="8" a="1"/>
  <c r="X316" i="5"/>
  <c r="AZ53" i="8" a="1"/>
  <c r="Q163" i="14"/>
  <c r="GZ11" i="8" a="1"/>
  <c r="IA13" i="8" a="1"/>
  <c r="U292" i="6" a="1"/>
  <c r="AE30" i="5"/>
  <c r="DZ48" i="8" a="1"/>
  <c r="EZ13" i="8" a="1"/>
  <c r="Y49" i="6" a="1"/>
  <c r="AH124" i="6" a="1"/>
  <c r="EL23" i="8" a="1"/>
  <c r="FZ13" i="8" a="1"/>
  <c r="FM8" i="8" a="1"/>
  <c r="AH216" i="5"/>
  <c r="V216" i="5"/>
  <c r="AH256" i="6" a="1"/>
  <c r="CK34" i="8" a="1"/>
  <c r="HM22" i="8" a="1"/>
  <c r="X10" i="5"/>
  <c r="AF139" i="5"/>
  <c r="BY22" i="8" a="1"/>
  <c r="Y105" i="6" a="1"/>
  <c r="V330" i="6" a="1"/>
  <c r="AC10" i="5"/>
  <c r="AD181" i="6" a="1"/>
  <c r="AZ50" i="8" a="1"/>
  <c r="CW25" i="8" a="1"/>
  <c r="X10" i="6" a="1"/>
  <c r="DZ35" i="8" a="1"/>
  <c r="BL43" i="8" a="1"/>
  <c r="BY28" i="8" a="1"/>
  <c r="AF30" i="5"/>
  <c r="AB274" i="6" a="1"/>
  <c r="AA219" i="6" a="1"/>
  <c r="BL63" i="8" a="1"/>
  <c r="T277" i="5"/>
  <c r="U105" i="6" a="1"/>
  <c r="IM11" i="8" a="1"/>
  <c r="DZ52" i="8" a="1"/>
  <c r="AF297" i="5"/>
  <c r="AG10" i="6" a="1"/>
  <c r="IM35" i="8" a="1"/>
  <c r="AC159" i="5"/>
  <c r="DZ51" i="8" a="1"/>
  <c r="S251" i="14"/>
  <c r="JM8" i="8" a="1"/>
  <c r="X200" i="6" a="1"/>
  <c r="V258" i="5"/>
  <c r="FM14" i="8" a="1"/>
  <c r="IM43" i="8" a="1"/>
  <c r="AB65" i="8" a="1"/>
  <c r="Z219" i="6" a="1"/>
  <c r="U297" i="5"/>
  <c r="BY12" i="30" a="1"/>
  <c r="AA297" i="5"/>
  <c r="HM28" i="8" a="1"/>
  <c r="AZ62" i="8" a="1"/>
  <c r="AH197" i="5"/>
  <c r="CW31" i="8" a="1"/>
  <c r="FZ17" i="8" a="1"/>
  <c r="BL55" i="8" a="1"/>
  <c r="X216" i="5"/>
  <c r="IA14" i="8" a="1"/>
  <c r="X139" i="5"/>
  <c r="FM17" i="8" a="1"/>
  <c r="X330" i="6" a="1"/>
  <c r="N251" i="14"/>
  <c r="HM18" i="8" a="1"/>
  <c r="W30" i="5"/>
  <c r="U87" i="6" a="1"/>
  <c r="Z162" i="6" a="1"/>
  <c r="AB70" i="8" a="1"/>
  <c r="AB197" i="5"/>
  <c r="CK26" i="30" a="1"/>
  <c r="DN8" i="8" a="1"/>
  <c r="AE49" i="6" a="1"/>
  <c r="W330" i="6" a="1"/>
  <c r="U30" i="5"/>
  <c r="AG49" i="6" a="1"/>
  <c r="CK23" i="30" a="1"/>
  <c r="AH10" i="5"/>
  <c r="BL49" i="8" a="1"/>
  <c r="EZ9" i="8" a="1"/>
  <c r="AI219" i="6" a="1"/>
  <c r="CK30" i="8" a="1"/>
  <c r="AB49" i="6" a="1"/>
  <c r="IA21" i="8" a="1"/>
  <c r="AE197" i="5"/>
  <c r="X297" i="5"/>
  <c r="CK22" i="30" a="1"/>
  <c r="AF53" i="5"/>
  <c r="AC256" i="6" a="1"/>
  <c r="HM33" i="8" a="1"/>
  <c r="AD75" i="5"/>
  <c r="CK31" i="8" a="1"/>
  <c r="W29" i="6" a="1"/>
  <c r="BY23" i="30" a="1"/>
  <c r="FZ15" i="8" a="1"/>
  <c r="AZ59" i="8" a="1"/>
  <c r="AI10" i="6" a="1"/>
  <c r="HM37" i="8" a="1"/>
  <c r="Y159" i="5"/>
  <c r="X274" i="6" a="1"/>
  <c r="X29" i="6" a="1"/>
  <c r="T251" i="14"/>
  <c r="U316" i="5"/>
  <c r="FM24" i="8" a="1"/>
  <c r="AF256" i="6" a="1"/>
  <c r="HM27" i="8" a="1"/>
  <c r="CK28" i="30" a="1"/>
  <c r="DZ53" i="8" a="1"/>
  <c r="V10" i="6" a="1"/>
  <c r="CW30" i="8" a="1"/>
  <c r="EZ17" i="8" a="1"/>
  <c r="AB258" i="5"/>
  <c r="CW32" i="8" a="1"/>
  <c r="IM26" i="8" a="1"/>
  <c r="BY20" i="8" a="1"/>
  <c r="AF49" i="6" a="1"/>
  <c r="BL60" i="8" a="1"/>
  <c r="CK23" i="8" a="1"/>
  <c r="Z256" i="6" a="1"/>
  <c r="CK29" i="8" a="1"/>
  <c r="N163" i="14"/>
  <c r="T297" i="5"/>
  <c r="IM33" i="8" a="1"/>
  <c r="T258" i="5"/>
  <c r="CW22" i="8" a="1"/>
  <c r="BL35" i="8" a="1"/>
  <c r="U118" i="5"/>
  <c r="W49" i="6" a="1"/>
  <c r="AC197" i="5"/>
  <c r="V87" i="6" a="1"/>
  <c r="U159" i="5"/>
  <c r="AC200" i="6" a="1"/>
  <c r="DZ43" i="8" a="1"/>
  <c r="AC297" i="5"/>
  <c r="AD10" i="6" a="1"/>
  <c r="W197" i="5"/>
  <c r="P163" i="14"/>
  <c r="V68" i="6" a="1"/>
  <c r="DZ40" i="8" a="1"/>
  <c r="X30" i="5"/>
  <c r="IM29" i="8" a="1"/>
  <c r="CK8" i="30" a="1"/>
  <c r="BY10" i="30" a="1"/>
  <c r="CK25" i="8" a="1"/>
  <c r="Z10" i="5"/>
  <c r="DZ27" i="8" a="1"/>
  <c r="U256" i="6" a="1"/>
  <c r="CK16" i="30" a="1"/>
  <c r="V95" i="5"/>
  <c r="CK27" i="8" a="1"/>
  <c r="FM11" i="8" a="1"/>
  <c r="HM29" i="8" a="1"/>
  <c r="AB53" i="5"/>
  <c r="AZ57" i="8" a="1"/>
  <c r="X105" i="6" a="1"/>
  <c r="V30" i="5"/>
  <c r="AH49" i="6" a="1"/>
  <c r="BL38" i="8" a="1"/>
  <c r="Z197" i="5"/>
  <c r="EZ20" i="8" a="1"/>
  <c r="AZ58" i="8" a="1"/>
  <c r="CK17" i="8" a="1"/>
  <c r="Y256" i="6" a="1"/>
  <c r="AZ63" i="8" a="1"/>
  <c r="BY23" i="8" a="1"/>
  <c r="BY21" i="8" a="1"/>
  <c r="V219" i="6" a="1"/>
  <c r="BL46" i="8" a="1"/>
  <c r="BL41" i="8" a="1"/>
  <c r="BY12" i="8" a="1"/>
  <c r="IM9" i="8" a="1"/>
  <c r="DN12" i="8" a="1"/>
  <c r="AZ55" i="8" a="1"/>
  <c r="Z30" i="5"/>
  <c r="O251" i="14"/>
  <c r="Z95" i="5"/>
  <c r="W159" i="5"/>
  <c r="FM22" i="8" a="1"/>
  <c r="CK20" i="30" a="1"/>
  <c r="BY26" i="8" a="1"/>
  <c r="IM18" i="8" a="1"/>
  <c r="T238" i="5"/>
  <c r="FM21" i="8" a="1"/>
  <c r="EZ10" i="8" a="1"/>
  <c r="AF10" i="5"/>
  <c r="U124" i="6" a="1"/>
  <c r="DZ38" i="8" a="1"/>
  <c r="BY16" i="8" a="1"/>
  <c r="CW15" i="8" a="1"/>
  <c r="Z49" i="6" a="1"/>
  <c r="Y330" i="6" a="1"/>
  <c r="AH297" i="5"/>
  <c r="X159" i="5"/>
  <c r="BY24" i="8" a="1"/>
  <c r="AC219" i="6" a="1"/>
  <c r="Y68" i="6" a="1"/>
  <c r="CK27" i="30" a="1"/>
  <c r="AH30" i="5"/>
  <c r="AP311" i="6"/>
  <c r="Y10" i="5"/>
  <c r="HM32" i="8" a="1"/>
  <c r="AB68" i="8" a="1"/>
  <c r="AD256" i="6" a="1"/>
  <c r="Y139" i="5"/>
  <c r="N181" i="14"/>
  <c r="AH139" i="5"/>
  <c r="W258" i="5"/>
  <c r="EL13" i="8" a="1"/>
  <c r="CW9" i="8" a="1"/>
  <c r="Y29" i="6" a="1"/>
  <c r="AA75" i="5"/>
  <c r="IA16" i="8" a="1"/>
  <c r="CK16" i="8" a="1"/>
  <c r="U251" i="14"/>
  <c r="AI143" i="6" a="1"/>
  <c r="CK29" i="30" a="1"/>
  <c r="CW20" i="8" a="1"/>
  <c r="AE53" i="5"/>
  <c r="AB69" i="8" a="1"/>
  <c r="CK12" i="8" a="1"/>
  <c r="Y10" i="6" a="1"/>
  <c r="AC124" i="6" a="1"/>
  <c r="HM31" i="8" a="1"/>
  <c r="Q56" i="14"/>
  <c r="AA197" i="5"/>
  <c r="EL15" i="8" a="1"/>
  <c r="AB95" i="5"/>
  <c r="AH75" i="5"/>
  <c r="IM27" i="8" a="1"/>
  <c r="BL51" i="8" a="1"/>
  <c r="FM16" i="8" a="1"/>
  <c r="AA30" i="5"/>
  <c r="DZ26" i="8" a="1"/>
  <c r="EZ15" i="8" a="1"/>
  <c r="EZ24" i="8" a="1"/>
  <c r="AA10" i="5"/>
  <c r="AD10" i="5"/>
  <c r="CW29" i="8" a="1"/>
  <c r="Y118" i="5"/>
  <c r="EZ8" i="8" a="1"/>
  <c r="AD139" i="5"/>
  <c r="AB59" i="8" a="1"/>
  <c r="DZ49" i="8" a="1"/>
  <c r="BL54" i="8" a="1"/>
  <c r="CW8" i="8" a="1"/>
  <c r="W297" i="5"/>
  <c r="DZ25" i="8" a="1"/>
  <c r="FM25" i="8" a="1"/>
  <c r="IM40" i="8" a="1"/>
  <c r="BY39" i="8" a="1"/>
  <c r="EZ11" i="8" a="1"/>
  <c r="GZ13" i="8" a="1"/>
  <c r="HM19" i="8" a="1"/>
  <c r="IM38" i="8" a="1"/>
  <c r="V256" i="6" a="1"/>
  <c r="EL14" i="8" a="1"/>
  <c r="X68" i="6" a="1"/>
  <c r="AC30" i="5"/>
  <c r="X197" i="5"/>
  <c r="IM37" i="8" a="1"/>
  <c r="AD297" i="5"/>
  <c r="IM39" i="8" a="1"/>
  <c r="T216" i="5"/>
  <c r="CW18" i="8" a="1"/>
  <c r="AN311" i="6" a="1"/>
  <c r="V316" i="5"/>
  <c r="BY11" i="8" a="1"/>
  <c r="CK18" i="8" a="1"/>
  <c r="U219" i="6" a="1"/>
  <c r="AG297" i="5"/>
  <c r="DZ37" i="8" a="1"/>
  <c r="AB297" i="5"/>
  <c r="T10" i="5"/>
  <c r="BY25" i="8" a="1"/>
  <c r="AA256" i="6" a="1"/>
  <c r="HM17" i="8" a="1"/>
  <c r="AG53" i="5"/>
  <c r="T118" i="5"/>
  <c r="AG75" i="5"/>
  <c r="BL44" i="8" a="1"/>
  <c r="CK21" i="30" a="1"/>
  <c r="U10" i="6" a="1"/>
  <c r="V29" i="6" a="1"/>
  <c r="CK24" i="30" a="1"/>
  <c r="W219" i="6" a="1"/>
  <c r="W139" i="5"/>
  <c r="AH10" i="6" a="1"/>
  <c r="E16" i="35" l="1"/>
  <c r="D17" i="35" s="1"/>
  <c r="F16" i="35"/>
  <c r="DW4" i="30"/>
  <c r="X479" i="2"/>
  <c r="B479" i="2" s="1"/>
  <c r="IV4" i="8"/>
  <c r="X461" i="2"/>
  <c r="B461" i="2" s="1"/>
  <c r="AB70" i="8"/>
  <c r="AC70" i="8" s="1"/>
  <c r="JM8" i="8"/>
  <c r="JN8" i="8" s="1"/>
  <c r="JJ3" i="8" s="1"/>
  <c r="JJ4" i="8" s="1"/>
  <c r="HM37" i="8"/>
  <c r="HN37" i="8" s="1"/>
  <c r="FM19" i="8"/>
  <c r="FN19" i="8" s="1"/>
  <c r="P165" i="14"/>
  <c r="P166" i="14" s="1"/>
  <c r="AF49" i="6"/>
  <c r="AF51" i="6" s="1"/>
  <c r="AF52" i="6" s="1"/>
  <c r="AC32" i="5"/>
  <c r="AC33" i="5" s="1"/>
  <c r="Q165" i="14"/>
  <c r="Q166" i="14" s="1"/>
  <c r="IM11" i="8"/>
  <c r="IN11" i="8" s="1"/>
  <c r="FM23" i="8"/>
  <c r="FN23" i="8" s="1"/>
  <c r="V68" i="6"/>
  <c r="V70" i="6" s="1"/>
  <c r="V71" i="6" s="1"/>
  <c r="HM19" i="8"/>
  <c r="HN19" i="8" s="1"/>
  <c r="HM12" i="8"/>
  <c r="HN12" i="8" s="1"/>
  <c r="W29" i="6"/>
  <c r="W31" i="6" s="1"/>
  <c r="W32" i="6" s="1"/>
  <c r="Z141" i="5"/>
  <c r="Z142" i="5" s="1"/>
  <c r="BL35" i="8"/>
  <c r="BM35" i="8" s="1"/>
  <c r="FM18" i="8"/>
  <c r="FN18" i="8" s="1"/>
  <c r="CW19" i="8"/>
  <c r="CX19" i="8" s="1"/>
  <c r="AC12" i="5"/>
  <c r="AC13" i="5" s="1"/>
  <c r="FM26" i="8"/>
  <c r="FN26" i="8" s="1"/>
  <c r="HM17" i="8"/>
  <c r="HN17" i="8" s="1"/>
  <c r="AA10" i="6"/>
  <c r="AA12" i="6" s="1"/>
  <c r="AA13" i="6" s="1"/>
  <c r="AB161" i="5"/>
  <c r="AB162" i="5" s="1"/>
  <c r="X55" i="5"/>
  <c r="X56" i="5" s="1"/>
  <c r="DZ48" i="8"/>
  <c r="EA48" i="8" s="1"/>
  <c r="DZ39" i="8"/>
  <c r="EA39" i="8" s="1"/>
  <c r="CW18" i="8"/>
  <c r="CX18" i="8" s="1"/>
  <c r="IA21" i="8"/>
  <c r="IB21" i="8" s="1"/>
  <c r="CK17" i="8"/>
  <c r="CL17" i="8" s="1"/>
  <c r="AI49" i="6"/>
  <c r="AI51" i="6" s="1"/>
  <c r="AI52" i="6" s="1"/>
  <c r="Y124" i="6"/>
  <c r="Y126" i="6" s="1"/>
  <c r="Y127" i="6" s="1"/>
  <c r="AB64" i="8"/>
  <c r="AC64" i="8" s="1"/>
  <c r="DN10" i="8"/>
  <c r="DO10" i="8" s="1"/>
  <c r="HM28" i="8"/>
  <c r="HN28" i="8" s="1"/>
  <c r="IM24" i="8"/>
  <c r="IN24" i="8" s="1"/>
  <c r="Y29" i="6"/>
  <c r="Y31" i="6" s="1"/>
  <c r="Y32" i="6" s="1"/>
  <c r="AZ50" i="8"/>
  <c r="BA50" i="8" s="1"/>
  <c r="BY27" i="8"/>
  <c r="BZ27" i="8" s="1"/>
  <c r="T299" i="5"/>
  <c r="T300" i="5" s="1"/>
  <c r="AB199" i="5"/>
  <c r="AB200" i="5" s="1"/>
  <c r="BL57" i="8"/>
  <c r="BM57" i="8" s="1"/>
  <c r="AZ53" i="8"/>
  <c r="BA53" i="8" s="1"/>
  <c r="DZ45" i="8"/>
  <c r="EA45" i="8" s="1"/>
  <c r="V29" i="6"/>
  <c r="V31" i="6" s="1"/>
  <c r="V32" i="6" s="1"/>
  <c r="AA274" i="6"/>
  <c r="AA276" i="6" s="1"/>
  <c r="AA277" i="6" s="1"/>
  <c r="X141" i="5"/>
  <c r="X142" i="5" s="1"/>
  <c r="BY9" i="30"/>
  <c r="BZ9" i="30" s="1"/>
  <c r="DZ41" i="8"/>
  <c r="EA41" i="8" s="1"/>
  <c r="W200" i="6"/>
  <c r="W202" i="6" s="1"/>
  <c r="W203" i="6" s="1"/>
  <c r="U279" i="5"/>
  <c r="U280" i="5" s="1"/>
  <c r="CW8" i="8"/>
  <c r="CX8" i="8" s="1"/>
  <c r="V32" i="5"/>
  <c r="V33" i="5" s="1"/>
  <c r="HM38" i="8"/>
  <c r="HN38" i="8" s="1"/>
  <c r="AE299" i="5"/>
  <c r="AE300" i="5" s="1"/>
  <c r="O253" i="14"/>
  <c r="O254" i="14" s="1"/>
  <c r="EZ16" i="8"/>
  <c r="FA16" i="8" s="1"/>
  <c r="AH219" i="6"/>
  <c r="AH221" i="6" s="1"/>
  <c r="AH222" i="6" s="1"/>
  <c r="AH10" i="6"/>
  <c r="AH12" i="6" s="1"/>
  <c r="AH13" i="6" s="1"/>
  <c r="FZ17" i="8"/>
  <c r="GA17" i="8" s="1"/>
  <c r="Y274" i="6"/>
  <c r="Y276" i="6" s="1"/>
  <c r="Y277" i="6" s="1"/>
  <c r="BY31" i="8"/>
  <c r="BZ31" i="8" s="1"/>
  <c r="CK14" i="30"/>
  <c r="CL14" i="30" s="1"/>
  <c r="AB143" i="6"/>
  <c r="AB145" i="6" s="1"/>
  <c r="AB146" i="6" s="1"/>
  <c r="T279" i="5"/>
  <c r="T280" i="5" s="1"/>
  <c r="BY12" i="30"/>
  <c r="BZ12" i="30" s="1"/>
  <c r="FM11" i="8"/>
  <c r="FN11" i="8" s="1"/>
  <c r="X68" i="6"/>
  <c r="X70" i="6" s="1"/>
  <c r="X71" i="6" s="1"/>
  <c r="T318" i="5"/>
  <c r="T319" i="5" s="1"/>
  <c r="W105" i="6"/>
  <c r="W107" i="6" s="1"/>
  <c r="W108" i="6" s="1"/>
  <c r="AC260" i="5"/>
  <c r="AC261" i="5" s="1"/>
  <c r="DZ36" i="8"/>
  <c r="EA36" i="8" s="1"/>
  <c r="X32" i="5"/>
  <c r="X33" i="5" s="1"/>
  <c r="U143" i="6"/>
  <c r="U145" i="6" s="1"/>
  <c r="U146" i="6" s="1"/>
  <c r="T148" i="6" s="1"/>
  <c r="T149" i="6" s="1"/>
  <c r="X29" i="6"/>
  <c r="X31" i="6" s="1"/>
  <c r="X32" i="6" s="1"/>
  <c r="AN311" i="6"/>
  <c r="AN313" i="6" s="1"/>
  <c r="AN315" i="6" s="1"/>
  <c r="T316" i="6" s="1"/>
  <c r="T317" i="6" s="1"/>
  <c r="V319" i="6" s="1"/>
  <c r="AC162" i="6"/>
  <c r="AC164" i="6" s="1"/>
  <c r="AC165" i="6" s="1"/>
  <c r="HM29" i="8"/>
  <c r="HN29" i="8" s="1"/>
  <c r="AG32" i="5"/>
  <c r="AG33" i="5" s="1"/>
  <c r="EZ25" i="8"/>
  <c r="FA25" i="8" s="1"/>
  <c r="V120" i="5"/>
  <c r="V121" i="5" s="1"/>
  <c r="AA97" i="5"/>
  <c r="AA98" i="5" s="1"/>
  <c r="HM11" i="8"/>
  <c r="HN11" i="8" s="1"/>
  <c r="HM31" i="8"/>
  <c r="HN31" i="8" s="1"/>
  <c r="O183" i="14"/>
  <c r="O184" i="14" s="1"/>
  <c r="AF141" i="5"/>
  <c r="AF142" i="5" s="1"/>
  <c r="AB200" i="6"/>
  <c r="AB202" i="6" s="1"/>
  <c r="AB203" i="6" s="1"/>
  <c r="AP313" i="6"/>
  <c r="AP314" i="6" s="1"/>
  <c r="EZ11" i="8"/>
  <c r="FA11" i="8" s="1"/>
  <c r="BL39" i="8"/>
  <c r="BM39" i="8" s="1"/>
  <c r="U141" i="5"/>
  <c r="U142" i="5" s="1"/>
  <c r="CK12" i="8"/>
  <c r="CL12" i="8" s="1"/>
  <c r="V12" i="5"/>
  <c r="V13" i="5" s="1"/>
  <c r="AA32" i="5"/>
  <c r="AA33" i="5" s="1"/>
  <c r="DZ26" i="8"/>
  <c r="EA26" i="8" s="1"/>
  <c r="P253" i="14"/>
  <c r="P254" i="14" s="1"/>
  <c r="CK27" i="30"/>
  <c r="CL27" i="30" s="1"/>
  <c r="N165" i="14"/>
  <c r="N166" i="14" s="1"/>
  <c r="HM35" i="8"/>
  <c r="HN35" i="8" s="1"/>
  <c r="EZ17" i="8"/>
  <c r="FA17" i="8" s="1"/>
  <c r="Z124" i="6"/>
  <c r="Z126" i="6" s="1"/>
  <c r="Z127" i="6" s="1"/>
  <c r="BL54" i="8"/>
  <c r="BM54" i="8" s="1"/>
  <c r="CK9" i="30"/>
  <c r="CL9" i="30" s="1"/>
  <c r="AD274" i="6"/>
  <c r="AD276" i="6" s="1"/>
  <c r="AD277" i="6" s="1"/>
  <c r="AH143" i="6"/>
  <c r="AH145" i="6" s="1"/>
  <c r="AH146" i="6" s="1"/>
  <c r="EZ13" i="8"/>
  <c r="FA13" i="8" s="1"/>
  <c r="BY32" i="8"/>
  <c r="BZ32" i="8" s="1"/>
  <c r="BY17" i="8"/>
  <c r="BZ17" i="8" s="1"/>
  <c r="GZ12" i="8"/>
  <c r="HA12" i="8" s="1"/>
  <c r="U55" i="5"/>
  <c r="U56" i="5" s="1"/>
  <c r="DZ44" i="8"/>
  <c r="EA44" i="8" s="1"/>
  <c r="AD124" i="6"/>
  <c r="AD126" i="6" s="1"/>
  <c r="AD127" i="6" s="1"/>
  <c r="Y68" i="6"/>
  <c r="Y70" i="6" s="1"/>
  <c r="Y71" i="6" s="1"/>
  <c r="AA330" i="6"/>
  <c r="AA332" i="6" s="1"/>
  <c r="AC333" i="6" s="1"/>
  <c r="EL23" i="8"/>
  <c r="EM23" i="8" s="1"/>
  <c r="AC77" i="5"/>
  <c r="AC79" i="5" s="1"/>
  <c r="X77" i="5"/>
  <c r="X78" i="5" s="1"/>
  <c r="Y55" i="5"/>
  <c r="Y56" i="5" s="1"/>
  <c r="AD10" i="6"/>
  <c r="AD12" i="6" s="1"/>
  <c r="AD13" i="6" s="1"/>
  <c r="DZ30" i="8"/>
  <c r="EA30" i="8" s="1"/>
  <c r="AI143" i="6"/>
  <c r="AI145" i="6" s="1"/>
  <c r="AI146" i="6" s="1"/>
  <c r="BY14" i="8"/>
  <c r="BZ14" i="8" s="1"/>
  <c r="BL62" i="8"/>
  <c r="BM62" i="8" s="1"/>
  <c r="P183" i="14"/>
  <c r="P184" i="14" s="1"/>
  <c r="IM33" i="8"/>
  <c r="IN33" i="8" s="1"/>
  <c r="AC161" i="5"/>
  <c r="AC162" i="5" s="1"/>
  <c r="AA77" i="5"/>
  <c r="AA78" i="5" s="1"/>
  <c r="BL58" i="8"/>
  <c r="BM58" i="8" s="1"/>
  <c r="FZ11" i="8"/>
  <c r="GA11" i="8" s="1"/>
  <c r="AE124" i="6"/>
  <c r="AE126" i="6" s="1"/>
  <c r="AE127" i="6" s="1"/>
  <c r="V330" i="6"/>
  <c r="V332" i="6" s="1"/>
  <c r="V333" i="6" s="1"/>
  <c r="U218" i="5"/>
  <c r="U219" i="5" s="1"/>
  <c r="HM20" i="8"/>
  <c r="HN20" i="8" s="1"/>
  <c r="AC219" i="6"/>
  <c r="AC221" i="6" s="1"/>
  <c r="AC222" i="6" s="1"/>
  <c r="CW10" i="8"/>
  <c r="CX10" i="8" s="1"/>
  <c r="AC10" i="6"/>
  <c r="AC12" i="6" s="1"/>
  <c r="AC13" i="6" s="1"/>
  <c r="AG219" i="6"/>
  <c r="AG221" i="6" s="1"/>
  <c r="AG222" i="6" s="1"/>
  <c r="Z260" i="5"/>
  <c r="Z261" i="5" s="1"/>
  <c r="AH141" i="5"/>
  <c r="AH142" i="5" s="1"/>
  <c r="AZ52" i="8"/>
  <c r="BA52" i="8" s="1"/>
  <c r="EZ14" i="8"/>
  <c r="FA14" i="8" s="1"/>
  <c r="AE55" i="5"/>
  <c r="AE56" i="5" s="1"/>
  <c r="V10" i="6"/>
  <c r="V12" i="6" s="1"/>
  <c r="V13" i="6" s="1"/>
  <c r="IA12" i="8"/>
  <c r="IB12" i="8" s="1"/>
  <c r="U256" i="6"/>
  <c r="U258" i="6" s="1"/>
  <c r="U259" i="6" s="1"/>
  <c r="AI256" i="6"/>
  <c r="AI258" i="6" s="1"/>
  <c r="AI259" i="6" s="1"/>
  <c r="AZ57" i="8"/>
  <c r="BA57" i="8" s="1"/>
  <c r="AD161" i="5"/>
  <c r="AD162" i="5" s="1"/>
  <c r="CK15" i="30"/>
  <c r="CL15" i="30" s="1"/>
  <c r="IM18" i="8"/>
  <c r="IN18" i="8" s="1"/>
  <c r="EL18" i="8"/>
  <c r="EM18" i="8" s="1"/>
  <c r="AB49" i="6"/>
  <c r="AB51" i="6" s="1"/>
  <c r="AB52" i="6" s="1"/>
  <c r="U238" i="6"/>
  <c r="U240" i="6" s="1"/>
  <c r="U241" i="6" s="1"/>
  <c r="T243" i="6" s="1"/>
  <c r="T244" i="6" s="1"/>
  <c r="DZ43" i="8"/>
  <c r="EA43" i="8" s="1"/>
  <c r="W12" i="5"/>
  <c r="W13" i="5" s="1"/>
  <c r="EL11" i="8"/>
  <c r="EM11" i="8" s="1"/>
  <c r="AB59" i="8"/>
  <c r="AC59" i="8" s="1"/>
  <c r="AH299" i="5"/>
  <c r="AH300" i="5" s="1"/>
  <c r="EZ22" i="8"/>
  <c r="FA22" i="8" s="1"/>
  <c r="T240" i="5"/>
  <c r="T241" i="5" s="1"/>
  <c r="S243" i="5" s="1"/>
  <c r="S244" i="5" s="1"/>
  <c r="IA20" i="8"/>
  <c r="IB20" i="8" s="1"/>
  <c r="CK26" i="8"/>
  <c r="CL26" i="8" s="1"/>
  <c r="Z299" i="5"/>
  <c r="Z300" i="5" s="1"/>
  <c r="AZ63" i="8"/>
  <c r="BA63" i="8" s="1"/>
  <c r="DZ24" i="8"/>
  <c r="EA24" i="8" s="1"/>
  <c r="DN9" i="8"/>
  <c r="DO9" i="8" s="1"/>
  <c r="Q58" i="14"/>
  <c r="Q59" i="14" s="1"/>
  <c r="AB10" i="6"/>
  <c r="AB12" i="6" s="1"/>
  <c r="AB13" i="6" s="1"/>
  <c r="CK33" i="8"/>
  <c r="CL33" i="8" s="1"/>
  <c r="Y143" i="6"/>
  <c r="Y145" i="6" s="1"/>
  <c r="Y146" i="6" s="1"/>
  <c r="BY20" i="8"/>
  <c r="BZ20" i="8" s="1"/>
  <c r="AC256" i="6"/>
  <c r="AC258" i="6" s="1"/>
  <c r="AC259" i="6" s="1"/>
  <c r="BY19" i="30"/>
  <c r="BZ19" i="30" s="1"/>
  <c r="W10" i="6"/>
  <c r="W12" i="6" s="1"/>
  <c r="W13" i="6" s="1"/>
  <c r="EL13" i="8"/>
  <c r="EM13" i="8" s="1"/>
  <c r="Y49" i="6"/>
  <c r="Y51" i="6" s="1"/>
  <c r="Y52" i="6" s="1"/>
  <c r="HM39" i="8"/>
  <c r="HN39" i="8" s="1"/>
  <c r="X12" i="5"/>
  <c r="X13" i="5" s="1"/>
  <c r="BY8" i="8"/>
  <c r="BZ8" i="8" s="1"/>
  <c r="EZ23" i="8"/>
  <c r="FA23" i="8" s="1"/>
  <c r="AF10" i="6"/>
  <c r="AF12" i="6" s="1"/>
  <c r="AF13" i="6" s="1"/>
  <c r="CK29" i="8"/>
  <c r="CL29" i="8" s="1"/>
  <c r="CK27" i="8"/>
  <c r="CL27" i="8" s="1"/>
  <c r="BL52" i="8"/>
  <c r="BM52" i="8" s="1"/>
  <c r="AE218" i="5"/>
  <c r="AE219" i="5" s="1"/>
  <c r="GZ15" i="8"/>
  <c r="HA15" i="8" s="1"/>
  <c r="HM15" i="8"/>
  <c r="HN15" i="8" s="1"/>
  <c r="FM15" i="8"/>
  <c r="FN15" i="8" s="1"/>
  <c r="AE143" i="6"/>
  <c r="AE145" i="6" s="1"/>
  <c r="AE146" i="6" s="1"/>
  <c r="T161" i="5"/>
  <c r="T162" i="5" s="1"/>
  <c r="AD32" i="5"/>
  <c r="AD33" i="5" s="1"/>
  <c r="BY33" i="8"/>
  <c r="BZ33" i="8" s="1"/>
  <c r="HM16" i="8"/>
  <c r="HN16" i="8" s="1"/>
  <c r="CK21" i="8"/>
  <c r="CL21" i="8" s="1"/>
  <c r="X218" i="5"/>
  <c r="X219" i="5" s="1"/>
  <c r="BY36" i="8"/>
  <c r="BZ36" i="8" s="1"/>
  <c r="Q253" i="14"/>
  <c r="Q254" i="14" s="1"/>
  <c r="AB62" i="8"/>
  <c r="AC62" i="8" s="1"/>
  <c r="CK8" i="30"/>
  <c r="CL8" i="30" s="1"/>
  <c r="CK25" i="30"/>
  <c r="CL25" i="30" s="1"/>
  <c r="AG141" i="5"/>
  <c r="AG142" i="5" s="1"/>
  <c r="IA17" i="8"/>
  <c r="IB17" i="8" s="1"/>
  <c r="W292" i="6"/>
  <c r="W294" i="6" s="1"/>
  <c r="W295" i="6" s="1"/>
  <c r="CK25" i="8"/>
  <c r="CL25" i="8" s="1"/>
  <c r="HM25" i="8"/>
  <c r="HN25" i="8" s="1"/>
  <c r="IM15" i="8"/>
  <c r="IN15" i="8" s="1"/>
  <c r="CK10" i="8"/>
  <c r="CL10" i="8" s="1"/>
  <c r="Z256" i="6"/>
  <c r="Z258" i="6" s="1"/>
  <c r="Z259" i="6" s="1"/>
  <c r="AC124" i="6"/>
  <c r="AC126" i="6" s="1"/>
  <c r="AC127" i="6" s="1"/>
  <c r="CK22" i="30"/>
  <c r="CL22" i="30" s="1"/>
  <c r="BL46" i="8"/>
  <c r="BM46" i="8" s="1"/>
  <c r="AG12" i="5"/>
  <c r="AG13" i="5" s="1"/>
  <c r="IA19" i="8"/>
  <c r="IB19" i="8" s="1"/>
  <c r="HM33" i="8"/>
  <c r="HN33" i="8" s="1"/>
  <c r="DZ35" i="8"/>
  <c r="EA35" i="8" s="1"/>
  <c r="AD12" i="5"/>
  <c r="AD13" i="5" s="1"/>
  <c r="BY29" i="8"/>
  <c r="BZ29" i="8" s="1"/>
  <c r="AF143" i="6"/>
  <c r="AF145" i="6" s="1"/>
  <c r="AF146" i="6" s="1"/>
  <c r="IM20" i="8"/>
  <c r="IN20" i="8" s="1"/>
  <c r="AA199" i="5"/>
  <c r="AA200" i="5" s="1"/>
  <c r="AB65" i="8"/>
  <c r="AC65" i="8" s="1"/>
  <c r="CK9" i="8"/>
  <c r="CL9" i="8" s="1"/>
  <c r="U68" i="6"/>
  <c r="U70" i="6" s="1"/>
  <c r="U71" i="6" s="1"/>
  <c r="DZ33" i="8"/>
  <c r="EA33" i="8" s="1"/>
  <c r="BY16" i="30"/>
  <c r="BZ16" i="30" s="1"/>
  <c r="BY30" i="8"/>
  <c r="BZ30" i="8" s="1"/>
  <c r="BY12" i="8"/>
  <c r="BZ12" i="8" s="1"/>
  <c r="AH218" i="5"/>
  <c r="AH219" i="5" s="1"/>
  <c r="IM21" i="8"/>
  <c r="IN21" i="8" s="1"/>
  <c r="CK19" i="30"/>
  <c r="CL19" i="30" s="1"/>
  <c r="IM14" i="8"/>
  <c r="IN14" i="8" s="1"/>
  <c r="Y161" i="5"/>
  <c r="Y162" i="5" s="1"/>
  <c r="AB219" i="6"/>
  <c r="AB221" i="6" s="1"/>
  <c r="AB222" i="6" s="1"/>
  <c r="CW14" i="8"/>
  <c r="CX14" i="8" s="1"/>
  <c r="X260" i="5"/>
  <c r="X261" i="5" s="1"/>
  <c r="AB218" i="5"/>
  <c r="AB219" i="5" s="1"/>
  <c r="IA11" i="8"/>
  <c r="IB11" i="8" s="1"/>
  <c r="BY24" i="8"/>
  <c r="BZ24" i="8" s="1"/>
  <c r="W330" i="6"/>
  <c r="W332" i="6" s="1"/>
  <c r="W333" i="6" s="1"/>
  <c r="Y77" i="5"/>
  <c r="Y78" i="5" s="1"/>
  <c r="AZ55" i="8"/>
  <c r="BA55" i="8" s="1"/>
  <c r="AB299" i="5"/>
  <c r="AB300" i="5" s="1"/>
  <c r="BY39" i="8"/>
  <c r="BZ39" i="8" s="1"/>
  <c r="U120" i="5"/>
  <c r="U121" i="5" s="1"/>
  <c r="U318" i="5"/>
  <c r="U319" i="5" s="1"/>
  <c r="AC181" i="6"/>
  <c r="AC183" i="6" s="1"/>
  <c r="AC184" i="6" s="1"/>
  <c r="GZ10" i="8"/>
  <c r="HA10" i="8" s="1"/>
  <c r="IM9" i="8"/>
  <c r="IN9" i="8" s="1"/>
  <c r="X181" i="6"/>
  <c r="X183" i="6" s="1"/>
  <c r="X184" i="6" s="1"/>
  <c r="AA68" i="6"/>
  <c r="AA70" i="6" s="1"/>
  <c r="AA71" i="6" s="1"/>
  <c r="BL59" i="8"/>
  <c r="BM59" i="8" s="1"/>
  <c r="U200" i="6"/>
  <c r="U202" i="6" s="1"/>
  <c r="U203" i="6" s="1"/>
  <c r="T205" i="6" s="1"/>
  <c r="T206" i="6" s="1"/>
  <c r="FZ16" i="8"/>
  <c r="GA16" i="8" s="1"/>
  <c r="DZ23" i="8"/>
  <c r="EA23" i="8" s="1"/>
  <c r="DZ38" i="8"/>
  <c r="EA38" i="8" s="1"/>
  <c r="BY22" i="8"/>
  <c r="BZ22" i="8" s="1"/>
  <c r="AF299" i="5"/>
  <c r="AF300" i="5" s="1"/>
  <c r="AA256" i="6"/>
  <c r="AA258" i="6" s="1"/>
  <c r="AA259" i="6" s="1"/>
  <c r="AR313" i="6"/>
  <c r="AR314" i="6" s="1"/>
  <c r="HM14" i="8"/>
  <c r="HN14" i="8" s="1"/>
  <c r="AS313" i="6"/>
  <c r="AS314" i="6" s="1"/>
  <c r="Y219" i="6"/>
  <c r="Y221" i="6" s="1"/>
  <c r="Y222" i="6" s="1"/>
  <c r="P28" i="8"/>
  <c r="Q28" i="8" s="1"/>
  <c r="CW20" i="8"/>
  <c r="CX20" i="8" s="1"/>
  <c r="V77" i="5"/>
  <c r="V78" i="5" s="1"/>
  <c r="U199" i="5"/>
  <c r="U200" i="5" s="1"/>
  <c r="Y218" i="5"/>
  <c r="Y219" i="5" s="1"/>
  <c r="BY18" i="30"/>
  <c r="BZ18" i="30" s="1"/>
  <c r="AG77" i="5"/>
  <c r="AG78" i="5" s="1"/>
  <c r="AA12" i="5"/>
  <c r="AA13" i="5" s="1"/>
  <c r="AE274" i="6"/>
  <c r="AE276" i="6" s="1"/>
  <c r="AE277" i="6" s="1"/>
  <c r="L253" i="14"/>
  <c r="L254" i="14" s="1"/>
  <c r="IM43" i="8"/>
  <c r="IN43" i="8" s="1"/>
  <c r="AG256" i="6"/>
  <c r="AG258" i="6" s="1"/>
  <c r="AG259" i="6" s="1"/>
  <c r="AZ54" i="8"/>
  <c r="BA54" i="8" s="1"/>
  <c r="CK19" i="8"/>
  <c r="CL19" i="8" s="1"/>
  <c r="CK21" i="30"/>
  <c r="CL21" i="30" s="1"/>
  <c r="Y181" i="6"/>
  <c r="Y183" i="6" s="1"/>
  <c r="Y184" i="6" s="1"/>
  <c r="Y32" i="5"/>
  <c r="Y33" i="5" s="1"/>
  <c r="AC199" i="5"/>
  <c r="AC200" i="5" s="1"/>
  <c r="DZ32" i="8"/>
  <c r="EA32" i="8" s="1"/>
  <c r="BY15" i="30"/>
  <c r="BZ15" i="30" s="1"/>
  <c r="X256" i="6"/>
  <c r="X258" i="6" s="1"/>
  <c r="X259" i="6" s="1"/>
  <c r="U49" i="6"/>
  <c r="U51" i="6" s="1"/>
  <c r="U52" i="6" s="1"/>
  <c r="AA143" i="6"/>
  <c r="AA145" i="6" s="1"/>
  <c r="AA146" i="6" s="1"/>
  <c r="Y87" i="6"/>
  <c r="Y89" i="6" s="1"/>
  <c r="Y90" i="6" s="1"/>
  <c r="EL14" i="8"/>
  <c r="EM14" i="8" s="1"/>
  <c r="BL63" i="8"/>
  <c r="BM63" i="8" s="1"/>
  <c r="AD199" i="5"/>
  <c r="AD200" i="5" s="1"/>
  <c r="AD55" i="5"/>
  <c r="AD56" i="5" s="1"/>
  <c r="CK20" i="30"/>
  <c r="CL20" i="30" s="1"/>
  <c r="U105" i="6"/>
  <c r="U107" i="6" s="1"/>
  <c r="U108" i="6" s="1"/>
  <c r="AF274" i="6"/>
  <c r="AF276" i="6" s="1"/>
  <c r="AF277" i="6" s="1"/>
  <c r="EZ15" i="8"/>
  <c r="FA15" i="8" s="1"/>
  <c r="U124" i="6"/>
  <c r="U126" i="6" s="1"/>
  <c r="U127" i="6" s="1"/>
  <c r="V256" i="6"/>
  <c r="V258" i="6" s="1"/>
  <c r="V259" i="6" s="1"/>
  <c r="CK20" i="8"/>
  <c r="CL20" i="8" s="1"/>
  <c r="CW26" i="8"/>
  <c r="CX26" i="8" s="1"/>
  <c r="EL10" i="8"/>
  <c r="EM10" i="8" s="1"/>
  <c r="W97" i="5"/>
  <c r="W98" i="5" s="1"/>
  <c r="FZ18" i="8"/>
  <c r="GA18" i="8" s="1"/>
  <c r="AG299" i="5"/>
  <c r="AG300" i="5" s="1"/>
  <c r="AB55" i="5"/>
  <c r="AB56" i="5" s="1"/>
  <c r="W181" i="6"/>
  <c r="W183" i="6" s="1"/>
  <c r="W184" i="6" s="1"/>
  <c r="U274" i="6"/>
  <c r="U276" i="6" s="1"/>
  <c r="U277" i="6" s="1"/>
  <c r="AZ48" i="8"/>
  <c r="BA48" i="8" s="1"/>
  <c r="DN11" i="8"/>
  <c r="DO11" i="8" s="1"/>
  <c r="AC143" i="6"/>
  <c r="AC145" i="6" s="1"/>
  <c r="AC146" i="6" s="1"/>
  <c r="AG10" i="6"/>
  <c r="AG12" i="6" s="1"/>
  <c r="AG13" i="6" s="1"/>
  <c r="AD141" i="5"/>
  <c r="AD142" i="5" s="1"/>
  <c r="CW27" i="8"/>
  <c r="CX27" i="8" s="1"/>
  <c r="DZ21" i="8"/>
  <c r="EA21" i="8" s="1"/>
  <c r="U10" i="6"/>
  <c r="U12" i="6" s="1"/>
  <c r="U13" i="6" s="1"/>
  <c r="N253" i="14"/>
  <c r="N254" i="14" s="1"/>
  <c r="T12" i="5"/>
  <c r="T13" i="5" s="1"/>
  <c r="W260" i="5"/>
  <c r="W261" i="5" s="1"/>
  <c r="AB181" i="6"/>
  <c r="AB183" i="6" s="1"/>
  <c r="AB184" i="6" s="1"/>
  <c r="AD299" i="5"/>
  <c r="AD300" i="5" s="1"/>
  <c r="AB141" i="5"/>
  <c r="AB142" i="5" s="1"/>
  <c r="AA200" i="6"/>
  <c r="AA202" i="6" s="1"/>
  <c r="AA203" i="6" s="1"/>
  <c r="GZ11" i="8"/>
  <c r="HA11" i="8" s="1"/>
  <c r="AB274" i="6"/>
  <c r="AB276" i="6" s="1"/>
  <c r="AB277" i="6" s="1"/>
  <c r="V162" i="6"/>
  <c r="V164" i="6" s="1"/>
  <c r="V165" i="6" s="1"/>
  <c r="HM21" i="8"/>
  <c r="HN21" i="8" s="1"/>
  <c r="AA219" i="6"/>
  <c r="AA221" i="6" s="1"/>
  <c r="AA222" i="6" s="1"/>
  <c r="CW21" i="8"/>
  <c r="CX21" i="8" s="1"/>
  <c r="HM24" i="8"/>
  <c r="HN24" i="8" s="1"/>
  <c r="BL45" i="8"/>
  <c r="BM45" i="8" s="1"/>
  <c r="EL8" i="8"/>
  <c r="EM8" i="8" s="1"/>
  <c r="AZ62" i="8"/>
  <c r="BA62" i="8" s="1"/>
  <c r="X49" i="6"/>
  <c r="X51" i="6" s="1"/>
  <c r="X52" i="6" s="1"/>
  <c r="AG199" i="5"/>
  <c r="AG200" i="5" s="1"/>
  <c r="AE77" i="5"/>
  <c r="AE78" i="5" s="1"/>
  <c r="P27" i="8"/>
  <c r="Q27" i="8" s="1"/>
  <c r="IM42" i="8"/>
  <c r="IN42" i="8" s="1"/>
  <c r="FM22" i="8"/>
  <c r="FN22" i="8" s="1"/>
  <c r="FM8" i="8"/>
  <c r="FN8" i="8" s="1"/>
  <c r="AB69" i="8"/>
  <c r="AC69" i="8" s="1"/>
  <c r="CK31" i="8"/>
  <c r="CL31" i="8" s="1"/>
  <c r="AD143" i="6"/>
  <c r="AD145" i="6" s="1"/>
  <c r="AD146" i="6" s="1"/>
  <c r="FZ9" i="8"/>
  <c r="GA9" i="8" s="1"/>
  <c r="CW31" i="8"/>
  <c r="CX31" i="8" s="1"/>
  <c r="AH274" i="6"/>
  <c r="AH276" i="6" s="1"/>
  <c r="AH277" i="6" s="1"/>
  <c r="AB63" i="8"/>
  <c r="AC63" i="8" s="1"/>
  <c r="Z32" i="5"/>
  <c r="Z33" i="5" s="1"/>
  <c r="AC200" i="6"/>
  <c r="AC202" i="6" s="1"/>
  <c r="AC203" i="6" s="1"/>
  <c r="BY23" i="30"/>
  <c r="BZ23" i="30" s="1"/>
  <c r="IM41" i="8"/>
  <c r="IN41" i="8" s="1"/>
  <c r="W87" i="6"/>
  <c r="W89" i="6" s="1"/>
  <c r="W90" i="6" s="1"/>
  <c r="IM28" i="8"/>
  <c r="IN28" i="8" s="1"/>
  <c r="AI219" i="6"/>
  <c r="AI221" i="6" s="1"/>
  <c r="AI222" i="6" s="1"/>
  <c r="FM10" i="8"/>
  <c r="FN10" i="8" s="1"/>
  <c r="BY23" i="8"/>
  <c r="BZ23" i="8" s="1"/>
  <c r="BL55" i="8"/>
  <c r="BM55" i="8" s="1"/>
  <c r="Z219" i="6"/>
  <c r="Z221" i="6" s="1"/>
  <c r="Z222" i="6" s="1"/>
  <c r="BL48" i="8"/>
  <c r="BM48" i="8" s="1"/>
  <c r="W120" i="5"/>
  <c r="W121" i="5" s="1"/>
  <c r="CK18" i="30"/>
  <c r="CL18" i="30" s="1"/>
  <c r="IM34" i="8"/>
  <c r="IN34" i="8" s="1"/>
  <c r="AE199" i="5"/>
  <c r="AE200" i="5" s="1"/>
  <c r="AZ59" i="8"/>
  <c r="BA59" i="8" s="1"/>
  <c r="AF12" i="5"/>
  <c r="AF13" i="5" s="1"/>
  <c r="CK24" i="30"/>
  <c r="CL24" i="30" s="1"/>
  <c r="IM40" i="8"/>
  <c r="IN40" i="8" s="1"/>
  <c r="W161" i="5"/>
  <c r="W162" i="5" s="1"/>
  <c r="BY25" i="8"/>
  <c r="BZ25" i="8" s="1"/>
  <c r="AF55" i="5"/>
  <c r="AF56" i="5" s="1"/>
  <c r="U219" i="6"/>
  <c r="U221" i="6" s="1"/>
  <c r="U222" i="6" s="1"/>
  <c r="T224" i="6" s="1"/>
  <c r="T225" i="6" s="1"/>
  <c r="Y292" i="6"/>
  <c r="Y294" i="6" s="1"/>
  <c r="Y295" i="6" s="1"/>
  <c r="AH12" i="5"/>
  <c r="AH13" i="5" s="1"/>
  <c r="W256" i="6"/>
  <c r="W258" i="6" s="1"/>
  <c r="W259" i="6" s="1"/>
  <c r="X162" i="6"/>
  <c r="X164" i="6" s="1"/>
  <c r="X165" i="6" s="1"/>
  <c r="DZ40" i="8"/>
  <c r="EA40" i="8" s="1"/>
  <c r="IA18" i="8"/>
  <c r="IB18" i="8" s="1"/>
  <c r="U161" i="5"/>
  <c r="U162" i="5" s="1"/>
  <c r="CW29" i="8"/>
  <c r="CX29" i="8" s="1"/>
  <c r="M165" i="14"/>
  <c r="M166" i="14" s="1"/>
  <c r="FZ19" i="8"/>
  <c r="GA19" i="8" s="1"/>
  <c r="AF199" i="5"/>
  <c r="AF200" i="5" s="1"/>
  <c r="X120" i="5"/>
  <c r="X121" i="5" s="1"/>
  <c r="EZ9" i="8"/>
  <c r="FA9" i="8" s="1"/>
  <c r="DZ28" i="8"/>
  <c r="EA28" i="8" s="1"/>
  <c r="Z218" i="5"/>
  <c r="Z219" i="5" s="1"/>
  <c r="Q183" i="14"/>
  <c r="Q184" i="14" s="1"/>
  <c r="DZ27" i="8"/>
  <c r="EA27" i="8" s="1"/>
  <c r="AH256" i="6"/>
  <c r="AH258" i="6" s="1"/>
  <c r="AH259" i="6" s="1"/>
  <c r="DN8" i="8"/>
  <c r="DO8" i="8" s="1"/>
  <c r="GZ9" i="8"/>
  <c r="HA9" i="8" s="1"/>
  <c r="Y199" i="5"/>
  <c r="Y200" i="5" s="1"/>
  <c r="DZ34" i="8"/>
  <c r="EA34" i="8" s="1"/>
  <c r="HM18" i="8"/>
  <c r="HN18" i="8" s="1"/>
  <c r="AZ60" i="8"/>
  <c r="BA60" i="8" s="1"/>
  <c r="X105" i="6"/>
  <c r="X107" i="6" s="1"/>
  <c r="X108" i="6" s="1"/>
  <c r="X274" i="6"/>
  <c r="X276" i="6" s="1"/>
  <c r="X277" i="6" s="1"/>
  <c r="Y10" i="6"/>
  <c r="Y12" i="6" s="1"/>
  <c r="Y13" i="6" s="1"/>
  <c r="Z181" i="6"/>
  <c r="Z183" i="6" s="1"/>
  <c r="Z184" i="6" s="1"/>
  <c r="AE97" i="5"/>
  <c r="AE98" i="5" s="1"/>
  <c r="FZ12" i="8"/>
  <c r="GA12" i="8" s="1"/>
  <c r="AF256" i="6"/>
  <c r="AF258" i="6" s="1"/>
  <c r="AF259" i="6" s="1"/>
  <c r="AI124" i="6"/>
  <c r="AI126" i="6" s="1"/>
  <c r="AI127" i="6" s="1"/>
  <c r="BL51" i="8"/>
  <c r="BM51" i="8" s="1"/>
  <c r="V181" i="6"/>
  <c r="V183" i="6" s="1"/>
  <c r="V184" i="6" s="1"/>
  <c r="CK14" i="8"/>
  <c r="CL14" i="8" s="1"/>
  <c r="W143" i="6"/>
  <c r="W145" i="6" s="1"/>
  <c r="W146" i="6" s="1"/>
  <c r="CK17" i="30"/>
  <c r="CL17" i="30" s="1"/>
  <c r="AB67" i="8"/>
  <c r="AC67" i="8" s="1"/>
  <c r="IM12" i="8"/>
  <c r="IN12" i="8" s="1"/>
  <c r="W55" i="5"/>
  <c r="W56" i="5" s="1"/>
  <c r="W218" i="5"/>
  <c r="W219" i="5" s="1"/>
  <c r="V200" i="6"/>
  <c r="V202" i="6" s="1"/>
  <c r="V203" i="6" s="1"/>
  <c r="HM23" i="8"/>
  <c r="HN23" i="8" s="1"/>
  <c r="V141" i="5"/>
  <c r="V142" i="5" s="1"/>
  <c r="IM22" i="8"/>
  <c r="IN22" i="8" s="1"/>
  <c r="HM27" i="8"/>
  <c r="HN27" i="8" s="1"/>
  <c r="Y97" i="5"/>
  <c r="Y98" i="5" s="1"/>
  <c r="CK11" i="8"/>
  <c r="CL11" i="8" s="1"/>
  <c r="DZ31" i="8"/>
  <c r="EA31" i="8" s="1"/>
  <c r="HM34" i="8"/>
  <c r="HN34" i="8" s="1"/>
  <c r="AG218" i="5"/>
  <c r="AG219" i="5" s="1"/>
  <c r="BL40" i="8"/>
  <c r="BM40" i="8" s="1"/>
  <c r="DZ52" i="8"/>
  <c r="EA52" i="8" s="1"/>
  <c r="AE256" i="6"/>
  <c r="AE258" i="6" s="1"/>
  <c r="AE259" i="6" s="1"/>
  <c r="BL44" i="8"/>
  <c r="BM44" i="8" s="1"/>
  <c r="CK11" i="30"/>
  <c r="CL11" i="30" s="1"/>
  <c r="CK23" i="8"/>
  <c r="CL23" i="8" s="1"/>
  <c r="BY28" i="8"/>
  <c r="BZ28" i="8" s="1"/>
  <c r="DZ37" i="8"/>
  <c r="EA37" i="8" s="1"/>
  <c r="M253" i="14"/>
  <c r="M254" i="14" s="1"/>
  <c r="BY16" i="8"/>
  <c r="BZ16" i="8" s="1"/>
  <c r="EL12" i="8"/>
  <c r="EM12" i="8" s="1"/>
  <c r="X318" i="5"/>
  <c r="X319" i="5" s="1"/>
  <c r="V161" i="5"/>
  <c r="V162" i="5" s="1"/>
  <c r="Z161" i="5"/>
  <c r="Z162" i="5" s="1"/>
  <c r="Y141" i="5"/>
  <c r="Y142" i="5" s="1"/>
  <c r="Y200" i="6"/>
  <c r="Y202" i="6" s="1"/>
  <c r="Y203" i="6" s="1"/>
  <c r="BL56" i="8"/>
  <c r="BM56" i="8" s="1"/>
  <c r="R165" i="14"/>
  <c r="R166" i="14" s="1"/>
  <c r="U97" i="5"/>
  <c r="U98" i="5" s="1"/>
  <c r="BY38" i="8"/>
  <c r="BZ38" i="8" s="1"/>
  <c r="W32" i="5"/>
  <c r="W33" i="5" s="1"/>
  <c r="DZ46" i="8"/>
  <c r="EA46" i="8" s="1"/>
  <c r="Y105" i="6"/>
  <c r="Y107" i="6" s="1"/>
  <c r="Y108" i="6" s="1"/>
  <c r="AB162" i="6"/>
  <c r="AB164" i="6" s="1"/>
  <c r="AB165" i="6" s="1"/>
  <c r="R93" i="14"/>
  <c r="R94" i="14" s="1"/>
  <c r="DZ51" i="8"/>
  <c r="EA51" i="8" s="1"/>
  <c r="CW9" i="8"/>
  <c r="CX9" i="8" s="1"/>
  <c r="AZ47" i="8"/>
  <c r="BA47" i="8" s="1"/>
  <c r="BY19" i="8"/>
  <c r="BZ19" i="8" s="1"/>
  <c r="AB124" i="6"/>
  <c r="AB126" i="6" s="1"/>
  <c r="AB127" i="6" s="1"/>
  <c r="AZ51" i="8"/>
  <c r="BA51" i="8" s="1"/>
  <c r="BL36" i="8"/>
  <c r="BM36" i="8" s="1"/>
  <c r="Z10" i="6"/>
  <c r="Z12" i="6" s="1"/>
  <c r="Z13" i="6" s="1"/>
  <c r="IM38" i="8"/>
  <c r="IN38" i="8" s="1"/>
  <c r="BL33" i="8"/>
  <c r="BM33" i="8" s="1"/>
  <c r="AD219" i="6"/>
  <c r="AD221" i="6" s="1"/>
  <c r="AD222" i="6" s="1"/>
  <c r="AC218" i="5"/>
  <c r="AC219" i="5" s="1"/>
  <c r="AA299" i="5"/>
  <c r="AA300" i="5" s="1"/>
  <c r="EL20" i="8"/>
  <c r="EM20" i="8" s="1"/>
  <c r="IA16" i="8"/>
  <c r="IB16" i="8" s="1"/>
  <c r="X219" i="6"/>
  <c r="X221" i="6" s="1"/>
  <c r="X222" i="6" s="1"/>
  <c r="AE12" i="5"/>
  <c r="AE13" i="5" s="1"/>
  <c r="AB77" i="5"/>
  <c r="AB78" i="5" s="1"/>
  <c r="BL53" i="8"/>
  <c r="BM53" i="8" s="1"/>
  <c r="DZ42" i="8"/>
  <c r="EA42" i="8" s="1"/>
  <c r="AF219" i="6"/>
  <c r="AF221" i="6" s="1"/>
  <c r="AF222" i="6" s="1"/>
  <c r="U162" i="6"/>
  <c r="U164" i="6" s="1"/>
  <c r="U165" i="6" s="1"/>
  <c r="T167" i="6" s="1"/>
  <c r="T168" i="6" s="1"/>
  <c r="CW23" i="8"/>
  <c r="CX23" i="8" s="1"/>
  <c r="BY17" i="30"/>
  <c r="BZ17" i="30" s="1"/>
  <c r="U87" i="6"/>
  <c r="U89" i="6" s="1"/>
  <c r="U90" i="6" s="1"/>
  <c r="Z143" i="6"/>
  <c r="Z145" i="6" s="1"/>
  <c r="Z146" i="6" s="1"/>
  <c r="AZ49" i="8"/>
  <c r="BA49" i="8" s="1"/>
  <c r="V318" i="5"/>
  <c r="V319" i="5" s="1"/>
  <c r="AZ58" i="8"/>
  <c r="BA58" i="8" s="1"/>
  <c r="IM10" i="8"/>
  <c r="IN10" i="8" s="1"/>
  <c r="BY18" i="8"/>
  <c r="BZ18" i="8" s="1"/>
  <c r="BL60" i="8"/>
  <c r="BM60" i="8" s="1"/>
  <c r="W274" i="6"/>
  <c r="W276" i="6" s="1"/>
  <c r="W277" i="6" s="1"/>
  <c r="IM16" i="8"/>
  <c r="IN16" i="8" s="1"/>
  <c r="X199" i="5"/>
  <c r="X200" i="5" s="1"/>
  <c r="AD218" i="5"/>
  <c r="AD219" i="5" s="1"/>
  <c r="AC299" i="5"/>
  <c r="AC300" i="5" s="1"/>
  <c r="IM30" i="8"/>
  <c r="IN30" i="8" s="1"/>
  <c r="T55" i="5"/>
  <c r="T56" i="5" s="1"/>
  <c r="S58" i="5" s="1"/>
  <c r="S59" i="5" s="1"/>
  <c r="BY20" i="30"/>
  <c r="BZ20" i="30" s="1"/>
  <c r="EL22" i="8"/>
  <c r="EM22" i="8" s="1"/>
  <c r="BL38" i="8"/>
  <c r="BM38" i="8" s="1"/>
  <c r="DZ49" i="8"/>
  <c r="EA49" i="8" s="1"/>
  <c r="CK10" i="30"/>
  <c r="CL10" i="30" s="1"/>
  <c r="AE219" i="6"/>
  <c r="AE221" i="6" s="1"/>
  <c r="AE222" i="6" s="1"/>
  <c r="IM36" i="8"/>
  <c r="IN36" i="8" s="1"/>
  <c r="BL61" i="8"/>
  <c r="BM61" i="8" s="1"/>
  <c r="AE10" i="6"/>
  <c r="AE12" i="6" s="1"/>
  <c r="AE13" i="6" s="1"/>
  <c r="BY10" i="30"/>
  <c r="BZ10" i="30" s="1"/>
  <c r="IM25" i="8"/>
  <c r="IN25" i="8" s="1"/>
  <c r="U29" i="6"/>
  <c r="U31" i="6" s="1"/>
  <c r="U32" i="6" s="1"/>
  <c r="AA260" i="5"/>
  <c r="AA261" i="5" s="1"/>
  <c r="IM26" i="8"/>
  <c r="IN26" i="8" s="1"/>
  <c r="O165" i="14"/>
  <c r="O166" i="14" s="1"/>
  <c r="AF161" i="5"/>
  <c r="AF162" i="5" s="1"/>
  <c r="V55" i="5"/>
  <c r="V56" i="5" s="1"/>
  <c r="AB256" i="6"/>
  <c r="AB258" i="6" s="1"/>
  <c r="AB259" i="6" s="1"/>
  <c r="EL16" i="8"/>
  <c r="EM16" i="8" s="1"/>
  <c r="AB32" i="5"/>
  <c r="AB33" i="5" s="1"/>
  <c r="CW32" i="8"/>
  <c r="CX32" i="8" s="1"/>
  <c r="DZ22" i="8"/>
  <c r="EA22" i="8" s="1"/>
  <c r="CW30" i="8"/>
  <c r="CX30" i="8" s="1"/>
  <c r="X87" i="6"/>
  <c r="X89" i="6" s="1"/>
  <c r="X90" i="6" s="1"/>
  <c r="IM32" i="8"/>
  <c r="IN32" i="8" s="1"/>
  <c r="Y260" i="5"/>
  <c r="Y261" i="5" s="1"/>
  <c r="AE49" i="6"/>
  <c r="AE51" i="6" s="1"/>
  <c r="AE52" i="6" s="1"/>
  <c r="FZ10" i="8"/>
  <c r="GA10" i="8" s="1"/>
  <c r="HM36" i="8"/>
  <c r="HN36" i="8" s="1"/>
  <c r="AG49" i="6"/>
  <c r="AG51" i="6" s="1"/>
  <c r="AG52" i="6" s="1"/>
  <c r="T218" i="5"/>
  <c r="T219" i="5" s="1"/>
  <c r="W162" i="6"/>
  <c r="W164" i="6" s="1"/>
  <c r="W165" i="6" s="1"/>
  <c r="Y256" i="6"/>
  <c r="Y258" i="6" s="1"/>
  <c r="Y259" i="6" s="1"/>
  <c r="R183" i="14"/>
  <c r="R184" i="14" s="1"/>
  <c r="V292" i="6"/>
  <c r="V294" i="6" s="1"/>
  <c r="V295" i="6" s="1"/>
  <c r="CK32" i="8"/>
  <c r="CL32" i="8" s="1"/>
  <c r="AG161" i="5"/>
  <c r="AG162" i="5" s="1"/>
  <c r="U292" i="6"/>
  <c r="U294" i="6" s="1"/>
  <c r="U295" i="6" s="1"/>
  <c r="Z55" i="5"/>
  <c r="Z56" i="5" s="1"/>
  <c r="AB97" i="5"/>
  <c r="AB98" i="5" s="1"/>
  <c r="BL47" i="8"/>
  <c r="BM47" i="8" s="1"/>
  <c r="W68" i="6"/>
  <c r="W70" i="6" s="1"/>
  <c r="W71" i="6" s="1"/>
  <c r="EZ24" i="8"/>
  <c r="FA24" i="8" s="1"/>
  <c r="AG55" i="5"/>
  <c r="AG56" i="5" s="1"/>
  <c r="AH97" i="5"/>
  <c r="AH98" i="5" s="1"/>
  <c r="CW25" i="8"/>
  <c r="CX25" i="8" s="1"/>
  <c r="X292" i="6"/>
  <c r="X294" i="6" s="1"/>
  <c r="X295" i="6" s="1"/>
  <c r="U330" i="6"/>
  <c r="U332" i="6" s="1"/>
  <c r="U333" i="6" s="1"/>
  <c r="IA14" i="8"/>
  <c r="IB14" i="8" s="1"/>
  <c r="AH77" i="5"/>
  <c r="AH78" i="5" s="1"/>
  <c r="AH199" i="5"/>
  <c r="AH200" i="5" s="1"/>
  <c r="AG124" i="6"/>
  <c r="AG126" i="6" s="1"/>
  <c r="AG127" i="6" s="1"/>
  <c r="CW24" i="8"/>
  <c r="CX24" i="8" s="1"/>
  <c r="Z12" i="5"/>
  <c r="Z13" i="5" s="1"/>
  <c r="V97" i="5"/>
  <c r="V98" i="5" s="1"/>
  <c r="W219" i="6"/>
  <c r="W221" i="6" s="1"/>
  <c r="W222" i="6" s="1"/>
  <c r="X200" i="6"/>
  <c r="X202" i="6" s="1"/>
  <c r="X203" i="6" s="1"/>
  <c r="AB66" i="8"/>
  <c r="AC66" i="8" s="1"/>
  <c r="CK30" i="8"/>
  <c r="CL30" i="8" s="1"/>
  <c r="Z200" i="6"/>
  <c r="Z202" i="6" s="1"/>
  <c r="Z203" i="6" s="1"/>
  <c r="CK28" i="8"/>
  <c r="CL28" i="8" s="1"/>
  <c r="FZ13" i="8"/>
  <c r="GA13" i="8" s="1"/>
  <c r="CK13" i="8"/>
  <c r="CL13" i="8" s="1"/>
  <c r="N183" i="14"/>
  <c r="N184" i="14" s="1"/>
  <c r="CK13" i="30"/>
  <c r="CL13" i="30" s="1"/>
  <c r="EL21" i="8"/>
  <c r="EM21" i="8" s="1"/>
  <c r="DZ53" i="8"/>
  <c r="EA53" i="8" s="1"/>
  <c r="V199" i="5"/>
  <c r="V200" i="5" s="1"/>
  <c r="V274" i="6"/>
  <c r="V276" i="6" s="1"/>
  <c r="V277" i="6" s="1"/>
  <c r="BL49" i="8"/>
  <c r="BM49" i="8" s="1"/>
  <c r="AC49" i="6"/>
  <c r="AC51" i="6" s="1"/>
  <c r="AC52" i="6" s="1"/>
  <c r="GZ13" i="8"/>
  <c r="HA13" i="8" s="1"/>
  <c r="CK34" i="8"/>
  <c r="CL34" i="8" s="1"/>
  <c r="AZ46" i="8"/>
  <c r="BA46" i="8" s="1"/>
  <c r="AF32" i="5"/>
  <c r="AF33" i="5" s="1"/>
  <c r="AB60" i="8"/>
  <c r="AC60" i="8" s="1"/>
  <c r="FM9" i="8"/>
  <c r="FN9" i="8" s="1"/>
  <c r="CW17" i="8"/>
  <c r="CX17" i="8" s="1"/>
  <c r="AD77" i="5"/>
  <c r="AD78" i="5" s="1"/>
  <c r="W318" i="5"/>
  <c r="W319" i="5" s="1"/>
  <c r="IA15" i="8"/>
  <c r="IB15" i="8" s="1"/>
  <c r="Y299" i="5"/>
  <c r="Y300" i="5" s="1"/>
  <c r="W238" i="6"/>
  <c r="W240" i="6" s="1"/>
  <c r="W241" i="6" s="1"/>
  <c r="FM25" i="8"/>
  <c r="FN25" i="8" s="1"/>
  <c r="FM17" i="8"/>
  <c r="FN17" i="8" s="1"/>
  <c r="V49" i="6"/>
  <c r="V51" i="6" s="1"/>
  <c r="V52" i="6" s="1"/>
  <c r="AH55" i="5"/>
  <c r="AH56" i="5" s="1"/>
  <c r="X97" i="5"/>
  <c r="X98" i="5" s="1"/>
  <c r="BY11" i="8"/>
  <c r="BZ11" i="8" s="1"/>
  <c r="AZ61" i="8"/>
  <c r="BA61" i="8" s="1"/>
  <c r="U260" i="5"/>
  <c r="U261" i="5" s="1"/>
  <c r="AE141" i="5"/>
  <c r="AE142" i="5" s="1"/>
  <c r="T260" i="5"/>
  <c r="T261" i="5" s="1"/>
  <c r="AA124" i="6"/>
  <c r="AA126" i="6" s="1"/>
  <c r="AA127" i="6" s="1"/>
  <c r="BY35" i="8"/>
  <c r="BZ35" i="8" s="1"/>
  <c r="AA162" i="6"/>
  <c r="AA164" i="6" s="1"/>
  <c r="AA165" i="6" s="1"/>
  <c r="AD200" i="6"/>
  <c r="AD202" i="6" s="1"/>
  <c r="AD203" i="6" s="1"/>
  <c r="X143" i="6"/>
  <c r="X145" i="6" s="1"/>
  <c r="X146" i="6" s="1"/>
  <c r="BY14" i="30"/>
  <c r="BZ14" i="30" s="1"/>
  <c r="IM27" i="8"/>
  <c r="IN27" i="8" s="1"/>
  <c r="AD97" i="5"/>
  <c r="AD98" i="5" s="1"/>
  <c r="HM30" i="8"/>
  <c r="HN30" i="8" s="1"/>
  <c r="AF77" i="5"/>
  <c r="AF78" i="5" s="1"/>
  <c r="IM39" i="8"/>
  <c r="IN39" i="8" s="1"/>
  <c r="FM13" i="8"/>
  <c r="FN13" i="8" s="1"/>
  <c r="IM29" i="8"/>
  <c r="IN29" i="8" s="1"/>
  <c r="X161" i="5"/>
  <c r="X162" i="5" s="1"/>
  <c r="AD256" i="6"/>
  <c r="AD258" i="6" s="1"/>
  <c r="AD259" i="6" s="1"/>
  <c r="BY11" i="30"/>
  <c r="BZ11" i="30" s="1"/>
  <c r="AH161" i="5"/>
  <c r="AH162" i="5" s="1"/>
  <c r="V105" i="6"/>
  <c r="V107" i="6" s="1"/>
  <c r="V108" i="6" s="1"/>
  <c r="Z77" i="5"/>
  <c r="Z78" i="5" s="1"/>
  <c r="IM8" i="8"/>
  <c r="IN8" i="8" s="1"/>
  <c r="V260" i="5"/>
  <c r="V261" i="5" s="1"/>
  <c r="AH32" i="5"/>
  <c r="AH33" i="5" s="1"/>
  <c r="V124" i="6"/>
  <c r="V126" i="6" s="1"/>
  <c r="V127" i="6" s="1"/>
  <c r="AD162" i="6"/>
  <c r="AD164" i="6" s="1"/>
  <c r="AD165" i="6" s="1"/>
  <c r="V219" i="6"/>
  <c r="V221" i="6" s="1"/>
  <c r="V222" i="6" s="1"/>
  <c r="AH124" i="6"/>
  <c r="AH126" i="6" s="1"/>
  <c r="AH127" i="6" s="1"/>
  <c r="CK12" i="30"/>
  <c r="CL12" i="30" s="1"/>
  <c r="CK29" i="30"/>
  <c r="CL29" i="30" s="1"/>
  <c r="Y238" i="6"/>
  <c r="Y240" i="6" s="1"/>
  <c r="Y241" i="6" s="1"/>
  <c r="DZ29" i="8"/>
  <c r="EA29" i="8" s="1"/>
  <c r="Z274" i="6"/>
  <c r="Z276" i="6" s="1"/>
  <c r="Z277" i="6" s="1"/>
  <c r="AI274" i="6"/>
  <c r="AI276" i="6" s="1"/>
  <c r="AI277" i="6" s="1"/>
  <c r="FM14" i="8"/>
  <c r="FN14" i="8" s="1"/>
  <c r="EZ12" i="8"/>
  <c r="FA12" i="8" s="1"/>
  <c r="CK16" i="8"/>
  <c r="CL16" i="8" s="1"/>
  <c r="BY21" i="8"/>
  <c r="BZ21" i="8" s="1"/>
  <c r="AC274" i="6"/>
  <c r="AC276" i="6" s="1"/>
  <c r="AC277" i="6" s="1"/>
  <c r="FZ14" i="8"/>
  <c r="GA14" i="8" s="1"/>
  <c r="EZ19" i="8"/>
  <c r="FA19" i="8" s="1"/>
  <c r="W124" i="6"/>
  <c r="W126" i="6" s="1"/>
  <c r="W127" i="6" s="1"/>
  <c r="CW28" i="8"/>
  <c r="CX28" i="8" s="1"/>
  <c r="IM31" i="8"/>
  <c r="IN31" i="8" s="1"/>
  <c r="AF97" i="5"/>
  <c r="AF98" i="5" s="1"/>
  <c r="V87" i="6"/>
  <c r="V89" i="6" s="1"/>
  <c r="V90" i="6" s="1"/>
  <c r="EL9" i="8"/>
  <c r="EM9" i="8" s="1"/>
  <c r="W199" i="5"/>
  <c r="W200" i="5" s="1"/>
  <c r="AD49" i="6"/>
  <c r="AD51" i="6" s="1"/>
  <c r="AD52" i="6" s="1"/>
  <c r="AI10" i="6"/>
  <c r="AI12" i="6" s="1"/>
  <c r="AI13" i="6" s="1"/>
  <c r="FM12" i="8"/>
  <c r="FN12" i="8" s="1"/>
  <c r="CW16" i="8"/>
  <c r="CX16" i="8" s="1"/>
  <c r="EZ20" i="8"/>
  <c r="FA20" i="8" s="1"/>
  <c r="Z49" i="6"/>
  <c r="Z51" i="6" s="1"/>
  <c r="Z52" i="6" s="1"/>
  <c r="HM22" i="8"/>
  <c r="HN22" i="8" s="1"/>
  <c r="BL50" i="8"/>
  <c r="BM50" i="8" s="1"/>
  <c r="T77" i="5"/>
  <c r="T78" i="5" s="1"/>
  <c r="X124" i="6"/>
  <c r="X126" i="6" s="1"/>
  <c r="X127" i="6" s="1"/>
  <c r="IM37" i="8"/>
  <c r="IN37" i="8" s="1"/>
  <c r="BY13" i="8"/>
  <c r="BZ13" i="8" s="1"/>
  <c r="EZ21" i="8"/>
  <c r="FA21" i="8" s="1"/>
  <c r="W77" i="5"/>
  <c r="W78" i="5" s="1"/>
  <c r="IM35" i="8"/>
  <c r="IN35" i="8" s="1"/>
  <c r="BY15" i="8"/>
  <c r="BZ15" i="8" s="1"/>
  <c r="U181" i="6"/>
  <c r="U183" i="6" s="1"/>
  <c r="U184" i="6" s="1"/>
  <c r="T186" i="6" s="1"/>
  <c r="T187" i="6" s="1"/>
  <c r="CW13" i="8"/>
  <c r="CX13" i="8" s="1"/>
  <c r="CK16" i="30"/>
  <c r="CL16" i="30" s="1"/>
  <c r="AA161" i="5"/>
  <c r="AA162" i="5" s="1"/>
  <c r="HM32" i="8"/>
  <c r="HN32" i="8" s="1"/>
  <c r="S253" i="14"/>
  <c r="S254" i="14" s="1"/>
  <c r="CK26" i="30"/>
  <c r="CL26" i="30" s="1"/>
  <c r="DZ50" i="8"/>
  <c r="EA50" i="8" s="1"/>
  <c r="FM16" i="8"/>
  <c r="FN16" i="8" s="1"/>
  <c r="BY34" i="8"/>
  <c r="BZ34" i="8" s="1"/>
  <c r="AF124" i="6"/>
  <c r="AF126" i="6" s="1"/>
  <c r="AF127" i="6" s="1"/>
  <c r="T141" i="5"/>
  <c r="T142" i="5" s="1"/>
  <c r="BL43" i="8"/>
  <c r="BM43" i="8" s="1"/>
  <c r="IM19" i="8"/>
  <c r="IN19" i="8" s="1"/>
  <c r="AB12" i="5"/>
  <c r="AB13" i="5" s="1"/>
  <c r="AG274" i="6"/>
  <c r="AG276" i="6" s="1"/>
  <c r="AG277" i="6" s="1"/>
  <c r="AB61" i="8"/>
  <c r="AC61" i="8" s="1"/>
  <c r="T199" i="5"/>
  <c r="T200" i="5" s="1"/>
  <c r="AC97" i="5"/>
  <c r="AC98" i="5" s="1"/>
  <c r="EZ8" i="8"/>
  <c r="FA8" i="8" s="1"/>
  <c r="AA218" i="5"/>
  <c r="AA219" i="5" s="1"/>
  <c r="FM24" i="8"/>
  <c r="FN24" i="8" s="1"/>
  <c r="Y12" i="5"/>
  <c r="Y13" i="5" s="1"/>
  <c r="BL37" i="8"/>
  <c r="BM37" i="8" s="1"/>
  <c r="CW15" i="8"/>
  <c r="CX15" i="8" s="1"/>
  <c r="BL42" i="8"/>
  <c r="BM42" i="8" s="1"/>
  <c r="CW11" i="8"/>
  <c r="CX11" i="8" s="1"/>
  <c r="EZ18" i="8"/>
  <c r="FA18" i="8" s="1"/>
  <c r="T253" i="14"/>
  <c r="T254" i="14" s="1"/>
  <c r="AF218" i="5"/>
  <c r="AF219" i="5" s="1"/>
  <c r="X238" i="6"/>
  <c r="X240" i="6" s="1"/>
  <c r="X241" i="6" s="1"/>
  <c r="Z162" i="6"/>
  <c r="Z164" i="6" s="1"/>
  <c r="Z165" i="6" s="1"/>
  <c r="DN12" i="8"/>
  <c r="DO12" i="8" s="1"/>
  <c r="AG143" i="6"/>
  <c r="AG145" i="6" s="1"/>
  <c r="AG146" i="6" s="1"/>
  <c r="CW12" i="8"/>
  <c r="CX12" i="8" s="1"/>
  <c r="DZ47" i="8"/>
  <c r="EA47" i="8" s="1"/>
  <c r="AA141" i="5"/>
  <c r="AA142" i="5" s="1"/>
  <c r="AA181" i="6"/>
  <c r="AA183" i="6" s="1"/>
  <c r="AA184" i="6" s="1"/>
  <c r="U299" i="5"/>
  <c r="U300" i="5" s="1"/>
  <c r="X10" i="6"/>
  <c r="X12" i="6" s="1"/>
  <c r="X13" i="6" s="1"/>
  <c r="AC141" i="5"/>
  <c r="AC142" i="5" s="1"/>
  <c r="V218" i="5"/>
  <c r="V219" i="5" s="1"/>
  <c r="CK22" i="8"/>
  <c r="CL22" i="8" s="1"/>
  <c r="T97" i="5"/>
  <c r="T98" i="5" s="1"/>
  <c r="S100" i="5" s="1"/>
  <c r="AG101" i="5" s="1"/>
  <c r="AG105" i="5" s="1"/>
  <c r="AH104" i="5" s="1"/>
  <c r="AH105" i="5" s="1"/>
  <c r="U12" i="5"/>
  <c r="U13" i="5" s="1"/>
  <c r="S15" i="5" s="1"/>
  <c r="DZ25" i="8"/>
  <c r="EA25" i="8" s="1"/>
  <c r="AB260" i="5"/>
  <c r="AB261" i="5" s="1"/>
  <c r="BY8" i="30"/>
  <c r="BZ8" i="30" s="1"/>
  <c r="X299" i="5"/>
  <c r="X300" i="5" s="1"/>
  <c r="BY13" i="30"/>
  <c r="BZ13" i="30" s="1"/>
  <c r="AO313" i="6"/>
  <c r="AO314" i="6" s="1"/>
  <c r="CK18" i="8"/>
  <c r="CL18" i="8" s="1"/>
  <c r="IM23" i="8"/>
  <c r="IN23" i="8" s="1"/>
  <c r="BY26" i="8"/>
  <c r="BZ26" i="8" s="1"/>
  <c r="BL41" i="8"/>
  <c r="BM41" i="8" s="1"/>
  <c r="AE161" i="5"/>
  <c r="AE162" i="5" s="1"/>
  <c r="Y330" i="6"/>
  <c r="Y332" i="6" s="1"/>
  <c r="Y333" i="6" s="1"/>
  <c r="CK15" i="8"/>
  <c r="CL15" i="8" s="1"/>
  <c r="IA13" i="8"/>
  <c r="IB13" i="8" s="1"/>
  <c r="CK28" i="30"/>
  <c r="CL28" i="30" s="1"/>
  <c r="T32" i="5"/>
  <c r="T33" i="5" s="1"/>
  <c r="BY10" i="8"/>
  <c r="BZ10" i="8" s="1"/>
  <c r="R253" i="14"/>
  <c r="R254" i="14" s="1"/>
  <c r="EL15" i="8"/>
  <c r="EM15" i="8" s="1"/>
  <c r="U32" i="5"/>
  <c r="U33" i="5" s="1"/>
  <c r="AC55" i="5"/>
  <c r="AC56" i="5" s="1"/>
  <c r="Z330" i="6"/>
  <c r="Z332" i="6" s="1"/>
  <c r="Z333" i="6" s="1"/>
  <c r="Z97" i="5"/>
  <c r="Z98" i="5" s="1"/>
  <c r="GZ8" i="8"/>
  <c r="HA8" i="8" s="1"/>
  <c r="W141" i="5"/>
  <c r="W142" i="5" s="1"/>
  <c r="V143" i="6"/>
  <c r="V145" i="6" s="1"/>
  <c r="V146" i="6" s="1"/>
  <c r="Z120" i="5"/>
  <c r="Z121" i="5" s="1"/>
  <c r="AA49" i="6"/>
  <c r="AA51" i="6" s="1"/>
  <c r="AA52" i="6" s="1"/>
  <c r="T120" i="5"/>
  <c r="T121" i="5" s="1"/>
  <c r="S123" i="5" s="1"/>
  <c r="S124" i="5" s="1"/>
  <c r="AH49" i="6"/>
  <c r="AH51" i="6" s="1"/>
  <c r="AH52" i="6" s="1"/>
  <c r="IM17" i="8"/>
  <c r="IN17" i="8" s="1"/>
  <c r="W49" i="6"/>
  <c r="W51" i="6" s="1"/>
  <c r="W52" i="6" s="1"/>
  <c r="U77" i="5"/>
  <c r="U78" i="5" s="1"/>
  <c r="W299" i="5"/>
  <c r="W300" i="5" s="1"/>
  <c r="CW22" i="8"/>
  <c r="CX22" i="8" s="1"/>
  <c r="FM21" i="8"/>
  <c r="FN21" i="8" s="1"/>
  <c r="Z68" i="6"/>
  <c r="Z70" i="6" s="1"/>
  <c r="Z71" i="6" s="1"/>
  <c r="BL34" i="8"/>
  <c r="BM34" i="8" s="1"/>
  <c r="CK24" i="8"/>
  <c r="CL24" i="8" s="1"/>
  <c r="R58" i="14"/>
  <c r="R59" i="14" s="1"/>
  <c r="EZ10" i="8"/>
  <c r="FA10" i="8" s="1"/>
  <c r="Z199" i="5"/>
  <c r="Z200" i="5" s="1"/>
  <c r="IM13" i="8"/>
  <c r="IN13" i="8" s="1"/>
  <c r="EL19" i="8"/>
  <c r="EM19" i="8" s="1"/>
  <c r="FM20" i="8"/>
  <c r="FN20" i="8" s="1"/>
  <c r="Y120" i="5"/>
  <c r="Y121" i="5" s="1"/>
  <c r="L165" i="14"/>
  <c r="L166" i="14" s="1"/>
  <c r="AD181" i="6"/>
  <c r="AD183" i="6" s="1"/>
  <c r="AD184" i="6" s="1"/>
  <c r="AZ56" i="8"/>
  <c r="BA56" i="8" s="1"/>
  <c r="AA55" i="5"/>
  <c r="AA56" i="5" s="1"/>
  <c r="Y162" i="6"/>
  <c r="Y164" i="6" s="1"/>
  <c r="Y165" i="6" s="1"/>
  <c r="HM13" i="8"/>
  <c r="HN13" i="8" s="1"/>
  <c r="AG97" i="5"/>
  <c r="AG98" i="5" s="1"/>
  <c r="AE32" i="5"/>
  <c r="AE33" i="5" s="1"/>
  <c r="BY37" i="8"/>
  <c r="BZ37" i="8" s="1"/>
  <c r="BY9" i="8"/>
  <c r="BZ9" i="8" s="1"/>
  <c r="EL17" i="8"/>
  <c r="EM17" i="8" s="1"/>
  <c r="DZ20" i="8"/>
  <c r="EA20" i="8" s="1"/>
  <c r="AQ313" i="6"/>
  <c r="AQ314" i="6" s="1"/>
  <c r="X330" i="6"/>
  <c r="X332" i="6" s="1"/>
  <c r="X333" i="6" s="1"/>
  <c r="Q93" i="14"/>
  <c r="Q94" i="14" s="1"/>
  <c r="U253" i="14"/>
  <c r="U254" i="14" s="1"/>
  <c r="FZ15" i="8"/>
  <c r="GA15" i="8" s="1"/>
  <c r="V238" i="6"/>
  <c r="V240" i="6" s="1"/>
  <c r="V241" i="6" s="1"/>
  <c r="AB68" i="8"/>
  <c r="AC68" i="8" s="1"/>
  <c r="CK23" i="30"/>
  <c r="CL23" i="30" s="1"/>
  <c r="V299" i="5"/>
  <c r="V300" i="5" s="1"/>
  <c r="I81" i="2"/>
  <c r="BM15" i="30"/>
  <c r="BN15" i="30" s="1"/>
  <c r="H10" i="5"/>
  <c r="L9" i="5"/>
  <c r="H29" i="6"/>
  <c r="G30" i="6" s="1"/>
  <c r="L28" i="6"/>
  <c r="E17" i="35" l="1"/>
  <c r="D18" i="35" s="1"/>
  <c r="F17" i="35"/>
  <c r="BV3" i="30"/>
  <c r="X183" i="2" s="1"/>
  <c r="B183" i="2" s="1"/>
  <c r="S80" i="5"/>
  <c r="S81" i="5" s="1"/>
  <c r="W83" i="5" s="1"/>
  <c r="AN314" i="6"/>
  <c r="C96" i="14"/>
  <c r="C61" i="14"/>
  <c r="C63" i="14" s="1"/>
  <c r="S282" i="5"/>
  <c r="S283" i="5" s="1"/>
  <c r="T279" i="6"/>
  <c r="T280" i="6" s="1"/>
  <c r="AA333" i="6"/>
  <c r="T335" i="6" s="1"/>
  <c r="T336" i="6" s="1"/>
  <c r="DK3" i="8"/>
  <c r="DK4" i="8" s="1"/>
  <c r="T110" i="6"/>
  <c r="T111" i="6" s="1"/>
  <c r="T15" i="6"/>
  <c r="T16" i="6" s="1"/>
  <c r="C168" i="14"/>
  <c r="DW3" i="8"/>
  <c r="DW4" i="8" s="1"/>
  <c r="S321" i="5"/>
  <c r="S322" i="5" s="1"/>
  <c r="HJ3" i="8"/>
  <c r="HJ4" i="8" s="1"/>
  <c r="T34" i="6"/>
  <c r="T35" i="6" s="1"/>
  <c r="S221" i="5"/>
  <c r="X38" i="2" s="1"/>
  <c r="B38" i="2" s="1"/>
  <c r="D19" i="34" s="1"/>
  <c r="E19" i="34" s="1"/>
  <c r="AC78" i="5"/>
  <c r="EI3" i="8"/>
  <c r="EI4" i="8" s="1"/>
  <c r="HX3" i="8"/>
  <c r="X120" i="2" s="1"/>
  <c r="B120" i="2" s="1"/>
  <c r="D18" i="34" s="1"/>
  <c r="E18" i="34" s="1"/>
  <c r="C186" i="14"/>
  <c r="T92" i="6"/>
  <c r="T93" i="6" s="1"/>
  <c r="S144" i="5"/>
  <c r="S145" i="5" s="1"/>
  <c r="S263" i="5"/>
  <c r="S264" i="5" s="1"/>
  <c r="S16" i="5"/>
  <c r="S202" i="5"/>
  <c r="X79" i="2" s="1"/>
  <c r="B79" i="2" s="1"/>
  <c r="IJ3" i="8"/>
  <c r="IJ4" i="8" s="1"/>
  <c r="Y3" i="8"/>
  <c r="Y4" i="8" s="1"/>
  <c r="EV3" i="8"/>
  <c r="EV4" i="8" s="1"/>
  <c r="S35" i="5"/>
  <c r="S36" i="5" s="1"/>
  <c r="C256" i="14"/>
  <c r="X326" i="2" s="1"/>
  <c r="B326" i="2" s="1"/>
  <c r="S302" i="5"/>
  <c r="S303" i="5" s="1"/>
  <c r="CT3" i="8"/>
  <c r="CT4" i="8" s="1"/>
  <c r="S164" i="5"/>
  <c r="S165" i="5" s="1"/>
  <c r="T54" i="6"/>
  <c r="T55" i="6" s="1"/>
  <c r="AW3" i="8"/>
  <c r="AW4" i="8" s="1"/>
  <c r="T297" i="6"/>
  <c r="T298" i="6" s="1"/>
  <c r="BI3" i="8"/>
  <c r="BI4" i="8" s="1"/>
  <c r="BV3" i="8"/>
  <c r="BV4" i="8" s="1"/>
  <c r="T73" i="6"/>
  <c r="U75" i="6" s="1"/>
  <c r="T261" i="6"/>
  <c r="T262" i="6" s="1"/>
  <c r="T129" i="6"/>
  <c r="T130" i="6" s="1"/>
  <c r="S101" i="5"/>
  <c r="BM16" i="30"/>
  <c r="BN16" i="30" s="1"/>
  <c r="G11" i="5"/>
  <c r="H30" i="6"/>
  <c r="G31" i="6" s="1"/>
  <c r="L29" i="6"/>
  <c r="E18" i="35" l="1"/>
  <c r="D19" i="35" s="1"/>
  <c r="F18" i="35"/>
  <c r="S203" i="5"/>
  <c r="I79" i="2"/>
  <c r="HX4" i="8"/>
  <c r="I120" i="2"/>
  <c r="BV4" i="30"/>
  <c r="I326" i="2"/>
  <c r="BY5" i="30"/>
  <c r="S222" i="5"/>
  <c r="T74" i="6"/>
  <c r="BM17" i="30"/>
  <c r="BN17" i="30" s="1"/>
  <c r="BJ3" i="30" s="1"/>
  <c r="X172" i="2" s="1"/>
  <c r="B172" i="2" s="1"/>
  <c r="D112" i="34" s="1"/>
  <c r="E112" i="34" s="1"/>
  <c r="L10" i="5"/>
  <c r="H11" i="5"/>
  <c r="H31" i="6"/>
  <c r="G32" i="6" s="1"/>
  <c r="L30" i="6"/>
  <c r="E19" i="35" l="1"/>
  <c r="D20" i="35" s="1"/>
  <c r="F19" i="35"/>
  <c r="I38" i="2"/>
  <c r="I183" i="2"/>
  <c r="BJ4" i="30"/>
  <c r="G12" i="5"/>
  <c r="H32" i="6"/>
  <c r="G33" i="6" s="1"/>
  <c r="L31" i="6"/>
  <c r="O617" i="18"/>
  <c r="N617" i="18"/>
  <c r="M617" i="18"/>
  <c r="L617" i="18"/>
  <c r="K617" i="18"/>
  <c r="J617" i="18"/>
  <c r="I617" i="18"/>
  <c r="H617" i="18"/>
  <c r="G617" i="18"/>
  <c r="F617" i="18"/>
  <c r="O582" i="18"/>
  <c r="N582" i="18"/>
  <c r="M582" i="18"/>
  <c r="L582" i="18"/>
  <c r="K582" i="18"/>
  <c r="J582" i="18"/>
  <c r="I582" i="18"/>
  <c r="H582" i="18"/>
  <c r="G582" i="18"/>
  <c r="F582" i="18"/>
  <c r="I323" i="18"/>
  <c r="I324" i="18" s="1"/>
  <c r="H401" i="18"/>
  <c r="G482" i="18"/>
  <c r="G483" i="18" s="1"/>
  <c r="I401" i="18"/>
  <c r="I267" i="18"/>
  <c r="I268" i="18" s="1"/>
  <c r="H482" i="18"/>
  <c r="H483" i="18" s="1"/>
  <c r="I305" i="18"/>
  <c r="I306" i="18" s="1"/>
  <c r="H438" i="18"/>
  <c r="H439" i="18" s="1"/>
  <c r="C441" i="18" s="1"/>
  <c r="C442" i="18" s="1"/>
  <c r="I249" i="18"/>
  <c r="I250" i="18" s="1"/>
  <c r="J401" i="18"/>
  <c r="J249" i="18"/>
  <c r="J250" i="18" s="1"/>
  <c r="J267" i="18"/>
  <c r="J268" i="18" s="1"/>
  <c r="K249" i="18"/>
  <c r="K250" i="18" s="1"/>
  <c r="J305" i="18"/>
  <c r="J306" i="18" s="1"/>
  <c r="I482" i="18"/>
  <c r="I483" i="18" s="1"/>
  <c r="K401" i="18"/>
  <c r="J482" i="18"/>
  <c r="J483" i="18" s="1"/>
  <c r="K267" i="18"/>
  <c r="K268" i="18" s="1"/>
  <c r="L249" i="18"/>
  <c r="L250" i="18" s="1"/>
  <c r="K305" i="18"/>
  <c r="K306" i="18" s="1"/>
  <c r="J323" i="18"/>
  <c r="J324" i="18" s="1"/>
  <c r="L401" i="18"/>
  <c r="HA23" i="8"/>
  <c r="K482" i="18"/>
  <c r="K483" i="18" s="1"/>
  <c r="L305" i="18"/>
  <c r="L306" i="18" s="1"/>
  <c r="L267" i="18"/>
  <c r="L268" i="18" s="1"/>
  <c r="M249" i="18"/>
  <c r="M250" i="18" s="1"/>
  <c r="K323" i="18"/>
  <c r="K324" i="18" s="1"/>
  <c r="M401" i="18"/>
  <c r="HA24" i="8"/>
  <c r="M267" i="18"/>
  <c r="M268" i="18" s="1"/>
  <c r="L323" i="18"/>
  <c r="L324" i="18" s="1"/>
  <c r="L482" i="18"/>
  <c r="L483" i="18" s="1"/>
  <c r="M305" i="18"/>
  <c r="M306" i="18" s="1"/>
  <c r="HA25" i="8"/>
  <c r="M482" i="18"/>
  <c r="M483" i="18" s="1"/>
  <c r="N267" i="18"/>
  <c r="N268" i="18" s="1"/>
  <c r="N305" i="18"/>
  <c r="N306" i="18" s="1"/>
  <c r="M323" i="18"/>
  <c r="M324" i="18" s="1"/>
  <c r="HA26" i="8"/>
  <c r="N323" i="18"/>
  <c r="N324" i="18" s="1"/>
  <c r="O305" i="18"/>
  <c r="O306" i="18" s="1"/>
  <c r="N482" i="18"/>
  <c r="N483" i="18" s="1"/>
  <c r="O267" i="18"/>
  <c r="O268" i="18" s="1"/>
  <c r="HA27" i="8"/>
  <c r="P267" i="18"/>
  <c r="P268" i="18" s="1"/>
  <c r="O482" i="18"/>
  <c r="O483" i="18" s="1"/>
  <c r="P305" i="18"/>
  <c r="P306" i="18" s="1"/>
  <c r="O323" i="18"/>
  <c r="O324" i="18" s="1"/>
  <c r="HA28" i="8"/>
  <c r="P482" i="18"/>
  <c r="P483" i="18" s="1"/>
  <c r="Q267" i="18"/>
  <c r="Q268" i="18" s="1"/>
  <c r="Q305" i="18"/>
  <c r="Q306" i="18" s="1"/>
  <c r="P323" i="18"/>
  <c r="P324" i="18" s="1"/>
  <c r="HA29" i="8"/>
  <c r="R305" i="18"/>
  <c r="R306" i="18" s="1"/>
  <c r="R267" i="18"/>
  <c r="R268" i="18" s="1"/>
  <c r="Q482" i="18"/>
  <c r="Q483" i="18" s="1"/>
  <c r="Q323" i="18"/>
  <c r="Q324" i="18" s="1"/>
  <c r="HA30" i="8"/>
  <c r="S305" i="18"/>
  <c r="S306" i="18" s="1"/>
  <c r="R323" i="18"/>
  <c r="R324" i="18" s="1"/>
  <c r="S267" i="18"/>
  <c r="S268" i="18" s="1"/>
  <c r="R482" i="18"/>
  <c r="R483" i="18" s="1"/>
  <c r="HA31" i="8"/>
  <c r="T267" i="18"/>
  <c r="T268" i="18" s="1"/>
  <c r="T305" i="18"/>
  <c r="T306" i="18" s="1"/>
  <c r="HA32" i="8"/>
  <c r="U267" i="18"/>
  <c r="U268" i="18" s="1"/>
  <c r="U305" i="18"/>
  <c r="U306" i="18" s="1"/>
  <c r="HA33" i="8"/>
  <c r="V267" i="18"/>
  <c r="V268" i="18" s="1"/>
  <c r="V305" i="18"/>
  <c r="V306" i="18" s="1"/>
  <c r="GA28" i="8"/>
  <c r="HA34" i="8"/>
  <c r="W267" i="18"/>
  <c r="W268" i="18" s="1"/>
  <c r="W305" i="18"/>
  <c r="W306" i="18" s="1"/>
  <c r="HA35" i="8"/>
  <c r="GA29" i="8"/>
  <c r="X305" i="18"/>
  <c r="X306" i="18" s="1"/>
  <c r="X267" i="18"/>
  <c r="X268" i="18" s="1"/>
  <c r="GA30" i="8"/>
  <c r="HA36" i="8"/>
  <c r="Y267" i="18"/>
  <c r="Y268" i="18" s="1"/>
  <c r="Y305" i="18"/>
  <c r="Y306" i="18" s="1"/>
  <c r="HA37" i="8"/>
  <c r="GA31" i="8"/>
  <c r="Z305" i="18"/>
  <c r="Z306" i="18" s="1"/>
  <c r="Z267" i="18"/>
  <c r="Z268" i="18" s="1"/>
  <c r="GA32" i="8"/>
  <c r="HA38" i="8"/>
  <c r="AA267" i="18"/>
  <c r="AA268" i="18" s="1"/>
  <c r="AA305" i="18"/>
  <c r="AA306" i="18" s="1"/>
  <c r="HA39" i="8"/>
  <c r="GA33" i="8"/>
  <c r="AB305" i="18"/>
  <c r="AB306" i="18" s="1"/>
  <c r="AB267" i="18"/>
  <c r="AB268" i="18" s="1"/>
  <c r="GA34" i="8"/>
  <c r="HA40" i="8"/>
  <c r="AC267" i="18"/>
  <c r="AC268" i="18" s="1"/>
  <c r="AC305" i="18"/>
  <c r="AC306" i="18" s="1"/>
  <c r="HA41" i="8"/>
  <c r="GA35" i="8"/>
  <c r="AD305" i="18"/>
  <c r="AD306" i="18" s="1"/>
  <c r="AD267" i="18"/>
  <c r="AD268" i="18" s="1"/>
  <c r="GA36" i="8"/>
  <c r="HA42" i="8"/>
  <c r="AE305" i="18"/>
  <c r="AE306" i="18" s="1"/>
  <c r="AE267" i="18"/>
  <c r="AE268" i="18" s="1"/>
  <c r="HA43" i="8"/>
  <c r="GA37" i="8"/>
  <c r="AF305" i="18"/>
  <c r="AF306" i="18" s="1"/>
  <c r="AF267" i="18"/>
  <c r="AF268" i="18" s="1"/>
  <c r="GA38" i="8"/>
  <c r="HA44" i="8"/>
  <c r="AG267" i="18"/>
  <c r="AG268" i="18" s="1"/>
  <c r="AG305" i="18"/>
  <c r="AG306" i="18" s="1"/>
  <c r="HA45" i="8"/>
  <c r="GA39" i="8"/>
  <c r="GA40" i="8"/>
  <c r="HA46" i="8"/>
  <c r="HA47" i="8"/>
  <c r="GA41" i="8"/>
  <c r="GA42" i="8"/>
  <c r="HA48" i="8"/>
  <c r="HA49" i="8"/>
  <c r="GA43" i="8"/>
  <c r="GA44" i="8"/>
  <c r="HA50" i="8"/>
  <c r="HA51" i="8"/>
  <c r="GA45" i="8"/>
  <c r="GA46" i="8"/>
  <c r="HA52" i="8"/>
  <c r="HA53" i="8"/>
  <c r="GA47" i="8"/>
  <c r="GA48" i="8"/>
  <c r="HA54" i="8"/>
  <c r="HA55" i="8"/>
  <c r="GA49" i="8"/>
  <c r="GA50" i="8"/>
  <c r="HA56" i="8"/>
  <c r="HA57" i="8"/>
  <c r="GA51" i="8"/>
  <c r="GA52" i="8"/>
  <c r="HA58" i="8"/>
  <c r="HA59" i="8"/>
  <c r="GA53" i="8"/>
  <c r="GA54" i="8"/>
  <c r="HA60" i="8"/>
  <c r="HA61" i="8"/>
  <c r="GA55" i="8"/>
  <c r="GA56" i="8"/>
  <c r="HA62" i="8"/>
  <c r="HA63" i="8"/>
  <c r="GA57" i="8"/>
  <c r="GA58" i="8"/>
  <c r="HA64" i="8"/>
  <c r="HA65" i="8"/>
  <c r="GA59" i="8"/>
  <c r="GA60" i="8"/>
  <c r="HA66" i="8"/>
  <c r="HA67" i="8"/>
  <c r="GA61" i="8"/>
  <c r="GA62" i="8"/>
  <c r="HA68" i="8"/>
  <c r="HA69" i="8"/>
  <c r="HA70" i="8"/>
  <c r="HA72" i="8"/>
  <c r="E20" i="35" l="1"/>
  <c r="D21" i="35" s="1"/>
  <c r="F20" i="35"/>
  <c r="C270" i="18"/>
  <c r="X117" i="2" s="1"/>
  <c r="B117" i="2" s="1"/>
  <c r="D145" i="34" s="1"/>
  <c r="E145" i="34" s="1"/>
  <c r="GW3" i="8"/>
  <c r="X152" i="2" s="1"/>
  <c r="FV3" i="8"/>
  <c r="X103" i="2" s="1"/>
  <c r="B103" i="2" s="1"/>
  <c r="D353" i="34" s="1"/>
  <c r="E353" i="34" s="1"/>
  <c r="L11" i="5"/>
  <c r="H12" i="5"/>
  <c r="H33" i="6"/>
  <c r="G34" i="6" s="1"/>
  <c r="L32" i="6"/>
  <c r="C485" i="18"/>
  <c r="X161" i="2" s="1"/>
  <c r="B161" i="2" s="1"/>
  <c r="D14" i="34" s="1"/>
  <c r="E14" i="34" s="1"/>
  <c r="C326" i="18"/>
  <c r="C327" i="18" s="1"/>
  <c r="C308" i="18"/>
  <c r="C309" i="18" s="1"/>
  <c r="C252" i="18"/>
  <c r="X115" i="2" s="1"/>
  <c r="B115" i="2" s="1"/>
  <c r="D144" i="34" s="1"/>
  <c r="E144" i="34" s="1"/>
  <c r="AG636" i="18"/>
  <c r="AG637" i="18"/>
  <c r="AF636" i="18"/>
  <c r="AF637" i="18"/>
  <c r="AE636" i="18"/>
  <c r="AE637" i="18"/>
  <c r="AD636" i="18"/>
  <c r="AD637" i="18"/>
  <c r="AC636" i="18"/>
  <c r="AC637" i="18"/>
  <c r="AB636" i="18"/>
  <c r="AB637" i="18"/>
  <c r="AA636" i="18"/>
  <c r="AA637" i="18"/>
  <c r="Z636" i="18"/>
  <c r="Z637" i="18"/>
  <c r="Y636" i="18"/>
  <c r="Y637" i="18"/>
  <c r="X636" i="18"/>
  <c r="X637" i="18"/>
  <c r="W636" i="18"/>
  <c r="W637" i="18"/>
  <c r="V636" i="18"/>
  <c r="V637" i="18"/>
  <c r="U636" i="18"/>
  <c r="U637" i="18"/>
  <c r="T636" i="18"/>
  <c r="T637" i="18"/>
  <c r="S636" i="18"/>
  <c r="S637" i="18"/>
  <c r="R636" i="18"/>
  <c r="R637" i="18"/>
  <c r="Q636" i="18"/>
  <c r="Q637" i="18"/>
  <c r="P636" i="18"/>
  <c r="P637" i="18"/>
  <c r="O636" i="18"/>
  <c r="O637" i="18"/>
  <c r="N636" i="18"/>
  <c r="N637" i="18"/>
  <c r="M636" i="18"/>
  <c r="M637" i="18"/>
  <c r="L636" i="18"/>
  <c r="L637" i="18"/>
  <c r="K636" i="18"/>
  <c r="K637" i="18"/>
  <c r="J636" i="18"/>
  <c r="J637" i="18"/>
  <c r="I636" i="18"/>
  <c r="I637" i="18"/>
  <c r="H636" i="18"/>
  <c r="H637" i="18"/>
  <c r="E21" i="35" l="1"/>
  <c r="D22" i="35" s="1"/>
  <c r="F21" i="35"/>
  <c r="I172" i="2"/>
  <c r="GW4" i="8"/>
  <c r="C253" i="18"/>
  <c r="C271" i="18"/>
  <c r="FV4" i="8"/>
  <c r="C486" i="18"/>
  <c r="G13" i="5"/>
  <c r="H34" i="6"/>
  <c r="G35" i="6" s="1"/>
  <c r="L33" i="6"/>
  <c r="C639" i="18"/>
  <c r="C640" i="18" s="1"/>
  <c r="E22" i="35" l="1"/>
  <c r="D23" i="35" s="1"/>
  <c r="F22" i="35"/>
  <c r="L12" i="5"/>
  <c r="H13" i="5"/>
  <c r="H35" i="6"/>
  <c r="L34" i="6"/>
  <c r="E23" i="35" l="1"/>
  <c r="D24" i="35" s="1"/>
  <c r="F23" i="35"/>
  <c r="I161" i="2"/>
  <c r="I115" i="2"/>
  <c r="I117" i="2"/>
  <c r="G14" i="5"/>
  <c r="E24" i="35" l="1"/>
  <c r="D25" i="35" s="1"/>
  <c r="F24" i="35"/>
  <c r="L13" i="5"/>
  <c r="N21" i="5" s="1"/>
  <c r="H14" i="5"/>
  <c r="E25" i="35" l="1"/>
  <c r="D26" i="35" s="1"/>
  <c r="F25" i="35"/>
  <c r="G15" i="5"/>
  <c r="E26" i="35" l="1"/>
  <c r="D27" i="35" s="1"/>
  <c r="F26" i="35"/>
  <c r="L14" i="5"/>
  <c r="H15" i="5"/>
  <c r="E27" i="35" l="1"/>
  <c r="D28" i="35" s="1"/>
  <c r="F27" i="35"/>
  <c r="G16" i="5"/>
  <c r="E28" i="35" l="1"/>
  <c r="D29" i="35" s="1"/>
  <c r="F28" i="35"/>
  <c r="L15" i="5"/>
  <c r="H16" i="5"/>
  <c r="E29" i="35" l="1"/>
  <c r="D30" i="35" s="1"/>
  <c r="F29" i="35"/>
  <c r="G17" i="5"/>
  <c r="E30" i="35" l="1"/>
  <c r="D31" i="35" s="1"/>
  <c r="F30" i="35"/>
  <c r="L16" i="5"/>
  <c r="H17" i="5"/>
  <c r="E31" i="35" l="1"/>
  <c r="D32" i="35" s="1"/>
  <c r="F31" i="35"/>
  <c r="G18" i="5"/>
  <c r="E32" i="35" l="1"/>
  <c r="D33" i="35" s="1"/>
  <c r="F32" i="35"/>
  <c r="H18" i="5"/>
  <c r="L17" i="5"/>
  <c r="E33" i="35" l="1"/>
  <c r="D34" i="35" s="1"/>
  <c r="F33" i="35"/>
  <c r="G19" i="5"/>
  <c r="E34" i="35" l="1"/>
  <c r="D35" i="35" s="1"/>
  <c r="F34" i="35"/>
  <c r="L18" i="5"/>
  <c r="H19" i="5"/>
  <c r="E35" i="35" l="1"/>
  <c r="F35" i="35"/>
  <c r="G22" i="5"/>
  <c r="G21" i="5"/>
  <c r="G20" i="5"/>
  <c r="FM51" i="8" a="1"/>
  <c r="FM51" i="8" l="1"/>
  <c r="FN51" i="8" s="1"/>
  <c r="L19" i="5"/>
  <c r="I20" i="5"/>
  <c r="J20" i="5" s="1"/>
  <c r="L21" i="5"/>
  <c r="H22" i="5"/>
  <c r="L20" i="5"/>
  <c r="I21" i="5"/>
  <c r="G24" i="5" l="1"/>
  <c r="L23" i="5" s="1"/>
  <c r="G23" i="5"/>
  <c r="L22" i="5" s="1"/>
  <c r="G25" i="5"/>
  <c r="L24" i="5" s="1"/>
  <c r="JW11" i="8" l="1"/>
  <c r="JW13" i="8" l="1"/>
  <c r="JW15" i="8" l="1"/>
  <c r="JW14" i="8"/>
  <c r="KV14" i="8" a="1"/>
  <c r="KV31" i="8" a="1"/>
  <c r="KV13" i="8" a="1"/>
  <c r="KV36" i="8" a="1"/>
  <c r="KV24" i="8" a="1"/>
  <c r="KV32" i="8" a="1"/>
  <c r="KV16" i="8" a="1"/>
  <c r="KV15" i="8" a="1"/>
  <c r="KV11" i="8" a="1"/>
  <c r="KV20" i="8" a="1"/>
  <c r="KV27" i="8" a="1"/>
  <c r="KV17" i="8" a="1"/>
  <c r="KV26" i="8" a="1"/>
  <c r="KV29" i="8" a="1"/>
  <c r="KV37" i="8" a="1"/>
  <c r="KV33" i="8" a="1"/>
  <c r="KV34" i="8" a="1"/>
  <c r="KV21" i="8" a="1"/>
  <c r="KV8" i="8" a="1"/>
  <c r="KV12" i="8" a="1"/>
  <c r="KV9" i="8" a="1"/>
  <c r="KV10" i="8" a="1"/>
  <c r="KV23" i="8" a="1"/>
  <c r="KV28" i="8" a="1"/>
  <c r="AM14" i="30" a="1"/>
  <c r="KV19" i="8" a="1"/>
  <c r="KV22" i="8" a="1"/>
  <c r="KV35" i="8" a="1"/>
  <c r="KV25" i="8" a="1"/>
  <c r="KV18" i="8" a="1"/>
  <c r="KV30" i="8" a="1"/>
  <c r="AM14" i="30" l="1"/>
  <c r="AN14" i="30" s="1"/>
  <c r="AJ3" i="30" s="1"/>
  <c r="KV31" i="8"/>
  <c r="KW31" i="8" s="1"/>
  <c r="KV30" i="8"/>
  <c r="KW30" i="8" s="1"/>
  <c r="KV35" i="8"/>
  <c r="KW35" i="8" s="1"/>
  <c r="KV34" i="8"/>
  <c r="KW34" i="8" s="1"/>
  <c r="KV32" i="8"/>
  <c r="KW32" i="8" s="1"/>
  <c r="KV19" i="8"/>
  <c r="KW19" i="8" s="1"/>
  <c r="KV20" i="8"/>
  <c r="KW20" i="8" s="1"/>
  <c r="KV29" i="8"/>
  <c r="KW29" i="8" s="1"/>
  <c r="KV14" i="8"/>
  <c r="KW14" i="8" s="1"/>
  <c r="KV12" i="8"/>
  <c r="KW12" i="8" s="1"/>
  <c r="KV15" i="8"/>
  <c r="KW15" i="8" s="1"/>
  <c r="KV36" i="8"/>
  <c r="KW36" i="8" s="1"/>
  <c r="KV17" i="8"/>
  <c r="KW17" i="8" s="1"/>
  <c r="KV28" i="8"/>
  <c r="KW28" i="8" s="1"/>
  <c r="KV24" i="8"/>
  <c r="KW24" i="8" s="1"/>
  <c r="KV13" i="8"/>
  <c r="KW13" i="8" s="1"/>
  <c r="KV8" i="8"/>
  <c r="KW8" i="8" s="1"/>
  <c r="KV9" i="8"/>
  <c r="KW9" i="8" s="1"/>
  <c r="KV33" i="8"/>
  <c r="KW33" i="8" s="1"/>
  <c r="KV11" i="8"/>
  <c r="KW11" i="8" s="1"/>
  <c r="KV21" i="8"/>
  <c r="KW21" i="8" s="1"/>
  <c r="KV18" i="8"/>
  <c r="KW18" i="8" s="1"/>
  <c r="KV26" i="8"/>
  <c r="KW26" i="8" s="1"/>
  <c r="KV22" i="8"/>
  <c r="KW22" i="8" s="1"/>
  <c r="KV27" i="8"/>
  <c r="KW27" i="8" s="1"/>
  <c r="KV16" i="8"/>
  <c r="KW16" i="8" s="1"/>
  <c r="KV23" i="8"/>
  <c r="KW23" i="8" s="1"/>
  <c r="KV10" i="8"/>
  <c r="KW10" i="8" s="1"/>
  <c r="KV37" i="8"/>
  <c r="KW37" i="8" s="1"/>
  <c r="KV25" i="8"/>
  <c r="KW25" i="8" s="1"/>
  <c r="JW16" i="8"/>
  <c r="Z8" i="30" a="1"/>
  <c r="KS3" i="8" l="1"/>
  <c r="X489" i="2" s="1"/>
  <c r="B489" i="2" s="1"/>
  <c r="Z8" i="30"/>
  <c r="AA8" i="30" s="1"/>
  <c r="JW17" i="8"/>
  <c r="X503" i="2" l="1"/>
  <c r="B503" i="2" s="1"/>
  <c r="X502" i="2"/>
  <c r="B502" i="2" s="1"/>
  <c r="JW18" i="8"/>
  <c r="B152" i="2" l="1"/>
  <c r="D354" i="34" s="1"/>
  <c r="E354" i="34" s="1"/>
  <c r="JW19" i="8"/>
  <c r="D1046" i="18" a="1"/>
  <c r="P1086" i="18" a="1"/>
  <c r="D871" i="18" a="1"/>
  <c r="D1086" i="18" a="1"/>
  <c r="JY11" i="8" a="1"/>
  <c r="AM10" i="30" a="1"/>
  <c r="G1026" i="18" a="1"/>
  <c r="O947" i="18" a="1"/>
  <c r="U1086" i="18" a="1"/>
  <c r="AF1086" i="18" a="1"/>
  <c r="F672" i="18" a="1"/>
  <c r="E947" i="18" a="1"/>
  <c r="JY12" i="8" a="1"/>
  <c r="E817" i="18" a="1"/>
  <c r="AM13" i="30" a="1"/>
  <c r="D988" i="18" a="1"/>
  <c r="N1086" i="18" a="1"/>
  <c r="F1007" i="18" a="1"/>
  <c r="F853" i="18" a="1"/>
  <c r="AG1086" i="18" a="1"/>
  <c r="G817" i="18" a="1"/>
  <c r="E853" i="18" a="1"/>
  <c r="F1026" i="18" a="1"/>
  <c r="F871" i="18" a="1"/>
  <c r="W1086" i="18" a="1"/>
  <c r="AC1086" i="18" a="1"/>
  <c r="G1066" i="18" a="1"/>
  <c r="H1046" i="18" a="1"/>
  <c r="F988" i="18" a="1"/>
  <c r="G1046" i="18" a="1"/>
  <c r="D1026" i="18" a="1"/>
  <c r="G871" i="18" a="1"/>
  <c r="Z1086" i="18" a="1"/>
  <c r="D947" i="18" a="1"/>
  <c r="E699" i="18" a="1"/>
  <c r="Q947" i="18" a="1"/>
  <c r="J1086" i="18" a="1"/>
  <c r="E871" i="18" a="1"/>
  <c r="G853" i="18" a="1"/>
  <c r="R1086" i="18" a="1"/>
  <c r="E1086" i="18" a="1"/>
  <c r="AM11" i="30" a="1"/>
  <c r="J561" i="18" a="1"/>
  <c r="G1086" i="18" a="1"/>
  <c r="H1066" i="18" a="1"/>
  <c r="G988" i="18" a="1"/>
  <c r="X1086" i="18" a="1"/>
  <c r="K1086" i="18" a="1"/>
  <c r="V1086" i="18" a="1"/>
  <c r="G1007" i="18" a="1"/>
  <c r="E1026" i="18" a="1"/>
  <c r="S1086" i="18" a="1"/>
  <c r="H871" i="18" a="1"/>
  <c r="P947" i="18" a="1"/>
  <c r="H1086" i="18" a="1"/>
  <c r="Q1086" i="18" a="1"/>
  <c r="F1086" i="18" a="1"/>
  <c r="L947" i="18" a="1"/>
  <c r="H1007" i="18" a="1"/>
  <c r="M947" i="18" a="1"/>
  <c r="T1086" i="18" a="1"/>
  <c r="O1086" i="18" a="1"/>
  <c r="E1007" i="18" a="1"/>
  <c r="D853" i="18" a="1"/>
  <c r="D672" i="18" a="1"/>
  <c r="G947" i="18" a="1"/>
  <c r="I1007" i="18" a="1"/>
  <c r="Y1086" i="18" a="1"/>
  <c r="H947" i="18" a="1"/>
  <c r="F947" i="18" a="1"/>
  <c r="H1026" i="18" a="1"/>
  <c r="AA1086" i="18" a="1"/>
  <c r="AM12" i="30" a="1"/>
  <c r="E1046" i="18" a="1"/>
  <c r="L1086" i="18" a="1"/>
  <c r="R947" i="18" a="1"/>
  <c r="E672" i="18" a="1"/>
  <c r="J1026" i="18" a="1"/>
  <c r="AB1086" i="18" a="1"/>
  <c r="I947" i="18" a="1"/>
  <c r="K947" i="18" a="1"/>
  <c r="F1066" i="18" a="1"/>
  <c r="F1046" i="18" a="1"/>
  <c r="K561" i="18" a="1"/>
  <c r="D1007" i="18" a="1"/>
  <c r="J988" i="18" a="1"/>
  <c r="E1066" i="18" a="1"/>
  <c r="D1066" i="18" a="1"/>
  <c r="I988" i="18" a="1"/>
  <c r="I1026" i="18" a="1"/>
  <c r="N947" i="18" a="1"/>
  <c r="D817" i="18" a="1"/>
  <c r="H853" i="18" a="1"/>
  <c r="I1086" i="18" a="1"/>
  <c r="M1086" i="18" a="1"/>
  <c r="J947" i="18" a="1"/>
  <c r="AE1086" i="18" a="1"/>
  <c r="H988" i="18" a="1"/>
  <c r="F817" i="18" a="1"/>
  <c r="J1007" i="18" a="1"/>
  <c r="E988" i="18" a="1"/>
  <c r="AD1086" i="18" a="1"/>
  <c r="I152" i="2" l="1"/>
  <c r="AM12" i="30"/>
  <c r="AN12" i="30" s="1"/>
  <c r="AM13" i="30"/>
  <c r="AN13" i="30" s="1"/>
  <c r="N1086" i="18"/>
  <c r="N1088" i="18" s="1"/>
  <c r="N1089" i="18" s="1"/>
  <c r="X1086" i="18"/>
  <c r="X1088" i="18" s="1"/>
  <c r="X1089" i="18" s="1"/>
  <c r="E1066" i="18"/>
  <c r="E1068" i="18" s="1"/>
  <c r="E1069" i="18" s="1"/>
  <c r="W1086" i="18"/>
  <c r="W1088" i="18" s="1"/>
  <c r="W1089" i="18" s="1"/>
  <c r="D1086" i="18"/>
  <c r="D1088" i="18" s="1"/>
  <c r="D1089" i="18" s="1"/>
  <c r="G1066" i="18"/>
  <c r="G1068" i="18" s="1"/>
  <c r="G1069" i="18" s="1"/>
  <c r="U1086" i="18"/>
  <c r="U1088" i="18" s="1"/>
  <c r="U1089" i="18" s="1"/>
  <c r="Z1086" i="18"/>
  <c r="Z1088" i="18" s="1"/>
  <c r="Z1089" i="18" s="1"/>
  <c r="AD1086" i="18"/>
  <c r="AD1088" i="18" s="1"/>
  <c r="AD1089" i="18" s="1"/>
  <c r="F1066" i="18"/>
  <c r="F1068" i="18" s="1"/>
  <c r="F1069" i="18" s="1"/>
  <c r="AG1086" i="18"/>
  <c r="AG1088" i="18" s="1"/>
  <c r="AG1089" i="18" s="1"/>
  <c r="H1066" i="18"/>
  <c r="H1068" i="18" s="1"/>
  <c r="H1069" i="18" s="1"/>
  <c r="Q1086" i="18"/>
  <c r="Q1088" i="18" s="1"/>
  <c r="Q1089" i="18" s="1"/>
  <c r="R1086" i="18"/>
  <c r="R1088" i="18" s="1"/>
  <c r="R1089" i="18" s="1"/>
  <c r="T1086" i="18"/>
  <c r="T1088" i="18" s="1"/>
  <c r="T1089" i="18" s="1"/>
  <c r="H1086" i="18"/>
  <c r="H1088" i="18" s="1"/>
  <c r="H1089" i="18" s="1"/>
  <c r="S1086" i="18"/>
  <c r="S1088" i="18" s="1"/>
  <c r="S1089" i="18" s="1"/>
  <c r="AB1086" i="18"/>
  <c r="AB1088" i="18" s="1"/>
  <c r="AB1089" i="18" s="1"/>
  <c r="O1086" i="18"/>
  <c r="O1088" i="18" s="1"/>
  <c r="O1089" i="18" s="1"/>
  <c r="L1086" i="18"/>
  <c r="L1088" i="18" s="1"/>
  <c r="L1089" i="18" s="1"/>
  <c r="M1086" i="18"/>
  <c r="M1088" i="18" s="1"/>
  <c r="M1089" i="18" s="1"/>
  <c r="V1086" i="18"/>
  <c r="V1088" i="18" s="1"/>
  <c r="V1089" i="18" s="1"/>
  <c r="P1086" i="18"/>
  <c r="P1088" i="18" s="1"/>
  <c r="P1089" i="18" s="1"/>
  <c r="G1086" i="18"/>
  <c r="G1088" i="18" s="1"/>
  <c r="G1089" i="18" s="1"/>
  <c r="F1086" i="18"/>
  <c r="F1088" i="18" s="1"/>
  <c r="F1089" i="18" s="1"/>
  <c r="AA1086" i="18"/>
  <c r="AA1088" i="18" s="1"/>
  <c r="AA1089" i="18" s="1"/>
  <c r="AE1086" i="18"/>
  <c r="AE1088" i="18" s="1"/>
  <c r="AE1089" i="18" s="1"/>
  <c r="E1086" i="18"/>
  <c r="E1088" i="18" s="1"/>
  <c r="E1089" i="18" s="1"/>
  <c r="K1086" i="18"/>
  <c r="K1088" i="18" s="1"/>
  <c r="K1089" i="18" s="1"/>
  <c r="AC1086" i="18"/>
  <c r="AC1088" i="18" s="1"/>
  <c r="AC1089" i="18" s="1"/>
  <c r="D1066" i="18"/>
  <c r="D1068" i="18" s="1"/>
  <c r="D1069" i="18" s="1"/>
  <c r="I1086" i="18"/>
  <c r="I1088" i="18" s="1"/>
  <c r="I1089" i="18" s="1"/>
  <c r="AF1086" i="18"/>
  <c r="AF1088" i="18" s="1"/>
  <c r="AF1089" i="18" s="1"/>
  <c r="Y1086" i="18"/>
  <c r="Y1088" i="18" s="1"/>
  <c r="Y1089" i="18" s="1"/>
  <c r="J1086" i="18"/>
  <c r="J1088" i="18" s="1"/>
  <c r="J1089" i="18" s="1"/>
  <c r="D672" i="18"/>
  <c r="E672" i="18"/>
  <c r="F672" i="18"/>
  <c r="E1007" i="18"/>
  <c r="E1009" i="18" s="1"/>
  <c r="E1010" i="18" s="1"/>
  <c r="E817" i="18"/>
  <c r="E819" i="18" s="1"/>
  <c r="E820" i="18" s="1"/>
  <c r="F988" i="18"/>
  <c r="F990" i="18" s="1"/>
  <c r="F991" i="18" s="1"/>
  <c r="N947" i="18"/>
  <c r="N949" i="18" s="1"/>
  <c r="N950" i="18" s="1"/>
  <c r="L947" i="18"/>
  <c r="L949" i="18" s="1"/>
  <c r="L950" i="18" s="1"/>
  <c r="E853" i="18"/>
  <c r="E855" i="18" s="1"/>
  <c r="E856" i="18" s="1"/>
  <c r="G988" i="18"/>
  <c r="G990" i="18" s="1"/>
  <c r="G991" i="18" s="1"/>
  <c r="G871" i="18"/>
  <c r="G873" i="18" s="1"/>
  <c r="G874" i="18" s="1"/>
  <c r="R947" i="18"/>
  <c r="R949" i="18" s="1"/>
  <c r="R950" i="18" s="1"/>
  <c r="O947" i="18"/>
  <c r="O949" i="18" s="1"/>
  <c r="O950" i="18" s="1"/>
  <c r="AM11" i="30"/>
  <c r="K561" i="18"/>
  <c r="K563" i="18" s="1"/>
  <c r="K564" i="18" s="1"/>
  <c r="C566" i="18" s="1"/>
  <c r="X179" i="2" s="1"/>
  <c r="F1007" i="18"/>
  <c r="F1009" i="18" s="1"/>
  <c r="F1010" i="18" s="1"/>
  <c r="E947" i="18"/>
  <c r="E949" i="18" s="1"/>
  <c r="E950" i="18" s="1"/>
  <c r="G853" i="18"/>
  <c r="G855" i="18" s="1"/>
  <c r="G856" i="18" s="1"/>
  <c r="I1026" i="18"/>
  <c r="I1028" i="18" s="1"/>
  <c r="I1029" i="18" s="1"/>
  <c r="F817" i="18"/>
  <c r="F819" i="18" s="1"/>
  <c r="F820" i="18" s="1"/>
  <c r="E988" i="18"/>
  <c r="E990" i="18" s="1"/>
  <c r="E991" i="18" s="1"/>
  <c r="H1046" i="18"/>
  <c r="H1048" i="18" s="1"/>
  <c r="H1049" i="18" s="1"/>
  <c r="J1026" i="18"/>
  <c r="J1028" i="18" s="1"/>
  <c r="J1029" i="18" s="1"/>
  <c r="I1007" i="18"/>
  <c r="I1009" i="18" s="1"/>
  <c r="I1010" i="18" s="1"/>
  <c r="E1046" i="18"/>
  <c r="E1048" i="18" s="1"/>
  <c r="E1049" i="18" s="1"/>
  <c r="F1046" i="18"/>
  <c r="F1048" i="18" s="1"/>
  <c r="F1049" i="18" s="1"/>
  <c r="D817" i="18"/>
  <c r="D819" i="18" s="1"/>
  <c r="D820" i="18" s="1"/>
  <c r="J988" i="18"/>
  <c r="J990" i="18" s="1"/>
  <c r="J991" i="18" s="1"/>
  <c r="G1026" i="18"/>
  <c r="G1028" i="18" s="1"/>
  <c r="G1029" i="18" s="1"/>
  <c r="E871" i="18"/>
  <c r="E873" i="18" s="1"/>
  <c r="E874" i="18" s="1"/>
  <c r="D853" i="18"/>
  <c r="D855" i="18" s="1"/>
  <c r="D856" i="18" s="1"/>
  <c r="H988" i="18"/>
  <c r="H990" i="18" s="1"/>
  <c r="H991" i="18" s="1"/>
  <c r="J947" i="18"/>
  <c r="J949" i="18" s="1"/>
  <c r="J950" i="18" s="1"/>
  <c r="D947" i="18"/>
  <c r="D949" i="18" s="1"/>
  <c r="D950" i="18" s="1"/>
  <c r="H853" i="18"/>
  <c r="H855" i="18" s="1"/>
  <c r="H856" i="18" s="1"/>
  <c r="D871" i="18"/>
  <c r="D873" i="18" s="1"/>
  <c r="D874" i="18" s="1"/>
  <c r="H947" i="18"/>
  <c r="H949" i="18" s="1"/>
  <c r="H950" i="18" s="1"/>
  <c r="P947" i="18"/>
  <c r="P949" i="18" s="1"/>
  <c r="P950" i="18" s="1"/>
  <c r="F947" i="18"/>
  <c r="F949" i="18" s="1"/>
  <c r="F950" i="18" s="1"/>
  <c r="G1046" i="18"/>
  <c r="G1048" i="18" s="1"/>
  <c r="G1049" i="18" s="1"/>
  <c r="F853" i="18"/>
  <c r="F855" i="18" s="1"/>
  <c r="F856" i="18" s="1"/>
  <c r="D1046" i="18"/>
  <c r="D1048" i="18" s="1"/>
  <c r="D1049" i="18" s="1"/>
  <c r="I988" i="18"/>
  <c r="I990" i="18" s="1"/>
  <c r="I991" i="18" s="1"/>
  <c r="AM10" i="30"/>
  <c r="K947" i="18"/>
  <c r="K949" i="18" s="1"/>
  <c r="K950" i="18" s="1"/>
  <c r="G817" i="18"/>
  <c r="G819" i="18" s="1"/>
  <c r="G820" i="18" s="1"/>
  <c r="JY11" i="8"/>
  <c r="JZ11" i="8" s="1"/>
  <c r="D988" i="18"/>
  <c r="D990" i="18" s="1"/>
  <c r="D991" i="18" s="1"/>
  <c r="D1007" i="18"/>
  <c r="D1009" i="18" s="1"/>
  <c r="D1010" i="18" s="1"/>
  <c r="M947" i="18"/>
  <c r="M949" i="18" s="1"/>
  <c r="M950" i="18" s="1"/>
  <c r="H871" i="18"/>
  <c r="H873" i="18" s="1"/>
  <c r="H874" i="18" s="1"/>
  <c r="H1026" i="18"/>
  <c r="H1028" i="18" s="1"/>
  <c r="H1029" i="18" s="1"/>
  <c r="Q947" i="18"/>
  <c r="Q949" i="18" s="1"/>
  <c r="Q950" i="18" s="1"/>
  <c r="E1026" i="18"/>
  <c r="E1028" i="18" s="1"/>
  <c r="E1029" i="18" s="1"/>
  <c r="J1007" i="18"/>
  <c r="J1009" i="18" s="1"/>
  <c r="J1010" i="18" s="1"/>
  <c r="I947" i="18"/>
  <c r="I949" i="18" s="1"/>
  <c r="I950" i="18" s="1"/>
  <c r="D1026" i="18"/>
  <c r="D1028" i="18" s="1"/>
  <c r="D1029" i="18" s="1"/>
  <c r="H1007" i="18"/>
  <c r="H1009" i="18" s="1"/>
  <c r="H1010" i="18" s="1"/>
  <c r="J561" i="18"/>
  <c r="J563" i="18" s="1"/>
  <c r="J564" i="18" s="1"/>
  <c r="JY12" i="8"/>
  <c r="JZ12" i="8" s="1"/>
  <c r="F1026" i="18"/>
  <c r="F1028" i="18" s="1"/>
  <c r="F1029" i="18" s="1"/>
  <c r="G1007" i="18"/>
  <c r="G1009" i="18" s="1"/>
  <c r="G1010" i="18" s="1"/>
  <c r="E699" i="18"/>
  <c r="F871" i="18"/>
  <c r="F873" i="18" s="1"/>
  <c r="F874" i="18" s="1"/>
  <c r="G947" i="18"/>
  <c r="G949" i="18" s="1"/>
  <c r="G950" i="18" s="1"/>
  <c r="JW20" i="8"/>
  <c r="C1071" i="18" l="1"/>
  <c r="X454" i="2" s="1"/>
  <c r="B454" i="2" s="1"/>
  <c r="D350" i="34" s="1"/>
  <c r="E350" i="34" s="1"/>
  <c r="C1091" i="18"/>
  <c r="X463" i="2" s="1"/>
  <c r="B463" i="2" s="1"/>
  <c r="D313" i="34" s="1"/>
  <c r="E313" i="34" s="1"/>
  <c r="C1051" i="18"/>
  <c r="X428" i="2" s="1"/>
  <c r="B428" i="2" s="1"/>
  <c r="D86" i="34" s="1"/>
  <c r="E86" i="34" s="1"/>
  <c r="C822" i="18"/>
  <c r="X383" i="2" s="1"/>
  <c r="B383" i="2" s="1"/>
  <c r="D251" i="34" s="1"/>
  <c r="E251" i="34" s="1"/>
  <c r="C1031" i="18"/>
  <c r="X427" i="2" s="1"/>
  <c r="B427" i="2" s="1"/>
  <c r="D12" i="34" s="1"/>
  <c r="E12" i="34" s="1"/>
  <c r="C993" i="18"/>
  <c r="X402" i="2" s="1"/>
  <c r="B402" i="2" s="1"/>
  <c r="D43" i="34" s="1"/>
  <c r="E43" i="34" s="1"/>
  <c r="C1012" i="18"/>
  <c r="X405" i="2" s="1"/>
  <c r="B405" i="2" s="1"/>
  <c r="D9" i="34" s="1"/>
  <c r="E9" i="34" s="1"/>
  <c r="C876" i="18"/>
  <c r="X390" i="2" s="1"/>
  <c r="B390" i="2" s="1"/>
  <c r="D66" i="34" s="1"/>
  <c r="E66" i="34" s="1"/>
  <c r="B179" i="2"/>
  <c r="D355" i="34" s="1"/>
  <c r="E355" i="34" s="1"/>
  <c r="C952" i="18"/>
  <c r="C858" i="18"/>
  <c r="X388" i="2" s="1"/>
  <c r="B388" i="2" s="1"/>
  <c r="D47" i="34" s="1"/>
  <c r="E47" i="34" s="1"/>
  <c r="JW21" i="8"/>
  <c r="C1072" i="18" l="1"/>
  <c r="C1092" i="18"/>
  <c r="I383" i="2"/>
  <c r="C823" i="18"/>
  <c r="C1032" i="18"/>
  <c r="C859" i="18"/>
  <c r="C1052" i="18"/>
  <c r="I388" i="2"/>
  <c r="C994" i="18"/>
  <c r="C1013" i="18"/>
  <c r="C877" i="18"/>
  <c r="X399" i="2"/>
  <c r="B399" i="2" s="1"/>
  <c r="D61" i="34" s="1"/>
  <c r="E61" i="34" s="1"/>
  <c r="C953" i="18"/>
  <c r="JW22" i="8"/>
  <c r="JW23" i="8" l="1"/>
  <c r="JW24" i="8" l="1"/>
  <c r="JW25" i="8" l="1"/>
  <c r="JW26" i="8" l="1"/>
  <c r="JW28" i="8" l="1"/>
  <c r="JW27" i="8"/>
  <c r="JW29" i="8" l="1"/>
  <c r="JW30" i="8" l="1"/>
  <c r="JW31" i="8" l="1"/>
  <c r="JW32" i="8" l="1"/>
  <c r="JW33" i="8" l="1"/>
  <c r="JW34" i="8" l="1"/>
  <c r="P7" i="35" l="1"/>
  <c r="P8" i="35" l="1"/>
  <c r="Q8" i="35" l="1"/>
  <c r="P9" i="35"/>
  <c r="P10" i="35" l="1"/>
  <c r="P11" i="35" l="1"/>
  <c r="Q9" i="35"/>
  <c r="P12" i="35" l="1"/>
  <c r="Q10" i="35" l="1"/>
  <c r="P13" i="35"/>
  <c r="P14" i="35" l="1"/>
  <c r="Q11" i="35" l="1"/>
  <c r="P15" i="35"/>
  <c r="P16" i="35" l="1"/>
  <c r="Q12" i="35" l="1"/>
  <c r="P17" i="35"/>
  <c r="P18" i="35" l="1"/>
  <c r="Q13" i="35" l="1"/>
  <c r="P19" i="35"/>
  <c r="Q14" i="35"/>
  <c r="Q15" i="35" l="1"/>
  <c r="P20" i="35"/>
  <c r="P21" i="35" l="1"/>
  <c r="Q16" i="35"/>
  <c r="Q17" i="35" l="1"/>
  <c r="P22" i="35"/>
  <c r="Q18" i="35" l="1"/>
  <c r="P23" i="35"/>
  <c r="P24" i="35" l="1"/>
  <c r="Q19" i="35"/>
  <c r="Q20" i="35" l="1"/>
  <c r="P25" i="35"/>
  <c r="Q21" i="35" l="1"/>
  <c r="P26" i="35"/>
  <c r="Q22" i="35" l="1"/>
  <c r="P27" i="35"/>
  <c r="P28" i="35" l="1"/>
  <c r="Q23" i="35"/>
  <c r="Q24" i="35" l="1"/>
  <c r="P29" i="35"/>
  <c r="P30" i="35" l="1"/>
  <c r="Q25" i="35"/>
  <c r="Q26" i="35" l="1"/>
  <c r="P31" i="35"/>
  <c r="P32" i="35" l="1"/>
  <c r="Q27" i="35"/>
  <c r="Q28" i="35" l="1"/>
  <c r="P33" i="35"/>
  <c r="P34" i="35" l="1"/>
  <c r="Q29" i="35"/>
  <c r="Q30" i="35" l="1"/>
  <c r="P36" i="35"/>
  <c r="P35" i="35"/>
  <c r="Q31" i="35" l="1"/>
  <c r="Q32" i="35" l="1"/>
  <c r="Q33" i="35" l="1"/>
  <c r="Q34" i="35" l="1"/>
  <c r="Q35" i="35" l="1"/>
  <c r="Q36" i="35" l="1"/>
  <c r="D210" i="18" a="1"/>
  <c r="E125" i="18" a="1"/>
  <c r="GM43" i="8" a="1"/>
  <c r="GM44" i="8" a="1"/>
  <c r="AF776" i="18" a="1"/>
  <c r="G361" i="18" a="1"/>
  <c r="KJ13" i="8" a="1"/>
  <c r="G283" i="18" a="1"/>
  <c r="R776" i="18" a="1"/>
  <c r="H418" i="18" a="1"/>
  <c r="Q776" i="18" a="1"/>
  <c r="AM341" i="18" a="1"/>
  <c r="AZ39" i="30" a="1"/>
  <c r="CK51" i="8" a="1"/>
  <c r="H106" i="18" a="1"/>
  <c r="P341" i="18" a="1"/>
  <c r="GM36" i="8" a="1"/>
  <c r="E544" i="18" a="1"/>
  <c r="F106" i="18" a="1"/>
  <c r="J341" i="18" a="1"/>
  <c r="FM31" i="8" a="1"/>
  <c r="K776" i="18" a="1"/>
  <c r="AZ31" i="30" a="1"/>
  <c r="I341" i="18" a="1"/>
  <c r="D720" i="18" a="1"/>
  <c r="JY8" i="8" a="1"/>
  <c r="CK60" i="8" a="1"/>
  <c r="FM38" i="8" a="1"/>
  <c r="JY23" i="8" a="1"/>
  <c r="O13" i="14" a="1"/>
  <c r="JY26" i="8" a="1"/>
  <c r="FM33" i="8" a="1"/>
  <c r="I720" i="18" a="1"/>
  <c r="Y210" i="18" a="1"/>
  <c r="E361" i="18" a="1"/>
  <c r="F361" i="18" a="1"/>
  <c r="CK58" i="8" a="1"/>
  <c r="FM50" i="8" a="1"/>
  <c r="U776" i="18" a="1"/>
  <c r="GM8" i="8" a="1"/>
  <c r="AZ20" i="30" a="1"/>
  <c r="E341" i="18" a="1"/>
  <c r="R33" i="14" a="1"/>
  <c r="AZ36" i="30" a="1"/>
  <c r="D125" i="18" a="1"/>
  <c r="Q33" i="14" a="1"/>
  <c r="AZ26" i="30" a="1"/>
  <c r="E228" i="18" a="1"/>
  <c r="AG125" i="18" a="1"/>
  <c r="AZ11" i="30" a="1"/>
  <c r="W776" i="18" a="1"/>
  <c r="O341" i="18" a="1"/>
  <c r="L210" i="18" a="1"/>
  <c r="G720" i="18" a="1"/>
  <c r="I33" i="14" a="1"/>
  <c r="JY35" i="8" a="1"/>
  <c r="L165" i="18" a="1"/>
  <c r="U341" i="18" a="1"/>
  <c r="P109" i="14" a="1"/>
  <c r="W144" i="18" a="1"/>
  <c r="AZ38" i="30" a="1"/>
  <c r="CK39" i="8" a="1"/>
  <c r="U210" i="18" a="1"/>
  <c r="JY32" i="8" a="1"/>
  <c r="CK50" i="8" a="1"/>
  <c r="GM31" i="8" a="1"/>
  <c r="KJ19" i="8" a="1"/>
  <c r="GM50" i="8" a="1"/>
  <c r="GM39" i="8" a="1"/>
  <c r="FM42" i="8" a="1"/>
  <c r="KJ9" i="8" a="1"/>
  <c r="JY33" i="8" a="1"/>
  <c r="L86" i="18" a="1"/>
  <c r="Q233" i="14" a="1"/>
  <c r="O125" i="18" a="1"/>
  <c r="KJ18" i="8" a="1"/>
  <c r="CK73" i="8" a="1"/>
  <c r="G165" i="18" a="1"/>
  <c r="J210" i="18" a="1"/>
  <c r="T341" i="18" a="1"/>
  <c r="R341" i="18" a="1"/>
  <c r="KJ14" i="8" a="1"/>
  <c r="F720" i="18" a="1"/>
  <c r="H33" i="14" a="1"/>
  <c r="GM14" i="8" a="1"/>
  <c r="AZ42" i="30" a="1"/>
  <c r="G106" i="18" a="1"/>
  <c r="J33" i="14" a="1"/>
  <c r="CK40" i="8" a="1"/>
  <c r="I144" i="18" a="1"/>
  <c r="G738" i="18" a="1"/>
  <c r="AZ32" i="30" a="1"/>
  <c r="FM36" i="8" a="1"/>
  <c r="KJ20" i="8" a="1"/>
  <c r="Z144" i="18" a="1"/>
  <c r="N341" i="18" a="1"/>
  <c r="FM39" i="8" a="1"/>
  <c r="JY13" i="8" a="1"/>
  <c r="V125" i="18" a="1"/>
  <c r="L109" i="14" a="1"/>
  <c r="G13" i="14" a="1"/>
  <c r="O33" i="14" a="1"/>
  <c r="E86" i="18" a="1"/>
  <c r="D33" i="14" a="1"/>
  <c r="F460" i="18" a="1"/>
  <c r="JY20" i="8" a="1"/>
  <c r="J86" i="18" a="1"/>
  <c r="H144" i="18" a="1"/>
  <c r="G144" i="18" a="1"/>
  <c r="L35" i="18" a="1"/>
  <c r="GM34" i="8" a="1"/>
  <c r="CK46" i="8" a="1"/>
  <c r="H233" i="14" a="1"/>
  <c r="O165" i="18" a="1"/>
  <c r="CK49" i="8" a="1"/>
  <c r="GM12" i="8" a="1"/>
  <c r="AK341" i="18" a="1"/>
  <c r="E33" i="14" a="1"/>
  <c r="AE125" i="18" a="1"/>
  <c r="GM51" i="8" a="1"/>
  <c r="O144" i="18" a="1"/>
  <c r="FM35" i="8" a="1"/>
  <c r="AC341" i="18" a="1"/>
  <c r="H228" i="18" a="1"/>
  <c r="AZ13" i="30" a="1"/>
  <c r="GM22" i="8" a="1"/>
  <c r="JY9" i="8" a="1"/>
  <c r="Z125" i="18" a="1"/>
  <c r="E283" i="18" a="1"/>
  <c r="FM41" i="8" a="1"/>
  <c r="S210" i="18" a="1"/>
  <c r="GM40" i="8" a="1"/>
  <c r="I544" i="18" a="1"/>
  <c r="AZ21" i="30" a="1"/>
  <c r="CK64" i="8" a="1"/>
  <c r="H186" i="18" a="1"/>
  <c r="E186" i="18" a="1"/>
  <c r="U144" i="18" a="1"/>
  <c r="CK65" i="8" a="1"/>
  <c r="KJ12" i="8" a="1"/>
  <c r="FM28" i="8" a="1"/>
  <c r="I228" i="18" a="1"/>
  <c r="GM23" i="8" a="1"/>
  <c r="Y125" i="18" a="1"/>
  <c r="P165" i="18" a="1"/>
  <c r="Z776" i="18" a="1"/>
  <c r="T125" i="18" a="1"/>
  <c r="E210" i="18" a="1"/>
  <c r="AZ15" i="30" a="1"/>
  <c r="F13" i="14" a="1"/>
  <c r="V144" i="18" a="1"/>
  <c r="JY24" i="8" a="1"/>
  <c r="AZ23" i="30" a="1"/>
  <c r="I125" i="18" a="1"/>
  <c r="F233" i="14" a="1"/>
  <c r="I418" i="18" a="1"/>
  <c r="D460" i="18" a="1"/>
  <c r="AZ24" i="30" a="1"/>
  <c r="CK38" i="8" a="1"/>
  <c r="J544" i="18" a="1"/>
  <c r="AC125" i="18" a="1"/>
  <c r="M109" i="14" a="1"/>
  <c r="N186" i="18" a="1"/>
  <c r="JY29" i="8" a="1"/>
  <c r="E738" i="18" a="1"/>
  <c r="G798" i="18" a="1"/>
  <c r="AZ29" i="30" a="1"/>
  <c r="O186" i="18" a="1"/>
  <c r="F699" i="18" a="1"/>
  <c r="I165" i="18" a="1"/>
  <c r="P13" i="14" a="1"/>
  <c r="W210" i="18" a="1"/>
  <c r="L13" i="14" a="1"/>
  <c r="N210" i="18" a="1"/>
  <c r="I776" i="18" a="1"/>
  <c r="CK52" i="8" a="1"/>
  <c r="FM48" i="8" a="1"/>
  <c r="AM9" i="30" a="1"/>
  <c r="KJ21" i="8" a="1"/>
  <c r="JY19" i="8" a="1"/>
  <c r="O776" i="18" a="1"/>
  <c r="FM30" i="8" a="1"/>
  <c r="N233" i="14" a="1"/>
  <c r="AJ341" i="18" a="1"/>
  <c r="H544" i="18" a="1"/>
  <c r="P210" i="18" a="1"/>
  <c r="L776" i="18" a="1"/>
  <c r="L341" i="18" a="1"/>
  <c r="AB125" i="18" a="1"/>
  <c r="FM40" i="8" a="1"/>
  <c r="AA341" i="18" a="1"/>
  <c r="GM15" i="8" a="1"/>
  <c r="O210" i="18" a="1"/>
  <c r="AD144" i="18" a="1"/>
  <c r="G86" i="18" a="1"/>
  <c r="GM28" i="8" a="1"/>
  <c r="CK61" i="8" a="1"/>
  <c r="R125" i="18" a="1"/>
  <c r="GM46" i="8" a="1"/>
  <c r="D798" i="18" a="1"/>
  <c r="F738" i="18" a="1"/>
  <c r="K341" i="18" a="1"/>
  <c r="W125" i="18" a="1"/>
  <c r="CK66" i="8" a="1"/>
  <c r="M210" i="18" a="1"/>
  <c r="AD776" i="18" a="1"/>
  <c r="K233" i="14" a="1"/>
  <c r="Q186" i="18" a="1"/>
  <c r="F544" i="18" a="1"/>
  <c r="T210" i="18" a="1"/>
  <c r="I35" i="18" a="1"/>
  <c r="JY17" i="8" a="1"/>
  <c r="AZ45" i="30" a="1"/>
  <c r="P144" i="18" a="1"/>
  <c r="O109" i="14" a="1"/>
  <c r="J109" i="14" a="1"/>
  <c r="GM24" i="8" a="1"/>
  <c r="AL341" i="18" a="1"/>
  <c r="F228" i="18" a="1"/>
  <c r="AA210" i="18" a="1"/>
  <c r="GM10" i="8" a="1"/>
  <c r="G210" i="18" a="1"/>
  <c r="GM20" i="8" a="1"/>
  <c r="G35" i="18" a="1"/>
  <c r="AZ35" i="30" a="1"/>
  <c r="D418" i="18" a="1"/>
  <c r="N33" i="14" a="1"/>
  <c r="K109" i="14" a="1"/>
  <c r="AZ48" i="30" a="1"/>
  <c r="CK69" i="8" a="1"/>
  <c r="D109" i="14" a="1"/>
  <c r="F144" i="18" a="1"/>
  <c r="H361" i="18" a="1"/>
  <c r="GM19" i="8" a="1"/>
  <c r="JY15" i="8" a="1"/>
  <c r="R210" i="18" a="1"/>
  <c r="GM18" i="8" a="1"/>
  <c r="Q210" i="18" a="1"/>
  <c r="J720" i="18" a="1"/>
  <c r="M125" i="18" a="1"/>
  <c r="AZ34" i="30" a="1"/>
  <c r="CK72" i="8" a="1"/>
  <c r="F35" i="18" a="1"/>
  <c r="AZ47" i="30" a="1"/>
  <c r="KJ11" i="8" a="1"/>
  <c r="N125" i="18" a="1"/>
  <c r="AZ37" i="30" a="1"/>
  <c r="Z341" i="18" a="1"/>
  <c r="CK43" i="8" a="1"/>
  <c r="X210" i="18" a="1"/>
  <c r="GM48" i="8" a="1"/>
  <c r="D544" i="18" a="1"/>
  <c r="H460" i="18" a="1"/>
  <c r="I233" i="14" a="1"/>
  <c r="GM16" i="8" a="1"/>
  <c r="AZ33" i="30" a="1"/>
  <c r="KJ16" i="8" a="1"/>
  <c r="JY28" i="8" a="1"/>
  <c r="AZ41" i="30" a="1"/>
  <c r="I798" i="18" a="1"/>
  <c r="J13" i="14" a="1"/>
  <c r="AZ10" i="30" a="1"/>
  <c r="AF125" i="18" a="1"/>
  <c r="M186" i="18" a="1"/>
  <c r="F210" i="18" a="1"/>
  <c r="FM43" i="8" a="1"/>
  <c r="E106" i="18" a="1"/>
  <c r="I86" i="18" a="1"/>
  <c r="D776" i="18" a="1"/>
  <c r="H35" i="18" a="1"/>
  <c r="Y144" i="18" a="1"/>
  <c r="D186" i="18" a="1"/>
  <c r="D361" i="18" a="1"/>
  <c r="H125" i="18" a="1"/>
  <c r="AZ18" i="30" a="1"/>
  <c r="R13" i="14" a="1"/>
  <c r="FM29" i="8" a="1"/>
  <c r="G341" i="18" a="1"/>
  <c r="JY10" i="8" a="1"/>
  <c r="L125" i="18" a="1"/>
  <c r="E798" i="18" a="1"/>
  <c r="D106" i="18" a="1"/>
  <c r="AZ27" i="30" a="1"/>
  <c r="Q109" i="14" a="1"/>
  <c r="CK54" i="8" a="1"/>
  <c r="T144" i="18" a="1"/>
  <c r="L33" i="14" a="1"/>
  <c r="F109" i="14" a="1"/>
  <c r="D341" i="18" a="1"/>
  <c r="CK48" i="8" a="1"/>
  <c r="AZ19" i="30" a="1"/>
  <c r="FM49" i="8" a="1"/>
  <c r="JY30" i="8" a="1"/>
  <c r="R233" i="14" a="1"/>
  <c r="H86" i="18" a="1"/>
  <c r="G33" i="14" a="1"/>
  <c r="I106" i="18" a="1"/>
  <c r="H210" i="18" a="1"/>
  <c r="D652" i="18" a="1"/>
  <c r="S776" i="18" a="1"/>
  <c r="CK57" i="8" a="1"/>
  <c r="K144" i="18" a="1"/>
  <c r="L283" i="18" a="1"/>
  <c r="X776" i="18" a="1"/>
  <c r="J125" i="18" a="1"/>
  <c r="CK44" i="8" a="1"/>
  <c r="GM32" i="8" a="1"/>
  <c r="GM11" i="8" a="1"/>
  <c r="JY16" i="8" a="1"/>
  <c r="J106" i="18" a="1"/>
  <c r="J283" i="18" a="1"/>
  <c r="U125" i="18" a="1"/>
  <c r="D165" i="18" a="1"/>
  <c r="JY27" i="8" a="1"/>
  <c r="GM29" i="8" a="1"/>
  <c r="CK67" i="8" a="1"/>
  <c r="D699" i="18" a="1"/>
  <c r="L186" i="18" a="1"/>
  <c r="L144" i="18" a="1"/>
  <c r="AB210" i="18" a="1"/>
  <c r="W341" i="18" a="1"/>
  <c r="D283" i="18" a="1"/>
  <c r="JY18" i="8" a="1"/>
  <c r="G776" i="18" a="1"/>
  <c r="CK37" i="8" a="1"/>
  <c r="D35" i="18" a="1"/>
  <c r="FM32" i="8" a="1"/>
  <c r="F798" i="18" a="1"/>
  <c r="GM49" i="8" a="1"/>
  <c r="G186" i="18" a="1"/>
  <c r="CK56" i="8" a="1"/>
  <c r="M341" i="18" a="1"/>
  <c r="AZ22" i="30" a="1"/>
  <c r="K165" i="18" a="1"/>
  <c r="K186" i="18" a="1"/>
  <c r="T776" i="18" a="1"/>
  <c r="GM37" i="8" a="1"/>
  <c r="D738" i="18" a="1"/>
  <c r="AG776" i="18" a="1"/>
  <c r="GM33" i="8" a="1"/>
  <c r="AD341" i="18" a="1"/>
  <c r="F283" i="18" a="1"/>
  <c r="G125" i="18" a="1"/>
  <c r="F418" i="18" a="1"/>
  <c r="L233" i="14" a="1"/>
  <c r="AZ30" i="30" a="1"/>
  <c r="I210" i="18" a="1"/>
  <c r="E720" i="18" a="1"/>
  <c r="I283" i="18" a="1"/>
  <c r="M13" i="14" a="1"/>
  <c r="G544" i="18" a="1"/>
  <c r="M33" i="14" a="1"/>
  <c r="GM17" i="8" a="1"/>
  <c r="GM53" i="8" a="1"/>
  <c r="FM37" i="8" a="1"/>
  <c r="D228" i="18" a="1"/>
  <c r="AG341" i="18" a="1"/>
  <c r="FM27" i="8" a="1"/>
  <c r="R144" i="18" a="1"/>
  <c r="J798" i="18" a="1"/>
  <c r="H283" i="18" a="1"/>
  <c r="KJ10" i="8" a="1"/>
  <c r="GM30" i="8" a="1"/>
  <c r="K210" i="18" a="1"/>
  <c r="CK70" i="8" a="1"/>
  <c r="AC144" i="18" a="1"/>
  <c r="R109" i="14" a="1"/>
  <c r="P776" i="18" a="1"/>
  <c r="AZ8" i="30" a="1"/>
  <c r="AA144" i="18" a="1"/>
  <c r="CK42" i="8" a="1"/>
  <c r="GM45" i="8" a="1"/>
  <c r="K13" i="14" a="1"/>
  <c r="GM41" i="8" a="1"/>
  <c r="H109" i="14" a="1"/>
  <c r="J418" i="18" a="1"/>
  <c r="KJ8" i="8" a="1"/>
  <c r="AI341" i="18" a="1"/>
  <c r="CK45" i="8" a="1"/>
  <c r="AF144" i="18" a="1"/>
  <c r="G418" i="18" a="1"/>
  <c r="GM47" i="8" a="1"/>
  <c r="R186" i="18" a="1"/>
  <c r="X341" i="18" a="1"/>
  <c r="AZ43" i="30" a="1"/>
  <c r="D233" i="14" a="1"/>
  <c r="AB144" i="18" a="1"/>
  <c r="AZ12" i="30" a="1"/>
  <c r="F186" i="18" a="1"/>
  <c r="H341" i="18" a="1"/>
  <c r="AZ44" i="30" a="1"/>
  <c r="GM38" i="8" a="1"/>
  <c r="Y776" i="18" a="1"/>
  <c r="Z210" i="18" a="1"/>
  <c r="M86" i="18" a="1"/>
  <c r="M776" i="18" a="1"/>
  <c r="V210" i="18" a="1"/>
  <c r="CK55" i="8" a="1"/>
  <c r="F125" i="18" a="1"/>
  <c r="GM52" i="8" a="1"/>
  <c r="AZ16" i="30" a="1"/>
  <c r="AE341" i="18" a="1"/>
  <c r="GM9" i="8" a="1"/>
  <c r="JY25" i="8" a="1"/>
  <c r="P186" i="18" a="1"/>
  <c r="F33" i="14" a="1"/>
  <c r="V341" i="18" a="1"/>
  <c r="P233" i="14" a="1"/>
  <c r="V776" i="18" a="1"/>
  <c r="E776" i="18" a="1"/>
  <c r="I13" i="14" a="1"/>
  <c r="I186" i="18" a="1"/>
  <c r="CK62" i="8" a="1"/>
  <c r="J228" i="18" a="1"/>
  <c r="R165" i="18" a="1"/>
  <c r="KJ15" i="8" a="1"/>
  <c r="H13" i="14" a="1"/>
  <c r="KJ22" i="8" a="1"/>
  <c r="E460" i="18" a="1"/>
  <c r="FM34" i="8" a="1"/>
  <c r="K35" i="18" a="1"/>
  <c r="E165" i="18" a="1"/>
  <c r="M144" i="18" a="1"/>
  <c r="E35" i="18" a="1"/>
  <c r="P125" i="18" a="1"/>
  <c r="S341" i="18" a="1"/>
  <c r="JY22" i="8" a="1"/>
  <c r="M165" i="18" a="1"/>
  <c r="CK53" i="8" a="1"/>
  <c r="G228" i="18" a="1"/>
  <c r="D13" i="14" a="1"/>
  <c r="H798" i="18" a="1"/>
  <c r="FM46" i="8" a="1"/>
  <c r="AM8" i="30" a="1"/>
  <c r="Y341" i="18" a="1"/>
  <c r="AA125" i="18" a="1"/>
  <c r="J35" i="18" a="1"/>
  <c r="S125" i="18" a="1"/>
  <c r="GM54" i="8" a="1"/>
  <c r="CK36" i="8" a="1"/>
  <c r="N165" i="18" a="1"/>
  <c r="G233" i="14" a="1"/>
  <c r="Q144" i="18" a="1"/>
  <c r="Q165" i="18" a="1"/>
  <c r="AA776" i="18" a="1"/>
  <c r="X144" i="18" a="1"/>
  <c r="K33" i="14" a="1"/>
  <c r="AC776" i="18" a="1"/>
  <c r="AZ40" i="30" a="1"/>
  <c r="E109" i="14" a="1"/>
  <c r="N144" i="18" a="1"/>
  <c r="N13" i="14" a="1"/>
  <c r="K125" i="18" a="1"/>
  <c r="E13" i="14" a="1"/>
  <c r="FM44" i="8" a="1"/>
  <c r="D144" i="18" a="1"/>
  <c r="F776" i="18" a="1"/>
  <c r="N109" i="14" a="1"/>
  <c r="AZ17" i="30" a="1"/>
  <c r="AZ25" i="30" a="1"/>
  <c r="I109" i="14" a="1"/>
  <c r="GM35" i="8" a="1"/>
  <c r="CK63" i="8" a="1"/>
  <c r="E144" i="18" a="1"/>
  <c r="F165" i="18" a="1"/>
  <c r="G109" i="14" a="1"/>
  <c r="AZ14" i="30" a="1"/>
  <c r="S144" i="18" a="1"/>
  <c r="AF341" i="18" a="1"/>
  <c r="CK59" i="8" a="1"/>
  <c r="E233" i="14" a="1"/>
  <c r="H776" i="18" a="1"/>
  <c r="J165" i="18" a="1"/>
  <c r="Q125" i="18" a="1"/>
  <c r="GM21" i="8" a="1"/>
  <c r="GM27" i="8" a="1"/>
  <c r="P33" i="14" a="1"/>
  <c r="J776" i="18" a="1"/>
  <c r="JY31" i="8" a="1"/>
  <c r="H720" i="18" a="1"/>
  <c r="K283" i="18" a="1"/>
  <c r="AH341" i="18" a="1"/>
  <c r="G460" i="18" a="1"/>
  <c r="JY14" i="8" a="1"/>
  <c r="AB776" i="18" a="1"/>
  <c r="Q13" i="14" a="1"/>
  <c r="D86" i="18" a="1"/>
  <c r="GM13" i="8" a="1"/>
  <c r="N776" i="18" a="1"/>
  <c r="K86" i="18" a="1"/>
  <c r="E418" i="18" a="1"/>
  <c r="AE776" i="18" a="1"/>
  <c r="GM42" i="8" a="1"/>
  <c r="AE144" i="18" a="1"/>
  <c r="CK41" i="8" a="1"/>
  <c r="FM45" i="8" a="1"/>
  <c r="J233" i="14" a="1"/>
  <c r="AZ9" i="30" a="1"/>
  <c r="X125" i="18" a="1"/>
  <c r="JY34" i="8" a="1"/>
  <c r="H165" i="18" a="1"/>
  <c r="M283" i="18" a="1"/>
  <c r="CK71" i="8" a="1"/>
  <c r="O233" i="14" a="1"/>
  <c r="J144" i="18" a="1"/>
  <c r="GM25" i="8" a="1"/>
  <c r="M233" i="14" a="1"/>
  <c r="FM47" i="8" a="1"/>
  <c r="AB341" i="18" a="1"/>
  <c r="GM26" i="8" a="1"/>
  <c r="F86" i="18" a="1"/>
  <c r="KJ17" i="8" a="1"/>
  <c r="AZ28" i="30" a="1"/>
  <c r="CK35" i="8" a="1"/>
  <c r="CK68" i="8" a="1"/>
  <c r="AZ46" i="30" a="1"/>
  <c r="Q341" i="18" a="1"/>
  <c r="CK47" i="8" a="1"/>
  <c r="AD125" i="18" a="1"/>
  <c r="F341" i="18" a="1"/>
  <c r="AG144" i="18" a="1"/>
  <c r="JY21" i="8" a="1"/>
  <c r="J186" i="18" a="1"/>
  <c r="L776" i="18" l="1"/>
  <c r="L778" i="18" s="1"/>
  <c r="L779" i="18" s="1"/>
  <c r="JY31" i="8"/>
  <c r="JZ31" i="8" s="1"/>
  <c r="FM46" i="8"/>
  <c r="FN46" i="8" s="1"/>
  <c r="G460" i="18"/>
  <c r="G462" i="18" s="1"/>
  <c r="G463" i="18" s="1"/>
  <c r="JY23" i="8"/>
  <c r="JZ23" i="8" s="1"/>
  <c r="AZ47" i="30"/>
  <c r="BB47" i="30" s="1"/>
  <c r="G341" i="18"/>
  <c r="G342" i="18" s="1"/>
  <c r="G344" i="18" s="1"/>
  <c r="G345" i="18" s="1"/>
  <c r="F86" i="18"/>
  <c r="F88" i="18" s="1"/>
  <c r="F89" i="18" s="1"/>
  <c r="H798" i="18"/>
  <c r="H800" i="18" s="1"/>
  <c r="H801" i="18" s="1"/>
  <c r="Y144" i="18"/>
  <c r="Y146" i="18" s="1"/>
  <c r="Y147" i="18" s="1"/>
  <c r="Y150" i="18" s="1"/>
  <c r="G283" i="18"/>
  <c r="G285" i="18" s="1"/>
  <c r="G286" i="18" s="1"/>
  <c r="KJ14" i="8"/>
  <c r="KK14" i="8" s="1"/>
  <c r="JY21" i="8"/>
  <c r="JZ21" i="8" s="1"/>
  <c r="JY20" i="8"/>
  <c r="JZ20" i="8" s="1"/>
  <c r="H341" i="18"/>
  <c r="H342" i="18" s="1"/>
  <c r="H344" i="18" s="1"/>
  <c r="H345" i="18" s="1"/>
  <c r="AA210" i="18"/>
  <c r="AA212" i="18" s="1"/>
  <c r="AA213" i="18" s="1"/>
  <c r="AM9" i="30"/>
  <c r="I210" i="18"/>
  <c r="I212" i="18" s="1"/>
  <c r="I213" i="18" s="1"/>
  <c r="I13" i="14"/>
  <c r="I15" i="14" s="1"/>
  <c r="I16" i="14" s="1"/>
  <c r="KJ20" i="8"/>
  <c r="KK20" i="8" s="1"/>
  <c r="D186" i="18"/>
  <c r="D188" i="18" s="1"/>
  <c r="D189" i="18" s="1"/>
  <c r="P165" i="18"/>
  <c r="P167" i="18" s="1"/>
  <c r="P168" i="18" s="1"/>
  <c r="T125" i="18"/>
  <c r="T127" i="18" s="1"/>
  <c r="T128" i="18" s="1"/>
  <c r="T130" i="18" s="1"/>
  <c r="F361" i="18"/>
  <c r="F363" i="18" s="1"/>
  <c r="F364" i="18" s="1"/>
  <c r="AZ15" i="30"/>
  <c r="BA15" i="30" s="1"/>
  <c r="CK35" i="8"/>
  <c r="CL35" i="8" s="1"/>
  <c r="GM37" i="8"/>
  <c r="GN37" i="8" s="1"/>
  <c r="J283" i="18"/>
  <c r="J285" i="18" s="1"/>
  <c r="J286" i="18" s="1"/>
  <c r="AF125" i="18"/>
  <c r="AF127" i="18" s="1"/>
  <c r="AF128" i="18" s="1"/>
  <c r="AF130" i="18" s="1"/>
  <c r="AZ8" i="30"/>
  <c r="BA8" i="30" s="1"/>
  <c r="AF341" i="18"/>
  <c r="AF342" i="18" s="1"/>
  <c r="AF344" i="18" s="1"/>
  <c r="AF345" i="18" s="1"/>
  <c r="K144" i="18"/>
  <c r="K146" i="18" s="1"/>
  <c r="K147" i="18" s="1"/>
  <c r="K150" i="18" s="1"/>
  <c r="FM35" i="8"/>
  <c r="FN35" i="8" s="1"/>
  <c r="M144" i="18"/>
  <c r="M146" i="18" s="1"/>
  <c r="M147" i="18" s="1"/>
  <c r="M150" i="18" s="1"/>
  <c r="J798" i="18"/>
  <c r="J800" i="18" s="1"/>
  <c r="J801" i="18" s="1"/>
  <c r="F228" i="18"/>
  <c r="F230" i="18" s="1"/>
  <c r="F231" i="18" s="1"/>
  <c r="GM11" i="8"/>
  <c r="GN11" i="8" s="1"/>
  <c r="F798" i="18"/>
  <c r="F800" i="18" s="1"/>
  <c r="F801" i="18" s="1"/>
  <c r="CK67" i="8"/>
  <c r="CL67" i="8" s="1"/>
  <c r="AA341" i="18"/>
  <c r="AA342" i="18" s="1"/>
  <c r="AA344" i="18" s="1"/>
  <c r="AA345" i="18" s="1"/>
  <c r="GM25" i="8"/>
  <c r="GN25" i="8" s="1"/>
  <c r="AZ29" i="30"/>
  <c r="BB29" i="30" s="1"/>
  <c r="I86" i="18"/>
  <c r="I88" i="18" s="1"/>
  <c r="I89" i="18" s="1"/>
  <c r="GM19" i="8"/>
  <c r="GN19" i="8" s="1"/>
  <c r="D460" i="18"/>
  <c r="D462" i="18" s="1"/>
  <c r="D463" i="18" s="1"/>
  <c r="L144" i="18"/>
  <c r="L146" i="18" s="1"/>
  <c r="L147" i="18" s="1"/>
  <c r="L150" i="18" s="1"/>
  <c r="H106" i="18"/>
  <c r="H108" i="18" s="1"/>
  <c r="H109" i="18" s="1"/>
  <c r="U776" i="18"/>
  <c r="U778" i="18" s="1"/>
  <c r="U779" i="18" s="1"/>
  <c r="I186" i="18"/>
  <c r="I188" i="18" s="1"/>
  <c r="I189" i="18" s="1"/>
  <c r="J165" i="18"/>
  <c r="J167" i="18" s="1"/>
  <c r="J168" i="18" s="1"/>
  <c r="D125" i="18"/>
  <c r="D127" i="18" s="1"/>
  <c r="D128" i="18" s="1"/>
  <c r="D130" i="18" s="1"/>
  <c r="Q144" i="18"/>
  <c r="Q146" i="18" s="1"/>
  <c r="Q147" i="18" s="1"/>
  <c r="Q150" i="18" s="1"/>
  <c r="AL341" i="18"/>
  <c r="AL342" i="18" s="1"/>
  <c r="AL344" i="18" s="1"/>
  <c r="AL345" i="18" s="1"/>
  <c r="GM21" i="8"/>
  <c r="GN21" i="8" s="1"/>
  <c r="Z144" i="18"/>
  <c r="Z146" i="18" s="1"/>
  <c r="Z147" i="18" s="1"/>
  <c r="Z150" i="18" s="1"/>
  <c r="J144" i="18"/>
  <c r="J146" i="18" s="1"/>
  <c r="J147" i="18" s="1"/>
  <c r="J150" i="18" s="1"/>
  <c r="N186" i="18"/>
  <c r="N188" i="18" s="1"/>
  <c r="N189" i="18" s="1"/>
  <c r="CK61" i="8"/>
  <c r="CL61" i="8" s="1"/>
  <c r="I165" i="18"/>
  <c r="I167" i="18" s="1"/>
  <c r="I168" i="18" s="1"/>
  <c r="L13" i="14"/>
  <c r="L15" i="14" s="1"/>
  <c r="L16" i="14" s="1"/>
  <c r="E720" i="18"/>
  <c r="E722" i="18" s="1"/>
  <c r="E723" i="18" s="1"/>
  <c r="J106" i="18"/>
  <c r="J108" i="18" s="1"/>
  <c r="J109" i="18" s="1"/>
  <c r="C111" i="18" s="1"/>
  <c r="X83" i="2" s="1"/>
  <c r="B83" i="2" s="1"/>
  <c r="GM18" i="8"/>
  <c r="GN18" i="8" s="1"/>
  <c r="CK44" i="8"/>
  <c r="CL44" i="8" s="1"/>
  <c r="V341" i="18"/>
  <c r="V342" i="18" s="1"/>
  <c r="V344" i="18" s="1"/>
  <c r="V345" i="18" s="1"/>
  <c r="N210" i="18"/>
  <c r="N212" i="18" s="1"/>
  <c r="N213" i="18" s="1"/>
  <c r="AZ10" i="30"/>
  <c r="BA10" i="30" s="1"/>
  <c r="L210" i="18"/>
  <c r="L212" i="18" s="1"/>
  <c r="L213" i="18" s="1"/>
  <c r="S210" i="18"/>
  <c r="S212" i="18" s="1"/>
  <c r="S213" i="18" s="1"/>
  <c r="KJ18" i="8"/>
  <c r="KK18" i="8" s="1"/>
  <c r="GM8" i="8"/>
  <c r="GN8" i="8" s="1"/>
  <c r="Y776" i="18"/>
  <c r="Y778" i="18" s="1"/>
  <c r="Y779" i="18" s="1"/>
  <c r="GM33" i="8"/>
  <c r="GN33" i="8" s="1"/>
  <c r="AJ341" i="18"/>
  <c r="AJ342" i="18" s="1"/>
  <c r="AJ344" i="18" s="1"/>
  <c r="AJ345" i="18" s="1"/>
  <c r="O210" i="18"/>
  <c r="O212" i="18" s="1"/>
  <c r="O213" i="18" s="1"/>
  <c r="JY16" i="8"/>
  <c r="JZ16" i="8" s="1"/>
  <c r="H33" i="14"/>
  <c r="H35" i="14" s="1"/>
  <c r="H36" i="14" s="1"/>
  <c r="AG125" i="18"/>
  <c r="AG127" i="18" s="1"/>
  <c r="AG128" i="18" s="1"/>
  <c r="AG130" i="18" s="1"/>
  <c r="M233" i="14"/>
  <c r="M235" i="14" s="1"/>
  <c r="M236" i="14" s="1"/>
  <c r="E109" i="14"/>
  <c r="E111" i="14" s="1"/>
  <c r="E112" i="14" s="1"/>
  <c r="CK38" i="8"/>
  <c r="CL38" i="8" s="1"/>
  <c r="G720" i="18"/>
  <c r="G722" i="18" s="1"/>
  <c r="G723" i="18" s="1"/>
  <c r="H361" i="18"/>
  <c r="H363" i="18" s="1"/>
  <c r="H364" i="18" s="1"/>
  <c r="D674" i="18"/>
  <c r="D675" i="18" s="1"/>
  <c r="D699" i="18"/>
  <c r="D701" i="18" s="1"/>
  <c r="D702" i="18" s="1"/>
  <c r="J86" i="18"/>
  <c r="J88" i="18" s="1"/>
  <c r="J89" i="18" s="1"/>
  <c r="FM47" i="8"/>
  <c r="FN47" i="8" s="1"/>
  <c r="P210" i="18"/>
  <c r="P212" i="18" s="1"/>
  <c r="P213" i="18" s="1"/>
  <c r="F125" i="18"/>
  <c r="F127" i="18" s="1"/>
  <c r="F128" i="18" s="1"/>
  <c r="F130" i="18" s="1"/>
  <c r="U125" i="18"/>
  <c r="U127" i="18" s="1"/>
  <c r="U128" i="18" s="1"/>
  <c r="U130" i="18" s="1"/>
  <c r="GM52" i="8"/>
  <c r="GN52" i="8" s="1"/>
  <c r="X776" i="18"/>
  <c r="X778" i="18" s="1"/>
  <c r="X779" i="18" s="1"/>
  <c r="GM36" i="8"/>
  <c r="GN36" i="8" s="1"/>
  <c r="FM45" i="8"/>
  <c r="FN45" i="8" s="1"/>
  <c r="AZ42" i="30"/>
  <c r="BA42" i="30" s="1"/>
  <c r="D13" i="14"/>
  <c r="D15" i="14" s="1"/>
  <c r="D16" i="14" s="1"/>
  <c r="AZ34" i="30"/>
  <c r="BA34" i="30" s="1"/>
  <c r="GM29" i="8"/>
  <c r="GN29" i="8" s="1"/>
  <c r="H186" i="18"/>
  <c r="H188" i="18" s="1"/>
  <c r="H189" i="18" s="1"/>
  <c r="H86" i="18"/>
  <c r="H88" i="18" s="1"/>
  <c r="H89" i="18" s="1"/>
  <c r="KJ16" i="8"/>
  <c r="KK16" i="8" s="1"/>
  <c r="AC341" i="18"/>
  <c r="AC342" i="18" s="1"/>
  <c r="AC344" i="18" s="1"/>
  <c r="AC345" i="18" s="1"/>
  <c r="E86" i="18"/>
  <c r="E88" i="18" s="1"/>
  <c r="E89" i="18" s="1"/>
  <c r="D720" i="18"/>
  <c r="D722" i="18" s="1"/>
  <c r="D723" i="18" s="1"/>
  <c r="G144" i="18"/>
  <c r="G146" i="18" s="1"/>
  <c r="G147" i="18" s="1"/>
  <c r="G150" i="18" s="1"/>
  <c r="E460" i="18"/>
  <c r="E462" i="18" s="1"/>
  <c r="E463" i="18" s="1"/>
  <c r="H125" i="18"/>
  <c r="H127" i="18" s="1"/>
  <c r="H128" i="18" s="1"/>
  <c r="H130" i="18" s="1"/>
  <c r="I228" i="18"/>
  <c r="I230" i="18" s="1"/>
  <c r="I231" i="18" s="1"/>
  <c r="AZ30" i="30"/>
  <c r="BB30" i="30" s="1"/>
  <c r="GM13" i="8"/>
  <c r="GN13" i="8" s="1"/>
  <c r="Y210" i="18"/>
  <c r="Y212" i="18" s="1"/>
  <c r="Y213" i="18" s="1"/>
  <c r="Y125" i="18"/>
  <c r="Y127" i="18" s="1"/>
  <c r="Y128" i="18" s="1"/>
  <c r="Y130" i="18" s="1"/>
  <c r="AH341" i="18"/>
  <c r="AH342" i="18" s="1"/>
  <c r="AH344" i="18" s="1"/>
  <c r="AH345" i="18" s="1"/>
  <c r="W210" i="18"/>
  <c r="W212" i="18" s="1"/>
  <c r="W213" i="18" s="1"/>
  <c r="GM39" i="8"/>
  <c r="GN39" i="8" s="1"/>
  <c r="D86" i="18"/>
  <c r="D88" i="18" s="1"/>
  <c r="D89" i="18" s="1"/>
  <c r="O233" i="14"/>
  <c r="O235" i="14" s="1"/>
  <c r="O236" i="14" s="1"/>
  <c r="JY14" i="8"/>
  <c r="JZ14" i="8" s="1"/>
  <c r="CK73" i="8"/>
  <c r="CL73" i="8" s="1"/>
  <c r="O125" i="18"/>
  <c r="O127" i="18" s="1"/>
  <c r="O128" i="18" s="1"/>
  <c r="O130" i="18" s="1"/>
  <c r="F33" i="14"/>
  <c r="F35" i="14" s="1"/>
  <c r="F36" i="14" s="1"/>
  <c r="E165" i="18"/>
  <c r="E167" i="18" s="1"/>
  <c r="E168" i="18" s="1"/>
  <c r="AD341" i="18"/>
  <c r="AD342" i="18" s="1"/>
  <c r="AD344" i="18" s="1"/>
  <c r="AD345" i="18" s="1"/>
  <c r="FM28" i="8"/>
  <c r="FN28" i="8" s="1"/>
  <c r="AC776" i="18"/>
  <c r="AC778" i="18" s="1"/>
  <c r="AC779" i="18" s="1"/>
  <c r="AZ14" i="30"/>
  <c r="BA14" i="30" s="1"/>
  <c r="F720" i="18"/>
  <c r="F722" i="18" s="1"/>
  <c r="F723" i="18" s="1"/>
  <c r="K186" i="18"/>
  <c r="K188" i="18" s="1"/>
  <c r="K189" i="18" s="1"/>
  <c r="JY22" i="8"/>
  <c r="JZ22" i="8" s="1"/>
  <c r="U210" i="18"/>
  <c r="U212" i="18" s="1"/>
  <c r="U213" i="18" s="1"/>
  <c r="E233" i="14"/>
  <c r="E235" i="14" s="1"/>
  <c r="E236" i="14" s="1"/>
  <c r="CK41" i="8"/>
  <c r="CL41" i="8" s="1"/>
  <c r="G418" i="18"/>
  <c r="G420" i="18" s="1"/>
  <c r="G421" i="18" s="1"/>
  <c r="H776" i="18"/>
  <c r="H778" i="18" s="1"/>
  <c r="CK55" i="8"/>
  <c r="CL55" i="8" s="1"/>
  <c r="AZ16" i="30"/>
  <c r="BA16" i="30" s="1"/>
  <c r="H233" i="14"/>
  <c r="H235" i="14" s="1"/>
  <c r="H236" i="14" s="1"/>
  <c r="AZ40" i="30"/>
  <c r="BA40" i="30" s="1"/>
  <c r="JY30" i="8"/>
  <c r="JZ30" i="8" s="1"/>
  <c r="I125" i="18"/>
  <c r="I127" i="18" s="1"/>
  <c r="I128" i="18" s="1"/>
  <c r="I130" i="18" s="1"/>
  <c r="D738" i="18"/>
  <c r="D740" i="18" s="1"/>
  <c r="D741" i="18" s="1"/>
  <c r="M283" i="18"/>
  <c r="M285" i="18" s="1"/>
  <c r="M286" i="18" s="1"/>
  <c r="G361" i="18"/>
  <c r="G363" i="18" s="1"/>
  <c r="G364" i="18" s="1"/>
  <c r="AC144" i="18"/>
  <c r="AC146" i="18" s="1"/>
  <c r="AC147" i="18" s="1"/>
  <c r="AC150" i="18" s="1"/>
  <c r="L109" i="14"/>
  <c r="L111" i="14" s="1"/>
  <c r="L112" i="14" s="1"/>
  <c r="H228" i="18"/>
  <c r="H230" i="18" s="1"/>
  <c r="H231" i="18" s="1"/>
  <c r="I283" i="18"/>
  <c r="I285" i="18" s="1"/>
  <c r="I286" i="18" s="1"/>
  <c r="GM49" i="8"/>
  <c r="GN49" i="8" s="1"/>
  <c r="AZ43" i="30"/>
  <c r="BB43" i="30" s="1"/>
  <c r="O341" i="18"/>
  <c r="O342" i="18" s="1"/>
  <c r="O344" i="18" s="1"/>
  <c r="O345" i="18" s="1"/>
  <c r="AZ11" i="30"/>
  <c r="BA11" i="30" s="1"/>
  <c r="KJ19" i="8"/>
  <c r="KK19" i="8" s="1"/>
  <c r="CK45" i="8"/>
  <c r="CL45" i="8" s="1"/>
  <c r="T144" i="18"/>
  <c r="T146" i="18" s="1"/>
  <c r="T147" i="18" s="1"/>
  <c r="T150" i="18" s="1"/>
  <c r="CK53" i="8"/>
  <c r="CL53" i="8" s="1"/>
  <c r="KJ9" i="8"/>
  <c r="GM24" i="8"/>
  <c r="GN24" i="8" s="1"/>
  <c r="R210" i="18"/>
  <c r="R212" i="18" s="1"/>
  <c r="R213" i="18" s="1"/>
  <c r="JY33" i="8"/>
  <c r="JZ33" i="8" s="1"/>
  <c r="GM10" i="8"/>
  <c r="GN10" i="8" s="1"/>
  <c r="F674" i="18"/>
  <c r="F675" i="18" s="1"/>
  <c r="C677" i="18" s="1"/>
  <c r="GM46" i="8"/>
  <c r="GN46" i="8" s="1"/>
  <c r="W144" i="18"/>
  <c r="W146" i="18" s="1"/>
  <c r="W147" i="18" s="1"/>
  <c r="W150" i="18" s="1"/>
  <c r="KJ17" i="8"/>
  <c r="KK17" i="8" s="1"/>
  <c r="AM8" i="30"/>
  <c r="CK59" i="8"/>
  <c r="CL59" i="8" s="1"/>
  <c r="CK47" i="8"/>
  <c r="CL47" i="8" s="1"/>
  <c r="K341" i="18"/>
  <c r="K342" i="18" s="1"/>
  <c r="K344" i="18" s="1"/>
  <c r="K345" i="18" s="1"/>
  <c r="CK40" i="8"/>
  <c r="CL40" i="8" s="1"/>
  <c r="L165" i="18"/>
  <c r="L167" i="18" s="1"/>
  <c r="L168" i="18" s="1"/>
  <c r="U341" i="18"/>
  <c r="U342" i="18" s="1"/>
  <c r="U344" i="18" s="1"/>
  <c r="U345" i="18" s="1"/>
  <c r="K125" i="18"/>
  <c r="K127" i="18" s="1"/>
  <c r="K128" i="18" s="1"/>
  <c r="K130" i="18" s="1"/>
  <c r="Q165" i="18"/>
  <c r="Q167" i="18" s="1"/>
  <c r="Q168" i="18" s="1"/>
  <c r="F418" i="18"/>
  <c r="F420" i="18" s="1"/>
  <c r="F421" i="18" s="1"/>
  <c r="AZ41" i="30"/>
  <c r="BA41" i="30" s="1"/>
  <c r="I341" i="18"/>
  <c r="I342" i="18" s="1"/>
  <c r="I344" i="18" s="1"/>
  <c r="I345" i="18" s="1"/>
  <c r="F460" i="18"/>
  <c r="F462" i="18" s="1"/>
  <c r="F463" i="18" s="1"/>
  <c r="D341" i="18"/>
  <c r="D342" i="18" s="1"/>
  <c r="D344" i="18" s="1"/>
  <c r="D345" i="18" s="1"/>
  <c r="FM31" i="8"/>
  <c r="FN31" i="8" s="1"/>
  <c r="V144" i="18"/>
  <c r="V146" i="18" s="1"/>
  <c r="V147" i="18" s="1"/>
  <c r="V150" i="18" s="1"/>
  <c r="AZ26" i="30"/>
  <c r="BA26" i="30" s="1"/>
  <c r="M125" i="18"/>
  <c r="M127" i="18" s="1"/>
  <c r="M128" i="18" s="1"/>
  <c r="M130" i="18" s="1"/>
  <c r="KJ15" i="8"/>
  <c r="KK15" i="8" s="1"/>
  <c r="P186" i="18"/>
  <c r="P188" i="18" s="1"/>
  <c r="P189" i="18" s="1"/>
  <c r="JY15" i="8"/>
  <c r="JZ15" i="8" s="1"/>
  <c r="FM30" i="8"/>
  <c r="FN30" i="8" s="1"/>
  <c r="AZ25" i="30"/>
  <c r="BB25" i="30" s="1"/>
  <c r="JY34" i="8"/>
  <c r="JZ34" i="8" s="1"/>
  <c r="GM34" i="8"/>
  <c r="GN34" i="8" s="1"/>
  <c r="E125" i="18"/>
  <c r="E127" i="18" s="1"/>
  <c r="E128" i="18" s="1"/>
  <c r="E130" i="18" s="1"/>
  <c r="GM40" i="8"/>
  <c r="GN40" i="8" s="1"/>
  <c r="R144" i="18"/>
  <c r="R146" i="18" s="1"/>
  <c r="R147" i="18" s="1"/>
  <c r="R150" i="18" s="1"/>
  <c r="GM16" i="8"/>
  <c r="GN16" i="8" s="1"/>
  <c r="I720" i="18"/>
  <c r="I722" i="18" s="1"/>
  <c r="I723" i="18" s="1"/>
  <c r="V210" i="18"/>
  <c r="V212" i="18" s="1"/>
  <c r="V213" i="18" s="1"/>
  <c r="P13" i="14"/>
  <c r="P15" i="14" s="1"/>
  <c r="P16" i="14" s="1"/>
  <c r="L35" i="18"/>
  <c r="L37" i="18" s="1"/>
  <c r="L38" i="18" s="1"/>
  <c r="GM28" i="8"/>
  <c r="GN28" i="8" s="1"/>
  <c r="FM27" i="8"/>
  <c r="FN27" i="8" s="1"/>
  <c r="AZ28" i="30"/>
  <c r="BA28" i="30" s="1"/>
  <c r="N33" i="14"/>
  <c r="N35" i="14" s="1"/>
  <c r="N36" i="14" s="1"/>
  <c r="AG341" i="18"/>
  <c r="AG342" i="18" s="1"/>
  <c r="AG344" i="18" s="1"/>
  <c r="AG345" i="18" s="1"/>
  <c r="E738" i="18"/>
  <c r="E740" i="18" s="1"/>
  <c r="E741" i="18" s="1"/>
  <c r="GM51" i="8"/>
  <c r="GN51" i="8" s="1"/>
  <c r="E544" i="18"/>
  <c r="E547" i="18" s="1"/>
  <c r="E776" i="18"/>
  <c r="E778" i="18" s="1"/>
  <c r="E186" i="18"/>
  <c r="E188" i="18" s="1"/>
  <c r="E189" i="18" s="1"/>
  <c r="J341" i="18"/>
  <c r="J342" i="18" s="1"/>
  <c r="J344" i="18" s="1"/>
  <c r="J345" i="18" s="1"/>
  <c r="I544" i="18"/>
  <c r="I547" i="18" s="1"/>
  <c r="H144" i="18"/>
  <c r="H146" i="18" s="1"/>
  <c r="H147" i="18" s="1"/>
  <c r="H150" i="18" s="1"/>
  <c r="FM49" i="8"/>
  <c r="FN49" i="8" s="1"/>
  <c r="AZ19" i="30"/>
  <c r="BA19" i="30" s="1"/>
  <c r="GM22" i="8"/>
  <c r="GN22" i="8" s="1"/>
  <c r="AG776" i="18"/>
  <c r="AG778" i="18" s="1"/>
  <c r="AG779" i="18" s="1"/>
  <c r="D776" i="18"/>
  <c r="D778" i="18" s="1"/>
  <c r="D779" i="18" s="1"/>
  <c r="FM38" i="8"/>
  <c r="FN38" i="8" s="1"/>
  <c r="JY32" i="8"/>
  <c r="JZ32" i="8" s="1"/>
  <c r="O186" i="18"/>
  <c r="O188" i="18" s="1"/>
  <c r="O189" i="18" s="1"/>
  <c r="JY27" i="8"/>
  <c r="JZ27" i="8" s="1"/>
  <c r="GM35" i="8"/>
  <c r="GN35" i="8" s="1"/>
  <c r="D109" i="14"/>
  <c r="D111" i="14" s="1"/>
  <c r="D112" i="14" s="1"/>
  <c r="L186" i="18"/>
  <c r="L188" i="18" s="1"/>
  <c r="L189" i="18" s="1"/>
  <c r="FM41" i="8"/>
  <c r="FN41" i="8" s="1"/>
  <c r="CK72" i="8"/>
  <c r="CL72" i="8" s="1"/>
  <c r="I109" i="14"/>
  <c r="I111" i="14" s="1"/>
  <c r="I112" i="14" s="1"/>
  <c r="R186" i="18"/>
  <c r="R188" i="18" s="1"/>
  <c r="R189" i="18" s="1"/>
  <c r="FM40" i="8"/>
  <c r="FN40" i="8" s="1"/>
  <c r="Q210" i="18"/>
  <c r="Q212" i="18" s="1"/>
  <c r="Q213" i="18" s="1"/>
  <c r="JY25" i="8"/>
  <c r="JZ25" i="8" s="1"/>
  <c r="Q109" i="14"/>
  <c r="Q111" i="14" s="1"/>
  <c r="Q112" i="14" s="1"/>
  <c r="AZ33" i="30"/>
  <c r="BB33" i="30" s="1"/>
  <c r="P776" i="18"/>
  <c r="P778" i="18" s="1"/>
  <c r="P779" i="18" s="1"/>
  <c r="K776" i="18"/>
  <c r="K778" i="18" s="1"/>
  <c r="K779" i="18" s="1"/>
  <c r="X144" i="18"/>
  <c r="X146" i="18" s="1"/>
  <c r="X147" i="18" s="1"/>
  <c r="X150" i="18" s="1"/>
  <c r="FM39" i="8"/>
  <c r="FN39" i="8" s="1"/>
  <c r="N341" i="18"/>
  <c r="N342" i="18" s="1"/>
  <c r="N344" i="18" s="1"/>
  <c r="N345" i="18" s="1"/>
  <c r="D144" i="18"/>
  <c r="D146" i="18" s="1"/>
  <c r="D147" i="18" s="1"/>
  <c r="D150" i="18" s="1"/>
  <c r="L283" i="18"/>
  <c r="L285" i="18" s="1"/>
  <c r="L286" i="18" s="1"/>
  <c r="GM54" i="8"/>
  <c r="GN54" i="8" s="1"/>
  <c r="G776" i="18"/>
  <c r="G778" i="18" s="1"/>
  <c r="O144" i="18"/>
  <c r="O146" i="18" s="1"/>
  <c r="O147" i="18" s="1"/>
  <c r="O150" i="18" s="1"/>
  <c r="R341" i="18"/>
  <c r="R342" i="18" s="1"/>
  <c r="R344" i="18" s="1"/>
  <c r="R345" i="18" s="1"/>
  <c r="CK65" i="8"/>
  <c r="CL65" i="8" s="1"/>
  <c r="I106" i="18"/>
  <c r="I108" i="18" s="1"/>
  <c r="I109" i="18" s="1"/>
  <c r="FM29" i="8"/>
  <c r="FN29" i="8" s="1"/>
  <c r="O109" i="14"/>
  <c r="O111" i="14" s="1"/>
  <c r="O112" i="14" s="1"/>
  <c r="CK42" i="8"/>
  <c r="CL42" i="8" s="1"/>
  <c r="GM23" i="8"/>
  <c r="GN23" i="8" s="1"/>
  <c r="D798" i="18"/>
  <c r="D800" i="18" s="1"/>
  <c r="D801" i="18" s="1"/>
  <c r="L86" i="18"/>
  <c r="L88" i="18" s="1"/>
  <c r="L89" i="18" s="1"/>
  <c r="FM34" i="8"/>
  <c r="FN34" i="8" s="1"/>
  <c r="GM14" i="8"/>
  <c r="GN14" i="8" s="1"/>
  <c r="CK49" i="8"/>
  <c r="CL49" i="8" s="1"/>
  <c r="AZ13" i="30"/>
  <c r="BA13" i="30" s="1"/>
  <c r="FM48" i="8"/>
  <c r="FN48" i="8" s="1"/>
  <c r="K233" i="14"/>
  <c r="K235" i="14" s="1"/>
  <c r="K236" i="14" s="1"/>
  <c r="JY24" i="8"/>
  <c r="JZ24" i="8" s="1"/>
  <c r="CK56" i="8"/>
  <c r="CL56" i="8" s="1"/>
  <c r="GM48" i="8"/>
  <c r="GN48" i="8" s="1"/>
  <c r="JY10" i="8"/>
  <c r="JZ10" i="8" s="1"/>
  <c r="N144" i="18"/>
  <c r="N146" i="18" s="1"/>
  <c r="N147" i="18" s="1"/>
  <c r="N150" i="18" s="1"/>
  <c r="H283" i="18"/>
  <c r="H285" i="18" s="1"/>
  <c r="H286" i="18" s="1"/>
  <c r="D418" i="18"/>
  <c r="D420" i="18" s="1"/>
  <c r="D421" i="18" s="1"/>
  <c r="J186" i="18"/>
  <c r="J188" i="18" s="1"/>
  <c r="J189" i="18" s="1"/>
  <c r="FM32" i="8"/>
  <c r="FN32" i="8" s="1"/>
  <c r="S341" i="18"/>
  <c r="S342" i="18" s="1"/>
  <c r="S344" i="18" s="1"/>
  <c r="S345" i="18" s="1"/>
  <c r="GM50" i="8"/>
  <c r="GN50" i="8" s="1"/>
  <c r="FM43" i="8"/>
  <c r="FN43" i="8" s="1"/>
  <c r="AC125" i="18"/>
  <c r="AC127" i="18" s="1"/>
  <c r="AC128" i="18" s="1"/>
  <c r="AC130" i="18" s="1"/>
  <c r="CK52" i="8"/>
  <c r="CL52" i="8" s="1"/>
  <c r="FM33" i="8"/>
  <c r="FN33" i="8" s="1"/>
  <c r="JY26" i="8"/>
  <c r="JZ26" i="8" s="1"/>
  <c r="F144" i="18"/>
  <c r="F146" i="18" s="1"/>
  <c r="F147" i="18" s="1"/>
  <c r="F150" i="18" s="1"/>
  <c r="AA144" i="18"/>
  <c r="AA146" i="18" s="1"/>
  <c r="AA147" i="18" s="1"/>
  <c r="AA150" i="18" s="1"/>
  <c r="D652" i="18"/>
  <c r="D654" i="18" s="1"/>
  <c r="D655" i="18" s="1"/>
  <c r="C658" i="18" s="1"/>
  <c r="G165" i="18"/>
  <c r="G167" i="18" s="1"/>
  <c r="G168" i="18" s="1"/>
  <c r="F283" i="18"/>
  <c r="F285" i="18" s="1"/>
  <c r="F286" i="18" s="1"/>
  <c r="AB144" i="18"/>
  <c r="AB146" i="18" s="1"/>
  <c r="AB147" i="18" s="1"/>
  <c r="AB150" i="18" s="1"/>
  <c r="O776" i="18"/>
  <c r="O778" i="18" s="1"/>
  <c r="O779" i="18" s="1"/>
  <c r="K35" i="18"/>
  <c r="K37" i="18" s="1"/>
  <c r="K38" i="18" s="1"/>
  <c r="R125" i="18"/>
  <c r="R127" i="18" s="1"/>
  <c r="R128" i="18" s="1"/>
  <c r="R130" i="18" s="1"/>
  <c r="AZ48" i="30"/>
  <c r="AB125" i="18"/>
  <c r="AB127" i="18" s="1"/>
  <c r="AB128" i="18" s="1"/>
  <c r="AB130" i="18" s="1"/>
  <c r="G186" i="18"/>
  <c r="G188" i="18" s="1"/>
  <c r="G189" i="18" s="1"/>
  <c r="M13" i="14"/>
  <c r="M15" i="14" s="1"/>
  <c r="M16" i="14" s="1"/>
  <c r="M776" i="18"/>
  <c r="M778" i="18" s="1"/>
  <c r="M779" i="18" s="1"/>
  <c r="JY13" i="8"/>
  <c r="JZ13" i="8" s="1"/>
  <c r="D228" i="18"/>
  <c r="D230" i="18" s="1"/>
  <c r="D231" i="18" s="1"/>
  <c r="N776" i="18"/>
  <c r="N778" i="18" s="1"/>
  <c r="N779" i="18" s="1"/>
  <c r="AE144" i="18"/>
  <c r="AE146" i="18" s="1"/>
  <c r="AE147" i="18" s="1"/>
  <c r="AE150" i="18" s="1"/>
  <c r="F35" i="18"/>
  <c r="F37" i="18" s="1"/>
  <c r="F38" i="18" s="1"/>
  <c r="H720" i="18"/>
  <c r="H722" i="18" s="1"/>
  <c r="H723" i="18" s="1"/>
  <c r="R33" i="14"/>
  <c r="R35" i="14" s="1"/>
  <c r="R36" i="14" s="1"/>
  <c r="CK54" i="8"/>
  <c r="CL54" i="8" s="1"/>
  <c r="AI341" i="18"/>
  <c r="AI342" i="18" s="1"/>
  <c r="AI344" i="18" s="1"/>
  <c r="AI345" i="18" s="1"/>
  <c r="J125" i="18"/>
  <c r="J127" i="18" s="1"/>
  <c r="J128" i="18" s="1"/>
  <c r="J130" i="18" s="1"/>
  <c r="AZ22" i="30"/>
  <c r="BA22" i="30" s="1"/>
  <c r="KJ10" i="8"/>
  <c r="AB341" i="18"/>
  <c r="AB342" i="18" s="1"/>
  <c r="AB344" i="18" s="1"/>
  <c r="AB345" i="18" s="1"/>
  <c r="GM32" i="8"/>
  <c r="GN32" i="8" s="1"/>
  <c r="V776" i="18"/>
  <c r="V778" i="18" s="1"/>
  <c r="V779" i="18" s="1"/>
  <c r="N13" i="14"/>
  <c r="N15" i="14" s="1"/>
  <c r="N16" i="14" s="1"/>
  <c r="FM37" i="8"/>
  <c r="FN37" i="8" s="1"/>
  <c r="G228" i="18"/>
  <c r="G230" i="18" s="1"/>
  <c r="G231" i="18" s="1"/>
  <c r="E210" i="18"/>
  <c r="E212" i="18" s="1"/>
  <c r="E213" i="18" s="1"/>
  <c r="E341" i="18"/>
  <c r="E342" i="18" s="1"/>
  <c r="E344" i="18" s="1"/>
  <c r="E345" i="18" s="1"/>
  <c r="E144" i="18"/>
  <c r="E146" i="18" s="1"/>
  <c r="E147" i="18" s="1"/>
  <c r="E150" i="18" s="1"/>
  <c r="D361" i="18"/>
  <c r="D363" i="18" s="1"/>
  <c r="D364" i="18" s="1"/>
  <c r="Q233" i="14"/>
  <c r="Q235" i="14" s="1"/>
  <c r="Q236" i="14" s="1"/>
  <c r="CK48" i="8"/>
  <c r="CL48" i="8" s="1"/>
  <c r="GM43" i="8"/>
  <c r="GN43" i="8" s="1"/>
  <c r="JY29" i="8"/>
  <c r="JZ29" i="8" s="1"/>
  <c r="GM9" i="8"/>
  <c r="GN9" i="8" s="1"/>
  <c r="CK51" i="8"/>
  <c r="CL51" i="8" s="1"/>
  <c r="F699" i="18"/>
  <c r="F701" i="18" s="1"/>
  <c r="F702" i="18" s="1"/>
  <c r="AZ46" i="30"/>
  <c r="BA46" i="30" s="1"/>
  <c r="KJ13" i="8"/>
  <c r="KK13" i="8" s="1"/>
  <c r="JY18" i="8"/>
  <c r="JZ18" i="8" s="1"/>
  <c r="P109" i="14"/>
  <c r="P111" i="14" s="1"/>
  <c r="P112" i="14" s="1"/>
  <c r="CK69" i="8"/>
  <c r="CL69" i="8" s="1"/>
  <c r="I418" i="18"/>
  <c r="I420" i="18" s="1"/>
  <c r="I421" i="18" s="1"/>
  <c r="AE341" i="18"/>
  <c r="AE342" i="18" s="1"/>
  <c r="AE344" i="18" s="1"/>
  <c r="AE345" i="18" s="1"/>
  <c r="Z776" i="18"/>
  <c r="Z778" i="18" s="1"/>
  <c r="Z779" i="18" s="1"/>
  <c r="AD125" i="18"/>
  <c r="AD127" i="18" s="1"/>
  <c r="AD128" i="18" s="1"/>
  <c r="AD130" i="18" s="1"/>
  <c r="G13" i="14"/>
  <c r="G15" i="14" s="1"/>
  <c r="G16" i="14" s="1"/>
  <c r="CK50" i="8"/>
  <c r="CL50" i="8" s="1"/>
  <c r="AE776" i="18"/>
  <c r="AE778" i="18" s="1"/>
  <c r="AE779" i="18" s="1"/>
  <c r="CK39" i="8"/>
  <c r="CL39" i="8" s="1"/>
  <c r="JY28" i="8"/>
  <c r="JZ28" i="8" s="1"/>
  <c r="O13" i="14"/>
  <c r="O15" i="14" s="1"/>
  <c r="O16" i="14" s="1"/>
  <c r="AZ18" i="30"/>
  <c r="BA18" i="30" s="1"/>
  <c r="T210" i="18"/>
  <c r="T212" i="18" s="1"/>
  <c r="T213" i="18" s="1"/>
  <c r="V125" i="18"/>
  <c r="V127" i="18" s="1"/>
  <c r="V128" i="18" s="1"/>
  <c r="V130" i="18" s="1"/>
  <c r="R776" i="18"/>
  <c r="R778" i="18" s="1"/>
  <c r="R779" i="18" s="1"/>
  <c r="K165" i="18"/>
  <c r="K167" i="18" s="1"/>
  <c r="K168" i="18" s="1"/>
  <c r="CK68" i="8"/>
  <c r="CL68" i="8" s="1"/>
  <c r="GM38" i="8"/>
  <c r="GN38" i="8" s="1"/>
  <c r="Q125" i="18"/>
  <c r="Q127" i="18" s="1"/>
  <c r="Q128" i="18" s="1"/>
  <c r="Q130" i="18" s="1"/>
  <c r="D35" i="18"/>
  <c r="D37" i="18" s="1"/>
  <c r="D38" i="18" s="1"/>
  <c r="CK36" i="8"/>
  <c r="CL36" i="8" s="1"/>
  <c r="F544" i="18"/>
  <c r="F547" i="18" s="1"/>
  <c r="FM36" i="8"/>
  <c r="FN36" i="8" s="1"/>
  <c r="M186" i="18"/>
  <c r="M188" i="18" s="1"/>
  <c r="M189" i="18" s="1"/>
  <c r="AD144" i="18"/>
  <c r="AD146" i="18" s="1"/>
  <c r="AD147" i="18" s="1"/>
  <c r="AD150" i="18" s="1"/>
  <c r="L341" i="18"/>
  <c r="L342" i="18" s="1"/>
  <c r="L344" i="18" s="1"/>
  <c r="L345" i="18" s="1"/>
  <c r="GM42" i="8"/>
  <c r="GN42" i="8" s="1"/>
  <c r="GM12" i="8"/>
  <c r="GN12" i="8" s="1"/>
  <c r="F165" i="18"/>
  <c r="F167" i="18" s="1"/>
  <c r="F168" i="18" s="1"/>
  <c r="GM44" i="8"/>
  <c r="GN44" i="8" s="1"/>
  <c r="E674" i="18"/>
  <c r="E675" i="18" s="1"/>
  <c r="KJ12" i="8"/>
  <c r="J233" i="14"/>
  <c r="J235" i="14" s="1"/>
  <c r="J236" i="14" s="1"/>
  <c r="FM44" i="8"/>
  <c r="FN44" i="8" s="1"/>
  <c r="P33" i="14"/>
  <c r="P35" i="14" s="1"/>
  <c r="P36" i="14" s="1"/>
  <c r="R109" i="14"/>
  <c r="R111" i="14" s="1"/>
  <c r="R112" i="14" s="1"/>
  <c r="G210" i="18"/>
  <c r="G212" i="18" s="1"/>
  <c r="G213" i="18" s="1"/>
  <c r="P341" i="18"/>
  <c r="P342" i="18" s="1"/>
  <c r="P344" i="18" s="1"/>
  <c r="P345" i="18" s="1"/>
  <c r="E228" i="18"/>
  <c r="E230" i="18" s="1"/>
  <c r="E231" i="18" s="1"/>
  <c r="S776" i="18"/>
  <c r="S778" i="18" s="1"/>
  <c r="S779" i="18" s="1"/>
  <c r="GM30" i="8"/>
  <c r="GN30" i="8" s="1"/>
  <c r="W776" i="18"/>
  <c r="W778" i="18" s="1"/>
  <c r="W779" i="18" s="1"/>
  <c r="CK66" i="8"/>
  <c r="CL66" i="8" s="1"/>
  <c r="N165" i="18"/>
  <c r="N167" i="18" s="1"/>
  <c r="N168" i="18" s="1"/>
  <c r="D106" i="18"/>
  <c r="D108" i="18" s="1"/>
  <c r="D109" i="18" s="1"/>
  <c r="G109" i="14"/>
  <c r="G111" i="14" s="1"/>
  <c r="G112" i="14" s="1"/>
  <c r="P125" i="18"/>
  <c r="P127" i="18" s="1"/>
  <c r="P128" i="18" s="1"/>
  <c r="P130" i="18" s="1"/>
  <c r="Q33" i="14"/>
  <c r="Q35" i="14" s="1"/>
  <c r="Q36" i="14" s="1"/>
  <c r="CK43" i="8"/>
  <c r="CL43" i="8" s="1"/>
  <c r="Q13" i="14"/>
  <c r="Q15" i="14" s="1"/>
  <c r="Q16" i="14" s="1"/>
  <c r="E418" i="18"/>
  <c r="E420" i="18" s="1"/>
  <c r="E421" i="18" s="1"/>
  <c r="F233" i="14"/>
  <c r="F235" i="14" s="1"/>
  <c r="F236" i="14" s="1"/>
  <c r="G35" i="18"/>
  <c r="G37" i="18" s="1"/>
  <c r="G38" i="18" s="1"/>
  <c r="K86" i="18"/>
  <c r="K88" i="18" s="1"/>
  <c r="K89" i="18" s="1"/>
  <c r="K33" i="14"/>
  <c r="K35" i="14" s="1"/>
  <c r="K36" i="14" s="1"/>
  <c r="AZ45" i="30"/>
  <c r="BA45" i="30" s="1"/>
  <c r="H210" i="18"/>
  <c r="H212" i="18" s="1"/>
  <c r="H213" i="18" s="1"/>
  <c r="GM15" i="8"/>
  <c r="GN15" i="8" s="1"/>
  <c r="AD776" i="18"/>
  <c r="AD778" i="18" s="1"/>
  <c r="AD779" i="18" s="1"/>
  <c r="H13" i="14"/>
  <c r="H15" i="14" s="1"/>
  <c r="H16" i="14" s="1"/>
  <c r="J544" i="18"/>
  <c r="J546" i="18" s="1"/>
  <c r="I776" i="18"/>
  <c r="I778" i="18" s="1"/>
  <c r="I779" i="18" s="1"/>
  <c r="P233" i="14"/>
  <c r="P235" i="14" s="1"/>
  <c r="P236" i="14" s="1"/>
  <c r="K109" i="14"/>
  <c r="K111" i="14" s="1"/>
  <c r="K112" i="14" s="1"/>
  <c r="G86" i="18"/>
  <c r="G88" i="18" s="1"/>
  <c r="G89" i="18" s="1"/>
  <c r="GM17" i="8"/>
  <c r="GN17" i="8" s="1"/>
  <c r="I144" i="18"/>
  <c r="I146" i="18" s="1"/>
  <c r="I147" i="18" s="1"/>
  <c r="I150" i="18" s="1"/>
  <c r="H418" i="18"/>
  <c r="H420" i="18" s="1"/>
  <c r="H421" i="18" s="1"/>
  <c r="AF776" i="18"/>
  <c r="AF778" i="18" s="1"/>
  <c r="AF779" i="18" s="1"/>
  <c r="AZ24" i="30"/>
  <c r="BA24" i="30" s="1"/>
  <c r="D33" i="14"/>
  <c r="D35" i="14" s="1"/>
  <c r="D36" i="14" s="1"/>
  <c r="D165" i="18"/>
  <c r="D167" i="18" s="1"/>
  <c r="D168" i="18" s="1"/>
  <c r="M165" i="18"/>
  <c r="M167" i="18" s="1"/>
  <c r="M168" i="18" s="1"/>
  <c r="G33" i="14"/>
  <c r="G35" i="14" s="1"/>
  <c r="G36" i="14" s="1"/>
  <c r="JY17" i="8"/>
  <c r="JZ17" i="8" s="1"/>
  <c r="E35" i="18"/>
  <c r="E37" i="18" s="1"/>
  <c r="E38" i="18" s="1"/>
  <c r="CK63" i="8"/>
  <c r="CL63" i="8" s="1"/>
  <c r="G544" i="18"/>
  <c r="G546" i="18" s="1"/>
  <c r="N109" i="14"/>
  <c r="N111" i="14" s="1"/>
  <c r="N112" i="14" s="1"/>
  <c r="AB776" i="18"/>
  <c r="AB778" i="18" s="1"/>
  <c r="AB779" i="18" s="1"/>
  <c r="KJ21" i="8"/>
  <c r="KK21" i="8" s="1"/>
  <c r="J776" i="18"/>
  <c r="J778" i="18" s="1"/>
  <c r="J779" i="18" s="1"/>
  <c r="AZ36" i="30"/>
  <c r="BA36" i="30" s="1"/>
  <c r="Z210" i="18"/>
  <c r="Z212" i="18" s="1"/>
  <c r="Z213" i="18" s="1"/>
  <c r="I798" i="18"/>
  <c r="I800" i="18" s="1"/>
  <c r="I801" i="18" s="1"/>
  <c r="JY35" i="8"/>
  <c r="JZ35" i="8" s="1"/>
  <c r="N125" i="18"/>
  <c r="N127" i="18" s="1"/>
  <c r="N128" i="18" s="1"/>
  <c r="N130" i="18" s="1"/>
  <c r="Y341" i="18"/>
  <c r="Y342" i="18" s="1"/>
  <c r="Y344" i="18" s="1"/>
  <c r="Y345" i="18" s="1"/>
  <c r="M33" i="14"/>
  <c r="M35" i="14" s="1"/>
  <c r="M36" i="14" s="1"/>
  <c r="K283" i="18"/>
  <c r="K285" i="18" s="1"/>
  <c r="K286" i="18" s="1"/>
  <c r="JY19" i="8"/>
  <c r="JZ19" i="8" s="1"/>
  <c r="L33" i="14"/>
  <c r="L35" i="14" s="1"/>
  <c r="L36" i="14" s="1"/>
  <c r="J720" i="18"/>
  <c r="J722" i="18" s="1"/>
  <c r="J723" i="18" s="1"/>
  <c r="F13" i="14"/>
  <c r="F15" i="14" s="1"/>
  <c r="F16" i="14" s="1"/>
  <c r="AZ20" i="30"/>
  <c r="BB20" i="30" s="1"/>
  <c r="E13" i="14"/>
  <c r="E15" i="14" s="1"/>
  <c r="E16" i="14" s="1"/>
  <c r="KJ8" i="8"/>
  <c r="AZ9" i="30"/>
  <c r="BA9" i="30" s="1"/>
  <c r="E33" i="14"/>
  <c r="E35" i="14" s="1"/>
  <c r="E36" i="14" s="1"/>
  <c r="G233" i="14"/>
  <c r="G235" i="14" s="1"/>
  <c r="G236" i="14" s="1"/>
  <c r="GM31" i="8"/>
  <c r="GN31" i="8" s="1"/>
  <c r="D544" i="18"/>
  <c r="D547" i="18" s="1"/>
  <c r="CK57" i="8"/>
  <c r="CL57" i="8" s="1"/>
  <c r="AZ32" i="30"/>
  <c r="BA32" i="30" s="1"/>
  <c r="X341" i="18"/>
  <c r="X342" i="18" s="1"/>
  <c r="X344" i="18" s="1"/>
  <c r="X345" i="18" s="1"/>
  <c r="CK46" i="8"/>
  <c r="CL46" i="8" s="1"/>
  <c r="G738" i="18"/>
  <c r="G740" i="18" s="1"/>
  <c r="G741" i="18" s="1"/>
  <c r="AZ37" i="30"/>
  <c r="BA37" i="30" s="1"/>
  <c r="GM26" i="8"/>
  <c r="GN26" i="8" s="1"/>
  <c r="M86" i="18"/>
  <c r="M88" i="18" s="1"/>
  <c r="M89" i="18" s="1"/>
  <c r="CK64" i="8"/>
  <c r="CL64" i="8" s="1"/>
  <c r="O33" i="14"/>
  <c r="O35" i="14" s="1"/>
  <c r="O36" i="14" s="1"/>
  <c r="P144" i="18"/>
  <c r="P146" i="18" s="1"/>
  <c r="P147" i="18" s="1"/>
  <c r="P150" i="18" s="1"/>
  <c r="J210" i="18"/>
  <c r="J212" i="18" s="1"/>
  <c r="J213" i="18" s="1"/>
  <c r="AZ38" i="30"/>
  <c r="BB38" i="30" s="1"/>
  <c r="J418" i="18"/>
  <c r="J420" i="18" s="1"/>
  <c r="J421" i="18" s="1"/>
  <c r="CK37" i="8"/>
  <c r="CL37" i="8" s="1"/>
  <c r="H165" i="18"/>
  <c r="H167" i="18" s="1"/>
  <c r="H168" i="18" s="1"/>
  <c r="X125" i="18"/>
  <c r="X127" i="18" s="1"/>
  <c r="X128" i="18" s="1"/>
  <c r="X130" i="18" s="1"/>
  <c r="E798" i="18"/>
  <c r="E800" i="18" s="1"/>
  <c r="E801" i="18" s="1"/>
  <c r="J35" i="18"/>
  <c r="J37" i="18" s="1"/>
  <c r="J38" i="18" s="1"/>
  <c r="G106" i="18"/>
  <c r="G108" i="18" s="1"/>
  <c r="G109" i="18" s="1"/>
  <c r="AB210" i="18"/>
  <c r="AB212" i="18" s="1"/>
  <c r="AB213" i="18" s="1"/>
  <c r="F776" i="18"/>
  <c r="F778" i="18" s="1"/>
  <c r="AZ27" i="30"/>
  <c r="BA27" i="30" s="1"/>
  <c r="Q776" i="18"/>
  <c r="Q778" i="18" s="1"/>
  <c r="Q779" i="18" s="1"/>
  <c r="AZ23" i="30"/>
  <c r="BA23" i="30" s="1"/>
  <c r="D233" i="14"/>
  <c r="D235" i="14" s="1"/>
  <c r="D236" i="14" s="1"/>
  <c r="H544" i="18"/>
  <c r="H547" i="18" s="1"/>
  <c r="AZ17" i="30"/>
  <c r="BA17" i="30" s="1"/>
  <c r="AZ21" i="30"/>
  <c r="BA21" i="30" s="1"/>
  <c r="Q341" i="18"/>
  <c r="Q342" i="18" s="1"/>
  <c r="Q344" i="18" s="1"/>
  <c r="Q345" i="18" s="1"/>
  <c r="X210" i="18"/>
  <c r="X212" i="18" s="1"/>
  <c r="X213" i="18" s="1"/>
  <c r="AA776" i="18"/>
  <c r="AA778" i="18" s="1"/>
  <c r="AA779" i="18" s="1"/>
  <c r="AA125" i="18"/>
  <c r="AA127" i="18" s="1"/>
  <c r="AA128" i="18" s="1"/>
  <c r="AA130" i="18" s="1"/>
  <c r="E361" i="18"/>
  <c r="E363" i="18" s="1"/>
  <c r="E364" i="18" s="1"/>
  <c r="AZ44" i="30"/>
  <c r="BB44" i="30" s="1"/>
  <c r="U144" i="18"/>
  <c r="U146" i="18" s="1"/>
  <c r="U147" i="18" s="1"/>
  <c r="U150" i="18" s="1"/>
  <c r="I35" i="18"/>
  <c r="I37" i="18" s="1"/>
  <c r="I38" i="18" s="1"/>
  <c r="T776" i="18"/>
  <c r="T778" i="18" s="1"/>
  <c r="T779" i="18" s="1"/>
  <c r="R13" i="14"/>
  <c r="R15" i="14" s="1"/>
  <c r="R16" i="14" s="1"/>
  <c r="M210" i="18"/>
  <c r="M212" i="18" s="1"/>
  <c r="M213" i="18" s="1"/>
  <c r="E106" i="18"/>
  <c r="E108" i="18" s="1"/>
  <c r="E109" i="18" s="1"/>
  <c r="Z341" i="18"/>
  <c r="Z342" i="18" s="1"/>
  <c r="Z344" i="18" s="1"/>
  <c r="Z345" i="18" s="1"/>
  <c r="CK62" i="8"/>
  <c r="CL62" i="8" s="1"/>
  <c r="H109" i="14"/>
  <c r="H111" i="14" s="1"/>
  <c r="H112" i="14" s="1"/>
  <c r="Q186" i="18"/>
  <c r="Q188" i="18" s="1"/>
  <c r="Q189" i="18" s="1"/>
  <c r="H460" i="18"/>
  <c r="H462" i="18" s="1"/>
  <c r="H463" i="18" s="1"/>
  <c r="I233" i="14"/>
  <c r="I235" i="14" s="1"/>
  <c r="I236" i="14" s="1"/>
  <c r="AZ31" i="30"/>
  <c r="BB31" i="30" s="1"/>
  <c r="R165" i="18"/>
  <c r="R167" i="18" s="1"/>
  <c r="R168" i="18" s="1"/>
  <c r="AZ39" i="30"/>
  <c r="BA39" i="30" s="1"/>
  <c r="AG144" i="18"/>
  <c r="AG146" i="18" s="1"/>
  <c r="AG147" i="18" s="1"/>
  <c r="AG150" i="18" s="1"/>
  <c r="AZ12" i="30"/>
  <c r="BA12" i="30" s="1"/>
  <c r="J228" i="18"/>
  <c r="J230" i="18" s="1"/>
  <c r="J231" i="18" s="1"/>
  <c r="AK341" i="18"/>
  <c r="AK342" i="18" s="1"/>
  <c r="AK344" i="18" s="1"/>
  <c r="AK345" i="18" s="1"/>
  <c r="AM341" i="18"/>
  <c r="AM342" i="18" s="1"/>
  <c r="AM344" i="18" s="1"/>
  <c r="AM345" i="18" s="1"/>
  <c r="F109" i="14"/>
  <c r="F111" i="14" s="1"/>
  <c r="F112" i="14" s="1"/>
  <c r="K13" i="14"/>
  <c r="K15" i="14" s="1"/>
  <c r="K16" i="14" s="1"/>
  <c r="W125" i="18"/>
  <c r="W127" i="18" s="1"/>
  <c r="W128" i="18" s="1"/>
  <c r="W130" i="18" s="1"/>
  <c r="M341" i="18"/>
  <c r="M342" i="18" s="1"/>
  <c r="M344" i="18" s="1"/>
  <c r="M345" i="18" s="1"/>
  <c r="F341" i="18"/>
  <c r="F342" i="18" s="1"/>
  <c r="F344" i="18" s="1"/>
  <c r="F345" i="18" s="1"/>
  <c r="D210" i="18"/>
  <c r="D212" i="18" s="1"/>
  <c r="D213" i="18" s="1"/>
  <c r="F738" i="18"/>
  <c r="F740" i="18" s="1"/>
  <c r="F741" i="18" s="1"/>
  <c r="F186" i="18"/>
  <c r="F188" i="18" s="1"/>
  <c r="F189" i="18" s="1"/>
  <c r="L233" i="14"/>
  <c r="L235" i="14" s="1"/>
  <c r="L236" i="14" s="1"/>
  <c r="J33" i="14"/>
  <c r="J35" i="14" s="1"/>
  <c r="J36" i="14" s="1"/>
  <c r="S144" i="18"/>
  <c r="S146" i="18" s="1"/>
  <c r="S147" i="18" s="1"/>
  <c r="S150" i="18" s="1"/>
  <c r="N233" i="14"/>
  <c r="N235" i="14" s="1"/>
  <c r="N236" i="14" s="1"/>
  <c r="GM53" i="8"/>
  <c r="GN53" i="8" s="1"/>
  <c r="J13" i="14"/>
  <c r="J15" i="14" s="1"/>
  <c r="J16" i="14" s="1"/>
  <c r="KJ11" i="8"/>
  <c r="M109" i="14"/>
  <c r="M111" i="14" s="1"/>
  <c r="M112" i="14" s="1"/>
  <c r="JY8" i="8"/>
  <c r="GM45" i="8"/>
  <c r="GN45" i="8" s="1"/>
  <c r="GM41" i="8"/>
  <c r="GN41" i="8" s="1"/>
  <c r="FM42" i="8"/>
  <c r="FN42" i="8" s="1"/>
  <c r="O165" i="18"/>
  <c r="O167" i="18" s="1"/>
  <c r="O168" i="18" s="1"/>
  <c r="T341" i="18"/>
  <c r="T342" i="18" s="1"/>
  <c r="T344" i="18" s="1"/>
  <c r="T345" i="18" s="1"/>
  <c r="J109" i="14"/>
  <c r="J111" i="14" s="1"/>
  <c r="J112" i="14" s="1"/>
  <c r="JY9" i="8"/>
  <c r="JZ9" i="8" s="1"/>
  <c r="GM27" i="8"/>
  <c r="GN27" i="8" s="1"/>
  <c r="E283" i="18"/>
  <c r="E285" i="18" s="1"/>
  <c r="E286" i="18" s="1"/>
  <c r="I33" i="14"/>
  <c r="I35" i="14" s="1"/>
  <c r="I36" i="14" s="1"/>
  <c r="W341" i="18"/>
  <c r="W342" i="18" s="1"/>
  <c r="W344" i="18" s="1"/>
  <c r="W345" i="18" s="1"/>
  <c r="AE125" i="18"/>
  <c r="AE127" i="18" s="1"/>
  <c r="AE128" i="18" s="1"/>
  <c r="AE130" i="18" s="1"/>
  <c r="CK70" i="8"/>
  <c r="CL70" i="8" s="1"/>
  <c r="F106" i="18"/>
  <c r="F108" i="18" s="1"/>
  <c r="F109" i="18" s="1"/>
  <c r="AF144" i="18"/>
  <c r="AF146" i="18" s="1"/>
  <c r="AF147" i="18" s="1"/>
  <c r="AF150" i="18" s="1"/>
  <c r="R233" i="14"/>
  <c r="R235" i="14" s="1"/>
  <c r="R236" i="14" s="1"/>
  <c r="F210" i="18"/>
  <c r="F212" i="18" s="1"/>
  <c r="F213" i="18" s="1"/>
  <c r="KJ22" i="8"/>
  <c r="KK22" i="8" s="1"/>
  <c r="CK60" i="8"/>
  <c r="CL60" i="8" s="1"/>
  <c r="L125" i="18"/>
  <c r="L127" i="18" s="1"/>
  <c r="L128" i="18" s="1"/>
  <c r="L130" i="18" s="1"/>
  <c r="AZ35" i="30"/>
  <c r="BA35" i="30" s="1"/>
  <c r="K210" i="18"/>
  <c r="K212" i="18" s="1"/>
  <c r="K213" i="18" s="1"/>
  <c r="G798" i="18"/>
  <c r="G800" i="18" s="1"/>
  <c r="G801" i="18" s="1"/>
  <c r="D283" i="18"/>
  <c r="D285" i="18" s="1"/>
  <c r="D286" i="18" s="1"/>
  <c r="FM50" i="8"/>
  <c r="FN50" i="8" s="1"/>
  <c r="Z125" i="18"/>
  <c r="Z127" i="18" s="1"/>
  <c r="Z128" i="18" s="1"/>
  <c r="Z130" i="18" s="1"/>
  <c r="GM20" i="8"/>
  <c r="GN20" i="8" s="1"/>
  <c r="S125" i="18"/>
  <c r="S127" i="18" s="1"/>
  <c r="S128" i="18" s="1"/>
  <c r="S130" i="18" s="1"/>
  <c r="GM47" i="8"/>
  <c r="GN47" i="8" s="1"/>
  <c r="CK58" i="8"/>
  <c r="CL58" i="8" s="1"/>
  <c r="H35" i="18"/>
  <c r="H37" i="18" s="1"/>
  <c r="H38" i="18" s="1"/>
  <c r="G125" i="18"/>
  <c r="G127" i="18" s="1"/>
  <c r="G128" i="18" s="1"/>
  <c r="G130" i="18" s="1"/>
  <c r="CK71" i="8"/>
  <c r="CL71" i="8" s="1"/>
  <c r="E701" i="18"/>
  <c r="E702" i="18" s="1"/>
  <c r="BA48" i="30" l="1"/>
  <c r="C170" i="18"/>
  <c r="X94" i="2" s="1"/>
  <c r="B94" i="2" s="1"/>
  <c r="D347" i="34" s="1"/>
  <c r="E347" i="34" s="1"/>
  <c r="GJ3" i="8"/>
  <c r="X151" i="2" s="1"/>
  <c r="B151" i="2" s="1"/>
  <c r="D7" i="34" s="1"/>
  <c r="E7" i="34" s="1"/>
  <c r="C803" i="18"/>
  <c r="X337" i="2" s="1"/>
  <c r="B337" i="2" s="1"/>
  <c r="D96" i="34" s="1"/>
  <c r="E96" i="34" s="1"/>
  <c r="C781" i="18"/>
  <c r="X101" i="2" s="1"/>
  <c r="B101" i="2" s="1"/>
  <c r="D108" i="34" s="1"/>
  <c r="E108" i="34" s="1"/>
  <c r="C347" i="18"/>
  <c r="X131" i="2" s="1"/>
  <c r="B131" i="2" s="1"/>
  <c r="D352" i="34" s="1"/>
  <c r="E352" i="34" s="1"/>
  <c r="JV3" i="8"/>
  <c r="X344" i="2" s="1"/>
  <c r="B344" i="2" s="1"/>
  <c r="W3" i="30"/>
  <c r="X355" i="2" s="1"/>
  <c r="B355" i="2" s="1"/>
  <c r="D261" i="34" s="1"/>
  <c r="E261" i="34" s="1"/>
  <c r="CH3" i="8"/>
  <c r="X68" i="2" s="1"/>
  <c r="B68" i="2" s="1"/>
  <c r="D8" i="34" s="1"/>
  <c r="E8" i="34" s="1"/>
  <c r="FI3" i="8"/>
  <c r="X102" i="2" s="1"/>
  <c r="B102" i="2" s="1"/>
  <c r="D11" i="34" s="1"/>
  <c r="E11" i="34" s="1"/>
  <c r="BA47" i="30"/>
  <c r="BA29" i="30"/>
  <c r="BA33" i="30"/>
  <c r="BA43" i="30"/>
  <c r="BB34" i="30"/>
  <c r="BB42" i="30"/>
  <c r="BA30" i="30"/>
  <c r="C704" i="18"/>
  <c r="X252" i="2" s="1"/>
  <c r="B252" i="2" s="1"/>
  <c r="D92" i="34" s="1"/>
  <c r="E92" i="34" s="1"/>
  <c r="I546" i="18"/>
  <c r="BB22" i="30"/>
  <c r="BB46" i="30"/>
  <c r="BB18" i="30"/>
  <c r="E546" i="18"/>
  <c r="BA25" i="30"/>
  <c r="BB45" i="30"/>
  <c r="C725" i="18"/>
  <c r="X274" i="2" s="1"/>
  <c r="B274" i="2" s="1"/>
  <c r="D91" i="34" s="1"/>
  <c r="E91" i="34" s="1"/>
  <c r="BB40" i="30"/>
  <c r="BB37" i="30"/>
  <c r="C743" i="18"/>
  <c r="X280" i="2" s="1"/>
  <c r="B280" i="2" s="1"/>
  <c r="D302" i="34" s="1"/>
  <c r="E302" i="34" s="1"/>
  <c r="KG3" i="8"/>
  <c r="J547" i="18"/>
  <c r="C465" i="18"/>
  <c r="X155" i="2" s="1"/>
  <c r="B155" i="2" s="1"/>
  <c r="D154" i="34" s="1"/>
  <c r="E154" i="34" s="1"/>
  <c r="G547" i="18"/>
  <c r="C423" i="18"/>
  <c r="X144" i="2" s="1"/>
  <c r="B144" i="2" s="1"/>
  <c r="D351" i="34" s="1"/>
  <c r="E351" i="34" s="1"/>
  <c r="BB19" i="30"/>
  <c r="H24" i="14"/>
  <c r="BA31" i="30"/>
  <c r="C191" i="18"/>
  <c r="X100" i="2" s="1"/>
  <c r="B100" i="2" s="1"/>
  <c r="D16" i="34" s="1"/>
  <c r="E16" i="34" s="1"/>
  <c r="C366" i="18"/>
  <c r="X135" i="2" s="1"/>
  <c r="B135" i="2" s="1"/>
  <c r="X232" i="2"/>
  <c r="B232" i="2" s="1"/>
  <c r="D349" i="34" s="1"/>
  <c r="E349" i="34" s="1"/>
  <c r="BB48" i="30"/>
  <c r="C215" i="18"/>
  <c r="X104" i="2" s="1"/>
  <c r="B104" i="2" s="1"/>
  <c r="D109" i="34" s="1"/>
  <c r="E109" i="34" s="1"/>
  <c r="C233" i="18"/>
  <c r="X109" i="2" s="1"/>
  <c r="B109" i="2" s="1"/>
  <c r="D143" i="34" s="1"/>
  <c r="E143" i="34" s="1"/>
  <c r="BB26" i="30"/>
  <c r="C112" i="18"/>
  <c r="H546" i="18"/>
  <c r="BB27" i="30"/>
  <c r="BB39" i="30"/>
  <c r="BB41" i="30"/>
  <c r="BB23" i="30"/>
  <c r="BB17" i="30"/>
  <c r="C114" i="14"/>
  <c r="X46" i="2" s="1"/>
  <c r="B46" i="2" s="1"/>
  <c r="D10" i="34" s="1"/>
  <c r="E10" i="34" s="1"/>
  <c r="BB24" i="30"/>
  <c r="C91" i="18"/>
  <c r="X66" i="2" s="1"/>
  <c r="B66" i="2" s="1"/>
  <c r="D125" i="34" s="1"/>
  <c r="E125" i="34" s="1"/>
  <c r="BB21" i="30"/>
  <c r="BA38" i="30"/>
  <c r="C18" i="14"/>
  <c r="X36" i="2" s="1"/>
  <c r="B36" i="2" s="1"/>
  <c r="D115" i="34" s="1"/>
  <c r="E115" i="34" s="1"/>
  <c r="C149" i="18"/>
  <c r="C150" i="18" s="1"/>
  <c r="C238" i="14"/>
  <c r="X69" i="2" s="1"/>
  <c r="B69" i="2" s="1"/>
  <c r="D346" i="34" s="1"/>
  <c r="E346" i="34" s="1"/>
  <c r="BB36" i="30"/>
  <c r="BB28" i="30"/>
  <c r="BA44" i="30"/>
  <c r="D546" i="18"/>
  <c r="BB32" i="30"/>
  <c r="F546" i="18"/>
  <c r="BA20" i="30"/>
  <c r="BB35" i="30"/>
  <c r="C40" i="18"/>
  <c r="X127" i="2" s="1"/>
  <c r="B127" i="2" s="1"/>
  <c r="D17" i="34" s="1"/>
  <c r="E17" i="34" s="1"/>
  <c r="C288" i="18"/>
  <c r="X124" i="2" s="1"/>
  <c r="B124" i="2" s="1"/>
  <c r="D147" i="34" s="1"/>
  <c r="E147" i="34" s="1"/>
  <c r="C38" i="14"/>
  <c r="C40" i="14" s="1"/>
  <c r="C130" i="18"/>
  <c r="X92" i="2" s="1"/>
  <c r="B92" i="2" s="1"/>
  <c r="D110" i="34" s="1"/>
  <c r="E110" i="34" s="1"/>
  <c r="AW3" i="30" l="1"/>
  <c r="X159" i="2" s="1"/>
  <c r="B159" i="2" s="1"/>
  <c r="D6" i="34" s="1"/>
  <c r="E6" i="34" s="1"/>
  <c r="CH4" i="8"/>
  <c r="C131" i="18"/>
  <c r="C171" i="18"/>
  <c r="C678" i="18"/>
  <c r="C367" i="18"/>
  <c r="C424" i="18"/>
  <c r="C726" i="18"/>
  <c r="C705" i="18"/>
  <c r="C804" i="18"/>
  <c r="C744" i="18"/>
  <c r="C234" i="18"/>
  <c r="C549" i="18"/>
  <c r="X173" i="2" s="1"/>
  <c r="B173" i="2" s="1"/>
  <c r="D348" i="34" s="1"/>
  <c r="E348" i="34" s="1"/>
  <c r="C782" i="18"/>
  <c r="C466" i="18"/>
  <c r="C20" i="14"/>
  <c r="C192" i="18"/>
  <c r="C41" i="18"/>
  <c r="C240" i="14"/>
  <c r="C216" i="18"/>
  <c r="FI4" i="8"/>
  <c r="E114" i="14"/>
  <c r="GJ4" i="8"/>
  <c r="E238" i="14"/>
  <c r="C289" i="18"/>
  <c r="C348" i="18"/>
  <c r="I344" i="2" l="1"/>
  <c r="I124" i="2"/>
  <c r="I100" i="2"/>
  <c r="I36" i="2"/>
  <c r="I102" i="2"/>
  <c r="I101" i="2"/>
  <c r="I46" i="2"/>
  <c r="I66" i="2"/>
  <c r="I355" i="2"/>
  <c r="I109" i="2"/>
  <c r="I151" i="2"/>
  <c r="I69" i="2"/>
  <c r="I155" i="2"/>
  <c r="I252" i="2"/>
  <c r="I274" i="2"/>
  <c r="I83" i="2"/>
  <c r="I135" i="2"/>
  <c r="C550" i="18"/>
  <c r="I232" i="2"/>
  <c r="I94" i="2"/>
  <c r="I280" i="2"/>
  <c r="I92" i="2"/>
  <c r="I337" i="2"/>
  <c r="I68" i="2"/>
  <c r="I131" i="2"/>
  <c r="I173" i="2" l="1"/>
  <c r="I159" i="2"/>
  <c r="I179" i="2" l="1"/>
  <c r="AN11" i="30" l="1"/>
  <c r="X311" i="2" s="1"/>
  <c r="B311" i="2" s="1"/>
  <c r="D5" i="34" s="1"/>
  <c r="E5" i="34" s="1"/>
  <c r="I158" i="2" l="1"/>
  <c r="I311" i="2" l="1"/>
  <c r="DJ4" i="30"/>
  <c r="CV4" i="30" l="1"/>
  <c r="B19" i="2" l="1"/>
  <c r="B12" i="2" l="1"/>
  <c r="D242" i="34" s="1"/>
  <c r="E242" i="34" s="1"/>
  <c r="B9" i="2"/>
  <c r="D239" i="34" s="1"/>
  <c r="E239" i="34" s="1"/>
  <c r="B2" i="2"/>
  <c r="D232" i="34" s="1"/>
  <c r="E232" i="34" s="1"/>
  <c r="B6" i="2"/>
  <c r="D236" i="34" s="1"/>
  <c r="E236" i="34" s="1"/>
  <c r="B13" i="2"/>
  <c r="D243" i="34" s="1"/>
  <c r="E243" i="34" s="1"/>
  <c r="B3" i="2"/>
  <c r="D233" i="34" s="1"/>
  <c r="E233" i="34" s="1"/>
  <c r="B15" i="2"/>
  <c r="D244" i="34" s="1"/>
  <c r="E244" i="34" s="1"/>
  <c r="B18" i="2"/>
  <c r="D247" i="34" s="1"/>
  <c r="E247" i="34" s="1"/>
  <c r="B14" i="2"/>
  <c r="B17" i="2"/>
  <c r="D246" i="34" s="1"/>
  <c r="E246" i="34" s="1"/>
  <c r="B8" i="2"/>
  <c r="D238" i="34" s="1"/>
  <c r="E238" i="34" s="1"/>
  <c r="B5" i="2"/>
  <c r="D235" i="34" s="1"/>
  <c r="E235" i="34" s="1"/>
  <c r="B16" i="2"/>
  <c r="D245" i="34" s="1"/>
  <c r="E245" i="34" s="1"/>
  <c r="B4" i="2"/>
  <c r="D234" i="34" s="1"/>
  <c r="E234" i="34" s="1"/>
  <c r="B11" i="2"/>
  <c r="D241" i="34" s="1"/>
  <c r="E241" i="34" s="1"/>
  <c r="B10" i="2"/>
  <c r="D240" i="34" s="1"/>
  <c r="E240" i="34" s="1"/>
  <c r="B7" i="2"/>
  <c r="D237" i="34" s="1"/>
  <c r="E237"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 BENJELLOUN</author>
  </authors>
  <commentList>
    <comment ref="D25" authorId="0" shapeId="0" xr:uid="{00000000-0006-0000-1200-000001000000}">
      <text>
        <r>
          <rPr>
            <b/>
            <sz val="8"/>
            <color indexed="81"/>
            <rFont val="Tahoma"/>
            <family val="2"/>
          </rPr>
          <t>Saisir le taux d'interêts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xion" type="1" refreshedVersion="0" background="1" saveData="1">
    <dbPr connection="DSN=xclear;UID=reda;;SERVER=xclear;" command="select C3.l_long,substr(A.c_val_isin,6,6),A.c_val_isin,B.c_mne,B.l_court,B.l_long,C2.l_court,H.Z_tit,MT_NOM,D.c_id_adc,NOM_etab,E.taux,E.d_joui,E.d_ech_eff,         E.f_int,E.Y_REM      from tvval A,tvallg B,tmarche,tlib C1,tformj,tlib C2,Tadhere D,TETABLG,TATTVAL E ,           Tlib C3, tcpttit H,Ttypval I      where     A.c_val_isin = B.c_val_isin and     A.c_gcatval  in ( '2','9') and     A.d_eff = ( select max(d_eff) from tvval where c_val_isin = A.c_val_isin) and     A.c_marche = Tmarche.c_marche and     Tmarche.c_l = C1.c_l and     A.C_FORM_JUR = tformj.C_FORM_JUR and     tformj.c_l = C2.c_l and     D.etab_id = A.etab_id_stem and     D.c_id_tiers = A.c_id_tiers_stem and     D.c_org = '002' and     D.c_place = 'CAS' and     D.c_pays = 'MA' and     tetablg.etab_id = A.etab_id_stem and     tetablg.c_id_tiers = A.c_id_tiers_stem and     A.c_val_isin = E.c_val_isin and     E.d_ech_eff &gt; (select d_date from tdates where NOM_DATE = 'DCPT' ) and     A.y_val = I.y_val and     I.c_l = c3.c_l and     A.c_val_isin = H.c_val_isin and     H.c_nat_cpt = '90' and     H.z_tit &gt; 0 and     H.d_der_maj &lt;= E.d_ech_eff   order by 1,2"/>
  </connection>
  <connection id="2" xr16:uid="{9C9B2C05-E66B-47E9-A62B-447B61273349}" keepAlive="1" name="Requête - Requête1" description="Connexion à la requête « Requête1 » dans le classeur." type="5" refreshedVersion="8" background="1" saveData="1">
    <dbPr connection="Provider=Microsoft.Mashup.OleDb.1;Data Source=$Workbook$;Location=Requête1;Extended Properties=&quot;&quot;" command="SELECT * FROM [Requête1]"/>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<sst xmlns="http://schemas.openxmlformats.org/spreadsheetml/2006/main" count="18492" uniqueCount="3278">
  <si>
    <t>BDT du 19/2/2005 2A à 3.05% 100000</t>
  </si>
  <si>
    <t>BDT du 20/9/2005 5A à 3.95% 100000</t>
  </si>
  <si>
    <t>BT Lesieur 52 SEM à 3.40% 100000</t>
  </si>
  <si>
    <t>BSF EQDOM du 30/06/2015 à 3.88% 5 ANS</t>
  </si>
  <si>
    <t>BDT DU 05/08/2015 15 ANS à 4%</t>
  </si>
  <si>
    <t>CD BMCI du 15/07/2011 Emission 31/03/2011 4.05% 2 ans</t>
  </si>
  <si>
    <t>BMCI</t>
  </si>
  <si>
    <t>CD BMCE du 03/01/2011 à 4 % 361 Jours</t>
  </si>
  <si>
    <t>CD SG du 10/02/2011 à 4,05 % 18 mois</t>
  </si>
  <si>
    <t>BDT du 29/12/1994 10,5% à 15 ans</t>
  </si>
  <si>
    <t>BDT du 02/02/1995 10,5% à 15 ans</t>
  </si>
  <si>
    <t>BDT du 12/05/1997 10% à 10 ans</t>
  </si>
  <si>
    <t>BDT du 19/05/1997 9,5% à 5 ans</t>
  </si>
  <si>
    <t>BDT du 19/05/1997 10% à 10 ans</t>
  </si>
  <si>
    <t>BSF WAFASALAF du 28/10/2011 2 ans 4.20%</t>
  </si>
  <si>
    <t>BDT du 19/05/1997 10,25% à 15 ans</t>
  </si>
  <si>
    <t>BDT du 26/05/1997 9,5% à 5 ans</t>
  </si>
  <si>
    <t>CD ATW 3,85% du 30/04/2008 26 SEM</t>
  </si>
  <si>
    <t>BDT du 14/04/2003 3,75% 26 semaines 100000 Dhs</t>
  </si>
  <si>
    <t xml:space="preserve">CD BMCE du 24/05/2012 à 3.75% 26 SEM </t>
  </si>
  <si>
    <t>EUNIVERSMOTORS</t>
  </si>
  <si>
    <t>BSF SOREC CRED du 01/09/1999 8,1%</t>
  </si>
  <si>
    <t>BDT DU 07/10/14 30ANS 5.70%</t>
  </si>
  <si>
    <t>CD BMCE du 11/11/14 à 3.2% 52 sem</t>
  </si>
  <si>
    <t>BDT DU 26/05/2008 13SEM 3.40%</t>
  </si>
  <si>
    <t>BDT du 14/01/2002 5,30% à 2 ans</t>
  </si>
  <si>
    <t>BDT du 14/01/2002 6,20% à 5 ans</t>
  </si>
  <si>
    <t>BDT du 20/6/2005 10A à 4.75% 100000</t>
  </si>
  <si>
    <t xml:space="preserve">B/T  ONA du 16/10/2008 au  24/11/2008 à 4% </t>
  </si>
  <si>
    <t>TCN DU 28/04/2009 6MOIS 3.55%</t>
  </si>
  <si>
    <t xml:space="preserve">BSF WAFABAIL du 17/08/2011 à 4.55% 5 ans </t>
  </si>
  <si>
    <t xml:space="preserve">BDT du 12/01/2012 39 Jours à 3.39% </t>
  </si>
  <si>
    <t>BDT du 03/06/2013 à 4.12% 26 SEM</t>
  </si>
  <si>
    <t>BDT DU 01022010  3.45% 13 SEMAINES</t>
  </si>
  <si>
    <t>BDT du 12/05/2003 3,85% 52 semaines 100000 Dhs</t>
  </si>
  <si>
    <t>BDT du 06/01/2003 5,90% 10 ans 100000 Dhs</t>
  </si>
  <si>
    <t>TASLIF</t>
  </si>
  <si>
    <t>ADM</t>
  </si>
  <si>
    <t>BDT du 19/08/2002 5,50% 5 ans 100000 Dhs</t>
  </si>
  <si>
    <t>BDT du 13/01/1997 10,25% à 10 ans</t>
  </si>
  <si>
    <t>BDT DU 17/09/2012 2 ANS 4.05%</t>
  </si>
  <si>
    <t>BDT du 13/01/1997 10,5% à 15 ans</t>
  </si>
  <si>
    <t>BDT du 20/01/1997 10% à 5 ans</t>
  </si>
  <si>
    <t>BDT du 20/01/1997 10,25% à 10 ans</t>
  </si>
  <si>
    <t>BDT du 20/01/1997 10,5% à 15 ans</t>
  </si>
  <si>
    <t>BDT du 27/01/1997 10% à 5 ans</t>
  </si>
  <si>
    <t>BDT du 27/01/1997 10,5% à 15 ans</t>
  </si>
  <si>
    <t>BDT du 03/02/1997 10% à 5 ans</t>
  </si>
  <si>
    <t>BDT du 03/02/1997 10,5% à 15 ans</t>
  </si>
  <si>
    <t>BDT du 19/05/1994 11% à 10 ans</t>
  </si>
  <si>
    <t>BDT du 10/09/2007 52 sem 3%</t>
  </si>
  <si>
    <t>CD SG DU 19/04/2010 3 ANS 4.10% Révisable</t>
  </si>
  <si>
    <t>BSF ATTIJARI IMM du 29/06/2001 6,60% à 3 ans</t>
  </si>
  <si>
    <t>BDT du 11/06/2001 4,70% à 26 semaines</t>
  </si>
  <si>
    <t>BT PROMOPHARM 3,60% 90 jours</t>
  </si>
  <si>
    <t>BDT du 18/06/2001 4,60% à 13 semaines</t>
  </si>
  <si>
    <t>BDT du 18/06/2001 4,70% à 26 semaines</t>
  </si>
  <si>
    <t>BDT du 25/06/2001 4,50% à 13 semaines</t>
  </si>
  <si>
    <t>BDT du 5/4/2004 10A à 5.2% 100000</t>
  </si>
  <si>
    <t>BT ONE 3,45% 1A 100000 du 05/04/2004</t>
  </si>
  <si>
    <t>BDT du 22/12/2003 26S à 3.5% 100000</t>
  </si>
  <si>
    <t>CD CDM du 30/03/2010 52 SEM à 4%</t>
  </si>
  <si>
    <t>BDT du 1/10/2001 5A à 6.2% 100000</t>
  </si>
  <si>
    <t>BDT du 4/8/2003 2A à 3.45% 100000</t>
  </si>
  <si>
    <t>BDT du 15/12/2003 5A à 4.9% 100000</t>
  </si>
  <si>
    <t>BDT du 19/1/2004 5A à 4.7% 100000</t>
  </si>
  <si>
    <t>TCN CDM DU 29/09/2008 52SEM 4.35%</t>
  </si>
  <si>
    <t>BDT du 22/11/2010 à 3.32% 26 SEM</t>
  </si>
  <si>
    <t>ETRES</t>
  </si>
  <si>
    <t>BDT du 22/11/2010 à 3.33% 26 SEM</t>
  </si>
  <si>
    <t xml:space="preserve">BDT du 06/07/2009 3.30% 26 SEM </t>
  </si>
  <si>
    <t>OBL struct 8 ans du 31/12/2007</t>
  </si>
  <si>
    <t>BDT du 02/07/2001 4,64% à 26 semaines</t>
  </si>
  <si>
    <t>OBL BNDE du 12/04/1993 12,75% à 10 ans bons de 150000 Dhs</t>
  </si>
  <si>
    <t>OBL BNDE du 26/08/1993 12,75% à 10 ans bons de 200000 Dhs</t>
  </si>
  <si>
    <t>BDT du 21/10/2014 ATYP 16/06/2014 à 3.90% 5ans</t>
  </si>
  <si>
    <t>BDT DU 05/11/2012 26 SEMAINES 3.55%</t>
  </si>
  <si>
    <t>CD BMCE du 14/11/2012 à 4.65% 2 ANS</t>
  </si>
  <si>
    <t>BDT du 02/06/1994 11% à 10 ans</t>
  </si>
  <si>
    <t>CD BMCI du 18/04/2012 à 4.20% 2 ans</t>
  </si>
  <si>
    <t>BDT du 14/07/1994 11% à 15 ans</t>
  </si>
  <si>
    <t>BDT ATYPIQUE DU 27/01/2014 à 3.80% 378 jours</t>
  </si>
  <si>
    <t>CD BMCE DU 13/11/2012 15 MOIS 4.45%</t>
  </si>
  <si>
    <t>CD BMCE DU 01/10/2013 52 SEM 4.46%</t>
  </si>
  <si>
    <t>taux ZC</t>
  </si>
  <si>
    <t>Flux actualisé</t>
  </si>
  <si>
    <t>OBL LYDEC du 15/3/2004 15A à 6.77% 100000</t>
  </si>
  <si>
    <t>BDT du 25/02/2013 à 4.05% 26 SEM</t>
  </si>
  <si>
    <t>BDT DU 26/10/2009 52 SEM A 3.35%</t>
  </si>
  <si>
    <t>BDT DU 04/02/2008  1.15 ans 3.45%</t>
  </si>
  <si>
    <t xml:space="preserve"> </t>
  </si>
  <si>
    <t>BDT DU 24/01/2011 sur 2 ans à 3.65%</t>
  </si>
  <si>
    <t>Trésor</t>
  </si>
  <si>
    <t>CD BMCE DU 27/10/2009 26 SEM A3.6%</t>
  </si>
  <si>
    <t>CD ATW 4,25% du 14/05/2008 2 ans</t>
  </si>
  <si>
    <t>OBL ONCF du 26/05/2003 6,10% 150000 15 ans</t>
  </si>
  <si>
    <t>Années</t>
  </si>
  <si>
    <t>Tx</t>
  </si>
  <si>
    <t>OBL LABEL VIE DU 11/10/10 5ANS 5.50%</t>
  </si>
  <si>
    <t xml:space="preserve">OBL LABEL VIE </t>
  </si>
  <si>
    <t>ZC</t>
  </si>
  <si>
    <t>PX ZC</t>
  </si>
  <si>
    <t>Courbe ZC Actuarielle</t>
  </si>
  <si>
    <t>date de valorisation</t>
  </si>
  <si>
    <t>TJJ</t>
  </si>
  <si>
    <t>Taux</t>
  </si>
  <si>
    <t>13 semaines</t>
  </si>
  <si>
    <t>BDT du 28/06/1999 7,15% à 15 ans</t>
  </si>
  <si>
    <t>BDT du 18/10/1999 5,5% à 5 ans</t>
  </si>
  <si>
    <t>BDT du 15/09/2012 à 3.75% 2 ans émiss 18/06/2012</t>
  </si>
  <si>
    <t>CD SG du 31/03/2014 26 MOIS à 4.17%</t>
  </si>
  <si>
    <t>OBL BMCE DU 16/06/2015 à 4.74%</t>
  </si>
  <si>
    <t>CD SGMB du 03/03/2011 3 ANS à 4.25%</t>
  </si>
  <si>
    <t>CD CDM DU 16/03/2009 2 ANS à 4.2%</t>
  </si>
  <si>
    <t>BDT du 16/12/1993 12,25% à 15 ans</t>
  </si>
  <si>
    <t>BDT du 20/01/1994 11,5% à 10 ans</t>
  </si>
  <si>
    <t>CD BMCI du 30/08/2011 à 3.71% 7 mois</t>
  </si>
  <si>
    <t>BDT du 27/01/1994 11,5% à 10 ans</t>
  </si>
  <si>
    <t>OBLIG ATW du 02/07/2008 du 4.60%</t>
  </si>
  <si>
    <t>BDT DU 16/01/2012 à 3.95% 5ANS</t>
  </si>
  <si>
    <t>CD ATW du 20/01/2012 à 4.35% 2 ans</t>
  </si>
  <si>
    <t>OBLIG FEC du 20/01/2012 à 5.30% 15 ans</t>
  </si>
  <si>
    <t>BDT du 11/07/2011 à 3.60% 2 ANS</t>
  </si>
  <si>
    <t>CD CDMDU 30/01/2009 1 ANS à 4.2%</t>
  </si>
  <si>
    <t>BDT du 25/06/2001 4,65% à 26 semaines</t>
  </si>
  <si>
    <t>BDT du 25/06/2001 4,68% à 26 semaines</t>
  </si>
  <si>
    <t>BDT DU 17/11/2014 26 SEM 2.78%</t>
  </si>
  <si>
    <t>OBL FEC du 08/12/2014 à 4.32% Révisable 5 ans</t>
  </si>
  <si>
    <t>OBL ONCF 20/12/2006 15A à 4.15% 100000</t>
  </si>
  <si>
    <t>BDT du 12/09/2005 3% à 52 semaines</t>
  </si>
  <si>
    <t xml:space="preserve">BDT 3 MOIS 3.45%  DU 25/01/2010 </t>
  </si>
  <si>
    <t>BSF WAFABAIL DU 06/06/2012 4.25% 2 ANS</t>
  </si>
  <si>
    <t>EWAF_BAI</t>
  </si>
  <si>
    <t>BDT du 22/04/2013 à 3.95% 13 sem</t>
  </si>
  <si>
    <t>BDT du 08/04/2013 à 4.10% 26 sem</t>
  </si>
  <si>
    <t>BDT du 15/04/2013 à 4.10% 26 sem</t>
  </si>
  <si>
    <t>Courbe MLT</t>
  </si>
  <si>
    <t>BDT du 20/11/1995 10,25% à 10 ans</t>
  </si>
  <si>
    <t>BDT du 22/05/2000 5,80% à 2 ans</t>
  </si>
  <si>
    <t>BDT du 22/01/2001 5,95 % à 26 semaines</t>
  </si>
  <si>
    <t>BDT du 22/01/2001 6 % à 26 semaines</t>
  </si>
  <si>
    <t>OBL CIH 11/06/2004 5.32% à 15 ans bons de 150000 DHs</t>
  </si>
  <si>
    <t xml:space="preserve">BT AFRIQUIA GAZ du 24/02/2012 à 3.80% 31 jours </t>
  </si>
  <si>
    <t>EAFRI</t>
  </si>
  <si>
    <t>CD ATW DU 09/02/2012 4.05% 52S</t>
  </si>
  <si>
    <t>CD ATW du 27/02/2012 à 4.05% 52 SEM</t>
  </si>
  <si>
    <t>CD BMCI 2 ans DU 09/05/2008 4,25%</t>
  </si>
  <si>
    <t>BDT 2 ANS DU 02/11/2009 3.50%</t>
  </si>
  <si>
    <t>CD BMCE du 13/11/2012 à 4.20% 52 SEM</t>
  </si>
  <si>
    <t>BDT du 18/03/2013 à 3.95% 13 SEM</t>
  </si>
  <si>
    <t>BDT du 18/03/2013 à 4.09% 26 SEM</t>
  </si>
  <si>
    <t>BDT du 18/01/2009 3.9 % à 52 SEM</t>
  </si>
  <si>
    <t>BDT DU 17/10/2010 52 SEM 3.55%</t>
  </si>
  <si>
    <t>BDT DU 15/09/2010 2ANS 3.70%</t>
  </si>
  <si>
    <t>BDT du 14/6/2004 10A à 5.15% 100000</t>
  </si>
  <si>
    <t>CD BMCE du 22/12/2011 à 3.72% 13 SEM</t>
  </si>
  <si>
    <t>BDT  DU 08/09/14 52 SEM à 3.15%</t>
  </si>
  <si>
    <t>OBL CIH du 08/05/2012 à 4.50% Révisable 10 ANS</t>
  </si>
  <si>
    <t>BT VALYANS DU 03/10/2014 à 4.75% 26S</t>
  </si>
  <si>
    <t>EVALYANSCSLT</t>
  </si>
  <si>
    <t>BSF WAFABAIL du 07/10/14 à 3.63% 2ans</t>
  </si>
  <si>
    <t xml:space="preserve">CD CDM DU 23/06/2008 2 ANS 4,25% </t>
  </si>
  <si>
    <t>BDT du 12/12/2005 15A à 5.3% 100000</t>
  </si>
  <si>
    <t>BDT du 02/01/2006 15A à 5.3% 100000</t>
  </si>
  <si>
    <t>CD BNDE du 12/02/1999 7,95%</t>
  </si>
  <si>
    <t>Courbe secondaire</t>
  </si>
  <si>
    <t>BDT DU 24/12/2007 26 SEM 3.90%</t>
  </si>
  <si>
    <t>CD BNDE du 19/02/1999 7,98%</t>
  </si>
  <si>
    <t>CD BMCE DU 13/12/2013 396J 4.60%</t>
  </si>
  <si>
    <t>BDT du 10/06/2013 à 4.10%  26 SEM</t>
  </si>
  <si>
    <t>BDT du 02/04/2001 6,10 % à 5 ans</t>
  </si>
  <si>
    <t>BDT du 09/04/2001 5,10 % à 26 semaines</t>
  </si>
  <si>
    <t>BDT du 09/04/2001 5,50 % à 52 semaines</t>
  </si>
  <si>
    <t>BDT DU  17062013 26 SEM 4.08%</t>
  </si>
  <si>
    <t>BDT DU 03062013 52 SEM 4%</t>
  </si>
  <si>
    <t>CD BMCE du 12/11/2013 à 4.10% 26 SEM</t>
  </si>
  <si>
    <t>CD BMCE du 15/05/2014  à 4.20% 3 ans</t>
  </si>
  <si>
    <t>CD FEC DU 20/05/2014 5 ANS TAUX REVISABLE 4.01%</t>
  </si>
  <si>
    <t>CD BNDE du 04/12/1998 7,96%</t>
  </si>
  <si>
    <t>BDT du 04/12/2006 30ans à 4,5% 100000</t>
  </si>
  <si>
    <t>CD BNDE du 04/12/1998 8%</t>
  </si>
  <si>
    <t>CD BNDE du 23/12/1998 8,05%</t>
  </si>
  <si>
    <t>CD FEC du 25/12/1998 8,1%</t>
  </si>
  <si>
    <t>BDT DU 11/05/2015 13 SEM 2.54%</t>
  </si>
  <si>
    <t>BDT du 22/04/2013  26 SEM à 4.09%</t>
  </si>
  <si>
    <t>BDT du 14/04/2003 3,45% 13 semaines 100000 Dhs</t>
  </si>
  <si>
    <t>OBL SETTAVEX 23/12/2005 7A à 5.64% 100000</t>
  </si>
  <si>
    <t>OBL BCM 7 ans du 27/02/2007</t>
  </si>
  <si>
    <t xml:space="preserve">BDT du 22/08/2011 2 ans à 3.60% </t>
  </si>
  <si>
    <t>BDT du 29/08/2011 à 3.27% 21 jours</t>
  </si>
  <si>
    <t>BDT du 29/08/2011 à 3.29% 21 jours</t>
  </si>
  <si>
    <t>BDT du 05/06/2000 5,80% à 2 ans</t>
  </si>
  <si>
    <t>BDT du 05/06/2000 5,50% à 5 ans</t>
  </si>
  <si>
    <t>BDT du 19/06/2000 5,80% à 2 ans</t>
  </si>
  <si>
    <t>CD ATW 4.20% du 03/12/2007 13 SEM</t>
  </si>
  <si>
    <t>BDT du 19/06/2000 5,81% à 2 ans</t>
  </si>
  <si>
    <t>OBL SUB BMCE 4,55% 100000 5 ans (revisable) du 05/12/2005</t>
  </si>
  <si>
    <t>OBLIG ADM 10 ans 4.91% du 05/12/2008</t>
  </si>
  <si>
    <t>BDT du 19/06/2000 5,82% à 2 ans</t>
  </si>
  <si>
    <t>BSF SOFAC CRED du 05/02/2001 8,05% à 3 ans</t>
  </si>
  <si>
    <t>BSF SOGELEASE du 29/05/2001 7,00% à 3 ans</t>
  </si>
  <si>
    <t>BSF SOGELEASE du 29/05/2001 7,20% à 5 ans</t>
  </si>
  <si>
    <t>CD BMCI 1M 16/11/2007 4.2%</t>
  </si>
  <si>
    <t>BSF MAROC LEASING du 22/05/2001 6,25% à 2 ans</t>
  </si>
  <si>
    <t>BSF MAROC LEASING du 22/05/2001 6,50% à 3 ans</t>
  </si>
  <si>
    <t>BDT du 4/11/2002 5A à 5% 100000</t>
  </si>
  <si>
    <t>CD CDM du 30/03/2012 à 4.17% Révisable  5 ans</t>
  </si>
  <si>
    <t>CD</t>
  </si>
  <si>
    <t>BDT du 2/12/2002 10A à 5.85% 100000</t>
  </si>
  <si>
    <t>CD BMCE 52 SEMAINES 4.05% DU 14/04/2010</t>
  </si>
  <si>
    <t>BDT du 18/03/1996 10,5% à 15 ans</t>
  </si>
  <si>
    <t xml:space="preserve">BDT 13 SEM DU 28/01/2008  3.54% </t>
  </si>
  <si>
    <t>BDT du 30/01/2006 10ans à 4,7% 100000</t>
  </si>
  <si>
    <t>BDT du 3/3/2003 52S à 4% 100000</t>
  </si>
  <si>
    <t>BDT du 31/3/2003 52S à 4.3% 100000</t>
  </si>
  <si>
    <t>BDT du 11/8/2003 52S à 3.15% 100000</t>
  </si>
  <si>
    <t>OBLIG SNI</t>
  </si>
  <si>
    <t>SNI</t>
  </si>
  <si>
    <t>CD BNDE du 25/02/1999 7,95%</t>
  </si>
  <si>
    <t>CD FEC DU 28/01/2013 à 4.20% 13 SEM</t>
  </si>
  <si>
    <t>CD FEC du 28/01/2013 à 4.46% 26 SEM</t>
  </si>
  <si>
    <t>CD BNDE du 08/04/1999 7,7%</t>
  </si>
  <si>
    <t>BDT du 10/11/2003 26S à 3.5% 100000</t>
  </si>
  <si>
    <t>BDT du 24/11/2003 26S à 3.5% 100000</t>
  </si>
  <si>
    <t>OBLIG ADI Non Côtés</t>
  </si>
  <si>
    <t>BSF WAFASALAF du 13/11/1998 8%</t>
  </si>
  <si>
    <t>BSF WAFASALAF du 16/11/1998 8%</t>
  </si>
  <si>
    <t>CD BCP du 21/12/2010 à 3.95% 52 SEM</t>
  </si>
  <si>
    <t>BCP</t>
  </si>
  <si>
    <t>CD SGMB du 11/05/2011 à 4.10% 2 ans</t>
  </si>
  <si>
    <t>OBLIG SNI ex ONA du 02/12/2008 à 5.20% 5 ANS</t>
  </si>
  <si>
    <t>ESNI</t>
  </si>
  <si>
    <t>BSF WAFASALAF du 13/12/2000 7% à 3 ans</t>
  </si>
  <si>
    <t>BSF SOFAC CREDIT du 19/12/2000 8,20% à 3 ans</t>
  </si>
  <si>
    <t>Emp du 31/12/90  au 31/12/05 à 11.00%</t>
  </si>
  <si>
    <t>Emp du 04/02/91  au 04/02/06 à 11.00%</t>
  </si>
  <si>
    <t>Emp du 31/12/91  au 31/12/06 à 12.00%</t>
  </si>
  <si>
    <t>Emp du 16/10/92  au 16/10/07 à 12.75%</t>
  </si>
  <si>
    <t>Emp du 19/11/92  au 19/11/07 à 12.75%</t>
  </si>
  <si>
    <t xml:space="preserve">CD FEC du 16/02/2009 2 ans 4.55% </t>
  </si>
  <si>
    <t>OBL TMD DU 03/06/13 à 6.30% 15ans</t>
  </si>
  <si>
    <t>ETMD</t>
  </si>
  <si>
    <t>OBL PALMERIE DEVELOPPEMENT 6.48% 4ANS DU 25/07/2014</t>
  </si>
  <si>
    <t>EPDL</t>
  </si>
  <si>
    <t>CD BMCI DU 16/08/2013 AU 15/08/2014 4.1% 52SEMAINE</t>
  </si>
  <si>
    <t>BDT du 30/09/1996 7% à 5 ans</t>
  </si>
  <si>
    <t>BDT du 30/09/1996 10% à 5 ans</t>
  </si>
  <si>
    <t>CD BMCE DU 27/10/14 à 3.35ù% 2ans</t>
  </si>
  <si>
    <t>CD BMCE DU 27/10/14 à 3.20% 52 SEM</t>
  </si>
  <si>
    <t>EN du 31/03/1997 9,5% à 5 ans bons de 50000 Dhs</t>
  </si>
  <si>
    <t>EN du 04/07/1997 9% à 5 ans bons de 5000 Dhs</t>
  </si>
  <si>
    <t>OBL SNI "A" du 10/08/2009 à 5.10% 5 ans</t>
  </si>
  <si>
    <t>EN du 04/07/1997 9% à 5 ans bons de 50000 Dhs</t>
  </si>
  <si>
    <t>EN du 29/09/1997 9% à 5 ans bons de 5000 Dhs</t>
  </si>
  <si>
    <t>EN du 29/09/1997 9% à 5 ans bons de 50000 Dhs</t>
  </si>
  <si>
    <t>EN du 05/01/1998 8,5% à 5 ans bons de 5000 Dhs</t>
  </si>
  <si>
    <t>EN du 05/01/1998 8,5% à 5 ans bons de 50000 Dhs</t>
  </si>
  <si>
    <t>BDT du 05/11/01 5% 52 semaines 100000 Dhs</t>
  </si>
  <si>
    <t>BDT du 23/09/1996 10,5% à 15 ans</t>
  </si>
  <si>
    <t>OBL ONCF du 28/01/2002 6,45% à 15 ans bons de 150 000 Dh (variable)</t>
  </si>
  <si>
    <t>CD ATW du 28/12/2012 à 4.20% 52 SEM</t>
  </si>
  <si>
    <t>CD BMCE DU 28/12/2012 à 4.35% 52 SEM</t>
  </si>
  <si>
    <t>BDT du 25/08/1997 9% à 5 ans</t>
  </si>
  <si>
    <t>BDT du 01/09/1997 9% à 5 ans</t>
  </si>
  <si>
    <t>BDT du 18/08/1997 9,5% à 10 ans</t>
  </si>
  <si>
    <t>BDT du 18/08/1997 9,75% à 15 ans</t>
  </si>
  <si>
    <t>BDT du 24/11/2014 à 2.75% 13 sem</t>
  </si>
  <si>
    <t>BDT DU 08/07/2013 à 4.40% 2 ans ATYP</t>
  </si>
  <si>
    <t>CD BMCE du 28/05/2010 à 3.85% 26 SEM</t>
  </si>
  <si>
    <t>BDT du 21/04/1997 10% à 10 ans</t>
  </si>
  <si>
    <t>CD BNDE 13/05/2002 5,30% à 1 an</t>
  </si>
  <si>
    <t>BDT du 28/10/13 ATYP 16/05/14 2ANS à 4.45%</t>
  </si>
  <si>
    <t>BDT du 03/01/2000 5,3% à 5 ans</t>
  </si>
  <si>
    <t>BDT du 06/03/2000 5,5% à 5 ans</t>
  </si>
  <si>
    <t>BDT DU 08/02/2014 2 ANS 4.20% ATYP 27/01/2014</t>
  </si>
  <si>
    <t>CD CIH du 11/02/2014 à 4.05% 52 sem</t>
  </si>
  <si>
    <t>CD BMCI DU 26/04/2012 4 ANS 4.50%</t>
  </si>
  <si>
    <t>CD BMCI DU 01/03/2014 364J 4.05%</t>
  </si>
  <si>
    <t>BDT DU 09/12/2013 26 SEM 3.73%</t>
  </si>
  <si>
    <t>OBLIG ADM du 29/11/2010 à 4.79% 20  ans</t>
  </si>
  <si>
    <t>BDT du 29/11/2010 à 3.27% 13 SEM</t>
  </si>
  <si>
    <t>BSF MAGHREBAIL 4ANS 4.43%</t>
  </si>
  <si>
    <t>EMAGH</t>
  </si>
  <si>
    <t>BDT du 15/12/1997 9% à 10 ans</t>
  </si>
  <si>
    <t>BDT du 02/09/2002 3,04% 26 semaines 100000 Dhs</t>
  </si>
  <si>
    <t>Type de valorisation (M/A/L)</t>
  </si>
  <si>
    <t>Premier_jour inclus (O/N)</t>
  </si>
  <si>
    <t>N</t>
  </si>
  <si>
    <t>M</t>
  </si>
  <si>
    <t>BDT du 11/08/1997 9,75% à 15 ans</t>
  </si>
  <si>
    <t>BDT du 18/08/1997 9% à 5 ans</t>
  </si>
  <si>
    <t>CD BMCE du 13052014 52 semaine à 3.60%</t>
  </si>
  <si>
    <t xml:space="preserve">CD CAM du 27/06/2013 à 3.90% 52 SEM </t>
  </si>
  <si>
    <t>BDT DU 23/02/2015 52 SEM 2.55%</t>
  </si>
  <si>
    <t>BDT DU 16/03/2015 5ANS à 2.95%</t>
  </si>
  <si>
    <t>CD BMCE DU 28/04/2014 à 3.7% 52SEM</t>
  </si>
  <si>
    <t>BDT DU 21/06/2010 52 SEM à 3.55%</t>
  </si>
  <si>
    <t>Emp du 01/12/94  au 01/12/09 à 11.00%</t>
  </si>
  <si>
    <t>Emp du 25/08/94  au 25/08/09 à 11.00%</t>
  </si>
  <si>
    <t>BDT du 02/05/2015 à 2.60% ATYP 12/01/2015</t>
  </si>
  <si>
    <t>BSF WAFASALAF du 26/01/2015 à 3.09% 2 ANS</t>
  </si>
  <si>
    <t>BSF WAFASALAF du 26/01/2015 à 3.31% 3 ans</t>
  </si>
  <si>
    <t>CD CAM du 27/01/2015 à 3.10% 14 MOIS</t>
  </si>
  <si>
    <t>BSF DIAC SALAF du 02/09/1999 7,3%</t>
  </si>
  <si>
    <t>CD CIH du 24/10/2012 à 4.65% 2 ans</t>
  </si>
  <si>
    <t>BDT DU 11/02/2013 à 3.92% 13 SEM</t>
  </si>
  <si>
    <t>BDT DU 11/02/2013 à 3.95% 13 SEM</t>
  </si>
  <si>
    <t>BDT DU 28/12/2009 52 SEM A 3.45%</t>
  </si>
  <si>
    <t>OBL CIH du 24/03/1997 10,25% à 15 ans bons de 150000 Dhs</t>
  </si>
  <si>
    <t>BDT du 08/12/1997 8,5% à 5 ans</t>
  </si>
  <si>
    <t>BDT du 08/12/1997 9% à 10 ans</t>
  </si>
  <si>
    <t>CD FEC DU 21/04/2011 à 4.14% Révisable 7 ans</t>
  </si>
  <si>
    <t>BDT du 15/12/1997 8,5% à 5 ans</t>
  </si>
  <si>
    <t>BSF TASLIF du 26/06/2000 7,35% à 3 ans</t>
  </si>
  <si>
    <t>CD bmci 3 ans du 06/03/2006 à 4%</t>
  </si>
  <si>
    <t>10/01/2018</t>
  </si>
  <si>
    <t>10/04/2018</t>
  </si>
  <si>
    <t>10/07/2018</t>
  </si>
  <si>
    <t>10/10/2018</t>
  </si>
  <si>
    <t>10/01/2019</t>
  </si>
  <si>
    <t>10/04/2019</t>
  </si>
  <si>
    <t>10/07/2019</t>
  </si>
  <si>
    <t>10/10/2019</t>
  </si>
  <si>
    <t>10/01/2020</t>
  </si>
  <si>
    <t>10/04/2020</t>
  </si>
  <si>
    <t>10/07/2020</t>
  </si>
  <si>
    <t>10/10/2020</t>
  </si>
  <si>
    <t>10/01/2021</t>
  </si>
  <si>
    <t xml:space="preserve">BDT du 21/05/2001 4,75 % à 26 semaines </t>
  </si>
  <si>
    <t xml:space="preserve">BDT du 28/05/2001 4,61 % à 13 semaines </t>
  </si>
  <si>
    <t xml:space="preserve">BDT du 28/05/2001 4,63 % à 13 semaines </t>
  </si>
  <si>
    <t xml:space="preserve">BDT du 28/05/2001 4,65 % à 13 semaines </t>
  </si>
  <si>
    <t xml:space="preserve">BSF WAFASALAF du 27/09/2002 5,90% à 3 ans </t>
  </si>
  <si>
    <t>BT MUTANDIS  du 25/02/2015 à 4.50% 52 SEM</t>
  </si>
  <si>
    <t>BSF EQDOM 02/03/2015 3 ans à 3.31%</t>
  </si>
  <si>
    <t>BDT DU 02/03/2015 26SEM à 2.52%</t>
  </si>
  <si>
    <t xml:space="preserve">BDT du 25/06/2012 à 3.40% 26 SEM </t>
  </si>
  <si>
    <t>CD bmci 5 ans du 12/09/2006 à 4.05%</t>
  </si>
  <si>
    <t>CD BMCI  du 26/06/2007 à 3,5%  13 sem</t>
  </si>
  <si>
    <t>CD BMCI  du 26/06/2007 à 3,55%  26 sem</t>
  </si>
  <si>
    <t>CD bmci 52 semaines du 12/09/2006 à 3.30%</t>
  </si>
  <si>
    <t>ONA 5 ans du 25/07/2006</t>
  </si>
  <si>
    <t>BSF SOFAC CRED du 27/06/2000 7,30% à 3 ans</t>
  </si>
  <si>
    <t>BSF DIAC EQUIPEMENT du 29/06/2000 7,54% à 3 ans</t>
  </si>
  <si>
    <t>BSF TASLIF du 03/07/2000 7,35% à 3 ans</t>
  </si>
  <si>
    <t>BSF EQDOM du 20/07/2000 7% à 3 ans</t>
  </si>
  <si>
    <t>BDT du 03/03/2010 à 4.10% sur 10 ans</t>
  </si>
  <si>
    <t>BDT du 28/06/1999 6,73% à 5 ans</t>
  </si>
  <si>
    <t>BSF TASLIF du 04/09/2009 à 5.27% 5 ans</t>
  </si>
  <si>
    <t>ETASL</t>
  </si>
  <si>
    <t>BDT DU 19/10/2015 à 3.15% 5ans</t>
  </si>
  <si>
    <t>OBL AL BARID DU 20/10/2015 à 4.71% 10 ans</t>
  </si>
  <si>
    <t>EALBARIDBANK</t>
  </si>
  <si>
    <t>BSF EQDOM du 31/10/2014 à 4.11% 5ans</t>
  </si>
  <si>
    <t>OBLIGATION ONDA du 16/12/2010 sur 10 ans 5.38%</t>
  </si>
  <si>
    <t>OBLIGATION ONDA</t>
  </si>
  <si>
    <t>BDT du 01/07/2002 5,60% 5 ans 100000 Dhs</t>
  </si>
  <si>
    <t>BT du 31/07/2002 3,80% 13 semaines</t>
  </si>
  <si>
    <t>BSF DIAC-LEASING du 27/04/2000 7,20%</t>
  </si>
  <si>
    <t>BSF DIAC-LEASING du 03/05/2000 7,20%</t>
  </si>
  <si>
    <t>CD bmci 5 ans du 21/04/2006 à 4.4%</t>
  </si>
  <si>
    <t>CD FEC DU 07/10/2013 4% 26 SEMAINES</t>
  </si>
  <si>
    <t>BDT du 09/09/13 ATYP 15/02/14 2 ANS à 4.45%</t>
  </si>
  <si>
    <t>BDT DU 07102013 13 SEMAINES 3.48%</t>
  </si>
  <si>
    <t>OBL CIH du 28/04/2000 5,86% à 5 ans bons de 10000 Dhs</t>
  </si>
  <si>
    <t>Nominal</t>
  </si>
  <si>
    <t>Code émetteur</t>
  </si>
  <si>
    <t>CIH</t>
  </si>
  <si>
    <t>Maturité</t>
  </si>
  <si>
    <t>S</t>
  </si>
  <si>
    <t>Prime de risque</t>
  </si>
  <si>
    <t>CD BCP du 25/05/2012 à 3.70% 26 SEM</t>
  </si>
  <si>
    <t>CD BCP du 25/05/2012 à 3.90% 52 SEM</t>
  </si>
  <si>
    <t>CD ATW du 29/12/2011 à 4.10% 52 SEM</t>
  </si>
  <si>
    <t>Maturité résiduelle</t>
  </si>
  <si>
    <t>OBL RISMA du 03/12/2002 4,60% à 3 ans bons de 100 000 Dh</t>
  </si>
  <si>
    <t xml:space="preserve">BSF WAFASALAF du 15/02/2002 7,10% à 4 ans </t>
  </si>
  <si>
    <t>BDT du 15/05/2006 52S à 3.05% 100000</t>
  </si>
  <si>
    <t>BDT du 10/06/1996 10,5% à 15 ans</t>
  </si>
  <si>
    <t>OBL COMANAV 11/12/2007 7A à (52s+170pbs) 100000</t>
  </si>
  <si>
    <t>BDT du 18/01/1999 8% à 10 ans</t>
  </si>
  <si>
    <t>CD CDM du 31/05/2012 à 4.20% 2 ans</t>
  </si>
  <si>
    <t>OBLIG SNI DU 15/07/2010 10 ANS 5.65%</t>
  </si>
  <si>
    <t>ORA RISMA 4,5% 135DH 2A 10M DU 23/12/2003</t>
  </si>
  <si>
    <t>BSF WAFASALAF du 28/05/2014 à 4.05% 2 ans</t>
  </si>
  <si>
    <t>OBL ADM du 03/06/2013 à 5.80% 10 ANS</t>
  </si>
  <si>
    <t>B/T SNI 52 SEM DU 24/11/2008 4.55%</t>
  </si>
  <si>
    <t>B/T ONA 52 SEM DU 24/11/2008 4.55%</t>
  </si>
  <si>
    <t>BDT du 03/11/1997 8,5% à 5 ans</t>
  </si>
  <si>
    <t>BDT du 10/11/1997 8,5% à 5 ans</t>
  </si>
  <si>
    <t>BDT du 25/02/2013 à 4.08% 26 sem</t>
  </si>
  <si>
    <t>BDT du 13/10/1997 9,75% à 15 ans</t>
  </si>
  <si>
    <t>BDT du 20/10/1997 9,5% à 10 ans</t>
  </si>
  <si>
    <t>BDT du 20/10/1997 9,75% à 15 ans</t>
  </si>
  <si>
    <t>BDT DU 10062013 2 ANS 4.40%</t>
  </si>
  <si>
    <t>CD CAM DU 25/04/2011 2ANS 4.2%</t>
  </si>
  <si>
    <t>BDT du 08/10/2001 4,6% à 13 semaines 100000 DHs</t>
  </si>
  <si>
    <t>BDT DU 17/12/2007 3.95%</t>
  </si>
  <si>
    <t>BSF WAFASALAF du 10/09/2012 à 4.70% 2 ans</t>
  </si>
  <si>
    <t>BDT du 26/11/2001 4,80% à 52 semaines</t>
  </si>
  <si>
    <t>BDT du 10/12/2001 4,70% à 52 semaines</t>
  </si>
  <si>
    <t>CD Crédit Agricole du 25/04/2011 52 SEM 4%</t>
  </si>
  <si>
    <t>SEM</t>
  </si>
  <si>
    <t>BDT du 19/12/01 6,20% à 5 ans</t>
  </si>
  <si>
    <t>BDT du 15/10/2001 4,90% à 26 semaines</t>
  </si>
  <si>
    <t>BDT du 31/12/01 6,20% à 5 ans</t>
  </si>
  <si>
    <t>BDT du 07/01/2002 4,30% à 26 semaines</t>
  </si>
  <si>
    <t>BDT DU 18/05/2009 5ANS 3.8%</t>
  </si>
  <si>
    <t>BDT DU 25/05/2009 13 seaines 3.26%</t>
  </si>
  <si>
    <t>BDT DU 16/03/2009 2 ans 3,9%</t>
  </si>
  <si>
    <t xml:space="preserve">BDT du 12122011 à 3 .37% 13 semaines </t>
  </si>
  <si>
    <t xml:space="preserve">BDT du 12/12/2011 à 3.36% 13 SEM </t>
  </si>
  <si>
    <t>BDT DU 02/01/2012 15 ANS 4.40%</t>
  </si>
  <si>
    <t xml:space="preserve">BDT du 21/05/2001 4,70 % à 13 semaines </t>
  </si>
  <si>
    <t xml:space="preserve">BDT du 21/05/2001 4,73 % à 13 semaines </t>
  </si>
  <si>
    <t>CD BMCE du 11/12/2012 à 4.35% 384 jours</t>
  </si>
  <si>
    <t>OBLIG CDM du 29/03/2011 Révisable 10 ans</t>
  </si>
  <si>
    <t>BT ONA 3,95 13 sem 16/07/2008</t>
  </si>
  <si>
    <t>BDT DU 30/06/2008 13SEM 3.40%</t>
  </si>
  <si>
    <t>BDT du 09/09/1996 10,25% à 10 ans</t>
  </si>
  <si>
    <t>BDT du 09/09/1996 10,5% à 15 ans</t>
  </si>
  <si>
    <t>Taux facial</t>
  </si>
  <si>
    <t>BDT du 16/09/1996 10% à 5 ans</t>
  </si>
  <si>
    <t>BDT DU 19/09/2010 52 s à 3.55%</t>
  </si>
  <si>
    <t>BDT du 16/09/1996 10,5% à 15 ans</t>
  </si>
  <si>
    <t>BDT du 23/09/1996 10,25% à 10 ans</t>
  </si>
  <si>
    <t>BDT du 05/09/2005 10A à 4.75% 100000</t>
  </si>
  <si>
    <t>BSF WAFASALAF du 03/08/2015 à 3.21%  2 ans</t>
  </si>
  <si>
    <t>CD CAM DU 19/012/2014 1AN à 3.28%</t>
  </si>
  <si>
    <t>BDT DU 06/07/2015 2ANS à 2.70%</t>
  </si>
  <si>
    <t>CD FEC DU 15/02/2011 à Taux Révisable 7ans</t>
  </si>
  <si>
    <t>BDT du 14/04/1997 10,25% à 15 ans</t>
  </si>
  <si>
    <t>BDT 6 MOIS du 08/02/2010 à 3.60%</t>
  </si>
  <si>
    <t>BDT du 21/04/1997 9,5% à 5 ans</t>
  </si>
  <si>
    <t>BSF WAFASALAF 4.25% 2 ans du 30/12/2009</t>
  </si>
  <si>
    <t>BSF EQDOM DU 29/09/2010 2ANS 4.23%</t>
  </si>
  <si>
    <t>BDT du 04/03/1997 10,5% à 15 ans</t>
  </si>
  <si>
    <t>BDT du 10/03/1997 10% à 5 ans</t>
  </si>
  <si>
    <t>BDT du 10/03/1997 10,5% à 15 ans</t>
  </si>
  <si>
    <t>BDT du 17/03/1997 9,5% à 5 ans</t>
  </si>
  <si>
    <t>BDT du 17/03/1997 10,5% à 15 ans</t>
  </si>
  <si>
    <t xml:space="preserve">BDT du 25/07/2011 à 3.30% 13 SEM </t>
  </si>
  <si>
    <t>CD CAM du 07/06/2013 à 4.25% 1 mois</t>
  </si>
  <si>
    <t>EDITAGRICOLE</t>
  </si>
  <si>
    <t>CD ATW 26 semaines du 01/06/2007 à 3.50%</t>
  </si>
  <si>
    <t>BDT DU 16/11/2009 5 ANS 3.80%</t>
  </si>
  <si>
    <t>BDT du 14/04/2003 4,20% 52 semaines 100000 Dhs</t>
  </si>
  <si>
    <t>OBLIG ONA 5.20% TRANCHE B DU 02122008 5 ANS</t>
  </si>
  <si>
    <t>BDT du 24/03/1994 11,25% à 10 ans</t>
  </si>
  <si>
    <t>CD FEC du 30/11/2011 à 3.70% 63 JOURS</t>
  </si>
  <si>
    <t>OBLIG SNI DU 31/12/2008  5 ANS 5.20% NON COTE</t>
  </si>
  <si>
    <t>BDT DU 23/09/2013 13 SEMAINES 3.48%</t>
  </si>
  <si>
    <t>BDT DU 23/09/2013 26 SEMAINES 3.75%</t>
  </si>
  <si>
    <t>BDT du 31/10/2005 10A à 4.75% 100000</t>
  </si>
  <si>
    <t>BSF FNAC du 29/07/1998 8,45%</t>
  </si>
  <si>
    <t>CD BMCE DU 24/01/2014 18MOIS 4.50%</t>
  </si>
  <si>
    <t xml:space="preserve">CD BMCE du 10102012 4.60% a 2 ans </t>
  </si>
  <si>
    <t xml:space="preserve">CD BMCE du 05102012 4.60% a 2 ans </t>
  </si>
  <si>
    <t xml:space="preserve">CD BMCE du 29102012 4.6% a 2 ans </t>
  </si>
  <si>
    <t>26 sem</t>
  </si>
  <si>
    <t>BDT 13 SEMAINES DU 6/12/2010 3.29%</t>
  </si>
  <si>
    <t>30 ans</t>
  </si>
  <si>
    <t>BDT DU 13/07/2009 26 seaines 3.29%</t>
  </si>
  <si>
    <t>CD BMCE du 05/06/2013 à 4.25% 13 SEM</t>
  </si>
  <si>
    <t>CD BMCE du 05/06/2013 à 4.46% 26 SEM</t>
  </si>
  <si>
    <t>CD BCP du 05/06/2013 à 4.42% 26 SEM</t>
  </si>
  <si>
    <t>BSF MA LEASING du 06/09/1999 7,3%</t>
  </si>
  <si>
    <t>OBL CIH du 20/12/1996 10% à 5 ans bons de 100000 Dhs</t>
  </si>
  <si>
    <t>BDT 2 ans du 14/12/2009 3.50%</t>
  </si>
  <si>
    <t>BDT du 26/11/12 ATYP 20/04/13 à 4.10% 2 ans</t>
  </si>
  <si>
    <t>BDT du 01/07/1996 10,25% à 10 ans</t>
  </si>
  <si>
    <t>BDT du 01/07/1996 10,5% à 15 ans</t>
  </si>
  <si>
    <t>CD BNDE 20/12/2000  7,50% à 3 ans</t>
  </si>
  <si>
    <t>CD BNDE 21/12/2000  6,80% à 1 an</t>
  </si>
  <si>
    <t>CD BNDE 22/12/2000  6,80% à 1 an</t>
  </si>
  <si>
    <t>CD BNDE 29/12/2000  6,80% à 1 an</t>
  </si>
  <si>
    <t>CD BNDE 25/12/2000  7% à 1 an</t>
  </si>
  <si>
    <t>CD BNDE 05/02/2001 7% à 1 an</t>
  </si>
  <si>
    <t>BDT du 19/12/01 5,35% à 2 ans</t>
  </si>
  <si>
    <t>BDT du 31/07/2001 4,90% à 52 semaines</t>
  </si>
  <si>
    <t>OBL CIH du 03/08/1998 8% à 5 ans bons de 10000 Dhs</t>
  </si>
  <si>
    <t>BDT du Emission 15/08/2011Jouissance 17/10/2011 5 ans 3.90%</t>
  </si>
  <si>
    <t xml:space="preserve">B/T  SNI  du 15/09/2008 au  31/10/2008 à 3.85% </t>
  </si>
  <si>
    <t>CD CDM 52 SEM 3.95% DU 28/02/2008</t>
  </si>
  <si>
    <t>CD ATW DU 09/06/2009 1 mois 3.40%</t>
  </si>
  <si>
    <t>BT SNI DU 31/10/2008 à 4.05%  38JOURS</t>
  </si>
  <si>
    <t>BT ONA DU 31/10/2008 à 4.10%  61JOURS</t>
  </si>
  <si>
    <t>CD WAFABANK E du 15/11/1996 8%</t>
  </si>
  <si>
    <t>CD WAFABANK E du 19/11/1996 8%</t>
  </si>
  <si>
    <t>OBL AFRIQUIA GAZ 13/9/2005 5A à 4.92% 100000</t>
  </si>
  <si>
    <t>CD WAFABANK E du 20/11/1996 8%</t>
  </si>
  <si>
    <t>CD WAFABANK E du 21/11/1996 8%</t>
  </si>
  <si>
    <t>CD WAFABANK E du 22/11/1996 8%</t>
  </si>
  <si>
    <t>CD WAFABANK E du 26/11/1996 8%</t>
  </si>
  <si>
    <t>CD WAFABANK E du 27/11/1996 8%</t>
  </si>
  <si>
    <t>OBL CIH du 24/12/1993 12,75% à 15 ans bons de 200000 Dhs</t>
  </si>
  <si>
    <t>BDT DU 24/12/2007  1.15 ans 3.45%</t>
  </si>
  <si>
    <t>CD BMCE 26 SEM 3.8% DU 01/04/2008</t>
  </si>
  <si>
    <t xml:space="preserve">BSF WAFASALAF du 17/09/2002 5,95% à 3 ans </t>
  </si>
  <si>
    <t>BDT 26/01/2009 6MOIS A 3.68%</t>
  </si>
  <si>
    <t>BDT 26/01/2009 1.5ANS A3.85%</t>
  </si>
  <si>
    <t>CD FEC 52 SEM du 26/01/2009 4.35%</t>
  </si>
  <si>
    <t>Date d'échéance</t>
  </si>
  <si>
    <t>CD WAFABANK E du 05/12/1996 8%</t>
  </si>
  <si>
    <t>CD WAFABANK E du 06/12/1996 8%</t>
  </si>
  <si>
    <t>CD WAFABANK E du 09/12/1996 8%</t>
  </si>
  <si>
    <t>CD WAFABANK E du 10/12/1996 8%</t>
  </si>
  <si>
    <t>CD WAFABANK E du 11/12/1996 8%</t>
  </si>
  <si>
    <t>BT MAGHREB STEEL 3SEM à 3% 100000</t>
  </si>
  <si>
    <t>CD WAFABANK E du 12/12/1996 8%</t>
  </si>
  <si>
    <t>BDT du 12/08/1996 10,5% à 15 ans</t>
  </si>
  <si>
    <t>BDT du 19/08/1996 10% à 5 ans</t>
  </si>
  <si>
    <t>CD ATW du 29/10/2008 6 Mois à 4.20%</t>
  </si>
  <si>
    <t>OBL CIH du 20/10/1997 10% à 10 ans bons de 100000 Dhs</t>
  </si>
  <si>
    <t>base de calcul</t>
  </si>
  <si>
    <t>OBL FEC du 31/08/1992 12,75% à 15 ans bons de 100000 Dhs</t>
  </si>
  <si>
    <t>OBL FEC du 16/10/1992 12,75% à 15 ans bons de 150000 Dhs</t>
  </si>
  <si>
    <t>CD BMCE DU 30/12/2011 à 4.25% 2 ANS</t>
  </si>
  <si>
    <t>CD BMCE DU 08/10/2015 à 2.94% 52SEM</t>
  </si>
  <si>
    <t>BDT DU 07/09/2015 à 2.5% 13 SEM</t>
  </si>
  <si>
    <t>CD SGMB du 03/02/2011 3 ans 4.25%</t>
  </si>
  <si>
    <t>BDT 52 SEM du 10/11/2008 3.90%</t>
  </si>
  <si>
    <t>BDT du 180711 3,30% à 13 semaines</t>
  </si>
  <si>
    <t>BSF WAFASALAF DU 18/10/2010 5ans 4.70%</t>
  </si>
  <si>
    <t>BDT du 21/10/1993 12,75% à 10 ans</t>
  </si>
  <si>
    <t>BDT du 29/10/1993 12,75% à 10 ans</t>
  </si>
  <si>
    <t>CD ATW du 11/02/2011 2 ans à 4.10%</t>
  </si>
  <si>
    <t>ATW</t>
  </si>
  <si>
    <t>BDT 26 SEM du 29/11/2010 à 3.33%</t>
  </si>
  <si>
    <t>BDT du 16/12/1993 12% à 10 ans</t>
  </si>
  <si>
    <t>BDT du 02/07/2001 4,65% à 26 semaines</t>
  </si>
  <si>
    <t>BDT du 02/07/2001 4,90% à 52 semaines</t>
  </si>
  <si>
    <t>BDT du 09/07/2001 4,44% à 13 semaines</t>
  </si>
  <si>
    <t>BDT du 09/07/2001 4,60% à 26 semaines</t>
  </si>
  <si>
    <t>CD ATW DU 16/03/2009 1,25 ANS à 4.2%</t>
  </si>
  <si>
    <t>EN du 06/04/1999 7,25% à 5 ans bons de 5000 Dhs</t>
  </si>
  <si>
    <t>Obligation convertible</t>
  </si>
  <si>
    <t>BSF WAFASALAF du 09/12/1996 10,25%</t>
  </si>
  <si>
    <t>BSF WAFASALAF du 03/02/1997 10,25%</t>
  </si>
  <si>
    <t>BSF WAFASALAF du 02/05/1997 9,8%</t>
  </si>
  <si>
    <t>BDT DU 09/02/2009 13 seaines 3.8%</t>
  </si>
  <si>
    <t>13 sem</t>
  </si>
  <si>
    <t>BDT du 28/07/1994 11% à 10 ans</t>
  </si>
  <si>
    <t>BDT du 11/08/1994 10,75% à 10 ans</t>
  </si>
  <si>
    <t>Prix arrondi</t>
  </si>
  <si>
    <t>BDT du 11/08/1994 11% à 15 ans</t>
  </si>
  <si>
    <t>BDT du 15/07/1996 10% à 5 ans</t>
  </si>
  <si>
    <t xml:space="preserve">BDT du 13/06/2014 ATYP 12/05/14 à 3.45% 2 ans </t>
  </si>
  <si>
    <t>BSF WAFASALAF DU 10/06/2014 2ANS 4%</t>
  </si>
  <si>
    <t>OBL BNDE du 16/11/1995 10% à 8 ans bons de 100000 Dhs</t>
  </si>
  <si>
    <t>OBL BNDE du 21/03/1996 10% à 8 ans bons de 100000 Dhs</t>
  </si>
  <si>
    <t>CD BMCE DU 10/10/2012 4.80% 3 ANS</t>
  </si>
  <si>
    <t>OBLIG HOLCIM du 12/12/2008 à 5.49% 7ans</t>
  </si>
  <si>
    <t>EHOLC</t>
  </si>
  <si>
    <t>CD BMCE DU 07/12/2012 26 SEMAINES 4%</t>
  </si>
  <si>
    <t>CD BNDE 25/04/2001 6,30% à 1 an</t>
  </si>
  <si>
    <t>OBL FEC du 29/03/1993 12,75% à 10 ans bons de 150000 Dhs</t>
  </si>
  <si>
    <t>Certificat de dépôt</t>
  </si>
  <si>
    <t>CD WAFABANK E du 12/11/1996 8%</t>
  </si>
  <si>
    <t>CD WAFABANK E du 13/11/1996 8%</t>
  </si>
  <si>
    <t>OBLIG ADM du 12/02/2009 4.70% 10 ans</t>
  </si>
  <si>
    <t>CD WAFABANK E du 14/11/1996 8%</t>
  </si>
  <si>
    <t>CD BMCE du 29/10/2012 à 3.88% 26 SEM</t>
  </si>
  <si>
    <t xml:space="preserve">BDT du 06/01/2012 à 3.70% 2 ANS </t>
  </si>
  <si>
    <t>BSF MAROC LEASING 4A 4.48% 100000 du 02/02/2006</t>
  </si>
  <si>
    <t xml:space="preserve">CD BMCI du 08102010 3 85 a 52 semaines et 6 jours </t>
  </si>
  <si>
    <t>OBLIGATIONS OCP DU 04/10/2011 4.46% 7ANS</t>
  </si>
  <si>
    <t>BT ONA 3,30% 52S 100000 du 17/05/2004</t>
  </si>
  <si>
    <t>CD FEC du 20/03/1998 8,25%</t>
  </si>
  <si>
    <t>CD BNDE du 23/04/1998 8%</t>
  </si>
  <si>
    <t>CD BNDE du 12/06/1998 8%</t>
  </si>
  <si>
    <t>CD BNDE du 26/06/1998 8%</t>
  </si>
  <si>
    <t>CD BNDE du 10/07/1998 8%</t>
  </si>
  <si>
    <t>CD BNDE du 22/07/1998 8,1%</t>
  </si>
  <si>
    <t>CD FEC du 30/07/1998 7,58%</t>
  </si>
  <si>
    <t>CD BNDE du 28/08/1998 8%</t>
  </si>
  <si>
    <t>CD BNDE du 07/10/1998 8%</t>
  </si>
  <si>
    <t>BSF MAGHREBAIL du 25/06/2002 6,10% 3 ans</t>
  </si>
  <si>
    <t>BT AFRIQUIA GAZ du 02/05/2012 à 3.55% 1 mois</t>
  </si>
  <si>
    <t>BDT du 18/04/2012 à 4.20% 10 ans</t>
  </si>
  <si>
    <t>CD BNDE 29/06/2001 7,50% à 5 ans</t>
  </si>
  <si>
    <t>Emprunt national</t>
  </si>
  <si>
    <t>CD CDM du 30/11/2011 3 ans à 4.40%</t>
  </si>
  <si>
    <t>CD CDM du 30/11/2011 2 ans à 4.30%</t>
  </si>
  <si>
    <t>BDT du 14/04/1994 11% à 10 ans</t>
  </si>
  <si>
    <t>DPC</t>
  </si>
  <si>
    <t>BDT 52 SEMAINES DU 01/03/2010 3.55%</t>
  </si>
  <si>
    <t>BDT du 24/11/2003 52S à 3.7% 100000</t>
  </si>
  <si>
    <t>BDT du 8/12/2003 26S à 3.5% 100000</t>
  </si>
  <si>
    <t>BDT DU 04/04/2011 13SEM 3.29%</t>
  </si>
  <si>
    <t>CD BMCE DU 13/05/2014 à 3.50%  26 SEM</t>
  </si>
  <si>
    <t>CD BNDE du 26/03/1999 7,75%</t>
  </si>
  <si>
    <t>CD BNDE du 10/06/1999 7,75%</t>
  </si>
  <si>
    <t>BSF DIAC SALAF du 02/09/1999 7,1%</t>
  </si>
  <si>
    <t>BDT du 31/03/1997 9,5% à 5 ans</t>
  </si>
  <si>
    <t>BDT du 07/04/1997 9,5% à 5 ans</t>
  </si>
  <si>
    <t>CD BCP DU 19/05/2011 52 SEM à 3.82%</t>
  </si>
  <si>
    <t>EBCP</t>
  </si>
  <si>
    <t>BDT du 23/12/1996 10,25% à 10 ans</t>
  </si>
  <si>
    <t>BT CHARAF CORP du 02/12/02 4,20% à 26 semaines</t>
  </si>
  <si>
    <t>CD BNDE 04/10/1999 7% à 5 ans</t>
  </si>
  <si>
    <t>CD BNDE 13/10/1999 6,50% à 5 ans</t>
  </si>
  <si>
    <t>CD BNDE 07/07/2000 6,50% à 5 ans</t>
  </si>
  <si>
    <t>CD BNDE 09/10/2000 7% à 5 ans</t>
  </si>
  <si>
    <t>base</t>
  </si>
  <si>
    <t>CD WAFABANK E du 30/12/1996 8%</t>
  </si>
  <si>
    <t>CD BNDE du 23/04/1997 10%</t>
  </si>
  <si>
    <t>CD BNDE du 24/04/1997 10%</t>
  </si>
  <si>
    <t>CD BNDE du 12/05/1997 10%</t>
  </si>
  <si>
    <t>CD BNDE du 16/06/1997 9,75%</t>
  </si>
  <si>
    <t>CD BNDE du 04/08/1997 9,5%</t>
  </si>
  <si>
    <t>CD BNDE du 30/12/1997 9%</t>
  </si>
  <si>
    <t>CD BNDE du 19/02/1998 9%</t>
  </si>
  <si>
    <t>CD BNDE du 25/02/1998 9%</t>
  </si>
  <si>
    <t>BDT du 18/10/2004 5A à 4% 100000</t>
  </si>
  <si>
    <t>BDT 52 SEMAINES DU 30/11/2009 3.4% ECHE 6/12/2010</t>
  </si>
  <si>
    <t>BSF DIAC SALAF du 01/09/1999 7,3%</t>
  </si>
  <si>
    <t>BDT du 18/02/2002 5,25% à 2 ans 100000</t>
  </si>
  <si>
    <t>CD FEC DU DU 08/10/2010  7ans Taux Révisable 4.30%</t>
  </si>
  <si>
    <t>BSF MA LEASING du 01/09/1999 7,3%</t>
  </si>
  <si>
    <t>CD CDM 26 SEM 3.55% DU 06/08/2007</t>
  </si>
  <si>
    <t>BDT du 22/04/1996 10,5% à 15 ans</t>
  </si>
  <si>
    <t>BDT du 20/05/1996 10,5% à 15 ans</t>
  </si>
  <si>
    <t>BDT du 03/06/1996 10,5% à 15 ans</t>
  </si>
  <si>
    <t>BDT du 14/03/1995 10,5% à 15 ans</t>
  </si>
  <si>
    <t>BDT du 08/10/2012 à 3.40% 13 sem</t>
  </si>
  <si>
    <t>EOCP</t>
  </si>
  <si>
    <t>BDT du 03/02/2003 4,95% 5 ans 100000 Dhs</t>
  </si>
  <si>
    <t>OBL CDM DU 22/10/2008 à 4.65% sur 10ANS</t>
  </si>
  <si>
    <t>BDT du 19/11/2001 6,20% du 5 ans 100000 Dhs</t>
  </si>
  <si>
    <t>BSF WAFASALAF DU 20/01/2010 à 4.45% 3 ANS</t>
  </si>
  <si>
    <t>WAFA SALAF</t>
  </si>
  <si>
    <t>CD WAFABANK E du 03/12/1996 8%</t>
  </si>
  <si>
    <t>CD WAFABANK E du 04/12/1996 8%</t>
  </si>
  <si>
    <t>BDT du 04/12/1995 10,25% à 10 ans</t>
  </si>
  <si>
    <t>BDT du 04/12/1995 10,5% à 15 ans</t>
  </si>
  <si>
    <t>BDT du 11/12/1995 10,5% à 15 ans</t>
  </si>
  <si>
    <t>BDT du 15/01/1996 10,5% à 15 ans</t>
  </si>
  <si>
    <t>CD BMCE DU 040110 3.70% 13 SEMAINES</t>
  </si>
  <si>
    <t>BSF EQDOM du 28012011 à 4.25% 3 ans</t>
  </si>
  <si>
    <t>EEQDO</t>
  </si>
  <si>
    <t>OBL BMCI LEASI du 09/03/1999 8% à 7 ans bons de 7000 Dhs</t>
  </si>
  <si>
    <t>OBL CIH du 22/03/1999 8,5% à 15 ans bons de 15000 Dhs</t>
  </si>
  <si>
    <t>BDT du 15/01/2007 10 ans 3.40%</t>
  </si>
  <si>
    <t>BDT du 19/03/2012 5 ans 3.15%</t>
  </si>
  <si>
    <t>BDT du 12/02/2007 52 sem 2.9%</t>
  </si>
  <si>
    <t>OBL BNDE du 02/07/1999 7,75% à 5 ans bons de 10000 Dhs</t>
  </si>
  <si>
    <t>CD SG du 23/11/2011 à 3.95% 52 SEM</t>
  </si>
  <si>
    <t>Rendement</t>
  </si>
  <si>
    <t>Coupon couru</t>
  </si>
  <si>
    <t>Prix</t>
  </si>
  <si>
    <t>BDT du 05/08/2013 à 5.25 % 10 ans</t>
  </si>
  <si>
    <t xml:space="preserve">BDT du 12/08/2013 à 3.80% 26 SEM </t>
  </si>
  <si>
    <t xml:space="preserve">BDT du 12/08/2013 à 3.82% 26 sem </t>
  </si>
  <si>
    <t>BDT du 26/08/2013 à 3.82%  26 SEM</t>
  </si>
  <si>
    <t>BDT du 13/10/2013 à 4.00 % ATYP 05/08/2013  1AN</t>
  </si>
  <si>
    <t>BDT du 12/08/2013 ATYP 14/12/2013 à 4.45% 2 ans</t>
  </si>
  <si>
    <t>BDT du 09/09/2013 à 4% ATYP 52 SEM</t>
  </si>
  <si>
    <t>BDT du 17102011 3 30 a 13 semaines</t>
  </si>
  <si>
    <t>CD BNDE du 19/03/1999 7,8%</t>
  </si>
  <si>
    <t>CD BNDE du 24/03/1999 7,8%</t>
  </si>
  <si>
    <t>BDT DU 06/05/2013 à 4.11% 26 sem</t>
  </si>
  <si>
    <t>BDT DU 13/05/2013 à 4.15% 26 SEM</t>
  </si>
  <si>
    <t>BDT DU 13/05/2013 à 4.12% 26 SEM</t>
  </si>
  <si>
    <t>BDT DU 20/05/2013 à 4.15% 26 SEM</t>
  </si>
  <si>
    <t xml:space="preserve">CD FEC du 07/11/2013 26 SEM à 4% </t>
  </si>
  <si>
    <t>BDT du 23/12/2002 2,60% 26 semaines 100000 Dhs</t>
  </si>
  <si>
    <t>BDT du 23/12/2004 13S à 3.04% 100000</t>
  </si>
  <si>
    <t>BDT du 21/3/2004 52S à 3.4% 100000</t>
  </si>
  <si>
    <t>BDT du 08/09/1994 11% à 15 ans</t>
  </si>
  <si>
    <t>BDT 16/11/2009 3.40% 52 SEMAINES</t>
  </si>
  <si>
    <t>BDT du 14/08/13 ATYP 18/03/13 à 5.25% 15 ans</t>
  </si>
  <si>
    <t>BDT du 04/03/2013 à 4.05% 26 SEM</t>
  </si>
  <si>
    <t>BDT du 04/03/2013 à 4.07% 26 SEM</t>
  </si>
  <si>
    <t>BDT du 04/03/2013 à 4 % 26 SEM</t>
  </si>
  <si>
    <t xml:space="preserve">CD BCP du 27/04/2012 à 3.83% 52 SEM </t>
  </si>
  <si>
    <t>CD BCP du 27/04/2012 à 3.68% 26 SEM</t>
  </si>
  <si>
    <t>BDT du 16/04/2012 à 3.20% 13 SEM</t>
  </si>
  <si>
    <t xml:space="preserve">CD CDM du 30/04/2012 à 3.98% Révisable 5 ans </t>
  </si>
  <si>
    <t>BDT du 11/02/1997 10,5% à 15 ans</t>
  </si>
  <si>
    <t>BDT du 17/02/1997 10% à 5 ans</t>
  </si>
  <si>
    <t>BDT du 17/02/1997 10,5% à 15 ans</t>
  </si>
  <si>
    <t>BDT du 24/02/1997 10% à 5 ans</t>
  </si>
  <si>
    <t>OBL ZALAGH HOLDING 4.99% DU 25/11/2014 5 ANS</t>
  </si>
  <si>
    <t>OBL ONCF du 20/10/2011 à 5.11% 15 ANS</t>
  </si>
  <si>
    <t>BDT du 16/12/1996 10,25% à 10 ans</t>
  </si>
  <si>
    <t>BDT du 16/12/1996 10,5% à 15 ans</t>
  </si>
  <si>
    <t>BDT du 06/03/2006 10ans à 4,45% 100000</t>
  </si>
  <si>
    <t>CD ATW du 25/02/2014  à  4.40%  2 ANS</t>
  </si>
  <si>
    <t>BDT DU 06/01/2014 15 ANS 5.60</t>
  </si>
  <si>
    <t>CD SG du 26/02/2014 à 3.70% 7 MOIS</t>
  </si>
  <si>
    <t>CD BMCE du 24/05/2012 à 3.65% 13 SEM</t>
  </si>
  <si>
    <t>BSF WAFASALAF du 19/10/1998 8%</t>
  </si>
  <si>
    <t>BSF BMCI du 28/07/2003 5,25% 4 ans</t>
  </si>
  <si>
    <t>OBLIG SNI 10 ANS DU 10/08/2009 5.10%</t>
  </si>
  <si>
    <t>CD SG du 26/02/2014 à 3.81% 10 MOIS</t>
  </si>
  <si>
    <t>CD SG du 26/02/2014 à 3.78% 9 MOIS</t>
  </si>
  <si>
    <t>OBL BMCE 5.64% DU 24/09/2014 10 ANS</t>
  </si>
  <si>
    <t>OBL BMCE 4.22% DU 24/09/2014 10 ANS</t>
  </si>
  <si>
    <t>BDT du 15/08/1995 10,5% à 15 ans</t>
  </si>
  <si>
    <t>BDT du 21/08/1995 10,25% à 10 ans</t>
  </si>
  <si>
    <t>BDT du 28/08/1995 10,25% à 10 ans</t>
  </si>
  <si>
    <t>BDT du 11/09/1995 10,25% à 10 ans</t>
  </si>
  <si>
    <t>BDT du 25/09/1995 10,25% à 10 ans</t>
  </si>
  <si>
    <t>BDT du 11/11/1996 10% à 5 ans</t>
  </si>
  <si>
    <t>BSF WAFASALAF du 28/08/2012 à 4.90% 5 ans</t>
  </si>
  <si>
    <t>BDT du 16/10/1995 10,25% à 10 ans</t>
  </si>
  <si>
    <t>BDT du 04/02/02 7,10% à 15 ans 100000 Dhs</t>
  </si>
  <si>
    <t>BSF WAFABAIL DU 04/09/2012 25 MOIS 4.70%</t>
  </si>
  <si>
    <t>BSF SOGELEASE du 25/06/2001 6,50% à 2 ans</t>
  </si>
  <si>
    <t>BSF MAGHREBAIL du 25/06/2001 6,70% à 2 ans et 161 JRS</t>
  </si>
  <si>
    <t>BSF MAGHREBAIL du 25/06/2001 6,80% à 2 ans et 161 JRS</t>
  </si>
  <si>
    <t>CD SG du 05/03/2014 à 4.06% 17 mois</t>
  </si>
  <si>
    <t>CD SG du 05/03/2014 à 4.25% 23 MOIS</t>
  </si>
  <si>
    <t>CD SG du 05/03/2014 à 4.18% 21 MOIS</t>
  </si>
  <si>
    <t>CD SG du 05/03/2014 à 4.12% 19 MOIS</t>
  </si>
  <si>
    <t>CD BMCI DU 26/04/2013 52SEM 4.15%</t>
  </si>
  <si>
    <t>BDT ATYPIQUE DU 17/02/2014 5 ANS 4.65%</t>
  </si>
  <si>
    <t>ONA du 28/06/2002 6,35% à 5 ans 100000 DHs</t>
  </si>
  <si>
    <t>jj</t>
  </si>
  <si>
    <t>BDT du 18/10/1999 5,7% à 10 ans</t>
  </si>
  <si>
    <t>BDT du 18/10/1999 5,9% à 15 ans</t>
  </si>
  <si>
    <t>BDT DU 07/01/2008 26 SEM 3.78%</t>
  </si>
  <si>
    <t>BDT du 01/11/1999 5,65% à 10 ans</t>
  </si>
  <si>
    <t>point final</t>
  </si>
  <si>
    <t>taux final</t>
  </si>
  <si>
    <t>BT MUTANDIS du 01/11/2011 52 SEM à 4.20%</t>
  </si>
  <si>
    <t>EMUTANDIS</t>
  </si>
  <si>
    <t>BSF BMCI LEASING du 25/12/2000 6,70 % à 3 ans</t>
  </si>
  <si>
    <t>BSF BMCI LEASING du 31/12/2000 6,50 % à 3 ans</t>
  </si>
  <si>
    <t>CD SGMB du 21/05/2008 à 4.50% 5 ans</t>
  </si>
  <si>
    <t>BSF BMCI LEASING du 31/12/2000 6,70 % à 3 ans</t>
  </si>
  <si>
    <t>BDT 52 SEM du 13/12/2010 à 3.50 %</t>
  </si>
  <si>
    <t>BDT 3 SEMAINES DU 18/01/2010 3.36%</t>
  </si>
  <si>
    <t>CD ATW DU 03/06/2009 13 SEMAINES 3.45%</t>
  </si>
  <si>
    <t>BSF BMCI LEASING du 08/01/2001 6,70 % à 3 ans</t>
  </si>
  <si>
    <t>BDT du 28/01/13 ATYP 17/03/13 à 3.85% 1 an</t>
  </si>
  <si>
    <t>BDT du 29/04/2013 à 3.97% 13 sem</t>
  </si>
  <si>
    <t>BDT DU 09/02/2009 3.67%26 SEMAINES</t>
  </si>
  <si>
    <t>BDT DU 12/01/2009 3.85%52 SEMAINES</t>
  </si>
  <si>
    <t>OBL LYDEC à 5.62% du 14/07/2010 15 ans</t>
  </si>
  <si>
    <t>ELYD</t>
  </si>
  <si>
    <t>Lydec 2140</t>
  </si>
  <si>
    <t>BSF TASLIF du 23/04/2001 7,42% à 3 ans</t>
  </si>
  <si>
    <t>BSF WAFASALAF du 25/01/2001 7,20% à 3 ans</t>
  </si>
  <si>
    <t>BSF WAFASALAF du 24/04/2001 6,15% à 3 ans</t>
  </si>
  <si>
    <t>CD CDG Capital du 09/12/2010 13 sem 3.50%</t>
  </si>
  <si>
    <t>BSF SOGELEASE du 29/05/2001 6,50% à 2 ans</t>
  </si>
  <si>
    <t>CD ATW 13 SEM 3.60% DU 17/09/2007</t>
  </si>
  <si>
    <t>BSF WAFASALAF du 09/07/2001 6,6% à 3 ans</t>
  </si>
  <si>
    <t xml:space="preserve">BDT du 08042013 3 95 a 13 semaines </t>
  </si>
  <si>
    <t>BDT DU 07/01/2008 3.7%</t>
  </si>
  <si>
    <t>BDT 26 SEMAINES DU 17/08/2009 3.27%</t>
  </si>
  <si>
    <t xml:space="preserve">BDT du 04/02/2013 à 3.95% 13 sem </t>
  </si>
  <si>
    <t>BDT du 04/02/2013 à 4.10%  26 SEM</t>
  </si>
  <si>
    <t>BDT du 11/02/2013 à 3.90% 13 sem</t>
  </si>
  <si>
    <t>BDT du 11/02/2013 à 4.10% 26 sem</t>
  </si>
  <si>
    <t>BT MAGRHEB STEEL 3,15% 3M 100000</t>
  </si>
  <si>
    <t>BSF SOGELEASE du 07/12/2000 7,15% à 3 ans</t>
  </si>
  <si>
    <t>OBL  WAFASALAF du 30/12/2004 5.54% à 5 ans</t>
  </si>
  <si>
    <t>OBLIG ATW du 29/06/2009 4.42% 10 ans révisable</t>
  </si>
  <si>
    <t>BDT DU 230810 52S 3.55%</t>
  </si>
  <si>
    <t>BSF SOGELEASE du 29/10/1998 7,6%</t>
  </si>
  <si>
    <t>BSF WAFASALAF du 10/11/1998 8%</t>
  </si>
  <si>
    <t>OBLIG ADI Non Côtés du 05/03/2010 5.40%</t>
  </si>
  <si>
    <t>BDT du 22/09/1997 9% à 5 ans</t>
  </si>
  <si>
    <t>BDT du 22/09/1997 9,5% à 10 ans</t>
  </si>
  <si>
    <t>BDT du 22/09/1997 9,75% à 15 ans</t>
  </si>
  <si>
    <t>BDT du 29/09/1997 9% à 5 ans</t>
  </si>
  <si>
    <t>CD SGMB 14 mois du 13/01/2010 4%</t>
  </si>
  <si>
    <t>CD CREDIT AGRICOLE DU 02/12/2013 26 SEM 4.35%</t>
  </si>
  <si>
    <t>ECNCA</t>
  </si>
  <si>
    <t>CD CREDIT AGRICOLE DU 02/12/2013 52 SEM 4.65%</t>
  </si>
  <si>
    <t>BDT du 18/06/2012 à 3.40% 26 SEM</t>
  </si>
  <si>
    <t>OBL LYDEC du 15/3/2004 15A à 6.95% 100000</t>
  </si>
  <si>
    <t>Lydec</t>
  </si>
  <si>
    <t>ONA du 31/07/01 6,7% à 5 ans 100000 DHs</t>
  </si>
  <si>
    <t>BDT du 03/12/01 5,45% à 2 ans</t>
  </si>
  <si>
    <t xml:space="preserve">BDT du 04/03/02 5,20% à 2 ans </t>
  </si>
  <si>
    <t>CD SGMB  du 28/06/2007 à 3,5%  13 sem</t>
  </si>
  <si>
    <t>BDT du 31/1/2005 10A à 4.9% 100000</t>
  </si>
  <si>
    <t>CD SGMB du 23/03/2011 4 ans à 4.40%</t>
  </si>
  <si>
    <t>EN du 30/06/1998 7,5% à 5 ans bons de 50000 Dhs</t>
  </si>
  <si>
    <t>BDT du 26/11/2001 4,50% à 26 semaines</t>
  </si>
  <si>
    <t>BDT du 26/11/2001 4,55% à 26 semaines</t>
  </si>
  <si>
    <t>CD BMCE du 23/07/2013 à 4.18% 26 sem</t>
  </si>
  <si>
    <t>credilog III</t>
  </si>
  <si>
    <t>CD WAFABANK E du 13/12/1996 8%</t>
  </si>
  <si>
    <t>CD WAFABANK E du 16/12/1996 8%</t>
  </si>
  <si>
    <t>CD WAFABANK E du 17/12/1996 8%</t>
  </si>
  <si>
    <t>BDT DU 11/05/2009 3MOIS A 3.27%</t>
  </si>
  <si>
    <t xml:space="preserve">BSF WAFASALAF du 16/07/2012 à 4.28 % 2 ans </t>
  </si>
  <si>
    <t>CD WAFABANK E du 18/12/1996 8%</t>
  </si>
  <si>
    <t>CD WAFABANK E du 19/12/1996 8%</t>
  </si>
  <si>
    <t>CD WAFABANK E du 20/12/1996 8%</t>
  </si>
  <si>
    <t>CD BMCI du 22/04/2011 à 4.10% 3 ans</t>
  </si>
  <si>
    <t>CD BMCI du 24/04/2013 à 4.30% 52SEM ATYP</t>
  </si>
  <si>
    <t>CD BMCE du 30/12/2013 à 4.60% 13 MOIS</t>
  </si>
  <si>
    <t>BDT du 20/04/2004 5A à 4.55% 100000</t>
  </si>
  <si>
    <t>CD BNDE du 30/12/1998 7,99%</t>
  </si>
  <si>
    <t>CD FEC du 31/12/1998 8,1%</t>
  </si>
  <si>
    <t>CD BNDE du 04/01/1999 8%</t>
  </si>
  <si>
    <t>CD BNDE du 08/01/1999 8%</t>
  </si>
  <si>
    <t>BDT du 20/7/2004 5A à 4.3% 100000</t>
  </si>
  <si>
    <t>CD BMCI du 16/08/1999 6,3%</t>
  </si>
  <si>
    <t>CD BNDE du 18/08/1999 7%</t>
  </si>
  <si>
    <t>CD BMCE du 30/04/2014 à 4.20%  3 ans</t>
  </si>
  <si>
    <t>CD CDM 18 MOIS du 09/12/2009 à 4.05%</t>
  </si>
  <si>
    <t>CDM</t>
  </si>
  <si>
    <t>CD BCP DU 16/12/2013 à 4.42% 52 SEM</t>
  </si>
  <si>
    <t>BDT du 2/8/2004 15A à 5.60% 100000</t>
  </si>
  <si>
    <t>OBLIGATION ADDOHA 4,15% 52 SEM 15/08/2008</t>
  </si>
  <si>
    <t>CD FEC du 09/08/2010 à 4.28% Révisable 7 ans</t>
  </si>
  <si>
    <t>BT ONA 3.85 1 MOIS sem 15/09/2008</t>
  </si>
  <si>
    <t>flux actualisé</t>
  </si>
  <si>
    <t>taux facial</t>
  </si>
  <si>
    <t>Courbe CT</t>
  </si>
  <si>
    <t>BT AFRIQUIA GAZ du 26/03/2012 13 SEM à 3.90%</t>
  </si>
  <si>
    <t>BDT du 27/02/2012 à 3.43% 13 SEM</t>
  </si>
  <si>
    <t>BDT DU 07/07/2012 2ANS  EMISSION 12/03/2012 3.85%</t>
  </si>
  <si>
    <t>Emp du 28/07/95  au 28/07/10 à 10.50%</t>
  </si>
  <si>
    <t>Emp du 30/08/95  au 30/08/10 à 10.50%</t>
  </si>
  <si>
    <t>Emp du 29/09/95  au 29/09/10 à 10.50%</t>
  </si>
  <si>
    <t>BDT DU 22/12/2008 3.75%26 SEMAINES</t>
  </si>
  <si>
    <t>BDT DU 22/12/2008 3.85%52 SEMAINES</t>
  </si>
  <si>
    <t>BSF SOGELEASE du 05/11/2010 2 ans à 4.12%</t>
  </si>
  <si>
    <t xml:space="preserve">CD ATW du 23/04/2014 à 4.28% 3 ans </t>
  </si>
  <si>
    <t>CD BMCE DU 30/04/2014 à 4.55% 5 ANS</t>
  </si>
  <si>
    <t xml:space="preserve">BSF WAFABAIL DU 23/4/2015 2ANS à 3.70% </t>
  </si>
  <si>
    <t>BDT du 13/04/2015 2,60% à 13 semaines</t>
  </si>
  <si>
    <t>BDT DU 27/04/2015 52SEM à 2.70%</t>
  </si>
  <si>
    <t>CD CAM du 11/11/2014 à 3.37% 26 SEM</t>
  </si>
  <si>
    <t>CD ATW DU 12/01/2015  à 2.75% 26SEM</t>
  </si>
  <si>
    <t>CD BNDE du 29/12/1998 7,96%</t>
  </si>
  <si>
    <t>Obligations privée</t>
  </si>
  <si>
    <t>OBLIG SGMB 10 ans 4.84% du 23/03/2009</t>
  </si>
  <si>
    <t>OBL BMCE TRANCHE D du 21012013 5 01 a 10 ans</t>
  </si>
  <si>
    <t>ODEP2</t>
  </si>
  <si>
    <t>OBL ODEP du 2/11/2004 5A à 4.6% 100000</t>
  </si>
  <si>
    <t>CD CAM DU 12082013 4.88% 568 jours</t>
  </si>
  <si>
    <t>BDT DU 06/05/2013 à 4 % 52 SEM</t>
  </si>
  <si>
    <t>BT AFRIQUIA GAZ du 25/02/2013 à 4.20% 30 J</t>
  </si>
  <si>
    <t>BSF SOGELEASE du 04/06/2001 6,50% à 2 ans</t>
  </si>
  <si>
    <t>BDT du 28/03/2011 à 3.30%  13 SEM</t>
  </si>
  <si>
    <t>OBL ONCF du 28/01/2002 6,95% à 15 ans bons de 150 000 Dh</t>
  </si>
  <si>
    <t>OBL CIH du 21/04/2003 6,20% à 15 ans bons de 150000 Dhs</t>
  </si>
  <si>
    <t>BDT du 26/03/2001 5,35 % à 26 semaines</t>
  </si>
  <si>
    <t>CD ATW du 27/10/2008 12 Mois à 4.35%</t>
  </si>
  <si>
    <t>BSF SOGELEASE du 23/03/2001 6,75% à 2 ans</t>
  </si>
  <si>
    <t>BDT du 22/08/2000 5,50% à 52 semaines</t>
  </si>
  <si>
    <t>BDT DU 15/10/2012 5 ANS 4.40%</t>
  </si>
  <si>
    <t>BT MUTANDIS du 29/10/2012 52 SEM à 4.50%</t>
  </si>
  <si>
    <t>BSF  EQDOM du 14/01/2003 5,60% à 5 ans</t>
  </si>
  <si>
    <t>CD BMCI du 07/02/2012 à 4.45% 3 ans</t>
  </si>
  <si>
    <t>OB ATW 5.1% 10A 100000 26/11/2007 NON COTE</t>
  </si>
  <si>
    <t>OB ATW 5.1% 10A 100000 26/11/2007 COTE</t>
  </si>
  <si>
    <t>CD CDM 13S 4.2% DU 26/11/2007</t>
  </si>
  <si>
    <t>OBLIG BCP du 09/04/2009 7a  5% Non côté</t>
  </si>
  <si>
    <t>Emp du 27/07/90  au 27/07/05 à 11.00%</t>
  </si>
  <si>
    <t>OBL BMCE du 15102008 4.96% 10 ans (52s+100bp)</t>
  </si>
  <si>
    <t>Emp du 05/09/90  au 05/09/05 à 11.00%</t>
  </si>
  <si>
    <t>BDT du 20/12/1999 5,13% à 5 ans</t>
  </si>
  <si>
    <t>test swap</t>
  </si>
  <si>
    <t>CD BMCI DU 24/09/2014 26 SEM à 3.4%</t>
  </si>
  <si>
    <t>BDT DU 09/02/2015 13 SEM à 2.43%</t>
  </si>
  <si>
    <t>BDT du 11/12/2006 2,57% 26 semaines 100000 Dhs</t>
  </si>
  <si>
    <t>BDT du 13/11/2006 2,6% 26 semaines 100000 Dhs</t>
  </si>
  <si>
    <t>BDT du 27/11/2006 2,6% 26 semaines 100000 Dhs</t>
  </si>
  <si>
    <t>OBL SETTEXAM 2 ans du 28/06/2007</t>
  </si>
  <si>
    <t>BDT du 28/06/1999 6,99% à 10 ans</t>
  </si>
  <si>
    <t>OBL ADM NC B9 du 16/04/2012  20 ans à 5%</t>
  </si>
  <si>
    <t>BDT du 01/12/2003 3,35% 13 semaines 100000 Dhs</t>
  </si>
  <si>
    <t>BDT du 01/12/2003 3,50% 26 semaines 100000 Dhs</t>
  </si>
  <si>
    <t>BSF ATTIJARI IMM du 29/06/2001 6,25% à 2 ans</t>
  </si>
  <si>
    <t>BDT du 16/04/2001 6,45 % à 10 ans</t>
  </si>
  <si>
    <t>CD CIH du 01/03/2012 à 4.36% 2ans</t>
  </si>
  <si>
    <t>BDT du 04/03/2013 à 3.95% 13 SEM</t>
  </si>
  <si>
    <t>BDT du Emiss 30/01/2012 Jouis 17/03/2012 2 ans 3.8%</t>
  </si>
  <si>
    <t>OBLIG HOLCIM B du 12/12/2008 7 ans à 5.49%</t>
  </si>
  <si>
    <t>OBLIG HOLCIM</t>
  </si>
  <si>
    <t>BDT du 15/12/1997 9,5% à 15 ans</t>
  </si>
  <si>
    <t>BDT du 04/11/2002 10A à 5% 100000</t>
  </si>
  <si>
    <t>BDT du 08/09/2013 à 4.00% 1 an</t>
  </si>
  <si>
    <t>BDT du 05/06/2006 20ans à 5.15% 100000</t>
  </si>
  <si>
    <t>BSF DIAC-LEASING du 16/05/2000 à 7,20%</t>
  </si>
  <si>
    <t>BSF WAFASALAF du 19/05/2000 à 6,70%</t>
  </si>
  <si>
    <t>BSF EQDOM du 13/06/2000 6,70% à 3 ans</t>
  </si>
  <si>
    <t>BDT du 10/11/1997 9% à 10 ans</t>
  </si>
  <si>
    <t>BDT du 17/11/1997 8,5% à 5 ans</t>
  </si>
  <si>
    <t>BSF SOREC CRED du 20/09/1999 8,1%</t>
  </si>
  <si>
    <t>10/04/2021</t>
  </si>
  <si>
    <t>10/07/2021</t>
  </si>
  <si>
    <t>10/10/2021</t>
  </si>
  <si>
    <t>10/01/2022</t>
  </si>
  <si>
    <t>10/04/2022</t>
  </si>
  <si>
    <t>BDT du 04/01/1999 8,5% à 15 ans</t>
  </si>
  <si>
    <t>BSF WAFASALAF du 12/09/2000 7% à 3 ans</t>
  </si>
  <si>
    <t>BSF DIAC SALAF DU 10/10/2000 7,71% à 3 ans</t>
  </si>
  <si>
    <t>CD bmci 3 ans du 27/03/2006 à 4%</t>
  </si>
  <si>
    <t>BDT du 02/01/2006 20ans à 5.95% 100000</t>
  </si>
  <si>
    <t>BDT du 18/02/2013 13 sem à 3.95%</t>
  </si>
  <si>
    <t>BDT du 18/02/2013 à 4.10% 26 SEM</t>
  </si>
  <si>
    <t>BSF DIAC SALAF DU 10/10/2000 8,14% à 5 ans</t>
  </si>
  <si>
    <t>BDT du 3/2/2004 5A à 4.6% 100000</t>
  </si>
  <si>
    <t>BSF WAFASALAF du 14/10/2000 7% à 3 ans</t>
  </si>
  <si>
    <t>BSF TASLIF du 16/10/2000 8% à 3 ans</t>
  </si>
  <si>
    <t>BDT du 24/07/2000 5,90% à 5 ans</t>
  </si>
  <si>
    <t>CD BMCE du 04/03/2013 à 4.20% 13 SEM</t>
  </si>
  <si>
    <t>CD BMCE du 08/03/2013 à 4.40% 35 SEM</t>
  </si>
  <si>
    <t>BDT DU 11/03/2013 à 3.93% 13 SEM</t>
  </si>
  <si>
    <t>BDT du 04/06/2001 4,95% à 52 semaines</t>
  </si>
  <si>
    <t>CD CDM DU 28/09/2010 765 J à 4.25%</t>
  </si>
  <si>
    <t>BSF SOFAC CRED du 05/02/2001 7,90% à 2 ans</t>
  </si>
  <si>
    <t>OBL ONCF 20/12/2006 15A à 3.7% 100000</t>
  </si>
  <si>
    <t>CD FEC du 16/12/2009 5 ans</t>
  </si>
  <si>
    <t xml:space="preserve">CD BMCI du 29/07/2011 15 mois à 3.99% </t>
  </si>
  <si>
    <t>EBMCI</t>
  </si>
  <si>
    <t>CD CDM du 29/07/2011 à 4.05% 2 ans</t>
  </si>
  <si>
    <t>ECDM</t>
  </si>
  <si>
    <t xml:space="preserve">CD BMCI du 29/07/2011  à 4.10% 2 ans </t>
  </si>
  <si>
    <t>BSF BMCI LEASING du 25/12/2000 6,50 % à 3 ans</t>
  </si>
  <si>
    <t>Point de jointure</t>
  </si>
  <si>
    <t>taux monétaire</t>
  </si>
  <si>
    <t>CD BMCI du 05/11/2010 à 4.35% 5 ans</t>
  </si>
  <si>
    <t xml:space="preserve">CD CAM du 27/06/2013 à 4.90% 52 SEM </t>
  </si>
  <si>
    <t>CD SGMB du 18/08/2011 à 4.20% 3 ans</t>
  </si>
  <si>
    <t>BDT du 11/11/2002 2,50% 13 semaines 100000 Dhs</t>
  </si>
  <si>
    <t>CD SGMB 26 SEM 4.30% DU 25/11/2008</t>
  </si>
  <si>
    <t>BSF WAFASALAF du 15/02/1999 7,75%</t>
  </si>
  <si>
    <t>BSF SOREC CRED du 05/04/1999 8%</t>
  </si>
  <si>
    <t>BSF SOREC CRED du 14/04/1999 8%</t>
  </si>
  <si>
    <t>CD BMCE du 19/03/2010 à 3.95% 9 mois</t>
  </si>
  <si>
    <t>BSF WAFABAIL du 09/07/2010 à 4.33% 2 ans</t>
  </si>
  <si>
    <t>BDT du 29/01/2001 6,00 % à 26 semaines</t>
  </si>
  <si>
    <t>CD BMCE du 27/04/2010 26 SEM à 3.85%</t>
  </si>
  <si>
    <t>CD ATW DU 08/08/2014 AU 06/02/2015 à 3.36% 26 SEM</t>
  </si>
  <si>
    <t>BSF WAFABAIL du 12/08/14 à 3.85% 2 ans</t>
  </si>
  <si>
    <t>CD ATW du 12/08/14  à 3.75% 2 ANS</t>
  </si>
  <si>
    <t>OBL MANAGEM du 22/08/2014 à 5.25% 5 ANS</t>
  </si>
  <si>
    <t>BDT du 07/04/1997 10,25% à 15 ans</t>
  </si>
  <si>
    <t>BDT du 14/04/1997 9,5% à 5 ans</t>
  </si>
  <si>
    <t>BDT du 14/04/1997 10% à 10 ans</t>
  </si>
  <si>
    <t>CD FEC du 24/01/2011 à 3.55% 13 SEM</t>
  </si>
  <si>
    <t>CD BCP du 15/04/2013 26 SEM à 4.40%</t>
  </si>
  <si>
    <t>BDT du 01/09/1994 11% à 15 ans</t>
  </si>
  <si>
    <t>BDT DU 14/09/2007 2 ans 3.10%</t>
  </si>
  <si>
    <t>BDT  du 23/12/2002 2,45% 13 semaines 100000 Dhs</t>
  </si>
  <si>
    <t>Echéancier Prévisionnel des Parts A1</t>
  </si>
  <si>
    <t>CD bmci 52 semaines du 27/06/2006 à 3.3%</t>
  </si>
  <si>
    <t>CD bmci 3 ans du 27/06/2006 à 3.8%</t>
  </si>
  <si>
    <t>BSF MAGHREBAIL du 04/07/2001 6,70% à 3 ans</t>
  </si>
  <si>
    <t>B/T ONA 2 MOIS du 03/08/2007 3.90%</t>
  </si>
  <si>
    <t>CD CDM du 29/07/2013 à 4.45% 52 SEM</t>
  </si>
  <si>
    <t>BDT du 02/01/2001 5,80 % à 52 semaines</t>
  </si>
  <si>
    <t>BDT du 02/01/2001 6,30 % à 5 ans</t>
  </si>
  <si>
    <t>BDT du 15/01/2001 6,05 % à 26 semaines</t>
  </si>
  <si>
    <t>CD BNDE du 11/05/1999 7,6%</t>
  </si>
  <si>
    <t>CD BNDE du 18/05/1999 7,6%</t>
  </si>
  <si>
    <t>OBL CIH 27/10/89 11% à 15 ans bons de 10000 DHs</t>
  </si>
  <si>
    <t>BT MAGHREB STEEL 3.3% 3M 100000</t>
  </si>
  <si>
    <t>OBL FEC 17/08/90 11% à 15 ans bons de 10000 DHs</t>
  </si>
  <si>
    <t>BDT du 01/10/2001 4,6% à 13 semaines 100000 DHs</t>
  </si>
  <si>
    <t>BDT du 17/09/2001 4,85% à 26 semaines 100000 DHs</t>
  </si>
  <si>
    <t>BDT du 22/12/1997 8,5% à 5 ans</t>
  </si>
  <si>
    <t>BDT du 22/12/1997 9,5% à 15 ans</t>
  </si>
  <si>
    <t>CD BMCE 52 SEM du 12/11/2008 4.40%</t>
  </si>
  <si>
    <t>Echéancier Prévisionnel</t>
  </si>
  <si>
    <t>10/10/2014</t>
  </si>
  <si>
    <t>10/01/2015</t>
  </si>
  <si>
    <t>10/04/2015</t>
  </si>
  <si>
    <t>10/07/2015</t>
  </si>
  <si>
    <t>10/10/2015</t>
  </si>
  <si>
    <t>10/01/2016</t>
  </si>
  <si>
    <t>10/04/2016</t>
  </si>
  <si>
    <t>10/07/2016</t>
  </si>
  <si>
    <t>10/10/2016</t>
  </si>
  <si>
    <t>10/01/2017</t>
  </si>
  <si>
    <t>10/04/2017</t>
  </si>
  <si>
    <t>10/07/2017</t>
  </si>
  <si>
    <t>10/10/2017</t>
  </si>
  <si>
    <t>OBL CIH du 26/04/1993 12,75% à 15 ans bons de 150000 Dhs</t>
  </si>
  <si>
    <t>BDT du 14/01/2013 à 3.90% 13 SEM</t>
  </si>
  <si>
    <t>BDT du 18/02/2002 6,70% à 10 ans 100000 Dhs</t>
  </si>
  <si>
    <t>BDT du 02/01/2007 52 sem à 2.8% 100000</t>
  </si>
  <si>
    <t>BSF WAFASALAF du 04/09/2000 7% à 3 ans</t>
  </si>
  <si>
    <t>BDT du 02/09/2013 à 3.54% 13 SEM</t>
  </si>
  <si>
    <t>CD SGMB du 02/03/2010 15 mois 4.25%</t>
  </si>
  <si>
    <t>CD ATW du 13/08/2012 à 4.33% 2 ans</t>
  </si>
  <si>
    <t>CD BMCE DU 07/12/2012 à 4.65% 2 ans</t>
  </si>
  <si>
    <t xml:space="preserve">CD CAM du 11/12/2012 à 4.80% 2 ans </t>
  </si>
  <si>
    <t>BSF WAFABAIL DU 02/05/2011 à 4.45% 5 ANS</t>
  </si>
  <si>
    <t>CD bmci 3 ans du 02/12/2005 à 4.10%</t>
  </si>
  <si>
    <t>BDT du 14/11/2005 10A à 4.75% 100000</t>
  </si>
  <si>
    <t>CD SGMB 26 SEM DU 16/10/2007 3.80%</t>
  </si>
  <si>
    <t>CD SGMB 52 SEM DU 16/10/2007 3.90%</t>
  </si>
  <si>
    <t>BSF BMCI du 28/07/2003 4,85% 3 ans</t>
  </si>
  <si>
    <t>BDT DU 26/05/2008 13 SEM 3.40%</t>
  </si>
  <si>
    <t>BSF WAFA IMMOB du 30/11/1998 8,25%</t>
  </si>
  <si>
    <t>BSF ATTIJARI I du 21/12/1998 8%</t>
  </si>
  <si>
    <t>BSF SOFAC CRED du 05/02/1999 8%</t>
  </si>
  <si>
    <t>BT ONA 2.75% 6M 100000</t>
  </si>
  <si>
    <t>BSF WAFASALAF du 11/02/1999 7,75%</t>
  </si>
  <si>
    <t>CD SGMB 13 SEM 4.20% DU 25/11/2008</t>
  </si>
  <si>
    <t xml:space="preserve">CD FEC du 27/06/2011 à 3.50% 13 SEM </t>
  </si>
  <si>
    <t>EFEC</t>
  </si>
  <si>
    <t>OBL MANAGEM du 13/08/2012 à 4.66% 2 ans</t>
  </si>
  <si>
    <t>EMANA</t>
  </si>
  <si>
    <t>CD BMCE DU 16/11/2010 2 ANS à 4.13%</t>
  </si>
  <si>
    <t xml:space="preserve">CD BMCE du 08/09/2009 3,75% à 2 ans </t>
  </si>
  <si>
    <t>BSF WAFASALAF du 27/10/1998 8%</t>
  </si>
  <si>
    <t>BDT du 15082011 3 50 a 52 semaines</t>
  </si>
  <si>
    <t>BDT du 10102011 3 30 a 13 semaines</t>
  </si>
  <si>
    <t>BDT du 02/06/1997 9,5% à 5 ans</t>
  </si>
  <si>
    <t>BDT du 24/05/2010 2 ans à 3.70%</t>
  </si>
  <si>
    <t>F</t>
  </si>
  <si>
    <t>Bon de société de financement</t>
  </si>
  <si>
    <t>BSF SALAF du 15/04/1999 8%</t>
  </si>
  <si>
    <t>BSF WAFASALAF du 20/04/1999 7,7%</t>
  </si>
  <si>
    <t>BSF WAFASALAF du 30/04/1999 7,7%</t>
  </si>
  <si>
    <t>BSF WAFASALAF du 09/05/1999 7,75%</t>
  </si>
  <si>
    <t>BSF WAFASALAF du 26/05/1999 7,65%</t>
  </si>
  <si>
    <t>BSF WAFASALAF du 26/05/1999 7,7%</t>
  </si>
  <si>
    <t>OBLIG SAMIR DU 31/12/2008 7 ANS 5.90% NON COTE</t>
  </si>
  <si>
    <t>OBL ADM DU 10/12/2012 10ANS 5.09%</t>
  </si>
  <si>
    <t>BSF EQDOM du 30/06/2011 à 4.37% 4 ans</t>
  </si>
  <si>
    <t>BDT DU 01072013 3.95% 26 SEM</t>
  </si>
  <si>
    <t xml:space="preserve">BDT du 18072014 4.45% a 2 ans </t>
  </si>
  <si>
    <t>BDT du 19/08/1996 10,25% à 10 ans</t>
  </si>
  <si>
    <t>BDT du 19/08/1996 10,5% à 15 ans</t>
  </si>
  <si>
    <t>OBL SNI 10 ans du 20/07/2007</t>
  </si>
  <si>
    <t>BDT DU 16/05/2011 à 3.60% 2 ans</t>
  </si>
  <si>
    <t>BDT 26 SEM du 20/07/2009 3.27%</t>
  </si>
  <si>
    <t>BDT DU 15/06/2009 52 seaines 3.4%</t>
  </si>
  <si>
    <t>CD CDM du 28/02/2012 Révisable 5 ANS</t>
  </si>
  <si>
    <t>CD ATW du 28/02/2012 à 4.30% 2 ans</t>
  </si>
  <si>
    <t>Bon du Trésor</t>
  </si>
  <si>
    <t>BDT DU 30/06/2008 13 SEM 3.39%</t>
  </si>
  <si>
    <t>EN du 30/12/1998 7,5% à 5 ans bons de 5000 Dhs</t>
  </si>
  <si>
    <t>OBLIG CGI du 31/12/2010 à 4.94% 5 ans</t>
  </si>
  <si>
    <t xml:space="preserve">CGI </t>
  </si>
  <si>
    <t>OBLIG CGI</t>
  </si>
  <si>
    <t>BSF WAFASALAF du 05/12/2011 à 4.32% 2 ans</t>
  </si>
  <si>
    <t>EBMCE</t>
  </si>
  <si>
    <t>CD BMCE DU 08/12/2011 13S 3.72%</t>
  </si>
  <si>
    <t>CD BMCE DU 08/12/2011 3.96%</t>
  </si>
  <si>
    <t>CD BMCE du 18/04/2011 à 3.85% 52 sem</t>
  </si>
  <si>
    <t>CD ATW du 24/06/2010 à 3.90 % 14 MOIS</t>
  </si>
  <si>
    <t xml:space="preserve">BDT du 17/05/2010 52 SEM à 3.60% </t>
  </si>
  <si>
    <t>OBL BNDE du 21/12/1998 7,95% à 5 ans bons de 10000 Dhs</t>
  </si>
  <si>
    <t>CD SGMB du 29/01/2010 à 4.03% 2 ans</t>
  </si>
  <si>
    <t>ESGMB</t>
  </si>
  <si>
    <t>OBL CIH du 27/11/1998 8,4% à 10 ans bons de 10000 Dhs</t>
  </si>
  <si>
    <t>BSF UNION BAIL du 25/06/1999 7,6%</t>
  </si>
  <si>
    <t>BSF MA LEASING du 15/07/1999 7,35%</t>
  </si>
  <si>
    <t>BSF WAFASALAF du 16/11/1999 5,95%</t>
  </si>
  <si>
    <t>CD BMCI DU 24/04/2009  26 SEM à 3,75%</t>
  </si>
  <si>
    <t>CD BMCE du 24/01/2014 à 4.25% 52 SEM</t>
  </si>
  <si>
    <t>CD BMCE 4,2% du 23/05/2008 2 ans</t>
  </si>
  <si>
    <t>OBL BNDE du 25/12/1992 12,75% à 10 ans bons de 150000 Dhs</t>
  </si>
  <si>
    <t>BDT DU 21/01/13 JOUIS 06/07/13 à 4.20% 2 ANS</t>
  </si>
  <si>
    <t xml:space="preserve">BDT du 28/01/2013 à 3.90 %  13 SEM </t>
  </si>
  <si>
    <t>OBLIG GROUP INVEST du 12/07/2010 à 5.65% 10 ans</t>
  </si>
  <si>
    <t>CREDILOG IV du 30/04/2014 à 4.42% 8 ans</t>
  </si>
  <si>
    <t>EMAGTIT</t>
  </si>
  <si>
    <t>BDT DU 060814 15 ANS 5.45% ATYP 14/04/2014</t>
  </si>
  <si>
    <t>CD BMCE DU 08/05/2014 3ANS 4.15%</t>
  </si>
  <si>
    <t>BDT DU 13/12/2010 2 ans A 3.65%</t>
  </si>
  <si>
    <t xml:space="preserve">BDT DU 02/05/2011  52 sem à 3.55% </t>
  </si>
  <si>
    <t>obligation convertible CMT 5 ans  4,4%</t>
  </si>
  <si>
    <t>obligation ordinaire</t>
  </si>
  <si>
    <t>BDT du 25/08/1994 11% à 15 ans</t>
  </si>
  <si>
    <t>CD SGMB 2 A DU 28/02/2008 4.25%</t>
  </si>
  <si>
    <t xml:space="preserve">CD CDM du 01/09/2008  26 SEMAINE 3.95% </t>
  </si>
  <si>
    <t>CD ATW 13 SEM du 10/09/2008 à 3.80%</t>
  </si>
  <si>
    <t>CD BMCI du 25/04/2012 à 3.95 % 52 SEM</t>
  </si>
  <si>
    <t xml:space="preserve">CD BMCI du 08052012 à 3,90% à 52 semaines </t>
  </si>
  <si>
    <t>BDT du 29/01/1996 8,5% à 10 ans</t>
  </si>
  <si>
    <t>BDT du 19/02/1996 10,5% à 15 ans</t>
  </si>
  <si>
    <t>CD ATW 13 SEM 4.25% du 21/10/2008</t>
  </si>
  <si>
    <t>CD SGMB DU 30/04/2007 4.01% 7 ANS</t>
  </si>
  <si>
    <t>BDT du 04/03/1996 10,5% à 15 ans</t>
  </si>
  <si>
    <t>CD BNDE 04/05/2001 6,50% à 1 an</t>
  </si>
  <si>
    <t>CD BNDE 07/05/2001 6,50% à 1 an</t>
  </si>
  <si>
    <t>CD BNDE 09/05/2001 6,50% à 1 an</t>
  </si>
  <si>
    <t>CD BNDE 10/05/2001 6,50% à 1 an</t>
  </si>
  <si>
    <t>BDT du 13/12/2004 52S à 2.7% 100000</t>
  </si>
  <si>
    <t>OBL FEC du 19/11/1992 12,75% à 15 ans bons de 150000 Dhs</t>
  </si>
  <si>
    <t>OBL AFRIQUIA GAZ 16/07/2015 à 4% 5 ANS</t>
  </si>
  <si>
    <t>OBL MAGHREB OXYGENE 16/07/2015 à 4% 5 ANS</t>
  </si>
  <si>
    <t>EMAGO</t>
  </si>
  <si>
    <t>BDT du 20/07/2015 à 3.10% 5 ans</t>
  </si>
  <si>
    <t>BDT DU 24/08/2009 52 seaines 3.4%</t>
  </si>
  <si>
    <t>OBL CIH du 12/05/1994 11% à 15 ans bons de 200000 Dhs</t>
  </si>
  <si>
    <t>CD CFM du 14/05/2012 à 4.05% 52 sem</t>
  </si>
  <si>
    <t>ECFG</t>
  </si>
  <si>
    <t>OBL MEDITEL du 23/12/2011 à 5.12%  7 ANS</t>
  </si>
  <si>
    <t>EMEDITEL</t>
  </si>
  <si>
    <t>BDT du 21/04/1997 10,25% à 15 ans</t>
  </si>
  <si>
    <t>BDT du 28/04/1997 9,5% à 5 ans</t>
  </si>
  <si>
    <t>BDT du 28/04/1997 10,25% à 15 ans</t>
  </si>
  <si>
    <t>BDT DU 220310 52 SEM 3.65%</t>
  </si>
  <si>
    <t>BDT du 05/05/1997 9,5% à 5 ans</t>
  </si>
  <si>
    <t>BDT du 05/05/1997 10% à 10 ans</t>
  </si>
  <si>
    <t>BDT du 23/12/1996 10,5% à 15 ans</t>
  </si>
  <si>
    <t>BDT du 30/12/1996 10% à 5 ans</t>
  </si>
  <si>
    <t>BDT du 30/12/1996 10,25% à 10 ans</t>
  </si>
  <si>
    <t>BDT du 30/12/1996 10,5% à 15 ans</t>
  </si>
  <si>
    <t>BDT du 06/01/1997 10% à 5 ans</t>
  </si>
  <si>
    <t>BDT du 13/01/1997 10% à 5 ans</t>
  </si>
  <si>
    <t>OBL CIH du 30/06/1997 10,5% à 15 ans bons de 150000 Dhs</t>
  </si>
  <si>
    <t>OBL FEC du 30/07/1993 12,75% à 10 ans bons de 150000 Dhs</t>
  </si>
  <si>
    <t>OBL FEC du 10/09/1993 12,75% à 10 ans bons de 150000 Dhs</t>
  </si>
  <si>
    <t>BDT du 16/06/2003 4,80% 5 ans 100000 Dhs</t>
  </si>
  <si>
    <t>CD CDM DU 03/02/2009 1 ANS à 4.2%</t>
  </si>
  <si>
    <t>OBL FEC du 05/08/1994 10,5% à 7 ans bons de 140000 Dhs</t>
  </si>
  <si>
    <t>BT ONA 3,40% 90 jours 100000</t>
  </si>
  <si>
    <t>OBL FEC du 16/09/1994 10,5% à 7 ans bons de 140000 Dhs</t>
  </si>
  <si>
    <t>CD BNDE du 01/07/1999 7,75%</t>
  </si>
  <si>
    <t>CD BNDE du 02/07/1999 7,75%</t>
  </si>
  <si>
    <t>CD BNDE du 05/07/1999 7,75%</t>
  </si>
  <si>
    <t>OBL BCM 7 ans du 27/02/2007 coté</t>
  </si>
  <si>
    <t>BT SNI DU 21/12/2009 52 SEMAINES 3.95%</t>
  </si>
  <si>
    <t xml:space="preserve">CD CDM DU 29/05/2008 52 SEM 3.95% </t>
  </si>
  <si>
    <t>BDT du 08/07/1996 10,5% à 15 ans</t>
  </si>
  <si>
    <t>BDT du 23/08/2012 à 3.48% 43 Jours</t>
  </si>
  <si>
    <t xml:space="preserve">BDT du 13/08/2012 à 3.40% 13 SEM </t>
  </si>
  <si>
    <t xml:space="preserve">BDT du 16/09/2012 à 3.65% 52 SEM </t>
  </si>
  <si>
    <t>CD BNDE 26/03/2001 6,10% à 1 an</t>
  </si>
  <si>
    <t>BSF WAFASALAF du 14/11/2011 à 4.30% 2ans</t>
  </si>
  <si>
    <t>CD BMCE du 14/11/2011 52 SEM à 3.96%</t>
  </si>
  <si>
    <t>BSF WAFABAIL du 16/11/2011 5 ans à 4.75%</t>
  </si>
  <si>
    <t>CODE</t>
  </si>
  <si>
    <t xml:space="preserve">BDT du 19/09/2011 2 ans à 3.50% </t>
  </si>
  <si>
    <t xml:space="preserve">BDT DU 17/10/2011 à 3.60% 2 ans </t>
  </si>
  <si>
    <t>BDT du 02/11/2011 à 3.32% 33 jours</t>
  </si>
  <si>
    <t>BDT du 02/11/2011 à 3.34% 33 JOURS</t>
  </si>
  <si>
    <t>BDT du 21/11/2011 à 3.70% 2 ans</t>
  </si>
  <si>
    <t>s</t>
  </si>
  <si>
    <t>CD ATW du 22/11/2011 à 4.30% 2 ans</t>
  </si>
  <si>
    <t>BT CAPEP du 22/11/2011 à 4.60% 26 SEM</t>
  </si>
  <si>
    <t>ECAPEP</t>
  </si>
  <si>
    <t>CD BNDE 05/04/2001 6,15% à 1 an</t>
  </si>
  <si>
    <t>BSF WAFASALAF du 23/01/2012 à 4.36% 2 ANS</t>
  </si>
  <si>
    <t>BSF WAFABAIL du 05/01/1998 9,25%</t>
  </si>
  <si>
    <t>BDT du 03/11/1994 11% à 15 ans</t>
  </si>
  <si>
    <t>BDT du 17/11/1994 11% à 15 ans</t>
  </si>
  <si>
    <t>BDT du 22/12/1994 10,5% à 15 ans</t>
  </si>
  <si>
    <t>BDT du 16/3/2004 5A à 4.6% 100000</t>
  </si>
  <si>
    <t>OBL CIH du 18/11/1993 12,75% à 15 ans bons de 200000 Dhs</t>
  </si>
  <si>
    <t>BDT du 15/09/2008 3.55 % à 52 SEM</t>
  </si>
  <si>
    <t>BDT du 02/06/1997 10,25% à 15 ans</t>
  </si>
  <si>
    <t>BDT du 30/06/1997 9% à 5 ans</t>
  </si>
  <si>
    <t>BDT du 30/06/1997 9,5% à 10 ans</t>
  </si>
  <si>
    <t>BDT du 07/07/1997 9,5% à 10 ans</t>
  </si>
  <si>
    <t>CD BMCE du 17/12/2012 à 4.35% 52 SEM</t>
  </si>
  <si>
    <t>BT NEXANS 4,15% 52 SEM 25/07/2008</t>
  </si>
  <si>
    <t>BDT du 07/07/1997 9,75% à 15 ans</t>
  </si>
  <si>
    <t>BDT du 28/07/1997 9% à 5 ans</t>
  </si>
  <si>
    <t>BDT du 28/07/1997 9,5% à 10 ans</t>
  </si>
  <si>
    <t>CD SG du 26/02/2014 à 3.74% 8 MOIS</t>
  </si>
  <si>
    <t>CD BMCE du 07/12/2012 à 4.95% 820 JOURS</t>
  </si>
  <si>
    <t>BDT du 25/02/2013 à 4.10%  26 SEM</t>
  </si>
  <si>
    <t xml:space="preserve">BDT du 04/02/2013 à 3.90% 13 SEM </t>
  </si>
  <si>
    <t>OBL FEC du 15/11/1995 10% à 7 ans bons de 100000 Dhs</t>
  </si>
  <si>
    <t>OBL FEC du 20/12/1995 10% à 7 ans bons de 100000 Dhs</t>
  </si>
  <si>
    <t>CD SGMB DU 21/05/2009 52 SEMAINES 3.85%</t>
  </si>
  <si>
    <t>OBL CIMENT DE L'ATLAS DU 06072012  5 ANS 4.78%</t>
  </si>
  <si>
    <t>OBLIG ATW du 29/12/2009 T% FIXE 4.76%</t>
  </si>
  <si>
    <t>CD CDM DU 30/12/2009 3.70% 13 SEM</t>
  </si>
  <si>
    <t>BDT du 11/02/1997 10% à 5 ans</t>
  </si>
  <si>
    <t>BDT du 03/12/2012 à 4.05% 45 JOURS</t>
  </si>
  <si>
    <t>BDT du 19/08/2013 à 3.80% 26 SEM</t>
  </si>
  <si>
    <t>EN du 02/04/1998 8% à 5 ans bons de 5000 Dhs</t>
  </si>
  <si>
    <t>EN du 02/04/1998 8% à 5 ans bons de 50000 Dhs</t>
  </si>
  <si>
    <t>EN du 30/12/1998 7,25% à 3 ans bons de 5000 Dhs</t>
  </si>
  <si>
    <t>CD BMCE du 11/06/2013 à 4.25% 13 SEM</t>
  </si>
  <si>
    <t>BDT DU 20/05/2013 ATYP 03/11/2013 à 4.40% 2 ANS</t>
  </si>
  <si>
    <t>BDT du 29/10/1996 10% à 5 ans</t>
  </si>
  <si>
    <t>BDT du 04/11/1996 10% à 5 ans</t>
  </si>
  <si>
    <t>BDT du 04/11/1996 10,5% à 15 ans</t>
  </si>
  <si>
    <t>OBL CIH du 25/08/1994 11% à 15 ans bons de 150000 Dhs</t>
  </si>
  <si>
    <t>OBL CIH du 01/12/1994 11% à 15 ans bons de 150000 Dhs</t>
  </si>
  <si>
    <t>OBL CIH du 30/12/1994 11% à 15 ans bons de 150000 Dhs</t>
  </si>
  <si>
    <t>BSF FNAC du 16/07/1998 8,45%</t>
  </si>
  <si>
    <t>CD BMCI 26 SEM DU 02/10/2007 3.70%</t>
  </si>
  <si>
    <t>BDT du 03/10/2005 20A à 5.95% 100000</t>
  </si>
  <si>
    <t>BDT du 11/08/1997 9% à 5 ans</t>
  </si>
  <si>
    <t>CD BMCI 26 SEM 3.65% DU 20/09/2007</t>
  </si>
  <si>
    <t>BDT du 11/03/2013 à 4.10% 26 SEM</t>
  </si>
  <si>
    <t xml:space="preserve">CD SGMB du 21/04/2008 4,70% a 7 ans </t>
  </si>
  <si>
    <t xml:space="preserve">CD BCP du 15/04/2013 à 4.55% 52 SEM </t>
  </si>
  <si>
    <t>BSF EQDOM 5 ANS DU 07/07/2009 4.57%</t>
  </si>
  <si>
    <t>BDT du 17/02/1994 11,25% à 10 ans</t>
  </si>
  <si>
    <t xml:space="preserve">CD BMCI du 29/03/2010 4,15% a 18 mois </t>
  </si>
  <si>
    <t>OBL TASLIF du 28/09/1998 8% à 3 ans bons de 10000 Dhs</t>
  </si>
  <si>
    <t>OBL CIH du 31/08/1992 12,75% à 15 ans bons de 150000 Dhs</t>
  </si>
  <si>
    <t>BDT du 15/07/2002 3,17% à 26 semaines 100000 Dhs</t>
  </si>
  <si>
    <t>BT ONA 3% 6M 100000</t>
  </si>
  <si>
    <t>BDT du 16/05/2005 5A à 3.95% 100000</t>
  </si>
  <si>
    <t>OBL FEC du 29/03/1996 10% à 7 ans bons de 100000 Dhs</t>
  </si>
  <si>
    <t>BDT du 24/03/1997 9,5% à 5 ans</t>
  </si>
  <si>
    <t>BDT du 24/03/1997 10,25% à 10 ans</t>
  </si>
  <si>
    <t>BDT du 25/11/1996 10,5% à 15 ans</t>
  </si>
  <si>
    <t>BDT du 02/12/1996 10,25% à 10 ans</t>
  </si>
  <si>
    <t>BDT du 02/12/1996 10,5% à 15 ans</t>
  </si>
  <si>
    <t>BDT du 09/12/1996 10,5% à 15 ans</t>
  </si>
  <si>
    <t>BDT du 16/12/1996 10% à 5 ans</t>
  </si>
  <si>
    <t>CD SGMB du 02/03/2010 14 mois 4.22%</t>
  </si>
  <si>
    <t>BDT du 02/06/1997 10% à 10 ans</t>
  </si>
  <si>
    <t>CD FEC du 02/02/2012 à 4.31% Taux Révisable 7 ans</t>
  </si>
  <si>
    <t>BDT du 06/05/2013 à 4.12% 26 SEM</t>
  </si>
  <si>
    <t>OBL CIH du 22/07/1993 12,75% à 15 ans bons de 150000 Dhs</t>
  </si>
  <si>
    <t>BSF  WAFASALAF du 30/06/2004 4.8% à 4 ans</t>
  </si>
  <si>
    <t>OBL CIH du 02/09/1993 12,75% à 15 ans bons de 200000 Dhs</t>
  </si>
  <si>
    <t>BDT du 09/09/2002 3,04% 26 semaines 100000 Dhs</t>
  </si>
  <si>
    <t>BDT DU 09/04/2012 2ANS 3.75%</t>
  </si>
  <si>
    <t>OBL CIH du 30/09/1993 12,75% à 15 ans bons de 200000 Dhs</t>
  </si>
  <si>
    <t>OBL CIH du 29/10/1993 12,75% à 15 ans bons de 150000 Dhs</t>
  </si>
  <si>
    <t>BDT du 3/2/2004 15A à 5.85% 100000</t>
  </si>
  <si>
    <t>CD BMCE du 09/09/2009 à 3.75% 2 ans</t>
  </si>
  <si>
    <t>OBL CIH du 28/09/1992 12,75% à 15 ans bons de 150000 Dhs</t>
  </si>
  <si>
    <t>OBL CIH du 29/10/1992 12,75% à 15 ans bons de 150000 Dhs</t>
  </si>
  <si>
    <t>CD SGMB du 02/03/2010 16 mois 4.27%</t>
  </si>
  <si>
    <t>CD SGMB du 02/03/2010 2 ANS 4.35%</t>
  </si>
  <si>
    <t>CD SGMB  2 ans du 28/11/2014 à 3.27</t>
  </si>
  <si>
    <t>BSF WAFASALAF du 01/07/2011 à 4.17% 2 ans</t>
  </si>
  <si>
    <t>EWAF_SAL</t>
  </si>
  <si>
    <t xml:space="preserve">CD SGMB 26 SEM du 16/12/2008 4.30 % </t>
  </si>
  <si>
    <t>BDT du 25/06/2001 4,69% à 26 semaines</t>
  </si>
  <si>
    <t>BDT du 26/02/2007 jouiss 05/05/2007 52 sem 2.90%</t>
  </si>
  <si>
    <t>BDT du 02/07/2001 4,50% à 13 semaines</t>
  </si>
  <si>
    <t>BDT du 02/07/2001 4,63% à 26 semaines</t>
  </si>
  <si>
    <t>BDT du 16/03/1995 10,5% à 15 ans</t>
  </si>
  <si>
    <t>BDT du 23/03/1995 10,5% à 15 ans</t>
  </si>
  <si>
    <t>BDT du 03/04/1995 10,5% à 15 ans</t>
  </si>
  <si>
    <t>BDT du 17/04/1995 10,5% à 15 ans</t>
  </si>
  <si>
    <t>BSF WAFASALAF du 31/07/2009 à 4.20%  2 ANS</t>
  </si>
  <si>
    <t>CD BMCE DU 10/09/2008 4.10% 52 SEM</t>
  </si>
  <si>
    <t>BDT du 19/08/2002 6,40% 10 ans 100000 Dhs</t>
  </si>
  <si>
    <t>BDT du 01/07/2002 4,45% 2 ans 100000 Dhs</t>
  </si>
  <si>
    <t>CD BMCI du 27/04/2011 à 3.75% 232 JOURS</t>
  </si>
  <si>
    <t>BDT du 11/11/1996 10,5% à 15 ans</t>
  </si>
  <si>
    <t>BDT du 19/11/1996 10,25% à 10 ans</t>
  </si>
  <si>
    <t>BDT du 19/11/1996 10,5% à 15 ans</t>
  </si>
  <si>
    <t xml:space="preserve">CD ATW du 16/04/2014 à 3.48% 26 SEM </t>
  </si>
  <si>
    <t>CD ATW du 16/04/2014 13 SEM à 3.35%</t>
  </si>
  <si>
    <t>BDT du 29/01/2001 5,80 % à 52 semaines</t>
  </si>
  <si>
    <t>BDT du 05/02/2001 5,80 % à 52 semaines</t>
  </si>
  <si>
    <t>CD BMCE du 04/01/2010 3.70% 3 mois et 10J</t>
  </si>
  <si>
    <t>BDT du 28/02/2005 15A à 5.5% 100000</t>
  </si>
  <si>
    <t>BDT du 05/02/2001 6,00 % à 2 ans</t>
  </si>
  <si>
    <t>ONDA</t>
  </si>
  <si>
    <t>OBLIG ATW</t>
  </si>
  <si>
    <t>BDT du 19/02/2001 6,30 % à 5 ans</t>
  </si>
  <si>
    <t>BDT du 26/02/2001 5,80 % à 26 semaines</t>
  </si>
  <si>
    <t>CD SG du 15/02/2012 à 4.30% 2 ANS</t>
  </si>
  <si>
    <t>BDT du 12/01/2012 à 3.36% 39 JOURS</t>
  </si>
  <si>
    <t>CD SGMB du 28/05/2010 à 4.00% 18 mois</t>
  </si>
  <si>
    <t>BSF WAFABAIL du 18/08/2011 3 ans à 4.30%</t>
  </si>
  <si>
    <t>BSF WAFABAIL du 19/08/2011 à 4.16% 2 ans</t>
  </si>
  <si>
    <t>CD ATW 52 SEMAINES 4.15% DU 15/12/2010</t>
  </si>
  <si>
    <t>BDT du 11/03/2013 13 sem à 3.95%</t>
  </si>
  <si>
    <t>Emp du 28/06/93  au 28/06/08 à 12.75%</t>
  </si>
  <si>
    <t>Emp du 23/09/91  au 23/09/06 à 11.50%</t>
  </si>
  <si>
    <t>date</t>
  </si>
  <si>
    <t>Amortissement</t>
  </si>
  <si>
    <t>BDT du 25/06/2001 4,57% à 13 semaines</t>
  </si>
  <si>
    <t>OBLIG SNI du 20/12/2010 à T% Révisable 3 ans</t>
  </si>
  <si>
    <t>CD BMCI du 22/04/2011 à 4.30% 5 ans</t>
  </si>
  <si>
    <t>CD BMCE DU 29/01/2015 26SEM à 2.75%</t>
  </si>
  <si>
    <t>BDT DU 01/06/2015 26SEM à 2.52%</t>
  </si>
  <si>
    <t xml:space="preserve">CD BMCI du 08/06/2015 à 2.75%  52 SEM </t>
  </si>
  <si>
    <t>CD FEC du 09/06/2015 à 2.60% 59 Jours</t>
  </si>
  <si>
    <t>OBL ADM du 10/06/2015 à 4.80% 20 ans</t>
  </si>
  <si>
    <t>BDT DU N04/05/2015 à 2.6% 26SEM</t>
  </si>
  <si>
    <t>BDT DU 15/06/2015 26 SEM à 2.5%</t>
  </si>
  <si>
    <t>OBL BMCE DU 16/06/2015 3.69% 10ANS</t>
  </si>
  <si>
    <t>BDT DU 31/03/2014 à 5.85% 20 ans</t>
  </si>
  <si>
    <t>20 ans</t>
  </si>
  <si>
    <t>5 ans</t>
  </si>
  <si>
    <t>BSF WAFASALAF du 04/10/1999 6,5%</t>
  </si>
  <si>
    <t>BSF CREDOR du 17/11/1999 6,2%</t>
  </si>
  <si>
    <t>BSF CREDOR du 17/11/1999 6,4%</t>
  </si>
  <si>
    <t>BSF SOREC CRED du 15/10/1999 8%</t>
  </si>
  <si>
    <t>BT SNI 3,85 1 MOIS 15/09/2008</t>
  </si>
  <si>
    <t>BDT du 17/11/1997 9% à 10 ans</t>
  </si>
  <si>
    <t>BDT du 17/11/1997 9,5% à 15 ans</t>
  </si>
  <si>
    <t>BDT du 24/11/1997 8,5% à 5 ans</t>
  </si>
  <si>
    <t>BDT du 24/11/1997 9% à 10 ans</t>
  </si>
  <si>
    <t>BDT du 24/11/1997 9,5% à 15 ans</t>
  </si>
  <si>
    <t>CD ATW du 27/11/2009 3.45% 46 J</t>
  </si>
  <si>
    <t>BDT du 01/12/1997 8,5% à 5 ans</t>
  </si>
  <si>
    <t>BDT DU 15/02/2010 3.90% 5 ANS</t>
  </si>
  <si>
    <t xml:space="preserve">OBL ATW du 27/05/2013 Révisable 5 ans </t>
  </si>
  <si>
    <t>BSF  SALAFIN du 06/06/2003 4,62% à 3 ans</t>
  </si>
  <si>
    <t>BSF WAFASALAF du 17/08/2000 7% à 3 ans</t>
  </si>
  <si>
    <t>CD FEC DU 03/02/2009 1 ANS à 4.2%</t>
  </si>
  <si>
    <t>BSF WAFASALAF du 21/08/2000 7% à 3 ans</t>
  </si>
  <si>
    <t>CD SG du 12/03/2014 à 4.08% 18 MOIS</t>
  </si>
  <si>
    <t>CD SG du 12/03/2014 à 4.14% 20 MOIS</t>
  </si>
  <si>
    <t>CD SG du 12/03/2014 à 4.20% 22 MOIS</t>
  </si>
  <si>
    <t>OBL SGMB du 20/12/2012 à 10 ans à 5.98%</t>
  </si>
  <si>
    <t xml:space="preserve">OBL BCP DU 17/12/2014 à 3.55% 7ans </t>
  </si>
  <si>
    <t>CD ATW DU 18/12/2014 13SEM à 2.95%</t>
  </si>
  <si>
    <t>CD ATW DU 18/12/2014 52SEM à 3.10%</t>
  </si>
  <si>
    <t>CD BMCI DU 10/10/2014 26SEM à 3.10</t>
  </si>
  <si>
    <t>CD BMCI DU 30/10/2014 18MOIS à 3.10</t>
  </si>
  <si>
    <t>CD BMCI DU 23/10/2014 26SEM à 3.10</t>
  </si>
  <si>
    <t>OBL ATW du 22/12/2014 à 4.75% 10 ans</t>
  </si>
  <si>
    <t>CD FEC du 24/12/2014 à 3.12% 5 ANS Révisable</t>
  </si>
  <si>
    <t>OBL STL 03/08/2004 5.46% à 7 ans bons de 100000 DHs</t>
  </si>
  <si>
    <t>BT SNI 52 SEM à 3.25% 100000</t>
  </si>
  <si>
    <t>CD FEC du 31/10/2011 à 3.69% 56 jours</t>
  </si>
  <si>
    <t xml:space="preserve">BDT du 09/01/2012 à 3.75% 2 ANS </t>
  </si>
  <si>
    <t>BDT du 17/01/2006 5ans à 3,95% 100000</t>
  </si>
  <si>
    <t>BDT du 11/12/2000 6,70 % à 10 ans</t>
  </si>
  <si>
    <t>BDT du 25/12/2000 5,80 % à 52 semaines</t>
  </si>
  <si>
    <t>26 semaines</t>
  </si>
  <si>
    <t>Ammortissement</t>
  </si>
  <si>
    <t>52semaines</t>
  </si>
  <si>
    <t>Capital restant</t>
  </si>
  <si>
    <t>Intérêts</t>
  </si>
  <si>
    <t>Flux</t>
  </si>
  <si>
    <t>Flux restant</t>
  </si>
  <si>
    <t>durée</t>
  </si>
  <si>
    <t>Taux ZC</t>
  </si>
  <si>
    <t>OBL MAGHREB OXYGENE 16/9/2005 5A à 4.92% 100000</t>
  </si>
  <si>
    <t>BT MAGHREB STEEL 3.3% 6M 100000</t>
  </si>
  <si>
    <t>Prime</t>
  </si>
  <si>
    <t>Taux d'actualisation</t>
  </si>
  <si>
    <t>BDT du 14/10/2002 6,90% 15 ans 100000 Dhs</t>
  </si>
  <si>
    <t>Duration</t>
  </si>
  <si>
    <t>BDT du 15/01/2001 5,80 % à 52 semaines</t>
  </si>
  <si>
    <t>BSF SOGELEASE du 23/03/2001 7,00% à 3 ans</t>
  </si>
  <si>
    <t>BDT du 24/02/1994 11,25% à 10 ans</t>
  </si>
  <si>
    <t>BDT du 21/01/2013 à 3.90% 13 SEM</t>
  </si>
  <si>
    <t>OBL BMCE du 21/01/2013 à 6.18% 10 ans</t>
  </si>
  <si>
    <t>CD BMCI  du 08/11/2004 à 4.60%  5 ans</t>
  </si>
  <si>
    <t>BDT du 25/06/2001 4,55% à 13 semaines</t>
  </si>
  <si>
    <t>BDT du 25/06/2001 4,58% à 13 semaines</t>
  </si>
  <si>
    <t>BDT du 25/06/2001 4,59% à 13 semaines</t>
  </si>
  <si>
    <t>OBLIG ADDOHA 52 Semaines DU 13/08/2009 4,55%</t>
  </si>
  <si>
    <t>CD BMCE 2 ANS DU 26/10/2010 4.07%</t>
  </si>
  <si>
    <t>BDT du 20/03/2000 6,25% à 15 ans</t>
  </si>
  <si>
    <t>BDT du 17/04/2000 5,5% à 5 ans</t>
  </si>
  <si>
    <t>BDT du 02/05/2000 5,80 % à 2 ans</t>
  </si>
  <si>
    <t>BDT du 15/05/2000 5,75% à 2 ans</t>
  </si>
  <si>
    <t>BDT du 29/12/1997 9% à 10 ans</t>
  </si>
  <si>
    <t>BDT du 29/12/1997 9,5% à 15 ans</t>
  </si>
  <si>
    <t>BDT du 02/02/1998 8,9% à 10 ans</t>
  </si>
  <si>
    <t xml:space="preserve">BDT du 05/11/2012 à 3.40% 13SEM </t>
  </si>
  <si>
    <t>BDT du 22/10/2012 à 3.80% 13 JOURS</t>
  </si>
  <si>
    <t>BSF WAFASALAF du 17/10/2000 7% à 3 ans</t>
  </si>
  <si>
    <t>BSF EQDOM du 31/10/2000 7,30% à 3 ans</t>
  </si>
  <si>
    <t>BSF EQDOM du 31/10/2000 7,70% à 5 ans</t>
  </si>
  <si>
    <t>BDT du 07/09/2015 2ANS à 2,75</t>
  </si>
  <si>
    <t>BSF SOFAC CRED du 05/02/2001 8,32% à 5 ans</t>
  </si>
  <si>
    <t>BSF DIAC SALAF DU 01/03/2001 7,85% à 2 ans</t>
  </si>
  <si>
    <t>CD SOCIETE GENERALE du 14/01/2011 à 4.10% 2 ans</t>
  </si>
  <si>
    <t>SOCIETE GENERALE</t>
  </si>
  <si>
    <t>BSF BMCI LEASING du 23/03/2001 6,45 % à 3 ans</t>
  </si>
  <si>
    <t>BSF BMCI LEASING du 23/03/2001 6,55 % à 4 ans</t>
  </si>
  <si>
    <t>BSF BMCI LEASING du 23/03/2001 6,65 % à 5 ans</t>
  </si>
  <si>
    <t>Total</t>
  </si>
  <si>
    <t>CD BNDE du 08/10/1998 8%</t>
  </si>
  <si>
    <t>OBL BMCE du 26/02/08 4,33% 10 ans (52s+75bp)</t>
  </si>
  <si>
    <t>BT NEXANS 26 SEM à 3.6% 100000</t>
  </si>
  <si>
    <t>BDT du 05/4/2005 52s à 2.70% 100001</t>
  </si>
  <si>
    <t>BDT 15/09/2008 13 SEM</t>
  </si>
  <si>
    <t>BDT du 03/06/02 5,85% 5 ans 100000 Dhs</t>
  </si>
  <si>
    <t>BDT du 22/01/2001 6,05 % à 26 semaines</t>
  </si>
  <si>
    <t>BDT du 06/03/2006 5ans à 3,9% 100000</t>
  </si>
  <si>
    <t>BDT du 5/4/2004 15A à 5.8% 100000</t>
  </si>
  <si>
    <t>BSF MAGHREBAIL du 04/06/2001 6,80% à 2 ans et demi</t>
  </si>
  <si>
    <t>CD SGMB du 21/05/2008 à 4.70% 7 ans</t>
  </si>
  <si>
    <t>BDT du 08/10/2001 4,9% à 26 semaines 100000 DHs</t>
  </si>
  <si>
    <t>BDT du 01/10/01 4,9% à 26 semaines 100000 DHs</t>
  </si>
  <si>
    <t>CD BNDE du 10/05/1999 7,75%</t>
  </si>
  <si>
    <t>CD BNDE du 11/05/1999 7,4%</t>
  </si>
  <si>
    <t>CD BNDE du 29/08/2000  7% à 1 an</t>
  </si>
  <si>
    <t>CD BMCE du 16/09/2013 26 sem à 4.10%</t>
  </si>
  <si>
    <t>BDT du 03/07/2000 5,85% à 2 ans</t>
  </si>
  <si>
    <t>BDT du 03/07/2000 6,25% à 10 ans</t>
  </si>
  <si>
    <t>BDT du 10/07/2000 5,88% à 2 ans</t>
  </si>
  <si>
    <t>BT ONA 2.85% 3M 100000</t>
  </si>
  <si>
    <t>CD BMCE du 23/10/2013 à 4.10% 26 SEM</t>
  </si>
  <si>
    <t>CD CDM du 03/02/2010 Révisable 4 ans</t>
  </si>
  <si>
    <t>BDT du 11072011 3 60 a 2 ans</t>
  </si>
  <si>
    <t>OBL BNDE du 02/11/1999 6,25% à 5 ans bons de 10000 Dhs</t>
  </si>
  <si>
    <t>BDT du 06/03/15 à 2.60% 2 ans ATYP 02/02/15</t>
  </si>
  <si>
    <t>CD BMCE du 04/02/2015 à 2.85% 52 SEM</t>
  </si>
  <si>
    <t>BDT DU 19/01/2015 26SEM à 2.49%</t>
  </si>
  <si>
    <t>BDT DU 12/01/2015 13SEM à 2.49%</t>
  </si>
  <si>
    <t>OBLIG SNI "A" du 31/12/2008 à 5.20% 5 ans</t>
  </si>
  <si>
    <t>BDT du 12/11/2012 à 3.42 13 SEM</t>
  </si>
  <si>
    <t>CD BMCE du 28/12/2012 à 3.90% 62 JOURS</t>
  </si>
  <si>
    <t>J</t>
  </si>
  <si>
    <t>BDT du 15/09/1997 9,5% à 10 ans</t>
  </si>
  <si>
    <t>BDT du 15/09/1997 9,75% à 15 ans</t>
  </si>
  <si>
    <t>OBLIG WAFASALAF du 31/12/2008 5.20% NON COTE</t>
  </si>
  <si>
    <t>CD BMCE DU 13/05/2014 2 ANS à 3.90%</t>
  </si>
  <si>
    <t>CD SGMB 4.25% DU 27/05/2008 2 ANS</t>
  </si>
  <si>
    <t>CD FEC sur 5ans T% Révisable du 24/03/2010</t>
  </si>
  <si>
    <t>BSF EQDOM du 18/06/2001 TR à 3 ans</t>
  </si>
  <si>
    <t>OBLIG ADM  à 4.97% 20 ans  du 26/04/2010</t>
  </si>
  <si>
    <t>BSF WAFABAIL du 20/03/2015 à 4 % 5 ans</t>
  </si>
  <si>
    <t>BDT DU 15/07/2013 26 SEMAINES 3.90%</t>
  </si>
  <si>
    <t>BDT du 22/07/2013 à 3.90% 26 SEM</t>
  </si>
  <si>
    <t>BSF ACRED 3 ANS du 12052009 3ans 4.75%</t>
  </si>
  <si>
    <t>Emp du 04/12/92  au 04/12/07 à 12.75%</t>
  </si>
  <si>
    <t>BDT du 01/04/02 5,10% 2 ans 100000 Dhs</t>
  </si>
  <si>
    <t>Emp du 26/04/93  au 26/04/08 à 12.75%</t>
  </si>
  <si>
    <t>Emp du 28/05/93  au 28/05/08 à 12.75%</t>
  </si>
  <si>
    <t>Emp du 30/09/93  au 30/09/08 à 12.75%</t>
  </si>
  <si>
    <t>Emp du 29/10/93  au 29/10/08 à 12.75%</t>
  </si>
  <si>
    <t>Emp du 24/12/93  au 24/12/08 à 12.75%</t>
  </si>
  <si>
    <t>Emp du 18/11/93  au 18/11/08 à 12.75%</t>
  </si>
  <si>
    <t>BSF WAFABAIL du 09/07/2010 à 4.55% 4 ans</t>
  </si>
  <si>
    <t>BSF WAFABAIL du 09/07/2010 à 4.65% 5 ans</t>
  </si>
  <si>
    <t>BDT du 12/11/2012 à 3.80%  35 JOURS</t>
  </si>
  <si>
    <t>BDT du 12/11/2012 à 3.75%  35 Jours</t>
  </si>
  <si>
    <t>CD BMCE du 09/03/2015 26 SEM à 2.75%</t>
  </si>
  <si>
    <t>BDT DU 09/03/2015 13 SEM à 2.55%</t>
  </si>
  <si>
    <t>BDT DU 09/03/2015 13 SEM à 2.52%</t>
  </si>
  <si>
    <t>BDT du 29/04/02 4% à 52 semaines 100000 Dhs</t>
  </si>
  <si>
    <t>BSF WAFASALAF du 11/02/2000 6,5%</t>
  </si>
  <si>
    <t>BSF WAFASALAF du 24/02/2000 6,75%</t>
  </si>
  <si>
    <t>BSF EQDOM* du 13/03/2000 6,65%</t>
  </si>
  <si>
    <t>BSF WAFASALAF du 21/03/2000 6,4%</t>
  </si>
  <si>
    <t>BT ONA 3.1% 12M 100000</t>
  </si>
  <si>
    <t>BDT du 06/01/2003 4.85% 5 ans 100000 Dhs</t>
  </si>
  <si>
    <t>CD BMCI 2 ANS 4.25% DU 28/05/2008 AU 02/06/2010</t>
  </si>
  <si>
    <t>CD SG du 24/12/2012 à 4.20% 52 SEM</t>
  </si>
  <si>
    <t xml:space="preserve">BDT du 02/06/2003 5,80% à 10 ans </t>
  </si>
  <si>
    <t xml:space="preserve">BDT du 16/06/2003 6,20% à 15 ans </t>
  </si>
  <si>
    <t xml:space="preserve">Obl FEC du 17/03/2003 TR à 5 ans </t>
  </si>
  <si>
    <t xml:space="preserve">BDT du 06/10/2003 4.35% à 5 ans </t>
  </si>
  <si>
    <t>BSF BMCI LEASI du 06/12/1999 6,4%</t>
  </si>
  <si>
    <t>BSF BMCI LEASI du 06/12/1999 6,45%</t>
  </si>
  <si>
    <t>P1</t>
  </si>
  <si>
    <t>CRD Début</t>
  </si>
  <si>
    <t>CD ATW 52 SEMAINES 390%DU 04/06/2012</t>
  </si>
  <si>
    <t>CD CREDIT AGRICOLE DU 12/08/2013 5 ANS 5.64%</t>
  </si>
  <si>
    <t>BDT du 12/12/2005 2A à 3.25% 100000</t>
  </si>
  <si>
    <t>CD BMCI 52 SEM DU 20/09/2007 3.80%</t>
  </si>
  <si>
    <t>TCN BMCI du 29/04/2008 2ans à 4.20%</t>
  </si>
  <si>
    <t>TCN CDM DU 08/05/2008 2ANS 4.20%</t>
  </si>
  <si>
    <t>OBL BNDE du 12/12/1994 10,5% à 7 ans bons de 100000 Dhs</t>
  </si>
  <si>
    <t>BDT DU 14/01/2013 à 4.10 % 26 SEM</t>
  </si>
  <si>
    <t>BDT du 05/05/1997 10,25% à 15 ans</t>
  </si>
  <si>
    <t>BDT du 12/05/1997 9,5% à 5 ans</t>
  </si>
  <si>
    <t xml:space="preserve">CD </t>
  </si>
  <si>
    <t>BMCE</t>
  </si>
  <si>
    <t>ATTIJARI</t>
  </si>
  <si>
    <t xml:space="preserve">OBLIG </t>
  </si>
  <si>
    <t>CD SGMB 4,25% du 23/05/2008 2 ans</t>
  </si>
  <si>
    <t>OBL SGMB du 23/03/2009 à 5.60% 10 ANS</t>
  </si>
  <si>
    <t>ESOG_LEA</t>
  </si>
  <si>
    <t>Emp du 22/03/93  au 22/03/08 à 12.75%</t>
  </si>
  <si>
    <t>Echéancier Prévisionnel des Parts P2</t>
  </si>
  <si>
    <t>BDT 52 SEMAINES DU 11/02/2010 3.55</t>
  </si>
  <si>
    <t>CD ATW DU 31/03/2010 4.35% 2 ANS</t>
  </si>
  <si>
    <t>Trimestre</t>
  </si>
  <si>
    <t>P2</t>
  </si>
  <si>
    <t>BDT DU 14/10/2014 JOUIS 14/03/2014 2ANS 4.45%</t>
  </si>
  <si>
    <t>BDT du 15/09/1997 9% à 5 ans</t>
  </si>
  <si>
    <t>BDT du 17/10/2005 15A à 5.35% 100000</t>
  </si>
  <si>
    <t>CD ATW du 04/05/2009 à 4.05%</t>
  </si>
  <si>
    <t>OBL LOCASOM du 13/06/2002 7,50% à 3 ans bons de 100 000 Dh</t>
  </si>
  <si>
    <t>CD CREDIT AGRICOLE DU 01/12/2011 4.90% 7 ANS</t>
  </si>
  <si>
    <t>Echéancier prévisionnel des Parts P1</t>
  </si>
  <si>
    <t>BDT du 02/01/2007 2 ans 2.90%</t>
  </si>
  <si>
    <t xml:space="preserve">CD CIH du 10/02/2012 à 4.36% 2 ans </t>
  </si>
  <si>
    <t>ECIH</t>
  </si>
  <si>
    <t>10 ans</t>
  </si>
  <si>
    <t>15 ans</t>
  </si>
  <si>
    <t>BDT du 10/06/2013 à 4.08% 26 SEM</t>
  </si>
  <si>
    <t>BDT du 10/06/2013 à 4.09% 26 SEM</t>
  </si>
  <si>
    <t>BDT du 13/10/1997 9,5% à 10 ans</t>
  </si>
  <si>
    <t>CD CDM du 30/06/2011 à 4.07% 2 ANS</t>
  </si>
  <si>
    <t xml:space="preserve">OBLIG ATW du 30/06/2011 7 ANS Révisable sur 52 SEM </t>
  </si>
  <si>
    <t>EATWB</t>
  </si>
  <si>
    <t>BDT du 01/09/1997 9,5% à 10 ans</t>
  </si>
  <si>
    <t>OBL ODEP du 2/3/2004 5A à 5.2% 100000</t>
  </si>
  <si>
    <t>ODEP</t>
  </si>
  <si>
    <t>BDT du 08/09/1997 9% à 5 ans</t>
  </si>
  <si>
    <t>BDT du 08/09/1997 9,5% à 10 ans</t>
  </si>
  <si>
    <t>BDT du 14/11/2005 15A à 5.3% 100000</t>
  </si>
  <si>
    <t>BDT du 08/09/1997 9,75% à 15 ans</t>
  </si>
  <si>
    <t>BDT du 28/02/2005 20A à 6% 100000</t>
  </si>
  <si>
    <t>BSF DIAC-LEASING du 03/05/2000 7,35%</t>
  </si>
  <si>
    <t>BSF DIAC-LEASING du 03/05/2000 7,50%</t>
  </si>
  <si>
    <t>BSF DIAC-LEASING du 05/05/2000 à 7,20%</t>
  </si>
  <si>
    <t>CD CDM du 29/07/2010 à 3.80% 96 jours</t>
  </si>
  <si>
    <t>BSF DIAC-LEASING du 15/05/2000 à 7,35%</t>
  </si>
  <si>
    <t>BSF WAFASALAF du 09/09/2000 7% à 3 ans</t>
  </si>
  <si>
    <t>BDT du 01/12/1997 9% à 10 ans</t>
  </si>
  <si>
    <t>BT MAGHREB STEEL 52SEM à 3.75% 100000</t>
  </si>
  <si>
    <t>BT MAGHREB STEEL 26SEM à 3.3% 100000</t>
  </si>
  <si>
    <t>CD CDM du 30/03/2010 à 4.25% 3 ans</t>
  </si>
  <si>
    <t>BSF CREDOR du 20/09/02 5,71% 2 ans</t>
  </si>
  <si>
    <t>BDT du 21/10/2002 2,90% à 52 semaines</t>
  </si>
  <si>
    <t>BT MAGHREB STEEL 3,55% 3 mois</t>
  </si>
  <si>
    <t>BSF WAFABAIL du 09/07/2010 à 4.44% 3 ans</t>
  </si>
  <si>
    <t>ECREDITAGRICOLE</t>
  </si>
  <si>
    <t>BSF ACRED* du 22/03/2000 6,7%</t>
  </si>
  <si>
    <t>BDT DU 09/03/2009 3.80% 52 S</t>
  </si>
  <si>
    <t>BSF WAFA IMMOB du 30/12/1997 9,2%</t>
  </si>
  <si>
    <t>BSF WAFABAIL du 31/12/1997 9,25%</t>
  </si>
  <si>
    <t>BSF WAFABAIL du 02/01/1998 9,25%</t>
  </si>
  <si>
    <t>BT du 12/02/2007 1 mois à 3.10% 100000</t>
  </si>
  <si>
    <t xml:space="preserve">Obl BMCI du 01/09/2000 4,25% à 7 ans </t>
  </si>
  <si>
    <t>Obligation ordinaire</t>
  </si>
  <si>
    <t>BDT du 26/05/1997 10% à 10 ans</t>
  </si>
  <si>
    <t>BDT du 13/02/2006 52S à 3.05% 100000</t>
  </si>
  <si>
    <t>BDT du 26/05/1997 10,25% à 15 ans</t>
  </si>
  <si>
    <t>BSF WAFASALAF du 09/07/2004 4,25% à 3 ans</t>
  </si>
  <si>
    <t>BSF WAFASALAF du 16/07/2004 4,50% à 3 ans</t>
  </si>
  <si>
    <t>CD BMCI  du 19/07/2007 à 3,8%  52 sem</t>
  </si>
  <si>
    <t>BSF WAFASALAF du 25/02/2005 4,65 % à 4 ans</t>
  </si>
  <si>
    <t>CD FEC du 15/07/2003 5,80 % à 7 ans</t>
  </si>
  <si>
    <t>BSF WAFABAIL du 30/10/2002 5,90% à 4 ans</t>
  </si>
  <si>
    <t>BSF  ACRED du 06/06/2002 6,70 % à 3 ans</t>
  </si>
  <si>
    <t>FPCT</t>
  </si>
  <si>
    <t>FPCT CREDILOG I P1</t>
  </si>
  <si>
    <t>T</t>
  </si>
  <si>
    <t>FPCT CREDILOG I P2</t>
  </si>
  <si>
    <t>FPCT CREDILOG II P1</t>
  </si>
  <si>
    <t>FPCT CREDILOG II P2</t>
  </si>
  <si>
    <t xml:space="preserve">CD BMCI du 17/11/2006 à 3.80% </t>
  </si>
  <si>
    <t>BSF CDM LEASING du 22/05/2003 6,09% à 3 ans</t>
  </si>
  <si>
    <t>Emprunt Maroc</t>
  </si>
  <si>
    <t>OBL BMCI TRANC C du 22/11/2012 à 6.04% 10 ANS</t>
  </si>
  <si>
    <t>OBL ORD ADM DU 10/12/12 20 ANS 5.38%</t>
  </si>
  <si>
    <t>BDT du 26/08/1996 10% à 5 ans</t>
  </si>
  <si>
    <t>BT ONA DU 05/04/2010 4.00% à 1 an</t>
  </si>
  <si>
    <t>BDT du 09/10/2006 2,73% 26 semaines 100000 Dhs</t>
  </si>
  <si>
    <t>CD BMCI 4,25% du 26/05/2008 2 ans</t>
  </si>
  <si>
    <t>BSF WAFASALAF  du 13/10/2015 à 3.31% 2 ans</t>
  </si>
  <si>
    <t>BDT du 20/01/2003 3,00% à 52 semaines</t>
  </si>
  <si>
    <t>OBL SFI 08/02/2005 4.54% à 7 ans bons de 100000 DHs</t>
  </si>
  <si>
    <t>Maroc leasing</t>
  </si>
  <si>
    <t>OBL Maroclear du 23/11/2004 5A à 5.01% 100000</t>
  </si>
  <si>
    <t>BDT du 18/10/2004 15A à 5.5% 100000</t>
  </si>
  <si>
    <t>BDT du 17/11/2003 3,50% à 26 semaines</t>
  </si>
  <si>
    <t>BDT du 16/03/1998 9,15% à 15 ans</t>
  </si>
  <si>
    <t>BDT DU 19/10/2012 24J 3.79%</t>
  </si>
  <si>
    <t>BDT du 18/05/1998 8,95% à 15 ans</t>
  </si>
  <si>
    <t>BDT du 18/05/1998 9% à 15 ans</t>
  </si>
  <si>
    <t>BDT du 01/06/1998 7,7% à 5 ans</t>
  </si>
  <si>
    <t>BDT du 06/07/1998 7,5% à 5 ans</t>
  </si>
  <si>
    <t>BDT du 17/08/1998 8,1% à 10 ans</t>
  </si>
  <si>
    <t>BDT du 31/08/1998 7,5% à 5 ans</t>
  </si>
  <si>
    <t>BDT du 31/08/1998 8,85% à 15 ans</t>
  </si>
  <si>
    <t>BDT du 14/12/1998 7,5% à 5 ans</t>
  </si>
  <si>
    <t>BDT du 14/12/1998 8,5% à 15 ans</t>
  </si>
  <si>
    <t>CD ATW DU 04/05/2009 2ANS à 4,05%</t>
  </si>
  <si>
    <t>BDT du 04/01/1999 7,5% à 5 ans</t>
  </si>
  <si>
    <t>BDT du 31/1/2005 13S à 2.34% 100000</t>
  </si>
  <si>
    <t>BDT du 12/02/2007 26 sem 2.85%</t>
  </si>
  <si>
    <t>BDT du 31/1/2005 26S à 2.4% 100000</t>
  </si>
  <si>
    <t>CD bmci 5 ans du 16/05/2006 à 4.3%</t>
  </si>
  <si>
    <t>CD bmci 52 semaines du 26/05/2006 à 3.4%</t>
  </si>
  <si>
    <t>BDT du 2/5/2005 52S à 2.9% 100000</t>
  </si>
  <si>
    <t>OBLIG GROUP INVEST</t>
  </si>
  <si>
    <t>BDT DU 12/09/2011 3.3% 3MOIS</t>
  </si>
  <si>
    <t>OBL BNDE du 27/04/1995 10,25% à 7 ans bons de 100000 Dhs</t>
  </si>
  <si>
    <t>CD BMCE 2 ans 4.20% DU 19/03/2008</t>
  </si>
  <si>
    <t>BSF MAGHREBAIL du 09/12/1999 6,15%</t>
  </si>
  <si>
    <t>TCN SGMB DU 27/04/2009 5ANS 4.30%</t>
  </si>
  <si>
    <t>BDT DU BDT DU 12/10/2009 3.26% 6MOIS</t>
  </si>
  <si>
    <t>BSF WAFASALAF du 22/12/1999 6%</t>
  </si>
  <si>
    <t>BSF WAFASALAF du 29/12/1999 6%</t>
  </si>
  <si>
    <t>BSF ACRED* du 07/01/2000 6,1%</t>
  </si>
  <si>
    <t>BSF WAFABAIL du 11/02/2000 6,85%</t>
  </si>
  <si>
    <t>BDT du 19/9/2004 52S à 2.7% 100000</t>
  </si>
  <si>
    <t>OBL SNI du 10/12/2004 5A à 4.65% 100000</t>
  </si>
  <si>
    <t>BSF WAFABAIL du 11/02/2000 6,5%</t>
  </si>
  <si>
    <t>CD SGMB du 30/05/2008 à 4.25%  2 ans</t>
  </si>
  <si>
    <t>BDT du 02/01/2013 à 4.15% 35 JOURS</t>
  </si>
  <si>
    <t>BDT du 08/12/2003 3,35% 13 semaines 100000 Dhs</t>
  </si>
  <si>
    <t>BDT du 15/12/2003 3,50%  à 26 smaines</t>
  </si>
  <si>
    <t>CD BMCE DU 03/02/2009 4.5% 2ANS</t>
  </si>
  <si>
    <t>OBL CIH du 30/08/1995 10,5% à 15 ans bons de 100000 Dhs</t>
  </si>
  <si>
    <t>OBL CIH du 29/09/1995 10,5% à 15 ans bons de 150000 Dhs</t>
  </si>
  <si>
    <t>OBL CIH du 24/11/1995 10,5% à 15 ans bons de 150000 Dhs</t>
  </si>
  <si>
    <t>BDT du 30/01/2006 15ans à 5.25% 100000</t>
  </si>
  <si>
    <t>OBL CIH du 18/12/1995 10,5% à 15 ans bons de 150000 Dhs</t>
  </si>
  <si>
    <t>OBL CIH du 29/03/1996 10,25% à 10 ans bons de 100000 Dhs</t>
  </si>
  <si>
    <t>OBL CIH du 26/04/1996 10,25% à 10 ans bons de 100000 Dhs</t>
  </si>
  <si>
    <t>ONA 10 ans du 31/03/2006</t>
  </si>
  <si>
    <t>OBL CIH du 22/05/1996 10,25% à 10 ans bons de 100000 Dhs</t>
  </si>
  <si>
    <t>BDT DU 29/10/2007 52 SEM 3.40%</t>
  </si>
  <si>
    <t>OBL CIH du 12/06/1996 10,25% à 10 ans bons de 100000 Dhs</t>
  </si>
  <si>
    <t>BDT DU 13/07/2009 52 seaines 3.4%</t>
  </si>
  <si>
    <t>CD BMCE du 10/01/2011 à 4.10% 2 ans</t>
  </si>
  <si>
    <t>CD BMCE du 08/03/2012 13 SEM à 3.80%</t>
  </si>
  <si>
    <t>CD BMCE du 08/03/2012 52 SEM à 4.14%</t>
  </si>
  <si>
    <t>BT 52 SEMAINES MAGHREB STEEL 4.24</t>
  </si>
  <si>
    <t>CD ATW du 23/07/2015 à 3.09% 2 ANS</t>
  </si>
  <si>
    <t>BSF WAFABAIL du 24/07/2015 à 3.53% 3 ans</t>
  </si>
  <si>
    <t>BT ONE 3.45% 12M 100000</t>
  </si>
  <si>
    <t>CD BNDE du 23/04/1999 7,75%</t>
  </si>
  <si>
    <t>BSF WAFASALAF DU 16/09/2011 2ans 4.16%</t>
  </si>
  <si>
    <t>WAFASALAF</t>
  </si>
  <si>
    <t>BDT DU 19/11/2013 5 ANS 5%</t>
  </si>
  <si>
    <t>CD bmci 52 semaines du 21/04/2006 à 3.5%</t>
  </si>
  <si>
    <t>CD bmci 3 ans  du 21/04/2006 à 4%</t>
  </si>
  <si>
    <t>BDT du 15/07/1996 10,25% à 10 ans</t>
  </si>
  <si>
    <t>BDT du 22/07/1996 10% à 5 ans</t>
  </si>
  <si>
    <t>BDT du 22/07/1996 10,5% à 15 ans</t>
  </si>
  <si>
    <t>BDT du 31/07/1996 10,25% à 10 ans</t>
  </si>
  <si>
    <t>BSF SOGELEASE du 02/03/2012 à 4.44% 2 ANS</t>
  </si>
  <si>
    <t>BDT du 31/07/1996 10,5% à 15 ans</t>
  </si>
  <si>
    <t>BDT du 05/02/2007 15ans à 3.65% 100000</t>
  </si>
  <si>
    <t>OBL CIH du 28/05/1993 12,75% à 15 ans bons de 150000 Dhs</t>
  </si>
  <si>
    <t>Code Maroclear</t>
  </si>
  <si>
    <t>Type valeur</t>
  </si>
  <si>
    <t>TAUX</t>
  </si>
  <si>
    <t>BDT du 03/06/2013  13 sem à 3.95%</t>
  </si>
  <si>
    <t>OBL ADM du 03/06/2013  10 ans Révisable</t>
  </si>
  <si>
    <t>OBL CIH du 28/02/2000 6,35% à 10 ans bons de 10000 Dhs</t>
  </si>
  <si>
    <t>OBL CIH du 28/04/2000 5,85% à 5 ans bons de 10000 Dhs</t>
  </si>
  <si>
    <t xml:space="preserve">Obl BNDE du 22/06/2001 7 % à 5 ans </t>
  </si>
  <si>
    <t>G</t>
  </si>
  <si>
    <t>CD BMCI 2 ans du 24/06/2008 à 4.25%</t>
  </si>
  <si>
    <t>CD SGMB 26 SEM 3.55% DU 07/08/2007</t>
  </si>
  <si>
    <t>OBL PROMOPHAR du 03/01/2000 6,65% à 5 ans bons de 250000 Dhs</t>
  </si>
  <si>
    <t>CD WAFA SALAF DU 18/03/2014 2 ANS 4.37%</t>
  </si>
  <si>
    <t>BDT du 04/08/1997 9% à 5 ans</t>
  </si>
  <si>
    <t>BDT DU 15/12/2008 3.85%52 SEMAINES</t>
  </si>
  <si>
    <t>BDT du 04/08/1997 9,5% à 10 ans</t>
  </si>
  <si>
    <t>BDT du 21/10/1996 10,5% à 15 ans</t>
  </si>
  <si>
    <t>BDT du 28/10/1996 10% à 5 ans</t>
  </si>
  <si>
    <t>BDT du 28/10/1996 10,5% à 15 ans</t>
  </si>
  <si>
    <t>CD BNDE 09/04/2001 6,30% à 1 an</t>
  </si>
  <si>
    <t>CD BNDE 10/04/2001 6,00% à 1 an</t>
  </si>
  <si>
    <t>BDT du 02/05/2005 10A à 4.75% 100000</t>
  </si>
  <si>
    <t>CD BNDE 11/04/2001 6,00% à 1 an</t>
  </si>
  <si>
    <t>CD BMCE 02/05/2001 5,25% à 1 an</t>
  </si>
  <si>
    <t>CD BMCE 10/05/2001 5% à 26 semaines</t>
  </si>
  <si>
    <t>CD BMCE 10/05/2001 5,25% à 52 semaines</t>
  </si>
  <si>
    <t>CD BCP du 05/06/2013 à 4.57% 52 SEM</t>
  </si>
  <si>
    <t>BDT du 05/04/1999 7,6% à 10 ans</t>
  </si>
  <si>
    <t>BDT du 05/04/1999 8% à 15 ans</t>
  </si>
  <si>
    <t>BSF  SALAFIN du 26/01/2005 4.5% à 3 ans</t>
  </si>
  <si>
    <t>BSF WAFABAIL du 06/01/1998 9,25%</t>
  </si>
  <si>
    <t>BSF MA LEASING du 16/03/1998 9%</t>
  </si>
  <si>
    <t>BSF MA LEASING du 17/03/1998 9%</t>
  </si>
  <si>
    <t>FEC</t>
  </si>
  <si>
    <t>BSF SOFAC CRED du 04/06/2001 6,70 à 3 ans</t>
  </si>
  <si>
    <t>BSF SOFAC CRED du 04/06/2001 7,35 à 5 ans</t>
  </si>
  <si>
    <t>BSF SOGELEASE du 05/11/2010 3 ans 4.24%</t>
  </si>
  <si>
    <t>CD BNDE du 07/07/1999 7,75%</t>
  </si>
  <si>
    <t>CD BNDE du 15/07/1999 7,5%</t>
  </si>
  <si>
    <t>CD BNDE du 16/07/1999 7,3%</t>
  </si>
  <si>
    <t>CD BMCI du 03/08/2010 à 4.20% 789 jours</t>
  </si>
  <si>
    <t>courbe court terme</t>
  </si>
  <si>
    <t>BDT du 29/11/2004 2,65% à 52 semaines</t>
  </si>
  <si>
    <t>BDT du 5/4/2004 20A à 6.1% 100000</t>
  </si>
  <si>
    <t>CD BNDE 08/03/2001 6% à 1 an</t>
  </si>
  <si>
    <t>CD FEC du 15/12/2011 à 3.71% 55 jours</t>
  </si>
  <si>
    <t>OBLIG CFG du 10/06/2010 2ANS 5.30%</t>
  </si>
  <si>
    <t>oblig cfg</t>
  </si>
  <si>
    <t>BDT du 03/05/1999 7,25% à 5 ans</t>
  </si>
  <si>
    <t>Périodicité du coupon</t>
  </si>
  <si>
    <t>Périodicité du RBRT</t>
  </si>
  <si>
    <t>OBL BNDE du 04/08/1995 10% à 8 ans bons de 100000 Dhs</t>
  </si>
  <si>
    <t>CD SGMB du 09/06/2009 3.85% 52 SEM</t>
  </si>
  <si>
    <t>OBL BNDE du 26/11/1993 12,75% à 10 ans bons de 200000 Dhs</t>
  </si>
  <si>
    <t>OBL BNDE du 24/06/1994 11% à 10 ans bons de 100000 Dhs</t>
  </si>
  <si>
    <t>OBL BNDE du 03/10/1994 10,5% à 7 ans bons de 100000 Dhs</t>
  </si>
  <si>
    <t>BSF WAFABAIL du 02/05/2011 à 4.15 % 2 ans</t>
  </si>
  <si>
    <t xml:space="preserve">BSF </t>
  </si>
  <si>
    <t>BSF</t>
  </si>
  <si>
    <t>WAFABAIL</t>
  </si>
  <si>
    <t>BSF  WAFABAIL DU 02/05/2011 à 4.25% 3 ANS</t>
  </si>
  <si>
    <t>BDT DU 27/05/2013 à 4.14% 26 SEM</t>
  </si>
  <si>
    <t>BDT DU 10/08/2015 à 2.55% 13 SEM</t>
  </si>
  <si>
    <t>BSF WAFA SALAF DU 09/09/2015 à 3.46% 3 ans</t>
  </si>
  <si>
    <t>CD SGMB DU 13/01/2010 3.85% 52 semaines</t>
  </si>
  <si>
    <t>BDT du 26/08/1996 10,25% à 10 ans</t>
  </si>
  <si>
    <t>BDT du 02/09/1996 10,5% à 15 ans</t>
  </si>
  <si>
    <t>BDT du 09/09/1996 10% à 5 ans</t>
  </si>
  <si>
    <t>OBLIG LABEL VIE DU 30/01/2012 5 ANS à 5.39%</t>
  </si>
  <si>
    <t>ELABELVIE</t>
  </si>
  <si>
    <t>OBLIG SNI du 31/01/2012 à 3.90% 26 SEM</t>
  </si>
  <si>
    <t>EN du 06/04/1999 7% à 3 ans bons de 5000 Dhs</t>
  </si>
  <si>
    <t>CD CDM DU 16/03/2009 18 mois ANS à 4.15%</t>
  </si>
  <si>
    <t>BSF SOGELEASE du 28/03/02 6,50% à 3 ans</t>
  </si>
  <si>
    <t>CD ATW du 29/10/2008 3 Mois à 4.10%</t>
  </si>
  <si>
    <t>BDT du 11/08/1997 9,5% à 10 ans</t>
  </si>
  <si>
    <t>BDT du 10/02/2003 3,35% à 13 semaines</t>
  </si>
  <si>
    <t>BDT du 17/02/2003 3,35% 13 semaines</t>
  </si>
  <si>
    <t>BDT du 17/02/2003 3,45% 26 semaines</t>
  </si>
  <si>
    <t>BSF MAGHREBAIL du 14/07/2003 5,13% à 4 ans</t>
  </si>
  <si>
    <t>BDT du 15/03/2010 5 ans 3.95%</t>
  </si>
  <si>
    <t xml:space="preserve">BDT DU 31/10/2011 à 3.33% 13 SEM </t>
  </si>
  <si>
    <t>BDT du 17/02/2003 3,50% 26 semaines</t>
  </si>
  <si>
    <t>BDT du 17/02/2003 4,15% 2 ans</t>
  </si>
  <si>
    <t>BDT du 10/02/2003 3,75% 52 semaines</t>
  </si>
  <si>
    <t>Périodicité du rBrT</t>
  </si>
  <si>
    <t>BSF WAFASALAF du 17/09/2009 4.20% 2 ANS</t>
  </si>
  <si>
    <t>CD CDM DU 270910  2 ANS 4.25%</t>
  </si>
  <si>
    <t>CD SGMB du 25/03/2011 à 4.15% 2 ans</t>
  </si>
  <si>
    <t>BDT  26S 3.42%</t>
  </si>
  <si>
    <t>Sensibilité</t>
  </si>
  <si>
    <t>Convexité</t>
  </si>
  <si>
    <t>OBL FEC du 24/08/1998 8% à 5 ans bons de 10000 Dhs</t>
  </si>
  <si>
    <t>BDT du 15/04/02 6% à 5 ans 100000 Dhs</t>
  </si>
  <si>
    <t>BDT du 23/08/2004 52S à 2.65% 100000</t>
  </si>
  <si>
    <t>BDT du 10/06/2013 à 3.91% 13 SEM</t>
  </si>
  <si>
    <t>Libellé long</t>
  </si>
  <si>
    <t>Billet de trésorerie</t>
  </si>
  <si>
    <t>BT CFI du 25/01/2001 7,90% à 52 semaines</t>
  </si>
  <si>
    <t>BDT du 29/08/2011 à 3.28% 21 Jours</t>
  </si>
  <si>
    <t>A</t>
  </si>
  <si>
    <t>BSF WAFABAIL du 14/10/1997 9%</t>
  </si>
  <si>
    <t>BSF WAFA IMMOB du 24/12/1997 9,25%</t>
  </si>
  <si>
    <t>CD FEC du 27/12/2013 à 4.53% 52 SEM</t>
  </si>
  <si>
    <t>CD CAM du 27/12/2013 à 4.80% 13 mois</t>
  </si>
  <si>
    <t>CD WAFABANK E du 23/12/1996 8%</t>
  </si>
  <si>
    <t>CD WAFABANK E du 25/12/1996 8%</t>
  </si>
  <si>
    <t>CD WAFABANK E du 26/12/1996 8%</t>
  </si>
  <si>
    <t>BDT du 04/05/2004 5A à 4.5% 100000</t>
  </si>
  <si>
    <t>BDT du 2/9/2002 2A à 4.3% 100000</t>
  </si>
  <si>
    <t>BDT du 6/1/2003 2A à 3.95% 100000</t>
  </si>
  <si>
    <t>B/T MAGHREB STEEL du 12/09/2008 à 4%</t>
  </si>
  <si>
    <t xml:space="preserve">B/T  ONA du 15/09/2008 au  31/10/2008 à 3.85% </t>
  </si>
  <si>
    <t>BSF WAFASALAF du 21/07/1999 7,5%</t>
  </si>
  <si>
    <t>BSF WAFASALAF du 18/08/1999 7,35%</t>
  </si>
  <si>
    <t>CD BNDE 22/03/2001 6% à 1 an</t>
  </si>
  <si>
    <t>CD CDM du 19/12/2008 2 ANS 4.70%</t>
  </si>
  <si>
    <t>CD BNDE 23/03/2001 6,30% à 1 an</t>
  </si>
  <si>
    <t>CD BNDE du 05/03/1998 9%</t>
  </si>
  <si>
    <t>CD CDM du 09/12/2009 à 4.20% 30 mois</t>
  </si>
  <si>
    <t>BT CHARAF CORPORATION 26SEM à 3.64% 100000</t>
  </si>
  <si>
    <t>BSF IMMOBILIER du 01/08/2002 5,16% à 2 ans</t>
  </si>
  <si>
    <t>BSF WAFASALAF du 22/08/2011 à 4.15% 2 ans</t>
  </si>
  <si>
    <t>OBL BMCI du 22/11/2012 Révisable à 4.84% 10 ANS</t>
  </si>
  <si>
    <t>CD BNDE 03/05/2001 6,25% à 2 ans</t>
  </si>
  <si>
    <t>BDT du 24/03/1997 10,5% à 15 ans</t>
  </si>
  <si>
    <t>BSF WAFASALAF du 22/08/1999 7,5%</t>
  </si>
  <si>
    <t>BSF DIAC SALAF du 01/09/1999 7,1%</t>
  </si>
  <si>
    <t>CD BNDE du 21/07/1999 7,3%</t>
  </si>
  <si>
    <t>BT ONA DU 20/03/20003 3,55% à 1 mois</t>
  </si>
  <si>
    <t>CD BMCI du 05/08/1999 6,3%</t>
  </si>
  <si>
    <t>BDT DU 08/11/2010 2 ANS ET 8J 3.65%</t>
  </si>
  <si>
    <t>BDT du 19/1/2004 52S à 3.6% 100000</t>
  </si>
  <si>
    <t>CD BMCI du 05/08/1999 6,5%</t>
  </si>
  <si>
    <t>credilog II</t>
  </si>
  <si>
    <t>credilog I</t>
  </si>
  <si>
    <t>BSF WAFABAIL DU 24/09/2012 4.75% 25 MOIS</t>
  </si>
  <si>
    <t>BDT du 14/01/2013 à 4.10% 2 ANS atipique</t>
  </si>
  <si>
    <t>CD ATW du 30/04/2010 52 SEM à 3.84%</t>
  </si>
  <si>
    <t>CD BNDE 11/05/2001 6,30% à 1 an</t>
  </si>
  <si>
    <t>CD BNDE 23/04/2001 6,30% à 1 an</t>
  </si>
  <si>
    <t>BDT du 1/3/2004 2A à 3.7% 100000</t>
  </si>
  <si>
    <t>BDT du 22/09/1994 11% à 15 ans</t>
  </si>
  <si>
    <t>BDT du 13/10/1994 11% à 15 ans</t>
  </si>
  <si>
    <t>CD FEC du 28/06/2010   7ans 4.81%</t>
  </si>
  <si>
    <t>BDT du 09/02/1995 10,5% à 15 ans</t>
  </si>
  <si>
    <t>BDT du 23/02/1995 10,5% à 15 ans</t>
  </si>
  <si>
    <t>BDT DU 15/11/2009 52 seaines 3.4%</t>
  </si>
  <si>
    <t>BSF WAFASALAF du 24/07/1997 9,6%</t>
  </si>
  <si>
    <t>BSF WAFA IMMOB du 19/07/1999 7,25%</t>
  </si>
  <si>
    <t>CD BMCE du 14/10/2013 à 52 SEM 4.50%</t>
  </si>
  <si>
    <t>CD SG DU 05/09/2014 à 05/09/2016 2ANS</t>
  </si>
  <si>
    <t>ESOCIETEGENERAL</t>
  </si>
  <si>
    <t>BDT du 19/02/15 à 5.65% ATYP 04/08/14 20 ANS</t>
  </si>
  <si>
    <t>BSF WAFASALAF DU 10/09/14 à 3.85% 2ans</t>
  </si>
  <si>
    <t>BSF WAFASALAF DU 10/09/2014 à 4.09% 3ans</t>
  </si>
  <si>
    <t>CD ATW DU 160914 13 SEM 3.3%</t>
  </si>
  <si>
    <t>BSF WAFABAIL DU 16/09/2014 3.85% 2A</t>
  </si>
  <si>
    <t>CD ATTIJARI WAFA 3 mois à 3,8%</t>
  </si>
  <si>
    <t>BDT du 04/03/1997 10% à 5 ans</t>
  </si>
  <si>
    <t>OBLIG ATW du 29/12/2009 7 ans TMP +0.8% REVISABLE</t>
  </si>
  <si>
    <t>EN du 31/12/1996 10% à 5 ans bons de 50000 Dhs</t>
  </si>
  <si>
    <t>CD FEC du 26/01/2009 2 ANS à 4.55%</t>
  </si>
  <si>
    <t>OBL CIMENT DE L'ATLAS DU 06072012 7ANS 4.88%</t>
  </si>
  <si>
    <t>ECIMAT</t>
  </si>
  <si>
    <t>BDT du 17/06/1996 10,25% à 10 ans</t>
  </si>
  <si>
    <t>BDT du 17/06/1996 10,5% à 15 ans</t>
  </si>
  <si>
    <t>CD FEC du 07/09/2000  7,10% à 5 ans</t>
  </si>
  <si>
    <t>CD FEC du 07/09/2010 à Taux Révisable  7 ans</t>
  </si>
  <si>
    <t>OBLIG ADDOHA du 11/08/2010 5 ans 5.18% NC</t>
  </si>
  <si>
    <t>OBLIG ADDOHA</t>
  </si>
  <si>
    <t>CD FEC du 03/10/2000  6,80% à 1 an</t>
  </si>
  <si>
    <t>BDT du 15/10/2001 5% à 52 semaines</t>
  </si>
  <si>
    <t>CD CIH du 19072011 5 ans à 4.60%</t>
  </si>
  <si>
    <t>BDT ATYP du 18/01/2015 1 an à 2.90% émiss 17/11/2014</t>
  </si>
  <si>
    <t>BDT du 24/02/1997 10,5% à 15 ans</t>
  </si>
  <si>
    <t>CD SGMB du 27/06/2008 4,60% a 6 ans</t>
  </si>
  <si>
    <t xml:space="preserve">CD CDM du 29/06/2012 4 30% a 2 ans </t>
  </si>
  <si>
    <t>CD BMCE DU 21/03/2014 364J 375%</t>
  </si>
  <si>
    <t>CD BMCE DU 21/03/2014 2 ANS 4.10%</t>
  </si>
  <si>
    <t>BT AFRIQUIA GAZ du 27/08/2012 à 3.80% 30 Jours</t>
  </si>
  <si>
    <t>BDT du 06/6/2005 15A à 5.3% 100000</t>
  </si>
  <si>
    <t>BDT du 25/03/1996 10,5% à 15 ans</t>
  </si>
  <si>
    <t>BDT du 08/04/1996 10,25% à 10 ans</t>
  </si>
  <si>
    <t>BDT du 08/04/1996 10,5% à 15 ans</t>
  </si>
  <si>
    <t>CD BMCI du 30/01/2008 à 4.60% 5 ans</t>
  </si>
  <si>
    <t>OBLIG ADM du 24/10/2011 20 ans 4.64%</t>
  </si>
  <si>
    <t>ORD</t>
  </si>
  <si>
    <t>EADM</t>
  </si>
  <si>
    <t>BDT du 15/04/1996 10,25% à 10 ans</t>
  </si>
  <si>
    <t>BDT du 15/04/1996 10,5% à 15 ans</t>
  </si>
  <si>
    <t>CD BMCE DU 06/07/2009 6mois 3.65%</t>
  </si>
  <si>
    <t>BSF EQDOM du 31/01/2014 à 4.75% 2 ans</t>
  </si>
  <si>
    <t>BDT du 26/08/2013 26 semaines 3.81%</t>
  </si>
  <si>
    <t>CD CIH du 30032012 4 38 a 2 ans</t>
  </si>
  <si>
    <t>CD CIH du 02102012 4 35 a 52 semaines</t>
  </si>
  <si>
    <t>BSF EQDOM 18062012 4 28 a 2 ans</t>
  </si>
  <si>
    <t>EQDOM</t>
  </si>
  <si>
    <t xml:space="preserve">CD SGMB du 25062012 4,18 2 ans </t>
  </si>
  <si>
    <t>Obligations LYDEC (B) du 14/07/2010 5,62 % a 15 ans</t>
  </si>
  <si>
    <t>CD ATW du 27012012 4 36 a 2 ans</t>
  </si>
  <si>
    <t>CD BMCE du 01112012 4 30 a 15 mois</t>
  </si>
  <si>
    <t>CD BMCI du 22042011 4 10 a 3 ans</t>
  </si>
  <si>
    <t>CD BMCI du 24072012 3 95 a 52 semaines</t>
  </si>
  <si>
    <t>BDT DU 14/10/2013 JOUISSANCE 19/01/2014 52 SEM 4%</t>
  </si>
  <si>
    <t>BSF EQDOM DU 28/03/2011 4 ANS 4.44%</t>
  </si>
  <si>
    <t>BDT du 23/04/2001 4,80 % à 13 semaines</t>
  </si>
  <si>
    <t>BDT du 23/04/2001 4,90 % à 26 semaines</t>
  </si>
  <si>
    <t>BDT du 07/05/2001 4,75 % à 13 semaines</t>
  </si>
  <si>
    <t>BDT du 07/05/2001 4,80 % à 26 semaines</t>
  </si>
  <si>
    <t>BDT DU 02/08/2010 2 ANS 3.70%</t>
  </si>
  <si>
    <t xml:space="preserve">BDT du 14/05/2001 5,85 % à 5 ans </t>
  </si>
  <si>
    <t xml:space="preserve">OBL SUB SGMB "D" du 23/03/2009 5,60% à 10 ans </t>
  </si>
  <si>
    <t>BDT du 31/01/2011 à 4.15% 10 ANS</t>
  </si>
  <si>
    <t>BDT DU 01/03/2010 15 ANS à 4.20%</t>
  </si>
  <si>
    <t>OBLIG SNI du 31/01/2011 à 4% 1 an</t>
  </si>
  <si>
    <t xml:space="preserve"> SNI</t>
  </si>
  <si>
    <t>BDT DU 01/12/2008 4% 5 ANS</t>
  </si>
  <si>
    <t>CD ATW du 28/02/2011 52 SEM 4.05%</t>
  </si>
  <si>
    <t>CD BMCI du 30/03/2015 à 2.65%  13 SEM</t>
  </si>
  <si>
    <t>BT DYAR AL MANSOUR du 24/06/2015 à 4.06%</t>
  </si>
  <si>
    <t>EDYARMANSOUR</t>
  </si>
  <si>
    <t>BSF EQDOM 31/07/2014 3 ans à 4.1%</t>
  </si>
  <si>
    <t>BDT du 19/03/2011 52 SEM Emission 07/02/2011 à 3.55%</t>
  </si>
  <si>
    <t>BDT du 15/04/20112 ans Emiss 07/03/2011 à 3.65%</t>
  </si>
  <si>
    <t>BSF SOGELEASE du 04/06/2001 7,20% à 5 ans</t>
  </si>
  <si>
    <t>BSF EQDOM du 18/06/2001 6,65% à 3 ans</t>
  </si>
  <si>
    <t>OBLIG ADM  du 26/04/2010 à 4.96% 20 ans</t>
  </si>
  <si>
    <t xml:space="preserve">OBLIG ADM </t>
  </si>
  <si>
    <t xml:space="preserve">BDT DU 22/04/2013 à 4.10% 26 SEM </t>
  </si>
  <si>
    <t>CD ATW du 12/07/2013 à 4.21% 26 SEM</t>
  </si>
  <si>
    <t>CD BMCE du 22/07/2013 à 4.18%  26 SEM</t>
  </si>
  <si>
    <t xml:space="preserve">BDT du 28/05/2001 4,67 % à 13 semaines </t>
  </si>
  <si>
    <t>CD BMCE du 26/03/2013 à 4.44% 26 sem</t>
  </si>
  <si>
    <t xml:space="preserve">BDT du 28/05/2001 4,68 % à 13 semaines </t>
  </si>
  <si>
    <t>BDT du 04/06/2001 5,20% à 2 ans</t>
  </si>
  <si>
    <t>BSF WAFASALAF du 26/06/2015 à 3.75% 5 ANS</t>
  </si>
  <si>
    <t>CD BNDE 22/05/2001 6,00% à 1 an</t>
  </si>
  <si>
    <t>SOMEPI</t>
  </si>
  <si>
    <t>CD BNDE 16/05/2001 6,10% à 1 an</t>
  </si>
  <si>
    <t>CD BNDE 16/05/2001 6,50% à 1 an</t>
  </si>
  <si>
    <t>CD BNDE 17/05/2001 6,50% à 1 an</t>
  </si>
  <si>
    <t>CD BNDE 28/05/2001 6,35% à 1 an</t>
  </si>
  <si>
    <t>CD BNDE 07/06/2001 6,00% à 1 an</t>
  </si>
  <si>
    <t>BDT DU 15/11/2010 26 semaines 3.33%</t>
  </si>
  <si>
    <t>BDT DU 15/11/2010 5ANS 3.90%</t>
  </si>
  <si>
    <t>BDT DU 22/11/2010 AU 21/02/2011 13 SEMAINES 3.27%</t>
  </si>
  <si>
    <t>BDT du 15/03/2009 3.9 % à 52 SEM</t>
  </si>
  <si>
    <t xml:space="preserve">BDT du 22/07/2013 à 3.85% 26 SEM </t>
  </si>
  <si>
    <t xml:space="preserve">BDT du 12/08/2013 à 3.83% 26 SEM </t>
  </si>
  <si>
    <t xml:space="preserve">OBL TM2SA du 16/05/2012  à 4.73% 15 ans </t>
  </si>
  <si>
    <t xml:space="preserve">OBL SGMB du 20/12/2012 10 ans à 5.98% </t>
  </si>
  <si>
    <t>OBLIG UNIVERS MOTORS du 14/04/2011 3 ans à 5.45%</t>
  </si>
  <si>
    <t>BDT DU 23/05/2012 44 JOURS 3.19%</t>
  </si>
  <si>
    <t>CD CDG CAPITAL du 21/05/2014 3 ans à 4.15%</t>
  </si>
  <si>
    <t>ECDGCAPITAL</t>
  </si>
  <si>
    <t>CD FEC du 29/11/1999 6,15%</t>
  </si>
  <si>
    <t>CD BNDE (E) du 01/02/2000 6,12%</t>
  </si>
  <si>
    <t>CD BNDE du 07/08/2000  7% à 1 an</t>
  </si>
  <si>
    <t>BDT du 03/05/2010 sur 20 ans à 4.40%</t>
  </si>
  <si>
    <t>CD BNDE du 11/08/2000  7% à 1 an</t>
  </si>
  <si>
    <t>OBL ATW DU 29/06/2009 5% 10ANS</t>
  </si>
  <si>
    <t>CD BNDE du 15/08/2000  7% à 1 an</t>
  </si>
  <si>
    <t xml:space="preserve">CD SGMB  13 SEM du 16/10/2007 3.70% </t>
  </si>
  <si>
    <t>OBLIG ATW du 26/12/2008 TRANCHE C  5.60% Non côté</t>
  </si>
  <si>
    <t>BDT DU 02/06/2014 11 ANS 4.55%</t>
  </si>
  <si>
    <t>BDT ATY  DU 19/05/2014 52 SEMAINES 3.30%</t>
  </si>
  <si>
    <t>BSF WAFA SALAF DU 16/07/2014 2ANS 3.90%</t>
  </si>
  <si>
    <t>OBLIG ATW DU 26/12/2008 TRANCHE D Taux variable 3.50% +TMP</t>
  </si>
  <si>
    <t>OBL CIH du 02/08/1996 10,25% à 10 ans bons de 100000 Dhs</t>
  </si>
  <si>
    <t xml:space="preserve">OBLG BCP du 09/04/2009 à 5% 7 ans </t>
  </si>
  <si>
    <t>a</t>
  </si>
  <si>
    <t xml:space="preserve">OBL ONCF du 20/10/2011 15ans  à 5.11% </t>
  </si>
  <si>
    <t>EONCF</t>
  </si>
  <si>
    <t>BDT du 14/10/1996 10,25% à 10 ans</t>
  </si>
  <si>
    <t>BDT du 14/10/1996 10,5% à 15 ans</t>
  </si>
  <si>
    <t>BDT du 21/10/1996 7,5% à 5 ans</t>
  </si>
  <si>
    <t>BDT du 21/10/1996 10% à 5 ans</t>
  </si>
  <si>
    <t>OBL CIH du 28/07/1995 10,5% à 15 ans bons de 150000 Dhs</t>
  </si>
  <si>
    <t>BSF EQDOM du 30/09/2011 3 ans à 4.35%</t>
  </si>
  <si>
    <t>OBL OULMES du 19/05/2015 à 4.20% 5 ans</t>
  </si>
  <si>
    <t>EOULM</t>
  </si>
  <si>
    <t>BSF WAFABAIL du 22/05/2015 à 4%  5 ans</t>
  </si>
  <si>
    <t>BDT DU 05092015 52 SEM à 2.70%</t>
  </si>
  <si>
    <t>BDT DU 25/05/2015 2NAS à 2.9%</t>
  </si>
  <si>
    <t>BDT du 14/09/13 ATYP 18/03/13 à 4.25% 2 ans</t>
  </si>
  <si>
    <t>BDT du 17/06/2014 à 5.45% ATYP 02/12/13</t>
  </si>
  <si>
    <t>BT AFRIQUIA GAZ DU 04/06/2012 à 3.45% 15J</t>
  </si>
  <si>
    <t>BDT du 01/02/1999 7,5% à 5 ans</t>
  </si>
  <si>
    <t>BDT du 14/09/2007 2A à 3.1% 100000</t>
  </si>
  <si>
    <t>BDT du 22/03/1999 7,85% à 10 ans</t>
  </si>
  <si>
    <t>BDT du 05/04/1999 7,25% à 5 ans</t>
  </si>
  <si>
    <t>CD ATW DU 07/09/2009 3 MOIS à 3,40%</t>
  </si>
  <si>
    <t>CD bmci 13 semaines du 18/06/2007 à 3.50%</t>
  </si>
  <si>
    <t>CD ATW 13 semaines du 18/06/2007 à 3.45%</t>
  </si>
  <si>
    <t>BSF SOFAC CRED du 04/06/2001 TR à 3 ans</t>
  </si>
  <si>
    <t>BDT DU 01/12/2008 3.85%52 SEMAINES</t>
  </si>
  <si>
    <t>CD BMCE 52 SEM du 30/04/2013 à 4.65%</t>
  </si>
  <si>
    <t>Valo Logos</t>
  </si>
  <si>
    <t>BDT du 21/10/1996 10,25% à 10 ans</t>
  </si>
  <si>
    <t xml:space="preserve">BDT du 12/09/2011 3.6% 2A </t>
  </si>
  <si>
    <t>BDT du 11/02/02 4,60% à 52 semaines</t>
  </si>
  <si>
    <t>Date</t>
  </si>
  <si>
    <t>CD BMCE du 16/11/2010 52 SEM à 3.80%</t>
  </si>
  <si>
    <t>BDT du 03/12/01 6,20% à 5 ans</t>
  </si>
  <si>
    <t>EN du 04/10/1996 10% à 5 ans bons de 5000 Dhs</t>
  </si>
  <si>
    <t>EN du 04/10/1996 10% à 5 ans bons de 50000 Dhs</t>
  </si>
  <si>
    <t>CD ATTIJARIWAFA BANK du 11/11/2008 13 SEM 4.10%</t>
  </si>
  <si>
    <t>EN du 31/12/1996 10% à 5 ans bons de 5000 Dhs</t>
  </si>
  <si>
    <t xml:space="preserve">BDT du 04/03/02 6,10% à 5 ans </t>
  </si>
  <si>
    <t>BSF SALAFIN du 25/01/02 5,80% à 3 ans</t>
  </si>
  <si>
    <t>BDT du 04/02/02 6,20% à 5 ans</t>
  </si>
  <si>
    <t>BDT du 17/09/2001 4,90% à 52 semaines</t>
  </si>
  <si>
    <t>BDT du 04/02/02 5,30% à 2ans 100000 Dhs</t>
  </si>
  <si>
    <t>CD BNDE du 23/08/1999 7%</t>
  </si>
  <si>
    <t>CD BNDE du 07/09/1999 7%</t>
  </si>
  <si>
    <t>CD BMCI du 10/09/1999 6,6%</t>
  </si>
  <si>
    <t>CD BNDE du 23/09/1999 6,75%</t>
  </si>
  <si>
    <t>CD BNDE du 29/09/1999 7%</t>
  </si>
  <si>
    <t>CD BNDE du 11/10/1999 6%</t>
  </si>
  <si>
    <t>CD FEC du 02/11/1999 6%</t>
  </si>
  <si>
    <t>CD FEC du 09/11/1999 6%</t>
  </si>
  <si>
    <t>CD FEC du 29/11/1999 6%</t>
  </si>
  <si>
    <t>CD bmci 5 ans du 15/08/2006 à 4.05%</t>
  </si>
  <si>
    <t>BDT du 07/10/1996 10,5% à 15 ans</t>
  </si>
  <si>
    <t>BDT du 14/10/1996 10% à 5 ans</t>
  </si>
  <si>
    <t>BT PROMOPHARM 3,85% 92 jours</t>
  </si>
  <si>
    <t>OBL CIH du 07/12/1992 12,75% à 15 ans bons de 150000 Dhs</t>
  </si>
  <si>
    <t>OBL CIH du 28/12/1992 12,75% à 15 ans bons de 150000 Dhs</t>
  </si>
  <si>
    <t>CD ATW du 03/05/2011 à 4.35% 4 ANS</t>
  </si>
  <si>
    <t>CD FEC du 03/02/2009 à 4.85% 5 ans</t>
  </si>
  <si>
    <t>OBL CIH du 22/03/1993 12,75% à 15 ans bons de 150000 Dhs</t>
  </si>
  <si>
    <t>CD ATW DU 09/06/2009 13 SEMAINES 3.45%</t>
  </si>
  <si>
    <t>BDT du 07/10/1996 10% à 5 ans</t>
  </si>
  <si>
    <t>BDT du 07/10/1996 10,25% à 10 ans</t>
  </si>
  <si>
    <t>OBL AFRIQUIA GAZ du 11/07/2002 6,20% à 3 ans bons 100000 dh</t>
  </si>
  <si>
    <t xml:space="preserve">OBL MAGHREB OXYGENE du 11/07/2002 6,20% à 3 ans bons 100000 </t>
  </si>
  <si>
    <t>BDT du 05/09/2005 15A à 5.3% 100000</t>
  </si>
  <si>
    <t>OBL RISMA du 03/12/2002 3ans 4.99% 100000</t>
  </si>
  <si>
    <t>OBL CMG du 23/04/2003 5,90% 100000 Dhs 5 ans</t>
  </si>
  <si>
    <t>Date de valorisation :</t>
  </si>
  <si>
    <t>BDT DU 24/12/2007 13 SEM 3.84%</t>
  </si>
  <si>
    <t>BSF TASLIF du 09/04/2001 7,42% à 3 ans</t>
  </si>
  <si>
    <t>BSF TASLIF du 16/04/2001 7,34% à 3 ans</t>
  </si>
  <si>
    <t>BDT du 31/03/1994 11,25% à 10 ans</t>
  </si>
  <si>
    <t>CD BCP du 28/10/2013 à 4.05% 26 SEM</t>
  </si>
  <si>
    <t xml:space="preserve">CD BCP du 28/10/2013 à 4.45 %  52 SEM </t>
  </si>
  <si>
    <t>CD BMCE du 28/10/2013 à 4.10 % 26 SEM</t>
  </si>
  <si>
    <t>CD BMCE DU 19/01/2015 2ans à 2.95%</t>
  </si>
  <si>
    <t>CD BMCE DU 04/02/2015 3ans à 3.10%</t>
  </si>
  <si>
    <t>BDT DU 06/07/2015 20 ANS à 4.40%</t>
  </si>
  <si>
    <t>CD ATW du 17/12/2013 à 3.75% 13 sem</t>
  </si>
  <si>
    <t>CD ATW du 17/12/2013 à 4% 26 SEM</t>
  </si>
  <si>
    <t>CD ATW du 17/12/2013 à 4.45% 52 SEM</t>
  </si>
  <si>
    <t>OBLIG ATW du 26/12/2008 à 5.60% 10 ans</t>
  </si>
  <si>
    <t>BSF WAFASALAF DU 01/07/2009 2ANS 4.15%</t>
  </si>
  <si>
    <t>BDT du 29/09/1997 9,5% à 10 ans</t>
  </si>
  <si>
    <t>BDT du 06/10/1997 9% à 5 ans</t>
  </si>
  <si>
    <t>BDT du 06/10/1997 9,5% à 10 ans</t>
  </si>
  <si>
    <t>BDT du 06/10/1997 9,75% à 15 ans</t>
  </si>
  <si>
    <t>BSF WAFASALAF du 16/11/1999 5,75%</t>
  </si>
  <si>
    <t>BSF SALAFIN 5 ans T% 4.75%</t>
  </si>
  <si>
    <t>BSF SALAFIN</t>
  </si>
  <si>
    <t>SALAFIN</t>
  </si>
  <si>
    <t>BSF SOREC CRED du 19/11/1999 8%</t>
  </si>
  <si>
    <t>BSF BMCI LEASI du 29/11/1999 6,45%</t>
  </si>
  <si>
    <t>CD BMCE DU 09/10/2012 4.20% 52 SEMAINES</t>
  </si>
  <si>
    <t>CD SGMB du 27/04/2011 à 4.45% 5 ans</t>
  </si>
  <si>
    <t>CD BMCI du 30/09/2011 à 4.35% 4 ans</t>
  </si>
  <si>
    <t>CD SGMB du 14/03/2012 à 4.60% 4 ans</t>
  </si>
  <si>
    <t>CD FEC DU 02/12/2013 13SEM 3.78%</t>
  </si>
  <si>
    <t>CD FEC DU 02/12/2013 26SEM 3.97%</t>
  </si>
  <si>
    <t>OBL BNDE du 16/05/1996 10% à 8 ans bons de 300000 Dhs</t>
  </si>
  <si>
    <t>BDT 52 SEM du 19/01/2009 3.90% 2ans Jouissance 14/02/2009</t>
  </si>
  <si>
    <t>BSF MA LEASING du 07/09/1999 7,1%</t>
  </si>
  <si>
    <t>BT ONA 2,7% 4M 100000</t>
  </si>
  <si>
    <t>BSF MA LEASING du 08/09/1999 7,1%</t>
  </si>
  <si>
    <t>BSF DIAC SALAF du 15/09/1999 7,3%</t>
  </si>
  <si>
    <t>BDT du 04/06/2007 13 sem 3,30%</t>
  </si>
  <si>
    <t>BSF MA LEASING du 16/09/1999 7,1%</t>
  </si>
  <si>
    <t>BSF SOREC CRED du 17/09/1999 8,1%</t>
  </si>
  <si>
    <t>BDT DU 01/12/2014 26SEM à 2.75%</t>
  </si>
  <si>
    <t>BDT DU 08/12/2014 2ANS à 2.95</t>
  </si>
  <si>
    <t>CD BMCE du 19/01/2015 à 2.85%  52 SEM</t>
  </si>
  <si>
    <t>OBL BNDE du 23/10/1992 12,75% à 15 ans bons de 150000 Dhs</t>
  </si>
  <si>
    <t>OBL CIH du 13/04/1995 10,5% à 10 ans bons de 100000 Dhs</t>
  </si>
  <si>
    <t>OBL CIH du 26/05/1995 10,25% à 10 ans bons de 200000 Dhs</t>
  </si>
  <si>
    <t>OBL ATW 10 ans du 10/10/2007</t>
  </si>
  <si>
    <t>OBL ONCF du 30/01/2004 5,55% à 15 ans bons de 150 000 Dh</t>
  </si>
  <si>
    <t>BNDE</t>
  </si>
  <si>
    <t>CD SG du 24/01/2011à 4.09% 23 mois</t>
  </si>
  <si>
    <t>SGMB</t>
  </si>
  <si>
    <t>OBLIG ATW  DU 29/06/2010 7ANS 4.78%</t>
  </si>
  <si>
    <t>OBLIG ATW 29/06/2010 7ANS Taux révisable</t>
  </si>
  <si>
    <t>OBLIG ATW DU 29/06/2010 7ANS 4.78%</t>
  </si>
  <si>
    <t>EN du 31/03/1997 9,5% à 5 ans bons de 5000 Dhs</t>
  </si>
  <si>
    <t>BSF WAFASALAF du 20/09/1999 6,8%</t>
  </si>
  <si>
    <t>BSF SOREC CRED du 21/09/1999 8,1%</t>
  </si>
  <si>
    <t>52 sem</t>
  </si>
  <si>
    <t>2 ans</t>
  </si>
  <si>
    <t>BDT du 18/09/2000 6,25% à 5 ans</t>
  </si>
  <si>
    <t>BDT du 02/10/2000 7,25% à 20 ans</t>
  </si>
  <si>
    <t>BDT du 16/10/2000 6,30% à 5 ans</t>
  </si>
  <si>
    <t>BDT du 16/10/2000 6,70% à 10 ans</t>
  </si>
  <si>
    <t>BDT du 23/10/2000 6,30% à 5 ans</t>
  </si>
  <si>
    <t>BDT du 07/11/2000 5,70% à 52 semaines</t>
  </si>
  <si>
    <t>FPCT CREDILOG III</t>
  </si>
  <si>
    <t>OBL BMCE du 31/12/03 4,50%/3.49% à 5 ans</t>
  </si>
  <si>
    <t>BDT du 07/11/2000 6,70% à 10 ans</t>
  </si>
  <si>
    <t xml:space="preserve">BDT du 20/11/2000 6,30% à 5 ans </t>
  </si>
  <si>
    <t>BDT du 27/11/2000 5,70% à 52 semaines</t>
  </si>
  <si>
    <t>CD ATW DU 18062013 13 SEM 4.15%</t>
  </si>
  <si>
    <t>CD ATW DU 18062013 26 SEM 4.40%</t>
  </si>
  <si>
    <t>CD ATW DU 26062012 2 ANS 4.30%</t>
  </si>
  <si>
    <t>BDT du 2/8/2004 10A à 4.95% 100000</t>
  </si>
  <si>
    <t>BDT du 03/07/2000 5,83% à 2 ans</t>
  </si>
  <si>
    <t>BDT du 03/07/2000 5,84% à 2 ans</t>
  </si>
  <si>
    <t>test</t>
  </si>
  <si>
    <t>BDT du 29/12/2003 3,50% à 26 semaines</t>
  </si>
  <si>
    <t>BDT DU 02/11/2015 2 ANS à 2.75%</t>
  </si>
  <si>
    <t>BDT DU 12/10/2015 52 SEM à 2.60</t>
  </si>
  <si>
    <t>OBL CAM DU 27/11/2015 à4.42% 7 ans</t>
  </si>
  <si>
    <t>BDT DU 30/11/2015 à 2.55% 26SEM</t>
  </si>
  <si>
    <t>BDT du 07/12/2015 13 SEM à 2.51%</t>
  </si>
  <si>
    <t>BDT DU 21/12/2015 2ans à 2.75%</t>
  </si>
  <si>
    <t>CD ATW du 12/01/2016 à 3.12% 2ans</t>
  </si>
  <si>
    <t>BDT DU 19/02/2016 30 ANS à 4.85%</t>
  </si>
  <si>
    <t>CD BMCE DU 18/01/2016 à 2.70% 13 SEM</t>
  </si>
  <si>
    <t>BDT DU 18/01/2016 à 3.10% 7 Ans</t>
  </si>
  <si>
    <t>CD CAM du 24/02/2015 2.98% à 52 sem</t>
  </si>
  <si>
    <t>BDT DU 25/01/2016 à 2.49% 13 SEM</t>
  </si>
  <si>
    <t>BDT DU 15/06/2016 à 3.50% 10 ANS</t>
  </si>
  <si>
    <t>BDT DU 08/02/2016 2.48% 3MOIS</t>
  </si>
  <si>
    <t>BDT DU 23/11/2015 13SEM à 2.51%</t>
  </si>
  <si>
    <t>BDT DU 23/11/2015 13SEM à 2.50%</t>
  </si>
  <si>
    <t xml:space="preserve">CD CAM du 141215 3.08% 52 SEM  </t>
  </si>
  <si>
    <t>BDT DU 30/11/15 26SEM à 2.56%</t>
  </si>
  <si>
    <t>BDT DU 01/02/2016 26 SEM à 2.52%</t>
  </si>
  <si>
    <t>BDT DU 21/03/16 13SEM à 2.3%</t>
  </si>
  <si>
    <t>CD BMCE 18/04/2016 2 ANS à 2,45%</t>
  </si>
  <si>
    <t>CD BMCE 18/04/2016 52SEM à 2,4%</t>
  </si>
  <si>
    <t>CD ATW du 20/04/2016 3ANS à 2,58%</t>
  </si>
  <si>
    <t>BDT DU 25/04/2016 JOUIS 15/05/2016 1AN 2.15%</t>
  </si>
  <si>
    <t>BDT DU 25/04/2016 13SEM à 1.9%</t>
  </si>
  <si>
    <t>BDT DU 25/04/2016 JOUIS 14/05/2016 2ANS 2.2%</t>
  </si>
  <si>
    <t>BDT DU 02/05/2016 20 ANS à 3.55% ATYP</t>
  </si>
  <si>
    <t>BDT DU 09/05/2016 13 SEM à 1.84%</t>
  </si>
  <si>
    <t>BSF EQDOM DU 31/05/2016 5ANS à 2.99%</t>
  </si>
  <si>
    <t>CD SGMB DU 31/05/216 3 ANS à 2.5%</t>
  </si>
  <si>
    <t>CD SGMB DU 31/05/2016 7ANS à 3.08%</t>
  </si>
  <si>
    <t>BSF EQDOM DU 31/05/2016 4 ANS à 2.84%</t>
  </si>
  <si>
    <t xml:space="preserve">CD ATW 12012016 3.31% a 3 ans      </t>
  </si>
  <si>
    <t>BDT du 16/05/2016 15 ans à 3.2%</t>
  </si>
  <si>
    <t>OBL BMCE DU 28/06/2016 à 2.77% 10 ans</t>
  </si>
  <si>
    <t>OBL ATW  NC du 28/06/2016 à T% Révisable 7 ans</t>
  </si>
  <si>
    <t>OBL ATW NC du 28/06/2016 à 3.74% 10 ans</t>
  </si>
  <si>
    <t>OBL BMCE du 28/06/2016 à 3.74% 10 ans</t>
  </si>
  <si>
    <t>CD SGMB DU 30/06/2016 3 Ans à 2.8%</t>
  </si>
  <si>
    <t>CD SGMB DU 30/06/2016 2 ANS à 2.62%</t>
  </si>
  <si>
    <t>CD SGMB DU 29/06/2016 52SEM à 2.44%</t>
  </si>
  <si>
    <t>CD BMCE du 14/07/2016 à 2.50% 52 SEM</t>
  </si>
  <si>
    <t>ONC FPCT TITRIT DU 29/07/2016 à 3.60% 52 SEM</t>
  </si>
  <si>
    <t>BDT DU 01/08/2016 26 SEM à 2.25%</t>
  </si>
  <si>
    <t>BDT DU 18/07/2016 5ANS à 2.5%</t>
  </si>
  <si>
    <t>BDT DU 22/08/2016 13SEM à 2.2%</t>
  </si>
  <si>
    <t>BDT DU 15/08/2016 26 SEM à 2.27%</t>
  </si>
  <si>
    <t>BDT DU 15/08/2016 26 SEM à 2.25%</t>
  </si>
  <si>
    <t>BDT DU 22/08/2016 52SEM à 2.30%</t>
  </si>
  <si>
    <t>BDT DU 22/08/2016 2 ANS à 2.45%</t>
  </si>
  <si>
    <t>OBL FT ENERGY CI du 09/09/2016 52 sem à 3.31%</t>
  </si>
  <si>
    <t xml:space="preserve">CD BMCI du 01/11/15 2.95%  a 52 semaines  </t>
  </si>
  <si>
    <t xml:space="preserve">CD CAM du 22/08/2016 2.56% a 26 semaines    </t>
  </si>
  <si>
    <t>BDT DU 11/07/2016 13 SEM à 2.00%</t>
  </si>
  <si>
    <t>CD BMCI 134 jr 2.40%</t>
  </si>
  <si>
    <t>CD BMCI du 04082016 2 35 a 13 sem</t>
  </si>
  <si>
    <t xml:space="preserve">Obligations MEDITEL D du 31012011 4 87 a 7 ans     </t>
  </si>
  <si>
    <t>CD BMCE 11042016 2 45 2 ans</t>
  </si>
  <si>
    <t>BDT DU 05/09/2016 à 3.20% 10 ANS</t>
  </si>
  <si>
    <t>BDT DU 05/09/2016 26SEM à 2.27%</t>
  </si>
  <si>
    <t>BDT DU 22/08/2016 13SEM à 2.18%</t>
  </si>
  <si>
    <t>BDT DU 10/10/2016 2ANS a 2.45%</t>
  </si>
  <si>
    <t>CD Attijariwafa Bank du 17082015 3 25 a 3 ans</t>
  </si>
  <si>
    <t>BDT du 18/07/2016 2.10% a 26 semaines</t>
  </si>
  <si>
    <t>BDT du 29/08/2016 2.22% a 13 semaines</t>
  </si>
  <si>
    <t>BDT DU 14/11/2016 52 sem à 2.30%</t>
  </si>
  <si>
    <t>CD BMCE du 07042014  4, 25%  a 3 ans</t>
  </si>
  <si>
    <t>BSF WAFASALAF du 27/10/2015 à 3.75% 5 ANS</t>
  </si>
  <si>
    <t>OBL BMCE DU 21/11/2016 5 ans à 2.81%</t>
  </si>
  <si>
    <t>CD BMCE du 24/11/2016  à 2.53%  52 SEM</t>
  </si>
  <si>
    <t xml:space="preserve">CD BMCE du 24/11/2016 à 2.25% 13 SEM </t>
  </si>
  <si>
    <t>CD BMCI du 01/12/2016 à 2.35% 26 SEM</t>
  </si>
  <si>
    <t xml:space="preserve">CD BMCI du 01/12/2016 à 2.25% 13 SEM </t>
  </si>
  <si>
    <t>CD CIH DU 22/05/2015 5ans à 3.80%</t>
  </si>
  <si>
    <t>CD BMCE du 15/07/2016 26 SEM à 2.3%</t>
  </si>
  <si>
    <t>OBL SUBORD CDM du 21/12/2016 à 3.13% REVISABLE 10 ANS</t>
  </si>
  <si>
    <t>OBL OCP PERPITUELLE SUB DU 23/12/16 REVISB</t>
  </si>
  <si>
    <t>CD CDM DU 23/12/2016 à 2.41% 26 SEM</t>
  </si>
  <si>
    <t>OBL ATW DU 23/12/2016 à 2.81% 7ans</t>
  </si>
  <si>
    <t>OBL ATW PERPETUELLE REVIS 52 SEM du 23/12/2016</t>
  </si>
  <si>
    <t>CD CAM du 26/12/2016 à 2.82% 52 SEM</t>
  </si>
  <si>
    <t>BSF TASLIF du 02/09/2014 a 4.90% 5 ans</t>
  </si>
  <si>
    <t>BSF EQDOM 30042015 a 3.99% 5 ans</t>
  </si>
  <si>
    <t>OBL SUB CIH 09/01/15 4.75 10 ANS</t>
  </si>
  <si>
    <t>CD ATW du 12/01/2016 à 2.90% 52SEM</t>
  </si>
  <si>
    <t>BDT DU 09/01/2017 1AN à 2.35%</t>
  </si>
  <si>
    <t>BDT DU 05/12/2016  2ANS 2.4%</t>
  </si>
  <si>
    <t>BDT DU 16/01/2017 5ANS à 2.7%</t>
  </si>
  <si>
    <t>BDT DU 14/12/2016 13SEM à 2.10</t>
  </si>
  <si>
    <t>BDT DU 23/01/2017 52SEM à 2.4%</t>
  </si>
  <si>
    <t>CD BMCE DU 18/04/2014 3ANS à 4.25%</t>
  </si>
  <si>
    <t>CD CDM DU 31/01/2017 26SEM à 2.4%</t>
  </si>
  <si>
    <t>3.322</t>
  </si>
  <si>
    <t>96802.1413920346523825823681211139528676</t>
  </si>
  <si>
    <t>BDT DU 06/02/2017 26SEM à 2.30%</t>
  </si>
  <si>
    <t>BDT 13 SEM DU 13/02/2017 à 2.17%</t>
  </si>
  <si>
    <t>BDT 13 SEM DU 30/01/2017 à 2.19%</t>
  </si>
  <si>
    <t>BDT DU 27/02/2017  ATYP 2ANS à 2.5%</t>
  </si>
  <si>
    <t>Obligation TMSA 2 du 23/03/2017 à 4.39% 20 ans</t>
  </si>
  <si>
    <t>BDT DU 26/03/2017 13SEM à 2.09%</t>
  </si>
  <si>
    <t>CD CDM du 29/03/2017 à 2.50%  52 SEM</t>
  </si>
  <si>
    <t>CD BMCE DU 29/03/2017 à 2.55%  52 SEM</t>
  </si>
  <si>
    <t>BSF EQDOM DU 31/03/2017 à 3.15%  3 ANS</t>
  </si>
  <si>
    <t>BDT du 19/03/2017 à 2.30%  1 AN</t>
  </si>
  <si>
    <t>CD BMCE DU 13/04/2017 52 SEM à 2.55%</t>
  </si>
  <si>
    <t>CD BMCE DU 13/04/2017 2 ans à 2.75%</t>
  </si>
  <si>
    <t>CD BMCE DU 13/04/2017 13 SEM à 2.30%</t>
  </si>
  <si>
    <t>CD BMCE du 18/04/2017 à 2.55%  52 SEM</t>
  </si>
  <si>
    <t>CD BMCE du 18/04/2017 à 2.30%  13  SEM</t>
  </si>
  <si>
    <t>CD BMCE DU 18/04/2017  à  2.75%  2 ANS</t>
  </si>
  <si>
    <t>CD BMCE du 02/05/2017 à 2.75%  2 ans</t>
  </si>
  <si>
    <t>BDT DU 03/04/2018 ATYP à 2.80% 5 ANS</t>
  </si>
  <si>
    <t>CD CIH DU 25/04/2017  5ans à 3.30%</t>
  </si>
  <si>
    <t>CD ATW DU 23/05/2017 13SEM à 2.25%</t>
  </si>
  <si>
    <t>CD ATW DU 23/05/2017  à 2.30% 26SEM</t>
  </si>
  <si>
    <t xml:space="preserve">CD BMCI du 24/05/2017 à 2.25% 15 SEM </t>
  </si>
  <si>
    <t xml:space="preserve">CD BMCI du 24/05/2017 à 2.30% 28 SEM </t>
  </si>
  <si>
    <t>CD BMCE du 02/06/2017 à 2.30%  13  SEM</t>
  </si>
  <si>
    <t>CD BMCE du 02/06/2017 à 2.55%  52 SEM</t>
  </si>
  <si>
    <t>CD BMCE du 02/05/2017 à 2.82%  2 ans</t>
  </si>
  <si>
    <t>FPCT SAKANE Obligations A du 30/01/2012 4.45%</t>
  </si>
  <si>
    <t>CD ATW du 18/07/2016 à 2.55% 52 SEM</t>
  </si>
  <si>
    <t>CD CAM 15032016 3 55 a 5 ans</t>
  </si>
  <si>
    <t>ECAM</t>
  </si>
  <si>
    <t>CD ATW du 23/07/2015 a 3.28% 3 ans</t>
  </si>
  <si>
    <t>CD ATW du 18/09/2015 3.12% a 2 ans</t>
  </si>
  <si>
    <t>Obligations Sub AXA CREDIT TRANCHE B du 31032014 5.95% a 5 ans</t>
  </si>
  <si>
    <t>EAXA</t>
  </si>
  <si>
    <t>CD CFG GROUP du 29/12/2014 a 4% 5ans</t>
  </si>
  <si>
    <t>OBLIG ONCF NON COTE DU 25/01/2010 5.12%</t>
  </si>
  <si>
    <t xml:space="preserve">CD SGMB 31052016 2 81 5 ans    </t>
  </si>
  <si>
    <t>BSF EQDOM du 20/06/2017 à 3.14%  3 ans</t>
  </si>
  <si>
    <t>BSF WAFASALAF du 20/06/2017 à 2.85%  2 ans</t>
  </si>
  <si>
    <t>CD CDM du 23/06/2017 à 2.55%  52 SEM</t>
  </si>
  <si>
    <t>OBL BMCE PERPET du 23/06/2017 à 7.05% REV /10 ANS</t>
  </si>
  <si>
    <t>OBL ATW NC du 29/06/2017 à 3.63% 7 ANS T% FIXE</t>
  </si>
  <si>
    <t>OBL ATW NC T% Révisable du 29/06/2017 à 2.81% 7 ANS</t>
  </si>
  <si>
    <t>OBL BCP NC du 29/06/2017 à 3.63% à T% Fixe 7 ans</t>
  </si>
  <si>
    <t>BDT du 17/06/2017 ATYP à 2.40% 2 ANS</t>
  </si>
  <si>
    <t>OBLIG CGI du 09/07/2014  à 5.22% 5 ans</t>
  </si>
  <si>
    <t>ECGI</t>
  </si>
  <si>
    <t>CD BMCE du 19/06/2017 à 2.63% 26 SEM</t>
  </si>
  <si>
    <t>CD BMCI du 20/07/2017 à 2.40%  26 SEM</t>
  </si>
  <si>
    <t>CD CIH du 31/07/2017 à 2.85% 2 ANS</t>
  </si>
  <si>
    <t>BSF WAFASALAF DU 03/08/2017 à 2.88% 2 ANS</t>
  </si>
  <si>
    <t>BDT DU 16/09/2017 ATYP 07/08/2017 à 2.45% 2 ans</t>
  </si>
  <si>
    <t xml:space="preserve">CD ATW du 25/02/2016 à 3%  3 ANS </t>
  </si>
  <si>
    <t>BSF WAFASALAF du 28/08/2017 à 3.06% 3 ANS</t>
  </si>
  <si>
    <t>CD BMCE DU 06/06/2017 à 2.63%  26 SEM</t>
  </si>
  <si>
    <t xml:space="preserve">CD BMCI du 31/08/2017 à 2.38% 26 SEM </t>
  </si>
  <si>
    <t>BDT DU 28/08/2017 13 SEM à 2.17%</t>
  </si>
  <si>
    <t>CD CDG CAPITAL DU 05/09/2017 26SEM à 2.45%</t>
  </si>
  <si>
    <t>ECDG</t>
  </si>
  <si>
    <t>CD CDG Capital du 05/09/2017 13 sem 2.35%</t>
  </si>
  <si>
    <t>BDT du 17/09/2017 ATYP 07/08/2017 à 2.35% 1 AN</t>
  </si>
  <si>
    <t xml:space="preserve">CD BMCI du 15/09/2017 à 2.32% 15 SEM </t>
  </si>
  <si>
    <t>CD FEC du 18/09/2017 5 ans 3.25%</t>
  </si>
  <si>
    <t>CD FEC du 18/09/2017 à 2.67% 5 ANS Révisable</t>
  </si>
  <si>
    <t>CD CDM DU 25/09/2017 9 mois à 2.48%</t>
  </si>
  <si>
    <t xml:space="preserve">CD BMCI du 25/09/2017 à 2.40% 26 SEM </t>
  </si>
  <si>
    <t>BSF EQDOM du 29/09/2017 à 2.95% 2 ans</t>
  </si>
  <si>
    <t>OBL WAFASALAF DU 29/09/2017 à 3.95% 7 ANS</t>
  </si>
  <si>
    <t>OBL WAFASALAF DU 29/09/2017 à 3.17% 7 ANS</t>
  </si>
  <si>
    <t>CD FEC du 06/10/2017 à 3.19% TFIXE 5 ans</t>
  </si>
  <si>
    <t>CD FEC du 06/10/2017 à 2.61% TREVISABLE 5 ans</t>
  </si>
  <si>
    <t>CD CIH 300617 3 15 a 4 ans</t>
  </si>
  <si>
    <t>BSF WAFASALAF du10/10/2017 à 3.80% 2 ans</t>
  </si>
  <si>
    <t>BSF SOGELEASE du 11/10/2017 à 2.92% 2 ANS</t>
  </si>
  <si>
    <t>BSF SOGELEASE du 11/10/2017 à 3.25% 4 ANS</t>
  </si>
  <si>
    <t>BDT du 18/09/2017 à 2.23% 26 SEM</t>
  </si>
  <si>
    <t>BDT du 18/09/2017 ATYP 19/06/2018 à 2.85% 5ans</t>
  </si>
  <si>
    <t>BSF  SOGELEASE du 29042015 3.57 a 3 ans</t>
  </si>
  <si>
    <t>OBLIGATION FT ENERGY CII 20/10/2017 à 2.98% 52 SEM</t>
  </si>
  <si>
    <t>EFTENERGYCII</t>
  </si>
  <si>
    <t>BSF WAFASALAF du 27/10/2017 à 2.92% 3 ANS</t>
  </si>
  <si>
    <t>OBL ANP DU 31/10/2017 10ANS 3.83%</t>
  </si>
  <si>
    <t>EANP</t>
  </si>
  <si>
    <t xml:space="preserve">CD CDM du 31/10/2017 2.70% a 2 ans </t>
  </si>
  <si>
    <t>BSF EQDOM du 31/10/2017 à 2.86% 2 ans</t>
  </si>
  <si>
    <t>OBL ANP DU 31/10/2017 10ANS 3.02%</t>
  </si>
  <si>
    <t>Obl BMCE du 26/02/2008 tx variable a 10 ans</t>
  </si>
  <si>
    <t xml:space="preserve">Obl ADM  du 29112010 4 75 a 20 ans </t>
  </si>
  <si>
    <t xml:space="preserve">Obl ADM A du 29112010 4 65 a 20 ans     </t>
  </si>
  <si>
    <t>OBL ADM B du 18/04/2011 à 4.55% 20 ans</t>
  </si>
  <si>
    <t>OBL ADI du 05/03/2015 à 5.67%  5 ANS</t>
  </si>
  <si>
    <t>EALLIANCE</t>
  </si>
  <si>
    <t>OBL ADM du 10/06/2015 à 4.45% 15 ANS</t>
  </si>
  <si>
    <t>Obl FEC du tranche B 13072015 4 60 a 15 an</t>
  </si>
  <si>
    <t>OBL ATW du 22/12/2015 à 4.52% 10 ans</t>
  </si>
  <si>
    <t>OBL ATW DU 28/06/2016 à 3.74% 10 ANS</t>
  </si>
  <si>
    <t>OBL BMCE DU 28/06/2016  à 3.74% 10 ANS</t>
  </si>
  <si>
    <t>OBL FEC du 13/10/2016 à 3.92% 15 ANS</t>
  </si>
  <si>
    <t>OBL CGI C du 09/07/2014 4.60% a 5 ans</t>
  </si>
  <si>
    <t>Obl ADDOHA du 11/08/2014 a 4.76% 8 ans</t>
  </si>
  <si>
    <t>EADDOHA</t>
  </si>
  <si>
    <t>Obl SUB ATW TR E du 22/12/2015 4.52% a 10 ans</t>
  </si>
  <si>
    <t>OBLIG ADM DU 13/07/2009 10 ANS 4.27</t>
  </si>
  <si>
    <t>CD CIH du 30/06/2017 3.15% a 4 ans</t>
  </si>
  <si>
    <t>OBLIGATION FT MIFTAH A1 du 15/11/2017 à 3.22%</t>
  </si>
  <si>
    <t>ETITRISATION</t>
  </si>
  <si>
    <t>OBLIGATION FT MIFTAH A2 du 15/11/2017 à 4.03%</t>
  </si>
  <si>
    <t>BDT DU 16/10/2017 52SEM A 2.35%</t>
  </si>
  <si>
    <t>CD BMCE du 23/11/2017 à 2.75%  2 ans</t>
  </si>
  <si>
    <t>BSF WAFABAIL DU 24/11/2017 3.38% 5 ANS</t>
  </si>
  <si>
    <t>OBL LABEL VIE H du 05122014 4 95 a 7 an</t>
  </si>
  <si>
    <t>ELABEL_VIE</t>
  </si>
  <si>
    <t>BSF EQDOM du 28/11/2017 à 2.89% 2 ans</t>
  </si>
  <si>
    <t>OBL FEC DU 06/12/2017 à 3.93%  15 ANS</t>
  </si>
  <si>
    <t>OBL FEC DU 06/12/2017 à 2.77% REVIS 10 ans</t>
  </si>
  <si>
    <t>CD BMCE DU 18/12/2017 à 2.90%   2ans</t>
  </si>
  <si>
    <t>BSF EQDOM DU 27/12/2017 2 ANS à 2.96%</t>
  </si>
  <si>
    <t>CD CDG CAPITAL du 28/12/2017 à 2.40% 13 sem</t>
  </si>
  <si>
    <t>OBL ATW du 28/12/2017 à 2.92% REVIS 7 ANS</t>
  </si>
  <si>
    <t>OBL BCP DU 28/12/2017 à 2.79% REVIS 7 ANS</t>
  </si>
  <si>
    <t>BT MANAGEM du 29/12/2017 à 2.77% 364 J</t>
  </si>
  <si>
    <t>BDT DU 07/11/2017 2ANS à 2.4%</t>
  </si>
  <si>
    <t>OBL MASEN du 16/01/2017 à 3.24% 18ans</t>
  </si>
  <si>
    <t>EMASEN</t>
  </si>
  <si>
    <t>OBL SNI DU 17/01/2018 à 4.08% 10 ANS</t>
  </si>
  <si>
    <t>BDT du 20/05/2018 ATYP 22/01/2018 à 2.40% 1 AN</t>
  </si>
  <si>
    <t>BSF WAFASALAF du 26/01/2018 à 2.96% 2 ANS</t>
  </si>
  <si>
    <t>BDT DU 05/02/2018 ATYP du 18/05/2018 2 ans 2.55%</t>
  </si>
  <si>
    <t>CD ATW du 13/02/2018 à 2.86% 2 ANS</t>
  </si>
  <si>
    <t>valo</t>
  </si>
  <si>
    <t>Selon NI</t>
  </si>
  <si>
    <t>BSF WAFASALAF du 20/02/2018 à 3.30% 5 ans</t>
  </si>
  <si>
    <t>BSF WAFASALAF du 20/02/2018 à 2.85% 2 ans</t>
  </si>
  <si>
    <t>BDT DU 05/02/2018 à 3.30% 10 ANS</t>
  </si>
  <si>
    <t>Date d'émission</t>
  </si>
  <si>
    <t>BSF EQDOM DU 02/03/2018 2 ans 2.94%</t>
  </si>
  <si>
    <t>capiçtal restant 2018</t>
  </si>
  <si>
    <t>capital unitaire</t>
  </si>
  <si>
    <t>amortisement</t>
  </si>
  <si>
    <t>flux</t>
  </si>
  <si>
    <t>capital restant 2017</t>
  </si>
  <si>
    <t>coupon2018</t>
  </si>
  <si>
    <t>amorti2018</t>
  </si>
  <si>
    <t xml:space="preserve"> l'amortissement est fourni par CDG; et il a été forcé juste pour l'année 2019</t>
  </si>
  <si>
    <t>CD CDG CAPITAL du 16/03/2018 à 2.58% 52 SEM</t>
  </si>
  <si>
    <t>OBL TMSA du 23/03/2017 à 4.42% 20 ans</t>
  </si>
  <si>
    <t>ETMSA</t>
  </si>
  <si>
    <t>CD BMCI du 22/03/2018 à 2.35% 13 SEM</t>
  </si>
  <si>
    <t>CD BMCI du 22/03/2018 à 2.40% 26 SEM</t>
  </si>
  <si>
    <t>CD SGMB du 22/03/2018 à 2.80% 2 ANS</t>
  </si>
  <si>
    <t>CD SGMB du 22/03/2018 à 2.83% 27 MOIS</t>
  </si>
  <si>
    <t>CD SGMB du 22/03/2018 à 2.85% 30 mois</t>
  </si>
  <si>
    <t>CD BMCE du 29/03/2018 à 2.55% 52 SEM</t>
  </si>
  <si>
    <t>CD BMCE DU 29/03/2018 à 2.75% 2 ans</t>
  </si>
  <si>
    <t>BDT du 15/01/2018 ATYP jouiss 18/07/2018 à 3.70% 15 ans</t>
  </si>
  <si>
    <t>BSF TASLIF du 12/04/2016 3.72% 5 ans</t>
  </si>
  <si>
    <t>ETASLIF</t>
  </si>
  <si>
    <t>Taslif</t>
  </si>
  <si>
    <t>CD BMCE du 17/04/2018 à 2.56% 52 SEM</t>
  </si>
  <si>
    <t>CD BMCE DU 17/04/2018 à 2.75% 2 ans</t>
  </si>
  <si>
    <t>Commentaire/ Date de jouissance</t>
  </si>
  <si>
    <t>BSF RCI FINANCE MAROC 24/07/18 2 ANS ATYP à 3.18%</t>
  </si>
  <si>
    <t>ERCIFINANCE</t>
  </si>
  <si>
    <t xml:space="preserve">CD CDM du 30/04/2018 2.77% a 2 ans </t>
  </si>
  <si>
    <t>Date valorisation</t>
  </si>
  <si>
    <t>BSF WAFABAIL du 02/05/18 à 3.36% 5 ans</t>
  </si>
  <si>
    <t>OBL OCP PERPET du 14/05/18 Révis 10 ans 4.03%</t>
  </si>
  <si>
    <t>OBL OCP PERPET du 14/05/2018 Révis tt ans 3%</t>
  </si>
  <si>
    <t>Tranche B: Révisable chaque 10 ans; option de remboursement anticipé le 14/05/2028; stepu up=25 à partir de 14/05/2028 et 57 à partir de 2048</t>
  </si>
  <si>
    <t>OBL OCP PERPET du 14/05/2018 Révis 15 ans à 4.72%</t>
  </si>
  <si>
    <t>Tranche D:Révisable chaque 15ans; option de remboursement anticipé le 14/05/2033; stepu up=25 à partir de 14/05/2033 et 75 à partir de 2053</t>
  </si>
  <si>
    <t>BSF WAFASALAF du 25/05/2018 à 2.85% 2 ans</t>
  </si>
  <si>
    <t>CD BMCI du 30/05/2018 à 2.45% 26 SEM</t>
  </si>
  <si>
    <t>BSF EQDOM du 31/05/2018 à 2.98% 2 ans</t>
  </si>
  <si>
    <t xml:space="preserve">CD CAM du 02/04/2018 à 2.80% 2 ans </t>
  </si>
  <si>
    <t>CD SG du 07/06/2018 à 2.68% 52 SEM</t>
  </si>
  <si>
    <t xml:space="preserve">CD SG DU 07/06/2018 à 2.79% 15 mois </t>
  </si>
  <si>
    <t xml:space="preserve">CD SG DU 07/06/2018 à 2.86% 19 mois </t>
  </si>
  <si>
    <t>CD SGMB du 07/06/2018 à 2.90% 22 MOIS</t>
  </si>
  <si>
    <t>BDT ATYP DU 04/06/2018 2ANS à 2.5%</t>
  </si>
  <si>
    <t>CD BMCI du 13/06/2018 à 2.45% 26 SEM</t>
  </si>
  <si>
    <t>CD BMCI du 13/06/2018 à 2.45% 52 sem</t>
  </si>
  <si>
    <t>OBL HOLMARCOM du 13/06/2018 à 3.50% 5 ans</t>
  </si>
  <si>
    <t>EHOLMARCOM</t>
  </si>
  <si>
    <t>BDT du 16/10/2018 ATYP 18/06/2018 à 2.80% 5 ans</t>
  </si>
  <si>
    <t>OBLIG ONCF du 25/01/10 15 ans 5.12% (TRANCHE A)COTE</t>
  </si>
  <si>
    <t>ATTIJARIWAFA BANK</t>
  </si>
  <si>
    <t>Echéancier Prévisionnel des Parts A2</t>
  </si>
  <si>
    <t>durée: on divise sur le trimestre et on annualise: on refait ça pour chaque nouveau trimestre méthode convenu avec manar</t>
  </si>
  <si>
    <t>OBL SUB BCP du 29/06/2017 10 ans à 4%</t>
  </si>
  <si>
    <t>CD BMCI du 27/06/2018 à 2.57% 52 SEM</t>
  </si>
  <si>
    <t>CD BMCI du 27/06/2018 à 2.48%  26 SEM</t>
  </si>
  <si>
    <t>CD CDM du 25/06/2018 à 2.70% 18 mois</t>
  </si>
  <si>
    <t xml:space="preserve">OBL SGMB du 28/06/2018 à 4% 10 ANS </t>
  </si>
  <si>
    <t>BSF EQDOM du 29/06/2018 à 3.12% 3 ANS</t>
  </si>
  <si>
    <t xml:space="preserve">OBL ATW SUBRD du 29/06/2018 à 3.32% 7ans Amort </t>
  </si>
  <si>
    <t>selon la NI, il s'agit d'un remboursement ammortissable linéaire avec un différé sur les 2 premières années(in fine)</t>
  </si>
  <si>
    <t>BDT du 14/09/2018 à 2.50% ATYP 09/07/2018 2 ANS</t>
  </si>
  <si>
    <t>echeancier fixe (pas de changement)</t>
  </si>
  <si>
    <t>BT MANAGEM du 13/07/2018 à 2.56% 26 SEM</t>
  </si>
  <si>
    <t>PALMERAIE DEVELEPOMMENT</t>
  </si>
  <si>
    <t>OBL PALMERAIE Développement 25/07/18 à 5.69% 5 ANS</t>
  </si>
  <si>
    <t>CD CDM DU 02/08/2018à 2.98% 3 ANS</t>
  </si>
  <si>
    <t>BSF WAFASALAF du 06/08/2018 à 3.28% 5 ans</t>
  </si>
  <si>
    <t>tranche A: taux révisable: 52s de la dernière courbe bam avant la date de paiement du coupon de 5 jours de bourse+prime 160</t>
  </si>
  <si>
    <t>CD ATW DU 11/09/2017 à 2.61% 52 SEM</t>
  </si>
  <si>
    <t xml:space="preserve">BDT du 09/11/2018 2ans à 2.50% ATYP 13/08/18 </t>
  </si>
  <si>
    <t>CD ATW du 31/08/2018 à 2.89% 2 ans</t>
  </si>
  <si>
    <t>BDT DU 13/08/2018 52SEM A 2.40%</t>
  </si>
  <si>
    <t>BSF WAFASALAF DU 07/09/2018 5 Ans à 3.28%</t>
  </si>
  <si>
    <t>Ewaf_Sal</t>
  </si>
  <si>
    <t>BSF WAFASALAF DU 07/09/2018 2 Ans à 2.87%</t>
  </si>
  <si>
    <t>CD CIH 280917 3,30% a 5 ans</t>
  </si>
  <si>
    <t>CD CDM du 28/09/2018 à 3.02% 3 ans</t>
  </si>
  <si>
    <t>CD CDG CAPITAL DU 03/10/2018 26 SEM à 2.56%</t>
  </si>
  <si>
    <t>CD CDG CAPITAL DU 03/10/2018 13 SEM à 2.49%</t>
  </si>
  <si>
    <t>taux révisable (Voir la NI tranche D)</t>
  </si>
  <si>
    <t>CRD fin</t>
  </si>
  <si>
    <t>Obligation SUKUK</t>
  </si>
  <si>
    <t>FT IMPERIUM SUKUK COMP DU 15/10/2018 A 2.66%</t>
  </si>
  <si>
    <t>Obligation Sukuk</t>
  </si>
  <si>
    <t>Echéancier Prévisionnel Fixe</t>
  </si>
  <si>
    <t>CD CDM du 19/10/2018 à 2.41% 61 Jours</t>
  </si>
  <si>
    <t>CD CDM du 19/10/2018 à 2.88% 2 ANS</t>
  </si>
  <si>
    <t>CD ATW DU 20/07/2018 à 2.64% 52SEM</t>
  </si>
  <si>
    <t>BDT du 22/10/2018 à 2.60% ATYP 2 ANS</t>
  </si>
  <si>
    <t>Tranche A</t>
  </si>
  <si>
    <t xml:space="preserve">taux révisable annuellement: 52S de BAM publié 5 jours de bourse avant la date de coupon+spread (72pbs) </t>
  </si>
  <si>
    <t>ANP</t>
  </si>
  <si>
    <t xml:space="preserve">taux révisable annuellement: 52S de BAM publié 5 jours de bourse avant la date de coupon+spread (75pbs) </t>
  </si>
  <si>
    <t>Tranche B</t>
  </si>
  <si>
    <t>taux fixe</t>
  </si>
  <si>
    <t>OBL JAIDA du 22/11/2017 à 3.37% 3 ans</t>
  </si>
  <si>
    <t>EJAIDA</t>
  </si>
  <si>
    <t>BSF RCI du 26/02/2018 à 3.11% 27mois ATYP</t>
  </si>
  <si>
    <t>BSF RCI FINANCE du 26/11/2018 à 3.23% 3 ans</t>
  </si>
  <si>
    <t>la méthode de valo était erronée depuis création jusqu'au 01/11/2018 (in fine)</t>
  </si>
  <si>
    <t>ONCF</t>
  </si>
  <si>
    <t>Tranche C:taux révisable 52 se de la courbe BAM; 5 jours de bourse avant la date de coupon+spread 50</t>
  </si>
  <si>
    <t>BDT du 20/01/2019 ATYP 26/11/2018 à 2.45% 52 SEM</t>
  </si>
  <si>
    <t>OBL FT SALAF INVEST du 24/12/18 ATYP Emiss 12/12 5 ans</t>
  </si>
  <si>
    <t>ESALAF</t>
  </si>
  <si>
    <t>CD BMCE du 17/12/2018 à 2.70% 52 SEM</t>
  </si>
  <si>
    <t>SUB</t>
  </si>
  <si>
    <t>OBL SUB CDM 17/12/2048 à 4.05% 10 ANS</t>
  </si>
  <si>
    <t>tranche C</t>
  </si>
  <si>
    <t>OBL MEDITEL du 18/12/2018 à 3.97% 7 ans</t>
  </si>
  <si>
    <t>MEDITEL</t>
  </si>
  <si>
    <t>Placement privé; non coté; taux fixe; coupon= capitalrestant*taux*nbrjours/360</t>
  </si>
  <si>
    <t>OBLIGATION SUBORDONNEE</t>
  </si>
  <si>
    <t xml:space="preserve">OBL SUB BCP du 20/12/2018  à  2.94 % Var 10 ans </t>
  </si>
  <si>
    <t xml:space="preserve">OBL SUBORDONNE </t>
  </si>
  <si>
    <t xml:space="preserve">BCP </t>
  </si>
  <si>
    <t>tranche C: taux variable: taux 52S BKAM 5 jours de bourse avant la date de coupon+spread de 50</t>
  </si>
  <si>
    <t>CD BCP du 21/12/2018 à 2.51% 26 SEM</t>
  </si>
  <si>
    <t>CD BCP DU 21/12/2018 à 2.64% 52 sem</t>
  </si>
  <si>
    <t>Tranche D: révisable annuellement: taux BKAM 52S à la courbe publié 5 jours de bourse avant la date dde coupon+85spread</t>
  </si>
  <si>
    <t>tranche B: révisable annuellement : taux BKAM 52S à la courbe publié 5 jours de bourse avant la date dde coupon+170spread; NI rectifié par un nouveaux avenant envoyé par la SDM</t>
  </si>
  <si>
    <t>Tranche C:taux révisable: 52S adjugé lors de la dernière seance adju précédant la date d'anniversaire d'au moins 5 jours de bourse, si il est non retenu, on prend celui de l'avant dernière, sinon, celui de BKAM 5 jours de bourse avant la date de coupon+100prime; attention il y a un step up apres 10 ans (2026)</t>
  </si>
  <si>
    <t>OBL ATW SUB PERP 27/12/2018 à 5.98% REVIS 10ans</t>
  </si>
  <si>
    <t>tranche A non coté; perpétuel; révisable chaque 10 ans; taux révision: taux BKAM 10ans 5jours de bourse avant la date de paimeent du coupon+spread 260</t>
  </si>
  <si>
    <t>OBL SUB ATW du 27/12/2018 PERPET REVIS 52 SEM</t>
  </si>
  <si>
    <t>tranche B non coté; perpétuel; révisable annuellement; taux révision: taux BKAM 52S 5jours de bourse avant la date de paimeent du coupon+spread 235</t>
  </si>
  <si>
    <t>tranche D: taux révisable annuellement, 52S BKAM 5 jours de bourse avant la date de paiement du coupon+spread de 65</t>
  </si>
  <si>
    <t>taux révisable annuellement, 52S BKAM 5 jours de bourse avant la date de paiement du coupon+spread de 50</t>
  </si>
  <si>
    <t>BT MANAGEM du 21/01/2019 à 2.95% 52 SEM</t>
  </si>
  <si>
    <t>EMANAGEM</t>
  </si>
  <si>
    <t>CD ATW du 25/01/2019 à 3.08%  3 ANS</t>
  </si>
  <si>
    <t>CD ATW du 25/01/2019 à 2.94% 2 ans</t>
  </si>
  <si>
    <t>BDT du 15/03/19 à 2.60% 3ans ATYP 07/01/19</t>
  </si>
  <si>
    <t>BDT du 15/04/19 à 2.85% 5 ANS ATYP 14/01/19</t>
  </si>
  <si>
    <t>BSF WAFABAIL du 13/02/19 à 3.35% 5 ans</t>
  </si>
  <si>
    <t>2 eme changement le 18/02/2019( taux zc--&gt;taux bam et coupon actualisé monétaire)</t>
  </si>
  <si>
    <t>TauxBAM</t>
  </si>
  <si>
    <t xml:space="preserve">CD SGMB du 22/02/2019 à 2.92% 7 ans Révis 52 sem </t>
  </si>
  <si>
    <t>CD SGMB du 22/02/2019 à 3.15% 5 ANS</t>
  </si>
  <si>
    <t>CD SGMB du 22/02/2019 ATYP à 3.31% 6 ans</t>
  </si>
  <si>
    <t>BDT du 02/04/18 ATYP 16/08/18 à 3.95% 20 ANS</t>
  </si>
  <si>
    <t>BDT du 04/02/19 ATYP 18/06/19 à 3.35%  10 ans</t>
  </si>
  <si>
    <t>BSF RCI FINANCE du 18/03/2019 à 3.04% 3 ans</t>
  </si>
  <si>
    <t>CD CDG CAPITAL 15/03/2019 2.59% 52 SEM</t>
  </si>
  <si>
    <t>attention au taux zc qand la maturité devienne 365</t>
  </si>
  <si>
    <t>CD ATW DU 28/03/2019 4 ans à 3.06%</t>
  </si>
  <si>
    <t>CD BMCE du 28/03/2019 à 2.59% 52 SEM</t>
  </si>
  <si>
    <t>BSF WAFASALAF DU 29/03/2019 5 Ans à 3.15%</t>
  </si>
  <si>
    <t>CD SGMB du 29/03/2019 ATYP à 3,21% 5 ans</t>
  </si>
  <si>
    <t>CD SGMB du 29/03/2019 ATYP à 3,38% 6 an</t>
  </si>
  <si>
    <t xml:space="preserve">CD SGMB du 29/03/2019 à 2.92% 7 ans Révis 52 sem </t>
  </si>
  <si>
    <t>CD BMCE du 29/03/2019 à 2.53%  13 SEM</t>
  </si>
  <si>
    <t>BSF EQDOM 29/03/2019 4 ans à 3.05%</t>
  </si>
  <si>
    <t>CD CDG CAPITAL DU 03/04/2019 26 SEM à 2.5%</t>
  </si>
  <si>
    <t>BSF SOGELEASE du 05/04/2019 à 2.84% 2 ANS</t>
  </si>
  <si>
    <t>BSF SOGELEASE à 3.10% du 05/04/2019 4 ans</t>
  </si>
  <si>
    <t>BSF WAFASALAF du 15/04/2019 à 3.13% 5 ANS</t>
  </si>
  <si>
    <t>CD ATW du 18/04/2019 à 2.55% 26 SEM</t>
  </si>
  <si>
    <t>OBL ADM du 29/04/19 30ans à 4.33% AMORT avec DIF 15</t>
  </si>
  <si>
    <t xml:space="preserve">extrapolation linéaire pour les 30 ans </t>
  </si>
  <si>
    <t xml:space="preserve">zc 30 ans </t>
  </si>
  <si>
    <t>BDT du 15/04/19 ATYP 17/07/19 à 3.50% 15ANS</t>
  </si>
  <si>
    <t>méthode 2: (adoptée par manar) avec extrapolation des points indisponibles par les points justes inférieurs (disponibles)</t>
  </si>
  <si>
    <t>correcte</t>
  </si>
  <si>
    <t>BDT du 18/05/19 ATYP 29/04/19 à 2.35% 52 SEM</t>
  </si>
  <si>
    <t>Tranche C:Révisable annuellement(taux de révision: 52S de de la courbe primaire si il est adjudé lors de la dernière seance précedant 5 jours de bourse la date de coupon ou le taux adjugé lors de la seance précedante; sinon c'est le taux 52 S depuis BKAM+70pbs) et pérpetuelle sur 10 ans; option de remboursement anticipé le 14/05/2028; stepu up=25 à partir de 14/05/2028 et 57 à partir de 2048</t>
  </si>
  <si>
    <t xml:space="preserve">CD CIH du 30/05/2019 à 2.40% 26 SEM </t>
  </si>
  <si>
    <t>CD CIH du 30/05/2019 à 2.50%  52 SEM</t>
  </si>
  <si>
    <t>OBL BMCE du 03062009 4.51% 10 ans + 10 ans (52s+100bp)</t>
  </si>
  <si>
    <t xml:space="preserve">OBL ANP du 04/06/2019 à 3.91% 15 ans TRANCH B </t>
  </si>
  <si>
    <t>OBLIG</t>
  </si>
  <si>
    <t>OBLIGATION</t>
  </si>
  <si>
    <t xml:space="preserve">OBL ANP du 04/06/2019 à 3.02% 10 ans TRANCH A </t>
  </si>
  <si>
    <t xml:space="preserve">taux révisable annuellement: 52S de BAM publié 5 jours de bourse avant la date de coupon+spread (70pbs) </t>
  </si>
  <si>
    <t>CD BMCI du 12/06/2019 à 2.45% 26 SEM</t>
  </si>
  <si>
    <t>CD BMCI du 12/06/2019 à 2.50% 52 SEM</t>
  </si>
  <si>
    <t>CD BMCI du 14/06/2019 à 2.45% 13 sem</t>
  </si>
  <si>
    <t>BSF WAFASALAF du 19/06/2019 à 3.02% 5 ans</t>
  </si>
  <si>
    <t>OBL WAFASALAF du 27/06/2019 7 ans à 2.91% Rév Annuel</t>
  </si>
  <si>
    <t xml:space="preserve">CD  BCP du 28/06/2019 à 2.50% 52 sem </t>
  </si>
  <si>
    <t>OBLIGATION SUBORDONNEE PERPETUELLE</t>
  </si>
  <si>
    <t>OBL SUB ATW du 28/06/19 PERPET 5.48 % REV 10ans</t>
  </si>
  <si>
    <t>OBL SUBORDONNE PERP</t>
  </si>
  <si>
    <t xml:space="preserve">OBL ATW du 28/06/19 à 4.60% PERP Révis 52 SEM </t>
  </si>
  <si>
    <t xml:space="preserve">Récap </t>
  </si>
  <si>
    <t xml:space="preserve">à a jouter titre révisable 52 semaine se calcule par la méthofde d'actualisation monétaire (M) depuis la création c e d meme si Maturité = 366 ( chose à changer sur manar qui est resté sur 365 jrs) </t>
  </si>
  <si>
    <t>CD ATW du 10/07/2019 à 2.66% 2 ans</t>
  </si>
  <si>
    <t>CD ATW du 10/07/2019 à 2.88% 4 ans</t>
  </si>
  <si>
    <t>BSF WAFABAIL du 09/07/2015 à 3.85% 5ans</t>
  </si>
  <si>
    <t>afc</t>
  </si>
  <si>
    <t>OBL FEC du 12/07/2019 à 3.49% 15 ans Amrt Annuel</t>
  </si>
  <si>
    <t xml:space="preserve">OBLIGATION </t>
  </si>
  <si>
    <t>CD CIH du 31/07/2019 à 2.56% 14 mois</t>
  </si>
  <si>
    <t>BSF EQDOM du 31/07/2019 à 3.02% 5 ANS</t>
  </si>
  <si>
    <t>CD ATW du 31/07/2019 à 2.46% 13 sem</t>
  </si>
  <si>
    <t>BSF WAFASALAF du 02/08/2019 à 2.79% 3 ans</t>
  </si>
  <si>
    <t>BSF WAFASALAF du 02/08/2019 à 3.04% 5ans</t>
  </si>
  <si>
    <t>BDT du 20/05/2019 ATYP 14/10/2019 à 2.60% 5 ans</t>
  </si>
  <si>
    <t>BDT DU 20/09/2019 2 ANS à 2.40%</t>
  </si>
  <si>
    <t>CD ATW du 09/09/2019 à 2.68% 2 ans</t>
  </si>
  <si>
    <t>CD BMCI du 09/09/2019 à 2.45% 26 SEM</t>
  </si>
  <si>
    <t>BSF WAFASALAF DU 24/09/2019 2.79%</t>
  </si>
  <si>
    <t>BDT DU 15/08/2019 52 SEM à 2.35%</t>
  </si>
  <si>
    <t>CD ATW DU 18/04/2019 à 2.61% 52 sem</t>
  </si>
  <si>
    <t>OBL WAFASALAF du 07/11/14 à 4.33% 5ans Révisable</t>
  </si>
  <si>
    <t xml:space="preserve">BSF WAFASALAF du 10/10/19 2 ans à 2.67% </t>
  </si>
  <si>
    <t>BSF WAFASALAF du 10/10/19 à 2.79% 3 ANS</t>
  </si>
  <si>
    <t>taux 52s monétaire 5 jours de bourse avant la date coupon+75pbs</t>
  </si>
  <si>
    <t>mat1</t>
  </si>
  <si>
    <t>mat2</t>
  </si>
  <si>
    <t>taux1</t>
  </si>
  <si>
    <t>taux2</t>
  </si>
  <si>
    <t>taux 30ans</t>
  </si>
  <si>
    <t>OBL</t>
  </si>
  <si>
    <t>OBL ONCF du 31/10/19 à 4.02% 30 ANS AMRT LIN 15ans</t>
  </si>
  <si>
    <t>CD CDM du 31/10/2019 à 2.74% 3 ans</t>
  </si>
  <si>
    <t>Cd</t>
  </si>
  <si>
    <t>CD CDM du 31/10/2019 à 2.63% 2 ans</t>
  </si>
  <si>
    <t>BSF WAFASALAF du 07/11/19 à 2.66% 2ans</t>
  </si>
  <si>
    <t>OBL SUB BMCI du 12/11/2019 Révis à 2.86% 10 ANS</t>
  </si>
  <si>
    <t>BDT DU 21/10/2019 13 SEM à 2.17%</t>
  </si>
  <si>
    <t>BDT</t>
  </si>
  <si>
    <t>BDT DU 21/10/2019 13 SEM à 2.16%</t>
  </si>
  <si>
    <t>BSF RCI FINANCE du 26/11/2019 à 2.73% 3 ANS</t>
  </si>
  <si>
    <t>OBL EQDOM du 27/11/2019 à 2.72% 4 ans AMORT/ANUE</t>
  </si>
  <si>
    <t>Eqdom</t>
  </si>
  <si>
    <t>CD ATW du 28/11/2019 à 2.78% 4 ANS</t>
  </si>
  <si>
    <t>cd</t>
  </si>
  <si>
    <t>awb</t>
  </si>
  <si>
    <t>BDT du 12/11/2019 à 2.35% 2 ANS</t>
  </si>
  <si>
    <t>bdt</t>
  </si>
  <si>
    <t>CD CDG CAPITAL du 06/12/2019 à 2.49% 9 mois</t>
  </si>
  <si>
    <t>CD CDG CAPITAL du 06/12/2019 à 2.52%  52 SEM</t>
  </si>
  <si>
    <t>obl</t>
  </si>
  <si>
    <t>OBLIGATION A1 MIFTTAH 09/12/2019 12 ANS AMORT</t>
  </si>
  <si>
    <t>A1</t>
  </si>
  <si>
    <t>A2</t>
  </si>
  <si>
    <t xml:space="preserve">taux 52s avant 4jours de bourse de la date de paiement+prime </t>
  </si>
  <si>
    <t>v1</t>
  </si>
  <si>
    <t>v2</t>
  </si>
  <si>
    <t>CD BCP du 16122019 à 2.50% 52 SEM</t>
  </si>
  <si>
    <t>CD SGMB du 25/12/2017 à 2.85% 2 ans</t>
  </si>
  <si>
    <t>CD SGMB du 19/12/2019 à 2.54% 39 sem</t>
  </si>
  <si>
    <t>CD SGMB du 19/12/2019 à 2.51% 26 sem</t>
  </si>
  <si>
    <t>CD SGMB du 19/12/2019 à 2.44% 13 sem</t>
  </si>
  <si>
    <t>OBL SUB BCP du 26/12/2019 à 3.28% 10ans  Fixe</t>
  </si>
  <si>
    <t>tranche D</t>
  </si>
  <si>
    <t>OBL ATW SUB PERP 27/12/2019 à 5.23% REVIS 10ans</t>
  </si>
  <si>
    <t>tranche A: taux révisable chaque 10ans: taux 10ans depuis bam avant 5 jourss de bourse+250</t>
  </si>
  <si>
    <t>OBL SUB ATW du 27/12/2019 PERPET REVIS 52 SEM</t>
  </si>
  <si>
    <t>tranche B: taux révisable annuellement: taux 52sem depuis bam avant 5 jourss de bourse+230</t>
  </si>
  <si>
    <t>CD SGMB du 30/12/2019 à 2.55 %  1 AN</t>
  </si>
  <si>
    <t xml:space="preserve">CD FEC du 30/12/2019 à 2.82% 5 ans </t>
  </si>
  <si>
    <t>CD SGMB du 30/06/2020 à 2.61 % ATYP 1 AN</t>
  </si>
  <si>
    <t>OBL SUB ATW du 31/12/2019 à 2.97% 7 ANS Amrt 5ans</t>
  </si>
  <si>
    <t>AWB</t>
  </si>
  <si>
    <t xml:space="preserve">BDT DU 16/04/2020 3.35% </t>
  </si>
  <si>
    <t>BDT DU 14/02/2020 30ANS 4%</t>
  </si>
  <si>
    <t>BDT DU 17/06/2020 10 ANS 2.7%</t>
  </si>
  <si>
    <t>mon</t>
  </si>
  <si>
    <t>année bissextille: changement en rouge à faire</t>
  </si>
  <si>
    <t>mat_court</t>
  </si>
  <si>
    <t>taux_court_act</t>
  </si>
  <si>
    <t>BDT du 16/07/2020 à 3% ATYP 20/01/2020 15 ans</t>
  </si>
  <si>
    <t>BSF RCI FINANCE du 21/01/2020 à 2.72% 3 ans</t>
  </si>
  <si>
    <t>BT MANAGEM du 21/01/20 à 2.79% 52 SEM</t>
  </si>
  <si>
    <t>BSF WAFASALAF du 24/01/2020 à 2.88% 5ans</t>
  </si>
  <si>
    <t>ADI</t>
  </si>
  <si>
    <t>BSF WAFASALAF du 11/02/2020 à 2.92%  5 ans</t>
  </si>
  <si>
    <t>BDT du 17/05/2020 ATYP 27/01/2020 à 2.30% 1an</t>
  </si>
  <si>
    <t>OBL ADM du 25/02/2020 à 3.83% 30 ans Amort DIF 15ans</t>
  </si>
  <si>
    <t>BSF EQDOM du 02/03/2020 à 2.69%  2ans</t>
  </si>
  <si>
    <t>ATTENTION: VERIFIER 366 (Monétaire) DANS LA COURBE</t>
  </si>
  <si>
    <t>CD ATW DU 12/03/2019 3 ANS</t>
  </si>
  <si>
    <t>CD ATW DU 12/03/2019 2 ANS</t>
  </si>
  <si>
    <t>CD CDG CAPITAL du 13/03/2020 à 2.49% 26 SEM</t>
  </si>
  <si>
    <t>BSF WAFASALAF du 17/03/2020 à 2.71% 2ans</t>
  </si>
  <si>
    <t xml:space="preserve"> ,   </t>
  </si>
  <si>
    <t>bsf</t>
  </si>
  <si>
    <t>BSF WAFABAIL DU 24/03/2020 5ans à 3.13%</t>
  </si>
  <si>
    <t>BSF WAFASALAF DU 24/03/2020 5ans à 3.08%</t>
  </si>
  <si>
    <t>Annee</t>
  </si>
  <si>
    <t>OBL LYDEC à 4.50% du 31/12/2013 13 ans</t>
  </si>
  <si>
    <t>BSF SALAFIN du 12/04/2016 à 3.72% 5 ans</t>
  </si>
  <si>
    <t>taux révisable: 52S un jour avant chaque date d'anniversaire sur la base de la courbe BKM+58pbs</t>
  </si>
  <si>
    <t>BSF WAFASALAF du 01/04/2020 à 2.71%  2 ans</t>
  </si>
  <si>
    <t>BDT du 09/03/2020 à 2.40% 2 ans</t>
  </si>
  <si>
    <t>CD CFG BANK du 11/12/2019 à 3.40% 5 ans</t>
  </si>
  <si>
    <t>OBL PERPT Crédit Agricole du 28/10/19 à 5.78% REV 10ans</t>
  </si>
  <si>
    <t>taux de rendement</t>
  </si>
  <si>
    <t>obl perp et revisable chaque 10 ans: taux 10 ans , 5jours de bourse avant la date d'anniv+280prime. Tranche A</t>
  </si>
  <si>
    <t>BDT DU 04/05/2020 2.18% 26 SEM</t>
  </si>
  <si>
    <t>OBL AL MADA du 11/05/2020 à 3.44%  10 ans</t>
  </si>
  <si>
    <t>BDT du 11/05/20 ATYP 14/06/20 à 2.25%   1 AN</t>
  </si>
  <si>
    <t>CD CIH du 18/05/2020 à 2.63%  2ans</t>
  </si>
  <si>
    <t>BDT DU 14/04/2020 5 ANS à 2.5%</t>
  </si>
  <si>
    <t>BDT du 18/07/2020 ATYP 11/05/2020 à 2.35% 2 ANS</t>
  </si>
  <si>
    <t>BDT du 26/05/2020 à 2.05% 13 SEM</t>
  </si>
  <si>
    <t>CD SGMB du 27/05/2020 à 2.70%  2ans</t>
  </si>
  <si>
    <t>CD SGMB du 27/05/2020 à 2.65% 18 mois</t>
  </si>
  <si>
    <t>OBL ONDA du 09/06/2020 à 3.67% 10 ANS Trabche A</t>
  </si>
  <si>
    <t>CD BMCI du 10/06/2020 à 2.30%  26 SEM</t>
  </si>
  <si>
    <t>521,57 le coupon , effet covid</t>
  </si>
  <si>
    <t>CD CDG du 16/06/2020 à 2.29% 39 SEM</t>
  </si>
  <si>
    <t>cette obligation a changé le code isin à partir 19/06/2020, 5109 au liede 5008</t>
  </si>
  <si>
    <t>EURO</t>
  </si>
  <si>
    <t>USD</t>
  </si>
  <si>
    <t>JPY</t>
  </si>
  <si>
    <t>CAD</t>
  </si>
  <si>
    <t>TND</t>
  </si>
  <si>
    <t xml:space="preserve">OBL ATW du 25/06/20 à 4.48% PERP Révis 52 SEM </t>
  </si>
  <si>
    <t>Révisable Annuelement : en référence au taux plein 52 semaines (taux monétaire) déterminé à partir de la courbe des taux de référence du marché secondaire des bons du Trésor telle que publiée par Bank AlMaghrib en date du 30 mai 2019, soit 2,30%, augmenté d’une prime de risque, soit entre 4,60% et 4,70% pour la première année</t>
  </si>
  <si>
    <t>tranche B; taux révisable est taux 52S 5 jours de bourse avant la date coupon+60 prime</t>
  </si>
  <si>
    <t>BSF EQDOM du 30/06/2020 à 2,19% 2ans</t>
  </si>
  <si>
    <t>OBL ADM DU 10/02/2014 15ans à 6.03%</t>
  </si>
  <si>
    <t>OBL ADM DU 25/02/2020 30ans à 3.87%</t>
  </si>
  <si>
    <t>OBL ADM DU 10/02/2014 20ans à 6.55%</t>
  </si>
  <si>
    <t>Obl AUTOROUTES DU MAROC A du 10062015 a 3 96 10 ans</t>
  </si>
  <si>
    <t>OBL AL MADA du 15/07/2020 à 2.63%  5 ans</t>
  </si>
  <si>
    <t>BDT du 27/07/2020 à1.50% 13 SEM</t>
  </si>
  <si>
    <t>cette obl a changé de caractéristique le 27/7/2020</t>
  </si>
  <si>
    <t xml:space="preserve">BDT du 08/06/2020 à 1.99% 13 SEM </t>
  </si>
  <si>
    <t xml:space="preserve">BDT du 15/08/2020 à 1.80% 2 ANS ATYP 29/06/2020 </t>
  </si>
  <si>
    <t>CD SG du 29/07/2020 à 2.01% 52 SEM</t>
  </si>
  <si>
    <t>CD SG du 29/07/2020 18 Mois à 2.15%</t>
  </si>
  <si>
    <t>CD SG du 29/07/2020 à 2.22% 2 ans</t>
  </si>
  <si>
    <t xml:space="preserve">BDT du 20/10/2020 à 2.40% 5 ANS ATYP 15/06/2020 </t>
  </si>
  <si>
    <t>BDT du 20/07/2020 à 1.55%  26 SEM</t>
  </si>
  <si>
    <t xml:space="preserve">BSF WAFABAIL du 10/08/2020 3 ans 2.52% </t>
  </si>
  <si>
    <t>BSF WAFABAIL du 10/08/2020 à 2.67%  5ans</t>
  </si>
  <si>
    <t>BSF WAFASALAF du 28/08/2020 à 2.16%  2ans</t>
  </si>
  <si>
    <t>BSF WAFASALAF du 28/08/2020 à 2.54%  5 ans</t>
  </si>
  <si>
    <t>CD ATW du 07/09/2020 à  2.16%   2ans</t>
  </si>
  <si>
    <t>CD ATW du 07/09/2020 à 2.39%  4ans</t>
  </si>
  <si>
    <t>BSF WAFASALAF du 07/09/2020 à 2.20%  2 ans</t>
  </si>
  <si>
    <t>OBL TAQA MOROCOO du 07/09/2020 18ans à 3.75%</t>
  </si>
  <si>
    <t>Semestre</t>
  </si>
  <si>
    <t>BDT du 06/07/2020 à 1.55% 26 SEM</t>
  </si>
  <si>
    <t>BDT du 31/08/2020 à 1.63% 26 SEM</t>
  </si>
  <si>
    <t>BDT DU 014/09/2020 26 SEM à1.59%</t>
  </si>
  <si>
    <t>BDT du 14/09/2020 à 1.70%  52 SEM</t>
  </si>
  <si>
    <t>BDT DU 07/09/2020 à 1.56% 13 SEM</t>
  </si>
  <si>
    <t>CD CDGCAPITAL du 22/09/2020 à 1.72% 13 sem</t>
  </si>
  <si>
    <t>BSF WAFASALAF du 24/09/2020 à 2,59% 5ans</t>
  </si>
  <si>
    <t>BDT DU 14/11/200 à 1.85% 2 ANS</t>
  </si>
  <si>
    <t>BDT DU 10/08/2020 13 SEM à 1.59%</t>
  </si>
  <si>
    <t>CD CIH du 29/09/2020 à 2.59%  5ans</t>
  </si>
  <si>
    <t>OBL BMCI  DU 2409/2018 à 3.07% 10 ANS</t>
  </si>
  <si>
    <t>BSF EQDOM DU 30/09/2020  à 2.20%  2ans</t>
  </si>
  <si>
    <t>EJLEC</t>
  </si>
  <si>
    <t>CD CAM du 15/10/2020 2 ans à 2.40%</t>
  </si>
  <si>
    <t>CD CAM DU 15/10/2020 à 1.92% 26 SEM</t>
  </si>
  <si>
    <t>OBL OULMES du 07/12/2020 à 3.34% 5 ANS</t>
  </si>
  <si>
    <t>BDT DU 20/03/2021 ATYP 07/12/2020 à 2.05% 2 ANS</t>
  </si>
  <si>
    <t>OBL SUB ATW PERPT du 25/12/2020 à 4.12% REVIS 10 ans</t>
  </si>
  <si>
    <t>&lt;</t>
  </si>
  <si>
    <t>CD SG du 29/12/2020 à 2.24% 2 AN</t>
  </si>
  <si>
    <t>CD SG du 29/12/2020 à 1.98% 1 AN</t>
  </si>
  <si>
    <t>OBL ATW SUB du 29/12/2020 à 2.97% 7 ANS Fixe</t>
  </si>
  <si>
    <t>OBL ATW SUB du 29/12/2020 à 2.37% 7 ANS  REVIS</t>
  </si>
  <si>
    <t>OBL SUB BCP  du 30/12/2020 à 2.17% 10ANS  REVIS</t>
  </si>
  <si>
    <t>OBL SUB RCI FINANCE  du 30/12/2020 à 3.29% 10ANS  REVIS</t>
  </si>
  <si>
    <t>BSF SOGELEASE du 30/12/2020 à 2,80% 4ans</t>
  </si>
  <si>
    <t>BDT du 07/12/2020 ATYP 14/02/2021 à 1.85% 1 AN</t>
  </si>
  <si>
    <t xml:space="preserve">BDT DU 20/4/2026 ATY 18/1/2021 </t>
  </si>
  <si>
    <t>BT MANAGEM du 21/01/2020 à 2.05% 52 SEM</t>
  </si>
  <si>
    <t>OBL MARJANEHOLDING 29/01/2021 à 2.87% 7 ans</t>
  </si>
  <si>
    <t>MARJANE</t>
  </si>
  <si>
    <t>CD ATW du 01/02/2021 à  2.41%   5ans</t>
  </si>
  <si>
    <t>OBL SUB CAM du 28/10/2019 PERPET REVIS 52 SEM</t>
  </si>
  <si>
    <t>BDT du 05/10/2020 à1.55% 26 SEM</t>
  </si>
  <si>
    <t>BDT du 20/02/2021 ATYP 04/01/2021 à 3.45% 30 ans</t>
  </si>
  <si>
    <t>BDT du 14/07/2021 ATYP 18/01/2021 à 3.45% 15 ans</t>
  </si>
  <si>
    <t>OBL TC3PC du 07/12/2020 à 3.14% 5 ans</t>
  </si>
  <si>
    <t>ETC3PC</t>
  </si>
  <si>
    <t>BDT du 20/06/2021 ATYP 22/03/2021 à 1.55%  1 an</t>
  </si>
  <si>
    <t>BSF WAFASALAF du 05/04/2021 à 1.98%  2 ans</t>
  </si>
  <si>
    <t>BDT du 12/04/2021  ATYP 17/07/2021 à 1.70% 2 ANS</t>
  </si>
  <si>
    <t>CD CAM du 15/04/2021 à 2.10% 2 ans</t>
  </si>
  <si>
    <t xml:space="preserve">BDT du 08/03/2021 à 1.34% 13 SEM </t>
  </si>
  <si>
    <t>BDT du 29/03/2021 à 1.30% 13 SEM</t>
  </si>
  <si>
    <t>CD BOA DU 26/04/2021 3 ANS A 2.13%</t>
  </si>
  <si>
    <t xml:space="preserve">CD BOA 52 SEM du 26/04/2021 a 1.78% </t>
  </si>
  <si>
    <t>CD BOA DU26/04/2021  2 ANS A 1.99%</t>
  </si>
  <si>
    <t>CD CAM du 18/01/2021 à 2.27%  2 ans</t>
  </si>
  <si>
    <t xml:space="preserve">BSF WAFABAIL du 21/05/2021 4 ans 2.41% </t>
  </si>
  <si>
    <t>BDT DU 05/04/2021 à 2.85% 20 ANS</t>
  </si>
  <si>
    <t>BSF EQDOM du 31/05/2021 à 1.99%  2ans</t>
  </si>
  <si>
    <t>CD SGMB du 31/05/2021 à 1.53% 13 SEM</t>
  </si>
  <si>
    <t>CD SGMB du 31/05/2021 à 1.64%   26 SEM</t>
  </si>
  <si>
    <t>CD CAM du 22/09/2020 à 2.05% 52 SEM</t>
  </si>
  <si>
    <t>5 jours ouvrés avant la date de paiement du coupon, le taux de référence 52 semaines (base monétaire) sera déterminé sur la base de la dernière courbe des taux de référence du marché secondaire des BDT telle que publiée par Bank Al Maghrib</t>
  </si>
  <si>
    <t>CD CDG CAPITAL DU 08/06/2021 13 SEM à 1.57%</t>
  </si>
  <si>
    <t>CD CDG CAPITAL DU 08/06/2021 26SEM à 1.64%</t>
  </si>
  <si>
    <t>OBLIGATION A1 MIFTTAH 11/06/2021 12 ANS AMORT</t>
  </si>
  <si>
    <t>OBLIGATION A2 MIFTTAH 11/06/2021 16 ANS AMORT</t>
  </si>
  <si>
    <t>BDT DU 14/06/2021 5 ANS à 2.00%</t>
  </si>
  <si>
    <t>CMT</t>
  </si>
  <si>
    <t>OBL CMT du 14/06/2021 à 2.84% AMORT/AN 5 ANS</t>
  </si>
  <si>
    <t>CD BMCI  du 17/06/2021 à 1.75% 52 SEM</t>
  </si>
  <si>
    <t>CD CAM  du 23/03/2021 à 2.06% 2 ANS</t>
  </si>
  <si>
    <t>CD CAM du 18/01/20210 à 1.92% 52 SEM</t>
  </si>
  <si>
    <t>CD CIH du 25/06/2021 à 2.61%  7ans</t>
  </si>
  <si>
    <t>CD CIH du 25/06/2021 à 2.37%  5ans</t>
  </si>
  <si>
    <t>BSF EQDOM du 29/06/2021 à 2.06%  2 ANS</t>
  </si>
  <si>
    <t>BSF EQDOM du 29/06/2021 à 2.10%  2 ANS et 3 mois</t>
  </si>
  <si>
    <t>CD SGMB du 30/06/2021 à 1.72 %  9 mois</t>
  </si>
  <si>
    <t>BSF EQDOM du 30/06/2021 à 2.24%  3 ANS et 3 mois</t>
  </si>
  <si>
    <t>BDT DU 07/06/2021 2 ANS à 1.70%</t>
  </si>
  <si>
    <t>OBLIGATION FT SALAF INVEST 09/07/2021 12 ANS AMORT</t>
  </si>
  <si>
    <t>OBL AL MADA du 29/07/2021 à 1.89%  2 ans Tranche 1</t>
  </si>
  <si>
    <t>OBL AL MADA du 29/07/2021 à 2.08%  3 ans Tranche 2</t>
  </si>
  <si>
    <t>CD SGMB du 29/07/2021 à 1.73 %  9 mois</t>
  </si>
  <si>
    <t>CD CAM du 06/08/2021 à 1.88% 52 SEM</t>
  </si>
  <si>
    <t>CD CAM  du 06/08/2021 à 2.11% 2 ANS</t>
  </si>
  <si>
    <t>OBLIGATION FT HYPOTHECA du  06/08/2021  12 ANS AMORTIS</t>
  </si>
  <si>
    <t>Trimesre</t>
  </si>
  <si>
    <t>BDT DU 20/11/2021 à 1.75%  2 ANS ATYP 09/08/2021</t>
  </si>
  <si>
    <t>BSF WAFASALAF du 17/08/2021 5 ans 2.49%</t>
  </si>
  <si>
    <t>CD CDG CAPITAL DU 15/09/2021 26 SEM à  1,67%</t>
  </si>
  <si>
    <t>CD CDG CAPITAL DU 15/09/2021 52 SEM à  1,80%</t>
  </si>
  <si>
    <t>BDT du 23/08/2021 à 1.55%  52 SEM</t>
  </si>
  <si>
    <t>BDT du 14/06/2021 à 1.38%  26SEM</t>
  </si>
  <si>
    <t>SEK</t>
  </si>
  <si>
    <t>CD CDG CAPITAL DU 27/09/2021 26 SEM à 1.70%</t>
  </si>
  <si>
    <t>GBP</t>
  </si>
  <si>
    <t>CD CFG BANK du 21/01/2021 à 2.90%  9 MOIS</t>
  </si>
  <si>
    <t>BSF WAFASALAF du 11/10/21 à 2.10%   2 ANS</t>
  </si>
  <si>
    <t>OBL ANP du 13/10/2021  à  3.15%  AMORT  15 ANS</t>
  </si>
  <si>
    <t>anp</t>
  </si>
  <si>
    <t>BDT du 15/01/2022  à 1.75%  2 ANS ATYP 25/10/2021</t>
  </si>
  <si>
    <t>CD CDM du 28/10/2021  à 2.01% 2 ans</t>
  </si>
  <si>
    <t>BSF WAFASALAF du 08/11/21 à 2.07%   2 ANS</t>
  </si>
  <si>
    <t>CD CDG CAPITAL DU 19/01/2021 52SEM à 1.81%</t>
  </si>
  <si>
    <t>BDT du 15/01/2022  1.75%  2 ANS ATYP 25/10/2021</t>
  </si>
  <si>
    <t xml:space="preserve">CD CIH sur 7 ans valeur 22/11/2021 à 2,63%7 ans </t>
  </si>
  <si>
    <t xml:space="preserve">CD BMCI  52 SEM valeur 25/11/2021 à 1,75 </t>
  </si>
  <si>
    <t>CD CAM du 12/04/2021 à 2.13% 2 ans</t>
  </si>
  <si>
    <t>OBL MANAGEM du 21/12/2021 à 3.22% 7 ANS</t>
  </si>
  <si>
    <t>OBL CFG BANK  PERPT SUB DU 23/12/2021  REVISB 5ans</t>
  </si>
  <si>
    <t>CD CAM du 18/01/2021 à 2.66%  5 an</t>
  </si>
  <si>
    <t>CD ATW du 25/03/2020 à  2.98%   5ans</t>
  </si>
  <si>
    <t>BDT du 13/12/2021 ATYP 18/03/2022 à 1.75%  2 ANS</t>
  </si>
  <si>
    <t>OBL ATW SUB PERP 28/12/2021 à 4.58% REVIS  tt 10ans</t>
  </si>
  <si>
    <t>BDT du 16/01/2022 ATYP  25/10/2021 à 1.55%  1 AN</t>
  </si>
  <si>
    <t>BDT du 15/11/2021 à 2% 5 ANS</t>
  </si>
  <si>
    <t>tranche B: taux révisable annuellement: taux 52sem depuis bam avant 5 jourss de bourse+65pbs</t>
  </si>
  <si>
    <t>Révisable Annuelement : en référence au taux plein 52 semaines (taux monétaire) déterminé à partir de la courbe des taux de référence du marché secondaire des bons du Trésor telle que publiée par Bank AlMaghrib +PRIME 45%</t>
  </si>
  <si>
    <t>OBL ATW SUB du 30/12/2021 à 2.66% 7 ANS Fixe</t>
  </si>
  <si>
    <t>OBL SUB BCP GENDERS BONDS du 31/12/2021 à 2.21% 4ans  Fixe</t>
  </si>
  <si>
    <t>OBL FEC du 12/01/2022 à 2.20% 15 ans  REV Amrt Annuel</t>
  </si>
  <si>
    <t>OBLIGATION FT RELEVIUM C1 du 14/01/2022  10 ANS</t>
  </si>
  <si>
    <t>CD BOA DU 16/01/2020 3 ANS A 2.72%</t>
  </si>
  <si>
    <t>BT MANAGEM du 31/01/2022 à 2.09%  52 SEM</t>
  </si>
  <si>
    <t>OBL ATW Révisabl du 22/12/2015 7 ans à 3.35%</t>
  </si>
  <si>
    <t>BDT du 31/01/2022 ATYP 15/07/2022 à 1.80%  2 ANS</t>
  </si>
  <si>
    <t>CD CDG CAPITAL DU 07/02/2022 26 SEM à 1.77%</t>
  </si>
  <si>
    <t>CD CDG CAPITAL DU 07/02/2022 52 SEM à 1.91%</t>
  </si>
  <si>
    <t>CD CDG CAPITAL DU 25/02/2022 52 SEM à 1.86%</t>
  </si>
  <si>
    <t>CD CDG CAPITAL DU 25/02/2022 13 SEM à 1.71%</t>
  </si>
  <si>
    <t>OBL MARJANEHOLDING 14/03/2022 à 2.65% 7 ans</t>
  </si>
  <si>
    <t>Marjane</t>
  </si>
  <si>
    <t>OBL TMSA Participations du 15/03/2022 à 3,70%  15 ans</t>
  </si>
  <si>
    <t>CD ATW du 15/03/2022  à 2.10%  2 ans</t>
  </si>
  <si>
    <t>CD ATW du 15/03/2022  à 2.54%  5 ans</t>
  </si>
  <si>
    <t>BSF WAFASALAF du 18/03/2022 à 2.15%   2 ANS</t>
  </si>
  <si>
    <t>OBL MANAGEM du 18/03/2022 à 3.22% 7 ANS</t>
  </si>
  <si>
    <t>CD BMCI du 31/03/2022 à 1.75%  26 SEM</t>
  </si>
  <si>
    <t xml:space="preserve">30/3/2022 sur manar </t>
  </si>
  <si>
    <t xml:space="preserve">CD BOA 52 SEM du 26/04/2022 à 1.91% </t>
  </si>
  <si>
    <t>CD SGMB du 29/04/2022 à 2.03 %  18 MOIS</t>
  </si>
  <si>
    <t>CD CIH du 24/05/2022 à 2.16%  5 ans T% Révisable</t>
  </si>
  <si>
    <t>CD CIH du 24/05/2022 à 2.24%  2 ans</t>
  </si>
  <si>
    <t>révisable 52 S</t>
  </si>
  <si>
    <t>BDT DU 14/02/2022 5 ANS 2.10% ATYP 18/10/2022</t>
  </si>
  <si>
    <t>BDT DU 22/05/2022 à 1.60% ATYP 21/03/2022 1 AN</t>
  </si>
  <si>
    <t>BDT DU 16/09/2022 à 1.85% ATYP 28/03/2022  2 ANS</t>
  </si>
  <si>
    <t>BDT DU 23/05/2022 13SEM 1.52%</t>
  </si>
  <si>
    <t>CD CDM du 30/05/2022 à 2.24% 2 ans</t>
  </si>
  <si>
    <t>description</t>
  </si>
  <si>
    <t>orange</t>
  </si>
  <si>
    <t>03/06/2021 ( dernier taux 52 S  5 J AVANT +100 de prime)</t>
  </si>
  <si>
    <t>Valo sur Manar doit être corrigée (taux sur courbe et durée d'actualisation  3ème onglet de manar fiche obligation Tcn)</t>
  </si>
  <si>
    <t>CD BMCI du 27/06/2022 à 1.83%  13 SEM</t>
  </si>
  <si>
    <t>BDT du 30/05/2022 à 1.75%  2 ANS</t>
  </si>
  <si>
    <t>OBL MEDITELECOM DU 03/06/2022 REV tt ans à 2.30%</t>
  </si>
  <si>
    <t>BDT DU 06/06/2022 à 1.65%  26 sem</t>
  </si>
  <si>
    <t>CD SGMB DU 30/06/2022 52SEM à 2.07</t>
  </si>
  <si>
    <t>CD SGMB du 30/06/2022 à 1.95% 26 sem</t>
  </si>
  <si>
    <t>OBL ATW du 30/06/2022 à 3.82% 10 ANS</t>
  </si>
  <si>
    <t>CFC</t>
  </si>
  <si>
    <t>OBL CAM DU 20/07/2022 REV ANN à 2.61%</t>
  </si>
  <si>
    <t xml:space="preserve">OBL CIH du 28/0/22 à 3.95% PERP Révis 52 SEM </t>
  </si>
  <si>
    <t>BDT DU 06/06/2022 à 1.69  26 sem</t>
  </si>
  <si>
    <t>BDT DU 20/06/2022 à 1.69  26 sem</t>
  </si>
  <si>
    <t>BDT DU 20/06/2022 à 1.72  26 sem</t>
  </si>
  <si>
    <t>BDT du 27/06/2022 à 1.54% 13 SEM</t>
  </si>
  <si>
    <t>CD BMCI du 23/08/2022 à 2.15%  26 SEM</t>
  </si>
  <si>
    <t>CD CDG CAPITAL DU 30/08/2022 13 SEM à 2.05%</t>
  </si>
  <si>
    <t>CD SGMB du 30/08/2022 à 2.20%  26 sem</t>
  </si>
  <si>
    <t>BSF WAFASALAF du 28/09/2022 à 2.86%   2 ANS</t>
  </si>
  <si>
    <t xml:space="preserve">OBL ADI du 31/01/2020 à 3% Différé 3 ans AMORT+INTER </t>
  </si>
  <si>
    <t>INTERret</t>
  </si>
  <si>
    <t>extrapolation point par point à partir de la l'année qui vienne après celle afiichée dans la courbe bam (attention; INTERpoler et n'est pas extrapoler cette dernière si elle existe une maturité supérieur à année-1))</t>
  </si>
  <si>
    <t xml:space="preserve">méthode 1: avec extrapolation de 30ans et INTERpolation des maturités &gt;=26 ans </t>
  </si>
  <si>
    <t>CD BMCI du 27/10/2022 à 2.65%  13 SEM</t>
  </si>
  <si>
    <t xml:space="preserve">CD CDG CAPITAL DU 28/10/2022 à 2.65% 13 </t>
  </si>
  <si>
    <t>BDT du 28/10/2022  à 2.35%  45 Jours</t>
  </si>
  <si>
    <t xml:space="preserve">BT OCP du 11/11/2022 à 2.48%  </t>
  </si>
  <si>
    <t>OBLIGATION FT ENERGIA du 14/11/2022  3 A</t>
  </si>
  <si>
    <t>CD CAM du 29/11/2022 à 2.90%  13 SEM</t>
  </si>
  <si>
    <t>BDT DU 01/02/2022 10 ANS 2.40% ATYP 14/06/2022</t>
  </si>
  <si>
    <t>BDT du 15/08/2022 à 1.95%   26 SEM</t>
  </si>
  <si>
    <t>BDT du 08/08/2022 à 1.90% 1 AN et 3 Mois</t>
  </si>
  <si>
    <t>BDT du 05/09/2022 2.0% a 26 semaines</t>
  </si>
  <si>
    <t>BDT du 24/10/2022 à 2.32% 13 SEM</t>
  </si>
  <si>
    <t>OBL AL BARID BANK DU 12/12/2022 à 5.41% REV 52S</t>
  </si>
  <si>
    <t xml:space="preserve">perpétuelle révis 52s </t>
  </si>
  <si>
    <t>BDT du 18/112022  2.5%  2 ANS ATYP 07/11/2022</t>
  </si>
  <si>
    <t>BDT DU 23/05/2022 13SEM 2.6%</t>
  </si>
  <si>
    <t>BDT du 12/12/2022  à 2.95%  32 Jours</t>
  </si>
  <si>
    <t>OBL BOA SUB PERP 26/12/2022 à 5.09% REVIS  ANN</t>
  </si>
  <si>
    <t>secondaire des bons du Trésor publiée par Bank Al-Maghrib, précédant la date d’anniversaire du coupon de 5 jours ouvrés. Le taux de référence ainsi obtenu sera majoré de la prime de risque</t>
  </si>
  <si>
    <t>OBL SUB ATW du 30/12/2022 PERPET REVIS 52 SEM</t>
  </si>
  <si>
    <t>energia</t>
  </si>
  <si>
    <t>Pour les années suivantes, le taux de référence est calculé sur la base d’une moyenne arithmétique des Taux Moyens Pondérés JJ interbancaires observés sur une période de 180 jours précédant la date d’anniversaire du coupon de 5 jours ouvrés, t</t>
  </si>
  <si>
    <t>BDT du 05/12/2022 à 2.60% 13 SEM</t>
  </si>
  <si>
    <t>BDT du 05/12/2022 à 2.70% 13 SEM</t>
  </si>
  <si>
    <t>BDT du 05/12/2022 à 2.80% 13 SEM</t>
  </si>
  <si>
    <t>BDT DU 19/12/2022 à 3.05  26 sem</t>
  </si>
  <si>
    <t>BDT du 16/01/2023 à 3.20% 13 SEM</t>
  </si>
  <si>
    <t>BDT du 23/01/2023 à 3.15% 13 SEM</t>
  </si>
  <si>
    <t>BDT DU 02/01/2023 26 semaines 3.20%</t>
  </si>
  <si>
    <t>BT MANAGEM du 01/02/2023 à 3.60%  26 SEM</t>
  </si>
  <si>
    <t>CD CDG CAPITAL DU 31/01/2023 26 SEM à 3.5%</t>
  </si>
  <si>
    <t>CD SGMB DU 31/01/2023  à  3.48%</t>
  </si>
  <si>
    <t>BDT du 23/01/2023 atp  a 3.70%  2 ans</t>
  </si>
  <si>
    <t>OBLIGATION FT UTILITIES du 15/02/2023  2 ANS AMORTIS</t>
  </si>
  <si>
    <t>CD SGMB du 30/11/2022 à 2.85%  13 SEM</t>
  </si>
  <si>
    <t>5136 A2 titrisation</t>
  </si>
  <si>
    <t>OBL BMCI SUB PERP 17/02/2023 à 6.01% REVIS  ANN/TR C</t>
  </si>
  <si>
    <t>BDT du 16/01/2023 atp  a 4.20%  10 ans</t>
  </si>
  <si>
    <t>BT OCP du 27/02/2023 à  3.12%  13 sem</t>
  </si>
  <si>
    <t>CD BMCI du 27/02/2023 à  3.25%  13 SEM</t>
  </si>
  <si>
    <t>CD BMCI du 27/02/2023 à  3.40%  26 SEM</t>
  </si>
  <si>
    <t>CD BMCI du 27/02/2023 à  3.75%  52 SEM</t>
  </si>
  <si>
    <t>BDT du 14/07/2023 à 3.80% 2 ans ATYP 27/02/2023</t>
  </si>
  <si>
    <t>BDT DU 20/03/2023 à 4.90% 15 ans</t>
  </si>
  <si>
    <t>BL SUB PERPT AL BARID BANK du 17/03/2023 à 5.91% REVIS AN</t>
  </si>
  <si>
    <t>BDT DU 20/03/2023 à 5.5 30 ans</t>
  </si>
  <si>
    <t>CD ATW du 29/03/2019 à 3.05% 4 ANS</t>
  </si>
  <si>
    <t>CD CDG CAPITAL DU 30/08/2022 52 SEM à 2.35%</t>
  </si>
  <si>
    <t>CD SGMB DU 31/01/2023 52 SEM à 3.31%</t>
  </si>
  <si>
    <t>CD CNCA du 30/03/2023 à  3.45%  13 SEM</t>
  </si>
  <si>
    <t>BDT DU 19/12/2022 à 3.15  26 sem</t>
  </si>
  <si>
    <t>Révisable annuellement en référence aux TMP 6 mois (180 jours) Entre 2,00% et 2,20%</t>
  </si>
  <si>
    <t>CD BOA du 18/01/2023 à 3.34%  13 SEM</t>
  </si>
  <si>
    <t>BDT du 28/11/2022 a 2.90% REV 5 ans</t>
  </si>
  <si>
    <t>CD BOA du 17/04/2023 à 3.20%  13 SEM</t>
  </si>
  <si>
    <t>CD CAM DU 20/04/2023 à 3.55% 26 SEM</t>
  </si>
  <si>
    <t>CD CAM DU 20/04/2023 à 3.30%   2 MOIS</t>
  </si>
  <si>
    <t>BDT du 15/09/2023 à 3.90% 2 ans ATYP 25/04/2023</t>
  </si>
  <si>
    <t>BDT du 18/08/2023 à 3.90% 2 ans ATYP 25/04/2023</t>
  </si>
  <si>
    <t>BT MANAGEM du 01/02/2023 à 3.60%  13 SEM</t>
  </si>
  <si>
    <t>CD CDM du 28/04/2023 à 3.18%  13 SEM</t>
  </si>
  <si>
    <t>BT OCP du 28/04/2023 à  3.16%  13 sem</t>
  </si>
  <si>
    <t>BT OCP du 28/04/2023 à  3.34%  26 sem</t>
  </si>
  <si>
    <t>OBL SUB ATW DU 23/12/2016 à 3.44% 7ans</t>
  </si>
  <si>
    <t>BT MANAGEM du 02/05/2023 à 3.38%  13 SEM</t>
  </si>
  <si>
    <t>BDT DU 20/05/2023 à 3.50% ATYP 20/02/2023  1 AN</t>
  </si>
  <si>
    <t>BDT du 19/02/2023 à 2.90%  52 SEM</t>
  </si>
  <si>
    <t>BDT DU 16/01/2023 à 3.35  26 SEM</t>
  </si>
  <si>
    <t>BDT DU 16/01/2023 5 ANS 3.90%</t>
  </si>
  <si>
    <t>BDT du 17/08/2023 à 4.75%  20 ans ATYP 16/01/2023</t>
  </si>
  <si>
    <t>BDT DU 06/02/2023 à 3.15  26 sem</t>
  </si>
  <si>
    <t>BDT DU 06/02/2023 à 3.17  26 sem</t>
  </si>
  <si>
    <t>BDT DU 06/02/2023 à 3.14  26 sem</t>
  </si>
  <si>
    <t xml:space="preserve">BDT DU 20/03/2023 à 4.90% 15 ans </t>
  </si>
  <si>
    <t>BDT du 19/08/2023 à 3.70% 1 an ATYP 25/04/2023</t>
  </si>
  <si>
    <t>BT OCP du 19/05/2023 à  3.13%  13 sem</t>
  </si>
  <si>
    <t>CD BMCI du 25/05/2023 à  3.65%  52 SEM</t>
  </si>
  <si>
    <t>BDT du 13/02/2023 à 3.37% 2 ans REVIS</t>
  </si>
  <si>
    <t xml:space="preserve">CD CAM  du 15/06/2020 à 3.4% 7 ans </t>
  </si>
  <si>
    <t>BDT DU 22/05/2023 à 3.90% 2 ANS</t>
  </si>
  <si>
    <t xml:space="preserve"> OULMES du 14/06/2023 à 4.12% 3 ans  REV ET Amrt TRIM </t>
  </si>
  <si>
    <t>OULMES</t>
  </si>
  <si>
    <t xml:space="preserve">BDT du 27/06/2023 ATYP 14/03/2024 à 4.75 % 15 ans </t>
  </si>
  <si>
    <t>CD BMCI du 27/06/2023 à  3.37%  26 SEM</t>
  </si>
  <si>
    <t>BSF RCI FINANCE du 27/06/2023 à 4.30%  2 ans</t>
  </si>
  <si>
    <t xml:space="preserve">BDT DU 27/06/2023 à 4.30% 10 ans </t>
  </si>
  <si>
    <t>CD BOA du 14/07/2023 à 3.27%  26 SEM</t>
  </si>
  <si>
    <t>CD BOA du 14/07/2023 à 3.55%  52 SEM</t>
  </si>
  <si>
    <t>BSF WAFASALAF du 14/07/2023 à 4.15%   3 ANS</t>
  </si>
  <si>
    <t>BSF WAFASALAF du 14/07/2023 à 3.91%   2 ANS</t>
  </si>
  <si>
    <t>BDT DU 17/07/2023 à 3.08 26 sem</t>
  </si>
  <si>
    <t>OBL SUB PERPET CDM du 20/07/2023 à 5.45% REV 52 SEM</t>
  </si>
  <si>
    <t>CD SGMB DU 31/07/2023 52 SEM   à 3.56%</t>
  </si>
  <si>
    <t>CD SGMB du 31/07/2023 à 3.27%  26 sem</t>
  </si>
  <si>
    <t>BDT du 15/05/2023 à 3.16% 26 SEM</t>
  </si>
  <si>
    <t>CD CDG CAPITAL DU 28/07/2023  52 SEM à 3.56%</t>
  </si>
  <si>
    <t>BT OCP du 01/08/2023 à  3.07%  13 sem</t>
  </si>
  <si>
    <t>BT MANAGEM du 01/08/2023 à  3.76%  52 sem</t>
  </si>
  <si>
    <t>CD CDM du 08/08/2023 à 3.25%   26 SEM</t>
  </si>
  <si>
    <t>BT OCP du 28/04/2023 à  3.69%    52 sem</t>
  </si>
  <si>
    <t>BDT du 19/11/2023 à 3.30% 1 an ATYP 07/08/2023</t>
  </si>
  <si>
    <t>BSF WAFABAIL  du 1/9/2023 à 4,13% 3ans</t>
  </si>
  <si>
    <t>BDT du 04/09/2023  à 3,05% 26 SEM</t>
  </si>
  <si>
    <t>BSF WAFASALAF du 07/09/2023 à 3.82%   2 ANS</t>
  </si>
  <si>
    <t>BSF WAFASALAF du 11/09/2023 à 4.20%   4 ANS</t>
  </si>
  <si>
    <t>BSF WAFASALAF du 11/09/2023 à 4.04%   3 ANS</t>
  </si>
  <si>
    <t>CD CAM du 19/04/2017 à 3.71%  7 ANS</t>
  </si>
  <si>
    <t>CD CAM DU 26/052023  52 SEM à 3.68%</t>
  </si>
  <si>
    <t>CD CIH du 22/09/2023 à 4.07% 4 ans</t>
  </si>
  <si>
    <t>CD CIH du 22/09/2023 à 3.6% 15 Mois</t>
  </si>
  <si>
    <t>CD BOA du 17/04/2023 à 3.79%  52 SEM</t>
  </si>
  <si>
    <t>BT OCP du 19/05/2023 à  3.61%  52 sem</t>
  </si>
  <si>
    <t>CD BMCI du 27/09/2023 à  3.49%  52 SEM</t>
  </si>
  <si>
    <t>CD BMCI DU 31/10/2022 52 SEM à 3.05%</t>
  </si>
  <si>
    <t>BT OCP du 27/09/2023 à  3.08%  13 sem</t>
  </si>
  <si>
    <t>REVISABLE LE 2/10/2023</t>
  </si>
  <si>
    <t>CD CAM DU 02/10/2023 0 3,27% 26 SEM</t>
  </si>
  <si>
    <t>CD CAM DU 02/10/2023 0 3,15% 13 SEM</t>
  </si>
  <si>
    <t>ICI CHANGER BASE MONETAIRE EN 366</t>
  </si>
  <si>
    <t>BSF WAFABAIL DU 05/10/2023 2ans à 3.92%</t>
  </si>
  <si>
    <t>BSF WAFASALAF du 11/10/2023 à 3.76%   2 ANS</t>
  </si>
  <si>
    <t>BDT du 20/01/2024 à 3.25%  1 an ATYP 09/10/2023</t>
  </si>
  <si>
    <t>BDT du 16/02/2024 à 3.45% 2 ans  ATYP  10/07/2023</t>
  </si>
  <si>
    <t>CD SGMB du 31/10/2023 à 3.39% 52 sem</t>
  </si>
  <si>
    <t>CD SGMB du 31/10/2023 à 3.12%  26 SEM</t>
  </si>
  <si>
    <t>CD CDM du 31/10/2023 à 3.16%   26 SEM</t>
  </si>
  <si>
    <t>BSF WAFABAIL DU 01/11/2023 2ans à 3.84%</t>
  </si>
  <si>
    <t>BSF WAFASALAF du 08/11/2023 à 3.75%   2 ANS</t>
  </si>
  <si>
    <t>CD CAM du 28/04/2023 à 3.80%  52 sem</t>
  </si>
  <si>
    <t>BDT du 23/10/2023 à 2.92%  13 SEM</t>
  </si>
  <si>
    <t>BDT du 30/10/2023 à 2.90%  13 SEM</t>
  </si>
  <si>
    <t>CD BOA du 19/04/2023 à 3.79%  52 SEM</t>
  </si>
  <si>
    <t>BDT DU 05/06/2023 à 3.10% 26SEM</t>
  </si>
  <si>
    <t>CD CIH DU 01/10/2023  2 ANS à 4.12% ATH 29/05</t>
  </si>
  <si>
    <t>CD BMCI du 27/09/2023 à 3.27%  26 SEM</t>
  </si>
  <si>
    <t xml:space="preserve">BDT du 28/11/2022 a 2.90% 5 ANS  REV </t>
  </si>
  <si>
    <t>CD SGMB du 30/11/2023 à 3.16%  26 SEM</t>
  </si>
  <si>
    <t>CD CDM du 30/11/2023 à 3.35%   52 SEM</t>
  </si>
  <si>
    <t>CD CDM du 30/11/2023 à 3.27%   9mois</t>
  </si>
  <si>
    <t>CD SGMB du 30/11/2023 à 3.08%  13 SEM</t>
  </si>
  <si>
    <t>BSF WAFABAIL DU 01/12/2023 2ans à 3.72%</t>
  </si>
  <si>
    <t>OBL OCP PERPT SUB DU 14/12/2023 REV 52 SEM</t>
  </si>
  <si>
    <t>OBL OCP PERPT SUB DU 14/12/2023 REV 20 ANS</t>
  </si>
  <si>
    <t>CD BMCI du 27/12/2023 à 3.18%  26 SEM</t>
  </si>
  <si>
    <t>OBL SUB WAFASALAF du 28/12/2023 7 ans 4.39%</t>
  </si>
  <si>
    <t>OBL SUB ATW du 28/12/2023  PERPET REVIS 52 SEM</t>
  </si>
  <si>
    <t>BL SUB BCP  du 29/12/2023 à 3.47% 10ANS  REVIS/AMORT</t>
  </si>
  <si>
    <t xml:space="preserve">amortissable dés la 6 ème année </t>
  </si>
  <si>
    <t>BSF SOFAC DU 19/01/2024 3ans à 3.68%</t>
  </si>
  <si>
    <t>BDT DU 18/09/2024 à 4% 10ANS ATYP 02/01/2024</t>
  </si>
  <si>
    <t>BSF WAFASALAF du 25/1/2024 à 3,74% 3 ans</t>
  </si>
  <si>
    <t>BSF WAFASALAF du 25/1/2024 à 3,56% 2 ans</t>
  </si>
  <si>
    <t>CD BOA du 18/10/2021 à 2,28% 5 ans</t>
  </si>
  <si>
    <t>BT OCP du 25/1/2024 à 3,18% 26 sem</t>
  </si>
  <si>
    <t>SOFAC</t>
  </si>
  <si>
    <t>BDT du 18/07/2024 à 4.25%  15 ANS ATYP 15/01/2024</t>
  </si>
  <si>
    <t>CD ATW du 15/02/2024  à 3.63%  2 ans</t>
  </si>
  <si>
    <t>CD ATW du 15/02/2024  à 3.75%  3 ans</t>
  </si>
  <si>
    <t>CD CAM du 28/02/2024 à 3.14% 13 Sem</t>
  </si>
  <si>
    <t>CD CAM du 28/02/2024 à 3.27%   26 Sem</t>
  </si>
  <si>
    <t>BSF EQDOM du 02/03/2024 à 3.81%  ATYP 2 ANS</t>
  </si>
  <si>
    <t>BSF EQDOM du 28/05/2024 à 3.84%  ATYP 2 ANS et 3 mois</t>
  </si>
  <si>
    <t>CD CFG BANK du 23/02/2024 à 3.65% 5 ans REV</t>
  </si>
  <si>
    <t>CD CFG BANK du 23/02/2024 à 4.00% 5 ans</t>
  </si>
  <si>
    <t>BDT du 07/11/2023 à 2.98%  26 SEM</t>
  </si>
  <si>
    <t>BDT du 18/05/2024 à 3.35%  2 ANS ATYP 11/12/2023</t>
  </si>
  <si>
    <t>BDT du 22/01/2024 à 2.79%  13 SEM</t>
  </si>
  <si>
    <t>CD ATW du 21/03/2024  à 3.55%  2 ans</t>
  </si>
  <si>
    <t>CD ATW du 21/03/2024  à 3.35%  52 SEM</t>
  </si>
  <si>
    <t>CD ATW du 21/03/2024  à 3.65%  3 ans</t>
  </si>
  <si>
    <t>BDT du 15/10/2024 à 3.50%  5 ANS ATYP 15/01/2024</t>
  </si>
  <si>
    <t>OBL AL MADA du 28/03/2024 à 3.94%  5 ans</t>
  </si>
  <si>
    <t>CD CDM du 29/03/2024 à 3.31%   9 MOIS</t>
  </si>
  <si>
    <t>CD CDM du 29/03/2024 à 3.25%   26 SEM</t>
  </si>
  <si>
    <t>CD BOA du 15/04/2024 à 3.37%  52 SEM</t>
  </si>
  <si>
    <t>BSF MAGHREBAIL 3.72% du 25/04/2024  3 ans</t>
  </si>
  <si>
    <t>CD CDM du 30/04/2024 à 3.17%   13 SEM</t>
  </si>
  <si>
    <t>CD CDM du 30/04/2024 à 3.28%   26 SEM</t>
  </si>
  <si>
    <t>BDT du 08/04/2024 à 2.85%  13  SEM</t>
  </si>
  <si>
    <t>CD BOA du 06/05/2024 à 3.66%  3 ANS</t>
  </si>
  <si>
    <t>CD BOA du 06/05/2024 à 3.55%  2 ANS</t>
  </si>
  <si>
    <t>CD BOA du 06/05/2024 à 3.40%  52 SEM</t>
  </si>
  <si>
    <t>BDT du 01/04/2024   à 2.85% 26 SEM</t>
  </si>
  <si>
    <t>BDT du 15/01/2024  à 2.87% 26 SEM</t>
  </si>
  <si>
    <t>OBL OCP PERPT SUB DU 14/05/2018  à 5.08% REV 20ANS</t>
  </si>
  <si>
    <t>BDT du 29/04/2024 à 2.90%  13 semaines</t>
  </si>
  <si>
    <t>BDT du 08/04/2024 à 3.25% 2 ans</t>
  </si>
  <si>
    <t>BSF WAFASALAF DU 17/05/2024 2 ans à 3.56%</t>
  </si>
  <si>
    <t>CD BMCI du 23/05/2024 à  3.36%  52 SEM</t>
  </si>
  <si>
    <t>BSF EQDOM du 29/08/2022 à 2.70%  3 ANS</t>
  </si>
  <si>
    <t>CD SGMB du 30/05/2024 à 3.32%  9 MOIS</t>
  </si>
  <si>
    <t>CD CDG CAPITAL DU 31/05/2024  2 ANS  à 3.52%</t>
  </si>
  <si>
    <t>BDT du 14/09/2024  2 ans  à 3.25%  ATYP 27/05/2024</t>
  </si>
  <si>
    <t>OBL SUB CIH  du 07/06/2024 à 4.44% 10ANS  FIXE TRANCH A</t>
  </si>
  <si>
    <t>OBL SUB CIH  du 07/06/2024 à 3.75% 10ANS  REVI TRANCH B</t>
  </si>
  <si>
    <t>BDT du 15/08/2024 à 4.60% 20 ans ATYP 02/01/2024</t>
  </si>
  <si>
    <t>OBL SUB RCIFINANCE  du 22/12/2023 à 3.67%   REVIS TRIM</t>
  </si>
  <si>
    <t xml:space="preserve">BSF RCI FINANCE 4 ans du 29/06/2020 à 2.99% </t>
  </si>
  <si>
    <t>OBL SUB BCP  du 25/06/2024 à 3.57% 10ANS  REV AN</t>
  </si>
  <si>
    <t>REVISABLE 25/06/2025</t>
  </si>
  <si>
    <t>CD BMCI du 25/06/2024  à 3.37%  9 MOIS</t>
  </si>
  <si>
    <t>OBL SUB PERPT BCP du 27/06/2024 à 5.16%   REVISABLE</t>
  </si>
  <si>
    <t>CD SGMB du 27/06/2024 à 3.32%  26 SEM</t>
  </si>
  <si>
    <t>CD BMCI du 27/06/2024  à 3.32%  26 SEM</t>
  </si>
  <si>
    <t>CD SGMB du 27/06/2024 à 3.41%  52 SEM</t>
  </si>
  <si>
    <t>OBL ATW SUB du 28/06/2024 à 3.96% 7 ANS Fixe</t>
  </si>
  <si>
    <t xml:space="preserve">ATTIJARI </t>
  </si>
  <si>
    <t>OBL SUB ATW du 28/06/2024  REVIS ANUEL  7 ANS</t>
  </si>
  <si>
    <t>BSF WAFASALAF du 28/06/2024 à 3.61%   2 ANS</t>
  </si>
  <si>
    <t>BSF WAFASALAF du 28/06/2024 à 3.99%   5 ANS</t>
  </si>
  <si>
    <t>BDT du 15/02/2025  30ans à 4.90%  ATYP 04/06/2024</t>
  </si>
  <si>
    <t>OBLIG NADOR WESTMED  26/07/2024 15 ANS 5.05% TFixe</t>
  </si>
  <si>
    <t>BSF MAGHREBAIL 3.52% du 18/07/2024 AMORT 4 ans</t>
  </si>
  <si>
    <t>BSF WAFASALAF du 19/07/2024  à 3.26%   2 ANS</t>
  </si>
  <si>
    <t>BSF WAFASALAF du 19/07/2024  à 3.46%   3 ANS</t>
  </si>
  <si>
    <t>BSF SALAFIN du 25/07/2024  à 3,23%  2 ans Taux REV</t>
  </si>
  <si>
    <t>BT OCP du 25/07/2024 à  2,84%  26 sem</t>
  </si>
  <si>
    <t>CD BOA du 18/07/2024  à 2.94%  26 SEM</t>
  </si>
  <si>
    <t>CD CAM du  18/07/2024 à 2,95%   26 Sem</t>
  </si>
  <si>
    <t>CD CAM du  18/07/2024 à 3,11%   52 Sem</t>
  </si>
  <si>
    <t>CD CDG CAPITAL DU 26/07/2024  13 SEM à 2.91%</t>
  </si>
  <si>
    <t>CD CDG CAPITAL DU 26/07/2024  9 MOIS à 3%</t>
  </si>
  <si>
    <t>OBLIG ADM du 28/07/2008 à 5% 20 ans</t>
  </si>
  <si>
    <t>MAHREBAIL</t>
  </si>
  <si>
    <t>CD CAM du  31/07/2024 à 3,25%   2 ans</t>
  </si>
  <si>
    <t>BSF EQDOM du 31/07/2024 à 3.41%  2 ANS</t>
  </si>
  <si>
    <t>BT MANAGEM du 31/07/2024 à  3.20%  52 sem</t>
  </si>
  <si>
    <t>PRICER</t>
  </si>
  <si>
    <t>ecart</t>
  </si>
  <si>
    <t>BSF EQDOM du 02/08/2024 à 3.49%  30 mois</t>
  </si>
  <si>
    <t>TauxZC</t>
  </si>
  <si>
    <t>Année</t>
  </si>
  <si>
    <t>PXZC</t>
  </si>
  <si>
    <t>TauxZCActuariel</t>
  </si>
  <si>
    <t>CD CAM du12/06/2020 à 3,40%   7 ans</t>
  </si>
  <si>
    <t xml:space="preserve">FT (Titrisations) </t>
  </si>
  <si>
    <t xml:space="preserve">( ammortissable dés octobre mensuel et révisable trimestriel) </t>
  </si>
  <si>
    <t>Taux  AA</t>
  </si>
  <si>
    <t xml:space="preserve">révition 15-08-2024 début ammortissement </t>
  </si>
  <si>
    <t>MR</t>
  </si>
  <si>
    <t>CD CDG CAPITAL DU 26/03/2024  52 SEM à 3.35%</t>
  </si>
  <si>
    <t>CD BOA du 08/02/2024 à 3.42%  52 SEM</t>
  </si>
  <si>
    <t>BDT du 15/04/2025  5 ans à 3.30%  ATYP 15/07/2024</t>
  </si>
  <si>
    <t>Maturité CT</t>
  </si>
  <si>
    <t>Taux CT</t>
  </si>
  <si>
    <t>Maturité  MLT</t>
  </si>
  <si>
    <t>Taux MLT</t>
  </si>
  <si>
    <t>TENORS</t>
  </si>
  <si>
    <t xml:space="preserve">taux AA </t>
  </si>
  <si>
    <t>BDT du 16/11/2024 à 2.85%  2 ANS</t>
  </si>
  <si>
    <t>CD SGMB du 30/08/2024 à 3.09%  1 an 1/2</t>
  </si>
  <si>
    <t>CD CDM DU 30/08/2024  26  SEM à 2.89%</t>
  </si>
  <si>
    <t>CD CDM DU 30/08/2024  13 SEM à 2.79%</t>
  </si>
  <si>
    <t>CD SGMB du 30/08/2024 à 3.01%  52 SEM</t>
  </si>
  <si>
    <t>BDT du 24/06/2024 à 2.90%  13 semaines</t>
  </si>
  <si>
    <t>BDT DU 18/06/2025 à 3.55% 10 ANS</t>
  </si>
  <si>
    <t>CD BMCI DU 19/09/2024  26  SEM à 2.88%</t>
  </si>
  <si>
    <t>CD BMCI du  19/09/2024 à 2.98%   52 Sem</t>
  </si>
  <si>
    <t xml:space="preserve">OBL SUB BMCI  du 24/09/2024 à 4.16% 10ANS  FIXE </t>
  </si>
  <si>
    <t>Maturite</t>
  </si>
  <si>
    <t>taux_avant</t>
  </si>
  <si>
    <t>taux_actuel</t>
  </si>
  <si>
    <t>OBL HAYAN IMMO du 11/07/2024 à 5.45% 7 ans Amrt TRIM</t>
  </si>
  <si>
    <t xml:space="preserve">Echéancier Prévisionnel </t>
  </si>
  <si>
    <t>BSF EQDOM du 30/09/2024 à 3.25%  2 ANS</t>
  </si>
  <si>
    <t>CD CDM du 30/09/2024 à 2.95%  26 SEM</t>
  </si>
  <si>
    <t>11/10/2024</t>
  </si>
  <si>
    <t>11/01/2025</t>
  </si>
  <si>
    <t>11/04/2025</t>
  </si>
  <si>
    <t>11/07/2025</t>
  </si>
  <si>
    <t>11/10/2025</t>
  </si>
  <si>
    <t>11/01/2026</t>
  </si>
  <si>
    <t>11/04/2026</t>
  </si>
  <si>
    <t>11/07/2026</t>
  </si>
  <si>
    <t>11/10/2026</t>
  </si>
  <si>
    <t>11/01/2027</t>
  </si>
  <si>
    <t>11/04/2027</t>
  </si>
  <si>
    <t>11/07/2027</t>
  </si>
  <si>
    <t>11/10/2027</t>
  </si>
  <si>
    <t>11/01/2028</t>
  </si>
  <si>
    <t>11/04/2028</t>
  </si>
  <si>
    <t>11/07/2028</t>
  </si>
  <si>
    <t>11/10/2028</t>
  </si>
  <si>
    <t>11/01/2029</t>
  </si>
  <si>
    <t>11/04/2029</t>
  </si>
  <si>
    <t>11/07/2029</t>
  </si>
  <si>
    <t>11/10/2029</t>
  </si>
  <si>
    <t>11/01/2030</t>
  </si>
  <si>
    <t>11/04/2030</t>
  </si>
  <si>
    <t>11/07/2030</t>
  </si>
  <si>
    <t>11/10/2030</t>
  </si>
  <si>
    <t>11/01/2031</t>
  </si>
  <si>
    <t>11/04/2031</t>
  </si>
  <si>
    <t>11/07/2031</t>
  </si>
  <si>
    <t>VALEUR_MATURITE</t>
  </si>
  <si>
    <t>taux</t>
  </si>
  <si>
    <t>BSF WAFASALAF du 01/10/2024 à 3.50% 5ANS</t>
  </si>
  <si>
    <t>BSF WAFASALAF du 01/10/2024 à 3.20% 2ANS</t>
  </si>
  <si>
    <t>TOMBEE</t>
  </si>
  <si>
    <t>Echéancier Prévisionnel FT AL MOWADDAF 3</t>
  </si>
  <si>
    <t>OBL FT SALAF INVEST du 10/10/2024  12ans Taux Rév  AMORT TRIM</t>
  </si>
  <si>
    <t>CD CAM du  10/10/2024 à 3,10%   52 Sem</t>
  </si>
  <si>
    <t xml:space="preserve">OBL CFCA du 17/09/2018  5% 15 ans  </t>
  </si>
  <si>
    <t>17/09/2022</t>
  </si>
  <si>
    <t>17/09/2023</t>
  </si>
  <si>
    <t>01/11/2023</t>
  </si>
  <si>
    <t>17/09/2024</t>
  </si>
  <si>
    <t>17/09/2025</t>
  </si>
  <si>
    <t>17/09/2026</t>
  </si>
  <si>
    <t>17/09/2027</t>
  </si>
  <si>
    <t>17/09/2028</t>
  </si>
  <si>
    <t>17/09/2029</t>
  </si>
  <si>
    <t>17/09/2030</t>
  </si>
  <si>
    <t>17/09/2031</t>
  </si>
  <si>
    <t>17/09/2032</t>
  </si>
  <si>
    <t>17/09/2033</t>
  </si>
  <si>
    <t>17/09/2034</t>
  </si>
  <si>
    <t>BSF RCI FINANCE du 21/10/2024 à 3.34%   2 ANS</t>
  </si>
  <si>
    <t>CD CAM du  18/10/2024 à 3,16%   18 mois</t>
  </si>
  <si>
    <t>BDT ATY du  21/07/2024 à 2.90% 1 an</t>
  </si>
  <si>
    <t>Duration TITRE</t>
  </si>
  <si>
    <t>MR=((24/12/2024-22/10/2024)/91)*0.25=0.1730769231   (91 car le trimestre pour une année de 364 est 91j)</t>
  </si>
  <si>
    <t xml:space="preserve">Règle pour trimestriel </t>
  </si>
  <si>
    <t>coupon</t>
  </si>
  <si>
    <t>VALEUR TAUX</t>
  </si>
  <si>
    <t>CD CDG CAPITAL DU 25/10/2024  26 SEM  à 2.94%</t>
  </si>
  <si>
    <t>BSF EQDOM du 30/10/2024 à 3.33%  3 ANS ATYP 01/11/2024</t>
  </si>
  <si>
    <t>Taux AA</t>
  </si>
  <si>
    <t>CD CDM du 31/10/2024 à 2.96%  26 SEM</t>
  </si>
  <si>
    <t>CD CDM du 31/10/2024 à 3.03%  9 MOIS</t>
  </si>
  <si>
    <t xml:space="preserve">CD SGMB du 31/10/2024 à 2.95%  1 an </t>
  </si>
  <si>
    <t>CD SGMB du 31/10/2024 à 3.03%  18 MOIS ATYP 30/04/2025</t>
  </si>
  <si>
    <t xml:space="preserve">taux actuariel ( pas d'arrondissement) </t>
  </si>
  <si>
    <t>BSF WAFASALAF du 01/11/2024 à 3.43% 5ANS</t>
  </si>
  <si>
    <t>BDT DU 14/08/2025 à 4% 20 ans</t>
  </si>
  <si>
    <t>CD CDM du 30/10/2024 à 2.94%  13 SEM</t>
  </si>
  <si>
    <t>BDT DU 16/07/2025 à 3.65% 15 ans ATYP 18/09/2024</t>
  </si>
  <si>
    <t xml:space="preserve">
La révision du taux est sur 52 SEM  ( 03/12/2024)  mais le coupon est  sur 26 sem ‘03/12/2024)
</t>
  </si>
  <si>
    <t>CD CDG CAPITAL DU 28/11/2024  52 SEM  à 2.92%</t>
  </si>
  <si>
    <t>OBL SUB PERPET CDM du 06/12/2024 à 4.78% REV 52 SEM</t>
  </si>
  <si>
    <t>OBL SUB RCIFINANCE  du 09/12/2024 à 3.26%   REVIS TRIM</t>
  </si>
  <si>
    <t>BSF SOGELEASE du 09/12/2024 à 3,38%  3 ans</t>
  </si>
  <si>
    <t xml:space="preserve">OBL OCP ORD SUB Fixe  DU 16/12/2024  30 ANS </t>
  </si>
  <si>
    <t xml:space="preserve">OBL OCP ORD SUB Fixe  DU 16/12/2024  10 ANS </t>
  </si>
  <si>
    <t>OBL OCP ORD SUB DU 16/12/2024  REV 52 SEM</t>
  </si>
  <si>
    <t>BDT DU 19/04/2025 à 4.50%  30 ans ATYP 30/09/2024</t>
  </si>
  <si>
    <t>5119</t>
  </si>
  <si>
    <t xml:space="preserve">debut amortissement  </t>
  </si>
  <si>
    <t>taux sur courbe</t>
  </si>
  <si>
    <t xml:space="preserve">CD SGMB du 27/06/2024 à 3.37%  9 </t>
  </si>
  <si>
    <t>OBL SUB ATW du  26/12/2024  Fixe 7 ans AMORT</t>
  </si>
  <si>
    <t>OBL SUB ATW du 26/12/2024  REVIS ANUEL  7 ANS</t>
  </si>
  <si>
    <t>OBL SUB WAFASALAF du 26/12/2024  7 ans Fixe 3,84%</t>
  </si>
  <si>
    <t>OBL WAFASALAF du 26/12/2024 à 3,38% Rév Annuel 7ans</t>
  </si>
  <si>
    <t>taux révisable annuel</t>
  </si>
  <si>
    <t>BSF EQDOM du 30/12/2024 à 3.40%  3 ANS ATYP 30/03/</t>
  </si>
  <si>
    <t>OBL SUB PERPT BCP du 30/12/2024 à 4.54%   REVISABLE</t>
  </si>
  <si>
    <t>BSF SOGELEASE du 30/12/2024 à 3,26%  3 ans</t>
  </si>
  <si>
    <t>BDT du 19/01/2025 à 2.70%  52 SEM</t>
  </si>
  <si>
    <t>BDT du 28/11/2022 a 2.90% 5 ANS  REV</t>
  </si>
  <si>
    <t xml:space="preserve">BDT DU 06/01/2025 à 6.65% 2 ans </t>
  </si>
  <si>
    <t>CD BOA du 16/01/2025 à 2.78% 52 Sem</t>
  </si>
  <si>
    <t>CD BOA du 16/01/2025 à 2.70%  26 SEM</t>
  </si>
  <si>
    <t>BSF WAFASALAF du 17/01/2025 à 2.96%  2ANS</t>
  </si>
  <si>
    <t>trimestriel MR=((diff date)/182)*0,5</t>
  </si>
  <si>
    <t>semestriel MR=((diff date)/91)*0,25</t>
  </si>
  <si>
    <t>BT OCP du 27/01/2025 a 2,61% 26 sem</t>
  </si>
  <si>
    <t>BSF WAFASALAF du 31/01/2025 à 2.97%  2ANS</t>
  </si>
  <si>
    <t>BSF EQDOM du 31/01/2025 à 3.28%  4 ANS</t>
  </si>
  <si>
    <t xml:space="preserve"> FLEXENERGY  du 06/02/2025  14ans Taux Rév  AMORT AN</t>
  </si>
  <si>
    <t>5156</t>
  </si>
  <si>
    <t>03/01/2027</t>
  </si>
  <si>
    <t>03/01/2028</t>
  </si>
  <si>
    <t>03/01/2029</t>
  </si>
  <si>
    <t>03/01/2030</t>
  </si>
  <si>
    <t>03/01/2031</t>
  </si>
  <si>
    <t>03/01/2032</t>
  </si>
  <si>
    <t>03/01/2033</t>
  </si>
  <si>
    <t>03/01/2034</t>
  </si>
  <si>
    <t>03/01/2035</t>
  </si>
  <si>
    <t>03/01/2036</t>
  </si>
  <si>
    <t>03/01/2037</t>
  </si>
  <si>
    <t>03/01/2038</t>
  </si>
  <si>
    <t>03/01/2039</t>
  </si>
  <si>
    <t xml:space="preserve">FLEXENERGY  </t>
  </si>
  <si>
    <t>BSF WAFASALAF du 31/02/2025 à 2.99%  2ANS</t>
  </si>
  <si>
    <t>BT OCP du 27/01/2025 a 2,57% 1 MOIS</t>
  </si>
  <si>
    <t>BDT du 24/02/2025 a 2.65% 2 ans</t>
  </si>
  <si>
    <t>OBL ORD du 27/02/2025 7 ans Fixe 3,67%</t>
  </si>
  <si>
    <t>CD CDM du 28/02/2025  a 2.75% 26 SEM</t>
  </si>
  <si>
    <t>CD CDM du 28/02/2025 a A.27% 26 SEM</t>
  </si>
  <si>
    <t>BSF RCI FINANCE du 01/03/2025 a 3.09% 2 ANS</t>
  </si>
  <si>
    <t>BSF EQDOM du 03/03/2025 a 3.14% 30 MOIS</t>
  </si>
  <si>
    <t>BSF EQDOM du 03/03/2025 a 3.11% 27 MOIS</t>
  </si>
  <si>
    <t xml:space="preserve">                      -    </t>
  </si>
  <si>
    <t>OBLIG ADM DU 13/07/2009 20 ANS 4.86%</t>
  </si>
  <si>
    <t>CD ATW du 20/04/2021 a 2.35% 5 ans</t>
  </si>
  <si>
    <t>BSF RCI FINANCE du 27/03/2025 a 3,02% 3 ANS</t>
  </si>
  <si>
    <t>BSF  SOGELEASE    du 28/03/2025 A 3,02% 3 ans</t>
  </si>
  <si>
    <t>BSF WAFASALAF  du 28/03/2025 à 3.14% 5 ans</t>
  </si>
  <si>
    <t>5151</t>
  </si>
  <si>
    <t>BT PMANAGEM du 03/04/2025 a 2.71% 52 sem</t>
  </si>
  <si>
    <t>BDT du 04/11/2024 a 2.58% 26 SEM</t>
  </si>
  <si>
    <t>COURBE ACTUARIEL  taux = taux (mr  du titre)</t>
  </si>
  <si>
    <t>mr</t>
  </si>
  <si>
    <t>Rendement nouvelle courbe (attention &gt;365 au lieu de 364)</t>
  </si>
  <si>
    <t xml:space="preserve">CD CIH du 30/04/2025 a 2.92% 5 ans </t>
  </si>
  <si>
    <t>CD CDM du 30/04/2025 a 2,44% 26 SEM</t>
  </si>
  <si>
    <t>CD CDM du 30/04/2025 a 2,37% 13 SEM</t>
  </si>
  <si>
    <t>BSF WAFABAIL du 06/05/2022 a 2.82% 5 ANS</t>
  </si>
  <si>
    <t>BDT du 24/03/2025 a 2.20% 13 SEM</t>
  </si>
  <si>
    <t xml:space="preserve">BDT du 03/03/2025 a 2.39% 26 SEM </t>
  </si>
  <si>
    <t>BSF EQDOM du 31/05/2025 a 2,66% 2 ANS ATYP 29/05/2025</t>
  </si>
  <si>
    <t>OBL ORD NEJMA DU 04/06/2029 Fixe 4 ans AMORT</t>
  </si>
  <si>
    <t>REV  trimestrielle</t>
  </si>
  <si>
    <r>
      <t>85</t>
    </r>
    <r>
      <rPr>
        <sz val="16"/>
        <rFont val="Calibri"/>
        <family val="2"/>
      </rPr>
      <t>  (Amort SEMESTRIEL + Révision Annuelle)</t>
    </r>
  </si>
  <si>
    <t>OBL ORD AUTO NEJMA DU 04/06/2025 REV 26 SEM 2 ANS</t>
  </si>
  <si>
    <t>OBL ORD AUTO NEJMA DU 04/06/2029 REV 26 SEM 4 ANS</t>
  </si>
  <si>
    <t>Amort Annuellement</t>
  </si>
  <si>
    <t>BSF EQDOM du 31/05/2025 a 2,66% 2 ANS ATYP 29/05/2026</t>
  </si>
  <si>
    <t>BSF EQDOM du 30/06/2025 a 2.57% 2 ANS ATYP 16/06/2025</t>
  </si>
  <si>
    <t>BSF MAGHREBAIL 2.82% du 18/06/2025 AMORT 5 ans</t>
  </si>
  <si>
    <t>OBL ORD RCIFINANCE du 19/06/2025 a 2.63% REVIS TRIM</t>
  </si>
  <si>
    <t>OBL ORD RCIFINANCE du 19/06/2025 a 2.53% REVIS TRIM</t>
  </si>
  <si>
    <t>OBL ORD IAM du 32/06/2025 a 2.37% 2 ANS</t>
  </si>
  <si>
    <t>OBLIG CFG BANK du 24/06/2025 a 3.42% 10 ANS</t>
  </si>
  <si>
    <t>OBL SUB SOFAC du 24/06/2025 REVIS ANUEL 5 ANS</t>
  </si>
  <si>
    <t>OBL SUB BOA du 26/06/2025 a 4.62% REV TT 5 ans</t>
  </si>
  <si>
    <t>OBL SUB ATW du 30/06/2025 a 2.73% REV DIFFERE 2ans</t>
  </si>
  <si>
    <t xml:space="preserve"> AMORT REV avec différé 2 ANS</t>
  </si>
  <si>
    <t>OBL ORD ORDA du 30/06/2025 REVIS ANUEL 15 ANS</t>
  </si>
  <si>
    <t>OBL SUB WAFASALAF du 30/06/2025 7 ans 3.38%</t>
  </si>
  <si>
    <t>OBL SUB WAFASALAF du 30/06/2025 7 ans 2.88%</t>
  </si>
  <si>
    <t>OBL SUB ATW du 30/06/2025 a 3.07% FIXE DIFERE 2 ans</t>
  </si>
  <si>
    <t xml:space="preserve">OBL ORD ONDA du 30/06/2025 FIXE AMORT 15 ANS </t>
  </si>
  <si>
    <t>Jours</t>
  </si>
  <si>
    <t>Valorisation</t>
  </si>
  <si>
    <t>REV Amort  DIFF 5 ANS</t>
  </si>
  <si>
    <t>BSF WAFABAIL DU 01/07/2025 2 ans a 2.7%</t>
  </si>
  <si>
    <t>OBL ORD MARJANE du 07/07/2025 Fixe 7 ans AMORTI 3,10%</t>
  </si>
  <si>
    <t>BDT du 23/06/2025 a 1.39% 13 SEM</t>
  </si>
  <si>
    <t>BDT du 10/06/2025 a 1.88% 13 SEM</t>
  </si>
  <si>
    <t>BDT du 10/06/2025 a 1.78% 13 SEM</t>
  </si>
  <si>
    <t>BDT du 20/09/2025 a 2.2% 2ANS ATYP 23/06/2025</t>
  </si>
  <si>
    <t>BDT du 14/05/2025 a 2.90% 10 ANS ATYP 05/05/2025</t>
  </si>
  <si>
    <t>CD SGMB dy 30/06/2025 a 2.34% 13 SEM</t>
  </si>
  <si>
    <t>BDT du 14/02/2026 a 3.80% 30 ANS ATYP 08/07/2025</t>
  </si>
  <si>
    <t>BDT du 23/06/2025 a 1.50 % 13 SEM</t>
  </si>
  <si>
    <t xml:space="preserve">BDT du 23/06/2025 a 1.60% 13 SEM </t>
  </si>
  <si>
    <t>BSF WAFASALAF du 14/07/2025 a 2.74% 3ANS</t>
  </si>
  <si>
    <t>titre</t>
  </si>
  <si>
    <t>BT OCP du 29/07/2025 a 2,28% 26 SEM</t>
  </si>
  <si>
    <t>BSF WAFASALAF du 28/07/2025  a 2.90% 5 ANS</t>
  </si>
  <si>
    <t>BT MANAGEM du 31/07/2025 a 2.58% 52 SEM</t>
  </si>
  <si>
    <t>CD CDM du 31/07/2025 a 2.51% 2 ANS</t>
  </si>
  <si>
    <t>CD CDG CAPITAL DU 31/07/2025 2 ANS a 2.53%</t>
  </si>
  <si>
    <t>CD CDG CAPITAL DU 31/07/2025 52 SEM a 2.41%</t>
  </si>
  <si>
    <t>CD CDG CAPITAL DU 31/07/2025 26 SEM a 2.36%</t>
  </si>
  <si>
    <t>BSF SAHAMLEASE du 01/08/2025 a 3,00% 5 ans</t>
  </si>
  <si>
    <t>BSF EQDOM du 01/08/2025 a 2.620% 2 ans</t>
  </si>
  <si>
    <t>BSF MAGHREBAIL 3.02% du 11/08/2025 AMORT 7 ans</t>
  </si>
  <si>
    <t>BSF SOFAC DU 12/08/2025 5 ans a 2.82%</t>
  </si>
  <si>
    <t>BST du 16/07/2025 a 3.05% 15 ans ATYP 16/06/2025</t>
  </si>
  <si>
    <t>CD CDM du 29/08/2025 a 2.39% 26 SEM</t>
  </si>
  <si>
    <t>CD CDM du 29/08/2025 a 2.45% 52 SEM</t>
  </si>
  <si>
    <t>BDT du 21/08/2025 a 3.40% 20 ANS ATYP 02/06/2025</t>
  </si>
  <si>
    <t>BDT du 16/08/2025 a 2.25% 2 ANS ATYP 04/08/2025</t>
  </si>
  <si>
    <t>BT OCP du 18/09/2025 a 2.31% 26 SEM</t>
  </si>
  <si>
    <t>CD BMCI du 18/09/2025 a 2.48 52 SEM</t>
  </si>
  <si>
    <t>CD CDM du 18/09/2025  a 2.41% 26 SEM</t>
  </si>
  <si>
    <t>BDT du 17/08/2025 a 2.10% 52 SEM</t>
  </si>
  <si>
    <t>Coupon unitaire</t>
  </si>
  <si>
    <t>BDT du 29/09/2025 a 2.25% 2 ans ATYP 17/01/1026</t>
  </si>
  <si>
    <t xml:space="preserve">BSF WAFABAIL du 06/10/2025 a 2.75% 3 ans </t>
  </si>
  <si>
    <t xml:space="preserve">BSF WAFABAIL du 06/10/2025 a 2.86% 4 ans </t>
  </si>
  <si>
    <t>BSF WAFASALAF du 10/10/2025 à 2.98%  5 ans</t>
  </si>
  <si>
    <t>OBLIGATION FT CORPORATE SYNTHETIC FUND 2 ANS</t>
  </si>
  <si>
    <t>XS2270577344</t>
  </si>
  <si>
    <t>BSF WAFASALAF  du 08/12/2025 à 2.83%  2 ans</t>
  </si>
  <si>
    <t>REV SEMEST</t>
  </si>
  <si>
    <t>DI</t>
  </si>
  <si>
    <t>XS2621506588</t>
  </si>
  <si>
    <t>OBL OCP ORD NUTRICROPS DU 15/12/2025 FIXE 30 ANS</t>
  </si>
  <si>
    <t>OBL OCP ORD NUTRICROPS DU 15/12/2025 FIXE 52 SEMAIN</t>
  </si>
  <si>
    <t>PRIX</t>
  </si>
  <si>
    <t>METHODE COUPON</t>
  </si>
  <si>
    <t>BASE DE CALCUL</t>
  </si>
  <si>
    <t>361,13</t>
  </si>
  <si>
    <t>BSF WAFABAIL du 05/01/2026 à 2.94% 4ans</t>
  </si>
  <si>
    <t>712.5</t>
  </si>
  <si>
    <t>2.725</t>
  </si>
  <si>
    <t>XS2080771806</t>
  </si>
  <si>
    <t>XS2355149316</t>
  </si>
  <si>
    <t>XS2239830222</t>
  </si>
  <si>
    <t>XS2270576965</t>
  </si>
  <si>
    <t>XS2595028700</t>
  </si>
  <si>
    <t>XS2595028452</t>
  </si>
  <si>
    <t>XS2270576619</t>
  </si>
  <si>
    <t>XS2239829216</t>
  </si>
  <si>
    <t>XS2810168737</t>
  </si>
  <si>
    <t>XS2810168810</t>
  </si>
  <si>
    <t>XS1061043367</t>
  </si>
  <si>
    <t>XS0864259717</t>
  </si>
  <si>
    <t>XS3041270664</t>
  </si>
  <si>
    <t>XS3040573191</t>
  </si>
  <si>
    <t>XS3040572979</t>
  </si>
  <si>
    <t xml:space="preserve">                                      -    </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</si>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</sst>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2">
    <numFmt numFmtId="43" formatCode="_-* #,##0.00_-;\-* #,##0.00_-;_-* &quot;-&quot;??_-;_-@_-"/>
    <numFmt numFmtId="164" formatCode="#,##0.00\ &quot;DH&quot;;[Red]\-#,##0.00\ &quot;DH&quot;"/>
    <numFmt numFmtId="165" formatCode="_-* #,##0.00\ &quot;DH&quot;_-;\-* #,##0.00\ &quot;DH&quot;_-;_-* &quot;-&quot;??\ &quot;DH&quot;_-;_-@_-"/>
    <numFmt numFmtId="166" formatCode="_-* #,##0.00\ _D_H_-;\-* #,##0.00\ _D_H_-;_-* &quot;-&quot;??\ _D_H_-;_-@_-"/>
    <numFmt numFmtId="167" formatCode="_-* #,##0.00\ _€_-;\-* #,##0.00\ _€_-;_-* &quot;-&quot;??\ _€_-;_-@_-"/>
    <numFmt numFmtId="168" formatCode="_-* #,##0.00\ _D_h_-;\-* #,##0.00\ _D_h_-;_-* &quot;-&quot;??\ _D_h_-;_-@_-"/>
    <numFmt numFmtId="169" formatCode="_-* #,##0\ _F_-;\-* #,##0\ _F_-;_-* &quot;-&quot;??\ _F_-;_-@_-"/>
    <numFmt numFmtId="170" formatCode="0.0000%"/>
    <numFmt numFmtId="171" formatCode="0.000000%"/>
    <numFmt numFmtId="172" formatCode="_-* #,##0.0000\ _F_-;\-* #,##0.0000\ _F_-;_-* &quot;-&quot;??\ _F_-;_-@_-"/>
    <numFmt numFmtId="173" formatCode="0.000%"/>
    <numFmt numFmtId="174" formatCode="0.000000000"/>
    <numFmt numFmtId="175" formatCode="0.00000%"/>
    <numFmt numFmtId="176" formatCode="0.0000000%"/>
    <numFmt numFmtId="177" formatCode="0.00000000%"/>
    <numFmt numFmtId="178" formatCode="_-* #,##0.00\ [$€-1]_-;\-* #,##0.00\ [$€-1]_-;_-* &quot;-&quot;??\ [$€-1]_-"/>
    <numFmt numFmtId="179" formatCode="_-* #,##0.00000\ _F_-;\-* #,##0.00000\ _F_-;_-* &quot;-&quot;??\ _F_-;_-@_-"/>
    <numFmt numFmtId="180" formatCode="#,##0.0"/>
    <numFmt numFmtId="181" formatCode="#,##0.000000000000000000"/>
    <numFmt numFmtId="182" formatCode="_-* #,##0.0000\ _D_h_-;\-* #,##0.0000\ _D_h_-;_-* &quot;-&quot;??\ _D_h_-;_-@_-"/>
    <numFmt numFmtId="183" formatCode="_-* #,##0.000000000\ _D_h_-;\-* #,##0.000000000\ _D_h_-;_-* &quot;-&quot;??\ _D_h_-;_-@_-"/>
    <numFmt numFmtId="184" formatCode="_-* #,##0.00000000000\ _D_h_-;\-* #,##0.00000000000\ _D_h_-;_-* &quot;-&quot;??\ _D_h_-;_-@_-"/>
    <numFmt numFmtId="185" formatCode="0.0000000000%"/>
    <numFmt numFmtId="186" formatCode="#,##0.0000"/>
    <numFmt numFmtId="187" formatCode="#,##0.0000000"/>
    <numFmt numFmtId="188" formatCode="0.000000000%"/>
    <numFmt numFmtId="189" formatCode="0.00000"/>
    <numFmt numFmtId="190" formatCode="_-* #,##0.000000\ _D_h_-;\-* #,##0.000000\ _D_h_-;_-* &quot;-&quot;??\ _D_h_-;_-@_-"/>
    <numFmt numFmtId="191" formatCode="0.000"/>
    <numFmt numFmtId="192" formatCode="_-* #,##0.000\ _D_h_-;\-* #,##0.000\ _D_h_-;_-* &quot;-&quot;??\ _D_h_-;_-@_-"/>
    <numFmt numFmtId="193" formatCode="_-* #,##0.00000\ _D_h_-;\-* #,##0.00000\ _D_h_-;_-* &quot;-&quot;??\ _D_h_-;_-@_-"/>
    <numFmt numFmtId="194" formatCode="_-* #,##0.00000000\ _D_h_-;\-* #,##0.00000000\ _D_h_-;_-* &quot;-&quot;??\ _D_h_-;_-@_-"/>
    <numFmt numFmtId="195" formatCode="0.0000"/>
    <numFmt numFmtId="196" formatCode="#,##0.000000"/>
    <numFmt numFmtId="197" formatCode="#,##0.00000"/>
    <numFmt numFmtId="198" formatCode="_-* #,##0.0000\ _€_-;\-* #,##0.0000\ _€_-;_-* &quot;-&quot;??\ _€_-;_-@_-"/>
    <numFmt numFmtId="199" formatCode="dd/mm/yyyy;@"/>
    <numFmt numFmtId="200" formatCode="#,##0.000"/>
    <numFmt numFmtId="201" formatCode="0.00000000000"/>
    <numFmt numFmtId="202" formatCode="0.0000000000"/>
    <numFmt numFmtId="203" formatCode="0.00000000"/>
    <numFmt numFmtId="204" formatCode="_-* #,##0.00\ [$€]_-;\-* #,##0.00\ [$€]_-;_-* &quot;-&quot;??\ [$€]_-;_-@_-"/>
    <numFmt numFmtId="205" formatCode="#,##0.00_ ;\-#,##0.00\ "/>
    <numFmt numFmtId="206" formatCode="#,##0.00000000"/>
    <numFmt numFmtId="207" formatCode="#,##0.0000000000"/>
    <numFmt numFmtId="208" formatCode="#,##0.000000000000"/>
    <numFmt numFmtId="209" formatCode="_-* #,##0.00000\ _€_-;\-* #,##0.00000\ _€_-;_-* &quot;-&quot;??\ _€_-;_-@_-"/>
    <numFmt numFmtId="210" formatCode="#,##0.0000000000000"/>
    <numFmt numFmtId="211" formatCode="#,##0.0000000000000000"/>
    <numFmt numFmtId="212" formatCode="_-* #,##0.000\ _D_H_-;\-* #,##0.000\ _D_H_-;_-* &quot;-&quot;??\ _D_H_-;_-@_-"/>
    <numFmt numFmtId="213" formatCode="#,##0.00000000000"/>
    <numFmt numFmtId="214" formatCode="#,##0.000000000"/>
    <numFmt numFmtId="215" formatCode="0.0%"/>
    <numFmt numFmtId="216" formatCode="#,##0,"/>
    <numFmt numFmtId="217" formatCode="#,##0.000,"/>
    <numFmt numFmtId="218" formatCode="0.000000"/>
    <numFmt numFmtId="219" formatCode="_(* #,##0.00_);_(* \(#,##0.00\);_(* &quot;-&quot;??_);_(@_)"/>
    <numFmt numFmtId="220" formatCode="0.0000000000000"/>
    <numFmt numFmtId="221" formatCode="0.00000000000%"/>
    <numFmt numFmtId="222" formatCode="#,##0.000000000000000"/>
    <numFmt numFmtId="223" formatCode="_-* #,##0.0000000\ _D_h_-;\-* #,##0.0000000\ _D_h_-;_-* &quot;-&quot;??\ _D_h_-;_-@_-"/>
    <numFmt numFmtId="224" formatCode="_-* #,##0.0000\ _€_-;\-* #,##0.0000\ _€_-;_-* &quot;-&quot;????\ _€_-;_-@_-"/>
    <numFmt numFmtId="225" formatCode="&quot; &quot;#,##0.00&quot;   &quot;;&quot;-&quot;#,##0.00&quot;   &quot;;&quot; -&quot;#&quot;   &quot;;&quot; &quot;@&quot; &quot;"/>
    <numFmt numFmtId="226" formatCode="_-* #,##0.000\ _€_-;\-* #,##0.000\ _€_-;_-* &quot;-&quot;??\ _€_-;_-@_-"/>
    <numFmt numFmtId="227" formatCode="_-* #,##0.000000\ _€_-;\-* #,##0.000000\ _€_-;_-* &quot;-&quot;??\ _€_-;_-@_-"/>
    <numFmt numFmtId="228" formatCode="#,##0.0000_ ;\-#,##0.0000\ "/>
    <numFmt numFmtId="229" formatCode="0.0000000"/>
    <numFmt numFmtId="230" formatCode="_-* #,##0.0000000000000\ _D_h_-;\-* #,##0.0000000000000\ _D_h_-;_-* &quot;-&quot;??\ _D_h_-;_-@_-"/>
    <numFmt numFmtId="231" formatCode="_-* #,##0.000000\ _€_-;\-* #,##0.000000\ _€_-;_-* &quot;-&quot;??????\ _€_-;_-@_-"/>
    <numFmt numFmtId="232" formatCode="0.00000000000000"/>
    <numFmt numFmtId="233" formatCode="_-* #,##0.00000\ _€_-;\-* #,##0.00000\ _€_-;_-* &quot;-&quot;?????\ _€_-;_-@_-"/>
    <numFmt numFmtId="234" formatCode="&quot; &quot;#,##0.00&quot;   &quot;;&quot;-&quot;#,##0.00&quot;   &quot;;&quot; -&quot;00&quot;   &quot;;&quot; &quot;@&quot; &quot;"/>
  </numFmts>
  <fonts count="14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i/>
      <sz val="10"/>
      <name val="Times New Roman"/>
      <family val="1"/>
    </font>
    <font>
      <sz val="12"/>
      <name val="Times New Roman"/>
      <family val="1"/>
    </font>
    <font>
      <b/>
      <sz val="12"/>
      <name val="Times New Roman"/>
      <family val="1"/>
    </font>
    <font>
      <b/>
      <sz val="10"/>
      <name val="Arial"/>
      <family val="2"/>
    </font>
    <font>
      <b/>
      <i/>
      <u/>
      <sz val="12"/>
      <name val="Times New Roman"/>
      <family val="1"/>
    </font>
    <font>
      <b/>
      <i/>
      <sz val="10"/>
      <name val="Times New Roman"/>
      <family val="1"/>
    </font>
    <font>
      <b/>
      <sz val="10"/>
      <color indexed="9"/>
      <name val="Arial"/>
      <family val="2"/>
    </font>
    <font>
      <sz val="8"/>
      <name val="Arial"/>
      <family val="2"/>
    </font>
    <font>
      <b/>
      <sz val="10"/>
      <color indexed="10"/>
      <name val="Arial"/>
      <family val="2"/>
    </font>
    <font>
      <b/>
      <sz val="12"/>
      <color indexed="62"/>
      <name val="Times New Roman"/>
      <family val="1"/>
    </font>
    <font>
      <sz val="12"/>
      <color indexed="9"/>
      <name val="Times New Roman"/>
      <family val="1"/>
    </font>
    <font>
      <b/>
      <sz val="8"/>
      <color indexed="81"/>
      <name val="Tahoma"/>
      <family val="2"/>
    </font>
    <font>
      <sz val="10"/>
      <name val="Courier"/>
      <family val="3"/>
    </font>
    <font>
      <sz val="12"/>
      <name val="Helv"/>
    </font>
    <font>
      <b/>
      <sz val="12"/>
      <color indexed="22"/>
      <name val="Arial"/>
      <family val="2"/>
    </font>
    <font>
      <sz val="10"/>
      <color indexed="22"/>
      <name val="Arial"/>
      <family val="2"/>
    </font>
    <font>
      <sz val="10"/>
      <color indexed="9"/>
      <name val="Arial"/>
      <family val="2"/>
    </font>
    <font>
      <b/>
      <sz val="12"/>
      <color indexed="10"/>
      <name val="Arial"/>
      <family val="2"/>
    </font>
    <font>
      <sz val="10"/>
      <name val="Wingdings 3"/>
      <family val="1"/>
      <charset val="2"/>
    </font>
    <font>
      <sz val="8"/>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8"/>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0"/>
      <name val="Arial"/>
      <family val="2"/>
    </font>
    <font>
      <sz val="10"/>
      <color indexed="9"/>
      <name val="Arial"/>
      <family val="2"/>
    </font>
    <font>
      <sz val="10"/>
      <name val="Trebuchet MS"/>
      <family val="2"/>
    </font>
    <font>
      <sz val="10"/>
      <name val="Arial"/>
      <family val="2"/>
    </font>
    <font>
      <sz val="9"/>
      <name val="Century Gothic"/>
      <family val="2"/>
    </font>
    <font>
      <b/>
      <sz val="9"/>
      <name val="Century Gothic"/>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color indexed="8"/>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1"/>
      <color theme="1"/>
      <name val="Calibri"/>
      <family val="2"/>
      <scheme val="minor"/>
    </font>
    <font>
      <sz val="11"/>
      <color theme="0"/>
      <name val="Calibri"/>
      <family val="2"/>
      <scheme val="minor"/>
    </font>
    <font>
      <sz val="11"/>
      <color rgb="FFFF0000"/>
      <name val="Calibri"/>
      <family val="2"/>
      <scheme val="minor"/>
    </font>
    <font>
      <b/>
      <sz val="11"/>
      <color rgb="FFFA7D00"/>
      <name val="Calibri"/>
      <family val="2"/>
      <scheme val="minor"/>
    </font>
    <font>
      <sz val="11"/>
      <color rgb="FFFA7D00"/>
      <name val="Calibri"/>
      <family val="2"/>
      <scheme val="minor"/>
    </font>
    <font>
      <sz val="11"/>
      <color rgb="FF3F3F76"/>
      <name val="Calibri"/>
      <family val="2"/>
      <scheme val="minor"/>
    </font>
    <font>
      <sz val="11"/>
      <color rgb="FF9C0006"/>
      <name val="Calibri"/>
      <family val="2"/>
      <scheme val="minor"/>
    </font>
    <font>
      <u/>
      <sz val="11"/>
      <color theme="10"/>
      <name val="Calibri"/>
      <family val="2"/>
      <scheme val="minor"/>
    </font>
    <font>
      <sz val="11"/>
      <color rgb="FF9C6500"/>
      <name val="Calibri"/>
      <family val="2"/>
      <scheme val="minor"/>
    </font>
    <font>
      <sz val="11"/>
      <color rgb="FF9C5700"/>
      <name val="Calibri"/>
      <family val="2"/>
      <scheme val="minor"/>
    </font>
    <font>
      <sz val="11"/>
      <color rgb="FF006100"/>
      <name val="Calibri"/>
      <family val="2"/>
      <scheme val="minor"/>
    </font>
    <font>
      <b/>
      <sz val="11"/>
      <color rgb="FF3F3F3F"/>
      <name val="Calibri"/>
      <family val="2"/>
      <scheme val="minor"/>
    </font>
    <font>
      <i/>
      <sz val="11"/>
      <color rgb="FF7F7F7F"/>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theme="1"/>
      <name val="Calibri"/>
      <family val="2"/>
      <scheme val="minor"/>
    </font>
    <font>
      <b/>
      <sz val="11"/>
      <color theme="0"/>
      <name val="Calibri"/>
      <family val="2"/>
      <scheme val="minor"/>
    </font>
    <font>
      <sz val="12"/>
      <color theme="1"/>
      <name val="Times New Roman"/>
      <family val="1"/>
    </font>
    <font>
      <b/>
      <sz val="10"/>
      <color theme="0"/>
      <name val="Arial"/>
      <family val="2"/>
    </font>
    <font>
      <b/>
      <sz val="9"/>
      <color theme="0"/>
      <name val="Century Gothic"/>
      <family val="2"/>
    </font>
    <font>
      <b/>
      <sz val="12"/>
      <color theme="1"/>
      <name val="Arial"/>
      <family val="2"/>
    </font>
    <font>
      <sz val="10"/>
      <color theme="0"/>
      <name val="Arial"/>
      <family val="2"/>
    </font>
    <font>
      <b/>
      <sz val="10"/>
      <color theme="1"/>
      <name val="Arial"/>
      <family val="2"/>
    </font>
    <font>
      <b/>
      <i/>
      <sz val="18"/>
      <color rgb="FFFF0000"/>
      <name val="Arial"/>
      <family val="2"/>
    </font>
    <font>
      <sz val="10"/>
      <color rgb="FFFF0000"/>
      <name val="Arial"/>
      <family val="2"/>
    </font>
    <font>
      <sz val="12"/>
      <color rgb="FFFF0000"/>
      <name val="Times New Roman"/>
      <family val="1"/>
    </font>
    <font>
      <b/>
      <sz val="10"/>
      <color rgb="FFFF0000"/>
      <name val="Arial"/>
      <family val="2"/>
    </font>
    <font>
      <sz val="10"/>
      <color theme="1"/>
      <name val="Arial"/>
      <family val="2"/>
    </font>
    <font>
      <sz val="10"/>
      <name val="Arial"/>
      <family val="2"/>
    </font>
    <font>
      <sz val="9"/>
      <color theme="1"/>
      <name val="Century Gothic"/>
      <family val="2"/>
    </font>
    <font>
      <b/>
      <sz val="11"/>
      <name val="Century Gothic"/>
      <family val="2"/>
    </font>
    <font>
      <b/>
      <i/>
      <sz val="10"/>
      <color theme="0"/>
      <name val="Times New Roman"/>
      <family val="1"/>
    </font>
    <font>
      <sz val="11"/>
      <name val="Calibri"/>
      <family val="2"/>
    </font>
    <font>
      <b/>
      <sz val="14"/>
      <color rgb="FFFFFFFF"/>
      <name val="Calibri"/>
      <family val="2"/>
    </font>
    <font>
      <sz val="11"/>
      <color theme="1"/>
      <name val="Calibri"/>
      <family val="2"/>
    </font>
    <font>
      <b/>
      <i/>
      <sz val="12"/>
      <color theme="0"/>
      <name val="Times New Roman"/>
      <family val="1"/>
    </font>
    <font>
      <b/>
      <sz val="12"/>
      <color theme="0"/>
      <name val="Arial"/>
      <family val="2"/>
    </font>
    <font>
      <b/>
      <i/>
      <sz val="12"/>
      <color theme="1"/>
      <name val="Times New Roman"/>
      <family val="1"/>
    </font>
    <font>
      <b/>
      <i/>
      <sz val="10"/>
      <name val="Arial"/>
      <family val="2"/>
    </font>
    <font>
      <b/>
      <sz val="10"/>
      <color rgb="FFFF66FF"/>
      <name val="Arial"/>
      <family val="2"/>
    </font>
    <font>
      <b/>
      <u/>
      <sz val="8"/>
      <color rgb="FFFF66FF"/>
      <name val="Arial"/>
      <family val="2"/>
    </font>
    <font>
      <b/>
      <i/>
      <u/>
      <sz val="10"/>
      <color rgb="FFFF00FF"/>
      <name val="Aptos SemiBold"/>
      <family val="2"/>
    </font>
    <font>
      <b/>
      <sz val="14"/>
      <color theme="1"/>
      <name val="Arial"/>
      <family val="2"/>
    </font>
    <font>
      <b/>
      <sz val="18"/>
      <color theme="1"/>
      <name val="Arial"/>
      <family val="2"/>
    </font>
    <font>
      <b/>
      <i/>
      <sz val="11"/>
      <name val="Times New Roman"/>
      <family val="1"/>
    </font>
    <font>
      <sz val="11"/>
      <name val="Aptos"/>
      <family val="2"/>
    </font>
    <font>
      <sz val="10"/>
      <color rgb="FF000000"/>
      <name val="Arial"/>
      <family val="2"/>
    </font>
    <font>
      <b/>
      <sz val="11"/>
      <name val="Calibri"/>
      <family val="2"/>
    </font>
    <font>
      <b/>
      <sz val="12"/>
      <name val="Calibri"/>
      <family val="2"/>
    </font>
    <font>
      <b/>
      <sz val="16"/>
      <name val="Calibri"/>
      <family val="2"/>
    </font>
    <font>
      <sz val="16"/>
      <name val="Calibri"/>
      <family val="2"/>
    </font>
    <font>
      <sz val="10"/>
      <color rgb="FF212121"/>
      <name val="Times New Roman"/>
      <family val="1"/>
    </font>
    <font>
      <b/>
      <sz val="12"/>
      <color rgb="FFFF0000"/>
      <name val="Arial"/>
      <family val="2"/>
    </font>
    <font>
      <sz val="8"/>
      <name val="Arial"/>
      <family val="2"/>
    </font>
  </fonts>
  <fills count="107">
    <fill>
      <patternFill patternType="none"/>
    </fill>
    <fill>
      <patternFill patternType="gray125"/>
    </fill>
    <fill>
      <patternFill patternType="solid">
        <fgColor indexed="63"/>
      </patternFill>
    </fill>
    <fill>
      <patternFill patternType="solid">
        <fgColor indexed="47"/>
      </patternFill>
    </fill>
    <fill>
      <patternFill patternType="solid">
        <fgColor indexed="26"/>
      </patternFill>
    </fill>
    <fill>
      <patternFill patternType="solid">
        <fgColor indexed="27"/>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2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45"/>
      </patternFill>
    </fill>
    <fill>
      <patternFill patternType="solid">
        <fgColor indexed="42"/>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64"/>
      </patternFill>
    </fill>
    <fill>
      <patternFill patternType="solid">
        <fgColor indexed="41"/>
        <bgColor indexed="64"/>
      </patternFill>
    </fill>
    <fill>
      <patternFill patternType="solid">
        <fgColor indexed="9"/>
        <bgColor indexed="64"/>
      </patternFill>
    </fill>
    <fill>
      <patternFill patternType="solid">
        <fgColor indexed="47"/>
        <bgColor indexed="64"/>
      </patternFill>
    </fill>
    <fill>
      <patternFill patternType="solid">
        <fgColor indexed="12"/>
        <bgColor indexed="64"/>
      </patternFill>
    </fill>
    <fill>
      <patternFill patternType="solid">
        <fgColor indexed="13"/>
        <bgColor indexed="64"/>
      </patternFill>
    </fill>
    <fill>
      <patternFill patternType="solid">
        <fgColor indexed="10"/>
        <bgColor indexed="64"/>
      </patternFill>
    </fill>
    <fill>
      <patternFill patternType="solid">
        <fgColor indexed="57"/>
        <bgColor indexed="64"/>
      </patternFill>
    </fill>
    <fill>
      <patternFill patternType="solid">
        <fgColor indexed="46"/>
        <bgColor indexed="64"/>
      </patternFill>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2F2F2"/>
      </patternFill>
    </fill>
    <fill>
      <patternFill patternType="solid">
        <fgColor rgb="FFFFFFCC"/>
      </patternFill>
    </fill>
    <fill>
      <patternFill patternType="solid">
        <fgColor rgb="FFFFCC99"/>
      </patternFill>
    </fill>
    <fill>
      <patternFill patternType="solid">
        <fgColor rgb="FFFFC7CE"/>
      </patternFill>
    </fill>
    <fill>
      <patternFill patternType="solid">
        <fgColor rgb="FFFFEB9C"/>
      </patternFill>
    </fill>
    <fill>
      <patternFill patternType="solid">
        <fgColor rgb="FFC6EFCE"/>
      </patternFill>
    </fill>
    <fill>
      <patternFill patternType="solid">
        <fgColor rgb="FFA5A5A5"/>
      </patternFill>
    </fill>
    <fill>
      <patternFill patternType="solid">
        <fgColor theme="9" tint="0.59999389629810485"/>
        <bgColor indexed="64"/>
      </patternFill>
    </fill>
    <fill>
      <patternFill patternType="solid">
        <fgColor rgb="FFFFFF00"/>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4"/>
        <bgColor indexed="64"/>
      </patternFill>
    </fill>
    <fill>
      <patternFill patternType="solid">
        <fgColor theme="3" tint="0.39997558519241921"/>
        <bgColor indexed="64"/>
      </patternFill>
    </fill>
    <fill>
      <patternFill patternType="solid">
        <fgColor rgb="FFC00000"/>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C000"/>
        <bgColor indexed="64"/>
      </patternFill>
    </fill>
    <fill>
      <patternFill patternType="solid">
        <fgColor rgb="FF92D050"/>
        <bgColor indexed="64"/>
      </patternFill>
    </fill>
    <fill>
      <patternFill patternType="solid">
        <fgColor theme="2"/>
        <bgColor indexed="64"/>
      </patternFill>
    </fill>
    <fill>
      <patternFill patternType="solid">
        <fgColor theme="2" tint="-9.9978637043366805E-2"/>
        <bgColor indexed="64"/>
      </patternFill>
    </fill>
    <fill>
      <patternFill patternType="solid">
        <fgColor theme="6"/>
        <bgColor indexed="64"/>
      </patternFill>
    </fill>
    <fill>
      <patternFill patternType="solid">
        <fgColor theme="6" tint="0.79998168889431442"/>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499984740745262"/>
        <bgColor theme="0" tint="-0.14999847407452621"/>
      </patternFill>
    </fill>
    <fill>
      <patternFill patternType="solid">
        <fgColor theme="0" tint="-0.14999847407452621"/>
        <bgColor theme="0" tint="-0.14999847407452621"/>
      </patternFill>
    </fill>
    <fill>
      <patternFill patternType="solid">
        <fgColor rgb="FFFFC000"/>
        <bgColor theme="0" tint="-0.14999847407452621"/>
      </patternFill>
    </fill>
    <fill>
      <patternFill patternType="solid">
        <fgColor theme="0" tint="-0.34998626667073579"/>
        <bgColor indexed="64"/>
      </patternFill>
    </fill>
    <fill>
      <patternFill patternType="solid">
        <fgColor theme="0" tint="-0.34998626667073579"/>
        <bgColor theme="0" tint="-0.14999847407452621"/>
      </patternFill>
    </fill>
    <fill>
      <patternFill patternType="solid">
        <fgColor theme="6" tint="0.39997558519241921"/>
        <bgColor indexed="64"/>
      </patternFill>
    </fill>
    <fill>
      <patternFill patternType="solid">
        <fgColor theme="0" tint="-0.499984740745262"/>
        <bgColor theme="0" tint="-0.14999847407452621"/>
      </patternFill>
    </fill>
    <fill>
      <patternFill patternType="solid">
        <fgColor rgb="FF0070C0"/>
        <bgColor indexed="64"/>
      </patternFill>
    </fill>
    <fill>
      <patternFill patternType="solid">
        <fgColor rgb="FF4472C4"/>
        <bgColor rgb="FF000000"/>
      </patternFill>
    </fill>
    <fill>
      <patternFill patternType="solid">
        <fgColor theme="1" tint="4.9989318521683403E-2"/>
        <bgColor indexed="64"/>
      </patternFill>
    </fill>
    <fill>
      <patternFill patternType="darkGray">
        <fgColor indexed="9"/>
        <bgColor theme="6" tint="0.59999389629810485"/>
      </patternFill>
    </fill>
    <fill>
      <patternFill patternType="solid">
        <fgColor theme="5" tint="0.79998168889431442"/>
        <bgColor indexed="64"/>
      </patternFill>
    </fill>
    <fill>
      <patternFill patternType="solid">
        <fgColor rgb="FF00B0F0"/>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2" tint="-0.249977111117893"/>
        <bgColor indexed="64"/>
      </patternFill>
    </fill>
  </fills>
  <borders count="70">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double">
        <color indexed="8"/>
      </left>
      <right style="double">
        <color indexed="8"/>
      </right>
      <top style="double">
        <color indexed="8"/>
      </top>
      <bottom style="double">
        <color indexed="8"/>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
      <left style="dashDot">
        <color indexed="64"/>
      </left>
      <right/>
      <top/>
      <bottom/>
      <diagonal/>
    </border>
    <border>
      <left style="medium">
        <color indexed="64"/>
      </left>
      <right style="thin">
        <color theme="1"/>
      </right>
      <top style="medium">
        <color indexed="64"/>
      </top>
      <bottom/>
      <diagonal/>
    </border>
    <border>
      <left style="thin">
        <color theme="1"/>
      </left>
      <right style="thin">
        <color theme="1"/>
      </right>
      <top/>
      <bottom/>
      <diagonal/>
    </border>
    <border>
      <left/>
      <right style="thin">
        <color theme="1"/>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double">
        <color auto="1"/>
      </top>
      <bottom/>
      <diagonal/>
    </border>
  </borders>
  <cellStyleXfs count="849">
    <xf numFmtId="0" fontId="0" fillId="0" borderId="0"/>
    <xf numFmtId="0" fontId="43" fillId="2" borderId="0" applyNumberFormat="0" applyBorder="0" applyAlignment="0" applyProtection="0"/>
    <xf numFmtId="0" fontId="89" fillId="32" borderId="0" applyNumberFormat="0" applyBorder="0" applyAlignment="0" applyProtection="0"/>
    <xf numFmtId="0" fontId="43" fillId="3" borderId="0" applyNumberFormat="0" applyBorder="0" applyAlignment="0" applyProtection="0"/>
    <xf numFmtId="0" fontId="89" fillId="33" borderId="0" applyNumberFormat="0" applyBorder="0" applyAlignment="0" applyProtection="0"/>
    <xf numFmtId="0" fontId="43" fillId="4" borderId="0" applyNumberFormat="0" applyBorder="0" applyAlignment="0" applyProtection="0"/>
    <xf numFmtId="0" fontId="89" fillId="34" borderId="0" applyNumberFormat="0" applyBorder="0" applyAlignment="0" applyProtection="0"/>
    <xf numFmtId="0" fontId="43" fillId="2" borderId="0" applyNumberFormat="0" applyBorder="0" applyAlignment="0" applyProtection="0"/>
    <xf numFmtId="0" fontId="89" fillId="35" borderId="0" applyNumberFormat="0" applyBorder="0" applyAlignment="0" applyProtection="0"/>
    <xf numFmtId="0" fontId="43" fillId="5" borderId="0" applyNumberFormat="0" applyBorder="0" applyAlignment="0" applyProtection="0"/>
    <xf numFmtId="0" fontId="89" fillId="36" borderId="0" applyNumberFormat="0" applyBorder="0" applyAlignment="0" applyProtection="0"/>
    <xf numFmtId="0" fontId="43" fillId="3" borderId="0" applyNumberFormat="0" applyBorder="0" applyAlignment="0" applyProtection="0"/>
    <xf numFmtId="0" fontId="89" fillId="37" borderId="0" applyNumberFormat="0" applyBorder="0" applyAlignment="0" applyProtection="0"/>
    <xf numFmtId="0" fontId="43" fillId="2" borderId="0" applyNumberFormat="0" applyBorder="0" applyAlignment="0" applyProtection="0"/>
    <xf numFmtId="0" fontId="89" fillId="38" borderId="0" applyNumberFormat="0" applyBorder="0" applyAlignment="0" applyProtection="0"/>
    <xf numFmtId="0" fontId="43" fillId="6" borderId="0" applyNumberFormat="0" applyBorder="0" applyAlignment="0" applyProtection="0"/>
    <xf numFmtId="0" fontId="89" fillId="39" borderId="0" applyNumberFormat="0" applyBorder="0" applyAlignment="0" applyProtection="0"/>
    <xf numFmtId="0" fontId="43" fillId="7" borderId="0" applyNumberFormat="0" applyBorder="0" applyAlignment="0" applyProtection="0"/>
    <xf numFmtId="0" fontId="89" fillId="40" borderId="0" applyNumberFormat="0" applyBorder="0" applyAlignment="0" applyProtection="0"/>
    <xf numFmtId="0" fontId="43" fillId="2" borderId="0" applyNumberFormat="0" applyBorder="0" applyAlignment="0" applyProtection="0"/>
    <xf numFmtId="0" fontId="89" fillId="41" borderId="0" applyNumberFormat="0" applyBorder="0" applyAlignment="0" applyProtection="0"/>
    <xf numFmtId="0" fontId="43" fillId="8" borderId="0" applyNumberFormat="0" applyBorder="0" applyAlignment="0" applyProtection="0"/>
    <xf numFmtId="0" fontId="89" fillId="42" borderId="0" applyNumberFormat="0" applyBorder="0" applyAlignment="0" applyProtection="0"/>
    <xf numFmtId="0" fontId="43" fillId="3" borderId="0" applyNumberFormat="0" applyBorder="0" applyAlignment="0" applyProtection="0"/>
    <xf numFmtId="0" fontId="89" fillId="43" borderId="0" applyNumberFormat="0" applyBorder="0" applyAlignment="0" applyProtection="0"/>
    <xf numFmtId="0" fontId="44" fillId="9" borderId="0" applyNumberFormat="0" applyBorder="0" applyAlignment="0" applyProtection="0"/>
    <xf numFmtId="0" fontId="90" fillId="44" borderId="0" applyNumberFormat="0" applyBorder="0" applyAlignment="0" applyProtection="0"/>
    <xf numFmtId="0" fontId="89" fillId="44" borderId="0" applyNumberFormat="0" applyBorder="0" applyAlignment="0" applyProtection="0"/>
    <xf numFmtId="0" fontId="44" fillId="6" borderId="0" applyNumberFormat="0" applyBorder="0" applyAlignment="0" applyProtection="0"/>
    <xf numFmtId="0" fontId="90" fillId="45" borderId="0" applyNumberFormat="0" applyBorder="0" applyAlignment="0" applyProtection="0"/>
    <xf numFmtId="0" fontId="89" fillId="45" borderId="0" applyNumberFormat="0" applyBorder="0" applyAlignment="0" applyProtection="0"/>
    <xf numFmtId="0" fontId="44" fillId="7" borderId="0" applyNumberFormat="0" applyBorder="0" applyAlignment="0" applyProtection="0"/>
    <xf numFmtId="0" fontId="90" fillId="46" borderId="0" applyNumberFormat="0" applyBorder="0" applyAlignment="0" applyProtection="0"/>
    <xf numFmtId="0" fontId="89" fillId="46" borderId="0" applyNumberFormat="0" applyBorder="0" applyAlignment="0" applyProtection="0"/>
    <xf numFmtId="0" fontId="44" fillId="10" borderId="0" applyNumberFormat="0" applyBorder="0" applyAlignment="0" applyProtection="0"/>
    <xf numFmtId="0" fontId="90" fillId="47" borderId="0" applyNumberFormat="0" applyBorder="0" applyAlignment="0" applyProtection="0"/>
    <xf numFmtId="0" fontId="89" fillId="47" borderId="0" applyNumberFormat="0" applyBorder="0" applyAlignment="0" applyProtection="0"/>
    <xf numFmtId="0" fontId="44" fillId="9" borderId="0" applyNumberFormat="0" applyBorder="0" applyAlignment="0" applyProtection="0"/>
    <xf numFmtId="0" fontId="90" fillId="48" borderId="0" applyNumberFormat="0" applyBorder="0" applyAlignment="0" applyProtection="0"/>
    <xf numFmtId="0" fontId="89" fillId="48" borderId="0" applyNumberFormat="0" applyBorder="0" applyAlignment="0" applyProtection="0"/>
    <xf numFmtId="0" fontId="44" fillId="3" borderId="0" applyNumberFormat="0" applyBorder="0" applyAlignment="0" applyProtection="0"/>
    <xf numFmtId="0" fontId="90" fillId="49" borderId="0" applyNumberFormat="0" applyBorder="0" applyAlignment="0" applyProtection="0"/>
    <xf numFmtId="0" fontId="89" fillId="49" borderId="0" applyNumberFormat="0" applyBorder="0" applyAlignment="0" applyProtection="0"/>
    <xf numFmtId="0" fontId="44" fillId="9" borderId="0" applyNumberFormat="0" applyBorder="0" applyAlignment="0" applyProtection="0"/>
    <xf numFmtId="0" fontId="90" fillId="50" borderId="0" applyNumberFormat="0" applyBorder="0" applyAlignment="0" applyProtection="0"/>
    <xf numFmtId="0" fontId="44" fillId="11" borderId="0" applyNumberFormat="0" applyBorder="0" applyAlignment="0" applyProtection="0"/>
    <xf numFmtId="0" fontId="90" fillId="51" borderId="0" applyNumberFormat="0" applyBorder="0" applyAlignment="0" applyProtection="0"/>
    <xf numFmtId="0" fontId="44" fillId="12" borderId="0" applyNumberFormat="0" applyBorder="0" applyAlignment="0" applyProtection="0"/>
    <xf numFmtId="0" fontId="90" fillId="52" borderId="0" applyNumberFormat="0" applyBorder="0" applyAlignment="0" applyProtection="0"/>
    <xf numFmtId="0" fontId="44" fillId="13" borderId="0" applyNumberFormat="0" applyBorder="0" applyAlignment="0" applyProtection="0"/>
    <xf numFmtId="0" fontId="90" fillId="53" borderId="0" applyNumberFormat="0" applyBorder="0" applyAlignment="0" applyProtection="0"/>
    <xf numFmtId="0" fontId="44" fillId="9" borderId="0" applyNumberFormat="0" applyBorder="0" applyAlignment="0" applyProtection="0"/>
    <xf numFmtId="0" fontId="90" fillId="54" borderId="0" applyNumberFormat="0" applyBorder="0" applyAlignment="0" applyProtection="0"/>
    <xf numFmtId="0" fontId="44" fillId="14" borderId="0" applyNumberFormat="0" applyBorder="0" applyAlignment="0" applyProtection="0"/>
    <xf numFmtId="0" fontId="90" fillId="55" borderId="0" applyNumberFormat="0" applyBorder="0" applyAlignment="0" applyProtection="0"/>
    <xf numFmtId="0" fontId="45" fillId="0" borderId="0" applyNumberFormat="0" applyFill="0" applyBorder="0" applyAlignment="0" applyProtection="0"/>
    <xf numFmtId="0" fontId="91" fillId="0" borderId="0" applyNumberFormat="0" applyFill="0" applyBorder="0" applyAlignment="0" applyProtection="0"/>
    <xf numFmtId="0" fontId="46" fillId="15" borderId="1" applyNumberFormat="0" applyAlignment="0" applyProtection="0"/>
    <xf numFmtId="0" fontId="92" fillId="56" borderId="36" applyNumberFormat="0" applyAlignment="0" applyProtection="0"/>
    <xf numFmtId="0" fontId="47" fillId="0" borderId="2" applyNumberFormat="0" applyFill="0" applyAlignment="0" applyProtection="0"/>
    <xf numFmtId="0" fontId="93" fillId="0" borderId="37" applyNumberFormat="0" applyFill="0" applyAlignment="0" applyProtection="0"/>
    <xf numFmtId="0" fontId="89" fillId="57" borderId="38" applyNumberFormat="0" applyFont="0" applyAlignment="0" applyProtection="0"/>
    <xf numFmtId="0" fontId="71" fillId="4" borderId="3" applyNumberFormat="0" applyFont="0" applyAlignment="0" applyProtection="0"/>
    <xf numFmtId="0" fontId="48" fillId="3" borderId="1" applyNumberFormat="0" applyAlignment="0" applyProtection="0"/>
    <xf numFmtId="0" fontId="94" fillId="58" borderId="36" applyNumberFormat="0" applyAlignment="0" applyProtection="0"/>
    <xf numFmtId="178" fontId="21" fillId="0" borderId="0" applyFont="0" applyFill="0" applyBorder="0" applyAlignment="0" applyProtection="0"/>
    <xf numFmtId="204" fontId="83" fillId="0" borderId="0" applyFont="0" applyFill="0" applyBorder="0" applyAlignment="0" applyProtection="0"/>
    <xf numFmtId="204" fontId="84" fillId="0" borderId="0" applyFont="0" applyFill="0" applyBorder="0" applyAlignment="0" applyProtection="0"/>
    <xf numFmtId="204" fontId="85" fillId="0" borderId="0" applyFont="0" applyFill="0" applyBorder="0" applyAlignment="0" applyProtection="0"/>
    <xf numFmtId="204" fontId="86" fillId="0" borderId="0" applyFont="0" applyFill="0" applyBorder="0" applyAlignment="0" applyProtection="0"/>
    <xf numFmtId="204" fontId="65" fillId="0" borderId="0" applyFont="0" applyFill="0" applyBorder="0" applyAlignment="0" applyProtection="0"/>
    <xf numFmtId="204" fontId="59" fillId="0" borderId="0" applyFont="0" applyFill="0" applyBorder="0" applyAlignment="0" applyProtection="0"/>
    <xf numFmtId="204" fontId="59" fillId="0" borderId="0" applyFont="0" applyFill="0" applyBorder="0" applyAlignment="0" applyProtection="0"/>
    <xf numFmtId="204" fontId="69" fillId="0" borderId="0" applyFont="0" applyFill="0" applyBorder="0" applyAlignment="0" applyProtection="0"/>
    <xf numFmtId="204" fontId="59" fillId="0" borderId="0" applyFont="0" applyFill="0" applyBorder="0" applyAlignment="0" applyProtection="0"/>
    <xf numFmtId="178" fontId="71" fillId="0" borderId="0" applyFont="0" applyFill="0" applyBorder="0" applyAlignment="0" applyProtection="0"/>
    <xf numFmtId="204" fontId="72" fillId="0" borderId="0" applyFont="0" applyFill="0" applyBorder="0" applyAlignment="0" applyProtection="0"/>
    <xf numFmtId="204" fontId="76" fillId="0" borderId="0" applyFont="0" applyFill="0" applyBorder="0" applyAlignment="0" applyProtection="0"/>
    <xf numFmtId="204" fontId="80" fillId="0" borderId="0" applyFont="0" applyFill="0" applyBorder="0" applyAlignment="0" applyProtection="0"/>
    <xf numFmtId="204" fontId="82" fillId="0" borderId="0" applyFont="0" applyFill="0" applyBorder="0" applyAlignment="0" applyProtection="0"/>
    <xf numFmtId="0" fontId="49" fillId="16" borderId="0" applyNumberFormat="0" applyBorder="0" applyAlignment="0" applyProtection="0"/>
    <xf numFmtId="0" fontId="95" fillId="59" borderId="0" applyNumberFormat="0" applyBorder="0" applyAlignment="0" applyProtection="0"/>
    <xf numFmtId="0" fontId="96" fillId="0" borderId="0" applyNumberFormat="0" applyFill="0" applyBorder="0" applyAlignment="0" applyProtection="0"/>
    <xf numFmtId="168" fontId="21" fillId="0" borderId="0" applyFont="0" applyFill="0" applyBorder="0" applyAlignment="0" applyProtection="0"/>
    <xf numFmtId="166" fontId="80" fillId="0" borderId="0" applyFont="0" applyFill="0" applyBorder="0" applyAlignment="0" applyProtection="0"/>
    <xf numFmtId="166" fontId="82" fillId="0" borderId="0" applyFont="0" applyFill="0" applyBorder="0" applyAlignment="0" applyProtection="0"/>
    <xf numFmtId="166" fontId="83" fillId="0" borderId="0" applyFont="0" applyFill="0" applyBorder="0" applyAlignment="0" applyProtection="0"/>
    <xf numFmtId="166" fontId="83" fillId="0" borderId="0" applyFont="0" applyFill="0" applyBorder="0" applyAlignment="0" applyProtection="0"/>
    <xf numFmtId="166" fontId="84" fillId="0" borderId="0" applyFont="0" applyFill="0" applyBorder="0" applyAlignment="0" applyProtection="0"/>
    <xf numFmtId="166" fontId="84" fillId="0" borderId="0" applyFont="0" applyFill="0" applyBorder="0" applyAlignment="0" applyProtection="0"/>
    <xf numFmtId="166" fontId="84" fillId="0" borderId="0" applyFont="0" applyFill="0" applyBorder="0" applyAlignment="0" applyProtection="0"/>
    <xf numFmtId="166" fontId="85" fillId="0" borderId="0" applyFont="0" applyFill="0" applyBorder="0" applyAlignment="0" applyProtection="0"/>
    <xf numFmtId="166" fontId="86" fillId="0" borderId="0" applyFont="0" applyFill="0" applyBorder="0" applyAlignment="0" applyProtection="0"/>
    <xf numFmtId="167" fontId="89" fillId="0" borderId="0" applyFont="0" applyFill="0" applyBorder="0" applyAlignment="0" applyProtection="0"/>
    <xf numFmtId="167" fontId="89" fillId="0" borderId="0" applyFont="0" applyFill="0" applyBorder="0" applyAlignment="0" applyProtection="0"/>
    <xf numFmtId="166" fontId="59" fillId="0" borderId="0" applyFont="0" applyFill="0" applyBorder="0" applyAlignment="0" applyProtection="0"/>
    <xf numFmtId="166" fontId="59" fillId="0" borderId="0" applyFont="0" applyFill="0" applyBorder="0" applyAlignment="0" applyProtection="0"/>
    <xf numFmtId="166" fontId="59" fillId="0" borderId="0" applyFont="0" applyFill="0" applyBorder="0" applyAlignment="0" applyProtection="0"/>
    <xf numFmtId="166" fontId="59" fillId="0" borderId="0" applyFont="0" applyFill="0" applyBorder="0" applyAlignment="0" applyProtection="0"/>
    <xf numFmtId="166" fontId="59" fillId="0" borderId="0" applyFont="0" applyFill="0" applyBorder="0" applyAlignment="0" applyProtection="0"/>
    <xf numFmtId="166" fontId="59" fillId="0" borderId="0" applyFont="0" applyFill="0" applyBorder="0" applyAlignment="0" applyProtection="0"/>
    <xf numFmtId="166" fontId="59" fillId="0" borderId="0" applyFont="0" applyFill="0" applyBorder="0" applyAlignment="0" applyProtection="0"/>
    <xf numFmtId="166" fontId="65" fillId="0" borderId="0" applyFont="0" applyFill="0" applyBorder="0" applyAlignment="0" applyProtection="0"/>
    <xf numFmtId="166" fontId="59" fillId="0" borderId="0" applyFont="0" applyFill="0" applyBorder="0" applyAlignment="0" applyProtection="0"/>
    <xf numFmtId="166" fontId="59" fillId="0" borderId="0" applyFont="0" applyFill="0" applyBorder="0" applyAlignment="0" applyProtection="0"/>
    <xf numFmtId="166" fontId="69" fillId="0" borderId="0" applyFont="0" applyFill="0" applyBorder="0" applyAlignment="0" applyProtection="0"/>
    <xf numFmtId="166" fontId="59" fillId="0" borderId="0" applyFont="0" applyFill="0" applyBorder="0" applyAlignment="0" applyProtection="0"/>
    <xf numFmtId="168" fontId="71" fillId="0" borderId="0" applyFont="0" applyFill="0" applyBorder="0" applyAlignment="0" applyProtection="0"/>
    <xf numFmtId="166" fontId="72" fillId="0" borderId="0" applyFont="0" applyFill="0" applyBorder="0" applyAlignment="0" applyProtection="0"/>
    <xf numFmtId="166" fontId="76" fillId="0" borderId="0" applyFont="0" applyFill="0" applyBorder="0" applyAlignment="0" applyProtection="0"/>
    <xf numFmtId="167" fontId="89" fillId="0" borderId="0" applyFont="0" applyFill="0" applyBorder="0" applyAlignment="0" applyProtection="0"/>
    <xf numFmtId="167" fontId="85" fillId="0" borderId="0" applyFont="0" applyFill="0" applyBorder="0" applyAlignment="0" applyProtection="0"/>
    <xf numFmtId="165" fontId="83" fillId="0" borderId="0" applyFont="0" applyFill="0" applyBorder="0" applyAlignment="0" applyProtection="0"/>
    <xf numFmtId="165" fontId="84" fillId="0" borderId="0" applyFont="0" applyFill="0" applyBorder="0" applyAlignment="0" applyProtection="0"/>
    <xf numFmtId="165" fontId="84" fillId="0" borderId="0" applyFont="0" applyFill="0" applyBorder="0" applyAlignment="0" applyProtection="0"/>
    <xf numFmtId="165" fontId="84" fillId="0" borderId="0" applyFont="0" applyFill="0" applyBorder="0" applyAlignment="0" applyProtection="0"/>
    <xf numFmtId="165" fontId="85" fillId="0" borderId="0" applyFont="0" applyFill="0" applyBorder="0" applyAlignment="0" applyProtection="0"/>
    <xf numFmtId="165" fontId="86" fillId="0" borderId="0" applyFont="0" applyFill="0" applyBorder="0" applyAlignment="0" applyProtection="0"/>
    <xf numFmtId="165" fontId="65" fillId="0" borderId="0" applyFont="0" applyFill="0" applyBorder="0" applyAlignment="0" applyProtection="0"/>
    <xf numFmtId="165" fontId="59" fillId="0" borderId="0" applyFont="0" applyFill="0" applyBorder="0" applyAlignment="0" applyProtection="0"/>
    <xf numFmtId="165" fontId="59" fillId="0" borderId="0" applyFont="0" applyFill="0" applyBorder="0" applyAlignment="0" applyProtection="0"/>
    <xf numFmtId="165" fontId="69" fillId="0" borderId="0" applyFont="0" applyFill="0" applyBorder="0" applyAlignment="0" applyProtection="0"/>
    <xf numFmtId="165" fontId="59" fillId="0" borderId="0" applyFont="0" applyFill="0" applyBorder="0" applyAlignment="0" applyProtection="0"/>
    <xf numFmtId="165" fontId="72" fillId="0" borderId="0" applyFont="0" applyFill="0" applyBorder="0" applyAlignment="0" applyProtection="0"/>
    <xf numFmtId="165" fontId="76" fillId="0" borderId="0" applyFont="0" applyFill="0" applyBorder="0" applyAlignment="0" applyProtection="0"/>
    <xf numFmtId="165" fontId="80" fillId="0" borderId="0" applyFont="0" applyFill="0" applyBorder="0" applyAlignment="0" applyProtection="0"/>
    <xf numFmtId="165" fontId="82" fillId="0" borderId="0" applyFont="0" applyFill="0" applyBorder="0" applyAlignment="0" applyProtection="0"/>
    <xf numFmtId="165" fontId="83" fillId="0" borderId="0" applyFont="0" applyFill="0" applyBorder="0" applyAlignment="0" applyProtection="0"/>
    <xf numFmtId="0" fontId="50" fillId="7" borderId="0" applyNumberFormat="0" applyBorder="0" applyAlignment="0" applyProtection="0"/>
    <xf numFmtId="0" fontId="97" fillId="60" borderId="0" applyNumberFormat="0" applyBorder="0" applyAlignment="0" applyProtection="0"/>
    <xf numFmtId="0" fontId="98" fillId="60" borderId="0" applyNumberFormat="0" applyBorder="0" applyAlignment="0" applyProtection="0"/>
    <xf numFmtId="0" fontId="35" fillId="0" borderId="0"/>
    <xf numFmtId="0" fontId="36" fillId="0" borderId="0"/>
    <xf numFmtId="0" fontId="59" fillId="0" borderId="0"/>
    <xf numFmtId="0" fontId="59" fillId="0" borderId="0"/>
    <xf numFmtId="0" fontId="59" fillId="0" borderId="0"/>
    <xf numFmtId="0" fontId="59" fillId="0" borderId="0"/>
    <xf numFmtId="0" fontId="89" fillId="0" borderId="0"/>
    <xf numFmtId="0" fontId="89" fillId="0" borderId="0"/>
    <xf numFmtId="0" fontId="89" fillId="0" borderId="0"/>
    <xf numFmtId="0" fontId="89" fillId="0" borderId="0"/>
    <xf numFmtId="0" fontId="89" fillId="0" borderId="0"/>
    <xf numFmtId="0" fontId="59" fillId="0" borderId="0"/>
    <xf numFmtId="0" fontId="8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89" fillId="0" borderId="0"/>
    <xf numFmtId="0" fontId="89" fillId="0" borderId="0"/>
    <xf numFmtId="0" fontId="89" fillId="0" borderId="0"/>
    <xf numFmtId="0" fontId="89" fillId="0" borderId="0"/>
    <xf numFmtId="0" fontId="59" fillId="0" borderId="0"/>
    <xf numFmtId="0" fontId="59" fillId="0" borderId="0"/>
    <xf numFmtId="0" fontId="81" fillId="0" borderId="0">
      <alignment vertical="top"/>
    </xf>
    <xf numFmtId="0" fontId="59" fillId="0" borderId="0"/>
    <xf numFmtId="0" fontId="59" fillId="0" borderId="0"/>
    <xf numFmtId="0" fontId="59" fillId="0" borderId="0"/>
    <xf numFmtId="0" fontId="59" fillId="0" borderId="0"/>
    <xf numFmtId="0" fontId="59" fillId="0" borderId="0"/>
    <xf numFmtId="0" fontId="59" fillId="0" borderId="0"/>
    <xf numFmtId="0" fontId="89" fillId="57" borderId="38" applyNumberFormat="0" applyFont="0" applyAlignment="0" applyProtection="0"/>
    <xf numFmtId="9" fontId="21" fillId="0" borderId="0" applyFont="0" applyFill="0" applyBorder="0" applyAlignment="0" applyProtection="0"/>
    <xf numFmtId="9" fontId="69" fillId="0" borderId="0" applyFont="0" applyFill="0" applyBorder="0" applyAlignment="0" applyProtection="0"/>
    <xf numFmtId="9" fontId="59" fillId="0" borderId="0" applyFont="0" applyFill="0" applyBorder="0" applyAlignment="0" applyProtection="0"/>
    <xf numFmtId="9" fontId="71" fillId="0" borderId="0" applyFont="0" applyFill="0" applyBorder="0" applyAlignment="0" applyProtection="0"/>
    <xf numFmtId="9" fontId="72" fillId="0" borderId="0" applyFont="0" applyFill="0" applyBorder="0" applyAlignment="0" applyProtection="0"/>
    <xf numFmtId="9" fontId="43" fillId="0" borderId="0" applyFont="0" applyFill="0" applyBorder="0" applyAlignment="0" applyProtection="0"/>
    <xf numFmtId="9" fontId="76" fillId="0" borderId="0" applyFont="0" applyFill="0" applyBorder="0" applyAlignment="0" applyProtection="0"/>
    <xf numFmtId="9" fontId="80" fillId="0" borderId="0" applyFont="0" applyFill="0" applyBorder="0" applyAlignment="0" applyProtection="0"/>
    <xf numFmtId="9" fontId="82" fillId="0" borderId="0" applyFont="0" applyFill="0" applyBorder="0" applyAlignment="0" applyProtection="0"/>
    <xf numFmtId="9" fontId="83" fillId="0" borderId="0" applyFont="0" applyFill="0" applyBorder="0" applyAlignment="0" applyProtection="0"/>
    <xf numFmtId="9" fontId="84" fillId="0" borderId="0" applyFont="0" applyFill="0" applyBorder="0" applyAlignment="0" applyProtection="0"/>
    <xf numFmtId="9" fontId="8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86" fillId="0" borderId="0" applyFont="0" applyFill="0" applyBorder="0" applyAlignment="0" applyProtection="0"/>
    <xf numFmtId="9" fontId="6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0" fontId="51" fillId="17" borderId="0" applyNumberFormat="0" applyBorder="0" applyAlignment="0" applyProtection="0"/>
    <xf numFmtId="0" fontId="99" fillId="61" borderId="0" applyNumberFormat="0" applyBorder="0" applyAlignment="0" applyProtection="0"/>
    <xf numFmtId="0" fontId="52" fillId="15" borderId="4" applyNumberFormat="0" applyAlignment="0" applyProtection="0"/>
    <xf numFmtId="0" fontId="100" fillId="56" borderId="39" applyNumberFormat="0" applyAlignment="0" applyProtection="0"/>
    <xf numFmtId="0" fontId="53" fillId="0" borderId="0" applyNumberFormat="0" applyFill="0" applyBorder="0" applyAlignment="0" applyProtection="0"/>
    <xf numFmtId="0" fontId="101" fillId="0" borderId="0" applyNumberFormat="0" applyFill="0" applyBorder="0" applyAlignment="0" applyProtection="0"/>
    <xf numFmtId="0" fontId="54" fillId="0" borderId="0" applyNumberFormat="0" applyFill="0" applyBorder="0" applyAlignment="0" applyProtection="0"/>
    <xf numFmtId="0" fontId="102" fillId="0" borderId="0" applyNumberFormat="0" applyFill="0" applyBorder="0" applyAlignment="0" applyProtection="0"/>
    <xf numFmtId="0" fontId="55" fillId="0" borderId="5" applyNumberFormat="0" applyFill="0" applyAlignment="0" applyProtection="0"/>
    <xf numFmtId="0" fontId="103" fillId="0" borderId="40" applyNumberFormat="0" applyFill="0" applyAlignment="0" applyProtection="0"/>
    <xf numFmtId="0" fontId="56" fillId="0" borderId="6" applyNumberFormat="0" applyFill="0" applyAlignment="0" applyProtection="0"/>
    <xf numFmtId="0" fontId="104" fillId="0" borderId="41" applyNumberFormat="0" applyFill="0" applyAlignment="0" applyProtection="0"/>
    <xf numFmtId="0" fontId="57" fillId="0" borderId="7" applyNumberFormat="0" applyFill="0" applyAlignment="0" applyProtection="0"/>
    <xf numFmtId="0" fontId="105" fillId="0" borderId="42" applyNumberFormat="0" applyFill="0" applyAlignment="0" applyProtection="0"/>
    <xf numFmtId="0" fontId="57" fillId="0" borderId="0" applyNumberFormat="0" applyFill="0" applyBorder="0" applyAlignment="0" applyProtection="0"/>
    <xf numFmtId="0" fontId="105" fillId="0" borderId="0" applyNumberFormat="0" applyFill="0" applyBorder="0" applyAlignment="0" applyProtection="0"/>
    <xf numFmtId="0" fontId="52" fillId="0" borderId="8" applyNumberFormat="0" applyFill="0" applyAlignment="0" applyProtection="0"/>
    <xf numFmtId="0" fontId="106" fillId="0" borderId="43" applyNumberFormat="0" applyFill="0" applyAlignment="0" applyProtection="0"/>
    <xf numFmtId="0" fontId="58" fillId="18" borderId="9" applyNumberFormat="0" applyAlignment="0" applyProtection="0"/>
    <xf numFmtId="0" fontId="107" fillId="62" borderId="44" applyNumberFormat="0" applyAlignment="0" applyProtection="0"/>
    <xf numFmtId="0" fontId="20" fillId="32"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5" borderId="0" applyNumberFormat="0" applyBorder="0" applyAlignment="0" applyProtection="0"/>
    <xf numFmtId="0" fontId="20" fillId="36"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39" borderId="0" applyNumberFormat="0" applyBorder="0" applyAlignment="0" applyProtection="0"/>
    <xf numFmtId="0" fontId="20" fillId="40"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3" borderId="0" applyNumberFormat="0" applyBorder="0" applyAlignment="0" applyProtection="0"/>
    <xf numFmtId="0" fontId="20" fillId="57" borderId="38" applyNumberFormat="0" applyFont="0" applyAlignment="0" applyProtection="0"/>
    <xf numFmtId="0" fontId="21" fillId="4" borderId="3" applyNumberFormat="0" applyFont="0" applyAlignment="0" applyProtection="0"/>
    <xf numFmtId="178" fontId="119" fillId="0" borderId="0" applyFont="0" applyFill="0" applyBorder="0" applyAlignment="0" applyProtection="0"/>
    <xf numFmtId="204" fontId="21" fillId="0" borderId="0" applyFont="0" applyFill="0" applyBorder="0" applyAlignment="0" applyProtection="0"/>
    <xf numFmtId="204" fontId="21" fillId="0" borderId="0" applyFont="0" applyFill="0" applyBorder="0" applyAlignment="0" applyProtection="0"/>
    <xf numFmtId="204" fontId="21" fillId="0" borderId="0" applyFont="0" applyFill="0" applyBorder="0" applyAlignment="0" applyProtection="0"/>
    <xf numFmtId="204" fontId="21" fillId="0" borderId="0" applyFont="0" applyFill="0" applyBorder="0" applyAlignment="0" applyProtection="0"/>
    <xf numFmtId="204" fontId="21" fillId="0" borderId="0" applyFont="0" applyFill="0" applyBorder="0" applyAlignment="0" applyProtection="0"/>
    <xf numFmtId="178" fontId="21" fillId="0" borderId="0" applyFont="0" applyFill="0" applyBorder="0" applyAlignment="0" applyProtection="0"/>
    <xf numFmtId="204" fontId="21" fillId="0" borderId="0" applyFont="0" applyFill="0" applyBorder="0" applyAlignment="0" applyProtection="0"/>
    <xf numFmtId="204" fontId="21" fillId="0" borderId="0" applyFont="0" applyFill="0" applyBorder="0" applyAlignment="0" applyProtection="0"/>
    <xf numFmtId="168" fontId="119"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8"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7" fontId="20"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0" fontId="21" fillId="0" borderId="0"/>
    <xf numFmtId="0" fontId="21" fillId="0" borderId="0"/>
    <xf numFmtId="0" fontId="21" fillId="0" borderId="0"/>
    <xf numFmtId="0" fontId="21" fillId="0" borderId="0"/>
    <xf numFmtId="0" fontId="20" fillId="0" borderId="0"/>
    <xf numFmtId="0" fontId="20" fillId="0" borderId="0"/>
    <xf numFmtId="0" fontId="20" fillId="0" borderId="0"/>
    <xf numFmtId="0" fontId="20" fillId="0" borderId="0"/>
    <xf numFmtId="0" fontId="20" fillId="0" borderId="0"/>
    <xf numFmtId="0" fontId="21" fillId="0" borderId="0"/>
    <xf numFmtId="0" fontId="20"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0" fillId="0" borderId="0"/>
    <xf numFmtId="0" fontId="20" fillId="0" borderId="0"/>
    <xf numFmtId="0" fontId="20" fillId="0" borderId="0"/>
    <xf numFmtId="0" fontId="20"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119"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19" fillId="32" borderId="0" applyNumberFormat="0" applyBorder="0" applyAlignment="0" applyProtection="0"/>
    <xf numFmtId="0" fontId="19" fillId="33" borderId="0" applyNumberFormat="0" applyBorder="0" applyAlignment="0" applyProtection="0"/>
    <xf numFmtId="0" fontId="19" fillId="34" borderId="0" applyNumberFormat="0" applyBorder="0" applyAlignment="0" applyProtection="0"/>
    <xf numFmtId="0" fontId="19" fillId="35" borderId="0" applyNumberFormat="0" applyBorder="0" applyAlignment="0" applyProtection="0"/>
    <xf numFmtId="0" fontId="19" fillId="36" borderId="0" applyNumberFormat="0" applyBorder="0" applyAlignment="0" applyProtection="0"/>
    <xf numFmtId="0" fontId="19" fillId="37" borderId="0" applyNumberFormat="0" applyBorder="0" applyAlignment="0" applyProtection="0"/>
    <xf numFmtId="0" fontId="19" fillId="38" borderId="0" applyNumberFormat="0" applyBorder="0" applyAlignment="0" applyProtection="0"/>
    <xf numFmtId="0" fontId="19" fillId="39" borderId="0" applyNumberFormat="0" applyBorder="0" applyAlignment="0" applyProtection="0"/>
    <xf numFmtId="0" fontId="19" fillId="40"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3" borderId="0" applyNumberFormat="0" applyBorder="0" applyAlignment="0" applyProtection="0"/>
    <xf numFmtId="0" fontId="90" fillId="44" borderId="0" applyNumberFormat="0" applyBorder="0" applyAlignment="0" applyProtection="0"/>
    <xf numFmtId="0" fontId="90" fillId="45" borderId="0" applyNumberFormat="0" applyBorder="0" applyAlignment="0" applyProtection="0"/>
    <xf numFmtId="0" fontId="90" fillId="46" borderId="0" applyNumberFormat="0" applyBorder="0" applyAlignment="0" applyProtection="0"/>
    <xf numFmtId="0" fontId="90" fillId="47" borderId="0" applyNumberFormat="0" applyBorder="0" applyAlignment="0" applyProtection="0"/>
    <xf numFmtId="0" fontId="90" fillId="48" borderId="0" applyNumberFormat="0" applyBorder="0" applyAlignment="0" applyProtection="0"/>
    <xf numFmtId="0" fontId="90" fillId="49" borderId="0" applyNumberFormat="0" applyBorder="0" applyAlignment="0" applyProtection="0"/>
    <xf numFmtId="0" fontId="95" fillId="59" borderId="0" applyNumberFormat="0" applyBorder="0" applyAlignment="0" applyProtection="0"/>
    <xf numFmtId="0" fontId="92" fillId="56" borderId="36" applyNumberFormat="0" applyAlignment="0" applyProtection="0"/>
    <xf numFmtId="0" fontId="107" fillId="62" borderId="44" applyNumberFormat="0" applyAlignment="0" applyProtection="0"/>
    <xf numFmtId="0" fontId="101" fillId="0" borderId="0" applyNumberFormat="0" applyFill="0" applyBorder="0" applyAlignment="0" applyProtection="0"/>
    <xf numFmtId="0" fontId="99" fillId="61" borderId="0" applyNumberFormat="0" applyBorder="0" applyAlignment="0" applyProtection="0"/>
    <xf numFmtId="0" fontId="103" fillId="0" borderId="40" applyNumberFormat="0" applyFill="0" applyAlignment="0" applyProtection="0"/>
    <xf numFmtId="0" fontId="104" fillId="0" borderId="41" applyNumberFormat="0" applyFill="0" applyAlignment="0" applyProtection="0"/>
    <xf numFmtId="0" fontId="105" fillId="0" borderId="42" applyNumberFormat="0" applyFill="0" applyAlignment="0" applyProtection="0"/>
    <xf numFmtId="0" fontId="105" fillId="0" borderId="0" applyNumberFormat="0" applyFill="0" applyBorder="0" applyAlignment="0" applyProtection="0"/>
    <xf numFmtId="0" fontId="94" fillId="58" borderId="36" applyNumberFormat="0" applyAlignment="0" applyProtection="0"/>
    <xf numFmtId="0" fontId="93" fillId="0" borderId="37" applyNumberFormat="0" applyFill="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0" fontId="97" fillId="60" borderId="0" applyNumberFormat="0" applyBorder="0" applyAlignment="0" applyProtection="0"/>
    <xf numFmtId="0" fontId="19" fillId="0" borderId="0"/>
    <xf numFmtId="0" fontId="21" fillId="0" borderId="0"/>
    <xf numFmtId="0" fontId="19" fillId="0" borderId="0"/>
    <xf numFmtId="0" fontId="19" fillId="0" borderId="0"/>
    <xf numFmtId="0" fontId="19" fillId="0" borderId="0"/>
    <xf numFmtId="0" fontId="19" fillId="0" borderId="0"/>
    <xf numFmtId="0" fontId="19" fillId="0" borderId="0"/>
    <xf numFmtId="0" fontId="19" fillId="0" borderId="0"/>
    <xf numFmtId="0" fontId="100" fillId="56" borderId="39" applyNumberFormat="0" applyAlignment="0" applyProtection="0"/>
    <xf numFmtId="9" fontId="21" fillId="0" borderId="0" applyFont="0" applyFill="0" applyBorder="0" applyAlignment="0" applyProtection="0"/>
    <xf numFmtId="9" fontId="21" fillId="0" borderId="0" applyFont="0" applyFill="0" applyBorder="0" applyAlignment="0" applyProtection="0"/>
    <xf numFmtId="9" fontId="19"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102" fillId="0" borderId="0" applyNumberFormat="0" applyFill="0" applyBorder="0" applyAlignment="0" applyProtection="0"/>
    <xf numFmtId="0" fontId="91" fillId="0" borderId="0" applyNumberFormat="0" applyFill="0" applyBorder="0" applyAlignment="0" applyProtection="0"/>
    <xf numFmtId="0" fontId="18" fillId="0" borderId="0"/>
    <xf numFmtId="167" fontId="18" fillId="0" borderId="0" applyFont="0" applyFill="0" applyBorder="0" applyAlignment="0" applyProtection="0"/>
    <xf numFmtId="0" fontId="18" fillId="0" borderId="0"/>
    <xf numFmtId="0" fontId="17" fillId="0" borderId="0"/>
    <xf numFmtId="167" fontId="17" fillId="0" borderId="0" applyFont="0" applyFill="0" applyBorder="0" applyAlignment="0" applyProtection="0"/>
    <xf numFmtId="0" fontId="21" fillId="0" borderId="0"/>
    <xf numFmtId="0" fontId="16" fillId="32" borderId="0" applyNumberFormat="0" applyBorder="0" applyAlignment="0" applyProtection="0"/>
    <xf numFmtId="0" fontId="16" fillId="33" borderId="0" applyNumberFormat="0" applyBorder="0" applyAlignment="0" applyProtection="0"/>
    <xf numFmtId="0" fontId="16" fillId="34" borderId="0" applyNumberFormat="0" applyBorder="0" applyAlignment="0" applyProtection="0"/>
    <xf numFmtId="0" fontId="16" fillId="35" borderId="0" applyNumberFormat="0" applyBorder="0" applyAlignment="0" applyProtection="0"/>
    <xf numFmtId="0" fontId="16" fillId="36" borderId="0" applyNumberFormat="0" applyBorder="0" applyAlignment="0" applyProtection="0"/>
    <xf numFmtId="0" fontId="16" fillId="37" borderId="0" applyNumberFormat="0" applyBorder="0" applyAlignment="0" applyProtection="0"/>
    <xf numFmtId="0" fontId="16" fillId="38" borderId="0" applyNumberFormat="0" applyBorder="0" applyAlignment="0" applyProtection="0"/>
    <xf numFmtId="0" fontId="16" fillId="39" borderId="0" applyNumberFormat="0" applyBorder="0" applyAlignment="0" applyProtection="0"/>
    <xf numFmtId="0" fontId="16" fillId="40" borderId="0" applyNumberFormat="0" applyBorder="0" applyAlignment="0" applyProtection="0"/>
    <xf numFmtId="0" fontId="16" fillId="41" borderId="0" applyNumberFormat="0" applyBorder="0" applyAlignment="0" applyProtection="0"/>
    <xf numFmtId="0" fontId="16" fillId="42" borderId="0" applyNumberFormat="0" applyBorder="0" applyAlignment="0" applyProtection="0"/>
    <xf numFmtId="0" fontId="16" fillId="43"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9" fontId="16" fillId="0" borderId="0" applyFont="0" applyFill="0" applyBorder="0" applyAlignment="0" applyProtection="0"/>
    <xf numFmtId="0" fontId="21" fillId="0" borderId="0"/>
    <xf numFmtId="0" fontId="21" fillId="0" borderId="0"/>
    <xf numFmtId="0" fontId="21" fillId="0" borderId="0"/>
    <xf numFmtId="0" fontId="15" fillId="0" borderId="0"/>
    <xf numFmtId="9" fontId="15" fillId="0" borderId="0" applyFont="0" applyFill="0" applyBorder="0" applyAlignment="0" applyProtection="0"/>
    <xf numFmtId="219" fontId="15" fillId="0" borderId="0" applyFont="0" applyFill="0" applyBorder="0" applyAlignment="0" applyProtection="0"/>
    <xf numFmtId="0" fontId="14" fillId="0" borderId="0"/>
    <xf numFmtId="167" fontId="14" fillId="0" borderId="0" applyFont="0" applyFill="0" applyBorder="0" applyAlignment="0" applyProtection="0"/>
    <xf numFmtId="0" fontId="21" fillId="0" borderId="0"/>
    <xf numFmtId="0" fontId="13" fillId="32"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0" fontId="21" fillId="0" borderId="0"/>
    <xf numFmtId="0" fontId="12"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12" fillId="49" borderId="0" applyNumberFormat="0" applyBorder="0" applyAlignment="0" applyProtection="0"/>
    <xf numFmtId="0" fontId="12" fillId="57" borderId="38" applyNumberFormat="0" applyFont="0" applyAlignment="0" applyProtection="0"/>
    <xf numFmtId="204" fontId="21" fillId="0" borderId="0" applyFont="0" applyFill="0" applyBorder="0" applyAlignment="0" applyProtection="0"/>
    <xf numFmtId="204" fontId="21" fillId="0" borderId="0" applyFont="0" applyFill="0" applyBorder="0" applyAlignment="0" applyProtection="0"/>
    <xf numFmtId="204" fontId="21" fillId="0" borderId="0" applyFont="0" applyFill="0" applyBorder="0" applyAlignment="0" applyProtection="0"/>
    <xf numFmtId="204" fontId="21" fillId="0" borderId="0" applyFont="0" applyFill="0" applyBorder="0" applyAlignment="0" applyProtection="0"/>
    <xf numFmtId="204" fontId="21" fillId="0" borderId="0" applyFont="0" applyFill="0" applyBorder="0" applyAlignment="0" applyProtection="0"/>
    <xf numFmtId="204"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7" fontId="12" fillId="0" borderId="0" applyFont="0" applyFill="0" applyBorder="0" applyAlignment="0" applyProtection="0"/>
    <xf numFmtId="167" fontId="12"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6" fontId="21" fillId="0" borderId="0" applyFont="0" applyFill="0" applyBorder="0" applyAlignment="0" applyProtection="0"/>
    <xf numFmtId="167" fontId="12"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57" borderId="38" applyNumberFormat="0" applyFont="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12"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57" borderId="38" applyNumberFormat="0" applyFont="0" applyAlignment="0" applyProtection="0"/>
    <xf numFmtId="178" fontId="21" fillId="0" borderId="0" applyFont="0" applyFill="0" applyBorder="0" applyAlignment="0" applyProtection="0"/>
    <xf numFmtId="168" fontId="21" fillId="0" borderId="0" applyFont="0" applyFill="0" applyBorder="0" applyAlignment="0" applyProtection="0"/>
    <xf numFmtId="167" fontId="12" fillId="0" borderId="0" applyFont="0" applyFill="0" applyBorder="0" applyAlignment="0" applyProtection="0"/>
    <xf numFmtId="167" fontId="12" fillId="0" borderId="0" applyFont="0" applyFill="0" applyBorder="0" applyAlignment="0" applyProtection="0"/>
    <xf numFmtId="167"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21" fillId="0" borderId="0"/>
    <xf numFmtId="0" fontId="12" fillId="0" borderId="0"/>
    <xf numFmtId="167" fontId="12" fillId="0" borderId="0" applyFont="0" applyFill="0" applyBorder="0" applyAlignment="0" applyProtection="0"/>
    <xf numFmtId="0" fontId="12" fillId="0" borderId="0"/>
    <xf numFmtId="0" fontId="12" fillId="0" borderId="0"/>
    <xf numFmtId="167" fontId="12" fillId="0" borderId="0" applyFont="0" applyFill="0" applyBorder="0" applyAlignment="0" applyProtection="0"/>
    <xf numFmtId="0" fontId="12"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167" fontId="12" fillId="0" borderId="0" applyFont="0" applyFill="0" applyBorder="0" applyAlignment="0" applyProtection="0"/>
    <xf numFmtId="0" fontId="11" fillId="0" borderId="0"/>
    <xf numFmtId="167" fontId="11" fillId="0" borderId="0" applyFont="0" applyFill="0" applyBorder="0" applyAlignment="0" applyProtection="0"/>
    <xf numFmtId="0" fontId="11" fillId="0" borderId="0"/>
    <xf numFmtId="0" fontId="11" fillId="0" borderId="0"/>
    <xf numFmtId="0" fontId="11" fillId="0" borderId="0"/>
    <xf numFmtId="0" fontId="10" fillId="0" borderId="0"/>
    <xf numFmtId="167" fontId="43" fillId="0" borderId="0" applyFont="0" applyFill="0" applyBorder="0" applyAlignment="0" applyProtection="0"/>
    <xf numFmtId="0" fontId="9" fillId="0" borderId="0"/>
    <xf numFmtId="43" fontId="9" fillId="0" borderId="0" applyFont="0" applyFill="0" applyBorder="0" applyAlignment="0" applyProtection="0"/>
    <xf numFmtId="0" fontId="8" fillId="0" borderId="0"/>
    <xf numFmtId="167" fontId="8" fillId="0" borderId="0" applyFont="0" applyFill="0" applyBorder="0" applyAlignment="0" applyProtection="0"/>
    <xf numFmtId="0" fontId="8" fillId="0" borderId="0"/>
    <xf numFmtId="0" fontId="7" fillId="0" borderId="0"/>
    <xf numFmtId="167" fontId="7" fillId="0" borderId="0" applyFont="0" applyFill="0" applyBorder="0" applyAlignment="0" applyProtection="0"/>
    <xf numFmtId="0" fontId="7" fillId="0" borderId="0"/>
    <xf numFmtId="0" fontId="21" fillId="0" borderId="0"/>
    <xf numFmtId="0" fontId="6"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4"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7" borderId="38" applyNumberFormat="0" applyFont="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38" applyNumberFormat="0" applyFont="0" applyAlignment="0" applyProtection="0"/>
    <xf numFmtId="0" fontId="6"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57" borderId="38" applyNumberFormat="0" applyFont="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167" fontId="6" fillId="0" borderId="0" applyFont="0" applyFill="0" applyBorder="0" applyAlignment="0" applyProtection="0"/>
    <xf numFmtId="0" fontId="6" fillId="0" borderId="0"/>
    <xf numFmtId="0" fontId="6" fillId="0" borderId="0"/>
    <xf numFmtId="167" fontId="6" fillId="0" borderId="0" applyFont="0" applyFill="0" applyBorder="0" applyAlignment="0" applyProtection="0"/>
    <xf numFmtId="0" fontId="6"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167" fontId="6" fillId="0" borderId="0" applyFont="0" applyFill="0" applyBorder="0" applyAlignment="0" applyProtection="0"/>
    <xf numFmtId="0" fontId="6"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4"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7" borderId="38" applyNumberFormat="0" applyFont="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38" applyNumberFormat="0" applyFont="0" applyAlignment="0" applyProtection="0"/>
    <xf numFmtId="0" fontId="6"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57" borderId="38" applyNumberFormat="0" applyFont="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167" fontId="6" fillId="0" borderId="0" applyFont="0" applyFill="0" applyBorder="0" applyAlignment="0" applyProtection="0"/>
    <xf numFmtId="0" fontId="6" fillId="0" borderId="0"/>
    <xf numFmtId="0" fontId="6" fillId="0" borderId="0"/>
    <xf numFmtId="167" fontId="6" fillId="0" borderId="0" applyFont="0" applyFill="0" applyBorder="0" applyAlignment="0" applyProtection="0"/>
    <xf numFmtId="0" fontId="6"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167" fontId="6" fillId="0" borderId="0" applyFont="0" applyFill="0" applyBorder="0" applyAlignment="0" applyProtection="0"/>
    <xf numFmtId="0" fontId="6" fillId="0" borderId="0"/>
    <xf numFmtId="167"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167" fontId="6" fillId="0" borderId="0" applyFont="0" applyFill="0" applyBorder="0" applyAlignment="0" applyProtection="0"/>
    <xf numFmtId="0" fontId="6" fillId="0" borderId="0"/>
    <xf numFmtId="0" fontId="6" fillId="0" borderId="0"/>
    <xf numFmtId="167" fontId="6" fillId="0" borderId="0" applyFont="0" applyFill="0" applyBorder="0" applyAlignment="0" applyProtection="0"/>
    <xf numFmtId="0" fontId="6" fillId="0" borderId="0"/>
    <xf numFmtId="0" fontId="5" fillId="0" borderId="0"/>
    <xf numFmtId="167" fontId="5" fillId="0" borderId="0" applyFont="0" applyFill="0" applyBorder="0" applyAlignment="0" applyProtection="0"/>
    <xf numFmtId="0" fontId="3" fillId="0" borderId="0"/>
    <xf numFmtId="9" fontId="3" fillId="0" borderId="0" applyFont="0" applyFill="0" applyBorder="0" applyAlignment="0" applyProtection="0"/>
    <xf numFmtId="167" fontId="3" fillId="0" borderId="0" applyFont="0" applyFill="0" applyBorder="0" applyAlignment="0" applyProtection="0"/>
    <xf numFmtId="43" fontId="3" fillId="0" borderId="0" applyFont="0" applyFill="0" applyBorder="0" applyAlignment="0" applyProtection="0"/>
    <xf numFmtId="0" fontId="3" fillId="57" borderId="38" applyNumberFormat="0" applyFont="0" applyAlignment="0" applyProtection="0"/>
    <xf numFmtId="0" fontId="3" fillId="32" borderId="0" applyNumberFormat="0" applyBorder="0" applyAlignment="0" applyProtection="0"/>
    <xf numFmtId="0" fontId="3" fillId="38" borderId="0" applyNumberFormat="0" applyBorder="0" applyAlignment="0" applyProtection="0"/>
    <xf numFmtId="0" fontId="3" fillId="44" borderId="0" applyNumberFormat="0" applyBorder="0" applyAlignment="0" applyProtection="0"/>
    <xf numFmtId="0" fontId="3" fillId="33" borderId="0" applyNumberFormat="0" applyBorder="0" applyAlignment="0" applyProtection="0"/>
    <xf numFmtId="0" fontId="3" fillId="39" borderId="0" applyNumberFormat="0" applyBorder="0" applyAlignment="0" applyProtection="0"/>
    <xf numFmtId="0" fontId="3" fillId="45" borderId="0" applyNumberFormat="0" applyBorder="0" applyAlignment="0" applyProtection="0"/>
    <xf numFmtId="0" fontId="3" fillId="34" borderId="0" applyNumberFormat="0" applyBorder="0" applyAlignment="0" applyProtection="0"/>
    <xf numFmtId="0" fontId="3" fillId="40" borderId="0" applyNumberFormat="0" applyBorder="0" applyAlignment="0" applyProtection="0"/>
    <xf numFmtId="0" fontId="3" fillId="46" borderId="0" applyNumberFormat="0" applyBorder="0" applyAlignment="0" applyProtection="0"/>
    <xf numFmtId="0" fontId="3" fillId="35" borderId="0" applyNumberFormat="0" applyBorder="0" applyAlignment="0" applyProtection="0"/>
    <xf numFmtId="0" fontId="3" fillId="41" borderId="0" applyNumberFormat="0" applyBorder="0" applyAlignment="0" applyProtection="0"/>
    <xf numFmtId="0" fontId="3" fillId="47" borderId="0" applyNumberFormat="0" applyBorder="0" applyAlignment="0" applyProtection="0"/>
    <xf numFmtId="0" fontId="3" fillId="36" borderId="0" applyNumberFormat="0" applyBorder="0" applyAlignment="0" applyProtection="0"/>
    <xf numFmtId="0" fontId="3" fillId="42" borderId="0" applyNumberFormat="0" applyBorder="0" applyAlignment="0" applyProtection="0"/>
    <xf numFmtId="0" fontId="3" fillId="48" borderId="0" applyNumberFormat="0" applyBorder="0" applyAlignment="0" applyProtection="0"/>
    <xf numFmtId="0" fontId="3" fillId="37" borderId="0" applyNumberFormat="0" applyBorder="0" applyAlignment="0" applyProtection="0"/>
    <xf numFmtId="0" fontId="3" fillId="43" borderId="0" applyNumberFormat="0" applyBorder="0" applyAlignment="0" applyProtection="0"/>
    <xf numFmtId="0" fontId="3" fillId="49" borderId="0" applyNumberFormat="0" applyBorder="0" applyAlignment="0" applyProtection="0"/>
  </cellStyleXfs>
  <cellXfs count="1652">
    <xf numFmtId="0" fontId="0" fillId="0" borderId="0" xfId="0"/>
    <xf numFmtId="168" fontId="0" fillId="0" borderId="0" xfId="83" applyFont="1"/>
    <xf numFmtId="0" fontId="23" fillId="0" borderId="0" xfId="0" applyFont="1"/>
    <xf numFmtId="0" fontId="24" fillId="0" borderId="0" xfId="0" applyFont="1"/>
    <xf numFmtId="0" fontId="24" fillId="19" borderId="10" xfId="0" applyFont="1" applyFill="1" applyBorder="1" applyAlignment="1">
      <alignment horizontal="center"/>
    </xf>
    <xf numFmtId="0" fontId="24" fillId="0" borderId="11" xfId="0" applyFont="1" applyBorder="1" applyAlignment="1">
      <alignment horizontal="center"/>
    </xf>
    <xf numFmtId="0" fontId="24" fillId="0" borderId="12" xfId="0" applyFont="1" applyBorder="1" applyAlignment="1">
      <alignment horizontal="center"/>
    </xf>
    <xf numFmtId="0" fontId="24" fillId="0" borderId="0" xfId="0" applyFont="1" applyAlignment="1">
      <alignment horizontal="center"/>
    </xf>
    <xf numFmtId="14" fontId="0" fillId="0" borderId="0" xfId="0" applyNumberFormat="1"/>
    <xf numFmtId="0" fontId="24" fillId="19" borderId="13" xfId="0" applyFont="1" applyFill="1" applyBorder="1" applyAlignment="1">
      <alignment horizontal="center"/>
    </xf>
    <xf numFmtId="0" fontId="24" fillId="0" borderId="14" xfId="0" applyFont="1" applyBorder="1" applyAlignment="1">
      <alignment horizontal="center"/>
    </xf>
    <xf numFmtId="0" fontId="26" fillId="19" borderId="0" xfId="0" applyFont="1" applyFill="1" applyAlignment="1">
      <alignment horizontal="center"/>
    </xf>
    <xf numFmtId="10" fontId="21" fillId="0" borderId="0" xfId="166" applyNumberFormat="1" applyFont="1"/>
    <xf numFmtId="10" fontId="0" fillId="0" borderId="0" xfId="0" applyNumberFormat="1"/>
    <xf numFmtId="10" fontId="24" fillId="0" borderId="14" xfId="166" applyNumberFormat="1" applyFont="1" applyFill="1" applyBorder="1"/>
    <xf numFmtId="168" fontId="26" fillId="19" borderId="0" xfId="83" applyFont="1" applyFill="1"/>
    <xf numFmtId="10" fontId="26" fillId="20" borderId="0" xfId="166" applyNumberFormat="1" applyFont="1" applyFill="1"/>
    <xf numFmtId="14" fontId="21" fillId="0" borderId="0" xfId="166" applyNumberFormat="1"/>
    <xf numFmtId="0" fontId="25" fillId="20" borderId="0" xfId="0" applyFont="1" applyFill="1"/>
    <xf numFmtId="14" fontId="25" fillId="20" borderId="0" xfId="0" applyNumberFormat="1" applyFont="1" applyFill="1"/>
    <xf numFmtId="10" fontId="21" fillId="0" borderId="0" xfId="166" applyNumberFormat="1"/>
    <xf numFmtId="168" fontId="21" fillId="0" borderId="0" xfId="83"/>
    <xf numFmtId="10" fontId="26" fillId="20" borderId="0" xfId="0" applyNumberFormat="1" applyFont="1" applyFill="1"/>
    <xf numFmtId="168" fontId="0" fillId="0" borderId="0" xfId="0" applyNumberFormat="1"/>
    <xf numFmtId="10" fontId="24" fillId="0" borderId="0" xfId="166" applyNumberFormat="1" applyFont="1" applyFill="1"/>
    <xf numFmtId="166" fontId="0" fillId="0" borderId="0" xfId="0" applyNumberFormat="1"/>
    <xf numFmtId="168" fontId="24" fillId="0" borderId="0" xfId="166" applyNumberFormat="1" applyFont="1" applyFill="1"/>
    <xf numFmtId="170" fontId="21" fillId="0" borderId="0" xfId="166" applyNumberFormat="1"/>
    <xf numFmtId="10" fontId="24" fillId="0" borderId="0" xfId="0" applyNumberFormat="1" applyFont="1"/>
    <xf numFmtId="171" fontId="0" fillId="0" borderId="0" xfId="0" applyNumberFormat="1"/>
    <xf numFmtId="168" fontId="21" fillId="0" borderId="0" xfId="166" applyNumberFormat="1"/>
    <xf numFmtId="10" fontId="27" fillId="0" borderId="0" xfId="0" applyNumberFormat="1" applyFont="1"/>
    <xf numFmtId="0" fontId="24" fillId="19" borderId="15" xfId="0" applyFont="1" applyFill="1" applyBorder="1" applyAlignment="1">
      <alignment horizontal="center"/>
    </xf>
    <xf numFmtId="10" fontId="24" fillId="0" borderId="16" xfId="166" applyNumberFormat="1" applyFont="1" applyFill="1" applyBorder="1"/>
    <xf numFmtId="168" fontId="23" fillId="0" borderId="0" xfId="83" applyFont="1"/>
    <xf numFmtId="14" fontId="23" fillId="0" borderId="0" xfId="0" applyNumberFormat="1" applyFont="1"/>
    <xf numFmtId="10" fontId="23" fillId="0" borderId="0" xfId="166" applyNumberFormat="1" applyFont="1"/>
    <xf numFmtId="10" fontId="23" fillId="0" borderId="0" xfId="0" applyNumberFormat="1" applyFont="1"/>
    <xf numFmtId="0" fontId="23" fillId="0" borderId="17" xfId="0" applyFont="1" applyBorder="1"/>
    <xf numFmtId="0" fontId="23" fillId="0" borderId="17" xfId="0" applyFont="1" applyBorder="1" applyAlignment="1">
      <alignment horizontal="center"/>
    </xf>
    <xf numFmtId="10" fontId="23" fillId="0" borderId="17" xfId="166" applyNumberFormat="1" applyFont="1" applyBorder="1"/>
    <xf numFmtId="14" fontId="23" fillId="0" borderId="17" xfId="0" applyNumberFormat="1" applyFont="1" applyBorder="1"/>
    <xf numFmtId="0" fontId="28" fillId="21" borderId="17" xfId="0" applyFont="1" applyFill="1" applyBorder="1" applyAlignment="1">
      <alignment horizontal="center" vertical="center" wrapText="1"/>
    </xf>
    <xf numFmtId="0" fontId="28" fillId="0" borderId="0" xfId="0" applyFont="1" applyAlignment="1">
      <alignment horizontal="center" vertical="center" wrapText="1"/>
    </xf>
    <xf numFmtId="14" fontId="23" fillId="0" borderId="17" xfId="0" applyNumberFormat="1" applyFont="1" applyBorder="1" applyAlignment="1">
      <alignment horizontal="center"/>
    </xf>
    <xf numFmtId="169" fontId="23" fillId="0" borderId="17" xfId="83" applyNumberFormat="1" applyFont="1" applyBorder="1" applyAlignment="1">
      <alignment horizontal="center"/>
    </xf>
    <xf numFmtId="10" fontId="23" fillId="0" borderId="17" xfId="166" applyNumberFormat="1" applyFont="1" applyFill="1" applyBorder="1"/>
    <xf numFmtId="169" fontId="23" fillId="0" borderId="17" xfId="83" applyNumberFormat="1" applyFont="1" applyFill="1" applyBorder="1" applyAlignment="1">
      <alignment horizontal="center"/>
    </xf>
    <xf numFmtId="0" fontId="23" fillId="0" borderId="17" xfId="0" applyFont="1" applyBorder="1" applyAlignment="1">
      <alignment horizontal="right"/>
    </xf>
    <xf numFmtId="173" fontId="0" fillId="0" borderId="0" xfId="166" applyNumberFormat="1" applyFont="1"/>
    <xf numFmtId="0" fontId="22" fillId="19" borderId="0" xfId="0" applyFont="1" applyFill="1" applyAlignment="1">
      <alignment horizontal="center"/>
    </xf>
    <xf numFmtId="173" fontId="0" fillId="0" borderId="0" xfId="166" applyNumberFormat="1" applyFont="1" applyAlignment="1">
      <alignment horizontal="center"/>
    </xf>
    <xf numFmtId="170" fontId="0" fillId="0" borderId="0" xfId="166" applyNumberFormat="1" applyFont="1"/>
    <xf numFmtId="0" fontId="30" fillId="0" borderId="0" xfId="0" applyFont="1"/>
    <xf numFmtId="170" fontId="23" fillId="0" borderId="0" xfId="166" applyNumberFormat="1" applyFont="1"/>
    <xf numFmtId="169" fontId="23" fillId="0" borderId="17" xfId="0" applyNumberFormat="1" applyFont="1" applyBorder="1"/>
    <xf numFmtId="16" fontId="0" fillId="0" borderId="0" xfId="0" applyNumberFormat="1"/>
    <xf numFmtId="170" fontId="0" fillId="0" borderId="19" xfId="166" applyNumberFormat="1" applyFont="1" applyBorder="1"/>
    <xf numFmtId="173" fontId="0" fillId="0" borderId="0" xfId="0" applyNumberFormat="1"/>
    <xf numFmtId="0" fontId="0" fillId="0" borderId="20" xfId="0" applyBorder="1"/>
    <xf numFmtId="0" fontId="24" fillId="0" borderId="20" xfId="0" applyFont="1" applyBorder="1" applyAlignment="1">
      <alignment horizontal="center"/>
    </xf>
    <xf numFmtId="14" fontId="0" fillId="0" borderId="20" xfId="0" applyNumberFormat="1" applyBorder="1"/>
    <xf numFmtId="0" fontId="0" fillId="0" borderId="21" xfId="0" applyBorder="1"/>
    <xf numFmtId="0" fontId="0" fillId="0" borderId="19" xfId="0" applyBorder="1"/>
    <xf numFmtId="10" fontId="21" fillId="0" borderId="0" xfId="166" applyNumberFormat="1" applyFont="1" applyBorder="1"/>
    <xf numFmtId="0" fontId="0" fillId="0" borderId="14" xfId="0" applyBorder="1"/>
    <xf numFmtId="14" fontId="21" fillId="0" borderId="0" xfId="166" applyNumberFormat="1" applyBorder="1"/>
    <xf numFmtId="14" fontId="0" fillId="0" borderId="14" xfId="0" applyNumberFormat="1" applyBorder="1"/>
    <xf numFmtId="10" fontId="21" fillId="0" borderId="0" xfId="166" applyNumberFormat="1" applyBorder="1"/>
    <xf numFmtId="168" fontId="21" fillId="0" borderId="0" xfId="83" applyBorder="1"/>
    <xf numFmtId="168" fontId="21" fillId="0" borderId="14" xfId="83" applyBorder="1"/>
    <xf numFmtId="168" fontId="0" fillId="0" borderId="14" xfId="0" applyNumberFormat="1" applyBorder="1"/>
    <xf numFmtId="166" fontId="0" fillId="0" borderId="14" xfId="0" applyNumberFormat="1" applyBorder="1"/>
    <xf numFmtId="170" fontId="21" fillId="0" borderId="0" xfId="166" applyNumberFormat="1" applyBorder="1"/>
    <xf numFmtId="10" fontId="21" fillId="0" borderId="14" xfId="166" applyNumberFormat="1" applyBorder="1"/>
    <xf numFmtId="171" fontId="0" fillId="0" borderId="14" xfId="0" applyNumberFormat="1" applyBorder="1"/>
    <xf numFmtId="10" fontId="0" fillId="0" borderId="14" xfId="0" applyNumberFormat="1" applyBorder="1"/>
    <xf numFmtId="168" fontId="21" fillId="0" borderId="0" xfId="166" applyNumberFormat="1" applyBorder="1"/>
    <xf numFmtId="0" fontId="0" fillId="0" borderId="22" xfId="0" applyBorder="1"/>
    <xf numFmtId="0" fontId="0" fillId="0" borderId="23" xfId="0" applyBorder="1"/>
    <xf numFmtId="168" fontId="21" fillId="0" borderId="23" xfId="83" applyBorder="1"/>
    <xf numFmtId="0" fontId="0" fillId="0" borderId="16" xfId="0" applyBorder="1"/>
    <xf numFmtId="0" fontId="31" fillId="0" borderId="18" xfId="0" applyFont="1" applyBorder="1"/>
    <xf numFmtId="0" fontId="24" fillId="24" borderId="0" xfId="0" applyFont="1" applyFill="1"/>
    <xf numFmtId="173" fontId="32" fillId="0" borderId="24" xfId="166" applyNumberFormat="1" applyFont="1" applyFill="1" applyBorder="1" applyAlignment="1">
      <alignment horizontal="center"/>
    </xf>
    <xf numFmtId="168" fontId="24" fillId="0" borderId="0" xfId="83" applyFont="1"/>
    <xf numFmtId="4" fontId="24" fillId="0" borderId="0" xfId="83" applyNumberFormat="1" applyFont="1"/>
    <xf numFmtId="164" fontId="24" fillId="0" borderId="0" xfId="83" applyNumberFormat="1" applyFont="1"/>
    <xf numFmtId="170" fontId="24" fillId="24" borderId="0" xfId="166" applyNumberFormat="1" applyFont="1" applyFill="1"/>
    <xf numFmtId="172" fontId="23" fillId="0" borderId="0" xfId="0" applyNumberFormat="1" applyFont="1"/>
    <xf numFmtId="10" fontId="0" fillId="0" borderId="0" xfId="166" applyNumberFormat="1" applyFont="1" applyAlignment="1">
      <alignment horizontal="center"/>
    </xf>
    <xf numFmtId="0" fontId="0" fillId="0" borderId="0" xfId="0" applyAlignment="1">
      <alignment horizontal="left"/>
    </xf>
    <xf numFmtId="10" fontId="0" fillId="0" borderId="0" xfId="0" applyNumberFormat="1" applyAlignment="1">
      <alignment horizontal="center"/>
    </xf>
    <xf numFmtId="14" fontId="28" fillId="21" borderId="17" xfId="0" applyNumberFormat="1" applyFont="1" applyFill="1" applyBorder="1" applyAlignment="1">
      <alignment horizontal="center" vertical="center" wrapText="1"/>
    </xf>
    <xf numFmtId="10" fontId="33" fillId="22" borderId="0" xfId="166" applyNumberFormat="1" applyFont="1" applyFill="1"/>
    <xf numFmtId="169" fontId="33" fillId="22" borderId="0" xfId="83" applyNumberFormat="1" applyFont="1" applyFill="1"/>
    <xf numFmtId="170" fontId="0" fillId="0" borderId="0" xfId="0" applyNumberFormat="1"/>
    <xf numFmtId="169" fontId="21" fillId="0" borderId="0" xfId="83" applyNumberFormat="1"/>
    <xf numFmtId="169" fontId="0" fillId="0" borderId="0" xfId="0" applyNumberFormat="1"/>
    <xf numFmtId="169" fontId="21" fillId="0" borderId="0" xfId="166" applyNumberFormat="1"/>
    <xf numFmtId="170" fontId="0" fillId="0" borderId="0" xfId="166" applyNumberFormat="1" applyFont="1" applyBorder="1"/>
    <xf numFmtId="175" fontId="0" fillId="0" borderId="0" xfId="166" applyNumberFormat="1" applyFont="1" applyBorder="1"/>
    <xf numFmtId="175" fontId="0" fillId="0" borderId="0" xfId="0" applyNumberFormat="1"/>
    <xf numFmtId="171" fontId="21" fillId="0" borderId="0" xfId="166" applyNumberFormat="1" applyBorder="1"/>
    <xf numFmtId="170" fontId="24" fillId="0" borderId="14" xfId="166" applyNumberFormat="1" applyFont="1" applyFill="1" applyBorder="1"/>
    <xf numFmtId="170" fontId="24" fillId="0" borderId="12" xfId="166" applyNumberFormat="1" applyFont="1" applyFill="1" applyBorder="1" applyAlignment="1">
      <alignment horizontal="center"/>
    </xf>
    <xf numFmtId="170" fontId="24" fillId="0" borderId="21" xfId="166" applyNumberFormat="1" applyFont="1" applyFill="1" applyBorder="1"/>
    <xf numFmtId="170" fontId="24" fillId="0" borderId="14" xfId="166" applyNumberFormat="1" applyFont="1" applyFill="1" applyBorder="1" applyAlignment="1">
      <alignment horizontal="right"/>
    </xf>
    <xf numFmtId="0" fontId="23" fillId="23" borderId="0" xfId="0" applyFont="1" applyFill="1"/>
    <xf numFmtId="0" fontId="0" fillId="26" borderId="0" xfId="0" applyFill="1"/>
    <xf numFmtId="0" fontId="37" fillId="26" borderId="0" xfId="0" applyFont="1" applyFill="1" applyAlignment="1">
      <alignment horizontal="center"/>
    </xf>
    <xf numFmtId="168" fontId="21" fillId="26" borderId="0" xfId="83" applyFill="1"/>
    <xf numFmtId="0" fontId="0" fillId="26" borderId="0" xfId="0" applyFill="1" applyAlignment="1">
      <alignment horizontal="center"/>
    </xf>
    <xf numFmtId="168" fontId="22" fillId="19" borderId="10" xfId="83" applyFont="1" applyFill="1" applyBorder="1" applyAlignment="1">
      <alignment horizontal="center"/>
    </xf>
    <xf numFmtId="168" fontId="22" fillId="19" borderId="25" xfId="83" applyFont="1" applyFill="1" applyBorder="1" applyAlignment="1">
      <alignment horizontal="center"/>
    </xf>
    <xf numFmtId="0" fontId="26" fillId="19" borderId="10" xfId="0" applyFont="1" applyFill="1" applyBorder="1" applyAlignment="1">
      <alignment horizontal="center"/>
    </xf>
    <xf numFmtId="15" fontId="0" fillId="27" borderId="19" xfId="0" applyNumberFormat="1" applyFill="1" applyBorder="1" applyAlignment="1">
      <alignment horizontal="center"/>
    </xf>
    <xf numFmtId="15" fontId="21" fillId="27" borderId="19" xfId="0" applyNumberFormat="1" applyFont="1" applyFill="1" applyBorder="1" applyAlignment="1">
      <alignment horizontal="center"/>
    </xf>
    <xf numFmtId="0" fontId="21" fillId="27" borderId="25" xfId="0" applyFont="1" applyFill="1" applyBorder="1" applyAlignment="1">
      <alignment horizontal="center"/>
    </xf>
    <xf numFmtId="4" fontId="21" fillId="27" borderId="25" xfId="0" applyNumberFormat="1" applyFont="1" applyFill="1" applyBorder="1" applyAlignment="1">
      <alignment horizontal="right" vertical="center"/>
    </xf>
    <xf numFmtId="0" fontId="21" fillId="27" borderId="19" xfId="0" applyFont="1" applyFill="1" applyBorder="1" applyAlignment="1">
      <alignment horizontal="center"/>
    </xf>
    <xf numFmtId="4" fontId="21" fillId="27" borderId="13" xfId="0" applyNumberFormat="1" applyFont="1" applyFill="1" applyBorder="1" applyAlignment="1">
      <alignment horizontal="right" vertical="center"/>
    </xf>
    <xf numFmtId="0" fontId="21" fillId="27" borderId="18" xfId="0" applyFont="1" applyFill="1" applyBorder="1" applyAlignment="1">
      <alignment horizontal="center"/>
    </xf>
    <xf numFmtId="0" fontId="21" fillId="27" borderId="22" xfId="0" applyFont="1" applyFill="1" applyBorder="1" applyAlignment="1">
      <alignment horizontal="center"/>
    </xf>
    <xf numFmtId="4" fontId="21" fillId="27" borderId="15" xfId="0" applyNumberFormat="1" applyFont="1" applyFill="1" applyBorder="1" applyAlignment="1">
      <alignment horizontal="right" vertical="center"/>
    </xf>
    <xf numFmtId="4" fontId="0" fillId="27" borderId="16" xfId="0" applyNumberFormat="1" applyFill="1" applyBorder="1" applyAlignment="1">
      <alignment horizontal="right" vertical="center"/>
    </xf>
    <xf numFmtId="4" fontId="21" fillId="19" borderId="15" xfId="0" applyNumberFormat="1" applyFont="1" applyFill="1" applyBorder="1" applyAlignment="1">
      <alignment horizontal="right" vertical="center"/>
    </xf>
    <xf numFmtId="180" fontId="21" fillId="19" borderId="15" xfId="0" applyNumberFormat="1" applyFont="1" applyFill="1" applyBorder="1" applyAlignment="1">
      <alignment horizontal="right" vertical="center"/>
    </xf>
    <xf numFmtId="168" fontId="21" fillId="19" borderId="10" xfId="83" applyFont="1" applyFill="1" applyBorder="1" applyAlignment="1">
      <alignment horizontal="right" vertical="center"/>
    </xf>
    <xf numFmtId="168" fontId="21" fillId="19" borderId="10" xfId="83" applyFill="1" applyBorder="1" applyAlignment="1">
      <alignment horizontal="right" vertical="center"/>
    </xf>
    <xf numFmtId="0" fontId="22" fillId="19" borderId="10" xfId="0" applyFont="1" applyFill="1" applyBorder="1" applyAlignment="1">
      <alignment horizontal="center"/>
    </xf>
    <xf numFmtId="0" fontId="22" fillId="19" borderId="25" xfId="0" applyFont="1" applyFill="1" applyBorder="1" applyAlignment="1">
      <alignment horizontal="center"/>
    </xf>
    <xf numFmtId="4" fontId="0" fillId="27" borderId="25" xfId="0" applyNumberFormat="1" applyFill="1" applyBorder="1" applyAlignment="1">
      <alignment horizontal="right" vertical="center"/>
    </xf>
    <xf numFmtId="0" fontId="0" fillId="27" borderId="13" xfId="0" applyFill="1" applyBorder="1" applyAlignment="1">
      <alignment horizontal="center"/>
    </xf>
    <xf numFmtId="4" fontId="0" fillId="27" borderId="13" xfId="0" applyNumberFormat="1" applyFill="1" applyBorder="1" applyAlignment="1">
      <alignment horizontal="right" vertical="center"/>
    </xf>
    <xf numFmtId="4" fontId="0" fillId="27" borderId="15" xfId="0" applyNumberFormat="1" applyFill="1" applyBorder="1" applyAlignment="1">
      <alignment horizontal="right" vertical="center"/>
    </xf>
    <xf numFmtId="4" fontId="21" fillId="19" borderId="11" xfId="0" applyNumberFormat="1" applyFont="1" applyFill="1" applyBorder="1" applyAlignment="1">
      <alignment horizontal="right" vertical="center"/>
    </xf>
    <xf numFmtId="4" fontId="21" fillId="27" borderId="0" xfId="0" applyNumberFormat="1" applyFont="1" applyFill="1" applyAlignment="1">
      <alignment horizontal="right" vertical="center"/>
    </xf>
    <xf numFmtId="4" fontId="0" fillId="19" borderId="0" xfId="0" applyNumberFormat="1" applyFill="1" applyAlignment="1">
      <alignment horizontal="right" vertical="center"/>
    </xf>
    <xf numFmtId="180" fontId="21" fillId="19" borderId="0" xfId="0" applyNumberFormat="1" applyFont="1" applyFill="1" applyAlignment="1">
      <alignment horizontal="right" vertical="center"/>
    </xf>
    <xf numFmtId="0" fontId="40" fillId="26" borderId="0" xfId="0" applyFont="1" applyFill="1"/>
    <xf numFmtId="14" fontId="40" fillId="26" borderId="0" xfId="0" applyNumberFormat="1" applyFont="1" applyFill="1"/>
    <xf numFmtId="10" fontId="37" fillId="26" borderId="0" xfId="0" applyNumberFormat="1" applyFont="1" applyFill="1" applyAlignment="1">
      <alignment horizontal="center"/>
    </xf>
    <xf numFmtId="168" fontId="21" fillId="19" borderId="0" xfId="83" applyFill="1" applyBorder="1" applyAlignment="1">
      <alignment horizontal="right" vertical="center"/>
    </xf>
    <xf numFmtId="4" fontId="21" fillId="19" borderId="0" xfId="0" applyNumberFormat="1" applyFont="1" applyFill="1" applyAlignment="1">
      <alignment horizontal="right" vertical="center"/>
    </xf>
    <xf numFmtId="10" fontId="33" fillId="22" borderId="0" xfId="166" applyNumberFormat="1" applyFont="1" applyFill="1" applyAlignment="1">
      <alignment horizontal="center"/>
    </xf>
    <xf numFmtId="175" fontId="21" fillId="27" borderId="0" xfId="166" applyNumberFormat="1" applyFont="1" applyFill="1" applyBorder="1" applyAlignment="1">
      <alignment horizontal="right" vertical="center"/>
    </xf>
    <xf numFmtId="168" fontId="37" fillId="26" borderId="0" xfId="83" applyFont="1" applyFill="1" applyBorder="1" applyAlignment="1">
      <alignment horizontal="center"/>
    </xf>
    <xf numFmtId="0" fontId="37" fillId="26" borderId="0" xfId="0" applyFont="1" applyFill="1" applyAlignment="1">
      <alignment horizontal="left"/>
    </xf>
    <xf numFmtId="168" fontId="37" fillId="26" borderId="0" xfId="0" applyNumberFormat="1" applyFont="1" applyFill="1" applyAlignment="1">
      <alignment horizontal="left"/>
    </xf>
    <xf numFmtId="0" fontId="0" fillId="27" borderId="0" xfId="0" applyFill="1"/>
    <xf numFmtId="4" fontId="0" fillId="27" borderId="0" xfId="0" applyNumberFormat="1" applyFill="1" applyAlignment="1">
      <alignment horizontal="right" vertical="center"/>
    </xf>
    <xf numFmtId="4" fontId="21" fillId="27" borderId="10" xfId="0" applyNumberFormat="1" applyFont="1" applyFill="1" applyBorder="1" applyAlignment="1">
      <alignment horizontal="right" vertical="center"/>
    </xf>
    <xf numFmtId="0" fontId="26" fillId="27" borderId="10" xfId="0" applyFont="1" applyFill="1" applyBorder="1" applyAlignment="1">
      <alignment horizontal="center"/>
    </xf>
    <xf numFmtId="4" fontId="0" fillId="27" borderId="21" xfId="0" applyNumberFormat="1" applyFill="1" applyBorder="1" applyAlignment="1">
      <alignment horizontal="right" vertical="center"/>
    </xf>
    <xf numFmtId="4" fontId="0" fillId="27" borderId="14" xfId="0" applyNumberFormat="1" applyFill="1" applyBorder="1" applyAlignment="1">
      <alignment horizontal="right" vertical="center"/>
    </xf>
    <xf numFmtId="168" fontId="0" fillId="27" borderId="0" xfId="83" applyFont="1" applyFill="1"/>
    <xf numFmtId="181" fontId="0" fillId="26" borderId="0" xfId="0" applyNumberFormat="1" applyFill="1"/>
    <xf numFmtId="16" fontId="0" fillId="26" borderId="0" xfId="0" applyNumberFormat="1" applyFill="1" applyAlignment="1">
      <alignment horizontal="center"/>
    </xf>
    <xf numFmtId="2" fontId="0" fillId="0" borderId="0" xfId="0" applyNumberFormat="1"/>
    <xf numFmtId="0" fontId="22" fillId="19" borderId="25" xfId="0" applyFont="1" applyFill="1" applyBorder="1" applyAlignment="1">
      <alignment horizontal="center" vertical="center"/>
    </xf>
    <xf numFmtId="0" fontId="22" fillId="19" borderId="13" xfId="0" applyFont="1" applyFill="1" applyBorder="1" applyAlignment="1">
      <alignment horizontal="center" vertical="center"/>
    </xf>
    <xf numFmtId="0" fontId="22" fillId="19" borderId="11" xfId="0" applyFont="1" applyFill="1" applyBorder="1" applyAlignment="1">
      <alignment horizontal="center"/>
    </xf>
    <xf numFmtId="0" fontId="22" fillId="19" borderId="12" xfId="0" applyFont="1" applyFill="1" applyBorder="1" applyAlignment="1">
      <alignment horizontal="center"/>
    </xf>
    <xf numFmtId="0" fontId="26" fillId="19" borderId="25" xfId="0" applyFont="1" applyFill="1" applyBorder="1" applyAlignment="1">
      <alignment horizontal="center" vertical="center"/>
    </xf>
    <xf numFmtId="0" fontId="26" fillId="19" borderId="15" xfId="0" applyFont="1" applyFill="1" applyBorder="1" applyAlignment="1">
      <alignment horizontal="center" vertical="center"/>
    </xf>
    <xf numFmtId="0" fontId="26" fillId="19" borderId="26" xfId="0" applyFont="1" applyFill="1" applyBorder="1" applyAlignment="1">
      <alignment horizontal="center"/>
    </xf>
    <xf numFmtId="0" fontId="26" fillId="19" borderId="12" xfId="0" applyFont="1" applyFill="1" applyBorder="1" applyAlignment="1">
      <alignment horizontal="center"/>
    </xf>
    <xf numFmtId="169" fontId="33" fillId="22" borderId="0" xfId="83" applyNumberFormat="1" applyFont="1" applyFill="1" applyAlignment="1"/>
    <xf numFmtId="0" fontId="21" fillId="26" borderId="0" xfId="0" applyFont="1" applyFill="1"/>
    <xf numFmtId="16" fontId="21" fillId="26" borderId="0" xfId="0" applyNumberFormat="1" applyFont="1" applyFill="1"/>
    <xf numFmtId="168" fontId="21" fillId="26" borderId="0" xfId="83" applyFill="1" applyAlignment="1"/>
    <xf numFmtId="4" fontId="38" fillId="26" borderId="0" xfId="0" applyNumberFormat="1" applyFont="1" applyFill="1"/>
    <xf numFmtId="168" fontId="0" fillId="26" borderId="0" xfId="83" applyFont="1" applyFill="1" applyAlignment="1"/>
    <xf numFmtId="0" fontId="21" fillId="19" borderId="22" xfId="0" applyFont="1" applyFill="1" applyBorder="1"/>
    <xf numFmtId="0" fontId="21" fillId="27" borderId="22" xfId="0" applyFont="1" applyFill="1" applyBorder="1"/>
    <xf numFmtId="4" fontId="39" fillId="26" borderId="0" xfId="0" applyNumberFormat="1" applyFont="1" applyFill="1"/>
    <xf numFmtId="0" fontId="21" fillId="19" borderId="11" xfId="0" applyFont="1" applyFill="1" applyBorder="1"/>
    <xf numFmtId="183" fontId="21" fillId="0" borderId="0" xfId="83" applyNumberFormat="1" applyBorder="1"/>
    <xf numFmtId="184" fontId="21" fillId="0" borderId="0" xfId="83" applyNumberFormat="1" applyBorder="1"/>
    <xf numFmtId="182" fontId="21" fillId="0" borderId="14" xfId="83" applyNumberFormat="1" applyBorder="1"/>
    <xf numFmtId="185" fontId="24" fillId="0" borderId="21" xfId="166" applyNumberFormat="1" applyFont="1" applyFill="1" applyBorder="1" applyAlignment="1">
      <alignment horizontal="center"/>
    </xf>
    <xf numFmtId="185" fontId="21" fillId="0" borderId="0" xfId="166" applyNumberFormat="1" applyBorder="1"/>
    <xf numFmtId="4" fontId="21" fillId="25" borderId="18" xfId="0" applyNumberFormat="1" applyFont="1" applyFill="1" applyBorder="1" applyAlignment="1">
      <alignment horizontal="right" vertical="center"/>
    </xf>
    <xf numFmtId="4" fontId="21" fillId="25" borderId="25" xfId="0" applyNumberFormat="1" applyFont="1" applyFill="1" applyBorder="1" applyAlignment="1">
      <alignment horizontal="right" vertical="center"/>
    </xf>
    <xf numFmtId="4" fontId="21" fillId="25" borderId="19" xfId="0" applyNumberFormat="1" applyFont="1" applyFill="1" applyBorder="1" applyAlignment="1">
      <alignment horizontal="right" vertical="center"/>
    </xf>
    <xf numFmtId="4" fontId="21" fillId="25" borderId="13" xfId="0" applyNumberFormat="1" applyFont="1" applyFill="1" applyBorder="1" applyAlignment="1">
      <alignment horizontal="right" vertical="center"/>
    </xf>
    <xf numFmtId="4" fontId="21" fillId="25" borderId="22" xfId="0" applyNumberFormat="1" applyFont="1" applyFill="1" applyBorder="1" applyAlignment="1">
      <alignment horizontal="right" vertical="center"/>
    </xf>
    <xf numFmtId="4" fontId="21" fillId="25" borderId="15" xfId="0" applyNumberFormat="1" applyFont="1" applyFill="1" applyBorder="1" applyAlignment="1">
      <alignment horizontal="right" vertical="center"/>
    </xf>
    <xf numFmtId="4" fontId="21" fillId="25" borderId="16" xfId="0" applyNumberFormat="1" applyFont="1" applyFill="1" applyBorder="1" applyAlignment="1">
      <alignment horizontal="right" vertical="center"/>
    </xf>
    <xf numFmtId="4" fontId="21" fillId="25" borderId="25" xfId="0" applyNumberFormat="1" applyFont="1" applyFill="1" applyBorder="1" applyAlignment="1">
      <alignment horizontal="right"/>
    </xf>
    <xf numFmtId="4" fontId="21" fillId="25" borderId="21" xfId="0" applyNumberFormat="1" applyFont="1" applyFill="1" applyBorder="1" applyAlignment="1">
      <alignment horizontal="right"/>
    </xf>
    <xf numFmtId="4" fontId="21" fillId="25" borderId="13" xfId="0" applyNumberFormat="1" applyFont="1" applyFill="1" applyBorder="1" applyAlignment="1">
      <alignment horizontal="right"/>
    </xf>
    <xf numFmtId="4" fontId="21" fillId="25" borderId="14" xfId="0" applyNumberFormat="1" applyFont="1" applyFill="1" applyBorder="1" applyAlignment="1">
      <alignment horizontal="right"/>
    </xf>
    <xf numFmtId="15" fontId="0" fillId="25" borderId="19" xfId="0" applyNumberFormat="1" applyFill="1" applyBorder="1" applyAlignment="1">
      <alignment horizontal="center"/>
    </xf>
    <xf numFmtId="0" fontId="0" fillId="25" borderId="18" xfId="0" applyFill="1" applyBorder="1" applyAlignment="1">
      <alignment horizontal="center"/>
    </xf>
    <xf numFmtId="4" fontId="0" fillId="25" borderId="13" xfId="0" applyNumberFormat="1" applyFill="1" applyBorder="1" applyAlignment="1">
      <alignment horizontal="right" vertical="center"/>
    </xf>
    <xf numFmtId="168" fontId="21" fillId="25" borderId="25" xfId="83" applyFill="1" applyBorder="1" applyAlignment="1">
      <alignment horizontal="right" vertical="center"/>
    </xf>
    <xf numFmtId="4" fontId="21" fillId="25" borderId="0" xfId="0" applyNumberFormat="1" applyFont="1" applyFill="1" applyAlignment="1">
      <alignment horizontal="right" vertical="center"/>
    </xf>
    <xf numFmtId="175" fontId="21" fillId="25" borderId="0" xfId="166" applyNumberFormat="1" applyFont="1" applyFill="1" applyBorder="1" applyAlignment="1">
      <alignment horizontal="right" vertical="center"/>
    </xf>
    <xf numFmtId="0" fontId="0" fillId="25" borderId="19" xfId="0" applyFill="1" applyBorder="1" applyAlignment="1">
      <alignment horizontal="center"/>
    </xf>
    <xf numFmtId="168" fontId="21" fillId="25" borderId="13" xfId="83" applyFill="1" applyBorder="1" applyAlignment="1">
      <alignment horizontal="right" vertical="center"/>
    </xf>
    <xf numFmtId="168" fontId="21" fillId="25" borderId="15" xfId="83" applyFill="1" applyBorder="1" applyAlignment="1">
      <alignment horizontal="right" vertical="center"/>
    </xf>
    <xf numFmtId="4" fontId="0" fillId="25" borderId="25" xfId="0" applyNumberFormat="1" applyFill="1" applyBorder="1" applyAlignment="1">
      <alignment horizontal="right" vertical="center"/>
    </xf>
    <xf numFmtId="0" fontId="0" fillId="25" borderId="22" xfId="0" applyFill="1" applyBorder="1" applyAlignment="1">
      <alignment horizontal="center"/>
    </xf>
    <xf numFmtId="0" fontId="21" fillId="25" borderId="19" xfId="0" applyFont="1" applyFill="1" applyBorder="1" applyAlignment="1">
      <alignment horizontal="center"/>
    </xf>
    <xf numFmtId="168" fontId="21" fillId="25" borderId="21" xfId="83" applyFill="1" applyBorder="1" applyAlignment="1">
      <alignment horizontal="right" vertical="center"/>
    </xf>
    <xf numFmtId="168" fontId="21" fillId="25" borderId="14" xfId="83" applyFill="1" applyBorder="1" applyAlignment="1">
      <alignment horizontal="right" vertical="center"/>
    </xf>
    <xf numFmtId="4" fontId="0" fillId="25" borderId="16" xfId="0" applyNumberFormat="1" applyFill="1" applyBorder="1" applyAlignment="1">
      <alignment horizontal="right" vertical="center"/>
    </xf>
    <xf numFmtId="0" fontId="0" fillId="25" borderId="25" xfId="0" applyFill="1" applyBorder="1" applyAlignment="1">
      <alignment horizontal="center"/>
    </xf>
    <xf numFmtId="187" fontId="21" fillId="25" borderId="0" xfId="0" applyNumberFormat="1" applyFont="1" applyFill="1" applyAlignment="1">
      <alignment horizontal="right" vertical="center"/>
    </xf>
    <xf numFmtId="0" fontId="0" fillId="25" borderId="13" xfId="0" applyFill="1" applyBorder="1" applyAlignment="1">
      <alignment horizontal="center"/>
    </xf>
    <xf numFmtId="186" fontId="21" fillId="25" borderId="0" xfId="0" applyNumberFormat="1" applyFont="1" applyFill="1" applyAlignment="1">
      <alignment horizontal="right" vertical="center"/>
    </xf>
    <xf numFmtId="168" fontId="37" fillId="26" borderId="0" xfId="0" applyNumberFormat="1" applyFont="1" applyFill="1" applyAlignment="1">
      <alignment horizontal="center"/>
    </xf>
    <xf numFmtId="0" fontId="23" fillId="25" borderId="17" xfId="0" applyFont="1" applyFill="1" applyBorder="1"/>
    <xf numFmtId="169" fontId="23" fillId="25" borderId="17" xfId="0" applyNumberFormat="1" applyFont="1" applyFill="1" applyBorder="1"/>
    <xf numFmtId="10" fontId="23" fillId="25" borderId="17" xfId="166" applyNumberFormat="1" applyFont="1" applyFill="1" applyBorder="1"/>
    <xf numFmtId="14" fontId="23" fillId="25" borderId="17" xfId="0" applyNumberFormat="1" applyFont="1" applyFill="1" applyBorder="1"/>
    <xf numFmtId="0" fontId="23" fillId="25" borderId="17" xfId="0" applyFont="1" applyFill="1" applyBorder="1" applyAlignment="1">
      <alignment horizontal="center"/>
    </xf>
    <xf numFmtId="169" fontId="23" fillId="25" borderId="17" xfId="83" applyNumberFormat="1" applyFont="1" applyFill="1" applyBorder="1" applyAlignment="1">
      <alignment horizontal="center"/>
    </xf>
    <xf numFmtId="0" fontId="23" fillId="25" borderId="0" xfId="0" applyFont="1" applyFill="1"/>
    <xf numFmtId="4" fontId="0" fillId="26" borderId="0" xfId="0" applyNumberFormat="1" applyFill="1"/>
    <xf numFmtId="4" fontId="21" fillId="25" borderId="15" xfId="0" applyNumberFormat="1" applyFont="1" applyFill="1" applyBorder="1" applyAlignment="1">
      <alignment horizontal="right"/>
    </xf>
    <xf numFmtId="4" fontId="21" fillId="25" borderId="16" xfId="0" applyNumberFormat="1" applyFont="1" applyFill="1" applyBorder="1" applyAlignment="1">
      <alignment horizontal="right"/>
    </xf>
    <xf numFmtId="0" fontId="24" fillId="27" borderId="0" xfId="0" applyFont="1" applyFill="1" applyAlignment="1">
      <alignment horizontal="center"/>
    </xf>
    <xf numFmtId="14" fontId="0" fillId="27" borderId="0" xfId="0" applyNumberFormat="1" applyFill="1"/>
    <xf numFmtId="10" fontId="21" fillId="27" borderId="0" xfId="166" applyNumberFormat="1" applyFont="1" applyFill="1"/>
    <xf numFmtId="10" fontId="0" fillId="27" borderId="0" xfId="0" applyNumberFormat="1" applyFill="1"/>
    <xf numFmtId="14" fontId="21" fillId="27" borderId="0" xfId="166" applyNumberFormat="1" applyFill="1"/>
    <xf numFmtId="10" fontId="21" fillId="27" borderId="0" xfId="166" applyNumberFormat="1" applyFill="1"/>
    <xf numFmtId="168" fontId="21" fillId="27" borderId="0" xfId="83" applyFill="1"/>
    <xf numFmtId="168" fontId="0" fillId="27" borderId="0" xfId="0" applyNumberFormat="1" applyFill="1"/>
    <xf numFmtId="166" fontId="0" fillId="27" borderId="0" xfId="0" applyNumberFormat="1" applyFill="1"/>
    <xf numFmtId="170" fontId="21" fillId="27" borderId="0" xfId="166" applyNumberFormat="1" applyFill="1"/>
    <xf numFmtId="171" fontId="0" fillId="27" borderId="0" xfId="0" applyNumberFormat="1" applyFill="1"/>
    <xf numFmtId="10" fontId="21" fillId="27" borderId="0" xfId="166" applyNumberFormat="1" applyFill="1" applyBorder="1"/>
    <xf numFmtId="168" fontId="21" fillId="27" borderId="0" xfId="166" applyNumberFormat="1" applyFill="1"/>
    <xf numFmtId="0" fontId="23" fillId="23" borderId="17" xfId="0" applyFont="1" applyFill="1" applyBorder="1"/>
    <xf numFmtId="169" fontId="23" fillId="23" borderId="17" xfId="0" applyNumberFormat="1" applyFont="1" applyFill="1" applyBorder="1"/>
    <xf numFmtId="10" fontId="23" fillId="23" borderId="17" xfId="166" applyNumberFormat="1" applyFont="1" applyFill="1" applyBorder="1"/>
    <xf numFmtId="14" fontId="23" fillId="23" borderId="17" xfId="0" applyNumberFormat="1" applyFont="1" applyFill="1" applyBorder="1" applyAlignment="1">
      <alignment horizontal="center"/>
    </xf>
    <xf numFmtId="0" fontId="23" fillId="23" borderId="17" xfId="0" applyFont="1" applyFill="1" applyBorder="1" applyAlignment="1">
      <alignment horizontal="center"/>
    </xf>
    <xf numFmtId="169" fontId="23" fillId="23" borderId="17" xfId="83" applyNumberFormat="1" applyFont="1" applyFill="1" applyBorder="1" applyAlignment="1">
      <alignment horizontal="center"/>
    </xf>
    <xf numFmtId="171" fontId="0" fillId="0" borderId="0" xfId="166" applyNumberFormat="1" applyFont="1"/>
    <xf numFmtId="188" fontId="0" fillId="0" borderId="0" xfId="166" applyNumberFormat="1" applyFont="1"/>
    <xf numFmtId="175" fontId="21" fillId="0" borderId="0" xfId="166" applyNumberFormat="1" applyBorder="1"/>
    <xf numFmtId="182" fontId="21" fillId="0" borderId="0" xfId="83" applyNumberFormat="1" applyBorder="1"/>
    <xf numFmtId="0" fontId="21" fillId="0" borderId="0" xfId="83" applyNumberFormat="1"/>
    <xf numFmtId="188" fontId="0" fillId="0" borderId="0" xfId="0" applyNumberFormat="1"/>
    <xf numFmtId="190" fontId="21" fillId="0" borderId="0" xfId="83" applyNumberFormat="1" applyBorder="1"/>
    <xf numFmtId="0" fontId="23" fillId="27" borderId="17" xfId="0" applyFont="1" applyFill="1" applyBorder="1"/>
    <xf numFmtId="10" fontId="0" fillId="0" borderId="0" xfId="166" applyNumberFormat="1" applyFont="1"/>
    <xf numFmtId="4" fontId="23" fillId="0" borderId="0" xfId="0" applyNumberFormat="1" applyFont="1"/>
    <xf numFmtId="0" fontId="22" fillId="19" borderId="19" xfId="0" applyFont="1" applyFill="1" applyBorder="1" applyAlignment="1">
      <alignment horizontal="center" vertical="center"/>
    </xf>
    <xf numFmtId="10" fontId="0" fillId="26" borderId="0" xfId="0" applyNumberFormat="1" applyFill="1"/>
    <xf numFmtId="167" fontId="0" fillId="0" borderId="0" xfId="0" applyNumberFormat="1"/>
    <xf numFmtId="0" fontId="29" fillId="26" borderId="0" xfId="0" applyFont="1" applyFill="1"/>
    <xf numFmtId="14" fontId="23" fillId="23" borderId="17" xfId="0" applyNumberFormat="1" applyFont="1" applyFill="1" applyBorder="1" applyAlignment="1">
      <alignment horizontal="right"/>
    </xf>
    <xf numFmtId="1" fontId="23" fillId="0" borderId="17" xfId="0" applyNumberFormat="1" applyFont="1" applyBorder="1" applyAlignment="1">
      <alignment horizontal="center"/>
    </xf>
    <xf numFmtId="0" fontId="23" fillId="28" borderId="17" xfId="0" applyFont="1" applyFill="1" applyBorder="1"/>
    <xf numFmtId="10" fontId="23" fillId="28" borderId="17" xfId="166" applyNumberFormat="1" applyFont="1" applyFill="1" applyBorder="1"/>
    <xf numFmtId="14" fontId="23" fillId="28" borderId="17" xfId="0" applyNumberFormat="1" applyFont="1" applyFill="1" applyBorder="1"/>
    <xf numFmtId="0" fontId="23" fillId="28" borderId="17" xfId="0" applyFont="1" applyFill="1" applyBorder="1" applyAlignment="1">
      <alignment horizontal="center"/>
    </xf>
    <xf numFmtId="0" fontId="23" fillId="28" borderId="0" xfId="0" applyFont="1" applyFill="1"/>
    <xf numFmtId="4" fontId="0" fillId="19" borderId="25" xfId="0" applyNumberFormat="1" applyFill="1" applyBorder="1" applyAlignment="1">
      <alignment horizontal="right" vertical="center"/>
    </xf>
    <xf numFmtId="4" fontId="0" fillId="19" borderId="13" xfId="0" applyNumberFormat="1" applyFill="1" applyBorder="1" applyAlignment="1">
      <alignment horizontal="right" vertical="center"/>
    </xf>
    <xf numFmtId="4" fontId="0" fillId="19" borderId="15" xfId="0" applyNumberFormat="1" applyFill="1" applyBorder="1" applyAlignment="1">
      <alignment horizontal="right" vertical="center"/>
    </xf>
    <xf numFmtId="0" fontId="23" fillId="29" borderId="17" xfId="0" applyFont="1" applyFill="1" applyBorder="1"/>
    <xf numFmtId="10" fontId="23" fillId="29" borderId="17" xfId="166" applyNumberFormat="1" applyFont="1" applyFill="1" applyBorder="1"/>
    <xf numFmtId="14" fontId="23" fillId="29" borderId="17" xfId="0" applyNumberFormat="1" applyFont="1" applyFill="1" applyBorder="1"/>
    <xf numFmtId="0" fontId="23" fillId="29" borderId="17" xfId="0" applyFont="1" applyFill="1" applyBorder="1" applyAlignment="1">
      <alignment horizontal="center"/>
    </xf>
    <xf numFmtId="0" fontId="23" fillId="29" borderId="0" xfId="0" applyFont="1" applyFill="1"/>
    <xf numFmtId="0" fontId="21" fillId="19" borderId="19" xfId="0" applyFont="1" applyFill="1" applyBorder="1" applyAlignment="1">
      <alignment horizontal="center"/>
    </xf>
    <xf numFmtId="0" fontId="21" fillId="19" borderId="22" xfId="0" applyFont="1" applyFill="1" applyBorder="1" applyAlignment="1">
      <alignment horizontal="center"/>
    </xf>
    <xf numFmtId="169" fontId="23" fillId="29" borderId="17" xfId="0" applyNumberFormat="1" applyFont="1" applyFill="1" applyBorder="1"/>
    <xf numFmtId="169" fontId="23" fillId="29" borderId="17" xfId="83" applyNumberFormat="1" applyFont="1" applyFill="1" applyBorder="1" applyAlignment="1">
      <alignment horizontal="center"/>
    </xf>
    <xf numFmtId="0" fontId="28" fillId="0" borderId="17" xfId="0" applyFont="1" applyBorder="1" applyAlignment="1">
      <alignment horizontal="center" vertical="center" wrapText="1"/>
    </xf>
    <xf numFmtId="0" fontId="30" fillId="0" borderId="17" xfId="0" applyFont="1" applyBorder="1"/>
    <xf numFmtId="16" fontId="39" fillId="26" borderId="0" xfId="0" applyNumberFormat="1" applyFont="1" applyFill="1" applyAlignment="1">
      <alignment horizontal="center"/>
    </xf>
    <xf numFmtId="4" fontId="23" fillId="0" borderId="17" xfId="0" applyNumberFormat="1" applyFont="1" applyBorder="1"/>
    <xf numFmtId="4" fontId="0" fillId="0" borderId="0" xfId="0" applyNumberFormat="1"/>
    <xf numFmtId="192" fontId="21" fillId="0" borderId="0" xfId="166" applyNumberFormat="1"/>
    <xf numFmtId="15" fontId="0" fillId="30" borderId="19" xfId="0" applyNumberFormat="1" applyFill="1" applyBorder="1" applyAlignment="1">
      <alignment horizontal="center"/>
    </xf>
    <xf numFmtId="0" fontId="0" fillId="30" borderId="13" xfId="0" applyFill="1" applyBorder="1" applyAlignment="1">
      <alignment horizontal="center"/>
    </xf>
    <xf numFmtId="4" fontId="0" fillId="30" borderId="13" xfId="0" applyNumberFormat="1" applyFill="1" applyBorder="1" applyAlignment="1">
      <alignment horizontal="right" vertical="center"/>
    </xf>
    <xf numFmtId="4" fontId="21" fillId="30" borderId="0" xfId="0" applyNumberFormat="1" applyFont="1" applyFill="1" applyAlignment="1">
      <alignment horizontal="right" vertical="center"/>
    </xf>
    <xf numFmtId="175" fontId="21" fillId="30" borderId="0" xfId="166" applyNumberFormat="1" applyFont="1" applyFill="1" applyBorder="1" applyAlignment="1">
      <alignment horizontal="right" vertical="center"/>
    </xf>
    <xf numFmtId="14" fontId="23" fillId="27" borderId="17" xfId="0" applyNumberFormat="1" applyFont="1" applyFill="1" applyBorder="1"/>
    <xf numFmtId="0" fontId="23" fillId="27" borderId="0" xfId="0" applyFont="1" applyFill="1"/>
    <xf numFmtId="0" fontId="23" fillId="27" borderId="17" xfId="0" applyFont="1" applyFill="1" applyBorder="1" applyAlignment="1">
      <alignment horizontal="center"/>
    </xf>
    <xf numFmtId="0" fontId="29" fillId="31" borderId="0" xfId="0" applyFont="1" applyFill="1"/>
    <xf numFmtId="168" fontId="21" fillId="0" borderId="0" xfId="83" applyFont="1"/>
    <xf numFmtId="167" fontId="37" fillId="26" borderId="0" xfId="0" applyNumberFormat="1" applyFont="1" applyFill="1" applyAlignment="1">
      <alignment horizontal="left"/>
    </xf>
    <xf numFmtId="4" fontId="23" fillId="27" borderId="17" xfId="0" applyNumberFormat="1" applyFont="1" applyFill="1" applyBorder="1"/>
    <xf numFmtId="0" fontId="21" fillId="25" borderId="22" xfId="0" applyFont="1" applyFill="1" applyBorder="1" applyAlignment="1">
      <alignment horizontal="center"/>
    </xf>
    <xf numFmtId="4" fontId="0" fillId="25" borderId="15" xfId="0" applyNumberFormat="1" applyFill="1" applyBorder="1" applyAlignment="1">
      <alignment horizontal="right" vertical="center"/>
    </xf>
    <xf numFmtId="167" fontId="0" fillId="25" borderId="13" xfId="0" applyNumberFormat="1" applyFill="1" applyBorder="1" applyAlignment="1">
      <alignment horizontal="right" vertical="center"/>
    </xf>
    <xf numFmtId="170" fontId="24" fillId="0" borderId="16" xfId="166" applyNumberFormat="1" applyFont="1" applyFill="1" applyBorder="1"/>
    <xf numFmtId="14" fontId="23" fillId="0" borderId="17" xfId="0" applyNumberFormat="1" applyFont="1" applyBorder="1" applyAlignment="1">
      <alignment horizontal="right"/>
    </xf>
    <xf numFmtId="168" fontId="0" fillId="0" borderId="20" xfId="83" applyFont="1" applyBorder="1"/>
    <xf numFmtId="171" fontId="0" fillId="0" borderId="19" xfId="0" applyNumberFormat="1" applyBorder="1"/>
    <xf numFmtId="168" fontId="0" fillId="0" borderId="0" xfId="83" applyFont="1" applyBorder="1"/>
    <xf numFmtId="0" fontId="0" fillId="0" borderId="18" xfId="0" applyBorder="1" applyAlignment="1">
      <alignment horizontal="left"/>
    </xf>
    <xf numFmtId="4" fontId="0" fillId="25" borderId="18" xfId="0" applyNumberFormat="1" applyFill="1" applyBorder="1" applyAlignment="1">
      <alignment horizontal="right" vertical="center"/>
    </xf>
    <xf numFmtId="4" fontId="0" fillId="25" borderId="19" xfId="0" applyNumberFormat="1" applyFill="1" applyBorder="1" applyAlignment="1">
      <alignment horizontal="right" vertical="center"/>
    </xf>
    <xf numFmtId="196" fontId="0" fillId="27" borderId="13" xfId="0" applyNumberFormat="1" applyFill="1" applyBorder="1" applyAlignment="1">
      <alignment horizontal="right" vertical="center"/>
    </xf>
    <xf numFmtId="14" fontId="0" fillId="26" borderId="0" xfId="0" applyNumberFormat="1" applyFill="1"/>
    <xf numFmtId="170" fontId="0" fillId="26" borderId="0" xfId="166" applyNumberFormat="1" applyFont="1" applyFill="1"/>
    <xf numFmtId="170" fontId="33" fillId="22" borderId="0" xfId="166" applyNumberFormat="1" applyFont="1" applyFill="1" applyAlignment="1">
      <alignment horizontal="center"/>
    </xf>
    <xf numFmtId="14" fontId="0" fillId="27" borderId="0" xfId="0" applyNumberFormat="1" applyFill="1" applyAlignment="1">
      <alignment horizontal="center"/>
    </xf>
    <xf numFmtId="15" fontId="0" fillId="21" borderId="19" xfId="0" applyNumberFormat="1" applyFill="1" applyBorder="1" applyAlignment="1">
      <alignment horizontal="center"/>
    </xf>
    <xf numFmtId="0" fontId="0" fillId="21" borderId="13" xfId="0" applyFill="1" applyBorder="1" applyAlignment="1">
      <alignment horizontal="center"/>
    </xf>
    <xf numFmtId="4" fontId="0" fillId="21" borderId="13" xfId="0" applyNumberFormat="1" applyFill="1" applyBorder="1" applyAlignment="1">
      <alignment horizontal="right" vertical="center"/>
    </xf>
    <xf numFmtId="4" fontId="21" fillId="21" borderId="0" xfId="0" applyNumberFormat="1" applyFont="1" applyFill="1" applyAlignment="1">
      <alignment horizontal="right" vertical="center"/>
    </xf>
    <xf numFmtId="0" fontId="0" fillId="21" borderId="0" xfId="0" applyFill="1"/>
    <xf numFmtId="173" fontId="33" fillId="22" borderId="0" xfId="166" applyNumberFormat="1" applyFont="1" applyFill="1" applyAlignment="1">
      <alignment horizontal="center"/>
    </xf>
    <xf numFmtId="14" fontId="0" fillId="21" borderId="0" xfId="0" applyNumberFormat="1" applyFill="1" applyAlignment="1">
      <alignment horizontal="center"/>
    </xf>
    <xf numFmtId="4" fontId="0" fillId="21" borderId="19" xfId="0" applyNumberFormat="1" applyFill="1" applyBorder="1" applyAlignment="1">
      <alignment horizontal="right" vertical="center"/>
    </xf>
    <xf numFmtId="4" fontId="21" fillId="0" borderId="0" xfId="166" applyNumberFormat="1"/>
    <xf numFmtId="182" fontId="21" fillId="0" borderId="0" xfId="83" applyNumberFormat="1"/>
    <xf numFmtId="173" fontId="21" fillId="0" borderId="0" xfId="166" applyNumberFormat="1" applyBorder="1"/>
    <xf numFmtId="198" fontId="0" fillId="0" borderId="0" xfId="0" applyNumberFormat="1"/>
    <xf numFmtId="175" fontId="0" fillId="0" borderId="0" xfId="166" applyNumberFormat="1" applyFont="1"/>
    <xf numFmtId="196" fontId="0" fillId="0" borderId="0" xfId="0" applyNumberFormat="1"/>
    <xf numFmtId="169" fontId="21" fillId="0" borderId="0" xfId="166" applyNumberFormat="1" applyFont="1"/>
    <xf numFmtId="169" fontId="21" fillId="0" borderId="0" xfId="83" applyNumberFormat="1" applyFont="1"/>
    <xf numFmtId="169" fontId="23" fillId="28" borderId="17" xfId="0" applyNumberFormat="1" applyFont="1" applyFill="1" applyBorder="1"/>
    <xf numFmtId="1" fontId="23" fillId="28" borderId="17" xfId="0" applyNumberFormat="1" applyFont="1" applyFill="1" applyBorder="1" applyAlignment="1">
      <alignment horizontal="center"/>
    </xf>
    <xf numFmtId="169" fontId="23" fillId="28" borderId="17" xfId="83" applyNumberFormat="1" applyFont="1" applyFill="1" applyBorder="1" applyAlignment="1">
      <alignment horizontal="center"/>
    </xf>
    <xf numFmtId="192" fontId="21" fillId="0" borderId="0" xfId="83" applyNumberFormat="1"/>
    <xf numFmtId="194" fontId="0" fillId="0" borderId="0" xfId="0" applyNumberFormat="1"/>
    <xf numFmtId="10" fontId="59" fillId="0" borderId="0" xfId="166" applyNumberFormat="1" applyFont="1"/>
    <xf numFmtId="0" fontId="0" fillId="0" borderId="0" xfId="0" applyAlignment="1">
      <alignment vertical="center" wrapText="1"/>
    </xf>
    <xf numFmtId="0" fontId="23" fillId="63" borderId="17" xfId="0" applyFont="1" applyFill="1" applyBorder="1"/>
    <xf numFmtId="0" fontId="23" fillId="63" borderId="17" xfId="0" applyFont="1" applyFill="1" applyBorder="1" applyAlignment="1">
      <alignment horizontal="center"/>
    </xf>
    <xf numFmtId="0" fontId="23" fillId="63" borderId="0" xfId="0" applyFont="1" applyFill="1"/>
    <xf numFmtId="0" fontId="0" fillId="63" borderId="0" xfId="0" applyFill="1"/>
    <xf numFmtId="4" fontId="23" fillId="63" borderId="17" xfId="0" applyNumberFormat="1" applyFont="1" applyFill="1" applyBorder="1"/>
    <xf numFmtId="14" fontId="0" fillId="63" borderId="0" xfId="0" applyNumberFormat="1" applyFill="1"/>
    <xf numFmtId="0" fontId="23" fillId="64" borderId="17" xfId="0" applyFont="1" applyFill="1" applyBorder="1"/>
    <xf numFmtId="14" fontId="23" fillId="64" borderId="17" xfId="0" applyNumberFormat="1" applyFont="1" applyFill="1" applyBorder="1"/>
    <xf numFmtId="0" fontId="23" fillId="64" borderId="17" xfId="0" applyFont="1" applyFill="1" applyBorder="1" applyAlignment="1">
      <alignment horizontal="center"/>
    </xf>
    <xf numFmtId="0" fontId="23" fillId="64" borderId="0" xfId="0" applyFont="1" applyFill="1"/>
    <xf numFmtId="169" fontId="23" fillId="64" borderId="17" xfId="83" applyNumberFormat="1" applyFont="1" applyFill="1" applyBorder="1" applyAlignment="1">
      <alignment horizontal="center"/>
    </xf>
    <xf numFmtId="4" fontId="21" fillId="0" borderId="0" xfId="83" applyNumberFormat="1" applyAlignment="1">
      <alignment horizontal="center"/>
    </xf>
    <xf numFmtId="0" fontId="0" fillId="65" borderId="0" xfId="0" applyFill="1"/>
    <xf numFmtId="0" fontId="24" fillId="65" borderId="0" xfId="0" applyFont="1" applyFill="1" applyAlignment="1">
      <alignment horizontal="center"/>
    </xf>
    <xf numFmtId="14" fontId="0" fillId="65" borderId="0" xfId="0" applyNumberFormat="1" applyFill="1"/>
    <xf numFmtId="10" fontId="21" fillId="65" borderId="0" xfId="166" applyNumberFormat="1" applyFont="1" applyFill="1"/>
    <xf numFmtId="10" fontId="0" fillId="65" borderId="0" xfId="0" applyNumberFormat="1" applyFill="1"/>
    <xf numFmtId="14" fontId="21" fillId="65" borderId="0" xfId="166" applyNumberFormat="1" applyFill="1"/>
    <xf numFmtId="10" fontId="21" fillId="65" borderId="0" xfId="166" applyNumberFormat="1" applyFill="1"/>
    <xf numFmtId="168" fontId="21" fillId="65" borderId="0" xfId="83" applyFill="1"/>
    <xf numFmtId="168" fontId="0" fillId="65" borderId="0" xfId="0" applyNumberFormat="1" applyFill="1"/>
    <xf numFmtId="166" fontId="0" fillId="65" borderId="0" xfId="0" applyNumberFormat="1" applyFill="1"/>
    <xf numFmtId="170" fontId="21" fillId="65" borderId="0" xfId="166" applyNumberFormat="1" applyFill="1"/>
    <xf numFmtId="171" fontId="0" fillId="65" borderId="0" xfId="0" applyNumberFormat="1" applyFill="1"/>
    <xf numFmtId="10" fontId="21" fillId="65" borderId="0" xfId="166" applyNumberFormat="1" applyFill="1" applyBorder="1"/>
    <xf numFmtId="168" fontId="21" fillId="65" borderId="0" xfId="166" applyNumberFormat="1" applyFill="1"/>
    <xf numFmtId="4" fontId="59" fillId="0" borderId="0" xfId="166" applyNumberFormat="1" applyFont="1" applyBorder="1"/>
    <xf numFmtId="4" fontId="21" fillId="0" borderId="0" xfId="166" applyNumberFormat="1" applyBorder="1"/>
    <xf numFmtId="0" fontId="0" fillId="66" borderId="0" xfId="0" applyFill="1"/>
    <xf numFmtId="0" fontId="24" fillId="66" borderId="0" xfId="0" applyFont="1" applyFill="1" applyAlignment="1">
      <alignment horizontal="center"/>
    </xf>
    <xf numFmtId="14" fontId="0" fillId="66" borderId="0" xfId="0" applyNumberFormat="1" applyFill="1"/>
    <xf numFmtId="10" fontId="21" fillId="66" borderId="0" xfId="166" applyNumberFormat="1" applyFont="1" applyFill="1"/>
    <xf numFmtId="10" fontId="0" fillId="66" borderId="0" xfId="0" applyNumberFormat="1" applyFill="1"/>
    <xf numFmtId="14" fontId="21" fillId="66" borderId="0" xfId="166" applyNumberFormat="1" applyFill="1"/>
    <xf numFmtId="10" fontId="21" fillId="66" borderId="0" xfId="166" applyNumberFormat="1" applyFill="1"/>
    <xf numFmtId="168" fontId="21" fillId="66" borderId="0" xfId="83" applyFill="1"/>
    <xf numFmtId="168" fontId="0" fillId="66" borderId="0" xfId="0" applyNumberFormat="1" applyFill="1"/>
    <xf numFmtId="166" fontId="0" fillId="66" borderId="0" xfId="0" applyNumberFormat="1" applyFill="1"/>
    <xf numFmtId="170" fontId="21" fillId="66" borderId="0" xfId="166" applyNumberFormat="1" applyFill="1"/>
    <xf numFmtId="171" fontId="0" fillId="66" borderId="0" xfId="0" applyNumberFormat="1" applyFill="1"/>
    <xf numFmtId="10" fontId="21" fillId="66" borderId="0" xfId="166" applyNumberFormat="1" applyFill="1" applyBorder="1"/>
    <xf numFmtId="168" fontId="21" fillId="66" borderId="0" xfId="166" applyNumberFormat="1" applyFill="1"/>
    <xf numFmtId="173" fontId="21" fillId="66" borderId="0" xfId="166" applyNumberFormat="1" applyFill="1" applyBorder="1"/>
    <xf numFmtId="176" fontId="0" fillId="65" borderId="0" xfId="0" applyNumberFormat="1" applyFill="1"/>
    <xf numFmtId="170" fontId="21" fillId="65" borderId="0" xfId="166" applyNumberFormat="1" applyFill="1" applyBorder="1"/>
    <xf numFmtId="0" fontId="59" fillId="0" borderId="0" xfId="0" applyFont="1" applyAlignment="1">
      <alignment vertical="center" wrapText="1"/>
    </xf>
    <xf numFmtId="196" fontId="59" fillId="0" borderId="0" xfId="166" applyNumberFormat="1" applyFont="1" applyBorder="1"/>
    <xf numFmtId="187" fontId="21" fillId="0" borderId="0" xfId="166" applyNumberFormat="1" applyBorder="1"/>
    <xf numFmtId="201" fontId="0" fillId="0" borderId="0" xfId="0" applyNumberFormat="1"/>
    <xf numFmtId="194" fontId="21" fillId="0" borderId="14" xfId="83" applyNumberFormat="1" applyBorder="1"/>
    <xf numFmtId="0" fontId="31" fillId="0" borderId="45" xfId="0" applyFont="1" applyBorder="1"/>
    <xf numFmtId="0" fontId="0" fillId="0" borderId="46" xfId="0" applyBorder="1"/>
    <xf numFmtId="0" fontId="24" fillId="0" borderId="46" xfId="0" applyFont="1" applyBorder="1" applyAlignment="1">
      <alignment horizontal="center"/>
    </xf>
    <xf numFmtId="14" fontId="0" fillId="0" borderId="46" xfId="0" applyNumberFormat="1" applyBorder="1"/>
    <xf numFmtId="0" fontId="0" fillId="0" borderId="47" xfId="0" applyBorder="1"/>
    <xf numFmtId="0" fontId="0" fillId="0" borderId="48" xfId="0" applyBorder="1"/>
    <xf numFmtId="0" fontId="0" fillId="0" borderId="49" xfId="0" applyBorder="1"/>
    <xf numFmtId="14" fontId="0" fillId="0" borderId="49" xfId="0" applyNumberFormat="1" applyBorder="1"/>
    <xf numFmtId="168" fontId="21" fillId="0" borderId="49" xfId="83" applyBorder="1"/>
    <xf numFmtId="168" fontId="0" fillId="0" borderId="49" xfId="0" applyNumberFormat="1" applyBorder="1"/>
    <xf numFmtId="166" fontId="0" fillId="0" borderId="49" xfId="0" applyNumberFormat="1" applyBorder="1"/>
    <xf numFmtId="194" fontId="21" fillId="0" borderId="49" xfId="83" applyNumberFormat="1" applyBorder="1"/>
    <xf numFmtId="171" fontId="0" fillId="0" borderId="49" xfId="0" applyNumberFormat="1" applyBorder="1"/>
    <xf numFmtId="175" fontId="0" fillId="0" borderId="49" xfId="0" applyNumberFormat="1" applyBorder="1"/>
    <xf numFmtId="10" fontId="0" fillId="0" borderId="49" xfId="0" applyNumberFormat="1" applyBorder="1"/>
    <xf numFmtId="0" fontId="0" fillId="0" borderId="50" xfId="0" applyBorder="1"/>
    <xf numFmtId="0" fontId="0" fillId="0" borderId="51" xfId="0" applyBorder="1"/>
    <xf numFmtId="168" fontId="21" fillId="0" borderId="51" xfId="83" applyBorder="1"/>
    <xf numFmtId="0" fontId="0" fillId="0" borderId="52" xfId="0" applyBorder="1"/>
    <xf numFmtId="0" fontId="0" fillId="25" borderId="13" xfId="0" applyFill="1" applyBorder="1" applyAlignment="1">
      <alignment horizontal="right" vertical="center"/>
    </xf>
    <xf numFmtId="4" fontId="0" fillId="26" borderId="0" xfId="0" applyNumberFormat="1" applyFill="1" applyAlignment="1">
      <alignment horizontal="center"/>
    </xf>
    <xf numFmtId="10" fontId="59" fillId="0" borderId="0" xfId="178" applyNumberFormat="1" applyFont="1"/>
    <xf numFmtId="14" fontId="59" fillId="0" borderId="0" xfId="178" applyNumberFormat="1"/>
    <xf numFmtId="10" fontId="59" fillId="0" borderId="0" xfId="178" applyNumberFormat="1"/>
    <xf numFmtId="170" fontId="59" fillId="0" borderId="0" xfId="178" applyNumberFormat="1"/>
    <xf numFmtId="10" fontId="59" fillId="0" borderId="0" xfId="178" applyNumberFormat="1" applyBorder="1"/>
    <xf numFmtId="4" fontId="59" fillId="0" borderId="0" xfId="178" applyNumberFormat="1"/>
    <xf numFmtId="167" fontId="21" fillId="0" borderId="23" xfId="83" applyNumberFormat="1" applyBorder="1"/>
    <xf numFmtId="14" fontId="21" fillId="67" borderId="0" xfId="166" applyNumberFormat="1" applyFill="1" applyBorder="1"/>
    <xf numFmtId="14" fontId="0" fillId="67" borderId="0" xfId="0" applyNumberFormat="1" applyFill="1"/>
    <xf numFmtId="14" fontId="21" fillId="68" borderId="0" xfId="166" applyNumberFormat="1" applyFill="1" applyBorder="1"/>
    <xf numFmtId="14" fontId="0" fillId="68" borderId="0" xfId="0" applyNumberFormat="1" applyFill="1"/>
    <xf numFmtId="14" fontId="0" fillId="69" borderId="0" xfId="0" applyNumberFormat="1" applyFill="1"/>
    <xf numFmtId="14" fontId="21" fillId="69" borderId="0" xfId="166" applyNumberFormat="1" applyFill="1" applyBorder="1"/>
    <xf numFmtId="14" fontId="21" fillId="0" borderId="0" xfId="166" applyNumberFormat="1" applyFill="1" applyBorder="1"/>
    <xf numFmtId="14" fontId="0" fillId="67" borderId="14" xfId="0" applyNumberFormat="1" applyFill="1" applyBorder="1"/>
    <xf numFmtId="166" fontId="0" fillId="67" borderId="0" xfId="0" applyNumberFormat="1" applyFill="1"/>
    <xf numFmtId="166" fontId="0" fillId="70" borderId="0" xfId="0" applyNumberFormat="1" applyFill="1"/>
    <xf numFmtId="166" fontId="0" fillId="68" borderId="0" xfId="0" applyNumberFormat="1" applyFill="1"/>
    <xf numFmtId="166" fontId="0" fillId="71" borderId="0" xfId="0" applyNumberFormat="1" applyFill="1"/>
    <xf numFmtId="166" fontId="0" fillId="67" borderId="14" xfId="0" applyNumberFormat="1" applyFill="1" applyBorder="1"/>
    <xf numFmtId="0" fontId="59" fillId="0" borderId="0" xfId="0" applyFont="1"/>
    <xf numFmtId="202" fontId="0" fillId="0" borderId="0" xfId="0" applyNumberFormat="1"/>
    <xf numFmtId="189" fontId="0" fillId="26" borderId="0" xfId="0" applyNumberFormat="1" applyFill="1"/>
    <xf numFmtId="14" fontId="59" fillId="0" borderId="0" xfId="0" applyNumberFormat="1" applyFont="1"/>
    <xf numFmtId="173" fontId="0" fillId="27" borderId="0" xfId="0" applyNumberFormat="1" applyFill="1"/>
    <xf numFmtId="173" fontId="0" fillId="66" borderId="0" xfId="0" applyNumberFormat="1" applyFill="1"/>
    <xf numFmtId="182" fontId="21" fillId="66" borderId="0" xfId="83" applyNumberFormat="1" applyFill="1"/>
    <xf numFmtId="10" fontId="59" fillId="0" borderId="0" xfId="166" applyNumberFormat="1" applyFont="1" applyBorder="1"/>
    <xf numFmtId="171" fontId="59" fillId="0" borderId="0" xfId="0" applyNumberFormat="1" applyFont="1"/>
    <xf numFmtId="4" fontId="21" fillId="0" borderId="0" xfId="83" applyNumberFormat="1"/>
    <xf numFmtId="10" fontId="59" fillId="0" borderId="0" xfId="0" applyNumberFormat="1" applyFont="1"/>
    <xf numFmtId="168" fontId="59" fillId="0" borderId="0" xfId="83" applyFont="1"/>
    <xf numFmtId="0" fontId="22" fillId="66" borderId="0" xfId="0" applyFont="1" applyFill="1"/>
    <xf numFmtId="0" fontId="109" fillId="72" borderId="0" xfId="0" applyFont="1" applyFill="1"/>
    <xf numFmtId="0" fontId="59" fillId="66" borderId="0" xfId="0" applyFont="1" applyFill="1"/>
    <xf numFmtId="175" fontId="21" fillId="66" borderId="0" xfId="166" applyNumberFormat="1" applyFill="1" applyBorder="1"/>
    <xf numFmtId="175" fontId="0" fillId="66" borderId="0" xfId="0" applyNumberFormat="1" applyFill="1"/>
    <xf numFmtId="168" fontId="62" fillId="66" borderId="0" xfId="83" applyFont="1" applyFill="1"/>
    <xf numFmtId="10" fontId="62" fillId="66" borderId="0" xfId="166" applyNumberFormat="1" applyFont="1" applyFill="1"/>
    <xf numFmtId="4" fontId="61" fillId="0" borderId="0" xfId="0" applyNumberFormat="1" applyFont="1"/>
    <xf numFmtId="4" fontId="61" fillId="73" borderId="0" xfId="0" applyNumberFormat="1" applyFont="1" applyFill="1"/>
    <xf numFmtId="168" fontId="22" fillId="66" borderId="0" xfId="166" applyNumberFormat="1" applyFont="1" applyFill="1"/>
    <xf numFmtId="168" fontId="22" fillId="66" borderId="0" xfId="83" applyFont="1" applyFill="1"/>
    <xf numFmtId="196" fontId="21" fillId="25" borderId="0" xfId="0" applyNumberFormat="1" applyFont="1" applyFill="1" applyAlignment="1">
      <alignment horizontal="right" vertical="center"/>
    </xf>
    <xf numFmtId="200" fontId="0" fillId="0" borderId="0" xfId="0" applyNumberFormat="1"/>
    <xf numFmtId="0" fontId="37" fillId="0" borderId="0" xfId="0" applyFont="1" applyAlignment="1">
      <alignment horizontal="center"/>
    </xf>
    <xf numFmtId="167" fontId="37" fillId="0" borderId="0" xfId="0" applyNumberFormat="1" applyFont="1" applyAlignment="1">
      <alignment horizontal="center"/>
    </xf>
    <xf numFmtId="168" fontId="37" fillId="0" borderId="0" xfId="0" applyNumberFormat="1" applyFont="1" applyAlignment="1">
      <alignment horizontal="center"/>
    </xf>
    <xf numFmtId="0" fontId="22" fillId="0" borderId="0" xfId="0" applyFont="1"/>
    <xf numFmtId="191" fontId="0" fillId="0" borderId="0" xfId="0" applyNumberFormat="1"/>
    <xf numFmtId="195" fontId="0" fillId="0" borderId="0" xfId="0" applyNumberFormat="1"/>
    <xf numFmtId="3" fontId="0" fillId="66" borderId="0" xfId="0" applyNumberFormat="1" applyFill="1" applyAlignment="1">
      <alignment horizontal="center"/>
    </xf>
    <xf numFmtId="192" fontId="21" fillId="66" borderId="0" xfId="83" applyNumberFormat="1" applyFill="1"/>
    <xf numFmtId="200" fontId="0" fillId="66" borderId="0" xfId="0" applyNumberFormat="1" applyFill="1"/>
    <xf numFmtId="182" fontId="0" fillId="0" borderId="0" xfId="0" applyNumberFormat="1"/>
    <xf numFmtId="0" fontId="110" fillId="72" borderId="0" xfId="0" applyFont="1" applyFill="1"/>
    <xf numFmtId="14" fontId="110" fillId="72" borderId="0" xfId="0" applyNumberFormat="1" applyFont="1" applyFill="1"/>
    <xf numFmtId="0" fontId="63" fillId="0" borderId="0" xfId="0" applyFont="1"/>
    <xf numFmtId="4" fontId="63" fillId="0" borderId="0" xfId="0" applyNumberFormat="1" applyFont="1"/>
    <xf numFmtId="0" fontId="63" fillId="66" borderId="0" xfId="0" applyFont="1" applyFill="1"/>
    <xf numFmtId="10" fontId="63" fillId="66" borderId="0" xfId="166" applyNumberFormat="1" applyFont="1" applyFill="1"/>
    <xf numFmtId="10" fontId="63" fillId="66" borderId="0" xfId="0" applyNumberFormat="1" applyFont="1" applyFill="1"/>
    <xf numFmtId="14" fontId="63" fillId="66" borderId="0" xfId="166" applyNumberFormat="1" applyFont="1" applyFill="1"/>
    <xf numFmtId="3" fontId="63" fillId="66" borderId="0" xfId="0" applyNumberFormat="1" applyFont="1" applyFill="1" applyAlignment="1">
      <alignment horizontal="center"/>
    </xf>
    <xf numFmtId="168" fontId="63" fillId="66" borderId="0" xfId="83" applyFont="1" applyFill="1"/>
    <xf numFmtId="168" fontId="63" fillId="66" borderId="0" xfId="0" applyNumberFormat="1" applyFont="1" applyFill="1"/>
    <xf numFmtId="166" fontId="63" fillId="66" borderId="0" xfId="0" applyNumberFormat="1" applyFont="1" applyFill="1"/>
    <xf numFmtId="170" fontId="63" fillId="66" borderId="0" xfId="166" applyNumberFormat="1" applyFont="1" applyFill="1"/>
    <xf numFmtId="200" fontId="63" fillId="66" borderId="0" xfId="0" applyNumberFormat="1" applyFont="1" applyFill="1"/>
    <xf numFmtId="173" fontId="63" fillId="66" borderId="0" xfId="0" applyNumberFormat="1" applyFont="1" applyFill="1"/>
    <xf numFmtId="171" fontId="63" fillId="66" borderId="0" xfId="0" applyNumberFormat="1" applyFont="1" applyFill="1"/>
    <xf numFmtId="175" fontId="63" fillId="66" borderId="0" xfId="166" applyNumberFormat="1" applyFont="1" applyFill="1" applyBorder="1"/>
    <xf numFmtId="175" fontId="63" fillId="66" borderId="0" xfId="0" applyNumberFormat="1" applyFont="1" applyFill="1"/>
    <xf numFmtId="168" fontId="63" fillId="66" borderId="0" xfId="83" applyFont="1" applyFill="1" applyAlignment="1">
      <alignment horizontal="right"/>
    </xf>
    <xf numFmtId="0" fontId="64" fillId="66" borderId="0" xfId="0" applyFont="1" applyFill="1"/>
    <xf numFmtId="168" fontId="64" fillId="66" borderId="0" xfId="166" applyNumberFormat="1" applyFont="1" applyFill="1"/>
    <xf numFmtId="168" fontId="64" fillId="66" borderId="0" xfId="83" applyFont="1" applyFill="1"/>
    <xf numFmtId="4" fontId="63" fillId="66" borderId="0" xfId="0" applyNumberFormat="1" applyFont="1" applyFill="1" applyAlignment="1">
      <alignment horizontal="center"/>
    </xf>
    <xf numFmtId="4" fontId="0" fillId="73" borderId="0" xfId="0" applyNumberFormat="1" applyFill="1"/>
    <xf numFmtId="0" fontId="22" fillId="65" borderId="0" xfId="0" applyFont="1" applyFill="1"/>
    <xf numFmtId="167" fontId="0" fillId="26" borderId="0" xfId="0" applyNumberFormat="1" applyFill="1"/>
    <xf numFmtId="10" fontId="37" fillId="0" borderId="0" xfId="0" applyNumberFormat="1" applyFont="1" applyAlignment="1">
      <alignment horizontal="center"/>
    </xf>
    <xf numFmtId="10" fontId="111" fillId="0" borderId="0" xfId="0" applyNumberFormat="1" applyFont="1" applyAlignment="1">
      <alignment horizontal="left"/>
    </xf>
    <xf numFmtId="10" fontId="63" fillId="0" borderId="0" xfId="166" applyNumberFormat="1" applyFont="1"/>
    <xf numFmtId="4" fontId="0" fillId="66" borderId="0" xfId="0" applyNumberFormat="1" applyFill="1"/>
    <xf numFmtId="10" fontId="59" fillId="66" borderId="0" xfId="178" applyNumberFormat="1" applyFont="1" applyFill="1"/>
    <xf numFmtId="14" fontId="59" fillId="66" borderId="0" xfId="178" applyNumberFormat="1" applyFill="1"/>
    <xf numFmtId="10" fontId="59" fillId="66" borderId="0" xfId="178" applyNumberFormat="1" applyFill="1"/>
    <xf numFmtId="170" fontId="59" fillId="66" borderId="0" xfId="178" applyNumberFormat="1" applyFill="1"/>
    <xf numFmtId="10" fontId="59" fillId="66" borderId="0" xfId="178" applyNumberFormat="1" applyFill="1" applyBorder="1"/>
    <xf numFmtId="193" fontId="66" fillId="66" borderId="0" xfId="83" applyNumberFormat="1" applyFont="1" applyFill="1"/>
    <xf numFmtId="0" fontId="109" fillId="72" borderId="0" xfId="0" applyFont="1" applyFill="1" applyAlignment="1">
      <alignment horizontal="left"/>
    </xf>
    <xf numFmtId="4" fontId="21" fillId="66" borderId="0" xfId="166" applyNumberFormat="1" applyFill="1"/>
    <xf numFmtId="190" fontId="21" fillId="66" borderId="0" xfId="83" applyNumberFormat="1" applyFill="1"/>
    <xf numFmtId="202" fontId="0" fillId="66" borderId="0" xfId="0" applyNumberFormat="1" applyFill="1"/>
    <xf numFmtId="170" fontId="21" fillId="66" borderId="0" xfId="166" applyNumberFormat="1" applyFill="1" applyBorder="1"/>
    <xf numFmtId="168" fontId="67" fillId="66" borderId="0" xfId="83" applyFont="1" applyFill="1"/>
    <xf numFmtId="4" fontId="109" fillId="72" borderId="0" xfId="0" applyNumberFormat="1" applyFont="1" applyFill="1" applyAlignment="1">
      <alignment horizontal="right"/>
    </xf>
    <xf numFmtId="0" fontId="109" fillId="0" borderId="0" xfId="0" applyFont="1" applyAlignment="1">
      <alignment horizontal="left"/>
    </xf>
    <xf numFmtId="14" fontId="21" fillId="0" borderId="0" xfId="166" applyNumberFormat="1" applyFill="1"/>
    <xf numFmtId="4" fontId="21" fillId="0" borderId="0" xfId="166" applyNumberFormat="1" applyFill="1"/>
    <xf numFmtId="10" fontId="21" fillId="0" borderId="0" xfId="166" applyNumberFormat="1" applyFill="1"/>
    <xf numFmtId="168" fontId="21" fillId="0" borderId="0" xfId="83" applyFill="1"/>
    <xf numFmtId="190" fontId="21" fillId="0" borderId="0" xfId="83" applyNumberFormat="1" applyFill="1"/>
    <xf numFmtId="170" fontId="21" fillId="0" borderId="0" xfId="166" applyNumberFormat="1" applyFill="1"/>
    <xf numFmtId="4" fontId="0" fillId="0" borderId="0" xfId="0" applyNumberFormat="1" applyAlignment="1">
      <alignment horizontal="center"/>
    </xf>
    <xf numFmtId="170" fontId="21" fillId="0" borderId="0" xfId="166" applyNumberFormat="1" applyFill="1" applyBorder="1"/>
    <xf numFmtId="10" fontId="21" fillId="0" borderId="0" xfId="166" applyNumberFormat="1" applyFill="1" applyBorder="1"/>
    <xf numFmtId="4" fontId="21" fillId="0" borderId="0" xfId="83" applyNumberFormat="1" applyFill="1"/>
    <xf numFmtId="182" fontId="21" fillId="0" borderId="0" xfId="83" applyNumberFormat="1" applyFill="1"/>
    <xf numFmtId="4" fontId="109" fillId="0" borderId="0" xfId="0" applyNumberFormat="1" applyFont="1" applyAlignment="1">
      <alignment horizontal="right"/>
    </xf>
    <xf numFmtId="168" fontId="67" fillId="0" borderId="0" xfId="83" applyFont="1" applyFill="1"/>
    <xf numFmtId="14" fontId="37" fillId="0" borderId="0" xfId="0" applyNumberFormat="1" applyFont="1" applyAlignment="1">
      <alignment horizontal="center"/>
    </xf>
    <xf numFmtId="200" fontId="59" fillId="0" borderId="0" xfId="0" applyNumberFormat="1" applyFont="1"/>
    <xf numFmtId="10" fontId="0" fillId="0" borderId="0" xfId="166" applyNumberFormat="1" applyFont="1" applyFill="1"/>
    <xf numFmtId="0" fontId="112" fillId="26" borderId="0" xfId="0" applyFont="1" applyFill="1"/>
    <xf numFmtId="0" fontId="0" fillId="75" borderId="0" xfId="0" applyFill="1"/>
    <xf numFmtId="168" fontId="68" fillId="66" borderId="0" xfId="83" applyFont="1" applyFill="1"/>
    <xf numFmtId="4" fontId="112" fillId="26" borderId="0" xfId="0" applyNumberFormat="1" applyFont="1" applyFill="1"/>
    <xf numFmtId="4" fontId="0" fillId="25" borderId="13" xfId="0" applyNumberFormat="1" applyFill="1" applyBorder="1" applyAlignment="1">
      <alignment horizontal="center" vertical="center"/>
    </xf>
    <xf numFmtId="14" fontId="0" fillId="25" borderId="19" xfId="0" applyNumberFormat="1" applyFill="1" applyBorder="1" applyAlignment="1">
      <alignment horizontal="center" vertical="center"/>
    </xf>
    <xf numFmtId="14" fontId="0" fillId="69" borderId="19" xfId="0" applyNumberFormat="1" applyFill="1" applyBorder="1" applyAlignment="1">
      <alignment horizontal="center" vertical="center"/>
    </xf>
    <xf numFmtId="0" fontId="0" fillId="69" borderId="13" xfId="0" applyFill="1" applyBorder="1" applyAlignment="1">
      <alignment horizontal="center"/>
    </xf>
    <xf numFmtId="4" fontId="0" fillId="69" borderId="19" xfId="0" applyNumberFormat="1" applyFill="1" applyBorder="1" applyAlignment="1">
      <alignment horizontal="right" vertical="center"/>
    </xf>
    <xf numFmtId="0" fontId="0" fillId="69" borderId="13" xfId="0" applyFill="1" applyBorder="1" applyAlignment="1">
      <alignment horizontal="right" vertical="center"/>
    </xf>
    <xf numFmtId="4" fontId="21" fillId="69" borderId="0" xfId="0" applyNumberFormat="1" applyFont="1" applyFill="1" applyAlignment="1">
      <alignment horizontal="right" vertical="center"/>
    </xf>
    <xf numFmtId="175" fontId="21" fillId="69" borderId="0" xfId="166" applyNumberFormat="1" applyFont="1" applyFill="1" applyBorder="1" applyAlignment="1">
      <alignment horizontal="right" vertical="center"/>
    </xf>
    <xf numFmtId="166" fontId="0" fillId="76" borderId="0" xfId="0" applyNumberFormat="1" applyFill="1"/>
    <xf numFmtId="185" fontId="21" fillId="0" borderId="0" xfId="166" applyNumberFormat="1" applyFill="1" applyBorder="1"/>
    <xf numFmtId="168" fontId="21" fillId="0" borderId="0" xfId="83" applyFill="1" applyBorder="1"/>
    <xf numFmtId="4" fontId="21" fillId="66" borderId="0" xfId="83" applyNumberFormat="1" applyFill="1"/>
    <xf numFmtId="0" fontId="59" fillId="77" borderId="0" xfId="0" applyFont="1" applyFill="1"/>
    <xf numFmtId="10" fontId="59" fillId="77" borderId="0" xfId="166" applyNumberFormat="1" applyFont="1" applyFill="1"/>
    <xf numFmtId="0" fontId="0" fillId="77" borderId="0" xfId="0" applyFill="1"/>
    <xf numFmtId="0" fontId="24" fillId="77" borderId="0" xfId="0" applyFont="1" applyFill="1" applyAlignment="1">
      <alignment horizontal="center"/>
    </xf>
    <xf numFmtId="14" fontId="0" fillId="77" borderId="0" xfId="0" applyNumberFormat="1" applyFill="1"/>
    <xf numFmtId="0" fontId="109" fillId="77" borderId="0" xfId="0" applyFont="1" applyFill="1" applyAlignment="1">
      <alignment horizontal="left"/>
    </xf>
    <xf numFmtId="10" fontId="21" fillId="77" borderId="0" xfId="166" applyNumberFormat="1" applyFont="1" applyFill="1"/>
    <xf numFmtId="10" fontId="0" fillId="77" borderId="0" xfId="0" applyNumberFormat="1" applyFill="1"/>
    <xf numFmtId="14" fontId="21" fillId="77" borderId="0" xfId="166" applyNumberFormat="1" applyFill="1"/>
    <xf numFmtId="4" fontId="21" fillId="77" borderId="0" xfId="166" applyNumberFormat="1" applyFill="1"/>
    <xf numFmtId="4" fontId="0" fillId="77" borderId="0" xfId="0" applyNumberFormat="1" applyFill="1"/>
    <xf numFmtId="10" fontId="21" fillId="77" borderId="0" xfId="166" applyNumberFormat="1" applyFill="1"/>
    <xf numFmtId="168" fontId="21" fillId="77" borderId="0" xfId="83" applyFill="1"/>
    <xf numFmtId="190" fontId="21" fillId="77" borderId="0" xfId="83" applyNumberFormat="1" applyFill="1"/>
    <xf numFmtId="168" fontId="0" fillId="77" borderId="0" xfId="0" applyNumberFormat="1" applyFill="1"/>
    <xf numFmtId="166" fontId="0" fillId="77" borderId="0" xfId="0" applyNumberFormat="1" applyFill="1"/>
    <xf numFmtId="170" fontId="21" fillId="77" borderId="0" xfId="166" applyNumberFormat="1" applyFill="1"/>
    <xf numFmtId="202" fontId="0" fillId="77" borderId="0" xfId="0" applyNumberFormat="1" applyFill="1"/>
    <xf numFmtId="171" fontId="0" fillId="77" borderId="0" xfId="0" applyNumberFormat="1" applyFill="1"/>
    <xf numFmtId="170" fontId="21" fillId="77" borderId="0" xfId="166" applyNumberFormat="1" applyFill="1" applyBorder="1"/>
    <xf numFmtId="10" fontId="21" fillId="77" borderId="0" xfId="166" applyNumberFormat="1" applyFill="1" applyBorder="1"/>
    <xf numFmtId="175" fontId="0" fillId="77" borderId="0" xfId="0" applyNumberFormat="1" applyFill="1"/>
    <xf numFmtId="173" fontId="0" fillId="77" borderId="0" xfId="0" applyNumberFormat="1" applyFill="1"/>
    <xf numFmtId="182" fontId="21" fillId="77" borderId="0" xfId="83" applyNumberFormat="1" applyFill="1"/>
    <xf numFmtId="4" fontId="109" fillId="77" borderId="0" xfId="0" applyNumberFormat="1" applyFont="1" applyFill="1" applyAlignment="1">
      <alignment horizontal="right"/>
    </xf>
    <xf numFmtId="168" fontId="67" fillId="77" borderId="0" xfId="83" applyFont="1" applyFill="1"/>
    <xf numFmtId="168" fontId="21" fillId="77" borderId="0" xfId="166" applyNumberFormat="1" applyFill="1"/>
    <xf numFmtId="168" fontId="70" fillId="77" borderId="0" xfId="83" applyFont="1" applyFill="1"/>
    <xf numFmtId="169" fontId="21" fillId="77" borderId="0" xfId="83" applyNumberFormat="1" applyFill="1"/>
    <xf numFmtId="169" fontId="0" fillId="77" borderId="0" xfId="0" applyNumberFormat="1" applyFill="1"/>
    <xf numFmtId="169" fontId="21" fillId="77" borderId="0" xfId="166" applyNumberFormat="1" applyFill="1"/>
    <xf numFmtId="14" fontId="59" fillId="25" borderId="19" xfId="0" applyNumberFormat="1" applyFont="1" applyFill="1" applyBorder="1" applyAlignment="1">
      <alignment horizontal="center" vertical="center"/>
    </xf>
    <xf numFmtId="167" fontId="37" fillId="26" borderId="0" xfId="83" applyNumberFormat="1" applyFont="1" applyFill="1" applyBorder="1" applyAlignment="1">
      <alignment horizontal="center"/>
    </xf>
    <xf numFmtId="205" fontId="0" fillId="66" borderId="0" xfId="0" applyNumberFormat="1" applyFill="1"/>
    <xf numFmtId="186" fontId="21" fillId="66" borderId="0" xfId="83" applyNumberFormat="1" applyFill="1"/>
    <xf numFmtId="14" fontId="0" fillId="0" borderId="0" xfId="166" applyNumberFormat="1" applyFont="1"/>
    <xf numFmtId="4" fontId="0" fillId="0" borderId="0" xfId="166" applyNumberFormat="1" applyFont="1"/>
    <xf numFmtId="173" fontId="63" fillId="0" borderId="0" xfId="0" applyNumberFormat="1" applyFont="1"/>
    <xf numFmtId="14" fontId="63" fillId="0" borderId="0" xfId="0" applyNumberFormat="1" applyFont="1"/>
    <xf numFmtId="173" fontId="60" fillId="0" borderId="0" xfId="166" applyNumberFormat="1" applyFont="1" applyFill="1"/>
    <xf numFmtId="4" fontId="59" fillId="0" borderId="0" xfId="0" applyNumberFormat="1" applyFont="1"/>
    <xf numFmtId="167" fontId="0" fillId="69" borderId="13" xfId="0" applyNumberFormat="1" applyFill="1" applyBorder="1" applyAlignment="1">
      <alignment horizontal="right" vertical="center"/>
    </xf>
    <xf numFmtId="10" fontId="37" fillId="26" borderId="0" xfId="166" applyNumberFormat="1" applyFont="1" applyFill="1" applyBorder="1" applyAlignment="1">
      <alignment horizontal="center"/>
    </xf>
    <xf numFmtId="4" fontId="28" fillId="21" borderId="17" xfId="0" applyNumberFormat="1" applyFont="1" applyFill="1" applyBorder="1" applyAlignment="1">
      <alignment horizontal="center" vertical="center" wrapText="1"/>
    </xf>
    <xf numFmtId="4" fontId="23" fillId="20" borderId="17" xfId="0" applyNumberFormat="1" applyFont="1" applyFill="1" applyBorder="1"/>
    <xf numFmtId="4" fontId="23" fillId="23" borderId="17" xfId="0" applyNumberFormat="1" applyFont="1" applyFill="1" applyBorder="1"/>
    <xf numFmtId="4" fontId="23" fillId="29" borderId="17" xfId="0" applyNumberFormat="1" applyFont="1" applyFill="1" applyBorder="1"/>
    <xf numFmtId="4" fontId="23" fillId="28" borderId="17" xfId="0" applyNumberFormat="1" applyFont="1" applyFill="1" applyBorder="1"/>
    <xf numFmtId="4" fontId="23" fillId="64" borderId="17" xfId="0" applyNumberFormat="1" applyFont="1" applyFill="1" applyBorder="1"/>
    <xf numFmtId="0" fontId="109" fillId="79" borderId="0" xfId="0" applyFont="1" applyFill="1" applyAlignment="1">
      <alignment horizontal="left"/>
    </xf>
    <xf numFmtId="0" fontId="113" fillId="80" borderId="0" xfId="0" applyFont="1" applyFill="1" applyAlignment="1">
      <alignment horizontal="left"/>
    </xf>
    <xf numFmtId="4" fontId="113" fillId="80" borderId="0" xfId="0" applyNumberFormat="1" applyFont="1" applyFill="1" applyAlignment="1">
      <alignment horizontal="right"/>
    </xf>
    <xf numFmtId="191" fontId="21" fillId="66" borderId="0" xfId="166" applyNumberFormat="1" applyFill="1" applyBorder="1"/>
    <xf numFmtId="200" fontId="21" fillId="66" borderId="0" xfId="83" applyNumberFormat="1" applyFill="1"/>
    <xf numFmtId="191" fontId="0" fillId="0" borderId="0" xfId="166" applyNumberFormat="1" applyFont="1"/>
    <xf numFmtId="14" fontId="21" fillId="69" borderId="0" xfId="166" applyNumberFormat="1" applyFill="1"/>
    <xf numFmtId="168" fontId="21" fillId="69" borderId="0" xfId="83" applyFill="1"/>
    <xf numFmtId="4" fontId="0" fillId="69" borderId="0" xfId="0" applyNumberFormat="1" applyFill="1"/>
    <xf numFmtId="205" fontId="0" fillId="69" borderId="0" xfId="0" applyNumberFormat="1" applyFill="1"/>
    <xf numFmtId="173" fontId="21" fillId="69" borderId="0" xfId="166" applyNumberFormat="1" applyFill="1" applyBorder="1"/>
    <xf numFmtId="173" fontId="0" fillId="69" borderId="0" xfId="0" applyNumberFormat="1" applyFill="1"/>
    <xf numFmtId="4" fontId="67" fillId="66" borderId="0" xfId="83" applyNumberFormat="1" applyFont="1" applyFill="1"/>
    <xf numFmtId="175" fontId="21" fillId="69" borderId="0" xfId="166" applyNumberFormat="1" applyFill="1" applyBorder="1"/>
    <xf numFmtId="170" fontId="63" fillId="0" borderId="0" xfId="0" applyNumberFormat="1" applyFont="1"/>
    <xf numFmtId="0" fontId="0" fillId="69" borderId="0" xfId="0" applyFill="1"/>
    <xf numFmtId="0" fontId="24" fillId="69" borderId="0" xfId="0" applyFont="1" applyFill="1" applyAlignment="1">
      <alignment horizontal="center"/>
    </xf>
    <xf numFmtId="10" fontId="21" fillId="69" borderId="0" xfId="166" applyNumberFormat="1" applyFont="1" applyFill="1"/>
    <xf numFmtId="10" fontId="0" fillId="69" borderId="0" xfId="0" applyNumberFormat="1" applyFill="1"/>
    <xf numFmtId="10" fontId="21" fillId="69" borderId="0" xfId="166" applyNumberFormat="1" applyFill="1"/>
    <xf numFmtId="167" fontId="0" fillId="69" borderId="0" xfId="0" applyNumberFormat="1" applyFill="1"/>
    <xf numFmtId="168" fontId="0" fillId="69" borderId="0" xfId="0" applyNumberFormat="1" applyFill="1"/>
    <xf numFmtId="166" fontId="0" fillId="69" borderId="0" xfId="0" applyNumberFormat="1" applyFill="1"/>
    <xf numFmtId="170" fontId="21" fillId="69" borderId="0" xfId="166" applyNumberFormat="1" applyFill="1"/>
    <xf numFmtId="171" fontId="0" fillId="69" borderId="0" xfId="0" applyNumberFormat="1" applyFill="1"/>
    <xf numFmtId="10" fontId="21" fillId="69" borderId="0" xfId="166" applyNumberFormat="1" applyFill="1" applyBorder="1"/>
    <xf numFmtId="175" fontId="0" fillId="69" borderId="0" xfId="0" applyNumberFormat="1" applyFill="1"/>
    <xf numFmtId="182" fontId="21" fillId="69" borderId="0" xfId="83" applyNumberFormat="1" applyFill="1"/>
    <xf numFmtId="4" fontId="21" fillId="69" borderId="0" xfId="166" applyNumberFormat="1" applyFill="1"/>
    <xf numFmtId="168" fontId="74" fillId="69" borderId="0" xfId="83" applyFont="1" applyFill="1"/>
    <xf numFmtId="0" fontId="109" fillId="76" borderId="0" xfId="0" applyFont="1" applyFill="1" applyAlignment="1">
      <alignment horizontal="left"/>
    </xf>
    <xf numFmtId="189" fontId="63" fillId="0" borderId="0" xfId="0" applyNumberFormat="1" applyFont="1"/>
    <xf numFmtId="170" fontId="59" fillId="0" borderId="0" xfId="166" applyNumberFormat="1" applyFont="1"/>
    <xf numFmtId="203" fontId="21" fillId="66" borderId="0" xfId="166" applyNumberFormat="1" applyFill="1" applyBorder="1"/>
    <xf numFmtId="14" fontId="75" fillId="66" borderId="0" xfId="166" applyNumberFormat="1" applyFont="1" applyFill="1" applyAlignment="1">
      <alignment horizontal="left" indent="4"/>
    </xf>
    <xf numFmtId="0" fontId="114" fillId="0" borderId="0" xfId="0" applyFont="1"/>
    <xf numFmtId="0" fontId="113" fillId="0" borderId="0" xfId="0" applyFont="1"/>
    <xf numFmtId="170" fontId="21" fillId="25" borderId="0" xfId="166" applyNumberFormat="1" applyFont="1" applyFill="1" applyBorder="1" applyAlignment="1">
      <alignment horizontal="right" vertical="center"/>
    </xf>
    <xf numFmtId="4" fontId="21" fillId="64" borderId="0" xfId="0" applyNumberFormat="1" applyFont="1" applyFill="1" applyAlignment="1">
      <alignment horizontal="right" vertical="center"/>
    </xf>
    <xf numFmtId="173" fontId="59" fillId="0" borderId="0" xfId="0" applyNumberFormat="1" applyFont="1"/>
    <xf numFmtId="197" fontId="21" fillId="66" borderId="0" xfId="83" applyNumberFormat="1" applyFill="1"/>
    <xf numFmtId="200" fontId="109" fillId="72" borderId="0" xfId="0" applyNumberFormat="1" applyFont="1" applyFill="1" applyAlignment="1">
      <alignment horizontal="right"/>
    </xf>
    <xf numFmtId="200" fontId="59" fillId="0" borderId="0" xfId="166" applyNumberFormat="1" applyFont="1" applyBorder="1"/>
    <xf numFmtId="197" fontId="0" fillId="0" borderId="0" xfId="0" applyNumberFormat="1"/>
    <xf numFmtId="14" fontId="0" fillId="63" borderId="28" xfId="0" applyNumberFormat="1" applyFill="1" applyBorder="1"/>
    <xf numFmtId="173" fontId="0" fillId="63" borderId="0" xfId="0" applyNumberFormat="1" applyFill="1"/>
    <xf numFmtId="173" fontId="77" fillId="63" borderId="0" xfId="166" applyNumberFormat="1" applyFont="1" applyFill="1" applyBorder="1"/>
    <xf numFmtId="14" fontId="0" fillId="63" borderId="29" xfId="0" applyNumberFormat="1" applyFill="1" applyBorder="1"/>
    <xf numFmtId="170" fontId="59" fillId="63" borderId="30" xfId="166" applyNumberFormat="1" applyFont="1" applyFill="1" applyBorder="1"/>
    <xf numFmtId="170" fontId="59" fillId="63" borderId="0" xfId="166" applyNumberFormat="1" applyFont="1" applyFill="1" applyBorder="1"/>
    <xf numFmtId="170" fontId="77" fillId="63" borderId="30" xfId="166" applyNumberFormat="1" applyFont="1" applyFill="1" applyBorder="1"/>
    <xf numFmtId="191" fontId="59" fillId="63" borderId="31" xfId="166" applyNumberFormat="1" applyFont="1" applyFill="1" applyBorder="1"/>
    <xf numFmtId="173" fontId="0" fillId="63" borderId="32" xfId="0" applyNumberFormat="1" applyFill="1" applyBorder="1"/>
    <xf numFmtId="170" fontId="77" fillId="63" borderId="32" xfId="166" applyNumberFormat="1" applyFont="1" applyFill="1" applyBorder="1"/>
    <xf numFmtId="14" fontId="0" fillId="63" borderId="32" xfId="0" applyNumberFormat="1" applyFill="1" applyBorder="1"/>
    <xf numFmtId="14" fontId="0" fillId="63" borderId="33" xfId="0" applyNumberFormat="1" applyFill="1" applyBorder="1"/>
    <xf numFmtId="0" fontId="59" fillId="63" borderId="34" xfId="0" applyFont="1" applyFill="1" applyBorder="1"/>
    <xf numFmtId="0" fontId="59" fillId="63" borderId="30" xfId="166" applyNumberFormat="1" applyFont="1" applyFill="1" applyBorder="1"/>
    <xf numFmtId="49" fontId="59" fillId="63" borderId="30" xfId="83" applyNumberFormat="1" applyFont="1" applyFill="1" applyBorder="1"/>
    <xf numFmtId="173" fontId="59" fillId="63" borderId="35" xfId="0" applyNumberFormat="1" applyFont="1" applyFill="1" applyBorder="1"/>
    <xf numFmtId="173" fontId="59" fillId="63" borderId="0" xfId="166" applyNumberFormat="1" applyFont="1" applyFill="1" applyBorder="1"/>
    <xf numFmtId="173" fontId="77" fillId="63" borderId="35" xfId="166" applyNumberFormat="1" applyFont="1" applyFill="1" applyBorder="1"/>
    <xf numFmtId="0" fontId="59" fillId="63" borderId="0" xfId="0" applyFont="1" applyFill="1" applyAlignment="1">
      <alignment horizontal="left"/>
    </xf>
    <xf numFmtId="186" fontId="0" fillId="66" borderId="0" xfId="0" applyNumberFormat="1" applyFill="1"/>
    <xf numFmtId="170" fontId="24" fillId="0" borderId="0" xfId="166" applyNumberFormat="1" applyFont="1" applyFill="1" applyAlignment="1">
      <alignment horizontal="center"/>
    </xf>
    <xf numFmtId="170" fontId="24" fillId="0" borderId="0" xfId="83" applyNumberFormat="1" applyFont="1" applyFill="1" applyAlignment="1">
      <alignment horizontal="center"/>
    </xf>
    <xf numFmtId="170" fontId="0" fillId="0" borderId="0" xfId="0" applyNumberFormat="1" applyAlignment="1">
      <alignment horizontal="center"/>
    </xf>
    <xf numFmtId="170" fontId="0" fillId="66" borderId="0" xfId="0" applyNumberFormat="1" applyFill="1"/>
    <xf numFmtId="4" fontId="63" fillId="66" borderId="0" xfId="0" applyNumberFormat="1" applyFont="1" applyFill="1"/>
    <xf numFmtId="0" fontId="31" fillId="64" borderId="18" xfId="0" applyFont="1" applyFill="1" applyBorder="1"/>
    <xf numFmtId="4" fontId="73" fillId="66" borderId="0" xfId="166" applyNumberFormat="1" applyFont="1" applyFill="1"/>
    <xf numFmtId="197" fontId="21" fillId="69" borderId="0" xfId="0" applyNumberFormat="1" applyFont="1" applyFill="1" applyAlignment="1">
      <alignment horizontal="right" vertical="center"/>
    </xf>
    <xf numFmtId="174" fontId="0" fillId="26" borderId="0" xfId="0" applyNumberFormat="1" applyFill="1"/>
    <xf numFmtId="0" fontId="0" fillId="26" borderId="0" xfId="0" applyFill="1" applyAlignment="1">
      <alignment horizontal="left"/>
    </xf>
    <xf numFmtId="0" fontId="22" fillId="19" borderId="12" xfId="0" applyFont="1" applyFill="1" applyBorder="1" applyAlignment="1">
      <alignment horizontal="left"/>
    </xf>
    <xf numFmtId="0" fontId="22" fillId="19" borderId="25" xfId="0" applyFont="1" applyFill="1" applyBorder="1" applyAlignment="1">
      <alignment horizontal="left"/>
    </xf>
    <xf numFmtId="10" fontId="59" fillId="69" borderId="0" xfId="168" applyNumberFormat="1" applyFont="1" applyFill="1"/>
    <xf numFmtId="14" fontId="59" fillId="69" borderId="0" xfId="168" applyNumberFormat="1" applyFill="1"/>
    <xf numFmtId="10" fontId="59" fillId="69" borderId="0" xfId="168" applyNumberFormat="1" applyFill="1"/>
    <xf numFmtId="170" fontId="59" fillId="69" borderId="0" xfId="168" applyNumberFormat="1" applyFill="1"/>
    <xf numFmtId="10" fontId="59" fillId="69" borderId="0" xfId="168" applyNumberFormat="1" applyFill="1" applyBorder="1"/>
    <xf numFmtId="173" fontId="59" fillId="69" borderId="0" xfId="168" applyNumberFormat="1" applyFill="1" applyBorder="1"/>
    <xf numFmtId="175" fontId="59" fillId="69" borderId="0" xfId="168" applyNumberFormat="1" applyFill="1" applyBorder="1"/>
    <xf numFmtId="4" fontId="59" fillId="69" borderId="0" xfId="168" applyNumberFormat="1" applyFill="1"/>
    <xf numFmtId="168" fontId="59" fillId="69" borderId="0" xfId="83" applyFont="1" applyFill="1"/>
    <xf numFmtId="15" fontId="0" fillId="69" borderId="19" xfId="0" applyNumberFormat="1" applyFill="1" applyBorder="1" applyAlignment="1">
      <alignment horizontal="center"/>
    </xf>
    <xf numFmtId="0" fontId="0" fillId="69" borderId="25" xfId="0" applyFill="1" applyBorder="1" applyAlignment="1">
      <alignment horizontal="center"/>
    </xf>
    <xf numFmtId="4" fontId="37" fillId="26" borderId="0" xfId="0" applyNumberFormat="1" applyFont="1" applyFill="1" applyAlignment="1">
      <alignment horizontal="center"/>
    </xf>
    <xf numFmtId="4" fontId="22" fillId="19" borderId="0" xfId="0" applyNumberFormat="1" applyFont="1" applyFill="1" applyAlignment="1">
      <alignment horizontal="center"/>
    </xf>
    <xf numFmtId="10" fontId="23" fillId="64" borderId="17" xfId="166" applyNumberFormat="1" applyFont="1" applyFill="1" applyBorder="1"/>
    <xf numFmtId="171" fontId="23" fillId="64" borderId="17" xfId="166" applyNumberFormat="1" applyFont="1" applyFill="1" applyBorder="1"/>
    <xf numFmtId="0" fontId="22" fillId="26" borderId="0" xfId="0" applyFont="1" applyFill="1"/>
    <xf numFmtId="0" fontId="22" fillId="19" borderId="0" xfId="0" applyFont="1" applyFill="1"/>
    <xf numFmtId="168" fontId="22" fillId="26" borderId="0" xfId="83" applyFont="1" applyFill="1" applyAlignment="1"/>
    <xf numFmtId="0" fontId="22" fillId="0" borderId="0" xfId="0" applyFont="1" applyAlignment="1">
      <alignment horizontal="center"/>
    </xf>
    <xf numFmtId="15" fontId="22" fillId="0" borderId="0" xfId="0" applyNumberFormat="1" applyFont="1"/>
    <xf numFmtId="4" fontId="22" fillId="0" borderId="0" xfId="0" applyNumberFormat="1" applyFont="1"/>
    <xf numFmtId="4" fontId="22" fillId="26" borderId="0" xfId="0" applyNumberFormat="1" applyFont="1" applyFill="1"/>
    <xf numFmtId="14" fontId="24" fillId="0" borderId="0" xfId="166" applyNumberFormat="1" applyFont="1" applyFill="1" applyAlignment="1">
      <alignment horizontal="center"/>
    </xf>
    <xf numFmtId="14" fontId="23" fillId="0" borderId="0" xfId="0" applyNumberFormat="1" applyFont="1" applyAlignment="1">
      <alignment horizontal="left"/>
    </xf>
    <xf numFmtId="175" fontId="33" fillId="22" borderId="0" xfId="166" applyNumberFormat="1" applyFont="1" applyFill="1" applyAlignment="1">
      <alignment horizontal="center"/>
    </xf>
    <xf numFmtId="14" fontId="115" fillId="0" borderId="0" xfId="0" applyNumberFormat="1" applyFont="1"/>
    <xf numFmtId="169" fontId="116" fillId="22" borderId="0" xfId="83" applyNumberFormat="1" applyFont="1" applyFill="1"/>
    <xf numFmtId="170" fontId="116" fillId="22" borderId="0" xfId="166" applyNumberFormat="1" applyFont="1" applyFill="1" applyAlignment="1">
      <alignment horizontal="center"/>
    </xf>
    <xf numFmtId="4" fontId="24" fillId="0" borderId="0" xfId="166" applyNumberFormat="1" applyFont="1" applyFill="1"/>
    <xf numFmtId="170" fontId="115" fillId="0" borderId="0" xfId="0" applyNumberFormat="1" applyFont="1"/>
    <xf numFmtId="170" fontId="116" fillId="0" borderId="14" xfId="166" applyNumberFormat="1" applyFont="1" applyFill="1" applyBorder="1"/>
    <xf numFmtId="173" fontId="59" fillId="0" borderId="0" xfId="166" applyNumberFormat="1" applyFont="1"/>
    <xf numFmtId="4" fontId="0" fillId="74" borderId="0" xfId="0" applyNumberFormat="1" applyFill="1"/>
    <xf numFmtId="4" fontId="0" fillId="65" borderId="0" xfId="0" applyNumberFormat="1" applyFill="1"/>
    <xf numFmtId="173" fontId="0" fillId="65" borderId="0" xfId="0" applyNumberFormat="1" applyFill="1"/>
    <xf numFmtId="0" fontId="59" fillId="63" borderId="35" xfId="166" applyNumberFormat="1" applyFont="1" applyFill="1" applyBorder="1" applyAlignment="1">
      <alignment horizontal="left"/>
    </xf>
    <xf numFmtId="14" fontId="21" fillId="67" borderId="0" xfId="166" applyNumberFormat="1" applyFill="1"/>
    <xf numFmtId="10" fontId="21" fillId="67" borderId="0" xfId="166" applyNumberFormat="1" applyFill="1"/>
    <xf numFmtId="4" fontId="21" fillId="67" borderId="0" xfId="83" applyNumberFormat="1" applyFill="1"/>
    <xf numFmtId="168" fontId="21" fillId="67" borderId="0" xfId="83" applyFill="1"/>
    <xf numFmtId="4" fontId="0" fillId="67" borderId="0" xfId="0" applyNumberFormat="1" applyFill="1"/>
    <xf numFmtId="4" fontId="73" fillId="67" borderId="0" xfId="166" applyNumberFormat="1" applyFont="1" applyFill="1"/>
    <xf numFmtId="170" fontId="21" fillId="67" borderId="0" xfId="166" applyNumberFormat="1" applyFill="1"/>
    <xf numFmtId="200" fontId="0" fillId="67" borderId="0" xfId="0" applyNumberFormat="1" applyFill="1"/>
    <xf numFmtId="173" fontId="21" fillId="67" borderId="0" xfId="166" applyNumberFormat="1" applyFill="1" applyBorder="1"/>
    <xf numFmtId="173" fontId="0" fillId="67" borderId="0" xfId="0" applyNumberFormat="1" applyFill="1"/>
    <xf numFmtId="175" fontId="0" fillId="67" borderId="0" xfId="0" applyNumberFormat="1" applyFill="1"/>
    <xf numFmtId="0" fontId="63" fillId="64" borderId="0" xfId="0" applyFont="1" applyFill="1"/>
    <xf numFmtId="14" fontId="28" fillId="0" borderId="0" xfId="0" applyNumberFormat="1" applyFont="1" applyAlignment="1">
      <alignment horizontal="left" vertical="center" wrapText="1"/>
    </xf>
    <xf numFmtId="170" fontId="117" fillId="63" borderId="0" xfId="166" applyNumberFormat="1" applyFont="1" applyFill="1" applyBorder="1"/>
    <xf numFmtId="3" fontId="117" fillId="63" borderId="0" xfId="0" applyNumberFormat="1" applyFont="1" applyFill="1" applyAlignment="1">
      <alignment horizontal="left"/>
    </xf>
    <xf numFmtId="0" fontId="117" fillId="0" borderId="0" xfId="0" applyFont="1"/>
    <xf numFmtId="186" fontId="0" fillId="0" borderId="0" xfId="0" applyNumberFormat="1"/>
    <xf numFmtId="173" fontId="63" fillId="0" borderId="0" xfId="166" applyNumberFormat="1" applyFont="1"/>
    <xf numFmtId="14" fontId="0" fillId="25" borderId="19" xfId="0" applyNumberFormat="1" applyFill="1" applyBorder="1" applyAlignment="1">
      <alignment horizontal="center"/>
    </xf>
    <xf numFmtId="197" fontId="0" fillId="26" borderId="0" xfId="0" applyNumberFormat="1" applyFill="1"/>
    <xf numFmtId="197" fontId="22" fillId="26" borderId="0" xfId="0" applyNumberFormat="1" applyFont="1" applyFill="1"/>
    <xf numFmtId="197" fontId="22" fillId="19" borderId="0" xfId="0" applyNumberFormat="1" applyFont="1" applyFill="1" applyAlignment="1">
      <alignment horizontal="center"/>
    </xf>
    <xf numFmtId="4" fontId="21" fillId="25" borderId="19" xfId="0" applyNumberFormat="1" applyFont="1" applyFill="1" applyBorder="1" applyAlignment="1">
      <alignment horizontal="center"/>
    </xf>
    <xf numFmtId="14" fontId="0" fillId="26" borderId="0" xfId="0" applyNumberFormat="1" applyFill="1" applyAlignment="1">
      <alignment horizontal="center"/>
    </xf>
    <xf numFmtId="192" fontId="37" fillId="26" borderId="0" xfId="83" applyNumberFormat="1" applyFont="1" applyFill="1" applyBorder="1" applyAlignment="1">
      <alignment horizontal="center"/>
    </xf>
    <xf numFmtId="10" fontId="63" fillId="0" borderId="0" xfId="0" applyNumberFormat="1" applyFont="1"/>
    <xf numFmtId="10" fontId="28" fillId="21" borderId="17" xfId="166" applyNumberFormat="1" applyFont="1" applyFill="1" applyBorder="1" applyAlignment="1">
      <alignment horizontal="center" vertical="center" wrapText="1"/>
    </xf>
    <xf numFmtId="10" fontId="23" fillId="63" borderId="17" xfId="166" applyNumberFormat="1" applyFont="1" applyFill="1" applyBorder="1"/>
    <xf numFmtId="14" fontId="23" fillId="0" borderId="17" xfId="166" applyNumberFormat="1" applyFont="1" applyBorder="1"/>
    <xf numFmtId="200" fontId="0" fillId="0" borderId="0" xfId="166" applyNumberFormat="1" applyFont="1"/>
    <xf numFmtId="0" fontId="59" fillId="73" borderId="0" xfId="0" applyFont="1" applyFill="1"/>
    <xf numFmtId="0" fontId="0" fillId="73" borderId="0" xfId="0" applyFill="1"/>
    <xf numFmtId="167" fontId="21" fillId="25" borderId="0" xfId="0" applyNumberFormat="1" applyFont="1" applyFill="1" applyAlignment="1">
      <alignment horizontal="right" vertical="center"/>
    </xf>
    <xf numFmtId="4" fontId="0" fillId="69" borderId="13" xfId="0" applyNumberFormat="1" applyFill="1" applyBorder="1" applyAlignment="1">
      <alignment horizontal="right"/>
    </xf>
    <xf numFmtId="4" fontId="0" fillId="25" borderId="13" xfId="0" applyNumberFormat="1" applyFill="1" applyBorder="1" applyAlignment="1">
      <alignment horizontal="right"/>
    </xf>
    <xf numFmtId="14" fontId="59" fillId="67" borderId="0" xfId="166" applyNumberFormat="1" applyFont="1" applyFill="1"/>
    <xf numFmtId="0" fontId="0" fillId="82" borderId="0" xfId="0" applyFill="1"/>
    <xf numFmtId="0" fontId="24" fillId="82" borderId="0" xfId="0" applyFont="1" applyFill="1" applyAlignment="1">
      <alignment horizontal="center"/>
    </xf>
    <xf numFmtId="14" fontId="0" fillId="82" borderId="0" xfId="0" applyNumberFormat="1" applyFill="1"/>
    <xf numFmtId="10" fontId="21" fillId="82" borderId="0" xfId="166" applyNumberFormat="1" applyFont="1" applyFill="1"/>
    <xf numFmtId="10" fontId="0" fillId="82" borderId="0" xfId="0" applyNumberFormat="1" applyFill="1"/>
    <xf numFmtId="168" fontId="0" fillId="82" borderId="0" xfId="0" applyNumberFormat="1" applyFill="1"/>
    <xf numFmtId="14" fontId="21" fillId="82" borderId="0" xfId="166" applyNumberFormat="1" applyFill="1"/>
    <xf numFmtId="10" fontId="21" fillId="82" borderId="0" xfId="166" applyNumberFormat="1" applyFill="1"/>
    <xf numFmtId="168" fontId="21" fillId="82" borderId="0" xfId="83" applyFill="1"/>
    <xf numFmtId="4" fontId="0" fillId="82" borderId="0" xfId="0" applyNumberFormat="1" applyFill="1"/>
    <xf numFmtId="166" fontId="0" fillId="82" borderId="0" xfId="0" applyNumberFormat="1" applyFill="1"/>
    <xf numFmtId="170" fontId="21" fillId="82" borderId="0" xfId="166" applyNumberFormat="1" applyFill="1"/>
    <xf numFmtId="171" fontId="0" fillId="82" borderId="0" xfId="0" applyNumberFormat="1" applyFill="1"/>
    <xf numFmtId="175" fontId="0" fillId="82" borderId="0" xfId="0" applyNumberFormat="1" applyFill="1"/>
    <xf numFmtId="173" fontId="0" fillId="82" borderId="0" xfId="0" applyNumberFormat="1" applyFill="1"/>
    <xf numFmtId="4" fontId="21" fillId="82" borderId="0" xfId="166" applyNumberFormat="1" applyFill="1"/>
    <xf numFmtId="168" fontId="80" fillId="82" borderId="0" xfId="83" applyFont="1" applyFill="1"/>
    <xf numFmtId="14" fontId="21" fillId="70" borderId="0" xfId="166" applyNumberFormat="1" applyFill="1"/>
    <xf numFmtId="168" fontId="21" fillId="70" borderId="0" xfId="83" applyFill="1"/>
    <xf numFmtId="10" fontId="0" fillId="70" borderId="0" xfId="0" applyNumberFormat="1" applyFill="1"/>
    <xf numFmtId="173" fontId="0" fillId="70" borderId="0" xfId="0" applyNumberFormat="1" applyFill="1"/>
    <xf numFmtId="10" fontId="118" fillId="0" borderId="0" xfId="166" applyNumberFormat="1" applyFont="1" applyFill="1"/>
    <xf numFmtId="0" fontId="118" fillId="0" borderId="0" xfId="0" applyFont="1"/>
    <xf numFmtId="14" fontId="118" fillId="0" borderId="0" xfId="166" applyNumberFormat="1" applyFont="1" applyFill="1"/>
    <xf numFmtId="168" fontId="118" fillId="0" borderId="0" xfId="83" applyFont="1" applyFill="1"/>
    <xf numFmtId="10" fontId="113" fillId="0" borderId="0" xfId="166" applyNumberFormat="1" applyFont="1" applyFill="1" applyAlignment="1">
      <alignment horizontal="right"/>
    </xf>
    <xf numFmtId="193" fontId="37" fillId="26" borderId="0" xfId="0" applyNumberFormat="1" applyFont="1" applyFill="1" applyAlignment="1">
      <alignment horizontal="center"/>
    </xf>
    <xf numFmtId="190" fontId="21" fillId="26" borderId="0" xfId="83" applyNumberFormat="1" applyFill="1" applyAlignment="1"/>
    <xf numFmtId="206" fontId="37" fillId="26" borderId="0" xfId="0" applyNumberFormat="1" applyFont="1" applyFill="1" applyAlignment="1">
      <alignment horizontal="center"/>
    </xf>
    <xf numFmtId="207" fontId="21" fillId="25" borderId="0" xfId="0" applyNumberFormat="1" applyFont="1" applyFill="1" applyAlignment="1">
      <alignment horizontal="right" vertical="center"/>
    </xf>
    <xf numFmtId="197" fontId="21" fillId="25" borderId="0" xfId="0" applyNumberFormat="1" applyFont="1" applyFill="1" applyAlignment="1">
      <alignment horizontal="right" vertical="center"/>
    </xf>
    <xf numFmtId="208" fontId="21" fillId="25" borderId="0" xfId="0" applyNumberFormat="1" applyFont="1" applyFill="1" applyAlignment="1">
      <alignment horizontal="right" vertical="center"/>
    </xf>
    <xf numFmtId="209" fontId="37" fillId="26" borderId="0" xfId="0" applyNumberFormat="1" applyFont="1" applyFill="1" applyAlignment="1">
      <alignment horizontal="left"/>
    </xf>
    <xf numFmtId="0" fontId="21" fillId="25" borderId="0" xfId="0" applyFont="1" applyFill="1" applyAlignment="1">
      <alignment horizontal="right" vertical="center"/>
    </xf>
    <xf numFmtId="195" fontId="21" fillId="25" borderId="19" xfId="0" applyNumberFormat="1" applyFont="1" applyFill="1" applyBorder="1" applyAlignment="1">
      <alignment horizontal="center"/>
    </xf>
    <xf numFmtId="182" fontId="37" fillId="26" borderId="0" xfId="83" applyNumberFormat="1" applyFont="1" applyFill="1" applyBorder="1" applyAlignment="1">
      <alignment horizontal="center"/>
    </xf>
    <xf numFmtId="167" fontId="0" fillId="25" borderId="13" xfId="0" applyNumberFormat="1" applyFill="1" applyBorder="1" applyAlignment="1">
      <alignment horizontal="right"/>
    </xf>
    <xf numFmtId="167" fontId="0" fillId="26" borderId="0" xfId="0" applyNumberFormat="1" applyFill="1" applyAlignment="1">
      <alignment horizontal="center"/>
    </xf>
    <xf numFmtId="206" fontId="21" fillId="25" borderId="0" xfId="0" applyNumberFormat="1" applyFont="1" applyFill="1" applyAlignment="1">
      <alignment horizontal="right" vertical="center"/>
    </xf>
    <xf numFmtId="197" fontId="0" fillId="67" borderId="0" xfId="0" applyNumberFormat="1" applyFill="1"/>
    <xf numFmtId="196" fontId="0" fillId="67" borderId="0" xfId="0" applyNumberFormat="1" applyFill="1"/>
    <xf numFmtId="197" fontId="0" fillId="66" borderId="0" xfId="0" applyNumberFormat="1" applyFill="1"/>
    <xf numFmtId="197" fontId="63" fillId="0" borderId="0" xfId="0" applyNumberFormat="1" applyFont="1"/>
    <xf numFmtId="4" fontId="21" fillId="26" borderId="0" xfId="83" applyNumberFormat="1" applyFill="1" applyAlignment="1"/>
    <xf numFmtId="4" fontId="21" fillId="25" borderId="0" xfId="166" applyNumberFormat="1" applyFont="1" applyFill="1" applyBorder="1" applyAlignment="1">
      <alignment horizontal="right" vertical="center"/>
    </xf>
    <xf numFmtId="4" fontId="21" fillId="26" borderId="0" xfId="83" applyNumberFormat="1" applyFill="1"/>
    <xf numFmtId="211" fontId="63" fillId="0" borderId="0" xfId="0" applyNumberFormat="1" applyFont="1"/>
    <xf numFmtId="187" fontId="0" fillId="0" borderId="0" xfId="0" applyNumberFormat="1"/>
    <xf numFmtId="212" fontId="0" fillId="76" borderId="0" xfId="0" applyNumberFormat="1" applyFill="1"/>
    <xf numFmtId="166" fontId="22" fillId="66" borderId="0" xfId="0" applyNumberFormat="1" applyFont="1" applyFill="1"/>
    <xf numFmtId="206" fontId="0" fillId="66" borderId="0" xfId="0" applyNumberFormat="1" applyFill="1"/>
    <xf numFmtId="4" fontId="59" fillId="73" borderId="13" xfId="111" applyNumberFormat="1" applyFont="1" applyFill="1" applyBorder="1" applyAlignment="1">
      <alignment horizontal="center" vertical="center"/>
    </xf>
    <xf numFmtId="196" fontId="0" fillId="66" borderId="0" xfId="0" applyNumberFormat="1" applyFill="1"/>
    <xf numFmtId="193" fontId="37" fillId="26" borderId="0" xfId="83" applyNumberFormat="1" applyFont="1" applyFill="1" applyBorder="1" applyAlignment="1">
      <alignment horizontal="center"/>
    </xf>
    <xf numFmtId="4" fontId="21" fillId="25" borderId="0" xfId="0" applyNumberFormat="1" applyFont="1" applyFill="1" applyAlignment="1">
      <alignment horizontal="center" vertical="center"/>
    </xf>
    <xf numFmtId="200" fontId="113" fillId="80" borderId="0" xfId="0" applyNumberFormat="1" applyFont="1" applyFill="1" applyAlignment="1">
      <alignment horizontal="right"/>
    </xf>
    <xf numFmtId="4" fontId="59" fillId="27" borderId="0" xfId="0" applyNumberFormat="1" applyFont="1" applyFill="1" applyAlignment="1">
      <alignment horizontal="right" vertical="center"/>
    </xf>
    <xf numFmtId="213" fontId="0" fillId="66" borderId="0" xfId="0" applyNumberFormat="1" applyFill="1"/>
    <xf numFmtId="200" fontId="22" fillId="83" borderId="0" xfId="178" applyNumberFormat="1" applyFont="1" applyFill="1"/>
    <xf numFmtId="186" fontId="21" fillId="0" borderId="0" xfId="83" applyNumberFormat="1"/>
    <xf numFmtId="4" fontId="23" fillId="0" borderId="0" xfId="0" applyNumberFormat="1" applyFont="1" applyAlignment="1">
      <alignment horizontal="center"/>
    </xf>
    <xf numFmtId="14" fontId="0" fillId="84" borderId="0" xfId="0" applyNumberFormat="1" applyFill="1" applyAlignment="1">
      <alignment horizontal="center"/>
    </xf>
    <xf numFmtId="168" fontId="21" fillId="26" borderId="0" xfId="83" applyFill="1" applyAlignment="1">
      <alignment horizontal="center"/>
    </xf>
    <xf numFmtId="4" fontId="37" fillId="26" borderId="0" xfId="83" applyNumberFormat="1" applyFont="1" applyFill="1" applyBorder="1" applyAlignment="1">
      <alignment horizontal="center"/>
    </xf>
    <xf numFmtId="14" fontId="0" fillId="78" borderId="19" xfId="0" applyNumberFormat="1" applyFill="1" applyBorder="1" applyAlignment="1">
      <alignment horizontal="center" vertical="center"/>
    </xf>
    <xf numFmtId="0" fontId="0" fillId="78" borderId="13" xfId="0" applyFill="1" applyBorder="1" applyAlignment="1">
      <alignment horizontal="center"/>
    </xf>
    <xf numFmtId="4" fontId="21" fillId="78" borderId="0" xfId="0" applyNumberFormat="1" applyFont="1" applyFill="1" applyAlignment="1">
      <alignment horizontal="right" vertical="center"/>
    </xf>
    <xf numFmtId="186" fontId="21" fillId="78" borderId="0" xfId="0" applyNumberFormat="1" applyFont="1" applyFill="1" applyAlignment="1">
      <alignment horizontal="right" vertical="center"/>
    </xf>
    <xf numFmtId="175" fontId="21" fillId="78" borderId="0" xfId="166" applyNumberFormat="1" applyFont="1" applyFill="1" applyBorder="1" applyAlignment="1">
      <alignment horizontal="right" vertical="center"/>
    </xf>
    <xf numFmtId="197" fontId="21" fillId="78" borderId="0" xfId="0" applyNumberFormat="1" applyFont="1" applyFill="1" applyAlignment="1">
      <alignment horizontal="right" vertical="center"/>
    </xf>
    <xf numFmtId="14" fontId="0" fillId="85" borderId="19" xfId="0" applyNumberFormat="1" applyFill="1" applyBorder="1" applyAlignment="1">
      <alignment horizontal="center" vertical="center"/>
    </xf>
    <xf numFmtId="0" fontId="0" fillId="85" borderId="13" xfId="0" applyFill="1" applyBorder="1" applyAlignment="1">
      <alignment horizontal="center"/>
    </xf>
    <xf numFmtId="167" fontId="87" fillId="85" borderId="19" xfId="93" applyFont="1" applyFill="1" applyBorder="1" applyAlignment="1">
      <alignment wrapText="1"/>
    </xf>
    <xf numFmtId="167" fontId="87" fillId="85" borderId="0" xfId="93" applyFont="1" applyFill="1" applyBorder="1" applyAlignment="1">
      <alignment wrapText="1"/>
    </xf>
    <xf numFmtId="4" fontId="21" fillId="85" borderId="0" xfId="0" applyNumberFormat="1" applyFont="1" applyFill="1" applyAlignment="1">
      <alignment horizontal="center" vertical="center"/>
    </xf>
    <xf numFmtId="4" fontId="21" fillId="85" borderId="0" xfId="0" applyNumberFormat="1" applyFont="1" applyFill="1" applyAlignment="1">
      <alignment horizontal="right" vertical="center"/>
    </xf>
    <xf numFmtId="186" fontId="21" fillId="85" borderId="0" xfId="0" applyNumberFormat="1" applyFont="1" applyFill="1" applyAlignment="1">
      <alignment horizontal="right" vertical="center"/>
    </xf>
    <xf numFmtId="175" fontId="21" fillId="85" borderId="0" xfId="166" applyNumberFormat="1" applyFont="1" applyFill="1" applyBorder="1" applyAlignment="1">
      <alignment horizontal="right" vertical="center"/>
    </xf>
    <xf numFmtId="197" fontId="21" fillId="85" borderId="0" xfId="0" applyNumberFormat="1" applyFont="1" applyFill="1" applyAlignment="1">
      <alignment horizontal="right" vertical="center"/>
    </xf>
    <xf numFmtId="167" fontId="79" fillId="86" borderId="19" xfId="93" applyFont="1" applyFill="1" applyBorder="1" applyAlignment="1">
      <alignment wrapText="1"/>
    </xf>
    <xf numFmtId="167" fontId="79" fillId="86" borderId="0" xfId="93" applyFont="1" applyFill="1" applyBorder="1" applyAlignment="1">
      <alignment wrapText="1"/>
    </xf>
    <xf numFmtId="167" fontId="0" fillId="0" borderId="0" xfId="93" applyFont="1" applyAlignment="1">
      <alignment wrapText="1"/>
    </xf>
    <xf numFmtId="167" fontId="87" fillId="87" borderId="0" xfId="93" applyFont="1" applyFill="1" applyAlignment="1">
      <alignment wrapText="1"/>
    </xf>
    <xf numFmtId="14" fontId="0" fillId="89" borderId="19" xfId="0" applyNumberFormat="1" applyFill="1" applyBorder="1" applyAlignment="1">
      <alignment horizontal="center" vertical="center"/>
    </xf>
    <xf numFmtId="0" fontId="0" fillId="89" borderId="13" xfId="0" applyFill="1" applyBorder="1" applyAlignment="1">
      <alignment horizontal="center"/>
    </xf>
    <xf numFmtId="167" fontId="87" fillId="89" borderId="0" xfId="93" applyFont="1" applyFill="1" applyBorder="1" applyAlignment="1">
      <alignment horizontal="left" wrapText="1"/>
    </xf>
    <xf numFmtId="4" fontId="21" fillId="89" borderId="0" xfId="0" applyNumberFormat="1" applyFont="1" applyFill="1" applyAlignment="1">
      <alignment horizontal="right" vertical="center"/>
    </xf>
    <xf numFmtId="186" fontId="21" fillId="89" borderId="0" xfId="0" applyNumberFormat="1" applyFont="1" applyFill="1" applyAlignment="1">
      <alignment horizontal="right" vertical="center"/>
    </xf>
    <xf numFmtId="175" fontId="21" fillId="89" borderId="0" xfId="166" applyNumberFormat="1" applyFont="1" applyFill="1" applyBorder="1" applyAlignment="1">
      <alignment horizontal="right" vertical="center"/>
    </xf>
    <xf numFmtId="167" fontId="78" fillId="90" borderId="0" xfId="93" applyFont="1" applyFill="1" applyBorder="1" applyAlignment="1">
      <alignment horizontal="left" wrapText="1"/>
    </xf>
    <xf numFmtId="167" fontId="0" fillId="25" borderId="13" xfId="0" applyNumberFormat="1" applyFill="1" applyBorder="1" applyAlignment="1">
      <alignment horizontal="center" vertical="center"/>
    </xf>
    <xf numFmtId="207" fontId="0" fillId="67" borderId="0" xfId="0" applyNumberFormat="1" applyFill="1"/>
    <xf numFmtId="210" fontId="0" fillId="67" borderId="0" xfId="0" applyNumberFormat="1" applyFill="1"/>
    <xf numFmtId="186" fontId="113" fillId="80" borderId="0" xfId="0" applyNumberFormat="1" applyFont="1" applyFill="1" applyAlignment="1">
      <alignment horizontal="right"/>
    </xf>
    <xf numFmtId="176" fontId="0" fillId="66" borderId="0" xfId="0" applyNumberFormat="1" applyFill="1"/>
    <xf numFmtId="214" fontId="113" fillId="80" borderId="0" xfId="0" applyNumberFormat="1" applyFont="1" applyFill="1" applyAlignment="1">
      <alignment horizontal="right"/>
    </xf>
    <xf numFmtId="14" fontId="59" fillId="27" borderId="0" xfId="0" applyNumberFormat="1" applyFont="1" applyFill="1" applyAlignment="1">
      <alignment horizontal="center"/>
    </xf>
    <xf numFmtId="173" fontId="23" fillId="0" borderId="0" xfId="166" applyNumberFormat="1" applyFont="1"/>
    <xf numFmtId="14" fontId="0" fillId="81" borderId="0" xfId="0" applyNumberFormat="1" applyFill="1"/>
    <xf numFmtId="167" fontId="21" fillId="25" borderId="19" xfId="0" applyNumberFormat="1" applyFont="1" applyFill="1" applyBorder="1" applyAlignment="1">
      <alignment horizontal="center"/>
    </xf>
    <xf numFmtId="2" fontId="21" fillId="25" borderId="0" xfId="0" applyNumberFormat="1" applyFont="1" applyFill="1" applyAlignment="1">
      <alignment horizontal="right" vertical="center"/>
    </xf>
    <xf numFmtId="0" fontId="0" fillId="73" borderId="0" xfId="0" applyFill="1" applyAlignment="1">
      <alignment horizontal="center"/>
    </xf>
    <xf numFmtId="4" fontId="0" fillId="69" borderId="25" xfId="0" applyNumberFormat="1" applyFill="1" applyBorder="1" applyAlignment="1">
      <alignment horizontal="center" vertical="center"/>
    </xf>
    <xf numFmtId="4" fontId="0" fillId="69" borderId="13" xfId="0" applyNumberFormat="1" applyFill="1" applyBorder="1" applyAlignment="1">
      <alignment horizontal="center" vertical="center"/>
    </xf>
    <xf numFmtId="4" fontId="0" fillId="27" borderId="13" xfId="0" applyNumberFormat="1" applyFill="1" applyBorder="1" applyAlignment="1">
      <alignment horizontal="center" vertical="center"/>
    </xf>
    <xf numFmtId="168" fontId="88" fillId="73" borderId="0" xfId="83" applyFont="1" applyFill="1" applyAlignment="1">
      <alignment horizontal="center"/>
    </xf>
    <xf numFmtId="168" fontId="0" fillId="26" borderId="0" xfId="83" applyFont="1" applyFill="1" applyAlignment="1">
      <alignment horizontal="center"/>
    </xf>
    <xf numFmtId="168" fontId="22" fillId="19" borderId="11" xfId="83" applyFont="1" applyFill="1" applyBorder="1" applyAlignment="1">
      <alignment horizontal="center"/>
    </xf>
    <xf numFmtId="168" fontId="88" fillId="69" borderId="25" xfId="83" applyFont="1" applyFill="1" applyBorder="1" applyAlignment="1">
      <alignment horizontal="center" vertical="center"/>
    </xf>
    <xf numFmtId="168" fontId="88" fillId="69" borderId="13" xfId="83" applyFont="1" applyFill="1" applyBorder="1" applyAlignment="1">
      <alignment horizontal="center" vertical="center"/>
    </xf>
    <xf numFmtId="168" fontId="0" fillId="25" borderId="13" xfId="83" applyFont="1" applyFill="1" applyBorder="1" applyAlignment="1">
      <alignment horizontal="center" vertical="center"/>
    </xf>
    <xf numFmtId="168" fontId="0" fillId="27" borderId="13" xfId="83" applyFont="1" applyFill="1" applyBorder="1" applyAlignment="1">
      <alignment horizontal="center" vertical="center"/>
    </xf>
    <xf numFmtId="9" fontId="23" fillId="0" borderId="0" xfId="0" applyNumberFormat="1" applyFont="1"/>
    <xf numFmtId="167" fontId="0" fillId="77" borderId="25" xfId="0" applyNumberFormat="1" applyFill="1" applyBorder="1" applyAlignment="1">
      <alignment horizontal="right" vertical="center"/>
    </xf>
    <xf numFmtId="167" fontId="21" fillId="77" borderId="0" xfId="0" applyNumberFormat="1" applyFont="1" applyFill="1" applyAlignment="1">
      <alignment horizontal="right" vertical="center"/>
    </xf>
    <xf numFmtId="4" fontId="21" fillId="77" borderId="0" xfId="0" applyNumberFormat="1" applyFont="1" applyFill="1" applyAlignment="1">
      <alignment horizontal="right" vertical="center"/>
    </xf>
    <xf numFmtId="175" fontId="21" fillId="77" borderId="0" xfId="166" applyNumberFormat="1" applyFont="1" applyFill="1" applyBorder="1" applyAlignment="1">
      <alignment horizontal="right" vertical="center"/>
    </xf>
    <xf numFmtId="206" fontId="0" fillId="25" borderId="0" xfId="0" applyNumberFormat="1" applyFill="1" applyAlignment="1">
      <alignment horizontal="right" vertical="center"/>
    </xf>
    <xf numFmtId="206" fontId="59" fillId="25" borderId="0" xfId="0" applyNumberFormat="1" applyFont="1" applyFill="1" applyAlignment="1">
      <alignment horizontal="right" vertical="center"/>
    </xf>
    <xf numFmtId="9" fontId="41" fillId="0" borderId="0" xfId="166" applyFont="1" applyAlignment="1">
      <alignment horizontal="center"/>
    </xf>
    <xf numFmtId="207" fontId="0" fillId="66" borderId="0" xfId="0" applyNumberFormat="1" applyFill="1"/>
    <xf numFmtId="194" fontId="63" fillId="66" borderId="0" xfId="83" applyNumberFormat="1" applyFont="1" applyFill="1" applyAlignment="1">
      <alignment horizontal="right"/>
    </xf>
    <xf numFmtId="168" fontId="0" fillId="69" borderId="13" xfId="83" applyFont="1" applyFill="1" applyBorder="1" applyAlignment="1">
      <alignment horizontal="center" vertical="center"/>
    </xf>
    <xf numFmtId="196" fontId="21" fillId="69" borderId="0" xfId="0" applyNumberFormat="1" applyFont="1" applyFill="1" applyAlignment="1">
      <alignment horizontal="right" vertical="center"/>
    </xf>
    <xf numFmtId="14" fontId="0" fillId="77" borderId="0" xfId="0" applyNumberFormat="1" applyFill="1" applyAlignment="1">
      <alignment horizontal="center"/>
    </xf>
    <xf numFmtId="0" fontId="0" fillId="77" borderId="13" xfId="0" applyFill="1" applyBorder="1" applyAlignment="1">
      <alignment horizontal="center"/>
    </xf>
    <xf numFmtId="167" fontId="0" fillId="77" borderId="19" xfId="0" applyNumberFormat="1" applyFill="1" applyBorder="1" applyAlignment="1">
      <alignment horizontal="right" vertical="center"/>
    </xf>
    <xf numFmtId="167" fontId="0" fillId="77" borderId="13" xfId="0" applyNumberFormat="1" applyFill="1" applyBorder="1" applyAlignment="1">
      <alignment horizontal="right" vertical="center"/>
    </xf>
    <xf numFmtId="196" fontId="21" fillId="77" borderId="0" xfId="0" applyNumberFormat="1" applyFont="1" applyFill="1" applyAlignment="1">
      <alignment horizontal="right" vertical="center"/>
    </xf>
    <xf numFmtId="197" fontId="21" fillId="77" borderId="0" xfId="0" applyNumberFormat="1" applyFont="1" applyFill="1" applyAlignment="1">
      <alignment horizontal="right" vertical="center"/>
    </xf>
    <xf numFmtId="167" fontId="59" fillId="77" borderId="0" xfId="0" applyNumberFormat="1" applyFont="1" applyFill="1" applyAlignment="1">
      <alignment horizontal="right" vertical="center"/>
    </xf>
    <xf numFmtId="206" fontId="21" fillId="77" borderId="0" xfId="0" applyNumberFormat="1" applyFont="1" applyFill="1" applyAlignment="1">
      <alignment horizontal="right" vertical="center"/>
    </xf>
    <xf numFmtId="170" fontId="21" fillId="77" borderId="0" xfId="166" applyNumberFormat="1" applyFont="1" applyFill="1" applyBorder="1" applyAlignment="1">
      <alignment horizontal="right" vertical="center"/>
    </xf>
    <xf numFmtId="0" fontId="0" fillId="77" borderId="25" xfId="0" applyFill="1" applyBorder="1" applyAlignment="1">
      <alignment horizontal="center"/>
    </xf>
    <xf numFmtId="187" fontId="21" fillId="77" borderId="0" xfId="0" applyNumberFormat="1" applyFont="1" applyFill="1" applyAlignment="1">
      <alignment horizontal="right" vertical="center"/>
    </xf>
    <xf numFmtId="167" fontId="0" fillId="92" borderId="19" xfId="0" applyNumberFormat="1" applyFill="1" applyBorder="1" applyAlignment="1">
      <alignment wrapText="1"/>
    </xf>
    <xf numFmtId="15" fontId="0" fillId="77" borderId="19" xfId="0" applyNumberFormat="1" applyFill="1" applyBorder="1" applyAlignment="1">
      <alignment horizontal="center"/>
    </xf>
    <xf numFmtId="14" fontId="0" fillId="77" borderId="19" xfId="0" applyNumberFormat="1" applyFill="1" applyBorder="1" applyAlignment="1">
      <alignment horizontal="center"/>
    </xf>
    <xf numFmtId="0" fontId="21" fillId="0" borderId="0" xfId="0" applyFont="1"/>
    <xf numFmtId="10" fontId="21" fillId="0" borderId="0" xfId="0" applyNumberFormat="1" applyFont="1"/>
    <xf numFmtId="197" fontId="113" fillId="80" borderId="0" xfId="0" applyNumberFormat="1" applyFont="1" applyFill="1" applyAlignment="1">
      <alignment horizontal="right"/>
    </xf>
    <xf numFmtId="4" fontId="21" fillId="66" borderId="0" xfId="166" applyNumberFormat="1" applyFont="1" applyFill="1"/>
    <xf numFmtId="168" fontId="21" fillId="66" borderId="0" xfId="83" applyFont="1" applyFill="1"/>
    <xf numFmtId="171" fontId="37" fillId="26" borderId="0" xfId="0" applyNumberFormat="1" applyFont="1" applyFill="1" applyAlignment="1">
      <alignment horizontal="center"/>
    </xf>
    <xf numFmtId="14" fontId="21" fillId="26" borderId="0" xfId="83" applyNumberFormat="1" applyFill="1" applyAlignment="1"/>
    <xf numFmtId="168" fontId="109" fillId="26" borderId="0" xfId="83" applyFont="1" applyFill="1" applyAlignment="1"/>
    <xf numFmtId="0" fontId="120" fillId="0" borderId="0" xfId="0" applyFont="1"/>
    <xf numFmtId="0" fontId="113" fillId="78" borderId="0" xfId="0" applyFont="1" applyFill="1" applyAlignment="1">
      <alignment horizontal="left"/>
    </xf>
    <xf numFmtId="200" fontId="63" fillId="0" borderId="0" xfId="0" applyNumberFormat="1" applyFont="1"/>
    <xf numFmtId="175" fontId="63" fillId="0" borderId="0" xfId="0" applyNumberFormat="1" applyFont="1"/>
    <xf numFmtId="0" fontId="0" fillId="81" borderId="0" xfId="0" applyFill="1"/>
    <xf numFmtId="14" fontId="21" fillId="81" borderId="0" xfId="166" applyNumberFormat="1" applyFill="1"/>
    <xf numFmtId="0" fontId="63" fillId="81" borderId="0" xfId="0" applyFont="1" applyFill="1"/>
    <xf numFmtId="10" fontId="21" fillId="81" borderId="0" xfId="166" applyNumberFormat="1" applyFill="1"/>
    <xf numFmtId="4" fontId="21" fillId="81" borderId="0" xfId="83" applyNumberFormat="1" applyFill="1"/>
    <xf numFmtId="168" fontId="21" fillId="81" borderId="0" xfId="83" applyFill="1"/>
    <xf numFmtId="4" fontId="0" fillId="81" borderId="0" xfId="0" applyNumberFormat="1" applyFill="1"/>
    <xf numFmtId="4" fontId="63" fillId="81" borderId="0" xfId="0" applyNumberFormat="1" applyFont="1" applyFill="1"/>
    <xf numFmtId="4" fontId="73" fillId="81" borderId="0" xfId="166" applyNumberFormat="1" applyFont="1" applyFill="1"/>
    <xf numFmtId="170" fontId="21" fillId="81" borderId="0" xfId="166" applyNumberFormat="1" applyFill="1"/>
    <xf numFmtId="200" fontId="0" fillId="81" borderId="0" xfId="0" applyNumberFormat="1" applyFill="1"/>
    <xf numFmtId="200" fontId="63" fillId="81" borderId="0" xfId="0" applyNumberFormat="1" applyFont="1" applyFill="1"/>
    <xf numFmtId="173" fontId="21" fillId="81" borderId="0" xfId="166" applyNumberFormat="1" applyFill="1" applyBorder="1"/>
    <xf numFmtId="173" fontId="63" fillId="81" borderId="0" xfId="0" applyNumberFormat="1" applyFont="1" applyFill="1"/>
    <xf numFmtId="173" fontId="0" fillId="81" borderId="0" xfId="0" applyNumberFormat="1" applyFill="1"/>
    <xf numFmtId="175" fontId="0" fillId="81" borderId="0" xfId="0" applyNumberFormat="1" applyFill="1"/>
    <xf numFmtId="175" fontId="63" fillId="81" borderId="0" xfId="0" applyNumberFormat="1" applyFont="1" applyFill="1"/>
    <xf numFmtId="0" fontId="0" fillId="89" borderId="19" xfId="0" applyFill="1" applyBorder="1" applyAlignment="1">
      <alignment horizontal="right" vertical="center"/>
    </xf>
    <xf numFmtId="0" fontId="59" fillId="89" borderId="19" xfId="0" applyFont="1" applyFill="1" applyBorder="1" applyAlignment="1">
      <alignment horizontal="right" vertical="center"/>
    </xf>
    <xf numFmtId="0" fontId="59" fillId="78" borderId="19" xfId="0" applyFont="1" applyFill="1" applyBorder="1" applyAlignment="1">
      <alignment horizontal="right" vertical="center"/>
    </xf>
    <xf numFmtId="0" fontId="21" fillId="78" borderId="0" xfId="0" applyFont="1" applyFill="1" applyAlignment="1">
      <alignment horizontal="right" vertical="center"/>
    </xf>
    <xf numFmtId="0" fontId="87" fillId="78" borderId="0" xfId="93" applyNumberFormat="1" applyFont="1" applyFill="1" applyBorder="1" applyAlignment="1">
      <alignment wrapText="1"/>
    </xf>
    <xf numFmtId="0" fontId="87" fillId="78" borderId="19" xfId="93" applyNumberFormat="1" applyFont="1" applyFill="1" applyBorder="1" applyAlignment="1">
      <alignment wrapText="1"/>
    </xf>
    <xf numFmtId="0" fontId="21" fillId="69" borderId="19" xfId="0" applyFont="1" applyFill="1" applyBorder="1" applyAlignment="1">
      <alignment horizontal="center"/>
    </xf>
    <xf numFmtId="10" fontId="0" fillId="66" borderId="0" xfId="166" applyNumberFormat="1" applyFont="1" applyFill="1"/>
    <xf numFmtId="189" fontId="0" fillId="0" borderId="0" xfId="0" applyNumberFormat="1"/>
    <xf numFmtId="0" fontId="0" fillId="0" borderId="17" xfId="0" applyBorder="1"/>
    <xf numFmtId="170" fontId="0" fillId="0" borderId="17" xfId="166" applyNumberFormat="1" applyFont="1" applyBorder="1"/>
    <xf numFmtId="173" fontId="0" fillId="0" borderId="17" xfId="166" applyNumberFormat="1" applyFont="1" applyBorder="1"/>
    <xf numFmtId="208" fontId="63" fillId="0" borderId="0" xfId="0" applyNumberFormat="1" applyFont="1"/>
    <xf numFmtId="14" fontId="21" fillId="25" borderId="19" xfId="0" applyNumberFormat="1" applyFont="1" applyFill="1" applyBorder="1" applyAlignment="1">
      <alignment horizontal="center"/>
    </xf>
    <xf numFmtId="0" fontId="64" fillId="78" borderId="0" xfId="0" applyFont="1" applyFill="1" applyAlignment="1">
      <alignment horizontal="center"/>
    </xf>
    <xf numFmtId="0" fontId="121" fillId="78" borderId="0" xfId="0" applyFont="1" applyFill="1"/>
    <xf numFmtId="4" fontId="21" fillId="67" borderId="0" xfId="166" applyNumberFormat="1" applyFill="1"/>
    <xf numFmtId="10" fontId="64" fillId="0" borderId="10" xfId="0" applyNumberFormat="1" applyFont="1" applyBorder="1"/>
    <xf numFmtId="206" fontId="21" fillId="67" borderId="0" xfId="166" applyNumberFormat="1" applyFill="1"/>
    <xf numFmtId="173" fontId="21" fillId="67" borderId="0" xfId="166" applyNumberFormat="1" applyFill="1"/>
    <xf numFmtId="213" fontId="21" fillId="67" borderId="0" xfId="166" applyNumberFormat="1" applyFill="1"/>
    <xf numFmtId="168" fontId="113" fillId="80" borderId="0" xfId="83" applyFont="1" applyFill="1" applyAlignment="1">
      <alignment horizontal="right"/>
    </xf>
    <xf numFmtId="4" fontId="21" fillId="73" borderId="13" xfId="319" applyNumberFormat="1" applyFont="1" applyFill="1" applyBorder="1" applyAlignment="1">
      <alignment horizontal="center"/>
    </xf>
    <xf numFmtId="4" fontId="21" fillId="73" borderId="25" xfId="319" applyNumberFormat="1" applyFont="1" applyFill="1" applyBorder="1" applyAlignment="1">
      <alignment horizontal="center" vertical="center"/>
    </xf>
    <xf numFmtId="4" fontId="21" fillId="73" borderId="13" xfId="319" applyNumberFormat="1" applyFont="1" applyFill="1" applyBorder="1" applyAlignment="1">
      <alignment horizontal="center" vertical="center"/>
    </xf>
    <xf numFmtId="0" fontId="0" fillId="25" borderId="13" xfId="0" applyFill="1" applyBorder="1" applyAlignment="1">
      <alignment horizontal="right"/>
    </xf>
    <xf numFmtId="0" fontId="0" fillId="25" borderId="13" xfId="0" applyFill="1" applyBorder="1" applyAlignment="1">
      <alignment horizontal="center" vertical="center"/>
    </xf>
    <xf numFmtId="0" fontId="21" fillId="25" borderId="0" xfId="0" applyFont="1" applyFill="1" applyAlignment="1">
      <alignment horizontal="center" vertical="center"/>
    </xf>
    <xf numFmtId="0" fontId="59" fillId="25" borderId="0" xfId="0" applyFont="1" applyFill="1" applyAlignment="1">
      <alignment horizontal="right" vertical="center"/>
    </xf>
    <xf numFmtId="216" fontId="21" fillId="67" borderId="0" xfId="83" applyNumberFormat="1" applyFill="1"/>
    <xf numFmtId="216" fontId="63" fillId="0" borderId="0" xfId="0" applyNumberFormat="1" applyFont="1"/>
    <xf numFmtId="216" fontId="21" fillId="67" borderId="0" xfId="166" applyNumberFormat="1" applyFill="1"/>
    <xf numFmtId="217" fontId="21" fillId="67" borderId="0" xfId="166" applyNumberFormat="1" applyFill="1"/>
    <xf numFmtId="4" fontId="0" fillId="25" borderId="13" xfId="83" applyNumberFormat="1" applyFont="1" applyFill="1" applyBorder="1" applyAlignment="1">
      <alignment horizontal="center" vertical="center"/>
    </xf>
    <xf numFmtId="4" fontId="0" fillId="27" borderId="13" xfId="83" applyNumberFormat="1" applyFont="1" applyFill="1" applyBorder="1" applyAlignment="1">
      <alignment horizontal="center" vertical="center"/>
    </xf>
    <xf numFmtId="173" fontId="21" fillId="69" borderId="0" xfId="166" applyNumberFormat="1" applyFont="1" applyFill="1" applyBorder="1" applyAlignment="1">
      <alignment horizontal="right" vertical="center"/>
    </xf>
    <xf numFmtId="173" fontId="0" fillId="25" borderId="13" xfId="166" applyNumberFormat="1" applyFont="1" applyFill="1" applyBorder="1" applyAlignment="1">
      <alignment horizontal="right"/>
    </xf>
    <xf numFmtId="173" fontId="21" fillId="25" borderId="0" xfId="166" applyNumberFormat="1" applyFont="1" applyFill="1" applyBorder="1" applyAlignment="1">
      <alignment horizontal="right" vertical="center"/>
    </xf>
    <xf numFmtId="4" fontId="21" fillId="69" borderId="0" xfId="166" applyNumberFormat="1" applyFont="1" applyFill="1" applyBorder="1" applyAlignment="1">
      <alignment horizontal="right" vertical="center"/>
    </xf>
    <xf numFmtId="4" fontId="0" fillId="25" borderId="13" xfId="166" applyNumberFormat="1" applyFont="1" applyFill="1" applyBorder="1" applyAlignment="1">
      <alignment horizontal="right"/>
    </xf>
    <xf numFmtId="186" fontId="21" fillId="69" borderId="0" xfId="166" applyNumberFormat="1" applyFont="1" applyFill="1" applyBorder="1" applyAlignment="1">
      <alignment horizontal="right" vertical="center"/>
    </xf>
    <xf numFmtId="14" fontId="0" fillId="25" borderId="13" xfId="166" applyNumberFormat="1" applyFont="1" applyFill="1" applyBorder="1" applyAlignment="1">
      <alignment horizontal="right"/>
    </xf>
    <xf numFmtId="14" fontId="21" fillId="25" borderId="0" xfId="0" applyNumberFormat="1" applyFont="1" applyFill="1" applyAlignment="1">
      <alignment horizontal="right" vertical="center"/>
    </xf>
    <xf numFmtId="4" fontId="59" fillId="25" borderId="0" xfId="0" applyNumberFormat="1" applyFont="1" applyFill="1" applyAlignment="1">
      <alignment horizontal="right" vertical="center"/>
    </xf>
    <xf numFmtId="169" fontId="23" fillId="0" borderId="17" xfId="0" applyNumberFormat="1" applyFont="1" applyBorder="1" applyAlignment="1">
      <alignment horizontal="center"/>
    </xf>
    <xf numFmtId="218" fontId="21" fillId="66" borderId="0" xfId="166" applyNumberFormat="1" applyFill="1" applyBorder="1"/>
    <xf numFmtId="0" fontId="116" fillId="0" borderId="0" xfId="0" applyFont="1"/>
    <xf numFmtId="0" fontId="24" fillId="0" borderId="18" xfId="0" applyFont="1" applyBorder="1" applyAlignment="1">
      <alignment horizontal="center"/>
    </xf>
    <xf numFmtId="14" fontId="116" fillId="0" borderId="0" xfId="0" applyNumberFormat="1" applyFont="1"/>
    <xf numFmtId="3" fontId="24" fillId="0" borderId="0" xfId="0" applyNumberFormat="1" applyFont="1"/>
    <xf numFmtId="14" fontId="24" fillId="0" borderId="0" xfId="0" applyNumberFormat="1" applyFont="1"/>
    <xf numFmtId="170" fontId="22" fillId="20" borderId="0" xfId="166" applyNumberFormat="1" applyFont="1" applyFill="1"/>
    <xf numFmtId="170" fontId="22" fillId="20" borderId="0" xfId="0" applyNumberFormat="1" applyFont="1" applyFill="1"/>
    <xf numFmtId="170" fontId="24" fillId="0" borderId="0" xfId="0" applyNumberFormat="1" applyFont="1" applyAlignment="1">
      <alignment horizontal="center"/>
    </xf>
    <xf numFmtId="170" fontId="21" fillId="0" borderId="0" xfId="166" applyNumberFormat="1" applyFont="1" applyAlignment="1">
      <alignment horizontal="center"/>
    </xf>
    <xf numFmtId="186" fontId="73" fillId="66" borderId="0" xfId="166" applyNumberFormat="1" applyFont="1" applyFill="1"/>
    <xf numFmtId="4" fontId="63" fillId="0" borderId="0" xfId="166" applyNumberFormat="1" applyFont="1"/>
    <xf numFmtId="207" fontId="59" fillId="25" borderId="0" xfId="0" applyNumberFormat="1" applyFont="1" applyFill="1" applyAlignment="1">
      <alignment horizontal="right" vertical="center"/>
    </xf>
    <xf numFmtId="208" fontId="59" fillId="25" borderId="0" xfId="0" applyNumberFormat="1" applyFont="1" applyFill="1" applyAlignment="1">
      <alignment horizontal="right" vertical="center"/>
    </xf>
    <xf numFmtId="200" fontId="21" fillId="25" borderId="0" xfId="0" applyNumberFormat="1" applyFont="1" applyFill="1" applyAlignment="1">
      <alignment horizontal="right" vertical="center"/>
    </xf>
    <xf numFmtId="3" fontId="21" fillId="25" borderId="19" xfId="0" applyNumberFormat="1" applyFont="1" applyFill="1" applyBorder="1" applyAlignment="1">
      <alignment horizontal="center"/>
    </xf>
    <xf numFmtId="175" fontId="0" fillId="70" borderId="0" xfId="0" applyNumberFormat="1" applyFill="1"/>
    <xf numFmtId="187" fontId="0" fillId="81" borderId="0" xfId="0" applyNumberFormat="1" applyFill="1"/>
    <xf numFmtId="187" fontId="60" fillId="0" borderId="0" xfId="83" applyNumberFormat="1" applyFont="1"/>
    <xf numFmtId="43" fontId="21" fillId="25" borderId="19" xfId="0" applyNumberFormat="1" applyFont="1" applyFill="1" applyBorder="1" applyAlignment="1">
      <alignment horizontal="center"/>
    </xf>
    <xf numFmtId="43" fontId="21" fillId="25" borderId="0" xfId="0" applyNumberFormat="1" applyFont="1" applyFill="1" applyAlignment="1">
      <alignment horizontal="right" vertical="center"/>
    </xf>
    <xf numFmtId="14" fontId="0" fillId="73" borderId="0" xfId="0" applyNumberFormat="1" applyFill="1" applyAlignment="1">
      <alignment horizontal="center"/>
    </xf>
    <xf numFmtId="176" fontId="0" fillId="0" borderId="19" xfId="166" applyNumberFormat="1" applyFont="1" applyBorder="1"/>
    <xf numFmtId="4" fontId="0" fillId="77" borderId="55" xfId="0" applyNumberFormat="1" applyFill="1" applyBorder="1" applyAlignment="1">
      <alignment horizontal="right" vertical="center"/>
    </xf>
    <xf numFmtId="167" fontId="0" fillId="77" borderId="55" xfId="0" applyNumberFormat="1" applyFill="1" applyBorder="1" applyAlignment="1">
      <alignment horizontal="right" vertical="center"/>
    </xf>
    <xf numFmtId="167" fontId="21" fillId="77" borderId="55" xfId="0" applyNumberFormat="1" applyFont="1" applyFill="1" applyBorder="1" applyAlignment="1">
      <alignment horizontal="right" vertical="center"/>
    </xf>
    <xf numFmtId="0" fontId="22" fillId="19" borderId="56" xfId="0" applyFont="1" applyFill="1" applyBorder="1" applyAlignment="1">
      <alignment horizontal="center"/>
    </xf>
    <xf numFmtId="4" fontId="21" fillId="77" borderId="56" xfId="0" applyNumberFormat="1" applyFont="1" applyFill="1" applyBorder="1" applyAlignment="1">
      <alignment horizontal="right" vertical="center"/>
    </xf>
    <xf numFmtId="0" fontId="22" fillId="19" borderId="55" xfId="0" applyFont="1" applyFill="1" applyBorder="1" applyAlignment="1">
      <alignment horizontal="center"/>
    </xf>
    <xf numFmtId="4" fontId="21" fillId="77" borderId="55" xfId="0" applyNumberFormat="1" applyFont="1" applyFill="1" applyBorder="1" applyAlignment="1">
      <alignment horizontal="right" vertical="center"/>
    </xf>
    <xf numFmtId="4" fontId="0" fillId="26" borderId="56" xfId="0" applyNumberFormat="1" applyFill="1" applyBorder="1"/>
    <xf numFmtId="4" fontId="22" fillId="19" borderId="56" xfId="0" applyNumberFormat="1" applyFont="1" applyFill="1" applyBorder="1" applyAlignment="1">
      <alignment horizontal="center"/>
    </xf>
    <xf numFmtId="175" fontId="21" fillId="77" borderId="55" xfId="166" applyNumberFormat="1" applyFont="1" applyFill="1" applyBorder="1" applyAlignment="1">
      <alignment horizontal="right" vertical="center"/>
    </xf>
    <xf numFmtId="173" fontId="21" fillId="66" borderId="0" xfId="166" applyNumberFormat="1" applyFill="1"/>
    <xf numFmtId="10" fontId="122" fillId="84" borderId="17" xfId="166" applyNumberFormat="1" applyFont="1" applyFill="1" applyBorder="1"/>
    <xf numFmtId="14" fontId="112" fillId="26" borderId="0" xfId="0" applyNumberFormat="1" applyFont="1" applyFill="1" applyAlignment="1">
      <alignment horizontal="center"/>
    </xf>
    <xf numFmtId="173" fontId="23" fillId="0" borderId="57" xfId="166" applyNumberFormat="1" applyFont="1" applyFill="1" applyBorder="1"/>
    <xf numFmtId="173" fontId="23" fillId="0" borderId="58" xfId="166" applyNumberFormat="1" applyFont="1" applyFill="1" applyBorder="1"/>
    <xf numFmtId="173" fontId="23" fillId="0" borderId="59" xfId="166" applyNumberFormat="1" applyFont="1" applyFill="1" applyBorder="1"/>
    <xf numFmtId="173" fontId="23" fillId="0" borderId="60" xfId="166" applyNumberFormat="1" applyFont="1" applyFill="1" applyBorder="1"/>
    <xf numFmtId="173" fontId="23" fillId="0" borderId="61" xfId="166" applyNumberFormat="1" applyFont="1" applyFill="1" applyBorder="1"/>
    <xf numFmtId="173" fontId="23" fillId="0" borderId="62" xfId="166" applyNumberFormat="1" applyFont="1" applyFill="1" applyBorder="1"/>
    <xf numFmtId="173" fontId="23" fillId="0" borderId="63" xfId="166" applyNumberFormat="1" applyFont="1" applyFill="1" applyBorder="1"/>
    <xf numFmtId="173" fontId="23" fillId="0" borderId="64" xfId="166" applyNumberFormat="1" applyFont="1" applyFill="1" applyBorder="1"/>
    <xf numFmtId="173" fontId="23" fillId="0" borderId="65" xfId="166" applyNumberFormat="1" applyFont="1" applyFill="1" applyBorder="1"/>
    <xf numFmtId="173" fontId="23" fillId="0" borderId="66" xfId="166" applyNumberFormat="1" applyFont="1" applyFill="1" applyBorder="1"/>
    <xf numFmtId="0" fontId="22" fillId="78" borderId="0" xfId="0" applyFont="1" applyFill="1" applyAlignment="1">
      <alignment horizontal="center"/>
    </xf>
    <xf numFmtId="0" fontId="113" fillId="74" borderId="10" xfId="0" applyFont="1" applyFill="1" applyBorder="1" applyAlignment="1">
      <alignment horizontal="center"/>
    </xf>
    <xf numFmtId="173" fontId="113" fillId="74" borderId="10" xfId="166" applyNumberFormat="1" applyFont="1" applyFill="1" applyBorder="1" applyAlignment="1">
      <alignment horizontal="center"/>
    </xf>
    <xf numFmtId="0" fontId="22" fillId="78" borderId="13" xfId="0" applyFont="1" applyFill="1" applyBorder="1" applyAlignment="1">
      <alignment horizontal="center"/>
    </xf>
    <xf numFmtId="0" fontId="22" fillId="78" borderId="15" xfId="0" applyFont="1" applyFill="1" applyBorder="1" applyAlignment="1">
      <alignment horizontal="center"/>
    </xf>
    <xf numFmtId="173" fontId="113" fillId="74" borderId="13" xfId="166" applyNumberFormat="1" applyFont="1" applyFill="1" applyBorder="1" applyAlignment="1">
      <alignment horizontal="center"/>
    </xf>
    <xf numFmtId="10" fontId="113" fillId="74" borderId="13" xfId="166" applyNumberFormat="1" applyFont="1" applyFill="1" applyBorder="1" applyAlignment="1">
      <alignment horizontal="center"/>
    </xf>
    <xf numFmtId="173" fontId="113" fillId="74" borderId="15" xfId="166" applyNumberFormat="1" applyFont="1" applyFill="1" applyBorder="1" applyAlignment="1">
      <alignment horizontal="center"/>
    </xf>
    <xf numFmtId="175" fontId="0" fillId="66" borderId="0" xfId="166" applyNumberFormat="1" applyFont="1" applyFill="1"/>
    <xf numFmtId="14" fontId="0" fillId="0" borderId="0" xfId="0" applyNumberFormat="1" applyAlignment="1">
      <alignment horizontal="center"/>
    </xf>
    <xf numFmtId="173" fontId="115" fillId="66" borderId="0" xfId="0" applyNumberFormat="1" applyFont="1" applyFill="1"/>
    <xf numFmtId="14" fontId="63" fillId="0" borderId="17" xfId="0" applyNumberFormat="1" applyFont="1" applyBorder="1"/>
    <xf numFmtId="176" fontId="21" fillId="67" borderId="0" xfId="166" applyNumberFormat="1" applyFill="1"/>
    <xf numFmtId="0" fontId="109" fillId="93" borderId="0" xfId="0" applyFont="1" applyFill="1" applyAlignment="1">
      <alignment horizontal="left"/>
    </xf>
    <xf numFmtId="196" fontId="0" fillId="81" borderId="0" xfId="0" applyNumberFormat="1" applyFill="1"/>
    <xf numFmtId="167" fontId="21" fillId="89" borderId="0" xfId="0" applyNumberFormat="1" applyFont="1" applyFill="1" applyAlignment="1">
      <alignment horizontal="right" vertical="center"/>
    </xf>
    <xf numFmtId="0" fontId="0" fillId="27" borderId="13" xfId="0" applyFill="1" applyBorder="1" applyAlignment="1">
      <alignment horizontal="right" vertical="center"/>
    </xf>
    <xf numFmtId="0" fontId="21" fillId="89" borderId="0" xfId="0" applyFont="1" applyFill="1" applyAlignment="1">
      <alignment horizontal="right" vertical="center"/>
    </xf>
    <xf numFmtId="0" fontId="78" fillId="88" borderId="0" xfId="93" applyNumberFormat="1" applyFont="1" applyFill="1" applyBorder="1" applyAlignment="1">
      <alignment wrapText="1"/>
    </xf>
    <xf numFmtId="0" fontId="79" fillId="88" borderId="0" xfId="93" applyNumberFormat="1" applyFont="1" applyFill="1" applyBorder="1" applyAlignment="1">
      <alignment wrapText="1"/>
    </xf>
    <xf numFmtId="167" fontId="21" fillId="89" borderId="19" xfId="0" applyNumberFormat="1" applyFont="1" applyFill="1" applyBorder="1" applyAlignment="1">
      <alignment horizontal="center"/>
    </xf>
    <xf numFmtId="206" fontId="0" fillId="89" borderId="0" xfId="0" applyNumberFormat="1" applyFill="1" applyAlignment="1">
      <alignment horizontal="right" vertical="center"/>
    </xf>
    <xf numFmtId="0" fontId="21" fillId="89" borderId="19" xfId="0" applyFont="1" applyFill="1" applyBorder="1" applyAlignment="1">
      <alignment horizontal="center"/>
    </xf>
    <xf numFmtId="4" fontId="21" fillId="89" borderId="19" xfId="0" applyNumberFormat="1" applyFont="1" applyFill="1" applyBorder="1" applyAlignment="1">
      <alignment horizontal="center"/>
    </xf>
    <xf numFmtId="206" fontId="59" fillId="89" borderId="0" xfId="0" applyNumberFormat="1" applyFont="1" applyFill="1" applyAlignment="1">
      <alignment horizontal="right" vertical="center"/>
    </xf>
    <xf numFmtId="2" fontId="21" fillId="89" borderId="0" xfId="0" applyNumberFormat="1" applyFont="1" applyFill="1" applyAlignment="1">
      <alignment horizontal="right" vertical="center"/>
    </xf>
    <xf numFmtId="186" fontId="0" fillId="67" borderId="0" xfId="0" applyNumberFormat="1" applyFill="1"/>
    <xf numFmtId="206" fontId="0" fillId="0" borderId="0" xfId="166" applyNumberFormat="1" applyFont="1"/>
    <xf numFmtId="176" fontId="24" fillId="0" borderId="14" xfId="166" applyNumberFormat="1" applyFont="1" applyFill="1" applyBorder="1"/>
    <xf numFmtId="221" fontId="22" fillId="20" borderId="0" xfId="0" applyNumberFormat="1" applyFont="1" applyFill="1"/>
    <xf numFmtId="175" fontId="21" fillId="81" borderId="0" xfId="166" applyNumberFormat="1" applyFill="1" applyBorder="1"/>
    <xf numFmtId="222" fontId="0" fillId="67" borderId="0" xfId="0" applyNumberFormat="1" applyFill="1"/>
    <xf numFmtId="182" fontId="63" fillId="66" borderId="0" xfId="83" applyNumberFormat="1" applyFont="1" applyFill="1" applyAlignment="1">
      <alignment horizontal="right"/>
    </xf>
    <xf numFmtId="220" fontId="0" fillId="82" borderId="0" xfId="0" applyNumberFormat="1" applyFill="1"/>
    <xf numFmtId="223" fontId="21" fillId="70" borderId="0" xfId="83" applyNumberFormat="1" applyFill="1"/>
    <xf numFmtId="0" fontId="123" fillId="0" borderId="0" xfId="0" applyFont="1"/>
    <xf numFmtId="14" fontId="21" fillId="0" borderId="0" xfId="0" applyNumberFormat="1" applyFont="1"/>
    <xf numFmtId="208" fontId="21" fillId="78" borderId="0" xfId="0" applyNumberFormat="1" applyFont="1" applyFill="1" applyAlignment="1">
      <alignment horizontal="right" vertical="center"/>
    </xf>
    <xf numFmtId="168" fontId="23" fillId="0" borderId="17" xfId="83" applyFont="1" applyBorder="1"/>
    <xf numFmtId="173" fontId="0" fillId="81" borderId="0" xfId="166" applyNumberFormat="1" applyFont="1" applyFill="1"/>
    <xf numFmtId="0" fontId="0" fillId="77" borderId="54" xfId="0" applyFill="1" applyBorder="1" applyAlignment="1">
      <alignment horizontal="center"/>
    </xf>
    <xf numFmtId="0" fontId="0" fillId="77" borderId="19" xfId="0" applyFill="1" applyBorder="1" applyAlignment="1">
      <alignment horizontal="right" vertical="center"/>
    </xf>
    <xf numFmtId="0" fontId="0" fillId="77" borderId="13" xfId="0" applyFill="1" applyBorder="1" applyAlignment="1">
      <alignment horizontal="right" vertical="center"/>
    </xf>
    <xf numFmtId="0" fontId="21" fillId="77" borderId="0" xfId="0" applyFont="1" applyFill="1" applyAlignment="1">
      <alignment horizontal="right" vertical="center"/>
    </xf>
    <xf numFmtId="167" fontId="21" fillId="0" borderId="0" xfId="93" applyFont="1" applyAlignment="1">
      <alignment wrapText="1"/>
    </xf>
    <xf numFmtId="4" fontId="0" fillId="77" borderId="13" xfId="0" applyNumberFormat="1" applyFill="1" applyBorder="1" applyAlignment="1">
      <alignment horizontal="center" vertical="center"/>
    </xf>
    <xf numFmtId="0" fontId="0" fillId="77" borderId="13" xfId="0" applyFill="1" applyBorder="1" applyAlignment="1">
      <alignment horizontal="center" vertical="center"/>
    </xf>
    <xf numFmtId="0" fontId="21" fillId="77" borderId="0" xfId="0" applyFont="1" applyFill="1" applyAlignment="1">
      <alignment horizontal="center" vertical="center"/>
    </xf>
    <xf numFmtId="213" fontId="0" fillId="81" borderId="0" xfId="0" applyNumberFormat="1" applyFill="1"/>
    <xf numFmtId="167" fontId="0" fillId="25" borderId="19" xfId="0" applyNumberFormat="1" applyFill="1" applyBorder="1" applyAlignment="1">
      <alignment horizontal="right" vertical="center"/>
    </xf>
    <xf numFmtId="167" fontId="0" fillId="27" borderId="13" xfId="0" applyNumberFormat="1" applyFill="1" applyBorder="1" applyAlignment="1">
      <alignment horizontal="right" vertical="center"/>
    </xf>
    <xf numFmtId="4" fontId="22" fillId="19" borderId="0" xfId="83" applyNumberFormat="1" applyFont="1" applyFill="1"/>
    <xf numFmtId="210" fontId="21" fillId="25" borderId="0" xfId="0" applyNumberFormat="1" applyFont="1" applyFill="1" applyAlignment="1">
      <alignment horizontal="right" vertical="center"/>
    </xf>
    <xf numFmtId="224" fontId="37" fillId="26" borderId="0" xfId="0" applyNumberFormat="1" applyFont="1" applyFill="1" applyAlignment="1">
      <alignment horizontal="left"/>
    </xf>
    <xf numFmtId="4" fontId="0" fillId="0" borderId="0" xfId="166" applyNumberFormat="1" applyFont="1" applyAlignment="1">
      <alignment horizontal="center"/>
    </xf>
    <xf numFmtId="168" fontId="124" fillId="94" borderId="0" xfId="83" applyFont="1" applyFill="1" applyBorder="1" applyAlignment="1">
      <alignment horizontal="center"/>
    </xf>
    <xf numFmtId="168" fontId="125" fillId="0" borderId="0" xfId="83" applyFont="1" applyFill="1" applyBorder="1" applyAlignment="1">
      <alignment horizontal="center"/>
    </xf>
    <xf numFmtId="14" fontId="124" fillId="94" borderId="0" xfId="83" applyNumberFormat="1" applyFont="1" applyFill="1" applyBorder="1" applyAlignment="1">
      <alignment horizontal="center"/>
    </xf>
    <xf numFmtId="14" fontId="125" fillId="0" borderId="0" xfId="83" applyNumberFormat="1" applyFont="1" applyFill="1" applyBorder="1" applyAlignment="1">
      <alignment horizontal="center"/>
    </xf>
    <xf numFmtId="4" fontId="124" fillId="94" borderId="0" xfId="83" applyNumberFormat="1" applyFont="1" applyFill="1" applyAlignment="1">
      <alignment horizontal="center"/>
    </xf>
    <xf numFmtId="171" fontId="0" fillId="0" borderId="0" xfId="166" applyNumberFormat="1" applyFont="1" applyAlignment="1">
      <alignment horizontal="center"/>
    </xf>
    <xf numFmtId="170" fontId="22" fillId="19" borderId="0" xfId="166" applyNumberFormat="1" applyFont="1" applyFill="1" applyAlignment="1">
      <alignment horizontal="center"/>
    </xf>
    <xf numFmtId="170" fontId="21" fillId="0" borderId="0" xfId="166" applyNumberFormat="1" applyFont="1"/>
    <xf numFmtId="215" fontId="24" fillId="0" borderId="14" xfId="166" applyNumberFormat="1" applyFont="1" applyFill="1" applyBorder="1"/>
    <xf numFmtId="177" fontId="0" fillId="0" borderId="19" xfId="166" applyNumberFormat="1" applyFont="1" applyBorder="1"/>
    <xf numFmtId="177" fontId="0" fillId="0" borderId="0" xfId="166" applyNumberFormat="1" applyFont="1"/>
    <xf numFmtId="4" fontId="22" fillId="79" borderId="0" xfId="0" applyNumberFormat="1" applyFont="1" applyFill="1" applyAlignment="1">
      <alignment horizontal="center"/>
    </xf>
    <xf numFmtId="177" fontId="22" fillId="79" borderId="0" xfId="166" applyNumberFormat="1" applyFont="1" applyFill="1" applyAlignment="1">
      <alignment horizontal="center"/>
    </xf>
    <xf numFmtId="0" fontId="22" fillId="79" borderId="0" xfId="0" applyFont="1" applyFill="1" applyAlignment="1">
      <alignment horizontal="center"/>
    </xf>
    <xf numFmtId="177" fontId="115" fillId="0" borderId="19" xfId="166" applyNumberFormat="1" applyFont="1" applyBorder="1"/>
    <xf numFmtId="188" fontId="0" fillId="0" borderId="19" xfId="166" applyNumberFormat="1" applyFont="1" applyBorder="1"/>
    <xf numFmtId="175" fontId="24" fillId="0" borderId="14" xfId="166" applyNumberFormat="1" applyFont="1" applyFill="1" applyBorder="1"/>
    <xf numFmtId="177" fontId="116" fillId="0" borderId="14" xfId="166" applyNumberFormat="1" applyFont="1" applyFill="1" applyBorder="1"/>
    <xf numFmtId="0" fontId="126" fillId="95" borderId="17" xfId="0" applyFont="1" applyFill="1" applyBorder="1" applyAlignment="1">
      <alignment horizontal="center" vertical="center" wrapText="1"/>
    </xf>
    <xf numFmtId="170" fontId="127" fillId="95" borderId="17" xfId="166" applyNumberFormat="1" applyFont="1" applyFill="1" applyBorder="1" applyAlignment="1">
      <alignment horizontal="center" vertical="center" wrapText="1"/>
    </xf>
    <xf numFmtId="14" fontId="126" fillId="95" borderId="17" xfId="0" applyNumberFormat="1" applyFont="1" applyFill="1" applyBorder="1" applyAlignment="1">
      <alignment horizontal="center" vertical="center" wrapText="1"/>
    </xf>
    <xf numFmtId="172" fontId="126" fillId="95" borderId="17" xfId="0" applyNumberFormat="1" applyFont="1" applyFill="1" applyBorder="1" applyAlignment="1">
      <alignment horizontal="center" vertical="center" wrapText="1"/>
    </xf>
    <xf numFmtId="4" fontId="126" fillId="95" borderId="17" xfId="0" applyNumberFormat="1" applyFont="1" applyFill="1" applyBorder="1" applyAlignment="1">
      <alignment horizontal="center" vertical="center" wrapText="1"/>
    </xf>
    <xf numFmtId="4" fontId="128" fillId="67" borderId="17" xfId="0" applyNumberFormat="1" applyFont="1" applyFill="1" applyBorder="1" applyAlignment="1">
      <alignment horizontal="center" vertical="center" wrapText="1"/>
    </xf>
    <xf numFmtId="199" fontId="111" fillId="79" borderId="0" xfId="0" applyNumberFormat="1" applyFont="1" applyFill="1"/>
    <xf numFmtId="0" fontId="0" fillId="0" borderId="17" xfId="0" applyBorder="1" applyAlignment="1">
      <alignment horizontal="center"/>
    </xf>
    <xf numFmtId="170" fontId="21" fillId="0" borderId="17" xfId="166" applyNumberFormat="1" applyFont="1" applyBorder="1" applyAlignment="1">
      <alignment horizontal="center"/>
    </xf>
    <xf numFmtId="0" fontId="22" fillId="0" borderId="17" xfId="0" applyFont="1" applyBorder="1" applyAlignment="1">
      <alignment horizontal="center"/>
    </xf>
    <xf numFmtId="206" fontId="0" fillId="0" borderId="0" xfId="0" applyNumberFormat="1"/>
    <xf numFmtId="177" fontId="0" fillId="0" borderId="0" xfId="0" applyNumberFormat="1"/>
    <xf numFmtId="206" fontId="21" fillId="64" borderId="0" xfId="0" applyNumberFormat="1" applyFont="1" applyFill="1" applyAlignment="1">
      <alignment horizontal="right" vertical="center"/>
    </xf>
    <xf numFmtId="171" fontId="37" fillId="26" borderId="0" xfId="166" applyNumberFormat="1" applyFont="1" applyFill="1" applyBorder="1" applyAlignment="1">
      <alignment horizontal="center"/>
    </xf>
    <xf numFmtId="171" fontId="0" fillId="70" borderId="0" xfId="0" applyNumberFormat="1" applyFill="1"/>
    <xf numFmtId="9" fontId="63" fillId="0" borderId="0" xfId="166" applyFont="1"/>
    <xf numFmtId="171" fontId="21" fillId="66" borderId="0" xfId="166" applyNumberFormat="1" applyFill="1" applyBorder="1"/>
    <xf numFmtId="4" fontId="22" fillId="78" borderId="17" xfId="0" applyNumberFormat="1" applyFont="1" applyFill="1" applyBorder="1"/>
    <xf numFmtId="4" fontId="0" fillId="0" borderId="17" xfId="0" applyNumberFormat="1" applyBorder="1"/>
    <xf numFmtId="173" fontId="126" fillId="95" borderId="17" xfId="166" applyNumberFormat="1" applyFont="1" applyFill="1" applyBorder="1" applyAlignment="1">
      <alignment horizontal="center" vertical="center" wrapText="1"/>
    </xf>
    <xf numFmtId="11" fontId="21" fillId="25" borderId="19" xfId="0" applyNumberFormat="1" applyFont="1" applyFill="1" applyBorder="1" applyAlignment="1">
      <alignment horizontal="center"/>
    </xf>
    <xf numFmtId="0" fontId="0" fillId="0" borderId="27" xfId="0" applyBorder="1"/>
    <xf numFmtId="10" fontId="129" fillId="0" borderId="10" xfId="0" applyNumberFormat="1" applyFont="1" applyBorder="1" applyAlignment="1">
      <alignment horizontal="center"/>
    </xf>
    <xf numFmtId="0" fontId="0" fillId="0" borderId="25" xfId="0" applyBorder="1"/>
    <xf numFmtId="0" fontId="0" fillId="0" borderId="13" xfId="0" applyBorder="1"/>
    <xf numFmtId="0" fontId="0" fillId="25" borderId="25" xfId="0" applyFill="1" applyBorder="1"/>
    <xf numFmtId="0" fontId="0" fillId="25" borderId="13" xfId="0" applyFill="1" applyBorder="1"/>
    <xf numFmtId="3" fontId="0" fillId="25" borderId="13" xfId="0" applyNumberFormat="1" applyFill="1" applyBorder="1"/>
    <xf numFmtId="0" fontId="0" fillId="25" borderId="15" xfId="0" applyFill="1" applyBorder="1"/>
    <xf numFmtId="0" fontId="0" fillId="0" borderId="15" xfId="0" applyBorder="1"/>
    <xf numFmtId="0" fontId="130" fillId="74" borderId="17" xfId="0" applyFont="1" applyFill="1" applyBorder="1" applyAlignment="1">
      <alignment horizontal="center"/>
    </xf>
    <xf numFmtId="14" fontId="60" fillId="0" borderId="0" xfId="166" applyNumberFormat="1" applyFont="1" applyAlignment="1">
      <alignment horizontal="center"/>
    </xf>
    <xf numFmtId="3" fontId="0" fillId="0" borderId="17" xfId="0" applyNumberFormat="1" applyBorder="1" applyAlignment="1">
      <alignment horizontal="center"/>
    </xf>
    <xf numFmtId="169" fontId="0" fillId="0" borderId="17" xfId="83" applyNumberFormat="1" applyFont="1" applyBorder="1" applyAlignment="1"/>
    <xf numFmtId="187" fontId="131" fillId="0" borderId="0" xfId="166" applyNumberFormat="1" applyFont="1"/>
    <xf numFmtId="4" fontId="37" fillId="0" borderId="0" xfId="0" applyNumberFormat="1" applyFont="1" applyAlignment="1">
      <alignment horizontal="center"/>
    </xf>
    <xf numFmtId="4" fontId="21" fillId="0" borderId="0" xfId="83" applyNumberFormat="1" applyFill="1" applyAlignment="1"/>
    <xf numFmtId="4" fontId="22" fillId="0" borderId="0" xfId="0" applyNumberFormat="1" applyFont="1" applyAlignment="1">
      <alignment horizontal="center"/>
    </xf>
    <xf numFmtId="206" fontId="0" fillId="0" borderId="0" xfId="0" applyNumberFormat="1" applyAlignment="1">
      <alignment horizontal="right" vertical="center"/>
    </xf>
    <xf numFmtId="196" fontId="21" fillId="0" borderId="0" xfId="0" applyNumberFormat="1" applyFont="1" applyAlignment="1">
      <alignment horizontal="right" vertical="center"/>
    </xf>
    <xf numFmtId="14" fontId="0" fillId="0" borderId="19" xfId="0" applyNumberFormat="1" applyBorder="1" applyAlignment="1">
      <alignment horizontal="center"/>
    </xf>
    <xf numFmtId="0" fontId="21" fillId="0" borderId="19" xfId="0" applyFont="1" applyBorder="1" applyAlignment="1">
      <alignment horizontal="center"/>
    </xf>
    <xf numFmtId="4" fontId="21" fillId="0" borderId="19" xfId="0" applyNumberFormat="1" applyFont="1" applyBorder="1" applyAlignment="1">
      <alignment horizontal="center"/>
    </xf>
    <xf numFmtId="4" fontId="21" fillId="0" borderId="0" xfId="0" applyNumberFormat="1" applyFont="1" applyAlignment="1">
      <alignment horizontal="right" vertical="center"/>
    </xf>
    <xf numFmtId="175" fontId="21" fillId="0" borderId="0" xfId="166" applyNumberFormat="1" applyFont="1" applyFill="1" applyBorder="1" applyAlignment="1">
      <alignment horizontal="right" vertical="center"/>
    </xf>
    <xf numFmtId="168" fontId="21" fillId="0" borderId="0" xfId="83" applyFill="1" applyAlignment="1"/>
    <xf numFmtId="10" fontId="111" fillId="0" borderId="0" xfId="0" applyNumberFormat="1" applyFont="1" applyAlignment="1">
      <alignment horizontal="center"/>
    </xf>
    <xf numFmtId="0" fontId="111" fillId="0" borderId="0" xfId="0" applyFont="1" applyAlignment="1">
      <alignment horizontal="center"/>
    </xf>
    <xf numFmtId="4" fontId="118" fillId="0" borderId="0" xfId="0" applyNumberFormat="1" applyFont="1"/>
    <xf numFmtId="168" fontId="113" fillId="0" borderId="0" xfId="83" applyFont="1" applyFill="1" applyAlignment="1"/>
    <xf numFmtId="4" fontId="113" fillId="0" borderId="0" xfId="0" applyNumberFormat="1" applyFont="1"/>
    <xf numFmtId="168" fontId="118" fillId="0" borderId="0" xfId="83" applyFont="1" applyFill="1" applyAlignment="1"/>
    <xf numFmtId="168" fontId="111" fillId="0" borderId="0" xfId="83" applyFont="1" applyFill="1" applyBorder="1" applyAlignment="1">
      <alignment horizontal="center"/>
    </xf>
    <xf numFmtId="193" fontId="111" fillId="0" borderId="0" xfId="0" applyNumberFormat="1" applyFont="1" applyAlignment="1">
      <alignment horizontal="center"/>
    </xf>
    <xf numFmtId="4" fontId="111" fillId="0" borderId="0" xfId="0" applyNumberFormat="1" applyFont="1" applyAlignment="1">
      <alignment horizontal="center"/>
    </xf>
    <xf numFmtId="209" fontId="111" fillId="0" borderId="0" xfId="0" applyNumberFormat="1" applyFont="1" applyAlignment="1">
      <alignment horizontal="left"/>
    </xf>
    <xf numFmtId="206" fontId="111" fillId="0" borderId="0" xfId="0" applyNumberFormat="1" applyFont="1" applyAlignment="1">
      <alignment horizontal="center"/>
    </xf>
    <xf numFmtId="14" fontId="118" fillId="0" borderId="0" xfId="0" applyNumberFormat="1" applyFont="1"/>
    <xf numFmtId="190" fontId="118" fillId="0" borderId="0" xfId="83" applyNumberFormat="1" applyFont="1" applyFill="1" applyAlignment="1"/>
    <xf numFmtId="186" fontId="21" fillId="0" borderId="0" xfId="0" applyNumberFormat="1" applyFont="1" applyAlignment="1">
      <alignment horizontal="right" vertical="center"/>
    </xf>
    <xf numFmtId="206" fontId="59" fillId="0" borderId="0" xfId="0" applyNumberFormat="1" applyFont="1" applyAlignment="1">
      <alignment horizontal="right" vertical="center"/>
    </xf>
    <xf numFmtId="49" fontId="21" fillId="0" borderId="19" xfId="0" applyNumberFormat="1" applyFont="1" applyBorder="1" applyAlignment="1">
      <alignment horizontal="center"/>
    </xf>
    <xf numFmtId="49" fontId="21" fillId="0" borderId="0" xfId="0" applyNumberFormat="1" applyFont="1" applyAlignment="1">
      <alignment horizontal="right" vertical="center"/>
    </xf>
    <xf numFmtId="0" fontId="0" fillId="83" borderId="0" xfId="0" applyFill="1"/>
    <xf numFmtId="10" fontId="108" fillId="83" borderId="0" xfId="166" applyNumberFormat="1" applyFont="1" applyFill="1" applyAlignment="1">
      <alignment horizontal="center"/>
    </xf>
    <xf numFmtId="169" fontId="108" fillId="83" borderId="0" xfId="83" applyNumberFormat="1" applyFont="1" applyFill="1"/>
    <xf numFmtId="173" fontId="108" fillId="83" borderId="0" xfId="166" applyNumberFormat="1" applyFont="1" applyFill="1" applyAlignment="1">
      <alignment horizontal="center"/>
    </xf>
    <xf numFmtId="169" fontId="108" fillId="83" borderId="0" xfId="83" applyNumberFormat="1" applyFont="1" applyFill="1" applyAlignment="1"/>
    <xf numFmtId="175" fontId="108" fillId="83" borderId="0" xfId="166" applyNumberFormat="1" applyFont="1" applyFill="1" applyAlignment="1">
      <alignment horizontal="center"/>
    </xf>
    <xf numFmtId="0" fontId="118" fillId="83" borderId="0" xfId="0" applyFont="1" applyFill="1"/>
    <xf numFmtId="0" fontId="134" fillId="78" borderId="11" xfId="0" applyFont="1" applyFill="1" applyBorder="1"/>
    <xf numFmtId="14" fontId="134" fillId="78" borderId="12" xfId="0" applyNumberFormat="1" applyFont="1" applyFill="1" applyBorder="1"/>
    <xf numFmtId="168" fontId="21" fillId="83" borderId="0" xfId="83" applyFill="1"/>
    <xf numFmtId="4" fontId="0" fillId="83" borderId="0" xfId="0" applyNumberFormat="1" applyFill="1"/>
    <xf numFmtId="0" fontId="118" fillId="0" borderId="10" xfId="0" applyFont="1" applyBorder="1"/>
    <xf numFmtId="0" fontId="111" fillId="0" borderId="10" xfId="0" applyFont="1" applyBorder="1" applyAlignment="1">
      <alignment horizontal="center" wrapText="1"/>
    </xf>
    <xf numFmtId="49" fontId="133" fillId="83" borderId="10" xfId="83" applyNumberFormat="1" applyFont="1" applyFill="1" applyBorder="1" applyAlignment="1"/>
    <xf numFmtId="0" fontId="22" fillId="83" borderId="25" xfId="0" applyFont="1" applyFill="1" applyBorder="1" applyAlignment="1">
      <alignment horizontal="center" vertical="center"/>
    </xf>
    <xf numFmtId="0" fontId="22" fillId="83" borderId="11" xfId="0" applyFont="1" applyFill="1" applyBorder="1" applyAlignment="1">
      <alignment horizontal="center"/>
    </xf>
    <xf numFmtId="0" fontId="22" fillId="83" borderId="12" xfId="0" applyFont="1" applyFill="1" applyBorder="1" applyAlignment="1">
      <alignment horizontal="center"/>
    </xf>
    <xf numFmtId="0" fontId="22" fillId="83" borderId="0" xfId="0" applyFont="1" applyFill="1" applyAlignment="1">
      <alignment horizontal="center"/>
    </xf>
    <xf numFmtId="4" fontId="22" fillId="83" borderId="0" xfId="0" applyNumberFormat="1" applyFont="1" applyFill="1" applyAlignment="1">
      <alignment horizontal="center"/>
    </xf>
    <xf numFmtId="0" fontId="22" fillId="83" borderId="13" xfId="0" applyFont="1" applyFill="1" applyBorder="1" applyAlignment="1">
      <alignment horizontal="center" vertical="center"/>
    </xf>
    <xf numFmtId="168" fontId="22" fillId="83" borderId="10" xfId="83" applyFont="1" applyFill="1" applyBorder="1" applyAlignment="1">
      <alignment horizontal="center"/>
    </xf>
    <xf numFmtId="0" fontId="111" fillId="91" borderId="11" xfId="0" applyFont="1" applyFill="1" applyBorder="1" applyAlignment="1">
      <alignment horizontal="center"/>
    </xf>
    <xf numFmtId="10" fontId="111" fillId="0" borderId="12" xfId="0" applyNumberFormat="1" applyFont="1" applyBorder="1" applyAlignment="1">
      <alignment horizontal="center"/>
    </xf>
    <xf numFmtId="0" fontId="111" fillId="91" borderId="11" xfId="0" applyFont="1" applyFill="1" applyBorder="1" applyAlignment="1">
      <alignment horizontal="left"/>
    </xf>
    <xf numFmtId="192" fontId="111" fillId="0" borderId="12" xfId="83" applyNumberFormat="1" applyFont="1" applyFill="1" applyBorder="1" applyAlignment="1">
      <alignment horizontal="center"/>
    </xf>
    <xf numFmtId="14" fontId="0" fillId="0" borderId="19" xfId="0" applyNumberFormat="1" applyBorder="1" applyAlignment="1">
      <alignment horizontal="center" wrapText="1"/>
    </xf>
    <xf numFmtId="14" fontId="0" fillId="87" borderId="19" xfId="0" applyNumberFormat="1" applyFill="1" applyBorder="1" applyAlignment="1">
      <alignment horizontal="center" wrapText="1"/>
    </xf>
    <xf numFmtId="49" fontId="21" fillId="0" borderId="0" xfId="0" applyNumberFormat="1" applyFont="1"/>
    <xf numFmtId="206" fontId="118" fillId="0" borderId="0" xfId="83" applyNumberFormat="1" applyFont="1" applyFill="1" applyAlignment="1"/>
    <xf numFmtId="195" fontId="21" fillId="25" borderId="0" xfId="0" applyNumberFormat="1" applyFont="1" applyFill="1" applyAlignment="1">
      <alignment horizontal="right" vertical="center"/>
    </xf>
    <xf numFmtId="22" fontId="23" fillId="0" borderId="0" xfId="0" applyNumberFormat="1" applyFont="1"/>
    <xf numFmtId="4" fontId="126" fillId="95" borderId="27" xfId="0" applyNumberFormat="1" applyFont="1" applyFill="1" applyBorder="1" applyAlignment="1">
      <alignment horizontal="center" vertical="center" wrapText="1"/>
    </xf>
    <xf numFmtId="4" fontId="28" fillId="0" borderId="0" xfId="0" applyNumberFormat="1" applyFont="1" applyAlignment="1">
      <alignment horizontal="center"/>
    </xf>
    <xf numFmtId="0" fontId="0" fillId="0" borderId="18" xfId="0" applyBorder="1"/>
    <xf numFmtId="173" fontId="0" fillId="0" borderId="14" xfId="166" applyNumberFormat="1" applyFont="1" applyBorder="1"/>
    <xf numFmtId="0" fontId="136" fillId="0" borderId="0" xfId="0" applyFont="1" applyAlignment="1">
      <alignment vertical="center"/>
    </xf>
    <xf numFmtId="168" fontId="117" fillId="0" borderId="10" xfId="83" applyFont="1" applyFill="1" applyBorder="1" applyAlignment="1"/>
    <xf numFmtId="170" fontId="21" fillId="0" borderId="0" xfId="166" applyNumberFormat="1" applyFont="1" applyFill="1" applyBorder="1" applyAlignment="1">
      <alignment horizontal="right" vertical="center"/>
    </xf>
    <xf numFmtId="4" fontId="21" fillId="0" borderId="0" xfId="0" applyNumberFormat="1" applyFont="1"/>
    <xf numFmtId="191" fontId="21" fillId="66" borderId="0" xfId="166" applyNumberFormat="1" applyFont="1" applyFill="1"/>
    <xf numFmtId="171" fontId="21" fillId="67" borderId="0" xfId="166" applyNumberFormat="1" applyFill="1" applyBorder="1"/>
    <xf numFmtId="211" fontId="0" fillId="67" borderId="0" xfId="0" applyNumberFormat="1" applyFill="1"/>
    <xf numFmtId="187" fontId="0" fillId="67" borderId="0" xfId="0" applyNumberFormat="1" applyFill="1"/>
    <xf numFmtId="208" fontId="0" fillId="66" borderId="0" xfId="0" applyNumberFormat="1" applyFill="1"/>
    <xf numFmtId="211" fontId="0" fillId="66" borderId="0" xfId="0" applyNumberFormat="1" applyFill="1"/>
    <xf numFmtId="176" fontId="0" fillId="0" borderId="0" xfId="166" applyNumberFormat="1" applyFont="1"/>
    <xf numFmtId="0" fontId="125" fillId="0" borderId="0" xfId="83" applyNumberFormat="1" applyFont="1" applyFill="1" applyAlignment="1">
      <alignment horizontal="center"/>
    </xf>
    <xf numFmtId="14" fontId="125" fillId="0" borderId="0" xfId="83" applyNumberFormat="1" applyFont="1" applyFill="1" applyAlignment="1">
      <alignment horizontal="center"/>
    </xf>
    <xf numFmtId="168" fontId="125" fillId="0" borderId="0" xfId="83" applyFont="1" applyFill="1" applyAlignment="1">
      <alignment horizontal="center"/>
    </xf>
    <xf numFmtId="0" fontId="63" fillId="79" borderId="0" xfId="0" applyFont="1" applyFill="1"/>
    <xf numFmtId="176" fontId="116" fillId="0" borderId="14" xfId="166" applyNumberFormat="1" applyFont="1" applyFill="1" applyBorder="1"/>
    <xf numFmtId="171" fontId="113" fillId="74" borderId="15" xfId="166" applyNumberFormat="1" applyFont="1" applyFill="1" applyBorder="1" applyAlignment="1">
      <alignment horizontal="center"/>
    </xf>
    <xf numFmtId="175" fontId="0" fillId="0" borderId="0" xfId="166" applyNumberFormat="1" applyFont="1" applyAlignment="1">
      <alignment horizontal="center"/>
    </xf>
    <xf numFmtId="173" fontId="115" fillId="0" borderId="53" xfId="166" applyNumberFormat="1" applyFont="1" applyBorder="1" applyAlignment="1">
      <alignment horizontal="center"/>
    </xf>
    <xf numFmtId="0" fontId="115" fillId="0" borderId="17" xfId="0" applyFont="1" applyBorder="1"/>
    <xf numFmtId="176" fontId="21" fillId="66" borderId="0" xfId="166" applyNumberFormat="1" applyFill="1" applyBorder="1"/>
    <xf numFmtId="4" fontId="112" fillId="26" borderId="0" xfId="0" applyNumberFormat="1" applyFont="1" applyFill="1" applyAlignment="1">
      <alignment horizontal="center"/>
    </xf>
    <xf numFmtId="2" fontId="0" fillId="0" borderId="19" xfId="0" applyNumberFormat="1" applyBorder="1"/>
    <xf numFmtId="0" fontId="123" fillId="0" borderId="0" xfId="0" applyFont="1" applyAlignment="1">
      <alignment vertical="center"/>
    </xf>
    <xf numFmtId="14" fontId="0" fillId="0" borderId="22" xfId="0" applyNumberFormat="1" applyBorder="1" applyAlignment="1">
      <alignment horizontal="center" wrapText="1"/>
    </xf>
    <xf numFmtId="173" fontId="111" fillId="0" borderId="12" xfId="166" applyNumberFormat="1" applyFont="1" applyFill="1" applyBorder="1" applyAlignment="1">
      <alignment horizontal="center"/>
    </xf>
    <xf numFmtId="0" fontId="28" fillId="0" borderId="0" xfId="0" applyFont="1"/>
    <xf numFmtId="188" fontId="0" fillId="0" borderId="17" xfId="166" applyNumberFormat="1" applyFont="1" applyBorder="1" applyAlignment="1">
      <alignment horizontal="center"/>
    </xf>
    <xf numFmtId="171" fontId="113" fillId="74" borderId="13" xfId="166" applyNumberFormat="1" applyFont="1" applyFill="1" applyBorder="1" applyAlignment="1">
      <alignment horizontal="center"/>
    </xf>
    <xf numFmtId="0" fontId="64" fillId="0" borderId="0" xfId="0" applyFont="1"/>
    <xf numFmtId="0" fontId="135" fillId="0" borderId="17" xfId="83" applyNumberFormat="1" applyFont="1" applyFill="1" applyBorder="1" applyAlignment="1">
      <alignment horizontal="center" vertical="center"/>
    </xf>
    <xf numFmtId="4" fontId="28" fillId="0" borderId="17" xfId="83" applyNumberFormat="1" applyFont="1" applyFill="1" applyBorder="1" applyAlignment="1">
      <alignment horizontal="center"/>
    </xf>
    <xf numFmtId="4" fontId="28" fillId="0" borderId="17" xfId="0" applyNumberFormat="1" applyFont="1" applyBorder="1"/>
    <xf numFmtId="170" fontId="28" fillId="0" borderId="17" xfId="166" applyNumberFormat="1" applyFont="1" applyFill="1" applyBorder="1"/>
    <xf numFmtId="2" fontId="28" fillId="0" borderId="17" xfId="0" applyNumberFormat="1" applyFont="1" applyBorder="1" applyAlignment="1">
      <alignment horizontal="center"/>
    </xf>
    <xf numFmtId="172" fontId="28" fillId="0" borderId="17" xfId="83" applyNumberFormat="1" applyFont="1" applyFill="1" applyBorder="1"/>
    <xf numFmtId="173" fontId="28" fillId="0" borderId="17" xfId="166" applyNumberFormat="1" applyFont="1" applyFill="1" applyBorder="1"/>
    <xf numFmtId="14" fontId="28" fillId="0" borderId="17" xfId="0" applyNumberFormat="1" applyFont="1" applyBorder="1"/>
    <xf numFmtId="179" fontId="28" fillId="0" borderId="17" xfId="83" applyNumberFormat="1" applyFont="1" applyFill="1" applyBorder="1"/>
    <xf numFmtId="0" fontId="28" fillId="0" borderId="17" xfId="0" applyFont="1" applyBorder="1"/>
    <xf numFmtId="171" fontId="28" fillId="0" borderId="17" xfId="166" applyNumberFormat="1" applyFont="1" applyFill="1" applyBorder="1"/>
    <xf numFmtId="0" fontId="28" fillId="0" borderId="17" xfId="0" applyFont="1" applyBorder="1" applyAlignment="1">
      <alignment horizontal="center"/>
    </xf>
    <xf numFmtId="0" fontId="28" fillId="96" borderId="67" xfId="0" applyFont="1" applyFill="1" applyBorder="1"/>
    <xf numFmtId="14" fontId="28" fillId="96" borderId="68" xfId="166" applyNumberFormat="1" applyFont="1" applyFill="1" applyBorder="1" applyAlignment="1">
      <alignment horizontal="center"/>
    </xf>
    <xf numFmtId="0" fontId="0" fillId="0" borderId="19" xfId="0" applyBorder="1" applyAlignment="1">
      <alignment horizontal="center" wrapText="1"/>
    </xf>
    <xf numFmtId="0" fontId="0" fillId="87" borderId="19" xfId="0" applyFill="1" applyBorder="1" applyAlignment="1">
      <alignment horizontal="center" wrapText="1"/>
    </xf>
    <xf numFmtId="213" fontId="59" fillId="0" borderId="0" xfId="0" applyNumberFormat="1" applyFont="1" applyAlignment="1">
      <alignment horizontal="right" vertical="center"/>
    </xf>
    <xf numFmtId="0" fontId="136" fillId="64" borderId="0" xfId="0" applyFont="1" applyFill="1" applyAlignment="1">
      <alignment vertical="center"/>
    </xf>
    <xf numFmtId="4" fontId="28" fillId="64" borderId="17" xfId="83" applyNumberFormat="1" applyFont="1" applyFill="1" applyBorder="1" applyAlignment="1">
      <alignment horizontal="center"/>
    </xf>
    <xf numFmtId="168" fontId="124" fillId="94" borderId="0" xfId="83" applyFont="1" applyFill="1" applyAlignment="1">
      <alignment horizontal="right"/>
    </xf>
    <xf numFmtId="0" fontId="0" fillId="0" borderId="0" xfId="0" applyAlignment="1">
      <alignment horizontal="right"/>
    </xf>
    <xf numFmtId="196" fontId="28" fillId="0" borderId="17" xfId="0" applyNumberFormat="1" applyFont="1" applyBorder="1" applyAlignment="1">
      <alignment horizontal="center"/>
    </xf>
    <xf numFmtId="218" fontId="0" fillId="0" borderId="0" xfId="0" applyNumberFormat="1"/>
    <xf numFmtId="218" fontId="0" fillId="0" borderId="0" xfId="166" applyNumberFormat="1" applyFont="1"/>
    <xf numFmtId="201" fontId="21" fillId="66" borderId="0" xfId="166" applyNumberFormat="1" applyFill="1" applyBorder="1"/>
    <xf numFmtId="0" fontId="23" fillId="98" borderId="17" xfId="0" applyFont="1" applyFill="1" applyBorder="1"/>
    <xf numFmtId="4" fontId="23" fillId="98" borderId="17" xfId="0" applyNumberFormat="1" applyFont="1" applyFill="1" applyBorder="1"/>
    <xf numFmtId="10" fontId="23" fillId="98" borderId="17" xfId="166" applyNumberFormat="1" applyFont="1" applyFill="1" applyBorder="1"/>
    <xf numFmtId="14" fontId="23" fillId="98" borderId="17" xfId="0" applyNumberFormat="1" applyFont="1" applyFill="1" applyBorder="1"/>
    <xf numFmtId="0" fontId="23" fillId="98" borderId="17" xfId="0" applyFont="1" applyFill="1" applyBorder="1" applyAlignment="1">
      <alignment horizontal="center"/>
    </xf>
    <xf numFmtId="0" fontId="23" fillId="98" borderId="0" xfId="0" applyFont="1" applyFill="1"/>
    <xf numFmtId="4" fontId="21" fillId="66" borderId="0" xfId="0" applyNumberFormat="1" applyFont="1" applyFill="1"/>
    <xf numFmtId="0" fontId="79" fillId="86" borderId="19" xfId="93" applyNumberFormat="1" applyFont="1" applyFill="1" applyBorder="1" applyAlignment="1">
      <alignment wrapText="1"/>
    </xf>
    <xf numFmtId="0" fontId="79" fillId="86" borderId="0" xfId="93" applyNumberFormat="1" applyFont="1" applyFill="1" applyBorder="1" applyAlignment="1">
      <alignment wrapText="1"/>
    </xf>
    <xf numFmtId="0" fontId="21" fillId="0" borderId="0" xfId="0" applyFont="1" applyAlignment="1">
      <alignment horizontal="right" vertical="center"/>
    </xf>
    <xf numFmtId="225" fontId="21" fillId="89" borderId="19" xfId="0" applyNumberFormat="1" applyFont="1" applyFill="1" applyBorder="1" applyAlignment="1">
      <alignment horizontal="center"/>
    </xf>
    <xf numFmtId="225" fontId="21" fillId="89" borderId="0" xfId="0" applyNumberFormat="1" applyFont="1" applyFill="1" applyAlignment="1">
      <alignment horizontal="right" vertical="center"/>
    </xf>
    <xf numFmtId="168" fontId="0" fillId="74" borderId="0" xfId="83" applyFont="1" applyFill="1" applyAlignment="1">
      <alignment horizontal="right" vertical="center"/>
    </xf>
    <xf numFmtId="171" fontId="28" fillId="67" borderId="17" xfId="166" applyNumberFormat="1" applyFont="1" applyFill="1" applyBorder="1"/>
    <xf numFmtId="0" fontId="63" fillId="84" borderId="0" xfId="0" applyFont="1" applyFill="1"/>
    <xf numFmtId="0" fontId="113" fillId="84" borderId="0" xfId="0" applyFont="1" applyFill="1" applyAlignment="1">
      <alignment horizontal="left"/>
    </xf>
    <xf numFmtId="0" fontId="23" fillId="84" borderId="29" xfId="0" applyFont="1" applyFill="1" applyBorder="1" applyAlignment="1">
      <alignment horizontal="left"/>
    </xf>
    <xf numFmtId="173" fontId="59" fillId="84" borderId="0" xfId="166" applyNumberFormat="1" applyFont="1" applyFill="1"/>
    <xf numFmtId="10" fontId="0" fillId="84" borderId="0" xfId="0" applyNumberFormat="1" applyFill="1"/>
    <xf numFmtId="4" fontId="0" fillId="84" borderId="0" xfId="0" applyNumberFormat="1" applyFill="1"/>
    <xf numFmtId="4" fontId="63" fillId="84" borderId="0" xfId="0" applyNumberFormat="1" applyFont="1" applyFill="1"/>
    <xf numFmtId="10" fontId="63" fillId="79" borderId="0" xfId="0" applyNumberFormat="1" applyFont="1" applyFill="1"/>
    <xf numFmtId="14" fontId="21" fillId="79" borderId="0" xfId="166" applyNumberFormat="1" applyFill="1"/>
    <xf numFmtId="14" fontId="63" fillId="79" borderId="0" xfId="0" applyNumberFormat="1" applyFont="1" applyFill="1"/>
    <xf numFmtId="4" fontId="21" fillId="79" borderId="0" xfId="83" applyNumberFormat="1" applyFill="1"/>
    <xf numFmtId="4" fontId="0" fillId="79" borderId="0" xfId="0" applyNumberFormat="1" applyFill="1"/>
    <xf numFmtId="4" fontId="73" fillId="79" borderId="0" xfId="166" applyNumberFormat="1" applyFont="1" applyFill="1"/>
    <xf numFmtId="187" fontId="0" fillId="79" borderId="0" xfId="0" applyNumberFormat="1" applyFill="1"/>
    <xf numFmtId="175" fontId="21" fillId="79" borderId="0" xfId="166" applyNumberFormat="1" applyFill="1" applyBorder="1"/>
    <xf numFmtId="173" fontId="0" fillId="79" borderId="0" xfId="166" applyNumberFormat="1" applyFont="1" applyFill="1"/>
    <xf numFmtId="207" fontId="0" fillId="0" borderId="0" xfId="0" applyNumberFormat="1"/>
    <xf numFmtId="207" fontId="0" fillId="81" borderId="0" xfId="0" applyNumberFormat="1" applyFill="1"/>
    <xf numFmtId="213" fontId="0" fillId="79" borderId="0" xfId="0" applyNumberFormat="1" applyFill="1"/>
    <xf numFmtId="0" fontId="63" fillId="0" borderId="21" xfId="0" applyFont="1" applyBorder="1"/>
    <xf numFmtId="0" fontId="63" fillId="0" borderId="22" xfId="0" applyFont="1" applyBorder="1"/>
    <xf numFmtId="187" fontId="63" fillId="0" borderId="23" xfId="0" applyNumberFormat="1" applyFont="1" applyBorder="1"/>
    <xf numFmtId="175" fontId="63" fillId="0" borderId="16" xfId="0" applyNumberFormat="1" applyFont="1" applyBorder="1"/>
    <xf numFmtId="175" fontId="0" fillId="64" borderId="0" xfId="0" applyNumberFormat="1" applyFill="1"/>
    <xf numFmtId="0" fontId="138" fillId="0" borderId="0" xfId="0" applyFont="1" applyAlignment="1">
      <alignment horizontal="center" vertical="center" wrapText="1"/>
    </xf>
    <xf numFmtId="0" fontId="123" fillId="0" borderId="0" xfId="0" applyFont="1" applyAlignment="1">
      <alignment vertical="center" wrapText="1"/>
    </xf>
    <xf numFmtId="0" fontId="23" fillId="0" borderId="17" xfId="0" applyFont="1" applyBorder="1" applyAlignment="1">
      <alignment horizontal="center" vertical="center"/>
    </xf>
    <xf numFmtId="10" fontId="23" fillId="0" borderId="17" xfId="0" applyNumberFormat="1" applyFont="1" applyBorder="1" applyAlignment="1">
      <alignment horizontal="center" vertical="center"/>
    </xf>
    <xf numFmtId="14" fontId="23" fillId="0" borderId="17" xfId="0" applyNumberFormat="1" applyFont="1" applyBorder="1" applyAlignment="1">
      <alignment horizontal="center" vertical="center"/>
    </xf>
    <xf numFmtId="183" fontId="0" fillId="0" borderId="0" xfId="83" applyNumberFormat="1" applyFont="1"/>
    <xf numFmtId="195" fontId="0" fillId="0" borderId="0" xfId="166" applyNumberFormat="1" applyFont="1"/>
    <xf numFmtId="170" fontId="21" fillId="99" borderId="0" xfId="166" applyNumberFormat="1" applyFill="1" applyBorder="1"/>
    <xf numFmtId="0" fontId="22" fillId="78" borderId="17" xfId="0" applyFont="1" applyFill="1" applyBorder="1"/>
    <xf numFmtId="201" fontId="0" fillId="0" borderId="17" xfId="0" applyNumberFormat="1" applyBorder="1"/>
    <xf numFmtId="0" fontId="10" fillId="0" borderId="0" xfId="557" applyAlignment="1">
      <alignment horizontal="center" vertical="center"/>
    </xf>
    <xf numFmtId="198" fontId="0" fillId="0" borderId="0" xfId="558" applyNumberFormat="1" applyFont="1" applyFill="1" applyAlignment="1">
      <alignment horizontal="center" vertical="center"/>
    </xf>
    <xf numFmtId="167" fontId="0" fillId="0" borderId="0" xfId="558" applyFont="1" applyFill="1" applyAlignment="1">
      <alignment horizontal="center" vertical="center"/>
    </xf>
    <xf numFmtId="226" fontId="0" fillId="0" borderId="0" xfId="558" applyNumberFormat="1" applyFont="1" applyFill="1" applyAlignment="1">
      <alignment horizontal="center" vertical="center"/>
    </xf>
    <xf numFmtId="209" fontId="0" fillId="0" borderId="0" xfId="558" applyNumberFormat="1" applyFont="1" applyFill="1" applyAlignment="1">
      <alignment horizontal="center" vertical="center"/>
    </xf>
    <xf numFmtId="171" fontId="0" fillId="0" borderId="0" xfId="558" applyNumberFormat="1" applyFont="1" applyFill="1" applyAlignment="1">
      <alignment horizontal="center" vertical="center"/>
    </xf>
    <xf numFmtId="227" fontId="0" fillId="0" borderId="0" xfId="558" applyNumberFormat="1" applyFont="1" applyFill="1" applyAlignment="1">
      <alignment horizontal="center" vertical="center"/>
    </xf>
    <xf numFmtId="0" fontId="0" fillId="74" borderId="0" xfId="0" applyFill="1"/>
    <xf numFmtId="173" fontId="0" fillId="0" borderId="0" xfId="166" applyNumberFormat="1" applyFont="1" applyFill="1" applyBorder="1"/>
    <xf numFmtId="171" fontId="113" fillId="0" borderId="0" xfId="166" applyNumberFormat="1" applyFont="1" applyFill="1" applyBorder="1" applyAlignment="1">
      <alignment horizontal="center"/>
    </xf>
    <xf numFmtId="173" fontId="113" fillId="0" borderId="0" xfId="166" applyNumberFormat="1" applyFont="1" applyFill="1" applyBorder="1" applyAlignment="1">
      <alignment horizontal="center"/>
    </xf>
    <xf numFmtId="202" fontId="21" fillId="66" borderId="0" xfId="166" applyNumberFormat="1" applyFill="1" applyBorder="1"/>
    <xf numFmtId="228" fontId="0" fillId="66" borderId="0" xfId="0" applyNumberFormat="1" applyFill="1"/>
    <xf numFmtId="200" fontId="21" fillId="64" borderId="0" xfId="83" applyNumberFormat="1" applyFill="1"/>
    <xf numFmtId="173" fontId="21" fillId="64" borderId="0" xfId="166" applyNumberFormat="1" applyFill="1" applyBorder="1"/>
    <xf numFmtId="173" fontId="0" fillId="64" borderId="0" xfId="0" applyNumberFormat="1" applyFill="1"/>
    <xf numFmtId="186" fontId="21" fillId="64" borderId="0" xfId="83" applyNumberFormat="1" applyFill="1"/>
    <xf numFmtId="197" fontId="21" fillId="64" borderId="0" xfId="83" applyNumberFormat="1" applyFill="1"/>
    <xf numFmtId="173" fontId="0" fillId="79" borderId="0" xfId="0" applyNumberFormat="1" applyFill="1"/>
    <xf numFmtId="201" fontId="21" fillId="79" borderId="0" xfId="166" applyNumberFormat="1" applyFill="1" applyBorder="1"/>
    <xf numFmtId="173" fontId="21" fillId="79" borderId="0" xfId="166" applyNumberFormat="1" applyFill="1" applyBorder="1"/>
    <xf numFmtId="0" fontId="21" fillId="0" borderId="0" xfId="0" applyFont="1" applyAlignment="1">
      <alignment horizontal="right"/>
    </xf>
    <xf numFmtId="173" fontId="126" fillId="95" borderId="17" xfId="166" applyNumberFormat="1" applyFont="1" applyFill="1" applyBorder="1" applyAlignment="1">
      <alignment vertical="center" wrapText="1"/>
    </xf>
    <xf numFmtId="173" fontId="28" fillId="0" borderId="17" xfId="166" applyNumberFormat="1" applyFont="1" applyFill="1" applyBorder="1" applyAlignment="1"/>
    <xf numFmtId="173" fontId="23" fillId="0" borderId="0" xfId="166" applyNumberFormat="1" applyFont="1" applyAlignment="1"/>
    <xf numFmtId="14" fontId="23" fillId="0" borderId="27" xfId="0" applyNumberFormat="1" applyFont="1" applyBorder="1" applyAlignment="1">
      <alignment horizontal="left"/>
    </xf>
    <xf numFmtId="167" fontId="21" fillId="67" borderId="0" xfId="166" applyNumberFormat="1" applyFill="1"/>
    <xf numFmtId="0" fontId="139" fillId="0" borderId="0" xfId="0" applyFont="1"/>
    <xf numFmtId="0" fontId="21" fillId="0" borderId="0" xfId="0" applyFont="1" applyAlignment="1">
      <alignment vertical="center" wrapText="1"/>
    </xf>
    <xf numFmtId="192" fontId="63" fillId="0" borderId="0" xfId="83" applyNumberFormat="1" applyFont="1"/>
    <xf numFmtId="186" fontId="21" fillId="67" borderId="0" xfId="166" applyNumberFormat="1" applyFill="1"/>
    <xf numFmtId="0" fontId="140" fillId="64" borderId="0" xfId="0" applyFont="1" applyFill="1" applyAlignment="1">
      <alignment vertical="center"/>
    </xf>
    <xf numFmtId="4" fontId="23" fillId="0" borderId="17" xfId="0" applyNumberFormat="1" applyFont="1" applyBorder="1" applyAlignment="1">
      <alignment horizontal="center" vertical="center"/>
    </xf>
    <xf numFmtId="4" fontId="73" fillId="0" borderId="0" xfId="166" applyNumberFormat="1" applyFont="1" applyFill="1"/>
    <xf numFmtId="173" fontId="21" fillId="0" borderId="0" xfId="166" applyNumberFormat="1" applyFill="1" applyBorder="1"/>
    <xf numFmtId="10" fontId="142" fillId="0" borderId="0" xfId="0" applyNumberFormat="1" applyFont="1"/>
    <xf numFmtId="0" fontId="113" fillId="64" borderId="0" xfId="0" applyFont="1" applyFill="1" applyAlignment="1">
      <alignment horizontal="left"/>
    </xf>
    <xf numFmtId="170" fontId="63" fillId="0" borderId="0" xfId="166" applyNumberFormat="1" applyFont="1"/>
    <xf numFmtId="0" fontId="23" fillId="97" borderId="17" xfId="0" applyFont="1" applyFill="1" applyBorder="1" applyAlignment="1">
      <alignment horizontal="center"/>
    </xf>
    <xf numFmtId="10" fontId="21" fillId="66" borderId="0" xfId="166" applyNumberFormat="1" applyFont="1" applyFill="1" applyAlignment="1">
      <alignment horizontal="center" vertical="center"/>
    </xf>
    <xf numFmtId="10" fontId="0" fillId="66" borderId="0" xfId="0" applyNumberFormat="1" applyFill="1" applyAlignment="1">
      <alignment horizontal="center" vertical="center"/>
    </xf>
    <xf numFmtId="175" fontId="21" fillId="0" borderId="0" xfId="166" applyNumberFormat="1" applyFill="1" applyBorder="1"/>
    <xf numFmtId="10" fontId="0" fillId="79" borderId="0" xfId="0" applyNumberFormat="1" applyFill="1"/>
    <xf numFmtId="197" fontId="0" fillId="79" borderId="0" xfId="0" applyNumberFormat="1" applyFill="1"/>
    <xf numFmtId="207" fontId="0" fillId="79" borderId="0" xfId="0" applyNumberFormat="1" applyFill="1"/>
    <xf numFmtId="176" fontId="0" fillId="79" borderId="0" xfId="0" applyNumberFormat="1" applyFill="1"/>
    <xf numFmtId="197" fontId="21" fillId="79" borderId="0" xfId="83" applyNumberFormat="1" applyFill="1"/>
    <xf numFmtId="20" fontId="0" fillId="66" borderId="0" xfId="0" applyNumberFormat="1" applyFill="1"/>
    <xf numFmtId="22" fontId="0" fillId="0" borderId="0" xfId="0" applyNumberFormat="1"/>
    <xf numFmtId="171" fontId="143" fillId="26" borderId="0" xfId="0" applyNumberFormat="1" applyFont="1" applyFill="1" applyAlignment="1">
      <alignment horizontal="center"/>
    </xf>
    <xf numFmtId="14" fontId="37" fillId="26" borderId="0" xfId="0" applyNumberFormat="1" applyFont="1" applyFill="1" applyAlignment="1">
      <alignment horizontal="center"/>
    </xf>
    <xf numFmtId="0" fontId="21" fillId="77" borderId="19" xfId="0" applyFont="1" applyFill="1" applyBorder="1" applyAlignment="1">
      <alignment horizontal="center"/>
    </xf>
    <xf numFmtId="167" fontId="21" fillId="77" borderId="19" xfId="0" applyNumberFormat="1" applyFont="1" applyFill="1" applyBorder="1" applyAlignment="1">
      <alignment horizontal="center"/>
    </xf>
    <xf numFmtId="3" fontId="21" fillId="77" borderId="19" xfId="0" applyNumberFormat="1" applyFont="1" applyFill="1" applyBorder="1" applyAlignment="1">
      <alignment horizontal="center"/>
    </xf>
    <xf numFmtId="200" fontId="21" fillId="77" borderId="0" xfId="0" applyNumberFormat="1" applyFont="1" applyFill="1" applyAlignment="1">
      <alignment horizontal="right" vertical="center"/>
    </xf>
    <xf numFmtId="186" fontId="21" fillId="77" borderId="0" xfId="0" applyNumberFormat="1" applyFont="1" applyFill="1" applyAlignment="1">
      <alignment horizontal="right" vertical="center"/>
    </xf>
    <xf numFmtId="207" fontId="59" fillId="77" borderId="0" xfId="0" applyNumberFormat="1" applyFont="1" applyFill="1" applyAlignment="1">
      <alignment horizontal="right" vertical="center"/>
    </xf>
    <xf numFmtId="208" fontId="59" fillId="77" borderId="0" xfId="0" applyNumberFormat="1" applyFont="1" applyFill="1" applyAlignment="1">
      <alignment horizontal="right" vertical="center"/>
    </xf>
    <xf numFmtId="10" fontId="123" fillId="0" borderId="0" xfId="0" applyNumberFormat="1" applyFont="1" applyAlignment="1">
      <alignment vertical="center" wrapText="1"/>
    </xf>
    <xf numFmtId="229" fontId="123" fillId="0" borderId="0" xfId="0" applyNumberFormat="1" applyFont="1" applyAlignment="1">
      <alignment vertical="center" wrapText="1"/>
    </xf>
    <xf numFmtId="182" fontId="23" fillId="0" borderId="0" xfId="83" applyNumberFormat="1" applyFont="1"/>
    <xf numFmtId="231" fontId="23" fillId="0" borderId="0" xfId="0" applyNumberFormat="1" applyFont="1"/>
    <xf numFmtId="1" fontId="0" fillId="0" borderId="0" xfId="0" applyNumberFormat="1"/>
    <xf numFmtId="49" fontId="4" fillId="0" borderId="14" xfId="83" applyNumberFormat="1" applyFont="1" applyFill="1" applyBorder="1" applyAlignment="1">
      <alignment horizontal="center" wrapText="1"/>
    </xf>
    <xf numFmtId="49" fontId="0" fillId="0" borderId="19" xfId="0" applyNumberFormat="1" applyBorder="1" applyAlignment="1">
      <alignment wrapText="1"/>
    </xf>
    <xf numFmtId="49" fontId="0" fillId="87" borderId="19" xfId="0" applyNumberFormat="1" applyFill="1" applyBorder="1" applyAlignment="1">
      <alignment wrapText="1"/>
    </xf>
    <xf numFmtId="49" fontId="4" fillId="0" borderId="0" xfId="83" applyNumberFormat="1" applyFont="1" applyBorder="1" applyAlignment="1">
      <alignment wrapText="1"/>
    </xf>
    <xf numFmtId="49" fontId="4" fillId="87" borderId="0" xfId="83" applyNumberFormat="1" applyFont="1" applyFill="1" applyBorder="1" applyAlignment="1">
      <alignment wrapText="1"/>
    </xf>
    <xf numFmtId="175" fontId="21" fillId="84" borderId="0" xfId="166" applyNumberFormat="1" applyFont="1" applyFill="1" applyBorder="1" applyAlignment="1">
      <alignment horizontal="right" vertical="center"/>
    </xf>
    <xf numFmtId="196" fontId="21" fillId="84" borderId="0" xfId="0" applyNumberFormat="1" applyFont="1" applyFill="1" applyAlignment="1">
      <alignment horizontal="right" vertical="center"/>
    </xf>
    <xf numFmtId="168" fontId="21" fillId="25" borderId="0" xfId="83" applyFont="1" applyFill="1" applyBorder="1" applyAlignment="1">
      <alignment horizontal="right" vertical="center"/>
    </xf>
    <xf numFmtId="232" fontId="21" fillId="25" borderId="0" xfId="0" applyNumberFormat="1" applyFont="1" applyFill="1" applyAlignment="1">
      <alignment horizontal="right" vertical="center"/>
    </xf>
    <xf numFmtId="0" fontId="135" fillId="64" borderId="17" xfId="83" applyNumberFormat="1" applyFont="1" applyFill="1" applyBorder="1" applyAlignment="1">
      <alignment horizontal="center" vertical="center"/>
    </xf>
    <xf numFmtId="4" fontId="28" fillId="64" borderId="17" xfId="0" applyNumberFormat="1" applyFont="1" applyFill="1" applyBorder="1"/>
    <xf numFmtId="170" fontId="28" fillId="64" borderId="17" xfId="166" applyNumberFormat="1" applyFont="1" applyFill="1" applyBorder="1"/>
    <xf numFmtId="2" fontId="28" fillId="64" borderId="17" xfId="0" applyNumberFormat="1" applyFont="1" applyFill="1" applyBorder="1" applyAlignment="1">
      <alignment horizontal="center"/>
    </xf>
    <xf numFmtId="172" fontId="28" fillId="64" borderId="17" xfId="83" applyNumberFormat="1" applyFont="1" applyFill="1" applyBorder="1"/>
    <xf numFmtId="179" fontId="28" fillId="64" borderId="17" xfId="83" applyNumberFormat="1" applyFont="1" applyFill="1" applyBorder="1"/>
    <xf numFmtId="173" fontId="28" fillId="64" borderId="17" xfId="166" applyNumberFormat="1" applyFont="1" applyFill="1" applyBorder="1"/>
    <xf numFmtId="14" fontId="28" fillId="64" borderId="17" xfId="0" applyNumberFormat="1" applyFont="1" applyFill="1" applyBorder="1"/>
    <xf numFmtId="0" fontId="28" fillId="64" borderId="17" xfId="0" applyFont="1" applyFill="1" applyBorder="1"/>
    <xf numFmtId="173" fontId="28" fillId="64" borderId="17" xfId="166" applyNumberFormat="1" applyFont="1" applyFill="1" applyBorder="1" applyAlignment="1"/>
    <xf numFmtId="171" fontId="28" fillId="64" borderId="17" xfId="166" applyNumberFormat="1" applyFont="1" applyFill="1" applyBorder="1"/>
    <xf numFmtId="0" fontId="28" fillId="64" borderId="17" xfId="0" applyFont="1" applyFill="1" applyBorder="1" applyAlignment="1">
      <alignment horizontal="center"/>
    </xf>
    <xf numFmtId="196" fontId="28" fillId="64" borderId="17" xfId="0" applyNumberFormat="1" applyFont="1" applyFill="1" applyBorder="1" applyAlignment="1">
      <alignment horizontal="center"/>
    </xf>
    <xf numFmtId="14" fontId="23" fillId="64" borderId="0" xfId="0" applyNumberFormat="1" applyFont="1" applyFill="1"/>
    <xf numFmtId="4" fontId="21" fillId="64" borderId="0" xfId="83" applyNumberFormat="1" applyFill="1"/>
    <xf numFmtId="0" fontId="0" fillId="64" borderId="0" xfId="0" applyFill="1"/>
    <xf numFmtId="4" fontId="0" fillId="64" borderId="0" xfId="0" applyNumberFormat="1" applyFill="1"/>
    <xf numFmtId="171" fontId="21" fillId="64" borderId="0" xfId="166" applyNumberFormat="1" applyFill="1" applyBorder="1"/>
    <xf numFmtId="197" fontId="0" fillId="64" borderId="0" xfId="0" applyNumberFormat="1" applyFill="1"/>
    <xf numFmtId="207" fontId="0" fillId="64" borderId="0" xfId="0" applyNumberFormat="1" applyFill="1"/>
    <xf numFmtId="230" fontId="63" fillId="0" borderId="0" xfId="83" applyNumberFormat="1" applyFont="1"/>
    <xf numFmtId="208" fontId="0" fillId="67" borderId="0" xfId="0" applyNumberFormat="1" applyFill="1"/>
    <xf numFmtId="0" fontId="135" fillId="100" borderId="17" xfId="83" applyNumberFormat="1" applyFont="1" applyFill="1" applyBorder="1" applyAlignment="1">
      <alignment horizontal="center" vertical="center"/>
    </xf>
    <xf numFmtId="4" fontId="28" fillId="100" borderId="17" xfId="83" applyNumberFormat="1" applyFont="1" applyFill="1" applyBorder="1" applyAlignment="1">
      <alignment horizontal="center"/>
    </xf>
    <xf numFmtId="4" fontId="28" fillId="100" borderId="17" xfId="0" applyNumberFormat="1" applyFont="1" applyFill="1" applyBorder="1"/>
    <xf numFmtId="170" fontId="28" fillId="100" borderId="17" xfId="166" applyNumberFormat="1" applyFont="1" applyFill="1" applyBorder="1"/>
    <xf numFmtId="2" fontId="28" fillId="100" borderId="17" xfId="0" applyNumberFormat="1" applyFont="1" applyFill="1" applyBorder="1" applyAlignment="1">
      <alignment horizontal="center"/>
    </xf>
    <xf numFmtId="172" fontId="28" fillId="100" borderId="17" xfId="83" applyNumberFormat="1" applyFont="1" applyFill="1" applyBorder="1"/>
    <xf numFmtId="179" fontId="28" fillId="100" borderId="17" xfId="83" applyNumberFormat="1" applyFont="1" applyFill="1" applyBorder="1"/>
    <xf numFmtId="173" fontId="28" fillId="100" borderId="17" xfId="166" applyNumberFormat="1" applyFont="1" applyFill="1" applyBorder="1"/>
    <xf numFmtId="14" fontId="28" fillId="100" borderId="17" xfId="0" applyNumberFormat="1" applyFont="1" applyFill="1" applyBorder="1"/>
    <xf numFmtId="0" fontId="28" fillId="100" borderId="17" xfId="0" applyFont="1" applyFill="1" applyBorder="1"/>
    <xf numFmtId="173" fontId="28" fillId="100" borderId="17" xfId="166" applyNumberFormat="1" applyFont="1" applyFill="1" applyBorder="1" applyAlignment="1"/>
    <xf numFmtId="171" fontId="28" fillId="100" borderId="17" xfId="166" applyNumberFormat="1" applyFont="1" applyFill="1" applyBorder="1"/>
    <xf numFmtId="0" fontId="28" fillId="100" borderId="17" xfId="0" applyFont="1" applyFill="1" applyBorder="1" applyAlignment="1">
      <alignment horizontal="center"/>
    </xf>
    <xf numFmtId="196" fontId="28" fillId="100" borderId="17" xfId="0" applyNumberFormat="1" applyFont="1" applyFill="1" applyBorder="1" applyAlignment="1">
      <alignment horizontal="center"/>
    </xf>
    <xf numFmtId="14" fontId="23" fillId="100" borderId="0" xfId="0" applyNumberFormat="1" applyFont="1" applyFill="1"/>
    <xf numFmtId="0" fontId="23" fillId="100" borderId="0" xfId="0" applyFont="1" applyFill="1"/>
    <xf numFmtId="168" fontId="23" fillId="64" borderId="0" xfId="83" applyFont="1" applyFill="1"/>
    <xf numFmtId="168" fontId="63" fillId="0" borderId="0" xfId="83" applyFont="1"/>
    <xf numFmtId="186" fontId="63" fillId="0" borderId="0" xfId="0" applyNumberFormat="1" applyFont="1"/>
    <xf numFmtId="14" fontId="10" fillId="0" borderId="0" xfId="557" applyNumberFormat="1" applyAlignment="1">
      <alignment horizontal="center" vertical="center"/>
    </xf>
    <xf numFmtId="194" fontId="0" fillId="0" borderId="0" xfId="83" applyNumberFormat="1" applyFont="1"/>
    <xf numFmtId="194" fontId="0" fillId="0" borderId="0" xfId="83" applyNumberFormat="1" applyFont="1" applyFill="1" applyAlignment="1">
      <alignment horizontal="center" vertical="center"/>
    </xf>
    <xf numFmtId="182" fontId="28" fillId="0" borderId="17" xfId="83" applyNumberFormat="1" applyFont="1" applyFill="1" applyBorder="1"/>
    <xf numFmtId="10" fontId="37" fillId="84" borderId="0" xfId="0" applyNumberFormat="1" applyFont="1" applyFill="1" applyAlignment="1">
      <alignment horizontal="center"/>
    </xf>
    <xf numFmtId="0" fontId="0" fillId="84" borderId="0" xfId="0" applyFill="1"/>
    <xf numFmtId="168" fontId="21" fillId="84" borderId="0" xfId="83" applyFill="1" applyAlignment="1"/>
    <xf numFmtId="168" fontId="21" fillId="84" borderId="0" xfId="83" applyFill="1"/>
    <xf numFmtId="3" fontId="63" fillId="0" borderId="0" xfId="0" applyNumberFormat="1" applyFont="1"/>
    <xf numFmtId="0" fontId="135" fillId="72" borderId="17" xfId="83" applyNumberFormat="1" applyFont="1" applyFill="1" applyBorder="1" applyAlignment="1">
      <alignment horizontal="center" vertical="center"/>
    </xf>
    <xf numFmtId="4" fontId="28" fillId="72" borderId="17" xfId="83" applyNumberFormat="1" applyFont="1" applyFill="1" applyBorder="1" applyAlignment="1">
      <alignment horizontal="center"/>
    </xf>
    <xf numFmtId="4" fontId="28" fillId="72" borderId="17" xfId="0" applyNumberFormat="1" applyFont="1" applyFill="1" applyBorder="1"/>
    <xf numFmtId="170" fontId="28" fillId="72" borderId="17" xfId="166" applyNumberFormat="1" applyFont="1" applyFill="1" applyBorder="1"/>
    <xf numFmtId="2" fontId="28" fillId="72" borderId="17" xfId="0" applyNumberFormat="1" applyFont="1" applyFill="1" applyBorder="1" applyAlignment="1">
      <alignment horizontal="center"/>
    </xf>
    <xf numFmtId="172" fontId="28" fillId="72" borderId="17" xfId="83" applyNumberFormat="1" applyFont="1" applyFill="1" applyBorder="1"/>
    <xf numFmtId="179" fontId="28" fillId="72" borderId="17" xfId="83" applyNumberFormat="1" applyFont="1" applyFill="1" applyBorder="1"/>
    <xf numFmtId="173" fontId="28" fillId="72" borderId="17" xfId="166" applyNumberFormat="1" applyFont="1" applyFill="1" applyBorder="1"/>
    <xf numFmtId="14" fontId="28" fillId="72" borderId="17" xfId="0" applyNumberFormat="1" applyFont="1" applyFill="1" applyBorder="1"/>
    <xf numFmtId="0" fontId="28" fillId="72" borderId="17" xfId="0" applyFont="1" applyFill="1" applyBorder="1"/>
    <xf numFmtId="173" fontId="28" fillId="72" borderId="17" xfId="166" applyNumberFormat="1" applyFont="1" applyFill="1" applyBorder="1" applyAlignment="1"/>
    <xf numFmtId="171" fontId="28" fillId="72" borderId="17" xfId="166" applyNumberFormat="1" applyFont="1" applyFill="1" applyBorder="1"/>
    <xf numFmtId="0" fontId="28" fillId="72" borderId="17" xfId="0" applyFont="1" applyFill="1" applyBorder="1" applyAlignment="1">
      <alignment horizontal="center"/>
    </xf>
    <xf numFmtId="196" fontId="28" fillId="72" borderId="17" xfId="0" applyNumberFormat="1" applyFont="1" applyFill="1" applyBorder="1" applyAlignment="1">
      <alignment horizontal="center"/>
    </xf>
    <xf numFmtId="14" fontId="23" fillId="72" borderId="0" xfId="0" applyNumberFormat="1" applyFont="1" applyFill="1"/>
    <xf numFmtId="0" fontId="23" fillId="72" borderId="0" xfId="0" applyFont="1" applyFill="1"/>
    <xf numFmtId="0" fontId="135" fillId="101" borderId="17" xfId="83" applyNumberFormat="1" applyFont="1" applyFill="1" applyBorder="1" applyAlignment="1">
      <alignment horizontal="center" vertical="center"/>
    </xf>
    <xf numFmtId="4" fontId="28" fillId="101" borderId="17" xfId="83" applyNumberFormat="1" applyFont="1" applyFill="1" applyBorder="1" applyAlignment="1">
      <alignment horizontal="center"/>
    </xf>
    <xf numFmtId="4" fontId="28" fillId="101" borderId="17" xfId="0" applyNumberFormat="1" applyFont="1" applyFill="1" applyBorder="1"/>
    <xf numFmtId="170" fontId="28" fillId="101" borderId="17" xfId="166" applyNumberFormat="1" applyFont="1" applyFill="1" applyBorder="1"/>
    <xf numFmtId="2" fontId="28" fillId="101" borderId="17" xfId="0" applyNumberFormat="1" applyFont="1" applyFill="1" applyBorder="1" applyAlignment="1">
      <alignment horizontal="center"/>
    </xf>
    <xf numFmtId="172" fontId="28" fillId="101" borderId="17" xfId="83" applyNumberFormat="1" applyFont="1" applyFill="1" applyBorder="1"/>
    <xf numFmtId="179" fontId="28" fillId="101" borderId="17" xfId="83" applyNumberFormat="1" applyFont="1" applyFill="1" applyBorder="1"/>
    <xf numFmtId="173" fontId="28" fillId="101" borderId="17" xfId="166" applyNumberFormat="1" applyFont="1" applyFill="1" applyBorder="1"/>
    <xf numFmtId="14" fontId="28" fillId="101" borderId="17" xfId="0" applyNumberFormat="1" applyFont="1" applyFill="1" applyBorder="1"/>
    <xf numFmtId="0" fontId="28" fillId="101" borderId="17" xfId="0" applyFont="1" applyFill="1" applyBorder="1"/>
    <xf numFmtId="173" fontId="28" fillId="101" borderId="17" xfId="166" applyNumberFormat="1" applyFont="1" applyFill="1" applyBorder="1" applyAlignment="1"/>
    <xf numFmtId="171" fontId="28" fillId="101" borderId="17" xfId="166" applyNumberFormat="1" applyFont="1" applyFill="1" applyBorder="1"/>
    <xf numFmtId="0" fontId="28" fillId="101" borderId="17" xfId="0" applyFont="1" applyFill="1" applyBorder="1" applyAlignment="1">
      <alignment horizontal="center"/>
    </xf>
    <xf numFmtId="196" fontId="28" fillId="101" borderId="17" xfId="0" applyNumberFormat="1" applyFont="1" applyFill="1" applyBorder="1" applyAlignment="1">
      <alignment horizontal="center"/>
    </xf>
    <xf numFmtId="14" fontId="23" fillId="101" borderId="0" xfId="0" applyNumberFormat="1" applyFont="1" applyFill="1"/>
    <xf numFmtId="0" fontId="23" fillId="101" borderId="0" xfId="0" applyFont="1" applyFill="1"/>
    <xf numFmtId="171" fontId="23" fillId="101" borderId="0" xfId="0" applyNumberFormat="1" applyFont="1" applyFill="1"/>
    <xf numFmtId="233" fontId="63" fillId="0" borderId="0" xfId="0" applyNumberFormat="1" applyFont="1"/>
    <xf numFmtId="14" fontId="28" fillId="101" borderId="17" xfId="0" applyNumberFormat="1" applyFont="1" applyFill="1" applyBorder="1" applyAlignment="1">
      <alignment horizontal="center" vertical="center"/>
    </xf>
    <xf numFmtId="14" fontId="28" fillId="96" borderId="0" xfId="166" applyNumberFormat="1" applyFont="1" applyFill="1" applyBorder="1" applyAlignment="1">
      <alignment horizontal="center"/>
    </xf>
    <xf numFmtId="173" fontId="21" fillId="81" borderId="0" xfId="166" applyNumberFormat="1" applyFill="1"/>
    <xf numFmtId="14" fontId="28" fillId="102" borderId="17" xfId="0" applyNumberFormat="1" applyFont="1" applyFill="1" applyBorder="1" applyAlignment="1">
      <alignment horizontal="center" vertical="center"/>
    </xf>
    <xf numFmtId="0" fontId="23" fillId="102" borderId="0" xfId="0" applyFont="1" applyFill="1"/>
    <xf numFmtId="202" fontId="23" fillId="102" borderId="0" xfId="0" applyNumberFormat="1" applyFont="1" applyFill="1"/>
    <xf numFmtId="0" fontId="135" fillId="103" borderId="17" xfId="83" applyNumberFormat="1" applyFont="1" applyFill="1" applyBorder="1" applyAlignment="1">
      <alignment horizontal="center" vertical="center"/>
    </xf>
    <xf numFmtId="4" fontId="28" fillId="103" borderId="17" xfId="83" applyNumberFormat="1" applyFont="1" applyFill="1" applyBorder="1" applyAlignment="1">
      <alignment horizontal="center"/>
    </xf>
    <xf numFmtId="4" fontId="28" fillId="103" borderId="17" xfId="0" applyNumberFormat="1" applyFont="1" applyFill="1" applyBorder="1"/>
    <xf numFmtId="170" fontId="28" fillId="103" borderId="17" xfId="166" applyNumberFormat="1" applyFont="1" applyFill="1" applyBorder="1"/>
    <xf numFmtId="2" fontId="28" fillId="103" borderId="17" xfId="0" applyNumberFormat="1" applyFont="1" applyFill="1" applyBorder="1" applyAlignment="1">
      <alignment horizontal="center"/>
    </xf>
    <xf numFmtId="172" fontId="28" fillId="103" borderId="17" xfId="83" applyNumberFormat="1" applyFont="1" applyFill="1" applyBorder="1"/>
    <xf numFmtId="179" fontId="28" fillId="103" borderId="17" xfId="83" applyNumberFormat="1" applyFont="1" applyFill="1" applyBorder="1"/>
    <xf numFmtId="173" fontId="28" fillId="103" borderId="17" xfId="166" applyNumberFormat="1" applyFont="1" applyFill="1" applyBorder="1"/>
    <xf numFmtId="14" fontId="28" fillId="103" borderId="17" xfId="0" applyNumberFormat="1" applyFont="1" applyFill="1" applyBorder="1"/>
    <xf numFmtId="0" fontId="28" fillId="103" borderId="17" xfId="0" applyFont="1" applyFill="1" applyBorder="1"/>
    <xf numFmtId="173" fontId="28" fillId="103" borderId="17" xfId="166" applyNumberFormat="1" applyFont="1" applyFill="1" applyBorder="1" applyAlignment="1"/>
    <xf numFmtId="171" fontId="28" fillId="103" borderId="17" xfId="166" applyNumberFormat="1" applyFont="1" applyFill="1" applyBorder="1"/>
    <xf numFmtId="0" fontId="28" fillId="103" borderId="17" xfId="0" applyFont="1" applyFill="1" applyBorder="1" applyAlignment="1">
      <alignment horizontal="center"/>
    </xf>
    <xf numFmtId="196" fontId="28" fillId="103" borderId="17" xfId="0" applyNumberFormat="1" applyFont="1" applyFill="1" applyBorder="1" applyAlignment="1">
      <alignment horizontal="center"/>
    </xf>
    <xf numFmtId="14" fontId="23" fillId="103" borderId="0" xfId="0" applyNumberFormat="1" applyFont="1" applyFill="1"/>
    <xf numFmtId="0" fontId="23" fillId="103" borderId="0" xfId="0" applyFont="1" applyFill="1"/>
    <xf numFmtId="168" fontId="0" fillId="87" borderId="0" xfId="83" applyFont="1" applyFill="1" applyBorder="1" applyAlignment="1">
      <alignment wrapText="1"/>
    </xf>
    <xf numFmtId="168" fontId="0" fillId="0" borderId="0" xfId="83" applyFont="1" applyBorder="1" applyAlignment="1">
      <alignment wrapText="1"/>
    </xf>
    <xf numFmtId="168" fontId="0" fillId="0" borderId="23" xfId="83" applyFont="1" applyBorder="1" applyAlignment="1">
      <alignment wrapText="1"/>
    </xf>
    <xf numFmtId="167" fontId="0" fillId="87" borderId="19" xfId="0" applyNumberFormat="1" applyFill="1" applyBorder="1" applyAlignment="1">
      <alignment wrapText="1"/>
    </xf>
    <xf numFmtId="167" fontId="0" fillId="0" borderId="19" xfId="0" applyNumberFormat="1" applyBorder="1" applyAlignment="1">
      <alignment wrapText="1"/>
    </xf>
    <xf numFmtId="167" fontId="0" fillId="0" borderId="22" xfId="0" applyNumberFormat="1" applyBorder="1" applyAlignment="1">
      <alignment wrapText="1"/>
    </xf>
    <xf numFmtId="49" fontId="2" fillId="0" borderId="14" xfId="83" applyNumberFormat="1" applyFont="1" applyFill="1" applyBorder="1" applyAlignment="1">
      <alignment horizontal="center" wrapText="1"/>
    </xf>
    <xf numFmtId="0" fontId="135" fillId="104" borderId="17" xfId="83" applyNumberFormat="1" applyFont="1" applyFill="1" applyBorder="1" applyAlignment="1">
      <alignment horizontal="center" vertical="center"/>
    </xf>
    <xf numFmtId="4" fontId="28" fillId="104" borderId="17" xfId="83" applyNumberFormat="1" applyFont="1" applyFill="1" applyBorder="1" applyAlignment="1">
      <alignment horizontal="center"/>
    </xf>
    <xf numFmtId="4" fontId="28" fillId="104" borderId="17" xfId="0" applyNumberFormat="1" applyFont="1" applyFill="1" applyBorder="1"/>
    <xf numFmtId="170" fontId="28" fillId="104" borderId="17" xfId="166" applyNumberFormat="1" applyFont="1" applyFill="1" applyBorder="1"/>
    <xf numFmtId="2" fontId="28" fillId="104" borderId="17" xfId="0" applyNumberFormat="1" applyFont="1" applyFill="1" applyBorder="1" applyAlignment="1">
      <alignment horizontal="center"/>
    </xf>
    <xf numFmtId="172" fontId="28" fillId="104" borderId="17" xfId="83" applyNumberFormat="1" applyFont="1" applyFill="1" applyBorder="1"/>
    <xf numFmtId="179" fontId="28" fillId="104" borderId="17" xfId="83" applyNumberFormat="1" applyFont="1" applyFill="1" applyBorder="1"/>
    <xf numFmtId="173" fontId="28" fillId="104" borderId="17" xfId="166" applyNumberFormat="1" applyFont="1" applyFill="1" applyBorder="1"/>
    <xf numFmtId="14" fontId="28" fillId="104" borderId="17" xfId="0" applyNumberFormat="1" applyFont="1" applyFill="1" applyBorder="1"/>
    <xf numFmtId="0" fontId="28" fillId="104" borderId="17" xfId="0" applyFont="1" applyFill="1" applyBorder="1"/>
    <xf numFmtId="173" fontId="28" fillId="104" borderId="17" xfId="166" applyNumberFormat="1" applyFont="1" applyFill="1" applyBorder="1" applyAlignment="1"/>
    <xf numFmtId="171" fontId="28" fillId="104" borderId="17" xfId="166" applyNumberFormat="1" applyFont="1" applyFill="1" applyBorder="1"/>
    <xf numFmtId="0" fontId="28" fillId="104" borderId="17" xfId="0" applyFont="1" applyFill="1" applyBorder="1" applyAlignment="1">
      <alignment horizontal="center"/>
    </xf>
    <xf numFmtId="196" fontId="28" fillId="104" borderId="17" xfId="0" applyNumberFormat="1" applyFont="1" applyFill="1" applyBorder="1" applyAlignment="1">
      <alignment horizontal="center"/>
    </xf>
    <xf numFmtId="14" fontId="23" fillId="104" borderId="0" xfId="0" applyNumberFormat="1" applyFont="1" applyFill="1"/>
    <xf numFmtId="0" fontId="23" fillId="104" borderId="0" xfId="0" applyFont="1" applyFill="1"/>
    <xf numFmtId="0" fontId="135" fillId="65" borderId="17" xfId="83" applyNumberFormat="1" applyFont="1" applyFill="1" applyBorder="1" applyAlignment="1">
      <alignment horizontal="center" vertical="center"/>
    </xf>
    <xf numFmtId="4" fontId="28" fillId="65" borderId="17" xfId="83" applyNumberFormat="1" applyFont="1" applyFill="1" applyBorder="1" applyAlignment="1">
      <alignment horizontal="center"/>
    </xf>
    <xf numFmtId="4" fontId="28" fillId="65" borderId="17" xfId="0" applyNumberFormat="1" applyFont="1" applyFill="1" applyBorder="1"/>
    <xf numFmtId="170" fontId="28" fillId="65" borderId="17" xfId="166" applyNumberFormat="1" applyFont="1" applyFill="1" applyBorder="1"/>
    <xf numFmtId="2" fontId="28" fillId="65" borderId="17" xfId="0" applyNumberFormat="1" applyFont="1" applyFill="1" applyBorder="1" applyAlignment="1">
      <alignment horizontal="center"/>
    </xf>
    <xf numFmtId="172" fontId="28" fillId="65" borderId="17" xfId="83" applyNumberFormat="1" applyFont="1" applyFill="1" applyBorder="1"/>
    <xf numFmtId="179" fontId="28" fillId="65" borderId="17" xfId="83" applyNumberFormat="1" applyFont="1" applyFill="1" applyBorder="1"/>
    <xf numFmtId="173" fontId="28" fillId="65" borderId="17" xfId="166" applyNumberFormat="1" applyFont="1" applyFill="1" applyBorder="1"/>
    <xf numFmtId="14" fontId="28" fillId="65" borderId="17" xfId="0" applyNumberFormat="1" applyFont="1" applyFill="1" applyBorder="1"/>
    <xf numFmtId="0" fontId="28" fillId="65" borderId="17" xfId="0" applyFont="1" applyFill="1" applyBorder="1"/>
    <xf numFmtId="173" fontId="28" fillId="65" borderId="17" xfId="166" applyNumberFormat="1" applyFont="1" applyFill="1" applyBorder="1" applyAlignment="1"/>
    <xf numFmtId="171" fontId="28" fillId="65" borderId="17" xfId="166" applyNumberFormat="1" applyFont="1" applyFill="1" applyBorder="1"/>
    <xf numFmtId="0" fontId="28" fillId="65" borderId="17" xfId="0" applyFont="1" applyFill="1" applyBorder="1" applyAlignment="1">
      <alignment horizontal="center"/>
    </xf>
    <xf numFmtId="196" fontId="28" fillId="65" borderId="17" xfId="0" applyNumberFormat="1" applyFont="1" applyFill="1" applyBorder="1" applyAlignment="1">
      <alignment horizontal="center"/>
    </xf>
    <xf numFmtId="14" fontId="23" fillId="65" borderId="0" xfId="0" applyNumberFormat="1" applyFont="1" applyFill="1"/>
    <xf numFmtId="0" fontId="23" fillId="65" borderId="0" xfId="0" applyFont="1" applyFill="1"/>
    <xf numFmtId="0" fontId="135" fillId="105" borderId="17" xfId="83" applyNumberFormat="1" applyFont="1" applyFill="1" applyBorder="1" applyAlignment="1">
      <alignment horizontal="center" vertical="center"/>
    </xf>
    <xf numFmtId="4" fontId="28" fillId="105" borderId="17" xfId="83" applyNumberFormat="1" applyFont="1" applyFill="1" applyBorder="1" applyAlignment="1">
      <alignment horizontal="center"/>
    </xf>
    <xf numFmtId="4" fontId="28" fillId="105" borderId="17" xfId="0" applyNumberFormat="1" applyFont="1" applyFill="1" applyBorder="1"/>
    <xf numFmtId="170" fontId="28" fillId="105" borderId="17" xfId="166" applyNumberFormat="1" applyFont="1" applyFill="1" applyBorder="1"/>
    <xf numFmtId="2" fontId="28" fillId="105" borderId="17" xfId="0" applyNumberFormat="1" applyFont="1" applyFill="1" applyBorder="1" applyAlignment="1">
      <alignment horizontal="center"/>
    </xf>
    <xf numFmtId="172" fontId="28" fillId="105" borderId="17" xfId="83" applyNumberFormat="1" applyFont="1" applyFill="1" applyBorder="1"/>
    <xf numFmtId="179" fontId="28" fillId="105" borderId="17" xfId="83" applyNumberFormat="1" applyFont="1" applyFill="1" applyBorder="1"/>
    <xf numFmtId="173" fontId="28" fillId="105" borderId="17" xfId="166" applyNumberFormat="1" applyFont="1" applyFill="1" applyBorder="1"/>
    <xf numFmtId="14" fontId="28" fillId="105" borderId="17" xfId="0" applyNumberFormat="1" applyFont="1" applyFill="1" applyBorder="1"/>
    <xf numFmtId="0" fontId="28" fillId="105" borderId="17" xfId="0" applyFont="1" applyFill="1" applyBorder="1"/>
    <xf numFmtId="173" fontId="28" fillId="105" borderId="17" xfId="166" applyNumberFormat="1" applyFont="1" applyFill="1" applyBorder="1" applyAlignment="1"/>
    <xf numFmtId="171" fontId="28" fillId="105" borderId="17" xfId="166" applyNumberFormat="1" applyFont="1" applyFill="1" applyBorder="1"/>
    <xf numFmtId="0" fontId="28" fillId="105" borderId="17" xfId="0" applyFont="1" applyFill="1" applyBorder="1" applyAlignment="1">
      <alignment horizontal="center"/>
    </xf>
    <xf numFmtId="196" fontId="28" fillId="105" borderId="17" xfId="0" applyNumberFormat="1" applyFont="1" applyFill="1" applyBorder="1" applyAlignment="1">
      <alignment horizontal="center"/>
    </xf>
    <xf numFmtId="14" fontId="23" fillId="105" borderId="0" xfId="0" applyNumberFormat="1" applyFont="1" applyFill="1"/>
    <xf numFmtId="0" fontId="23" fillId="105" borderId="0" xfId="0" applyFont="1" applyFill="1"/>
    <xf numFmtId="0" fontId="135" fillId="99" borderId="17" xfId="83" applyNumberFormat="1" applyFont="1" applyFill="1" applyBorder="1" applyAlignment="1">
      <alignment horizontal="center" vertical="center"/>
    </xf>
    <xf numFmtId="4" fontId="28" fillId="99" borderId="17" xfId="83" applyNumberFormat="1" applyFont="1" applyFill="1" applyBorder="1" applyAlignment="1">
      <alignment horizontal="center"/>
    </xf>
    <xf numFmtId="4" fontId="28" fillId="99" borderId="17" xfId="0" applyNumberFormat="1" applyFont="1" applyFill="1" applyBorder="1"/>
    <xf numFmtId="170" fontId="28" fillId="99" borderId="17" xfId="166" applyNumberFormat="1" applyFont="1" applyFill="1" applyBorder="1"/>
    <xf numFmtId="2" fontId="28" fillId="99" borderId="17" xfId="0" applyNumberFormat="1" applyFont="1" applyFill="1" applyBorder="1" applyAlignment="1">
      <alignment horizontal="center"/>
    </xf>
    <xf numFmtId="172" fontId="28" fillId="99" borderId="17" xfId="83" applyNumberFormat="1" applyFont="1" applyFill="1" applyBorder="1"/>
    <xf numFmtId="179" fontId="28" fillId="99" borderId="17" xfId="83" applyNumberFormat="1" applyFont="1" applyFill="1" applyBorder="1"/>
    <xf numFmtId="173" fontId="28" fillId="99" borderId="17" xfId="166" applyNumberFormat="1" applyFont="1" applyFill="1" applyBorder="1"/>
    <xf numFmtId="14" fontId="28" fillId="99" borderId="17" xfId="0" applyNumberFormat="1" applyFont="1" applyFill="1" applyBorder="1"/>
    <xf numFmtId="0" fontId="28" fillId="99" borderId="17" xfId="0" applyFont="1" applyFill="1" applyBorder="1"/>
    <xf numFmtId="173" fontId="28" fillId="99" borderId="17" xfId="166" applyNumberFormat="1" applyFont="1" applyFill="1" applyBorder="1" applyAlignment="1"/>
    <xf numFmtId="171" fontId="28" fillId="99" borderId="17" xfId="166" applyNumberFormat="1" applyFont="1" applyFill="1" applyBorder="1"/>
    <xf numFmtId="0" fontId="28" fillId="99" borderId="17" xfId="0" applyFont="1" applyFill="1" applyBorder="1" applyAlignment="1">
      <alignment horizontal="center"/>
    </xf>
    <xf numFmtId="196" fontId="28" fillId="99" borderId="17" xfId="0" applyNumberFormat="1" applyFont="1" applyFill="1" applyBorder="1" applyAlignment="1">
      <alignment horizontal="center"/>
    </xf>
    <xf numFmtId="14" fontId="23" fillId="99" borderId="0" xfId="0" applyNumberFormat="1" applyFont="1" applyFill="1"/>
    <xf numFmtId="0" fontId="23" fillId="99" borderId="0" xfId="0" applyFont="1" applyFill="1"/>
    <xf numFmtId="213" fontId="59" fillId="25" borderId="0" xfId="0" applyNumberFormat="1" applyFont="1" applyFill="1" applyAlignment="1">
      <alignment horizontal="right" vertical="center"/>
    </xf>
    <xf numFmtId="14" fontId="109" fillId="26" borderId="0" xfId="0" applyNumberFormat="1" applyFont="1" applyFill="1" applyAlignment="1">
      <alignment horizontal="center"/>
    </xf>
    <xf numFmtId="0" fontId="135" fillId="81" borderId="17" xfId="83" applyNumberFormat="1" applyFont="1" applyFill="1" applyBorder="1" applyAlignment="1">
      <alignment horizontal="center" vertical="center"/>
    </xf>
    <xf numFmtId="4" fontId="28" fillId="81" borderId="17" xfId="83" applyNumberFormat="1" applyFont="1" applyFill="1" applyBorder="1" applyAlignment="1">
      <alignment horizontal="center"/>
    </xf>
    <xf numFmtId="4" fontId="28" fillId="81" borderId="17" xfId="0" applyNumberFormat="1" applyFont="1" applyFill="1" applyBorder="1"/>
    <xf numFmtId="170" fontId="28" fillId="81" borderId="17" xfId="166" applyNumberFormat="1" applyFont="1" applyFill="1" applyBorder="1"/>
    <xf numFmtId="2" fontId="28" fillId="81" borderId="17" xfId="0" applyNumberFormat="1" applyFont="1" applyFill="1" applyBorder="1" applyAlignment="1">
      <alignment horizontal="center"/>
    </xf>
    <xf numFmtId="172" fontId="28" fillId="81" borderId="17" xfId="83" applyNumberFormat="1" applyFont="1" applyFill="1" applyBorder="1"/>
    <xf numFmtId="179" fontId="28" fillId="81" borderId="17" xfId="83" applyNumberFormat="1" applyFont="1" applyFill="1" applyBorder="1"/>
    <xf numFmtId="173" fontId="28" fillId="81" borderId="17" xfId="166" applyNumberFormat="1" applyFont="1" applyFill="1" applyBorder="1"/>
    <xf numFmtId="14" fontId="28" fillId="81" borderId="17" xfId="0" applyNumberFormat="1" applyFont="1" applyFill="1" applyBorder="1"/>
    <xf numFmtId="0" fontId="28" fillId="81" borderId="17" xfId="0" applyFont="1" applyFill="1" applyBorder="1"/>
    <xf numFmtId="173" fontId="28" fillId="81" borderId="17" xfId="166" applyNumberFormat="1" applyFont="1" applyFill="1" applyBorder="1" applyAlignment="1"/>
    <xf numFmtId="171" fontId="28" fillId="81" borderId="17" xfId="166" applyNumberFormat="1" applyFont="1" applyFill="1" applyBorder="1"/>
    <xf numFmtId="0" fontId="28" fillId="81" borderId="17" xfId="0" applyFont="1" applyFill="1" applyBorder="1" applyAlignment="1">
      <alignment horizontal="center"/>
    </xf>
    <xf numFmtId="196" fontId="28" fillId="81" borderId="17" xfId="0" applyNumberFormat="1" applyFont="1" applyFill="1" applyBorder="1" applyAlignment="1">
      <alignment horizontal="center"/>
    </xf>
    <xf numFmtId="14" fontId="23" fillId="81" borderId="0" xfId="0" applyNumberFormat="1" applyFont="1" applyFill="1"/>
    <xf numFmtId="0" fontId="23" fillId="81" borderId="0" xfId="0" applyFont="1" applyFill="1"/>
    <xf numFmtId="168" fontId="23" fillId="81" borderId="0" xfId="83" applyFont="1" applyFill="1"/>
    <xf numFmtId="0" fontId="135" fillId="106" borderId="17" xfId="83" applyNumberFormat="1" applyFont="1" applyFill="1" applyBorder="1" applyAlignment="1">
      <alignment horizontal="center" vertical="center"/>
    </xf>
    <xf numFmtId="4" fontId="28" fillId="106" borderId="17" xfId="83" applyNumberFormat="1" applyFont="1" applyFill="1" applyBorder="1" applyAlignment="1">
      <alignment horizontal="center"/>
    </xf>
    <xf numFmtId="4" fontId="28" fillId="106" borderId="17" xfId="0" applyNumberFormat="1" applyFont="1" applyFill="1" applyBorder="1"/>
    <xf numFmtId="170" fontId="28" fillId="106" borderId="17" xfId="166" applyNumberFormat="1" applyFont="1" applyFill="1" applyBorder="1"/>
    <xf numFmtId="2" fontId="28" fillId="106" borderId="17" xfId="0" applyNumberFormat="1" applyFont="1" applyFill="1" applyBorder="1" applyAlignment="1">
      <alignment horizontal="center"/>
    </xf>
    <xf numFmtId="172" fontId="28" fillId="106" borderId="17" xfId="83" applyNumberFormat="1" applyFont="1" applyFill="1" applyBorder="1"/>
    <xf numFmtId="179" fontId="28" fillId="106" borderId="17" xfId="83" applyNumberFormat="1" applyFont="1" applyFill="1" applyBorder="1"/>
    <xf numFmtId="173" fontId="28" fillId="106" borderId="17" xfId="166" applyNumberFormat="1" applyFont="1" applyFill="1" applyBorder="1"/>
    <xf numFmtId="14" fontId="28" fillId="106" borderId="17" xfId="0" applyNumberFormat="1" applyFont="1" applyFill="1" applyBorder="1"/>
    <xf numFmtId="0" fontId="28" fillId="106" borderId="17" xfId="0" applyFont="1" applyFill="1" applyBorder="1"/>
    <xf numFmtId="173" fontId="28" fillId="106" borderId="17" xfId="166" applyNumberFormat="1" applyFont="1" applyFill="1" applyBorder="1" applyAlignment="1"/>
    <xf numFmtId="171" fontId="28" fillId="106" borderId="17" xfId="166" applyNumberFormat="1" applyFont="1" applyFill="1" applyBorder="1"/>
    <xf numFmtId="0" fontId="28" fillId="106" borderId="17" xfId="0" applyFont="1" applyFill="1" applyBorder="1" applyAlignment="1">
      <alignment horizontal="center"/>
    </xf>
    <xf numFmtId="196" fontId="28" fillId="106" borderId="17" xfId="0" applyNumberFormat="1" applyFont="1" applyFill="1" applyBorder="1" applyAlignment="1">
      <alignment horizontal="center"/>
    </xf>
    <xf numFmtId="14" fontId="23" fillId="106" borderId="0" xfId="0" applyNumberFormat="1" applyFont="1" applyFill="1"/>
    <xf numFmtId="0" fontId="23" fillId="106" borderId="0" xfId="0" applyFont="1" applyFill="1"/>
    <xf numFmtId="0" fontId="135" fillId="79" borderId="17" xfId="83" applyNumberFormat="1" applyFont="1" applyFill="1" applyBorder="1" applyAlignment="1">
      <alignment horizontal="center" vertical="center"/>
    </xf>
    <xf numFmtId="4" fontId="28" fillId="79" borderId="17" xfId="83" applyNumberFormat="1" applyFont="1" applyFill="1" applyBorder="1" applyAlignment="1">
      <alignment horizontal="center"/>
    </xf>
    <xf numFmtId="4" fontId="28" fillId="79" borderId="17" xfId="0" applyNumberFormat="1" applyFont="1" applyFill="1" applyBorder="1"/>
    <xf numFmtId="170" fontId="28" fillId="79" borderId="17" xfId="166" applyNumberFormat="1" applyFont="1" applyFill="1" applyBorder="1"/>
    <xf numFmtId="2" fontId="28" fillId="79" borderId="17" xfId="0" applyNumberFormat="1" applyFont="1" applyFill="1" applyBorder="1" applyAlignment="1">
      <alignment horizontal="center"/>
    </xf>
    <xf numFmtId="172" fontId="28" fillId="79" borderId="17" xfId="83" applyNumberFormat="1" applyFont="1" applyFill="1" applyBorder="1"/>
    <xf numFmtId="179" fontId="28" fillId="79" borderId="17" xfId="83" applyNumberFormat="1" applyFont="1" applyFill="1" applyBorder="1"/>
    <xf numFmtId="173" fontId="28" fillId="79" borderId="17" xfId="166" applyNumberFormat="1" applyFont="1" applyFill="1" applyBorder="1"/>
    <xf numFmtId="14" fontId="28" fillId="79" borderId="17" xfId="0" applyNumberFormat="1" applyFont="1" applyFill="1" applyBorder="1"/>
    <xf numFmtId="0" fontId="28" fillId="79" borderId="17" xfId="0" applyFont="1" applyFill="1" applyBorder="1"/>
    <xf numFmtId="173" fontId="28" fillId="79" borderId="17" xfId="166" applyNumberFormat="1" applyFont="1" applyFill="1" applyBorder="1" applyAlignment="1"/>
    <xf numFmtId="171" fontId="28" fillId="79" borderId="17" xfId="166" applyNumberFormat="1" applyFont="1" applyFill="1" applyBorder="1"/>
    <xf numFmtId="0" fontId="28" fillId="79" borderId="17" xfId="0" applyFont="1" applyFill="1" applyBorder="1" applyAlignment="1">
      <alignment horizontal="center"/>
    </xf>
    <xf numFmtId="196" fontId="28" fillId="79" borderId="17" xfId="0" applyNumberFormat="1" applyFont="1" applyFill="1" applyBorder="1" applyAlignment="1">
      <alignment horizontal="center"/>
    </xf>
    <xf numFmtId="14" fontId="23" fillId="79" borderId="0" xfId="0" applyNumberFormat="1" applyFont="1" applyFill="1"/>
    <xf numFmtId="0" fontId="23" fillId="79" borderId="0" xfId="0" applyFont="1" applyFill="1"/>
    <xf numFmtId="0" fontId="135" fillId="98" borderId="17" xfId="83" applyNumberFormat="1" applyFont="1" applyFill="1" applyBorder="1" applyAlignment="1">
      <alignment horizontal="center" vertical="center"/>
    </xf>
    <xf numFmtId="4" fontId="28" fillId="98" borderId="17" xfId="83" applyNumberFormat="1" applyFont="1" applyFill="1" applyBorder="1" applyAlignment="1">
      <alignment horizontal="center"/>
    </xf>
    <xf numFmtId="4" fontId="28" fillId="98" borderId="17" xfId="0" applyNumberFormat="1" applyFont="1" applyFill="1" applyBorder="1"/>
    <xf numFmtId="170" fontId="28" fillId="98" borderId="17" xfId="166" applyNumberFormat="1" applyFont="1" applyFill="1" applyBorder="1"/>
    <xf numFmtId="2" fontId="28" fillId="98" borderId="17" xfId="0" applyNumberFormat="1" applyFont="1" applyFill="1" applyBorder="1" applyAlignment="1">
      <alignment horizontal="center"/>
    </xf>
    <xf numFmtId="172" fontId="28" fillId="98" borderId="17" xfId="83" applyNumberFormat="1" applyFont="1" applyFill="1" applyBorder="1"/>
    <xf numFmtId="179" fontId="28" fillId="98" borderId="17" xfId="83" applyNumberFormat="1" applyFont="1" applyFill="1" applyBorder="1"/>
    <xf numFmtId="173" fontId="28" fillId="98" borderId="17" xfId="166" applyNumberFormat="1" applyFont="1" applyFill="1" applyBorder="1"/>
    <xf numFmtId="14" fontId="28" fillId="98" borderId="17" xfId="0" applyNumberFormat="1" applyFont="1" applyFill="1" applyBorder="1"/>
    <xf numFmtId="0" fontId="28" fillId="98" borderId="17" xfId="0" applyFont="1" applyFill="1" applyBorder="1"/>
    <xf numFmtId="173" fontId="28" fillId="98" borderId="17" xfId="166" applyNumberFormat="1" applyFont="1" applyFill="1" applyBorder="1" applyAlignment="1"/>
    <xf numFmtId="171" fontId="28" fillId="98" borderId="17" xfId="166" applyNumberFormat="1" applyFont="1" applyFill="1" applyBorder="1"/>
    <xf numFmtId="0" fontId="28" fillId="98" borderId="17" xfId="0" applyFont="1" applyFill="1" applyBorder="1" applyAlignment="1">
      <alignment horizontal="center"/>
    </xf>
    <xf numFmtId="196" fontId="28" fillId="98" borderId="17" xfId="0" applyNumberFormat="1" applyFont="1" applyFill="1" applyBorder="1" applyAlignment="1">
      <alignment horizontal="center"/>
    </xf>
    <xf numFmtId="14" fontId="23" fillId="98" borderId="0" xfId="0" applyNumberFormat="1" applyFont="1" applyFill="1"/>
    <xf numFmtId="14" fontId="21" fillId="0" borderId="0" xfId="0" applyNumberFormat="1" applyFont="1" applyAlignment="1">
      <alignment vertical="center" wrapText="1"/>
    </xf>
    <xf numFmtId="168" fontId="0" fillId="81" borderId="0" xfId="83" applyFont="1" applyFill="1"/>
    <xf numFmtId="14" fontId="28" fillId="106" borderId="17" xfId="0" applyNumberFormat="1" applyFont="1" applyFill="1" applyBorder="1" applyAlignment="1">
      <alignment horizontal="center" vertical="center"/>
    </xf>
    <xf numFmtId="186" fontId="28" fillId="0" borderId="17" xfId="83" applyNumberFormat="1" applyFont="1" applyFill="1" applyBorder="1" applyAlignment="1">
      <alignment horizontal="center"/>
    </xf>
    <xf numFmtId="0" fontId="135" fillId="78" borderId="17" xfId="83" applyNumberFormat="1" applyFont="1" applyFill="1" applyBorder="1" applyAlignment="1">
      <alignment horizontal="center" vertical="center"/>
    </xf>
    <xf numFmtId="4" fontId="28" fillId="78" borderId="17" xfId="83" applyNumberFormat="1" applyFont="1" applyFill="1" applyBorder="1" applyAlignment="1">
      <alignment horizontal="center"/>
    </xf>
    <xf numFmtId="4" fontId="28" fillId="78" borderId="17" xfId="0" applyNumberFormat="1" applyFont="1" applyFill="1" applyBorder="1"/>
    <xf numFmtId="170" fontId="28" fillId="78" borderId="17" xfId="166" applyNumberFormat="1" applyFont="1" applyFill="1" applyBorder="1"/>
    <xf numFmtId="2" fontId="28" fillId="78" borderId="17" xfId="0" applyNumberFormat="1" applyFont="1" applyFill="1" applyBorder="1" applyAlignment="1">
      <alignment horizontal="center"/>
    </xf>
    <xf numFmtId="172" fontId="28" fillId="78" borderId="17" xfId="83" applyNumberFormat="1" applyFont="1" applyFill="1" applyBorder="1"/>
    <xf numFmtId="179" fontId="28" fillId="78" borderId="17" xfId="83" applyNumberFormat="1" applyFont="1" applyFill="1" applyBorder="1"/>
    <xf numFmtId="173" fontId="28" fillId="78" borderId="17" xfId="166" applyNumberFormat="1" applyFont="1" applyFill="1" applyBorder="1"/>
    <xf numFmtId="14" fontId="28" fillId="78" borderId="17" xfId="0" applyNumberFormat="1" applyFont="1" applyFill="1" applyBorder="1"/>
    <xf numFmtId="0" fontId="28" fillId="78" borderId="17" xfId="0" applyFont="1" applyFill="1" applyBorder="1"/>
    <xf numFmtId="173" fontId="28" fillId="78" borderId="17" xfId="166" applyNumberFormat="1" applyFont="1" applyFill="1" applyBorder="1" applyAlignment="1"/>
    <xf numFmtId="171" fontId="28" fillId="78" borderId="17" xfId="166" applyNumberFormat="1" applyFont="1" applyFill="1" applyBorder="1"/>
    <xf numFmtId="0" fontId="28" fillId="78" borderId="17" xfId="0" applyFont="1" applyFill="1" applyBorder="1" applyAlignment="1">
      <alignment horizontal="center"/>
    </xf>
    <xf numFmtId="196" fontId="28" fillId="78" borderId="17" xfId="0" applyNumberFormat="1" applyFont="1" applyFill="1" applyBorder="1" applyAlignment="1">
      <alignment horizontal="center"/>
    </xf>
    <xf numFmtId="14" fontId="23" fillId="78" borderId="0" xfId="0" applyNumberFormat="1" applyFont="1" applyFill="1"/>
    <xf numFmtId="0" fontId="23" fillId="78" borderId="0" xfId="0" applyFont="1" applyFill="1"/>
    <xf numFmtId="10" fontId="21" fillId="0" borderId="0" xfId="0" applyNumberFormat="1" applyFont="1" applyAlignment="1">
      <alignment vertical="center" wrapText="1"/>
    </xf>
    <xf numFmtId="0" fontId="22" fillId="0" borderId="0" xfId="0" applyFont="1" applyAlignment="1">
      <alignment vertical="center" wrapText="1"/>
    </xf>
    <xf numFmtId="14" fontId="0" fillId="0" borderId="69" xfId="0" applyNumberFormat="1" applyBorder="1" applyAlignment="1">
      <alignment wrapText="1"/>
    </xf>
    <xf numFmtId="14" fontId="0" fillId="87" borderId="0" xfId="0" applyNumberFormat="1" applyFill="1" applyAlignment="1">
      <alignment wrapText="1"/>
    </xf>
    <xf numFmtId="14" fontId="0" fillId="0" borderId="0" xfId="0" applyNumberFormat="1" applyAlignment="1">
      <alignment wrapText="1"/>
    </xf>
    <xf numFmtId="167" fontId="0" fillId="0" borderId="0" xfId="0" applyNumberFormat="1" applyAlignment="1">
      <alignment wrapText="1"/>
    </xf>
    <xf numFmtId="167" fontId="0" fillId="87" borderId="0" xfId="0" applyNumberFormat="1" applyFill="1" applyAlignment="1">
      <alignment wrapText="1"/>
    </xf>
    <xf numFmtId="167" fontId="0" fillId="0" borderId="0" xfId="83" applyNumberFormat="1" applyFont="1" applyBorder="1" applyAlignment="1">
      <alignment wrapText="1"/>
    </xf>
    <xf numFmtId="213" fontId="21" fillId="25" borderId="0" xfId="0" applyNumberFormat="1" applyFont="1" applyFill="1" applyAlignment="1">
      <alignment horizontal="right" vertical="center"/>
    </xf>
    <xf numFmtId="182" fontId="0" fillId="26" borderId="0" xfId="83" applyNumberFormat="1" applyFont="1" applyFill="1" applyAlignment="1"/>
    <xf numFmtId="182" fontId="22" fillId="26" borderId="0" xfId="83" applyNumberFormat="1" applyFont="1" applyFill="1" applyAlignment="1"/>
    <xf numFmtId="182" fontId="21" fillId="26" borderId="0" xfId="83" applyNumberFormat="1" applyFill="1" applyAlignment="1"/>
    <xf numFmtId="182" fontId="22" fillId="19" borderId="0" xfId="83" applyNumberFormat="1" applyFont="1" applyFill="1" applyBorder="1" applyAlignment="1">
      <alignment horizontal="center"/>
    </xf>
    <xf numFmtId="182" fontId="21" fillId="25" borderId="0" xfId="83" applyNumberFormat="1" applyFont="1" applyFill="1" applyBorder="1" applyAlignment="1">
      <alignment horizontal="right" vertical="center"/>
    </xf>
    <xf numFmtId="182" fontId="21" fillId="26" borderId="0" xfId="83" applyNumberFormat="1" applyFill="1"/>
    <xf numFmtId="182" fontId="0" fillId="26" borderId="0" xfId="83" applyNumberFormat="1" applyFont="1" applyFill="1"/>
    <xf numFmtId="0" fontId="125" fillId="0" borderId="0" xfId="83" applyNumberFormat="1" applyFont="1" applyFill="1" applyBorder="1" applyAlignment="1">
      <alignment horizontal="center"/>
    </xf>
    <xf numFmtId="182" fontId="28" fillId="99" borderId="17" xfId="83" applyNumberFormat="1" applyFont="1" applyFill="1" applyBorder="1"/>
    <xf numFmtId="224" fontId="23" fillId="0" borderId="0" xfId="0" applyNumberFormat="1" applyFont="1"/>
    <xf numFmtId="193" fontId="23" fillId="0" borderId="0" xfId="83" applyNumberFormat="1" applyFont="1"/>
    <xf numFmtId="192" fontId="23" fillId="0" borderId="0" xfId="83" applyNumberFormat="1" applyFont="1" applyAlignment="1"/>
    <xf numFmtId="190" fontId="23" fillId="0" borderId="0" xfId="83" applyNumberFormat="1" applyFont="1" applyAlignment="1"/>
    <xf numFmtId="223" fontId="23" fillId="0" borderId="0" xfId="83" applyNumberFormat="1" applyFont="1" applyAlignment="1"/>
    <xf numFmtId="214" fontId="59" fillId="0" borderId="0" xfId="0" applyNumberFormat="1" applyFont="1" applyAlignment="1">
      <alignment horizontal="right" vertical="center"/>
    </xf>
    <xf numFmtId="168" fontId="0" fillId="0" borderId="0" xfId="83" applyFont="1" applyAlignment="1">
      <alignment wrapText="1"/>
    </xf>
    <xf numFmtId="191" fontId="1" fillId="0" borderId="14" xfId="83" applyNumberFormat="1" applyFont="1" applyFill="1" applyBorder="1" applyAlignment="1">
      <alignment horizontal="center"/>
    </xf>
    <xf numFmtId="2" fontId="21" fillId="0" borderId="0" xfId="0" applyNumberFormat="1" applyFont="1"/>
    <xf numFmtId="49" fontId="1" fillId="0" borderId="0" xfId="83" applyNumberFormat="1" applyFont="1" applyBorder="1" applyAlignment="1">
      <alignment wrapText="1"/>
    </xf>
    <xf numFmtId="49" fontId="1" fillId="87" borderId="0" xfId="83" applyNumberFormat="1" applyFont="1" applyFill="1" applyBorder="1" applyAlignment="1">
      <alignment wrapText="1"/>
    </xf>
    <xf numFmtId="49" fontId="1" fillId="0" borderId="23" xfId="83" applyNumberFormat="1" applyFont="1" applyBorder="1" applyAlignment="1">
      <alignment wrapText="1"/>
    </xf>
    <xf numFmtId="49" fontId="1" fillId="0" borderId="19" xfId="83" applyNumberFormat="1" applyFont="1" applyBorder="1" applyAlignment="1">
      <alignment wrapText="1"/>
    </xf>
    <xf numFmtId="49" fontId="1" fillId="87" borderId="19" xfId="83" applyNumberFormat="1" applyFont="1" applyFill="1" applyBorder="1" applyAlignment="1">
      <alignment wrapText="1"/>
    </xf>
    <xf numFmtId="49" fontId="1" fillId="0" borderId="22" xfId="83" applyNumberFormat="1" applyFont="1" applyBorder="1" applyAlignment="1">
      <alignment wrapText="1"/>
    </xf>
    <xf numFmtId="49" fontId="1" fillId="0" borderId="14" xfId="83" applyNumberFormat="1" applyFont="1" applyBorder="1" applyAlignment="1">
      <alignment wrapText="1"/>
    </xf>
    <xf numFmtId="49" fontId="1" fillId="87" borderId="14" xfId="83" applyNumberFormat="1" applyFont="1" applyFill="1" applyBorder="1" applyAlignment="1">
      <alignment wrapText="1"/>
    </xf>
    <xf numFmtId="49" fontId="1" fillId="0" borderId="16" xfId="83" applyNumberFormat="1" applyFont="1" applyBorder="1" applyAlignment="1">
      <alignment wrapText="1"/>
    </xf>
    <xf numFmtId="49" fontId="1" fillId="87" borderId="23" xfId="83" applyNumberFormat="1" applyFont="1" applyFill="1" applyBorder="1" applyAlignment="1">
      <alignment wrapText="1"/>
    </xf>
    <xf numFmtId="49" fontId="1" fillId="87" borderId="22" xfId="83" applyNumberFormat="1" applyFont="1" applyFill="1" applyBorder="1" applyAlignment="1">
      <alignment wrapText="1"/>
    </xf>
    <xf numFmtId="49" fontId="1" fillId="87" borderId="16" xfId="83" applyNumberFormat="1" applyFont="1" applyFill="1" applyBorder="1" applyAlignment="1">
      <alignment wrapText="1"/>
    </xf>
    <xf numFmtId="14" fontId="0" fillId="87" borderId="22" xfId="0" applyNumberFormat="1" applyFill="1" applyBorder="1" applyAlignment="1">
      <alignment horizontal="center" wrapText="1"/>
    </xf>
    <xf numFmtId="234" fontId="0" fillId="0" borderId="0" xfId="0" applyNumberFormat="1"/>
    <xf numFmtId="0" fontId="22" fillId="0" borderId="0" xfId="0" applyFont="1" applyAlignment="1">
      <alignment horizontal="center"/>
    </xf>
    <xf numFmtId="0" fontId="64" fillId="78" borderId="11" xfId="0" applyFont="1" applyFill="1" applyBorder="1" applyAlignment="1">
      <alignment horizontal="center"/>
    </xf>
    <xf numFmtId="0" fontId="64" fillId="78" borderId="26" xfId="0" applyFont="1" applyFill="1" applyBorder="1" applyAlignment="1">
      <alignment horizontal="center"/>
    </xf>
    <xf numFmtId="0" fontId="64" fillId="78" borderId="12" xfId="0" applyFont="1" applyFill="1" applyBorder="1" applyAlignment="1">
      <alignment horizontal="center"/>
    </xf>
    <xf numFmtId="0" fontId="63" fillId="64" borderId="0" xfId="0" applyFont="1" applyFill="1" applyAlignment="1">
      <alignment horizontal="center"/>
    </xf>
    <xf numFmtId="0" fontId="25" fillId="19" borderId="0" xfId="0" applyFont="1" applyFill="1" applyAlignment="1">
      <alignment horizontal="center"/>
    </xf>
    <xf numFmtId="185" fontId="21" fillId="0" borderId="0" xfId="166" applyNumberFormat="1" applyFont="1" applyBorder="1" applyAlignment="1">
      <alignment horizontal="center"/>
    </xf>
    <xf numFmtId="185" fontId="21" fillId="0" borderId="0" xfId="166" applyNumberFormat="1" applyBorder="1" applyAlignment="1">
      <alignment horizontal="center"/>
    </xf>
    <xf numFmtId="0" fontId="21" fillId="76" borderId="0" xfId="0" applyFont="1" applyFill="1" applyAlignment="1">
      <alignment horizontal="center"/>
    </xf>
    <xf numFmtId="0" fontId="0" fillId="76" borderId="0" xfId="0" applyFill="1" applyAlignment="1">
      <alignment horizontal="center"/>
    </xf>
    <xf numFmtId="10" fontId="33" fillId="22" borderId="0" xfId="166" applyNumberFormat="1" applyFont="1" applyFill="1" applyAlignment="1">
      <alignment horizontal="center"/>
    </xf>
    <xf numFmtId="10" fontId="108" fillId="83" borderId="0" xfId="166" applyNumberFormat="1" applyFont="1" applyFill="1" applyAlignment="1">
      <alignment horizontal="center"/>
    </xf>
  </cellXfs>
  <cellStyles count="849">
    <cellStyle name="20 % - Accent1" xfId="1" builtinId="30" customBuiltin="1"/>
    <cellStyle name="20 % - Accent1 2" xfId="2" xr:uid="{00000000-0005-0000-0000-000001000000}"/>
    <cellStyle name="20 % - Accent1 2 2" xfId="204" xr:uid="{0113C610-E8A4-4604-BCA3-5265A93870DE}"/>
    <cellStyle name="20 % - Accent1 2 2 2" xfId="473" xr:uid="{15EEA851-FB6C-4F0C-96F7-0C27CF3CD476}"/>
    <cellStyle name="20 % - Accent1 2 2 2 2" xfId="734" xr:uid="{60DA2427-1248-4B14-9113-165D7CF32B9E}"/>
    <cellStyle name="20 % - Accent1 2 2 3" xfId="601" xr:uid="{5A1E8206-E232-4489-AD9E-46A56A1C9146}"/>
    <cellStyle name="20 % - Accent1 2 3" xfId="403" xr:uid="{2F62A13C-C8B2-444F-B828-432D718DA060}"/>
    <cellStyle name="20 % - Accent1 2 3 2" xfId="701" xr:uid="{1FD74128-CFE4-41A4-B9DF-C429575B4BD2}"/>
    <cellStyle name="20 % - Accent1 2 4" xfId="568" xr:uid="{F8AD33EE-0863-45F1-9824-30F37F73DDD7}"/>
    <cellStyle name="20 % - Accent1 3" xfId="831" xr:uid="{AA5B1AF3-F862-40A7-8F5A-0A56414C810E}"/>
    <cellStyle name="20 % - Accent2" xfId="3" builtinId="34" customBuiltin="1"/>
    <cellStyle name="20 % - Accent2 2" xfId="4" xr:uid="{00000000-0005-0000-0000-000003000000}"/>
    <cellStyle name="20 % - Accent2 2 2" xfId="205" xr:uid="{C1BB42BF-0744-413D-B6DE-BB5622759D78}"/>
    <cellStyle name="20 % - Accent2 2 2 2" xfId="474" xr:uid="{B7766835-C8DB-4C85-8975-0D38F4C6ACFD}"/>
    <cellStyle name="20 % - Accent2 2 2 2 2" xfId="735" xr:uid="{0CFD92EA-5B10-47CB-A3DA-DDFD2155A2D1}"/>
    <cellStyle name="20 % - Accent2 2 2 3" xfId="602" xr:uid="{E6FF9DE9-5D83-49B1-94B5-2739107E3523}"/>
    <cellStyle name="20 % - Accent2 2 3" xfId="404" xr:uid="{DD4B9F81-5280-4DC1-A08F-1911EE0280B1}"/>
    <cellStyle name="20 % - Accent2 2 3 2" xfId="702" xr:uid="{73C4A9E8-994D-457E-95D3-95B89B66931F}"/>
    <cellStyle name="20 % - Accent2 2 4" xfId="569" xr:uid="{55E2328F-666D-4EF3-8936-D58A6D3F565C}"/>
    <cellStyle name="20 % - Accent2 3" xfId="834" xr:uid="{3BF65092-3EB8-42EC-AAE2-7C18EAA1F5A7}"/>
    <cellStyle name="20 % - Accent3" xfId="5" builtinId="38" customBuiltin="1"/>
    <cellStyle name="20 % - Accent3 2" xfId="6" xr:uid="{00000000-0005-0000-0000-000005000000}"/>
    <cellStyle name="20 % - Accent3 2 2" xfId="206" xr:uid="{8E8EAB11-4F93-46DE-A0CC-6A03834ABAC0}"/>
    <cellStyle name="20 % - Accent3 2 2 2" xfId="475" xr:uid="{67B75708-EC9B-4599-8D3C-6949ABA05D98}"/>
    <cellStyle name="20 % - Accent3 2 2 2 2" xfId="736" xr:uid="{2EBEF908-505E-4A71-8F7E-1380D2C8E59E}"/>
    <cellStyle name="20 % - Accent3 2 2 3" xfId="603" xr:uid="{5D43F1E7-943E-49C3-9B7D-68D7B448DA06}"/>
    <cellStyle name="20 % - Accent3 2 3" xfId="405" xr:uid="{CA7B1210-1C13-45AB-B55D-052128E353C8}"/>
    <cellStyle name="20 % - Accent3 2 3 2" xfId="703" xr:uid="{F12A4C12-211C-465D-8773-47A7D8017A5E}"/>
    <cellStyle name="20 % - Accent3 2 4" xfId="570" xr:uid="{684A4FA5-AEBD-49E6-AC6E-9092A1AC4E79}"/>
    <cellStyle name="20 % - Accent3 3" xfId="837" xr:uid="{A8AD5310-5845-4DFB-B5F2-9973430B4679}"/>
    <cellStyle name="20 % - Accent4" xfId="7" builtinId="42" customBuiltin="1"/>
    <cellStyle name="20 % - Accent4 2" xfId="8" xr:uid="{00000000-0005-0000-0000-000007000000}"/>
    <cellStyle name="20 % - Accent4 2 2" xfId="207" xr:uid="{734CBABD-541E-4DE8-BBC4-DB09D4854313}"/>
    <cellStyle name="20 % - Accent4 2 2 2" xfId="476" xr:uid="{04094F24-7C87-4B87-BE35-02A4BEB407DC}"/>
    <cellStyle name="20 % - Accent4 2 2 2 2" xfId="737" xr:uid="{18E96500-EF13-4FB9-A223-A270D952BB91}"/>
    <cellStyle name="20 % - Accent4 2 2 3" xfId="604" xr:uid="{CB446023-1988-4278-B8D4-D1554474D0C8}"/>
    <cellStyle name="20 % - Accent4 2 3" xfId="406" xr:uid="{FC5BDCAB-F5F2-458B-828C-96D05E61AD34}"/>
    <cellStyle name="20 % - Accent4 2 3 2" xfId="704" xr:uid="{21E291CF-296D-4A64-9F64-35207167E8A0}"/>
    <cellStyle name="20 % - Accent4 2 4" xfId="571" xr:uid="{39119C4C-64B9-41E9-BB0C-B41D51B6F9D0}"/>
    <cellStyle name="20 % - Accent4 3" xfId="840" xr:uid="{DFECD7C6-5EEA-49CA-99DB-919DF9C72D58}"/>
    <cellStyle name="20 % - Accent5" xfId="9" builtinId="46" customBuiltin="1"/>
    <cellStyle name="20 % - Accent5 2" xfId="10" xr:uid="{00000000-0005-0000-0000-000009000000}"/>
    <cellStyle name="20 % - Accent5 2 2" xfId="208" xr:uid="{FB497283-3E80-486F-A314-C431C91696F5}"/>
    <cellStyle name="20 % - Accent5 2 2 2" xfId="477" xr:uid="{C2E6473D-21F3-4753-9097-D77AB9697FAC}"/>
    <cellStyle name="20 % - Accent5 2 2 2 2" xfId="738" xr:uid="{6B7820D2-D4E2-4971-B60F-8DB1620BC095}"/>
    <cellStyle name="20 % - Accent5 2 2 3" xfId="605" xr:uid="{E8B5F728-02CE-4884-AA7B-634AB1582922}"/>
    <cellStyle name="20 % - Accent5 2 3" xfId="407" xr:uid="{DE971349-07C0-4D06-B51F-7C2B0E22ADD9}"/>
    <cellStyle name="20 % - Accent5 2 3 2" xfId="705" xr:uid="{67D3CB77-1750-46D6-872F-2CFBFE471D84}"/>
    <cellStyle name="20 % - Accent5 2 4" xfId="572" xr:uid="{58C2D625-7074-4722-885E-72F05D40301A}"/>
    <cellStyle name="20 % - Accent5 3" xfId="843" xr:uid="{49989BE9-A3BD-4B1D-B643-3F6DF9D9DF2F}"/>
    <cellStyle name="20 % - Accent6" xfId="11" builtinId="50" customBuiltin="1"/>
    <cellStyle name="20 % - Accent6 2" xfId="12" xr:uid="{00000000-0005-0000-0000-00000B000000}"/>
    <cellStyle name="20 % - Accent6 2 2" xfId="209" xr:uid="{F3FBCF75-C04F-4D51-BD3C-41B2B5FF17F9}"/>
    <cellStyle name="20 % - Accent6 2 2 2" xfId="478" xr:uid="{FE78DF2F-EA1D-4FD4-A758-B047771DB366}"/>
    <cellStyle name="20 % - Accent6 2 2 2 2" xfId="739" xr:uid="{C6B95BFE-5999-4761-B919-3B34ED1012E2}"/>
    <cellStyle name="20 % - Accent6 2 2 3" xfId="606" xr:uid="{BFDF492E-2A15-4E31-B659-3FC3E94D1327}"/>
    <cellStyle name="20 % - Accent6 2 3" xfId="408" xr:uid="{5EEDA8F2-D4BB-4550-AC6A-82078C07093A}"/>
    <cellStyle name="20 % - Accent6 2 3 2" xfId="706" xr:uid="{CEDEF601-BFA3-4B7A-A559-383906ED5E8E}"/>
    <cellStyle name="20 % - Accent6 2 4" xfId="573" xr:uid="{6D564026-4C74-4B18-99B2-1897745E2BDA}"/>
    <cellStyle name="20 % - Accent6 3" xfId="846" xr:uid="{7B992C17-B708-4210-8618-73152658A069}"/>
    <cellStyle name="20% - Accent1" xfId="289" xr:uid="{B8D8659A-1B06-4743-B778-A10CA8E18AE8}"/>
    <cellStyle name="20% - Accent1 2" xfId="349" xr:uid="{E2FAF653-B4C5-45AA-A996-2DC68D171CC3}"/>
    <cellStyle name="20% - Accent1 2 2" xfId="527" xr:uid="{E747E922-7F55-45BC-8F0B-F6D1952BCF84}"/>
    <cellStyle name="20% - Accent1 2 2 2" xfId="785" xr:uid="{842BCB4B-FAF4-47EB-B8DC-7974F113AF0A}"/>
    <cellStyle name="20% - Accent1 2 3" xfId="652" xr:uid="{E74E217D-71E1-47DA-BA68-C0078DA891D4}"/>
    <cellStyle name="20% - Accent1 3" xfId="378" xr:uid="{C014FD56-2F7F-4DDD-A6A4-C117F61F3A5B}"/>
    <cellStyle name="20% - Accent1 3 2" xfId="677" xr:uid="{787C59C7-E0F1-40F1-9738-C2685319EE4B}"/>
    <cellStyle name="20% - Accent1 4" xfId="501" xr:uid="{105CEE81-6CDD-48CE-A5B8-F54AE7D9691A}"/>
    <cellStyle name="20% - Accent1 4 2" xfId="760" xr:uid="{EA84E234-D3A8-444A-9764-456254FFA230}"/>
    <cellStyle name="20% - Accent1 5" xfId="627" xr:uid="{119773E0-103E-4A5F-9D95-C84DC8FAB40C}"/>
    <cellStyle name="20% - Accent2" xfId="290" xr:uid="{58C46471-3FC2-460E-B524-1346E06D6FFF}"/>
    <cellStyle name="20% - Accent2 2" xfId="350" xr:uid="{B196D361-1D21-42FA-9470-EE2E181A509E}"/>
    <cellStyle name="20% - Accent2 2 2" xfId="528" xr:uid="{8A1C280A-AB07-4590-9078-68896FD193B4}"/>
    <cellStyle name="20% - Accent2 2 2 2" xfId="786" xr:uid="{B6CF1EA7-4180-4E3E-9E1A-2BB494BAD9FD}"/>
    <cellStyle name="20% - Accent2 2 3" xfId="653" xr:uid="{6E10F29C-1E27-4F00-8A8B-182246F48CE2}"/>
    <cellStyle name="20% - Accent2 3" xfId="379" xr:uid="{082F7C73-7E85-485B-AC53-EE6D67D1E7C2}"/>
    <cellStyle name="20% - Accent2 3 2" xfId="678" xr:uid="{AF0462DB-90DE-4E11-8728-58CBEAFD157A}"/>
    <cellStyle name="20% - Accent2 4" xfId="502" xr:uid="{97FE59B7-DD84-444C-926B-0AFBB31D4FD2}"/>
    <cellStyle name="20% - Accent2 4 2" xfId="761" xr:uid="{F7A1C894-7313-4617-972F-E15D37A5073E}"/>
    <cellStyle name="20% - Accent2 5" xfId="628" xr:uid="{EDF8D096-A61F-4347-ACC2-9D0098BEAA40}"/>
    <cellStyle name="20% - Accent3" xfId="291" xr:uid="{4ECB0E31-0CF9-449A-AC34-A74F0AA7A9AB}"/>
    <cellStyle name="20% - Accent3 2" xfId="351" xr:uid="{658E8D2A-81B0-45F5-A883-72DCCDDFA40D}"/>
    <cellStyle name="20% - Accent3 2 2" xfId="529" xr:uid="{485BFF12-823A-4BDD-A2E8-E036831283B2}"/>
    <cellStyle name="20% - Accent3 2 2 2" xfId="787" xr:uid="{0E339271-4F40-4081-BE91-EE078B9971FF}"/>
    <cellStyle name="20% - Accent3 2 3" xfId="654" xr:uid="{DB218613-572C-4BAF-BFCA-15BE8C0B4146}"/>
    <cellStyle name="20% - Accent3 3" xfId="380" xr:uid="{D8D1F359-04E2-4566-AE33-2F22CAE4F583}"/>
    <cellStyle name="20% - Accent3 3 2" xfId="679" xr:uid="{99A76398-C760-496E-A3AC-7140D54EB489}"/>
    <cellStyle name="20% - Accent3 4" xfId="503" xr:uid="{70E25B3B-F0CF-41D2-9F73-88A8FF421473}"/>
    <cellStyle name="20% - Accent3 4 2" xfId="762" xr:uid="{60482F33-647D-4138-B1B5-49A6F5742BC1}"/>
    <cellStyle name="20% - Accent3 5" xfId="629" xr:uid="{F5AE52DD-D839-4777-AE8A-F147A1B13B98}"/>
    <cellStyle name="20% - Accent4" xfId="292" xr:uid="{E92B7CBB-68DF-4E54-A44D-362DC44417D4}"/>
    <cellStyle name="20% - Accent4 2" xfId="352" xr:uid="{22862696-139F-4611-81F7-1FFA07B41B13}"/>
    <cellStyle name="20% - Accent4 2 2" xfId="530" xr:uid="{867C8765-C062-47B3-B2F8-4BA2ABD375C4}"/>
    <cellStyle name="20% - Accent4 2 2 2" xfId="788" xr:uid="{ECFD164F-E1B0-4F9B-A139-8636224E252F}"/>
    <cellStyle name="20% - Accent4 2 3" xfId="655" xr:uid="{B1A624E7-D398-4295-937F-B60D4D9B1027}"/>
    <cellStyle name="20% - Accent4 3" xfId="381" xr:uid="{31540BB0-5D8A-4987-B458-77A204792F97}"/>
    <cellStyle name="20% - Accent4 3 2" xfId="680" xr:uid="{446F62D9-71EF-49E8-A995-C0804A01E013}"/>
    <cellStyle name="20% - Accent4 4" xfId="504" xr:uid="{C5773E40-2473-444A-BDFF-E9CBC6C11182}"/>
    <cellStyle name="20% - Accent4 4 2" xfId="763" xr:uid="{B7343BD1-0E6B-40CA-8495-2A3AE6F4B3B8}"/>
    <cellStyle name="20% - Accent4 5" xfId="630" xr:uid="{AEC5155D-9590-40F1-8462-0E3583030E17}"/>
    <cellStyle name="20% - Accent5" xfId="293" xr:uid="{D41E5221-A657-4738-9754-890CFD82C822}"/>
    <cellStyle name="20% - Accent5 2" xfId="353" xr:uid="{BC891334-7363-402B-9976-B0C9E6B3801D}"/>
    <cellStyle name="20% - Accent5 2 2" xfId="531" xr:uid="{9DD0114E-094C-4E4C-9078-C8ECCA80D353}"/>
    <cellStyle name="20% - Accent5 2 2 2" xfId="789" xr:uid="{4CF70B6D-576A-4140-90D8-31E16CC46722}"/>
    <cellStyle name="20% - Accent5 2 3" xfId="656" xr:uid="{7AF32A4A-7F21-4AFA-958D-6E58883E1E68}"/>
    <cellStyle name="20% - Accent5 3" xfId="382" xr:uid="{7FFFB261-9428-4AC5-A8BA-5BC37B95ED63}"/>
    <cellStyle name="20% - Accent5 3 2" xfId="681" xr:uid="{55D84395-4EC7-41E2-98AE-B60ADD7F3121}"/>
    <cellStyle name="20% - Accent5 4" xfId="505" xr:uid="{3A6A0C54-C566-4972-A823-54B3384C6835}"/>
    <cellStyle name="20% - Accent5 4 2" xfId="764" xr:uid="{C901C04A-F234-4685-8B4E-415DDB995419}"/>
    <cellStyle name="20% - Accent5 5" xfId="631" xr:uid="{CD77F13D-A7A4-4DEA-8566-7806F4523D54}"/>
    <cellStyle name="20% - Accent6" xfId="294" xr:uid="{D30235F0-4D68-4A91-B9AA-2427A4298A31}"/>
    <cellStyle name="20% - Accent6 2" xfId="354" xr:uid="{2A18709D-0D36-4912-A1CF-D4D5C9209557}"/>
    <cellStyle name="20% - Accent6 2 2" xfId="532" xr:uid="{A6CAD594-A4BE-44BA-B4F1-26D92F27B028}"/>
    <cellStyle name="20% - Accent6 2 2 2" xfId="790" xr:uid="{B7F3876D-8185-4064-A487-2048F7CD5E4B}"/>
    <cellStyle name="20% - Accent6 2 3" xfId="657" xr:uid="{303045D2-BDC0-4B8E-B6FC-738126F31350}"/>
    <cellStyle name="20% - Accent6 3" xfId="383" xr:uid="{877D76A2-AE2D-4472-8177-C6328C29C986}"/>
    <cellStyle name="20% - Accent6 3 2" xfId="682" xr:uid="{8161F52F-AF3F-4FB6-AFB4-4C84749C00E0}"/>
    <cellStyle name="20% - Accent6 4" xfId="506" xr:uid="{2F9092B8-9C79-4617-BBB6-92F5439C9506}"/>
    <cellStyle name="20% - Accent6 4 2" xfId="765" xr:uid="{B88C3A05-75CF-4BE0-BB84-5623943DB2DF}"/>
    <cellStyle name="20% - Accent6 5" xfId="632" xr:uid="{2C1F7660-E4D0-478E-BC2A-F802D9804260}"/>
    <cellStyle name="40 % - Accent1" xfId="13" builtinId="31" customBuiltin="1"/>
    <cellStyle name="40 % - Accent1 2" xfId="14" xr:uid="{00000000-0005-0000-0000-00000D000000}"/>
    <cellStyle name="40 % - Accent1 2 2" xfId="210" xr:uid="{73913284-664F-4015-8A8A-65C0DB4F55EF}"/>
    <cellStyle name="40 % - Accent1 2 2 2" xfId="479" xr:uid="{2654EC7D-C749-4BD1-9A16-7B59234014E2}"/>
    <cellStyle name="40 % - Accent1 2 2 2 2" xfId="740" xr:uid="{97CE9A43-5A08-48BA-BF86-C0678E5AA89C}"/>
    <cellStyle name="40 % - Accent1 2 2 3" xfId="607" xr:uid="{67D083AD-FCE0-4136-AB5B-4C2A862551A2}"/>
    <cellStyle name="40 % - Accent1 2 3" xfId="409" xr:uid="{97CAB797-EC4C-4AC6-B17A-9D15B1F8D22E}"/>
    <cellStyle name="40 % - Accent1 2 3 2" xfId="707" xr:uid="{455A928C-14CB-4957-A253-2D9B6ACEFC73}"/>
    <cellStyle name="40 % - Accent1 2 4" xfId="574" xr:uid="{1EB951B5-9D9B-4EF0-AAF8-F3ED0C1AE032}"/>
    <cellStyle name="40 % - Accent1 3" xfId="832" xr:uid="{634CD895-149F-48A5-8C22-A7319A9097E7}"/>
    <cellStyle name="40 % - Accent2" xfId="15" builtinId="35" customBuiltin="1"/>
    <cellStyle name="40 % - Accent2 2" xfId="16" xr:uid="{00000000-0005-0000-0000-00000F000000}"/>
    <cellStyle name="40 % - Accent2 2 2" xfId="211" xr:uid="{6E48837B-D2B1-4062-8B5A-AFBA05B79EBA}"/>
    <cellStyle name="40 % - Accent2 2 2 2" xfId="480" xr:uid="{EDC3B84B-7C9C-47F7-A5B6-9060FA8BFD34}"/>
    <cellStyle name="40 % - Accent2 2 2 2 2" xfId="741" xr:uid="{83BF86EA-B9CB-421B-9A23-BA4803DE5EFC}"/>
    <cellStyle name="40 % - Accent2 2 2 3" xfId="608" xr:uid="{4EE5C07A-AD02-4B4F-8308-6F2F41588DF5}"/>
    <cellStyle name="40 % - Accent2 2 3" xfId="410" xr:uid="{DF59D7F0-8A21-440E-8048-7A22074C809C}"/>
    <cellStyle name="40 % - Accent2 2 3 2" xfId="708" xr:uid="{880E939C-8267-48E5-B45E-D2E964797AFD}"/>
    <cellStyle name="40 % - Accent2 2 4" xfId="575" xr:uid="{50855079-BCB8-4BE5-A8D2-3C9314966BE2}"/>
    <cellStyle name="40 % - Accent2 3" xfId="835" xr:uid="{7AB0553E-939F-45BA-870E-B0F63191AF17}"/>
    <cellStyle name="40 % - Accent3" xfId="17" builtinId="39" customBuiltin="1"/>
    <cellStyle name="40 % - Accent3 2" xfId="18" xr:uid="{00000000-0005-0000-0000-000011000000}"/>
    <cellStyle name="40 % - Accent3 2 2" xfId="212" xr:uid="{48538499-CE3B-4E64-9129-1106E25C8885}"/>
    <cellStyle name="40 % - Accent3 2 2 2" xfId="481" xr:uid="{8D44B91E-E7E6-412C-B713-2E29FF809932}"/>
    <cellStyle name="40 % - Accent3 2 2 2 2" xfId="742" xr:uid="{7BF46685-BB09-4691-9FB4-2CFEAA874A56}"/>
    <cellStyle name="40 % - Accent3 2 2 3" xfId="609" xr:uid="{89A27A3F-79C2-451B-B519-E59D5A576AB5}"/>
    <cellStyle name="40 % - Accent3 2 3" xfId="411" xr:uid="{B6CA6C5A-9460-4F2F-8702-D12761CD99CE}"/>
    <cellStyle name="40 % - Accent3 2 3 2" xfId="709" xr:uid="{D6FAD20E-715C-44A5-90A5-F485054871F4}"/>
    <cellStyle name="40 % - Accent3 2 4" xfId="576" xr:uid="{77C497EE-5095-48C0-A0A5-FC6640342A96}"/>
    <cellStyle name="40 % - Accent3 3" xfId="838" xr:uid="{822F7AFC-3DB7-46A8-984A-F191A5CBDAFD}"/>
    <cellStyle name="40 % - Accent4" xfId="19" builtinId="43" customBuiltin="1"/>
    <cellStyle name="40 % - Accent4 2" xfId="20" xr:uid="{00000000-0005-0000-0000-000013000000}"/>
    <cellStyle name="40 % - Accent4 2 2" xfId="213" xr:uid="{21FD07AA-D300-44E2-866B-3CAAB2598743}"/>
    <cellStyle name="40 % - Accent4 2 2 2" xfId="482" xr:uid="{C83062E3-F3DA-476C-803A-11249F61A6FC}"/>
    <cellStyle name="40 % - Accent4 2 2 2 2" xfId="743" xr:uid="{897E390D-8A95-4F8E-9D66-F352BC5900BD}"/>
    <cellStyle name="40 % - Accent4 2 2 3" xfId="610" xr:uid="{06A9C4B2-4D20-4E84-9FA1-4B3655659524}"/>
    <cellStyle name="40 % - Accent4 2 3" xfId="412" xr:uid="{EB2BECB2-10FF-49E6-A04D-70296BED6D53}"/>
    <cellStyle name="40 % - Accent4 2 3 2" xfId="710" xr:uid="{9C345913-6B8E-42D4-A6D5-5C29EAD8E607}"/>
    <cellStyle name="40 % - Accent4 2 4" xfId="577" xr:uid="{57CDA17E-0890-4EC2-BC4A-9223F15BFCE9}"/>
    <cellStyle name="40 % - Accent4 3" xfId="841" xr:uid="{04D851C4-8281-465C-BF3B-7E892DB8FEA9}"/>
    <cellStyle name="40 % - Accent5" xfId="21" builtinId="47" customBuiltin="1"/>
    <cellStyle name="40 % - Accent5 2" xfId="22" xr:uid="{00000000-0005-0000-0000-000015000000}"/>
    <cellStyle name="40 % - Accent5 2 2" xfId="214" xr:uid="{F5223813-57E9-4AA0-9C35-00700ED8330E}"/>
    <cellStyle name="40 % - Accent5 2 2 2" xfId="483" xr:uid="{E80A8D6C-F9FE-4BC8-A68D-0E3BCF5FDCA7}"/>
    <cellStyle name="40 % - Accent5 2 2 2 2" xfId="744" xr:uid="{BF7B143F-5407-4A8A-9182-FFEECB441933}"/>
    <cellStyle name="40 % - Accent5 2 2 3" xfId="611" xr:uid="{F69A0063-4D54-4BBA-9EE9-2F2ED766AD72}"/>
    <cellStyle name="40 % - Accent5 2 3" xfId="413" xr:uid="{EB07E62F-2E74-445E-9013-7C9C0FD140F4}"/>
    <cellStyle name="40 % - Accent5 2 3 2" xfId="711" xr:uid="{7AAB4BE7-8D62-4621-A648-DD92A217AB51}"/>
    <cellStyle name="40 % - Accent5 2 4" xfId="578" xr:uid="{E20A0E59-5CB0-438B-99E7-C663A751DBB9}"/>
    <cellStyle name="40 % - Accent5 3" xfId="844" xr:uid="{704A81E9-CE11-48C3-93FF-938D643F256E}"/>
    <cellStyle name="40 % - Accent6" xfId="23" builtinId="51" customBuiltin="1"/>
    <cellStyle name="40 % - Accent6 2" xfId="24" xr:uid="{00000000-0005-0000-0000-000017000000}"/>
    <cellStyle name="40 % - Accent6 2 2" xfId="215" xr:uid="{B476C63B-0354-489D-A7F6-97644805EBE9}"/>
    <cellStyle name="40 % - Accent6 2 2 2" xfId="484" xr:uid="{5CFE426D-80E4-477D-A1C1-54D044B6B25B}"/>
    <cellStyle name="40 % - Accent6 2 2 2 2" xfId="745" xr:uid="{63EA8B9B-DA1C-45B2-8700-354CBF4B96D4}"/>
    <cellStyle name="40 % - Accent6 2 2 3" xfId="612" xr:uid="{AE23D75F-B577-47B3-9230-E73231E753C2}"/>
    <cellStyle name="40 % - Accent6 2 3" xfId="414" xr:uid="{38C36910-BA3A-49AE-AFAE-4A5D069FAC0B}"/>
    <cellStyle name="40 % - Accent6 2 3 2" xfId="712" xr:uid="{7098D31E-952A-4A1D-ACA9-35CDC751CE95}"/>
    <cellStyle name="40 % - Accent6 2 4" xfId="579" xr:uid="{3339356A-DD02-4DF5-A990-270227A17151}"/>
    <cellStyle name="40 % - Accent6 3" xfId="847" xr:uid="{188A57BF-3057-41FE-A207-2E06C5E68F22}"/>
    <cellStyle name="40% - Accent1" xfId="295" xr:uid="{8ABFD919-07B3-40A7-B026-AACCDB333DC7}"/>
    <cellStyle name="40% - Accent1 2" xfId="355" xr:uid="{9A40408E-24E3-4717-B1B9-6D86772F8E58}"/>
    <cellStyle name="40% - Accent1 2 2" xfId="533" xr:uid="{F6F3CF05-A2D1-4381-B1CE-2C8A0958ACC8}"/>
    <cellStyle name="40% - Accent1 2 2 2" xfId="791" xr:uid="{9F087082-89C2-4438-8BC0-AE97545BC4A2}"/>
    <cellStyle name="40% - Accent1 2 3" xfId="658" xr:uid="{A5E582C4-1222-445A-B7A9-34B71B59CBE5}"/>
    <cellStyle name="40% - Accent1 3" xfId="384" xr:uid="{FE8D916D-5D40-496F-B504-5CCB69F5F4AB}"/>
    <cellStyle name="40% - Accent1 3 2" xfId="683" xr:uid="{3244EF2C-3438-4998-998B-36831A6C8E7D}"/>
    <cellStyle name="40% - Accent1 4" xfId="507" xr:uid="{D32D022F-F984-4E2E-920C-0AB69D296D9A}"/>
    <cellStyle name="40% - Accent1 4 2" xfId="766" xr:uid="{B8D2D859-3BCF-4753-ABA2-5871CC55AC8B}"/>
    <cellStyle name="40% - Accent1 5" xfId="633" xr:uid="{9ACD4CCE-ABC1-469C-AF22-55C86496C180}"/>
    <cellStyle name="40% - Accent2" xfId="296" xr:uid="{E2FEE9B8-C563-4BC1-81B3-5371607B03C6}"/>
    <cellStyle name="40% - Accent2 2" xfId="356" xr:uid="{B7C2018F-8555-44D8-BCBD-EADD37D981CE}"/>
    <cellStyle name="40% - Accent2 2 2" xfId="534" xr:uid="{F42736A5-6475-4D9A-BC6B-CA6A6475BB1C}"/>
    <cellStyle name="40% - Accent2 2 2 2" xfId="792" xr:uid="{25D62A28-10AF-42F6-9C33-E2F1D5C2590B}"/>
    <cellStyle name="40% - Accent2 2 3" xfId="659" xr:uid="{B6E203F1-4E7B-44A5-AE9F-23E3BF1010A3}"/>
    <cellStyle name="40% - Accent2 3" xfId="385" xr:uid="{9C526E4C-5D4B-451E-9B08-80D116E559E6}"/>
    <cellStyle name="40% - Accent2 3 2" xfId="684" xr:uid="{98C73323-267F-4DC0-9ADA-5359F2AA8116}"/>
    <cellStyle name="40% - Accent2 4" xfId="508" xr:uid="{48E4B85F-7E70-41FB-9788-9C43A46121AF}"/>
    <cellStyle name="40% - Accent2 4 2" xfId="767" xr:uid="{EA251BA0-25A9-4D7C-9FF1-448B29324222}"/>
    <cellStyle name="40% - Accent2 5" xfId="634" xr:uid="{4D15BFE4-FFEB-4293-9F90-972B298A623D}"/>
    <cellStyle name="40% - Accent3" xfId="297" xr:uid="{3EDAEC97-E6B6-43BC-867D-B0806663A9E8}"/>
    <cellStyle name="40% - Accent3 2" xfId="357" xr:uid="{004E211E-2A16-42F3-893F-42BDC09D0F19}"/>
    <cellStyle name="40% - Accent3 2 2" xfId="535" xr:uid="{D6661278-4A65-4D04-9BA0-6E73F6BBFDFA}"/>
    <cellStyle name="40% - Accent3 2 2 2" xfId="793" xr:uid="{F1BA7C56-9F9A-4728-AB29-876032264183}"/>
    <cellStyle name="40% - Accent3 2 3" xfId="660" xr:uid="{160EA91E-5E3E-4D5C-B098-77F8F64658A1}"/>
    <cellStyle name="40% - Accent3 3" xfId="386" xr:uid="{B84679FD-2A1E-4228-8F81-CC6AB7690C16}"/>
    <cellStyle name="40% - Accent3 3 2" xfId="685" xr:uid="{679CE632-E8B8-4BE2-BABE-30C5DDE83748}"/>
    <cellStyle name="40% - Accent3 4" xfId="509" xr:uid="{0F307862-AF21-42F4-960B-F810D64EB4BD}"/>
    <cellStyle name="40% - Accent3 4 2" xfId="768" xr:uid="{7211782C-3420-4F51-B594-06C5BBAFDD91}"/>
    <cellStyle name="40% - Accent3 5" xfId="635" xr:uid="{C2012E65-B6AC-4FF5-A93C-E550060A34C9}"/>
    <cellStyle name="40% - Accent4" xfId="298" xr:uid="{062CEB93-9A81-4DDB-B37B-0CB1AAD0845A}"/>
    <cellStyle name="40% - Accent4 2" xfId="358" xr:uid="{0E60148E-3755-4F7D-90D0-E285FC9DF04C}"/>
    <cellStyle name="40% - Accent4 2 2" xfId="536" xr:uid="{A787B1B9-3A0D-428B-B41B-A47CE75553B8}"/>
    <cellStyle name="40% - Accent4 2 2 2" xfId="794" xr:uid="{ED770340-812F-4037-B73C-247566C6F7BF}"/>
    <cellStyle name="40% - Accent4 2 3" xfId="661" xr:uid="{135405B3-DB9C-4038-B386-8DCF5BB641FB}"/>
    <cellStyle name="40% - Accent4 3" xfId="387" xr:uid="{BD8F57A3-A99A-4F34-865C-F3C036AE7393}"/>
    <cellStyle name="40% - Accent4 3 2" xfId="686" xr:uid="{90D9E50C-D0BA-42E2-8E3F-2E74F886CDB7}"/>
    <cellStyle name="40% - Accent4 4" xfId="510" xr:uid="{22CDC7EF-4509-4FCF-9709-1DDBBD3AA61D}"/>
    <cellStyle name="40% - Accent4 4 2" xfId="769" xr:uid="{298809A9-5ECA-4EC2-9220-506D45FE47EC}"/>
    <cellStyle name="40% - Accent4 5" xfId="636" xr:uid="{7BEF77DF-FB57-4745-8854-9F2735EC4C92}"/>
    <cellStyle name="40% - Accent5" xfId="299" xr:uid="{E44877C0-448B-48C1-BB82-EB33EBFA6FB8}"/>
    <cellStyle name="40% - Accent5 2" xfId="359" xr:uid="{16991143-16C3-4F6A-96AD-3299411C7522}"/>
    <cellStyle name="40% - Accent5 2 2" xfId="537" xr:uid="{F88D50E9-E568-4EB4-8CB5-D873A208D37B}"/>
    <cellStyle name="40% - Accent5 2 2 2" xfId="795" xr:uid="{160F1BCC-F8B4-4ACD-86DE-2D4669A298B0}"/>
    <cellStyle name="40% - Accent5 2 3" xfId="662" xr:uid="{BCA5AA8D-E035-41E8-B11A-F0A109BCDFD4}"/>
    <cellStyle name="40% - Accent5 3" xfId="388" xr:uid="{F90CF3DF-29D5-4775-AEB4-373E618C87BB}"/>
    <cellStyle name="40% - Accent5 3 2" xfId="687" xr:uid="{CC20FBE0-485B-4B53-9908-6277874E4F42}"/>
    <cellStyle name="40% - Accent5 4" xfId="511" xr:uid="{9B51820F-2633-4786-97D6-FB52BC2595B5}"/>
    <cellStyle name="40% - Accent5 4 2" xfId="770" xr:uid="{61A04BD3-B776-404B-B6F5-523DC5A2ECB6}"/>
    <cellStyle name="40% - Accent5 5" xfId="637" xr:uid="{1504497C-58DB-4B18-B39D-9CF1F3A49CCF}"/>
    <cellStyle name="40% - Accent6" xfId="300" xr:uid="{89303DD2-AF47-4637-AE38-2952576DCBE8}"/>
    <cellStyle name="40% - Accent6 2" xfId="360" xr:uid="{1E848474-9875-45D2-8BE1-71C704E3433F}"/>
    <cellStyle name="40% - Accent6 2 2" xfId="538" xr:uid="{941B5140-17BE-4F4E-B1A5-7469B14B2C11}"/>
    <cellStyle name="40% - Accent6 2 2 2" xfId="796" xr:uid="{9920F187-7182-4610-A8E4-67B2EB366132}"/>
    <cellStyle name="40% - Accent6 2 3" xfId="663" xr:uid="{CB8EA6A9-77FA-4E60-ACB7-5896CC401F03}"/>
    <cellStyle name="40% - Accent6 3" xfId="389" xr:uid="{C0448D1F-911C-4CD1-8156-B2A68EE10882}"/>
    <cellStyle name="40% - Accent6 3 2" xfId="688" xr:uid="{188405C1-7578-4A26-9FAB-EFA9B5E8D140}"/>
    <cellStyle name="40% - Accent6 4" xfId="512" xr:uid="{D5FBEF0F-B7AD-415E-84BF-C2314D1D154C}"/>
    <cellStyle name="40% - Accent6 4 2" xfId="771" xr:uid="{2224C872-0016-4B1B-8C31-16C3E97B6A37}"/>
    <cellStyle name="40% - Accent6 5" xfId="638" xr:uid="{CCAA9ECC-28AA-41BA-9BE4-F8498C3FDA42}"/>
    <cellStyle name="60 % - Accent1" xfId="25" builtinId="32" customBuiltin="1"/>
    <cellStyle name="60 % - Accent1 2" xfId="26" xr:uid="{00000000-0005-0000-0000-000019000000}"/>
    <cellStyle name="60 % - Accent1 3" xfId="27" xr:uid="{00000000-0005-0000-0000-00001A000000}"/>
    <cellStyle name="60 % - Accent1 3 2" xfId="415" xr:uid="{918847A3-EB52-4DA6-9245-7CCC1B4335B7}"/>
    <cellStyle name="60 % - Accent1 3 2 2" xfId="713" xr:uid="{ADF160EE-011E-4431-B41A-9C96ECF48970}"/>
    <cellStyle name="60 % - Accent1 3 3" xfId="580" xr:uid="{E7A89E7B-4EBE-460A-A873-26288B10E896}"/>
    <cellStyle name="60 % - Accent1 4" xfId="833" xr:uid="{A9A403EF-A6DD-454E-9DC5-5906100838CB}"/>
    <cellStyle name="60 % - Accent2" xfId="28" builtinId="36" customBuiltin="1"/>
    <cellStyle name="60 % - Accent2 2" xfId="29" xr:uid="{00000000-0005-0000-0000-00001C000000}"/>
    <cellStyle name="60 % - Accent2 2 2" xfId="30" xr:uid="{00000000-0005-0000-0000-00001D000000}"/>
    <cellStyle name="60 % - Accent2 2 2 2" xfId="416" xr:uid="{03FD2A25-7446-47E1-B023-8E22B2BE5A1E}"/>
    <cellStyle name="60 % - Accent2 2 2 2 2" xfId="714" xr:uid="{38C50F40-7455-4D46-A59A-B1F315DBCA62}"/>
    <cellStyle name="60 % - Accent2 2 2 3" xfId="581" xr:uid="{44D59A97-BC70-4F22-90EB-F4FCC98C74B6}"/>
    <cellStyle name="60 % - Accent2 3" xfId="836" xr:uid="{7A534A98-BA89-4E43-A4B1-BC93247A0F64}"/>
    <cellStyle name="60 % - Accent3" xfId="31" builtinId="40" customBuiltin="1"/>
    <cellStyle name="60 % - Accent3 2" xfId="32" xr:uid="{00000000-0005-0000-0000-00001F000000}"/>
    <cellStyle name="60 % - Accent3 3" xfId="33" xr:uid="{00000000-0005-0000-0000-000020000000}"/>
    <cellStyle name="60 % - Accent3 3 2" xfId="417" xr:uid="{4F494D08-D4D9-48A4-AF82-B3D3813AC012}"/>
    <cellStyle name="60 % - Accent3 3 2 2" xfId="715" xr:uid="{C355A7B9-77FF-400D-8CB6-1906877CC1FD}"/>
    <cellStyle name="60 % - Accent3 3 3" xfId="582" xr:uid="{539B3672-9123-4245-8EC0-BC404F96CB45}"/>
    <cellStyle name="60 % - Accent3 4" xfId="839" xr:uid="{B3904764-68A6-470F-93B4-9323A931A5BD}"/>
    <cellStyle name="60 % - Accent4" xfId="34" builtinId="44" customBuiltin="1"/>
    <cellStyle name="60 % - Accent4 2" xfId="35" xr:uid="{00000000-0005-0000-0000-000022000000}"/>
    <cellStyle name="60 % - Accent4 3" xfId="36" xr:uid="{00000000-0005-0000-0000-000023000000}"/>
    <cellStyle name="60 % - Accent4 3 2" xfId="418" xr:uid="{91154F33-5D33-4125-86C7-89F7FCAA901F}"/>
    <cellStyle name="60 % - Accent4 3 2 2" xfId="716" xr:uid="{CF3280AE-D64F-4023-A67C-595821D3514C}"/>
    <cellStyle name="60 % - Accent4 3 3" xfId="583" xr:uid="{FD1B0E34-CF19-4120-A53E-589C6D100A69}"/>
    <cellStyle name="60 % - Accent4 4" xfId="842" xr:uid="{DDF8B98E-111E-45D7-AB38-F82391F5C32F}"/>
    <cellStyle name="60 % - Accent5" xfId="37" builtinId="48" customBuiltin="1"/>
    <cellStyle name="60 % - Accent5 2" xfId="38" xr:uid="{00000000-0005-0000-0000-000025000000}"/>
    <cellStyle name="60 % - Accent5 2 2" xfId="39" xr:uid="{00000000-0005-0000-0000-000026000000}"/>
    <cellStyle name="60 % - Accent5 2 2 2" xfId="419" xr:uid="{EDF106A5-9216-4FC5-98AB-DA30AC8F0547}"/>
    <cellStyle name="60 % - Accent5 2 2 2 2" xfId="717" xr:uid="{8B140700-DB3E-4778-8557-6DB1D79198BB}"/>
    <cellStyle name="60 % - Accent5 2 2 3" xfId="584" xr:uid="{513180F7-CC65-4626-B072-22EEB1301449}"/>
    <cellStyle name="60 % - Accent5 3" xfId="845" xr:uid="{F6F7EF39-C65C-4C62-BEF0-A0C28869FCB9}"/>
    <cellStyle name="60 % - Accent6" xfId="40" builtinId="52" customBuiltin="1"/>
    <cellStyle name="60 % - Accent6 2" xfId="41" xr:uid="{00000000-0005-0000-0000-000028000000}"/>
    <cellStyle name="60 % - Accent6 3" xfId="42" xr:uid="{00000000-0005-0000-0000-000029000000}"/>
    <cellStyle name="60 % - Accent6 3 2" xfId="420" xr:uid="{70E27067-F296-4089-97AF-B972B5F5038E}"/>
    <cellStyle name="60 % - Accent6 3 2 2" xfId="718" xr:uid="{07D81F95-D7C1-4087-A46E-18D43290A737}"/>
    <cellStyle name="60 % - Accent6 3 3" xfId="585" xr:uid="{86EF9C17-9707-4DD9-BD6E-74AA031DCE59}"/>
    <cellStyle name="60 % - Accent6 4" xfId="848" xr:uid="{EFB5B8F6-60F2-47F7-BD5D-DA6CA90EF73F}"/>
    <cellStyle name="60% - Accent1" xfId="301" xr:uid="{3CCBD8DC-E353-4D9B-8B10-5DAB60CF9B56}"/>
    <cellStyle name="60% - Accent2" xfId="302" xr:uid="{8DDF794B-EAA4-4D1B-B453-5B98E8680187}"/>
    <cellStyle name="60% - Accent3" xfId="303" xr:uid="{ECBB3D9D-0E27-4DA9-9047-C6C41AA14D14}"/>
    <cellStyle name="60% - Accent4" xfId="304" xr:uid="{FB8C6475-88ED-4DF0-A36F-4564B3F5C8D7}"/>
    <cellStyle name="60% - Accent5" xfId="305" xr:uid="{A9987616-7B70-485C-BE9B-0FAAE2D9B8C9}"/>
    <cellStyle name="60% - Accent6" xfId="306" xr:uid="{882AA649-7428-4466-AF00-0ADFB00CB13C}"/>
    <cellStyle name="Accent1" xfId="43" builtinId="29" customBuiltin="1"/>
    <cellStyle name="Accent1 2" xfId="44" xr:uid="{00000000-0005-0000-0000-00002B000000}"/>
    <cellStyle name="Accent2" xfId="45" builtinId="33" customBuiltin="1"/>
    <cellStyle name="Accent2 2" xfId="46" xr:uid="{00000000-0005-0000-0000-00002D000000}"/>
    <cellStyle name="Accent3" xfId="47" builtinId="37" customBuiltin="1"/>
    <cellStyle name="Accent3 2" xfId="48" xr:uid="{00000000-0005-0000-0000-00002F000000}"/>
    <cellStyle name="Accent4" xfId="49" builtinId="41" customBuiltin="1"/>
    <cellStyle name="Accent4 2" xfId="50" xr:uid="{00000000-0005-0000-0000-000031000000}"/>
    <cellStyle name="Accent5" xfId="51" builtinId="45" customBuiltin="1"/>
    <cellStyle name="Accent5 2" xfId="52" xr:uid="{00000000-0005-0000-0000-000033000000}"/>
    <cellStyle name="Accent6" xfId="53" builtinId="49" customBuiltin="1"/>
    <cellStyle name="Accent6 2" xfId="54" xr:uid="{00000000-0005-0000-0000-000035000000}"/>
    <cellStyle name="Avertissement" xfId="55" builtinId="11" customBuiltin="1"/>
    <cellStyle name="Avertissement 2" xfId="56" xr:uid="{00000000-0005-0000-0000-000037000000}"/>
    <cellStyle name="Bad" xfId="307" xr:uid="{7D6F3492-F221-4F60-A6E5-F0C8E34C87C2}"/>
    <cellStyle name="Calcul" xfId="57" builtinId="22" customBuiltin="1"/>
    <cellStyle name="Calcul 2" xfId="58" xr:uid="{00000000-0005-0000-0000-000039000000}"/>
    <cellStyle name="Calculation" xfId="308" xr:uid="{4B7FA1DB-5978-44C4-BF88-978D33ADF795}"/>
    <cellStyle name="Cellule liée" xfId="59" builtinId="24" customBuiltin="1"/>
    <cellStyle name="Cellule liée 2" xfId="60" xr:uid="{00000000-0005-0000-0000-00003B000000}"/>
    <cellStyle name="Check Cell" xfId="309" xr:uid="{D0BDF93A-6A03-49BC-83F1-26885354B834}"/>
    <cellStyle name="Commentaire 2" xfId="61" xr:uid="{00000000-0005-0000-0000-00003C000000}"/>
    <cellStyle name="Commentaire 2 2" xfId="216" xr:uid="{EF991F47-CBC2-47C1-9E31-2BFCA823B0E6}"/>
    <cellStyle name="Commentaire 2 2 2" xfId="485" xr:uid="{9870ABF4-D5F3-441E-9309-C001EFC3C36D}"/>
    <cellStyle name="Commentaire 2 2 2 2" xfId="746" xr:uid="{BCDA635E-627E-4963-8477-D0F0E1894A60}"/>
    <cellStyle name="Commentaire 2 2 3" xfId="613" xr:uid="{6F750ACE-08CB-4601-868C-29A7CB4711B7}"/>
    <cellStyle name="Commentaire 2 3" xfId="421" xr:uid="{81EF7726-71C0-4781-A70C-29516B2E5661}"/>
    <cellStyle name="Commentaire 2 3 2" xfId="719" xr:uid="{1DCE2E83-38AF-4730-B519-5C188AF9FC9A}"/>
    <cellStyle name="Commentaire 2 4" xfId="586" xr:uid="{781EEE78-4210-4DF8-B378-26E3A9FF2852}"/>
    <cellStyle name="Commentaire 3" xfId="62" xr:uid="{00000000-0005-0000-0000-00003D000000}"/>
    <cellStyle name="Commentaire 3 2" xfId="217" xr:uid="{C5C67851-173F-43EE-88F6-2A8FCFE9B485}"/>
    <cellStyle name="Entrée" xfId="63" builtinId="20" customBuiltin="1"/>
    <cellStyle name="Entrée 2" xfId="64" xr:uid="{00000000-0005-0000-0000-00003F000000}"/>
    <cellStyle name="Euro" xfId="65" xr:uid="{00000000-0005-0000-0000-000040000000}"/>
    <cellStyle name="Euro 10" xfId="66" xr:uid="{00000000-0005-0000-0000-000041000000}"/>
    <cellStyle name="Euro 10 2" xfId="422" xr:uid="{ABC08E8F-1BB6-4A70-A86C-D804795CF272}"/>
    <cellStyle name="Euro 11" xfId="67" xr:uid="{00000000-0005-0000-0000-000042000000}"/>
    <cellStyle name="Euro 11 2" xfId="423" xr:uid="{5620A40F-D40F-44F3-BDA7-0738869F44DA}"/>
    <cellStyle name="Euro 12" xfId="68" xr:uid="{00000000-0005-0000-0000-000043000000}"/>
    <cellStyle name="Euro 12 2" xfId="424" xr:uid="{EBBFFF2C-8E38-43F8-B739-C87062578509}"/>
    <cellStyle name="Euro 13" xfId="69" xr:uid="{00000000-0005-0000-0000-000044000000}"/>
    <cellStyle name="Euro 13 2" xfId="425" xr:uid="{B3344F91-3289-4FE2-B4A6-45EAF2C2B637}"/>
    <cellStyle name="Euro 14" xfId="218" xr:uid="{90C99F99-0C11-46F9-B41D-DAF815580A69}"/>
    <cellStyle name="Euro 14 2" xfId="486" xr:uid="{A9D90ADF-4FA5-4E5B-B641-83815BD1AA8F}"/>
    <cellStyle name="Euro 2" xfId="70" xr:uid="{00000000-0005-0000-0000-000045000000}"/>
    <cellStyle name="Euro 2 2" xfId="71" xr:uid="{00000000-0005-0000-0000-000046000000}"/>
    <cellStyle name="Euro 2 2 2" xfId="220" xr:uid="{9ABD727B-8577-478B-B16A-3D185FF1DE23}"/>
    <cellStyle name="Euro 2 3" xfId="219" xr:uid="{2998CBAD-E32D-4F09-B7F1-1150671E59AD}"/>
    <cellStyle name="Euro 3" xfId="72" xr:uid="{00000000-0005-0000-0000-000047000000}"/>
    <cellStyle name="Euro 3 2" xfId="221" xr:uid="{663CF8ED-F2DB-4D8B-8439-B0C5A0EF8C2E}"/>
    <cellStyle name="Euro 4" xfId="73" xr:uid="{00000000-0005-0000-0000-000048000000}"/>
    <cellStyle name="Euro 4 2" xfId="74" xr:uid="{00000000-0005-0000-0000-000049000000}"/>
    <cellStyle name="Euro 4 2 2" xfId="223" xr:uid="{F6D6D099-7431-4F3C-9620-624845AE273F}"/>
    <cellStyle name="Euro 4 3" xfId="222" xr:uid="{0B129447-54FA-4239-B966-DECE7186E14B}"/>
    <cellStyle name="Euro 5" xfId="75" xr:uid="{00000000-0005-0000-0000-00004A000000}"/>
    <cellStyle name="Euro 5 2" xfId="224" xr:uid="{28C03336-1833-47F7-9AC9-FD8C38D65F8C}"/>
    <cellStyle name="Euro 6" xfId="76" xr:uid="{00000000-0005-0000-0000-00004B000000}"/>
    <cellStyle name="Euro 6 2" xfId="225" xr:uid="{92A4C63B-E45D-4B1F-A364-91FC213E8825}"/>
    <cellStyle name="Euro 7" xfId="77" xr:uid="{00000000-0005-0000-0000-00004C000000}"/>
    <cellStyle name="Euro 7 2" xfId="226" xr:uid="{D2EC7B7A-D0F5-4E56-9C8C-9DABBF513417}"/>
    <cellStyle name="Euro 8" xfId="78" xr:uid="{00000000-0005-0000-0000-00004D000000}"/>
    <cellStyle name="Euro 8 2" xfId="426" xr:uid="{7C95625F-1302-40B8-8B85-C4A3C1CB8E6B}"/>
    <cellStyle name="Euro 9" xfId="79" xr:uid="{00000000-0005-0000-0000-00004E000000}"/>
    <cellStyle name="Euro 9 2" xfId="427" xr:uid="{CB6DC539-23E7-448D-A5B5-0D6B4DEA8554}"/>
    <cellStyle name="Explanatory Text" xfId="310" xr:uid="{47E49E3B-027C-4EE1-97B0-8B279416A709}"/>
    <cellStyle name="Good" xfId="311" xr:uid="{C3E1E6C7-290A-4EE0-870D-EE2284F71B25}"/>
    <cellStyle name="Heading 1" xfId="312" xr:uid="{3009348A-4C29-462E-8616-029585824283}"/>
    <cellStyle name="Heading 2" xfId="313" xr:uid="{20085F70-FF9B-4E05-AFB3-B077E35A6426}"/>
    <cellStyle name="Heading 3" xfId="314" xr:uid="{A622CCAB-111F-427D-A03C-4414BC8B1C3F}"/>
    <cellStyle name="Heading 4" xfId="315" xr:uid="{64196E15-D8D1-465D-BC38-F71F7788816C}"/>
    <cellStyle name="Input" xfId="316" xr:uid="{AB682A2C-C2B4-438E-B6FC-AFBC4B960FD6}"/>
    <cellStyle name="Insatisfaisant" xfId="80" builtinId="27" customBuiltin="1"/>
    <cellStyle name="Insatisfaisant 2" xfId="81" xr:uid="{00000000-0005-0000-0000-000050000000}"/>
    <cellStyle name="Lien hypertexte 2" xfId="82" xr:uid="{00000000-0005-0000-0000-000051000000}"/>
    <cellStyle name="Linked Cell" xfId="317" xr:uid="{7182E71C-0D7D-45B5-85EA-5FA963FEED1D}"/>
    <cellStyle name="Milliers" xfId="83" builtinId="3"/>
    <cellStyle name="Milliers 10" xfId="84" xr:uid="{00000000-0005-0000-0000-000053000000}"/>
    <cellStyle name="Milliers 10 2" xfId="428" xr:uid="{0B9EF8F9-710E-48B6-B93D-1AAB4813F547}"/>
    <cellStyle name="Milliers 11" xfId="85" xr:uid="{00000000-0005-0000-0000-000054000000}"/>
    <cellStyle name="Milliers 11 2" xfId="429" xr:uid="{44E1BA31-2359-4C23-8BC5-C4A9DB85136E}"/>
    <cellStyle name="Milliers 12" xfId="86" xr:uid="{00000000-0005-0000-0000-000055000000}"/>
    <cellStyle name="Milliers 12 2" xfId="430" xr:uid="{84B20BCB-8B2E-4A96-9F22-ED61BBF33C41}"/>
    <cellStyle name="Milliers 13" xfId="87" xr:uid="{00000000-0005-0000-0000-000056000000}"/>
    <cellStyle name="Milliers 13 2" xfId="431" xr:uid="{099BDA30-6B52-4FDF-8EF3-48DB017C1E8E}"/>
    <cellStyle name="Milliers 14" xfId="88" xr:uid="{00000000-0005-0000-0000-000057000000}"/>
    <cellStyle name="Milliers 14 2" xfId="432" xr:uid="{4F47FA18-A9D2-411A-BE6E-4383FE5AE63F}"/>
    <cellStyle name="Milliers 15" xfId="89" xr:uid="{00000000-0005-0000-0000-000058000000}"/>
    <cellStyle name="Milliers 15 2" xfId="433" xr:uid="{2922E0BE-A5A1-4E60-AA49-FFC7E917A42D}"/>
    <cellStyle name="Milliers 16" xfId="90" xr:uid="{00000000-0005-0000-0000-000059000000}"/>
    <cellStyle name="Milliers 16 2" xfId="434" xr:uid="{D1184A76-ED3E-41FD-8663-18BBCD62F84E}"/>
    <cellStyle name="Milliers 17" xfId="91" xr:uid="{00000000-0005-0000-0000-00005A000000}"/>
    <cellStyle name="Milliers 17 2" xfId="435" xr:uid="{A3B81401-2595-44AD-9ECD-143F5E193AD3}"/>
    <cellStyle name="Milliers 18" xfId="92" xr:uid="{00000000-0005-0000-0000-00005B000000}"/>
    <cellStyle name="Milliers 18 2" xfId="436" xr:uid="{FC262CCD-FEFF-413D-B972-4FA42A78DD90}"/>
    <cellStyle name="Milliers 19" xfId="227" xr:uid="{CABA935A-7A53-4191-B434-6948B6119603}"/>
    <cellStyle name="Milliers 19 2" xfId="487" xr:uid="{1B3ECFE3-01A0-402C-AEFA-E9324B0BCCA3}"/>
    <cellStyle name="Milliers 2" xfId="93" xr:uid="{00000000-0005-0000-0000-00005C000000}"/>
    <cellStyle name="Milliers 2 10" xfId="228" xr:uid="{8713F03B-EB0B-4C7F-8184-F85EDB60DBCA}"/>
    <cellStyle name="Milliers 2 10 2" xfId="488" xr:uid="{DF2A6D28-5F8C-41EF-A0A8-381E22D939B4}"/>
    <cellStyle name="Milliers 2 10 2 2" xfId="747" xr:uid="{A573F126-DF08-42C4-8AAE-B629CD9BE364}"/>
    <cellStyle name="Milliers 2 10 3" xfId="614" xr:uid="{AD341BE0-3D47-4C09-8D2D-FB114D495360}"/>
    <cellStyle name="Milliers 2 11" xfId="319" xr:uid="{7963F0EA-E0AB-4377-A682-6418F3B1DDBA}"/>
    <cellStyle name="Milliers 2 12" xfId="437" xr:uid="{9437E079-1BFD-4D34-ADBE-E9EC104C4774}"/>
    <cellStyle name="Milliers 2 12 2" xfId="720" xr:uid="{15779651-A3D0-442F-AA68-AA19D5FD4EB1}"/>
    <cellStyle name="Milliers 2 13" xfId="587" xr:uid="{F87F9FB4-57D0-4ACD-A5EF-6AABEA98A2C6}"/>
    <cellStyle name="Milliers 2 14" xfId="825" xr:uid="{D1012634-4530-4AFC-B964-B19C3C037CDF}"/>
    <cellStyle name="Milliers 2 15" xfId="828" xr:uid="{D7CD5233-CA08-4E4A-BF39-94404013D713}"/>
    <cellStyle name="Milliers 2 2" xfId="94" xr:uid="{00000000-0005-0000-0000-00005D000000}"/>
    <cellStyle name="Milliers 2 2 2" xfId="229" xr:uid="{F24812DA-B4DA-4DCF-BCAF-BA7F22752927}"/>
    <cellStyle name="Milliers 2 2 2 2" xfId="489" xr:uid="{5A473270-34A2-4DA9-8D11-C9B4E4937FB5}"/>
    <cellStyle name="Milliers 2 2 2 2 2" xfId="748" xr:uid="{C525EC58-3280-464B-A758-FBF1A5894347}"/>
    <cellStyle name="Milliers 2 2 2 3" xfId="615" xr:uid="{02EBDF6E-D59F-4452-BF75-4A424969F99B}"/>
    <cellStyle name="Milliers 2 2 3" xfId="320" xr:uid="{687B177D-57AF-4088-B0E1-D8EB35AC578C}"/>
    <cellStyle name="Milliers 2 2 4" xfId="438" xr:uid="{383B8BDC-7386-40E0-B8B0-E6306F7D6EFC}"/>
    <cellStyle name="Milliers 2 2 4 2" xfId="721" xr:uid="{0AD09E79-99B8-4B0F-841A-837C5C036496}"/>
    <cellStyle name="Milliers 2 2 5" xfId="588" xr:uid="{61BD3465-0D58-4E91-A75A-5021FD2711C4}"/>
    <cellStyle name="Milliers 2 3" xfId="95" xr:uid="{00000000-0005-0000-0000-00005E000000}"/>
    <cellStyle name="Milliers 2 3 2" xfId="439" xr:uid="{7F983108-E493-4E09-8AC2-1A77FDB13073}"/>
    <cellStyle name="Milliers 2 4" xfId="96" xr:uid="{00000000-0005-0000-0000-00005F000000}"/>
    <cellStyle name="Milliers 2 4 2" xfId="440" xr:uid="{B4850A3D-30BE-44D4-BD48-16995DFC8501}"/>
    <cellStyle name="Milliers 2 5" xfId="97" xr:uid="{00000000-0005-0000-0000-000060000000}"/>
    <cellStyle name="Milliers 2 5 2" xfId="441" xr:uid="{575C2A75-528A-4C02-BDCF-E503F4F526B4}"/>
    <cellStyle name="Milliers 2 6" xfId="98" xr:uid="{00000000-0005-0000-0000-000061000000}"/>
    <cellStyle name="Milliers 2 6 2" xfId="442" xr:uid="{0604FBC1-17BB-4480-9C04-3A12FD802CAD}"/>
    <cellStyle name="Milliers 2 7" xfId="99" xr:uid="{00000000-0005-0000-0000-000062000000}"/>
    <cellStyle name="Milliers 2 7 2" xfId="443" xr:uid="{27DCC7CC-422A-4F46-A0B9-6472B01C89B6}"/>
    <cellStyle name="Milliers 2 8" xfId="100" xr:uid="{00000000-0005-0000-0000-000063000000}"/>
    <cellStyle name="Milliers 2 8 2" xfId="444" xr:uid="{69AF3A9F-B829-402E-B638-49ACD1CDF01A}"/>
    <cellStyle name="Milliers 2 9" xfId="101" xr:uid="{00000000-0005-0000-0000-000064000000}"/>
    <cellStyle name="Milliers 2 9 2" xfId="445" xr:uid="{BB5FC83E-FFC4-4CBA-B450-44B77BE8AFBE}"/>
    <cellStyle name="Milliers 20" xfId="318" xr:uid="{B9957007-07FD-4D9B-8C71-71C87E5FB7DA}"/>
    <cellStyle name="Milliers 21" xfId="344" xr:uid="{56461BE8-88E7-4E06-885D-8B4D19EC5467}"/>
    <cellStyle name="Milliers 21 2" xfId="523" xr:uid="{C561A513-76B4-4B32-B2D0-8C7F8950A357}"/>
    <cellStyle name="Milliers 21 2 2" xfId="781" xr:uid="{0CE96145-9374-4547-ACED-448C8482CB15}"/>
    <cellStyle name="Milliers 21 3" xfId="648" xr:uid="{64D96EF9-2F9C-4582-BE31-ABEA0D514D23}"/>
    <cellStyle name="Milliers 22" xfId="347" xr:uid="{9E014CA8-B8C1-473E-B869-69749ACF6A89}"/>
    <cellStyle name="Milliers 22 2" xfId="526" xr:uid="{A6AD63F2-AFF4-4572-8CAA-33DCB3651318}"/>
    <cellStyle name="Milliers 22 2 2" xfId="784" xr:uid="{DA446B33-5F5F-4259-8A31-0E25CB2A5735}"/>
    <cellStyle name="Milliers 22 3" xfId="651" xr:uid="{7C3DA7C4-0542-42B9-9781-85A1CD33266B}"/>
    <cellStyle name="Milliers 23" xfId="374" xr:uid="{67EA465F-F7B6-4464-922D-0D3C3CBB24F1}"/>
    <cellStyle name="Milliers 23 2" xfId="549" xr:uid="{42CCBC76-77CE-4CB0-A7A4-4E918D3FD005}"/>
    <cellStyle name="Milliers 23 2 2" xfId="807" xr:uid="{4038082F-27F4-44A1-8441-077B24EFE4AD}"/>
    <cellStyle name="Milliers 23 3" xfId="674" xr:uid="{D79F17AE-4B3B-4045-8EF8-66D5254CE5D3}"/>
    <cellStyle name="Milliers 24" xfId="376" xr:uid="{14A85386-EB9F-4503-90F2-235EE610FFDB}"/>
    <cellStyle name="Milliers 24 2" xfId="551" xr:uid="{3FDD8ED0-8CA9-4E58-8363-791D8902ACEA}"/>
    <cellStyle name="Milliers 24 2 2" xfId="809" xr:uid="{781D2031-E2F8-47C6-B186-23CE222B14CD}"/>
    <cellStyle name="Milliers 24 3" xfId="676" xr:uid="{C5FD7906-7FE5-4282-81D7-141B67054904}"/>
    <cellStyle name="Milliers 25" xfId="553" xr:uid="{0B70A5FB-51E8-4EDF-B3E9-DF40A89F8C46}"/>
    <cellStyle name="Milliers 25 2" xfId="811" xr:uid="{FEDE2F94-A9BF-4BB5-A235-F0BA27FEDFE3}"/>
    <cellStyle name="Milliers 26" xfId="558" xr:uid="{E2C5B63A-758F-47AB-87FE-1A7D6EA09BA4}"/>
    <cellStyle name="Milliers 27" xfId="560" xr:uid="{4037EEC3-F89F-441D-9C98-3C81B7EF5523}"/>
    <cellStyle name="Milliers 27 2" xfId="817" xr:uid="{A015D256-80BD-4D99-B725-86A1812C1280}"/>
    <cellStyle name="Milliers 28" xfId="562" xr:uid="{BE6590C0-610E-4EAB-9986-491E7BE46D4E}"/>
    <cellStyle name="Milliers 28 2" xfId="819" xr:uid="{5073002A-396C-4173-A84A-80FC4054964B}"/>
    <cellStyle name="Milliers 29" xfId="565" xr:uid="{4F9B3FFF-739D-4C8B-88E8-3E9079B347D9}"/>
    <cellStyle name="Milliers 29 2" xfId="822" xr:uid="{56A827F1-D40A-4DD4-A604-A1E457C06914}"/>
    <cellStyle name="Milliers 3" xfId="102" xr:uid="{00000000-0005-0000-0000-000065000000}"/>
    <cellStyle name="Milliers 3 2" xfId="103" xr:uid="{00000000-0005-0000-0000-000066000000}"/>
    <cellStyle name="Milliers 3 2 2" xfId="231" xr:uid="{E2DA2051-76DC-4FA9-9C8E-02E308E7F71E}"/>
    <cellStyle name="Milliers 3 2 3" xfId="322" xr:uid="{6BFE6544-A191-4575-BE1C-F9EACAFA8702}"/>
    <cellStyle name="Milliers 3 3" xfId="230" xr:uid="{819622EA-5333-4454-95AB-E1B78ABADB88}"/>
    <cellStyle name="Milliers 3 4" xfId="321" xr:uid="{687BC658-E2DA-4960-93A4-C5337F246F3F}"/>
    <cellStyle name="Milliers 30" xfId="829" xr:uid="{26A518EF-ECC4-4946-B798-721306082782}"/>
    <cellStyle name="Milliers 4" xfId="104" xr:uid="{00000000-0005-0000-0000-000067000000}"/>
    <cellStyle name="Milliers 4 2" xfId="232" xr:uid="{9386055E-8E32-45E2-839C-6D4E00067467}"/>
    <cellStyle name="Milliers 4 2 2" xfId="324" xr:uid="{1AA236AC-B2A4-47A6-808C-8B241D8CCD28}"/>
    <cellStyle name="Milliers 4 3" xfId="323" xr:uid="{A00094C8-FDAA-4B93-8859-0F7C38EE3DAA}"/>
    <cellStyle name="Milliers 5" xfId="105" xr:uid="{00000000-0005-0000-0000-000068000000}"/>
    <cellStyle name="Milliers 5 2" xfId="106" xr:uid="{00000000-0005-0000-0000-000069000000}"/>
    <cellStyle name="Milliers 5 2 2" xfId="234" xr:uid="{AC4E64C1-6C20-465E-AF59-88D1FF646B9B}"/>
    <cellStyle name="Milliers 5 2 3" xfId="391" xr:uid="{9C3B0F7C-D6C2-4E4E-9FEC-7A85E8DD28B1}"/>
    <cellStyle name="Milliers 5 2 3 2" xfId="690" xr:uid="{3A47D2AD-CF6E-4E04-8FC0-3BB8B94B47F7}"/>
    <cellStyle name="Milliers 5 3" xfId="233" xr:uid="{3A7302D9-B191-4FF6-ACB0-B85A269E6988}"/>
    <cellStyle name="Milliers 5 4" xfId="390" xr:uid="{45F5FBAA-6D86-4454-A6A1-484803C4EF58}"/>
    <cellStyle name="Milliers 5 4 2" xfId="689" xr:uid="{D03D7242-C511-4CD7-B413-76112B1277E5}"/>
    <cellStyle name="Milliers 6" xfId="107" xr:uid="{00000000-0005-0000-0000-00006A000000}"/>
    <cellStyle name="Milliers 6 2" xfId="235" xr:uid="{4E3CDD19-48C2-43DC-AEF5-5B74517553C5}"/>
    <cellStyle name="Milliers 6 2 2" xfId="393" xr:uid="{F2E32CBB-9BED-42A3-8639-3A7FF6CC3B26}"/>
    <cellStyle name="Milliers 6 2 2 2" xfId="692" xr:uid="{5BEA61F7-F613-4A9F-B087-985EF3F0E365}"/>
    <cellStyle name="Milliers 6 3" xfId="392" xr:uid="{8739632B-83B3-411C-B880-1D0329A2DA09}"/>
    <cellStyle name="Milliers 6 3 2" xfId="691" xr:uid="{6B94D9A5-FF02-43E7-9D6F-5D72831C78F3}"/>
    <cellStyle name="Milliers 7" xfId="108" xr:uid="{00000000-0005-0000-0000-00006B000000}"/>
    <cellStyle name="Milliers 7 2" xfId="236" xr:uid="{20D0DF91-65D8-4E0D-A73B-52957FF95E07}"/>
    <cellStyle name="Milliers 8" xfId="109" xr:uid="{00000000-0005-0000-0000-00006C000000}"/>
    <cellStyle name="Milliers 8 2" xfId="237" xr:uid="{5324265D-8481-41BC-80F6-89F5D03D2243}"/>
    <cellStyle name="Milliers 9" xfId="110" xr:uid="{00000000-0005-0000-0000-00006D000000}"/>
    <cellStyle name="Milliers 9 2" xfId="238" xr:uid="{00643583-5102-4D84-BF7B-509D81C8C73E}"/>
    <cellStyle name="Milliers 9 2 2" xfId="490" xr:uid="{EB53B0A1-310B-4ECB-A662-18B0281F3E26}"/>
    <cellStyle name="Milliers 9 2 2 2" xfId="749" xr:uid="{51E11E9A-86F5-427C-B36E-A0AA309A7D6C}"/>
    <cellStyle name="Milliers 9 2 3" xfId="616" xr:uid="{9DAD5EFE-7E94-4377-A3C9-AE5495B951CD}"/>
    <cellStyle name="Milliers 9 3" xfId="446" xr:uid="{6CD67D2F-D4EA-422F-8FFE-9F96B1E4D322}"/>
    <cellStyle name="Milliers 9 3 2" xfId="722" xr:uid="{A8AB3DE6-3033-4956-87CE-4A721BE75F9E}"/>
    <cellStyle name="Milliers 9 4" xfId="589" xr:uid="{41E61198-C4E8-4FD1-BD14-C29C2C9737E2}"/>
    <cellStyle name="Milliers_Echéanciers des Parts" xfId="111" xr:uid="{00000000-0005-0000-0000-00006E000000}"/>
    <cellStyle name="Monétaire 10" xfId="112" xr:uid="{00000000-0005-0000-0000-00006F000000}"/>
    <cellStyle name="Monétaire 10 2" xfId="447" xr:uid="{D213FF38-AD72-48A5-B372-7D356D539D71}"/>
    <cellStyle name="Monétaire 11" xfId="113" xr:uid="{00000000-0005-0000-0000-000070000000}"/>
    <cellStyle name="Monétaire 11 2" xfId="448" xr:uid="{36B46B7C-6D92-4A08-A6E2-3DF098523F0C}"/>
    <cellStyle name="Monétaire 12" xfId="114" xr:uid="{00000000-0005-0000-0000-000071000000}"/>
    <cellStyle name="Monétaire 12 2" xfId="449" xr:uid="{F791982A-2428-4AC0-A470-C53FA24826D6}"/>
    <cellStyle name="Monétaire 13" xfId="115" xr:uid="{00000000-0005-0000-0000-000072000000}"/>
    <cellStyle name="Monétaire 13 2" xfId="450" xr:uid="{8AF41771-D975-4C14-9AC7-BA39187CDDE4}"/>
    <cellStyle name="Monétaire 14" xfId="116" xr:uid="{00000000-0005-0000-0000-000073000000}"/>
    <cellStyle name="Monétaire 14 2" xfId="451" xr:uid="{AE4DCD6E-028A-44A6-A7EE-AD373165988C}"/>
    <cellStyle name="Monétaire 15" xfId="117" xr:uid="{00000000-0005-0000-0000-000074000000}"/>
    <cellStyle name="Monétaire 15 2" xfId="452" xr:uid="{8A73D61B-4AEF-43E9-8989-1E2EDD9ECFE8}"/>
    <cellStyle name="Monétaire 2" xfId="118" xr:uid="{00000000-0005-0000-0000-000075000000}"/>
    <cellStyle name="Monétaire 2 2" xfId="119" xr:uid="{00000000-0005-0000-0000-000076000000}"/>
    <cellStyle name="Monétaire 2 2 2" xfId="240" xr:uid="{9ACC99BF-CF78-4F2A-AAAA-85980CF9E0A8}"/>
    <cellStyle name="Monétaire 2 3" xfId="239" xr:uid="{C50E8B19-E6E0-4501-82F2-3CD0ADC25633}"/>
    <cellStyle name="Monétaire 3" xfId="120" xr:uid="{00000000-0005-0000-0000-000077000000}"/>
    <cellStyle name="Monétaire 3 2" xfId="241" xr:uid="{039175F2-8939-419E-AE4C-DA4CFCE56D73}"/>
    <cellStyle name="Monétaire 4" xfId="121" xr:uid="{00000000-0005-0000-0000-000078000000}"/>
    <cellStyle name="Monétaire 4 2" xfId="122" xr:uid="{00000000-0005-0000-0000-000079000000}"/>
    <cellStyle name="Monétaire 4 2 2" xfId="243" xr:uid="{1DEB4F56-2FA3-4D3B-A118-2C5CFFA2C55E}"/>
    <cellStyle name="Monétaire 4 3" xfId="242" xr:uid="{0DCE1455-DFD7-4E87-94EF-47C56F3E6CCF}"/>
    <cellStyle name="Monétaire 5" xfId="123" xr:uid="{00000000-0005-0000-0000-00007A000000}"/>
    <cellStyle name="Monétaire 5 2" xfId="244" xr:uid="{98B23CA5-80A2-430B-ABCD-34712F2322C6}"/>
    <cellStyle name="Monétaire 6" xfId="124" xr:uid="{00000000-0005-0000-0000-00007B000000}"/>
    <cellStyle name="Monétaire 6 2" xfId="245" xr:uid="{71C1DBA9-28E2-4549-AA30-F38224FE2A7D}"/>
    <cellStyle name="Monétaire 7" xfId="125" xr:uid="{00000000-0005-0000-0000-00007C000000}"/>
    <cellStyle name="Monétaire 7 2" xfId="453" xr:uid="{C0A04D98-6998-43DD-B5F7-DAD1B6C16E5D}"/>
    <cellStyle name="Monétaire 8" xfId="126" xr:uid="{00000000-0005-0000-0000-00007D000000}"/>
    <cellStyle name="Monétaire 8 2" xfId="454" xr:uid="{825A1937-AFF1-4CEC-A025-D7349B29BC99}"/>
    <cellStyle name="Monétaire 9" xfId="127" xr:uid="{00000000-0005-0000-0000-00007E000000}"/>
    <cellStyle name="Monétaire 9 2" xfId="455" xr:uid="{3615C6AE-A111-430D-819C-3E54AA358FD3}"/>
    <cellStyle name="Neutral" xfId="325" xr:uid="{B222CF4A-776A-4359-97BF-896800F4B983}"/>
    <cellStyle name="Neutre" xfId="128" builtinId="28" customBuiltin="1"/>
    <cellStyle name="Neutre 2" xfId="129" xr:uid="{00000000-0005-0000-0000-000080000000}"/>
    <cellStyle name="Neutre 2 2" xfId="130" xr:uid="{00000000-0005-0000-0000-000081000000}"/>
    <cellStyle name="Non défini" xfId="131" xr:uid="{00000000-0005-0000-0000-000082000000}"/>
    <cellStyle name="Normal" xfId="0" builtinId="0"/>
    <cellStyle name="Normal - Style1" xfId="132" xr:uid="{00000000-0005-0000-0000-000084000000}"/>
    <cellStyle name="Normal 10" xfId="133" xr:uid="{00000000-0005-0000-0000-000085000000}"/>
    <cellStyle name="Normal 10 2" xfId="246" xr:uid="{1191D9A5-3FE7-402A-BBC1-3FD630CE53F0}"/>
    <cellStyle name="Normal 10 3" xfId="326" xr:uid="{BB4F3E11-CC9B-4045-A573-18A9AA19F52B}"/>
    <cellStyle name="Normal 10 3 2" xfId="513" xr:uid="{8C5F8455-12E4-4700-8148-8F874E7162A7}"/>
    <cellStyle name="Normal 10 3 2 2" xfId="772" xr:uid="{6881ED4C-5DF2-48ED-A639-BC3CC023D3B9}"/>
    <cellStyle name="Normal 10 3 3" xfId="639" xr:uid="{B81EF163-F15F-4147-A557-D2662F16C39A}"/>
    <cellStyle name="Normal 10 4" xfId="361" xr:uid="{6ECE99EF-BA8B-4D10-B5AE-ECB93379F251}"/>
    <cellStyle name="Normal 10 4 2" xfId="539" xr:uid="{73006BAC-D55F-4CA3-86B6-41A6FB34DFFA}"/>
    <cellStyle name="Normal 10 4 2 2" xfId="797" xr:uid="{BDCC0D3D-EF5F-4A2D-8198-F25804228C81}"/>
    <cellStyle name="Normal 10 4 3" xfId="664" xr:uid="{BF8D1FAB-3E4C-4E9E-A723-852D8DF6223C}"/>
    <cellStyle name="Normal 10 5" xfId="394" xr:uid="{D415BDFD-5F22-4B4B-B70D-5FC953E05DC3}"/>
    <cellStyle name="Normal 10 5 2" xfId="693" xr:uid="{80D93F13-C262-4AA6-8152-46B55CE6B2A0}"/>
    <cellStyle name="Normal 11" xfId="134" xr:uid="{00000000-0005-0000-0000-000086000000}"/>
    <cellStyle name="Normal 11 2" xfId="247" xr:uid="{8B43CE7E-41A5-421C-9706-F34143CC2A33}"/>
    <cellStyle name="Normal 12" xfId="135" xr:uid="{00000000-0005-0000-0000-000087000000}"/>
    <cellStyle name="Normal 12 2" xfId="248" xr:uid="{29A86FC6-93A8-49BA-9F10-2ABB8C195126}"/>
    <cellStyle name="Normal 13" xfId="136" xr:uid="{00000000-0005-0000-0000-000088000000}"/>
    <cellStyle name="Normal 13 2" xfId="249" xr:uid="{14291A35-7E26-4D1C-B4E8-6394648721E2}"/>
    <cellStyle name="Normal 14" xfId="137" xr:uid="{00000000-0005-0000-0000-000089000000}"/>
    <cellStyle name="Normal 14 2" xfId="250" xr:uid="{17A1B801-5D73-4CEC-AAF8-8FDA9DDE1041}"/>
    <cellStyle name="Normal 14 2 2" xfId="491" xr:uid="{A8E656CD-9E21-4F22-AE14-FD7980FE63F7}"/>
    <cellStyle name="Normal 14 2 2 2" xfId="750" xr:uid="{9A8749EF-115B-4BB9-83F4-747857627665}"/>
    <cellStyle name="Normal 14 2 3" xfId="617" xr:uid="{DA9F73D0-70E4-4D2C-8A6B-D5410EC5987D}"/>
    <cellStyle name="Normal 14 3" xfId="456" xr:uid="{CAA713BA-8A26-45F6-A0C7-156B0F210A78}"/>
    <cellStyle name="Normal 14 3 2" xfId="723" xr:uid="{507AB6AD-2D23-4025-A83F-E2B5456275B1}"/>
    <cellStyle name="Normal 14 4" xfId="590" xr:uid="{2326C97B-DA08-43D8-A973-8A75B8A6B1E4}"/>
    <cellStyle name="Normal 15" xfId="138" xr:uid="{00000000-0005-0000-0000-00008A000000}"/>
    <cellStyle name="Normal 15 2" xfId="251" xr:uid="{A10897B5-5073-4027-99C9-488CD6D43822}"/>
    <cellStyle name="Normal 15 2 2" xfId="492" xr:uid="{11727526-1BE7-4FB6-AE66-4281A3916C11}"/>
    <cellStyle name="Normal 15 2 2 2" xfId="751" xr:uid="{A89395D2-CDA6-4BEC-9C43-23E6E9F1BFF7}"/>
    <cellStyle name="Normal 15 2 3" xfId="618" xr:uid="{1B2C876F-505F-4079-ACF2-16658955AD5D}"/>
    <cellStyle name="Normal 15 3" xfId="457" xr:uid="{288D2F67-C0C2-4EF6-B250-0AF3FEAF39D7}"/>
    <cellStyle name="Normal 15 3 2" xfId="724" xr:uid="{C105B109-5608-473F-B9E1-BEFECB9E5D47}"/>
    <cellStyle name="Normal 15 4" xfId="591" xr:uid="{337FF60E-81CA-47E6-9F94-2FDBEB5033CC}"/>
    <cellStyle name="Normal 16" xfId="139" xr:uid="{00000000-0005-0000-0000-00008B000000}"/>
    <cellStyle name="Normal 16 2" xfId="252" xr:uid="{B14A56BF-F00D-44F5-A79D-BC00730F15ED}"/>
    <cellStyle name="Normal 16 2 2" xfId="493" xr:uid="{C38D6277-DAB7-4109-ACE6-83BF5902B9DC}"/>
    <cellStyle name="Normal 16 2 2 2" xfId="752" xr:uid="{7717841E-D393-4B4C-9F4A-4D5F3E9712FC}"/>
    <cellStyle name="Normal 16 2 3" xfId="619" xr:uid="{18B40229-2E69-4DB7-9BDB-F01DB7FADE78}"/>
    <cellStyle name="Normal 16 3" xfId="458" xr:uid="{9AA9FA06-6233-480E-BC10-80ADA54070CF}"/>
    <cellStyle name="Normal 16 3 2" xfId="725" xr:uid="{83CB0C84-8D1F-4148-935A-BBAD03EA8CC7}"/>
    <cellStyle name="Normal 16 4" xfId="592" xr:uid="{8171354E-25EA-46C8-9600-64C6C27FF995}"/>
    <cellStyle name="Normal 17" xfId="140" xr:uid="{00000000-0005-0000-0000-00008C000000}"/>
    <cellStyle name="Normal 17 2" xfId="253" xr:uid="{9165D908-7436-412A-A668-DD94F9EB2696}"/>
    <cellStyle name="Normal 17 2 2" xfId="494" xr:uid="{733169AC-2380-449F-92CB-6A8896C3FFCD}"/>
    <cellStyle name="Normal 17 2 2 2" xfId="753" xr:uid="{69C2AE7F-6B4F-4B6B-8BB7-7F7BBC519450}"/>
    <cellStyle name="Normal 17 2 3" xfId="620" xr:uid="{02181787-3A78-4A70-A41F-55507E7F6DB1}"/>
    <cellStyle name="Normal 17 3" xfId="459" xr:uid="{3D594359-AD35-4E79-8FF8-4BBCC5ED99F7}"/>
    <cellStyle name="Normal 17 3 2" xfId="726" xr:uid="{97F778B2-086A-4F92-86DF-8944922EB93E}"/>
    <cellStyle name="Normal 17 4" xfId="593" xr:uid="{2466609D-2615-4859-93B7-B9A3D1546958}"/>
    <cellStyle name="Normal 18" xfId="141" xr:uid="{00000000-0005-0000-0000-00008D000000}"/>
    <cellStyle name="Normal 18 2" xfId="254" xr:uid="{E2FCA794-99F4-4DF4-BBD1-B29E51A517FC}"/>
    <cellStyle name="Normal 18 2 2" xfId="495" xr:uid="{32F28129-0E69-464A-A17B-E5B58A6B565E}"/>
    <cellStyle name="Normal 18 2 2 2" xfId="754" xr:uid="{C7DECD40-19BE-45D5-ACA2-8080AB219D85}"/>
    <cellStyle name="Normal 18 2 3" xfId="621" xr:uid="{F16D0CF4-DF03-4F45-834B-CEA6D1BCE7F4}"/>
    <cellStyle name="Normal 18 3" xfId="460" xr:uid="{27926CA4-48F7-4C0F-BB28-2C0A05726BA0}"/>
    <cellStyle name="Normal 18 3 2" xfId="727" xr:uid="{1A4A2E3B-3228-4475-846A-AF89A1D31421}"/>
    <cellStyle name="Normal 18 4" xfId="594" xr:uid="{5D123EED-29F7-4C9C-9F48-4F71B9B13097}"/>
    <cellStyle name="Normal 19" xfId="142" xr:uid="{00000000-0005-0000-0000-00008E000000}"/>
    <cellStyle name="Normal 19 2" xfId="255" xr:uid="{A833681B-902E-49F4-9DF4-8FE28BE14EBF}"/>
    <cellStyle name="Normal 2" xfId="143" xr:uid="{00000000-0005-0000-0000-00008F000000}"/>
    <cellStyle name="Normal 2 2" xfId="144" xr:uid="{00000000-0005-0000-0000-000090000000}"/>
    <cellStyle name="Normal 2 2 2" xfId="257" xr:uid="{B2A1FAAA-FAA7-458E-B3D2-32CBD706DC4C}"/>
    <cellStyle name="Normal 2 3" xfId="256" xr:uid="{8F8C12E6-EA9D-4A92-8F96-4747D0CEF6E0}"/>
    <cellStyle name="Normal 2 3 2" xfId="496" xr:uid="{CD3B32E6-A9CC-4455-A272-06FC37087184}"/>
    <cellStyle name="Normal 2 3 2 2" xfId="755" xr:uid="{35965B4D-4A49-453B-B952-B17795CCD0C1}"/>
    <cellStyle name="Normal 2 3 3" xfId="622" xr:uid="{37BB0E6F-6AA0-4C2D-ACC8-011C4C3FEA1D}"/>
    <cellStyle name="Normal 2 4" xfId="461" xr:uid="{013EB45E-1AF9-4DE1-A776-A19D6CB907DA}"/>
    <cellStyle name="Normal 2 4 2" xfId="728" xr:uid="{DEFE304B-34FB-4003-82D6-702261978EB0}"/>
    <cellStyle name="Normal 2 5" xfId="595" xr:uid="{AD4F4A5A-81D0-4116-A079-C5A1C7483662}"/>
    <cellStyle name="Normal 2_Feuil2" xfId="327" xr:uid="{1EBB4CE0-0E1F-4B14-9712-B4602183AAA1}"/>
    <cellStyle name="Normal 20" xfId="145" xr:uid="{00000000-0005-0000-0000-000091000000}"/>
    <cellStyle name="Normal 20 2" xfId="258" xr:uid="{5996416C-4F5A-4614-9096-1E436E589CC4}"/>
    <cellStyle name="Normal 21" xfId="146" xr:uid="{00000000-0005-0000-0000-000092000000}"/>
    <cellStyle name="Normal 21 2" xfId="259" xr:uid="{30BCF165-E2E9-4637-B2BF-2870C8A5ED2B}"/>
    <cellStyle name="Normal 22" xfId="147" xr:uid="{00000000-0005-0000-0000-000093000000}"/>
    <cellStyle name="Normal 22 2" xfId="260" xr:uid="{BF011155-E86A-4A3E-8B4E-CA9D8EF2D369}"/>
    <cellStyle name="Normal 23" xfId="148" xr:uid="{00000000-0005-0000-0000-000094000000}"/>
    <cellStyle name="Normal 23 2" xfId="261" xr:uid="{D6E9C684-F590-4049-97D7-A747A74F7A3B}"/>
    <cellStyle name="Normal 24" xfId="149" xr:uid="{00000000-0005-0000-0000-000095000000}"/>
    <cellStyle name="Normal 24 2" xfId="262" xr:uid="{847D4E38-332E-43DA-9166-33DE975210DF}"/>
    <cellStyle name="Normal 25" xfId="150" xr:uid="{00000000-0005-0000-0000-000096000000}"/>
    <cellStyle name="Normal 25 2" xfId="263" xr:uid="{54C38A5C-D723-4924-9553-9BB07918AC0F}"/>
    <cellStyle name="Normal 26" xfId="151" xr:uid="{00000000-0005-0000-0000-000097000000}"/>
    <cellStyle name="Normal 26 2" xfId="264" xr:uid="{7E3907D6-E171-4061-98E7-AFB7DA49D884}"/>
    <cellStyle name="Normal 27" xfId="152" xr:uid="{00000000-0005-0000-0000-000098000000}"/>
    <cellStyle name="Normal 27 2" xfId="265" xr:uid="{288725EF-3590-4389-8B91-D1C47723199F}"/>
    <cellStyle name="Normal 27 2 2" xfId="497" xr:uid="{BE2BA88A-BB15-4415-B9D9-CFE08B7748DE}"/>
    <cellStyle name="Normal 27 2 2 2" xfId="756" xr:uid="{90D16093-FA09-4565-A50D-0D78889FF223}"/>
    <cellStyle name="Normal 27 2 3" xfId="623" xr:uid="{B01CB17E-2F9B-4D5B-B16A-19EAA3FFE4C4}"/>
    <cellStyle name="Normal 27 3" xfId="462" xr:uid="{E79A1BE1-4E78-47B9-8789-C94768C5B392}"/>
    <cellStyle name="Normal 27 3 2" xfId="729" xr:uid="{10EC2DB7-CECB-420E-BE53-C7B26931350C}"/>
    <cellStyle name="Normal 27 4" xfId="596" xr:uid="{C8B62074-07F2-4FCE-8382-9EFC1AE68F6B}"/>
    <cellStyle name="Normal 28" xfId="153" xr:uid="{00000000-0005-0000-0000-000099000000}"/>
    <cellStyle name="Normal 28 2" xfId="266" xr:uid="{913409A0-F1D7-439B-875D-C4B3D54AF0A8}"/>
    <cellStyle name="Normal 28 2 2" xfId="498" xr:uid="{76B3FBD0-6D61-4E50-A918-6DC0875D64BC}"/>
    <cellStyle name="Normal 28 2 2 2" xfId="757" xr:uid="{60BC4B3E-CE84-49CC-8396-F9750734792A}"/>
    <cellStyle name="Normal 28 2 3" xfId="624" xr:uid="{0316ED66-284A-4C66-A39F-863D2C284117}"/>
    <cellStyle name="Normal 28 3" xfId="463" xr:uid="{7E67DE32-6A8C-4461-83EC-0A13D94E3A4A}"/>
    <cellStyle name="Normal 28 3 2" xfId="730" xr:uid="{55541F28-2D36-4A19-BA73-FC32F1F26715}"/>
    <cellStyle name="Normal 28 4" xfId="597" xr:uid="{08B723D4-9008-4606-BAB7-DB3C32B396E5}"/>
    <cellStyle name="Normal 29" xfId="154" xr:uid="{00000000-0005-0000-0000-00009A000000}"/>
    <cellStyle name="Normal 29 2" xfId="267" xr:uid="{A8EEE4E4-07D2-4B86-9108-6C3D77A239DE}"/>
    <cellStyle name="Normal 29 2 2" xfId="499" xr:uid="{3E9739C6-43D7-427E-B616-458D18258A5C}"/>
    <cellStyle name="Normal 29 2 2 2" xfId="758" xr:uid="{8E05B898-6915-4796-94D7-39356CCBB160}"/>
    <cellStyle name="Normal 29 2 3" xfId="625" xr:uid="{69E43183-9CD0-4F15-A6B5-6B86D955A8DD}"/>
    <cellStyle name="Normal 29 3" xfId="464" xr:uid="{E701E216-C4C1-4B88-9887-83AABA819C01}"/>
    <cellStyle name="Normal 29 3 2" xfId="731" xr:uid="{9BB364D4-5B1B-4106-883B-A43E6E936B5B}"/>
    <cellStyle name="Normal 29 4" xfId="598" xr:uid="{AE5A7FC9-40D2-4773-9351-15AB0B9C6A7D}"/>
    <cellStyle name="Normal 3" xfId="155" xr:uid="{00000000-0005-0000-0000-00009B000000}"/>
    <cellStyle name="Normal 3 2" xfId="268" xr:uid="{E1B9B36A-728E-435D-B280-B6B680887C92}"/>
    <cellStyle name="Normal 3 2 2" xfId="500" xr:uid="{72264FBA-D81D-43B1-A3BB-CA0E33A75E85}"/>
    <cellStyle name="Normal 3 2 2 2" xfId="759" xr:uid="{725E1F91-6E0B-4A93-A7E7-7D1F59103BA1}"/>
    <cellStyle name="Normal 3 2 3" xfId="626" xr:uid="{5EA6C128-823C-4411-A0DA-8096E869379F}"/>
    <cellStyle name="Normal 3 3" xfId="328" xr:uid="{8E9B9AE4-426D-4E52-B29C-A011F992CA9B}"/>
    <cellStyle name="Normal 3 3 2" xfId="514" xr:uid="{38389C6F-D8CB-4012-81DC-FA11CDD3AADE}"/>
    <cellStyle name="Normal 3 3 2 2" xfId="773" xr:uid="{6A0E0B4D-EF70-43DF-AC73-84729A1EEFCE}"/>
    <cellStyle name="Normal 3 3 3" xfId="640" xr:uid="{B4E62DBA-86F2-455F-810F-13BB9DFFDB6F}"/>
    <cellStyle name="Normal 3 4" xfId="362" xr:uid="{20A80602-7C9D-48E0-96E1-ACC887AAAD25}"/>
    <cellStyle name="Normal 3 4 2" xfId="540" xr:uid="{1AF7D39B-F72E-4F58-86F4-08E3AFD236A2}"/>
    <cellStyle name="Normal 3 4 2 2" xfId="798" xr:uid="{AA356D04-7D2C-479C-A8DD-BD1CCC5C57E1}"/>
    <cellStyle name="Normal 3 4 3" xfId="665" xr:uid="{EE78FBBD-EBF1-4835-88EC-6AD7180B2AE9}"/>
    <cellStyle name="Normal 3 5" xfId="395" xr:uid="{1ABDCEE7-87A8-4472-BEA4-7EA7C8BFDB24}"/>
    <cellStyle name="Normal 3 5 2" xfId="694" xr:uid="{E90CDA5E-5C51-4287-8F35-E90948E0FAE5}"/>
    <cellStyle name="Normal 3 6" xfId="465" xr:uid="{9E0511E5-6773-4BA6-A845-124C8FCE7059}"/>
    <cellStyle name="Normal 3 6 2" xfId="732" xr:uid="{E8EFA89B-A175-4045-BE9E-F598B508E3B6}"/>
    <cellStyle name="Normal 3 7" xfId="599" xr:uid="{C2B7A7F7-C6D0-4895-A425-7CB0D5CD7BA1}"/>
    <cellStyle name="Normal 30" xfId="156" xr:uid="{00000000-0005-0000-0000-00009C000000}"/>
    <cellStyle name="Normal 30 2" xfId="269" xr:uid="{6C7EED1C-5FC5-4CDB-A768-DC5D9CCC10D6}"/>
    <cellStyle name="Normal 31" xfId="157" xr:uid="{00000000-0005-0000-0000-00009D000000}"/>
    <cellStyle name="Normal 31 2" xfId="270" xr:uid="{31DDA23C-9DE4-4DAE-8CCA-93A3802126A1}"/>
    <cellStyle name="Normal 32" xfId="158" xr:uid="{00000000-0005-0000-0000-00009E000000}"/>
    <cellStyle name="Normal 33" xfId="288" xr:uid="{DC3A5FB5-75A8-44AE-97A6-CD43C4822A48}"/>
    <cellStyle name="Normal 34" xfId="343" xr:uid="{8C7F6C14-E635-4437-9434-30C2ED0B2990}"/>
    <cellStyle name="Normal 34 2" xfId="522" xr:uid="{5E14D565-FEB2-4880-8374-64D9A896A5D8}"/>
    <cellStyle name="Normal 34 2 2" xfId="780" xr:uid="{027A0B28-3F70-4F1E-BEC8-03449453CBAC}"/>
    <cellStyle name="Normal 34 3" xfId="647" xr:uid="{4079B7A1-D02B-4A0F-9F35-CC1C074EAC1F}"/>
    <cellStyle name="Normal 35" xfId="345" xr:uid="{8B26C429-4B79-4371-8B6E-3174BFAC3681}"/>
    <cellStyle name="Normal 35 2" xfId="524" xr:uid="{B128A033-C86D-475B-8DB8-6735233CEC8F}"/>
    <cellStyle name="Normal 35 2 2" xfId="782" xr:uid="{CDA9C4A8-73AC-40AC-9F45-4D548DA9DB17}"/>
    <cellStyle name="Normal 35 3" xfId="649" xr:uid="{04C2C4E3-162B-4126-BD5C-46FBD4C24764}"/>
    <cellStyle name="Normal 36" xfId="346" xr:uid="{98B460F8-31EB-4E4B-B1FA-90BC79AF7163}"/>
    <cellStyle name="Normal 36 2" xfId="525" xr:uid="{D8A0EE4C-A480-4971-8146-605513CABC2A}"/>
    <cellStyle name="Normal 36 2 2" xfId="783" xr:uid="{15B4F9EB-A404-490E-871C-FF9CC6339BED}"/>
    <cellStyle name="Normal 36 3" xfId="650" xr:uid="{E9FAB826-3DAA-4103-9B08-15D45B4BA1A4}"/>
    <cellStyle name="Normal 37" xfId="348" xr:uid="{1AE20F7C-E8B9-4FCC-8987-84920958813F}"/>
    <cellStyle name="Normal 38" xfId="369" xr:uid="{6429200C-4D35-40A7-9DDC-37C3FE442D96}"/>
    <cellStyle name="Normal 39" xfId="370" xr:uid="{76687A00-DDB4-4DFB-9016-D6E2A41388A1}"/>
    <cellStyle name="Normal 4" xfId="159" xr:uid="{00000000-0005-0000-0000-00009F000000}"/>
    <cellStyle name="Normal 4 2" xfId="271" xr:uid="{7E9B6BAE-5D5F-48DC-BCD7-C80AEABCEFF5}"/>
    <cellStyle name="Normal 40" xfId="371" xr:uid="{1404857D-4EC7-4F26-A75D-01A87898548E}"/>
    <cellStyle name="Normal 41" xfId="372" xr:uid="{5BAD4FF7-591D-4FB0-B94E-49C14137D87A}"/>
    <cellStyle name="Normal 41 2" xfId="547" xr:uid="{99736EF1-08F2-4008-B50F-C5209DD9C817}"/>
    <cellStyle name="Normal 41 2 2" xfId="805" xr:uid="{B1DCF541-A213-44DD-BE60-3273711A9224}"/>
    <cellStyle name="Normal 41 3" xfId="672" xr:uid="{A86AA73B-0224-49A4-BE3A-EA20A6A7F63E}"/>
    <cellStyle name="Normal 42" xfId="375" xr:uid="{17ABE08D-89D5-438F-87B6-344BC99EFD9D}"/>
    <cellStyle name="Normal 42 2" xfId="550" xr:uid="{47A7FC24-DDF3-48D3-93D7-2CF5C5944383}"/>
    <cellStyle name="Normal 42 2 2" xfId="808" xr:uid="{0589885A-2247-4422-8508-D6C1F5D37ECC}"/>
    <cellStyle name="Normal 42 3" xfId="675" xr:uid="{1CE3DF09-6590-4F2F-8CE9-ECA6414AF069}"/>
    <cellStyle name="Normal 43" xfId="377" xr:uid="{B6105270-3CC7-4D82-A128-4FA3BABC8EDC}"/>
    <cellStyle name="Normal 44" xfId="402" xr:uid="{6D1FF34C-5082-43A0-B2B3-473AE652DCF0}"/>
    <cellStyle name="Normal 45" xfId="521" xr:uid="{AF2A3811-FDBE-44CB-89B1-4749A5E2BB37}"/>
    <cellStyle name="Normal 46" xfId="552" xr:uid="{A3C0FC5B-4546-4BF7-81D8-3B3F7809E26E}"/>
    <cellStyle name="Normal 46 2" xfId="810" xr:uid="{F5B7BB7A-2169-49B1-928A-CEC7A9CAFD54}"/>
    <cellStyle name="Normal 47" xfId="554" xr:uid="{24DDEC79-9986-43AB-88C8-17DD76D55434}"/>
    <cellStyle name="Normal 47 2" xfId="812" xr:uid="{99E6E05B-75F9-4C01-9988-E0F89C1A6DF2}"/>
    <cellStyle name="Normal 48" xfId="555" xr:uid="{668A32E0-0699-4E9B-B769-3C904F98B391}"/>
    <cellStyle name="Normal 48 2" xfId="813" xr:uid="{C24F734C-75E0-4AE1-A7CD-FB48A192D748}"/>
    <cellStyle name="Normal 49" xfId="556" xr:uid="{05BE2797-BA36-422A-B2AA-F67D1957AE62}"/>
    <cellStyle name="Normal 49 2" xfId="814" xr:uid="{3087320B-773B-4CAE-B7A9-763678617F70}"/>
    <cellStyle name="Normal 5" xfId="160" xr:uid="{00000000-0005-0000-0000-0000A0000000}"/>
    <cellStyle name="Normal 5 2" xfId="272" xr:uid="{36CC2D56-8068-41C8-82EA-C277782517B0}"/>
    <cellStyle name="Normal 5 3" xfId="329" xr:uid="{AFC88351-12B9-4989-8178-505223E5595C}"/>
    <cellStyle name="Normal 5 3 2" xfId="515" xr:uid="{96A50CA7-D29A-4409-BEA9-C3F05DE169E2}"/>
    <cellStyle name="Normal 5 3 2 2" xfId="774" xr:uid="{9419008F-48D7-4BE2-B62D-5C7AB1BADB03}"/>
    <cellStyle name="Normal 5 3 3" xfId="641" xr:uid="{16993C37-F160-4BBD-A733-5CACE93EA49A}"/>
    <cellStyle name="Normal 5 4" xfId="363" xr:uid="{68EC8390-63DB-4223-83A3-996D894A8933}"/>
    <cellStyle name="Normal 5 4 2" xfId="541" xr:uid="{ACE25B5C-3E54-4CC8-A079-74C48C127BDD}"/>
    <cellStyle name="Normal 5 4 2 2" xfId="799" xr:uid="{3C9E6C4E-D0AD-47EE-9427-6CCD7CF06C97}"/>
    <cellStyle name="Normal 5 4 3" xfId="666" xr:uid="{2D86F38B-9EBA-4B6D-8C0F-9EA8650E05D9}"/>
    <cellStyle name="Normal 5 5" xfId="396" xr:uid="{5E87D065-7B08-4ADB-B484-E584CA731E64}"/>
    <cellStyle name="Normal 5 5 2" xfId="695" xr:uid="{C4A8E614-01F1-4860-B424-8FD04C27531D}"/>
    <cellStyle name="Normal 50" xfId="557" xr:uid="{5F172801-FF79-4D31-9874-F0C11BF4AEE2}"/>
    <cellStyle name="Normal 50 2" xfId="815" xr:uid="{742B5CB9-EB69-40D6-BA21-F7D000EC373B}"/>
    <cellStyle name="Normal 51" xfId="559" xr:uid="{FF2B9FA1-A246-4791-BF71-95F3C1FC247F}"/>
    <cellStyle name="Normal 51 2" xfId="816" xr:uid="{95091CB1-59B7-47A4-A842-FECD0EC45455}"/>
    <cellStyle name="Normal 52" xfId="561" xr:uid="{97B3CE3A-167F-4BC1-A50B-5DADF748DBD0}"/>
    <cellStyle name="Normal 52 2" xfId="818" xr:uid="{85BD457A-A200-4904-9F5A-13FF56FD1B49}"/>
    <cellStyle name="Normal 53" xfId="563" xr:uid="{52952B9F-9F88-4865-BC40-A7F408658E74}"/>
    <cellStyle name="Normal 53 2" xfId="820" xr:uid="{8B5E97E1-313F-4F88-AF86-89B7FC99138E}"/>
    <cellStyle name="Normal 54" xfId="564" xr:uid="{42E3FE72-647C-49A5-BA0B-DA8FB7AF9FEF}"/>
    <cellStyle name="Normal 54 2" xfId="821" xr:uid="{87C2C625-22E5-4418-8DD5-1F48C1699E93}"/>
    <cellStyle name="Normal 55" xfId="566" xr:uid="{3F379843-D725-4B2F-B35D-4E7A3325EAFA}"/>
    <cellStyle name="Normal 55 2" xfId="823" xr:uid="{B52ACB6F-BCB5-4AA5-82AB-9E5751598F06}"/>
    <cellStyle name="Normal 56" xfId="567" xr:uid="{A66BD69B-06F6-4A12-88C6-0AA6AB57A3E5}"/>
    <cellStyle name="Normal 57" xfId="824" xr:uid="{DFA394ED-ABFA-4875-AC84-4BA8F8C78027}"/>
    <cellStyle name="Normal 58" xfId="826" xr:uid="{4990BB6B-227A-498E-9FFF-C6F239A040F1}"/>
    <cellStyle name="Normal 6" xfId="161" xr:uid="{00000000-0005-0000-0000-0000A1000000}"/>
    <cellStyle name="Normal 6 2" xfId="273" xr:uid="{31B857CC-0B50-49D0-9320-39C1D8C37925}"/>
    <cellStyle name="Normal 6 3" xfId="330" xr:uid="{F9BEA0DE-0740-4F99-997E-0364A8FFB655}"/>
    <cellStyle name="Normal 6 3 2" xfId="516" xr:uid="{A14C4AA6-3567-44DD-8670-35100DE8C66E}"/>
    <cellStyle name="Normal 6 3 2 2" xfId="775" xr:uid="{4D47D78A-01B5-4F23-B607-A4A95CFEAC2F}"/>
    <cellStyle name="Normal 6 3 3" xfId="642" xr:uid="{4EEE4C18-B811-4392-94BA-63C754D991AD}"/>
    <cellStyle name="Normal 6 4" xfId="364" xr:uid="{7B653B86-ADAC-4C19-9828-0DE8CDC4597F}"/>
    <cellStyle name="Normal 6 4 2" xfId="542" xr:uid="{CD7D9E1A-1944-496B-B2AC-48266B1EC1CF}"/>
    <cellStyle name="Normal 6 4 2 2" xfId="800" xr:uid="{8EB0C052-7919-411D-992D-3FA4FA3F444B}"/>
    <cellStyle name="Normal 6 4 3" xfId="667" xr:uid="{AC972B98-7CC3-4A68-BA3C-1BC6DFD50E76}"/>
    <cellStyle name="Normal 6 5" xfId="397" xr:uid="{067FC06B-E4E9-4BD1-8EC4-E3EBF4E56A5D}"/>
    <cellStyle name="Normal 6 5 2" xfId="696" xr:uid="{5BAB639C-C83B-4011-A886-4B02F804622C}"/>
    <cellStyle name="Normal 7" xfId="162" xr:uid="{00000000-0005-0000-0000-0000A2000000}"/>
    <cellStyle name="Normal 7 2" xfId="274" xr:uid="{4C35D98F-0C48-4724-A4B1-6E749B903E09}"/>
    <cellStyle name="Normal 7 3" xfId="331" xr:uid="{62518BB4-081E-4432-9D50-8576182C0F83}"/>
    <cellStyle name="Normal 7 3 2" xfId="517" xr:uid="{F0576104-3425-4C52-9A10-52BD554292C4}"/>
    <cellStyle name="Normal 7 3 2 2" xfId="776" xr:uid="{62672773-9D39-43D4-B8D6-073DC8C7F487}"/>
    <cellStyle name="Normal 7 3 3" xfId="643" xr:uid="{5A202D15-2041-463D-90FC-9437EB3C9309}"/>
    <cellStyle name="Normal 7 4" xfId="365" xr:uid="{DAF90054-DE4E-4C7E-974E-82DE39836C4C}"/>
    <cellStyle name="Normal 7 4 2" xfId="543" xr:uid="{D44A821B-2630-488E-A1D3-8EE908B6900C}"/>
    <cellStyle name="Normal 7 4 2 2" xfId="801" xr:uid="{85A39323-6C30-4C72-8BCD-7E79E8461CE8}"/>
    <cellStyle name="Normal 7 4 3" xfId="668" xr:uid="{E0BD463F-982F-425C-9F74-D9B01C65B336}"/>
    <cellStyle name="Normal 7 5" xfId="398" xr:uid="{A2854302-5520-4153-8EF5-385A418B2A66}"/>
    <cellStyle name="Normal 7 5 2" xfId="697" xr:uid="{21D6259E-FEFE-408A-8090-A42A7AF0D555}"/>
    <cellStyle name="Normal 8" xfId="163" xr:uid="{00000000-0005-0000-0000-0000A3000000}"/>
    <cellStyle name="Normal 8 2" xfId="275" xr:uid="{734EA5F1-5C19-47B7-A13E-F5A1AF7E876C}"/>
    <cellStyle name="Normal 8 3" xfId="332" xr:uid="{5694CBA2-79E6-4423-BC6B-B29E9D21E06E}"/>
    <cellStyle name="Normal 8 3 2" xfId="518" xr:uid="{C19F57B8-A5A9-4E7F-A926-009229B628EA}"/>
    <cellStyle name="Normal 8 3 2 2" xfId="777" xr:uid="{2991A2A2-5F0E-4D5B-B5F5-A06A319BA14B}"/>
    <cellStyle name="Normal 8 3 3" xfId="644" xr:uid="{BB85EB7F-C296-4919-9CEB-7ACD5D58370E}"/>
    <cellStyle name="Normal 8 4" xfId="366" xr:uid="{4816C702-8327-49D4-9ED3-B67336742CAF}"/>
    <cellStyle name="Normal 8 4 2" xfId="544" xr:uid="{EEFD4D2F-1EC3-49E3-A74E-CFF4C8C68D11}"/>
    <cellStyle name="Normal 8 4 2 2" xfId="802" xr:uid="{183700AC-9E69-463D-9AAB-9434B6B2F3E7}"/>
    <cellStyle name="Normal 8 4 3" xfId="669" xr:uid="{DE1C37A5-58F3-4AA4-A210-7052817AADBE}"/>
    <cellStyle name="Normal 8 5" xfId="399" xr:uid="{EE0DE1C8-DDD1-4D6F-89F3-6FC88F5B17CF}"/>
    <cellStyle name="Normal 8 5 2" xfId="698" xr:uid="{E5AE9A5B-FD37-4EE2-9745-CCF43D3C6079}"/>
    <cellStyle name="Normal 9" xfId="164" xr:uid="{00000000-0005-0000-0000-0000A4000000}"/>
    <cellStyle name="Normal 9 2" xfId="276" xr:uid="{71FD55F6-301A-4EB3-AE25-6AF436819347}"/>
    <cellStyle name="Normal 9 3" xfId="333" xr:uid="{811716AB-C99E-44B3-8B23-CD2CE35BA1A0}"/>
    <cellStyle name="Normal 9 3 2" xfId="519" xr:uid="{02C76EE9-D4CC-4980-A6A0-DC9FC559C970}"/>
    <cellStyle name="Normal 9 3 2 2" xfId="778" xr:uid="{9C820581-AD98-4940-B081-462990E8E98C}"/>
    <cellStyle name="Normal 9 3 3" xfId="645" xr:uid="{DB972A9C-604A-4320-8CCD-7C2FE742BE04}"/>
    <cellStyle name="Normal 9 4" xfId="367" xr:uid="{137AD2BA-B80C-4965-A629-9923BCC960CA}"/>
    <cellStyle name="Normal 9 4 2" xfId="545" xr:uid="{ABE69BDB-F59B-408D-9B69-7F68A9C7A584}"/>
    <cellStyle name="Normal 9 4 2 2" xfId="803" xr:uid="{770000C4-7007-42B0-8515-DC9621054A35}"/>
    <cellStyle name="Normal 9 4 3" xfId="670" xr:uid="{0D10DEB2-E82E-4803-B4A2-1D61854EB603}"/>
    <cellStyle name="Normal 9 5" xfId="400" xr:uid="{ED53F3D3-F466-4E07-A99A-54765CE2ADE0}"/>
    <cellStyle name="Normal 9 5 2" xfId="699" xr:uid="{7D053775-3F19-4D15-9BEF-46A7B2189AFC}"/>
    <cellStyle name="Note 2" xfId="165" xr:uid="{00000000-0005-0000-0000-0000A5000000}"/>
    <cellStyle name="Note 2 2" xfId="466" xr:uid="{5B8C1BEF-E3EC-4945-9310-DDD3DCD4CC71}"/>
    <cellStyle name="Note 2 2 2" xfId="733" xr:uid="{DC5F768B-69A8-48A0-9FBD-563E8EB6E27A}"/>
    <cellStyle name="Note 2 3" xfId="600" xr:uid="{46253933-3F28-4D83-B01C-1EA7A692567E}"/>
    <cellStyle name="Note 3" xfId="830" xr:uid="{6CA33AE6-7181-45B9-AA88-B06A0C9675BD}"/>
    <cellStyle name="Output" xfId="334" xr:uid="{C7BD06A7-5030-4155-ACEB-449CED863F6B}"/>
    <cellStyle name="Pourcentage" xfId="166" builtinId="5"/>
    <cellStyle name="Pourcentage 10" xfId="167" xr:uid="{00000000-0005-0000-0000-0000A7000000}"/>
    <cellStyle name="Pourcentage 10 2" xfId="168" xr:uid="{00000000-0005-0000-0000-0000A8000000}"/>
    <cellStyle name="Pourcentage 10 2 2" xfId="279" xr:uid="{DE14713F-2F54-4768-B387-30CF2CC43E3C}"/>
    <cellStyle name="Pourcentage 10 3" xfId="278" xr:uid="{B7BABD5B-FF95-442E-92CE-E5C8D7B594BD}"/>
    <cellStyle name="Pourcentage 11" xfId="169" xr:uid="{00000000-0005-0000-0000-0000A9000000}"/>
    <cellStyle name="Pourcentage 11 2" xfId="280" xr:uid="{AA952D90-CD72-4E2B-9B83-72ED9A0D800C}"/>
    <cellStyle name="Pourcentage 12" xfId="170" xr:uid="{00000000-0005-0000-0000-0000AA000000}"/>
    <cellStyle name="Pourcentage 12 2" xfId="281" xr:uid="{DEB2DACD-1F37-422F-A94B-6FF55963769B}"/>
    <cellStyle name="Pourcentage 13" xfId="171" xr:uid="{00000000-0005-0000-0000-0000AB000000}"/>
    <cellStyle name="Pourcentage 14" xfId="172" xr:uid="{00000000-0005-0000-0000-0000AC000000}"/>
    <cellStyle name="Pourcentage 14 2" xfId="282" xr:uid="{1C96FA83-9C65-45C0-81C3-6A5E7598ADC8}"/>
    <cellStyle name="Pourcentage 15" xfId="173" xr:uid="{00000000-0005-0000-0000-0000AD000000}"/>
    <cellStyle name="Pourcentage 15 2" xfId="467" xr:uid="{781B3826-6483-4C55-AE04-6F34EE01BF2E}"/>
    <cellStyle name="Pourcentage 16" xfId="174" xr:uid="{00000000-0005-0000-0000-0000AE000000}"/>
    <cellStyle name="Pourcentage 16 2" xfId="468" xr:uid="{0BDF58BF-7D03-4199-B567-93E814B20099}"/>
    <cellStyle name="Pourcentage 17" xfId="175" xr:uid="{00000000-0005-0000-0000-0000AF000000}"/>
    <cellStyle name="Pourcentage 17 2" xfId="469" xr:uid="{59244B4F-4165-4270-8013-7E94A8F06261}"/>
    <cellStyle name="Pourcentage 18" xfId="176" xr:uid="{00000000-0005-0000-0000-0000B0000000}"/>
    <cellStyle name="Pourcentage 18 2" xfId="470" xr:uid="{F26943D1-FB5C-4E3E-8C64-8A5B39514682}"/>
    <cellStyle name="Pourcentage 19" xfId="177" xr:uid="{00000000-0005-0000-0000-0000B1000000}"/>
    <cellStyle name="Pourcentage 19 2" xfId="471" xr:uid="{375253B1-8F37-4F6C-8DA0-591455FB50B5}"/>
    <cellStyle name="Pourcentage 2" xfId="178" xr:uid="{00000000-0005-0000-0000-0000B2000000}"/>
    <cellStyle name="Pourcentage 2 2" xfId="179" xr:uid="{00000000-0005-0000-0000-0000B3000000}"/>
    <cellStyle name="Pourcentage 2 2 2" xfId="284" xr:uid="{B2FB3587-25AF-447E-BB17-EACAEE074552}"/>
    <cellStyle name="Pourcentage 2 3" xfId="283" xr:uid="{9DA7262D-FB1B-45F7-857F-819C8AB0B016}"/>
    <cellStyle name="Pourcentage 20" xfId="180" xr:uid="{00000000-0005-0000-0000-0000B4000000}"/>
    <cellStyle name="Pourcentage 20 2" xfId="472" xr:uid="{75AA4DE5-A6B0-45D1-829D-23E356CD980C}"/>
    <cellStyle name="Pourcentage 21" xfId="827" xr:uid="{E5B10459-1ABA-4AE4-8198-03F4390C7F85}"/>
    <cellStyle name="Pourcentage 3" xfId="277" xr:uid="{283304E5-52C8-46DA-BEA5-1C64A8C2CAFF}"/>
    <cellStyle name="Pourcentage 3 2" xfId="336" xr:uid="{5158BFC9-E324-40D5-BE56-72EF06496967}"/>
    <cellStyle name="Pourcentage 3 3" xfId="335" xr:uid="{023CA450-EBE3-43C0-B6A7-1825373DF6DB}"/>
    <cellStyle name="Pourcentage 4" xfId="337" xr:uid="{E782AEB0-468E-4A75-A3C6-2FC89029D4DB}"/>
    <cellStyle name="Pourcentage 4 2" xfId="368" xr:uid="{2E3E2A32-0321-4126-8DF6-F966776E181B}"/>
    <cellStyle name="Pourcentage 4 2 2" xfId="546" xr:uid="{0B5D9212-F1C0-4D7D-AF82-48E139E43ADF}"/>
    <cellStyle name="Pourcentage 4 2 2 2" xfId="804" xr:uid="{E09DB347-2D7F-492A-A068-A04063D277FF}"/>
    <cellStyle name="Pourcentage 4 2 3" xfId="671" xr:uid="{9F7A5BC6-ABD0-4C6D-8B05-287107116FA1}"/>
    <cellStyle name="Pourcentage 4 3" xfId="401" xr:uid="{F39AF579-A2FB-43CF-9C8D-2DFF4BE8EE10}"/>
    <cellStyle name="Pourcentage 4 3 2" xfId="700" xr:uid="{6007209F-6136-4ADB-AE20-BBEE43D42000}"/>
    <cellStyle name="Pourcentage 4 4" xfId="520" xr:uid="{B4A8710D-BDE1-4CE5-AA5D-FECEE991295F}"/>
    <cellStyle name="Pourcentage 4 4 2" xfId="779" xr:uid="{4F180AFC-091F-4BB7-89A5-85700EBDE116}"/>
    <cellStyle name="Pourcentage 4 5" xfId="646" xr:uid="{51A199AF-2632-46B8-BFEA-41617C99186E}"/>
    <cellStyle name="Pourcentage 5" xfId="338" xr:uid="{43C7BF0C-395C-47F1-AC42-A3A92307DD41}"/>
    <cellStyle name="Pourcentage 5 2" xfId="339" xr:uid="{F8DA9FF2-D23D-4665-BD71-0CD630E0F451}"/>
    <cellStyle name="Pourcentage 6" xfId="340" xr:uid="{878C9DA0-7704-4CB0-B37F-D5046962501D}"/>
    <cellStyle name="Pourcentage 7" xfId="373" xr:uid="{DE023AD3-766A-43BB-9ED0-203EC1A73549}"/>
    <cellStyle name="Pourcentage 7 2" xfId="548" xr:uid="{7C560F9B-AC41-4E11-AC60-E014AB4A1A48}"/>
    <cellStyle name="Pourcentage 7 2 2" xfId="806" xr:uid="{3ECB761A-0F87-4C74-925F-B44791D590FF}"/>
    <cellStyle name="Pourcentage 7 3" xfId="673" xr:uid="{D6340833-1E7E-4A62-8DAF-60B1FE54A1B9}"/>
    <cellStyle name="Pourcentage 8" xfId="181" xr:uid="{00000000-0005-0000-0000-0000B5000000}"/>
    <cellStyle name="Pourcentage 8 2" xfId="182" xr:uid="{00000000-0005-0000-0000-0000B6000000}"/>
    <cellStyle name="Pourcentage 8 2 2" xfId="286" xr:uid="{F83070AB-EEA6-4901-A477-257C41EB9909}"/>
    <cellStyle name="Pourcentage 8 3" xfId="285" xr:uid="{51166C3E-EAF0-4F4C-8728-8A8187D05528}"/>
    <cellStyle name="Pourcentage 9" xfId="183" xr:uid="{00000000-0005-0000-0000-0000B7000000}"/>
    <cellStyle name="Pourcentage 9 2" xfId="287" xr:uid="{0BBA63F2-3147-4495-8C9B-DC3E79FE51EF}"/>
    <cellStyle name="Satisfaisant" xfId="184" builtinId="26" customBuiltin="1"/>
    <cellStyle name="Satisfaisant 2" xfId="185" xr:uid="{00000000-0005-0000-0000-0000B9000000}"/>
    <cellStyle name="Sortie" xfId="186" builtinId="21" customBuiltin="1"/>
    <cellStyle name="Sortie 2" xfId="187" xr:uid="{00000000-0005-0000-0000-0000BB000000}"/>
    <cellStyle name="Texte explicatif" xfId="188" builtinId="53" customBuiltin="1"/>
    <cellStyle name="Texte explicatif 2" xfId="189" xr:uid="{00000000-0005-0000-0000-0000BD000000}"/>
    <cellStyle name="Title" xfId="341" xr:uid="{7D9DD746-F7E1-49DF-920C-08A77DC0702B}"/>
    <cellStyle name="Titre" xfId="190" builtinId="15" customBuiltin="1"/>
    <cellStyle name="Titre 2" xfId="191" xr:uid="{00000000-0005-0000-0000-0000BF000000}"/>
    <cellStyle name="Titre 1" xfId="192" builtinId="16" customBuiltin="1"/>
    <cellStyle name="Titre 1 2" xfId="193" xr:uid="{00000000-0005-0000-0000-0000C1000000}"/>
    <cellStyle name="Titre 2" xfId="194" builtinId="17" customBuiltin="1"/>
    <cellStyle name="Titre 2 2" xfId="195" xr:uid="{00000000-0005-0000-0000-0000C3000000}"/>
    <cellStyle name="Titre 3" xfId="196" builtinId="18" customBuiltin="1"/>
    <cellStyle name="Titre 3 2" xfId="197" xr:uid="{00000000-0005-0000-0000-0000C5000000}"/>
    <cellStyle name="Titre 4" xfId="198" builtinId="19" customBuiltin="1"/>
    <cellStyle name="Titre 4 2" xfId="199" xr:uid="{00000000-0005-0000-0000-0000C7000000}"/>
    <cellStyle name="Total" xfId="200" builtinId="25" customBuiltin="1"/>
    <cellStyle name="Total 2" xfId="201" xr:uid="{00000000-0005-0000-0000-0000C9000000}"/>
    <cellStyle name="Vérification" xfId="202" builtinId="23" customBuiltin="1"/>
    <cellStyle name="Vérification 2" xfId="203" xr:uid="{00000000-0005-0000-0000-0000CB000000}"/>
    <cellStyle name="Warning Text" xfId="342" xr:uid="{AB430C58-469D-4C50-BC57-EFE3DD1C5072}"/>
  </cellStyles>
  <dxfs count="7">
    <dxf>
      <numFmt numFmtId="4" formatCode="#,##0.00"/>
      <fill>
        <patternFill patternType="none">
          <fgColor indexed="64"/>
          <bgColor indexed="65"/>
        </patternFill>
      </fill>
    </dxf>
    <dxf>
      <numFmt numFmtId="0" formatCode="General"/>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9" formatCode="dd/mm/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auto="1"/>
        </patternFill>
      </fill>
    </dxf>
    <dxf>
      <font>
        <b/>
        <i val="0"/>
        <strike val="0"/>
        <condense val="0"/>
        <extend val="0"/>
        <outline val="0"/>
        <shadow val="0"/>
        <u val="none"/>
        <vertAlign val="baseline"/>
        <sz val="14"/>
        <color rgb="FFFFFFFF"/>
        <name val="Calibri"/>
        <family val="2"/>
        <scheme val="none"/>
      </font>
      <fill>
        <patternFill patternType="solid">
          <fgColor rgb="FF000000"/>
          <bgColor rgb="FF4472C4"/>
        </patternFill>
      </fill>
      <alignment horizontal="center" vertical="bottom" textRotation="0" wrapText="0" indent="0" justifyLastLine="0" shrinkToFit="0" readingOrder="0"/>
    </dxf>
  </dxfs>
  <tableStyles count="1" defaultTableStyle="TableStyleMedium2" defaultPivotStyle="PivotStyleLight16">
    <tableStyle name="Invisible" pivot="0" table="0" count="0" xr9:uid="{5CDC069A-CA1D-4C43-995A-EB26253D12EC}"/>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3D3D3"/>
    </indexed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openxmlformats.org/officeDocument/2006/relationships/sheetMetadata" Target="metadata.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257175</xdr:colOff>
          <xdr:row>3</xdr:row>
          <xdr:rowOff>9525</xdr:rowOff>
        </xdr:from>
        <xdr:to>
          <xdr:col>5</xdr:col>
          <xdr:colOff>1476375</xdr:colOff>
          <xdr:row>4</xdr:row>
          <xdr:rowOff>66675</xdr:rowOff>
        </xdr:to>
        <xdr:sp macro="" textlink="">
          <xdr:nvSpPr>
            <xdr:cNvPr id="47824901" name="Button 1029" hidden="1">
              <a:extLst>
                <a:ext uri="{63B3BB69-23CF-44E3-9099-C40C66FF867C}">
                  <a14:compatExt spid="_x0000_s47824901"/>
                </a:ext>
                <a:ext uri="{FF2B5EF4-FFF2-40B4-BE49-F238E27FC236}">
                  <a16:creationId xmlns:a16="http://schemas.microsoft.com/office/drawing/2014/main" id="{00000000-0008-0000-0200-000005C0D9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000" b="1" i="1" u="sng" strike="noStrike" baseline="0">
                  <a:solidFill>
                    <a:srgbClr val="FF00FF"/>
                  </a:solidFill>
                  <a:latin typeface="Aptos SemiBold"/>
                </a:rPr>
                <a:t>COURBE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714375</xdr:colOff>
          <xdr:row>2</xdr:row>
          <xdr:rowOff>28575</xdr:rowOff>
        </xdr:from>
        <xdr:to>
          <xdr:col>8</xdr:col>
          <xdr:colOff>590550</xdr:colOff>
          <xdr:row>4</xdr:row>
          <xdr:rowOff>66675</xdr:rowOff>
        </xdr:to>
        <xdr:sp macro="" textlink="">
          <xdr:nvSpPr>
            <xdr:cNvPr id="47827969" name="Button 1" hidden="1">
              <a:extLst>
                <a:ext uri="{63B3BB69-23CF-44E3-9099-C40C66FF867C}">
                  <a14:compatExt spid="_x0000_s47827969"/>
                </a:ext>
                <a:ext uri="{FF2B5EF4-FFF2-40B4-BE49-F238E27FC236}">
                  <a16:creationId xmlns:a16="http://schemas.microsoft.com/office/drawing/2014/main" id="{00000000-0008-0000-0400-000001CCD9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ZC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695325</xdr:colOff>
      <xdr:row>785</xdr:row>
      <xdr:rowOff>123825</xdr:rowOff>
    </xdr:from>
    <xdr:to>
      <xdr:col>4</xdr:col>
      <xdr:colOff>962025</xdr:colOff>
      <xdr:row>787</xdr:row>
      <xdr:rowOff>47625</xdr:rowOff>
    </xdr:to>
    <xdr:pic>
      <xdr:nvPicPr>
        <xdr:cNvPr id="2" name="Imag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142370175"/>
          <a:ext cx="585787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104775</xdr:rowOff>
    </xdr:from>
    <xdr:to>
      <xdr:col>24</xdr:col>
      <xdr:colOff>0</xdr:colOff>
      <xdr:row>66</xdr:row>
      <xdr:rowOff>28575</xdr:rowOff>
    </xdr:to>
    <xdr:pic>
      <xdr:nvPicPr>
        <xdr:cNvPr id="47852730" name="Image 1">
          <a:extLst>
            <a:ext uri="{FF2B5EF4-FFF2-40B4-BE49-F238E27FC236}">
              <a16:creationId xmlns:a16="http://schemas.microsoft.com/office/drawing/2014/main" id="{00000000-0008-0000-0C00-0000BA2CDA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8625"/>
          <a:ext cx="18288000" cy="10287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85725</xdr:rowOff>
    </xdr:from>
    <xdr:to>
      <xdr:col>24</xdr:col>
      <xdr:colOff>0</xdr:colOff>
      <xdr:row>64</xdr:row>
      <xdr:rowOff>9525</xdr:rowOff>
    </xdr:to>
    <xdr:pic>
      <xdr:nvPicPr>
        <xdr:cNvPr id="47852731" name="Image 1">
          <a:extLst>
            <a:ext uri="{FF2B5EF4-FFF2-40B4-BE49-F238E27FC236}">
              <a16:creationId xmlns:a16="http://schemas.microsoft.com/office/drawing/2014/main" id="{00000000-0008-0000-0C00-0000BB2CDA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725"/>
          <a:ext cx="18288000" cy="10287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78</xdr:row>
      <xdr:rowOff>0</xdr:rowOff>
    </xdr:from>
    <xdr:to>
      <xdr:col>23</xdr:col>
      <xdr:colOff>762000</xdr:colOff>
      <xdr:row>141</xdr:row>
      <xdr:rowOff>85725</xdr:rowOff>
    </xdr:to>
    <xdr:pic>
      <xdr:nvPicPr>
        <xdr:cNvPr id="47852732" name="Image 1">
          <a:extLst>
            <a:ext uri="{FF2B5EF4-FFF2-40B4-BE49-F238E27FC236}">
              <a16:creationId xmlns:a16="http://schemas.microsoft.com/office/drawing/2014/main" id="{00000000-0008-0000-0C00-0000BC2CDA0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763500"/>
          <a:ext cx="18288000" cy="10287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ennis\Partage\Portefeuilles%20CNRA-RCAR\PORTEF%20CNRA\PRTF%20CNRA-AC%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30.110.11\Data\DDG\D&#233;pt-Taux\Fonctionnement_Desk_Taux\Mes%20documents\Projets\ONCF\valorisation%20ONCF.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30.110.11\Data\DDG\D&#233;pt-Taux\Fonctionnement_Desk_Taux\Documents%20and%20Settings\bennani.WAFAGESTION\Local%20Settings\Temporary%20Internet%20Files\OLK14C\ilias\DeskTaux\CourbeZ&#233;roCoup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30.110.11\Data\DDG\D&#233;pt-Taux\Fonctionnement_Desk_Taux\MBI%202004\10-2004\Indice%20MBI%2001-10-2004.xls"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Z:\Valo_Reporting\1.VALO\AUTO%20-%20Copie\EUROBONDS.xlsx" TargetMode="External"/><Relationship Id="rId1" Type="http://schemas.openxmlformats.org/officeDocument/2006/relationships/externalLinkPath" Target="file:///Z:\Valo_Reporting\1.VALO\AUTO%20-%20Copie\EUROBONDS.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file:///Z:\Valo_Reporting\1.VALO\EUROBONDS.xlsx" TargetMode="External"/><Relationship Id="rId1" Type="http://schemas.openxmlformats.org/officeDocument/2006/relationships/externalLinkPath" Target="file:///Z:\Valo_Reporting\1.VALO\EUROBONDS.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file:///Z:\Valo_Reporting\1.VALO\AUTO%20-%20Copie\valo%20change.xlsx" TargetMode="External"/><Relationship Id="rId1" Type="http://schemas.openxmlformats.org/officeDocument/2006/relationships/externalLinkPath" Target="file:///Z:\Valo_Reporting\1.VALO\AUTO%20-%20Copie\valo%20change.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file:///C:\Users\k.rhassani\Downloads\atm\VALO%20ORA\Pricer%20ORA%20Oulmes.xlsm" TargetMode="External"/><Relationship Id="rId1" Type="http://schemas.openxmlformats.org/officeDocument/2006/relationships/externalLinkPath" Target="/Users/k.rhassani/Downloads/atm/VALO%20ORA/Pricer%20ORA%20Oulm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ing"/>
      <sheetName val="Menu"/>
      <sheetName val="Taux"/>
      <sheetName val="Flux"/>
      <sheetName val="TCD"/>
      <sheetName val="LIGNES echues"/>
      <sheetName val="PRTF"/>
    </sheetNames>
    <sheetDataSet>
      <sheetData sheetId="0"/>
      <sheetData sheetId="1"/>
      <sheetData sheetId="2" refreshError="1">
        <row r="3">
          <cell r="C3" t="str">
            <v xml:space="preserve"> ETAT</v>
          </cell>
          <cell r="D3" t="str">
            <v>ACRED</v>
          </cell>
          <cell r="E3" t="str">
            <v>BMCI</v>
          </cell>
          <cell r="F3" t="str">
            <v>BMCI LS</v>
          </cell>
          <cell r="G3" t="str">
            <v>BNDE</v>
          </cell>
          <cell r="H3" t="str">
            <v>BNDE G</v>
          </cell>
          <cell r="I3" t="str">
            <v>ChMar</v>
          </cell>
          <cell r="J3" t="str">
            <v>ChMar G</v>
          </cell>
          <cell r="K3" t="str">
            <v>CIH</v>
          </cell>
          <cell r="L3" t="str">
            <v>CIH.ECO</v>
          </cell>
          <cell r="M3" t="str">
            <v>CREDOR</v>
          </cell>
          <cell r="N3" t="str">
            <v>CUC</v>
          </cell>
          <cell r="O3" t="str">
            <v>CUC G</v>
          </cell>
          <cell r="P3" t="str">
            <v>DIAC LS</v>
          </cell>
          <cell r="Q3" t="str">
            <v>DIAC SALAF</v>
          </cell>
          <cell r="R3" t="str">
            <v>EQDOM</v>
          </cell>
          <cell r="S3" t="str">
            <v>ETAT</v>
          </cell>
          <cell r="T3" t="str">
            <v>FEC</v>
          </cell>
          <cell r="U3" t="str">
            <v xml:space="preserve">FEC G </v>
          </cell>
          <cell r="V3" t="str">
            <v>MAGREBAIL</v>
          </cell>
          <cell r="W3" t="str">
            <v>MAROC LEAS</v>
          </cell>
          <cell r="X3" t="str">
            <v>MEDIAFINANCE</v>
          </cell>
          <cell r="Y3" t="str">
            <v>ONE</v>
          </cell>
          <cell r="Z3" t="str">
            <v>ONE G</v>
          </cell>
          <cell r="AA3" t="str">
            <v>SGMB</v>
          </cell>
          <cell r="AB3" t="str">
            <v>SOFAC</v>
          </cell>
          <cell r="AC3" t="str">
            <v>SOGELEASE</v>
          </cell>
          <cell r="AD3" t="str">
            <v>TASLIF</v>
          </cell>
          <cell r="AE3" t="str">
            <v>WAFA IMM</v>
          </cell>
          <cell r="AF3" t="str">
            <v>WAFABAIL</v>
          </cell>
        </row>
        <row r="4">
          <cell r="B4">
            <v>37400</v>
          </cell>
          <cell r="C4">
            <v>2.5999999999999999E-2</v>
          </cell>
          <cell r="D4">
            <v>2.5999999999999999E-2</v>
          </cell>
          <cell r="E4">
            <v>2.5999999999999999E-2</v>
          </cell>
          <cell r="F4">
            <v>2.5999999999999999E-2</v>
          </cell>
          <cell r="G4">
            <v>2.5999999999999999E-2</v>
          </cell>
          <cell r="H4">
            <v>2.5999999999999999E-2</v>
          </cell>
          <cell r="I4">
            <v>2.5999999999999999E-2</v>
          </cell>
          <cell r="J4">
            <v>2.5999999999999999E-2</v>
          </cell>
          <cell r="K4">
            <v>2.5999999999999999E-2</v>
          </cell>
          <cell r="L4">
            <v>2.5999999999999999E-2</v>
          </cell>
          <cell r="M4">
            <v>2.5999999999999999E-2</v>
          </cell>
          <cell r="N4">
            <v>2.5999999999999999E-2</v>
          </cell>
          <cell r="O4">
            <v>2.5999999999999999E-2</v>
          </cell>
          <cell r="P4">
            <v>2.5999999999999999E-2</v>
          </cell>
          <cell r="Q4">
            <v>2.5999999999999999E-2</v>
          </cell>
          <cell r="R4">
            <v>2.5999999999999999E-2</v>
          </cell>
          <cell r="S4">
            <v>2.5999999999999999E-2</v>
          </cell>
          <cell r="T4">
            <v>2.5999999999999999E-2</v>
          </cell>
          <cell r="U4">
            <v>2.75E-2</v>
          </cell>
          <cell r="V4">
            <v>2.75E-2</v>
          </cell>
          <cell r="W4">
            <v>2.5999999999999999E-2</v>
          </cell>
          <cell r="X4">
            <v>2.5999999999999999E-2</v>
          </cell>
          <cell r="Y4">
            <v>2.5999999999999999E-2</v>
          </cell>
          <cell r="Z4">
            <v>2.75E-2</v>
          </cell>
          <cell r="AA4">
            <v>2.75E-2</v>
          </cell>
          <cell r="AB4">
            <v>2.5999999999999999E-2</v>
          </cell>
          <cell r="AC4">
            <v>2.5999999999999999E-2</v>
          </cell>
          <cell r="AD4">
            <v>2.5999999999999999E-2</v>
          </cell>
          <cell r="AE4">
            <v>2.5999999999999999E-2</v>
          </cell>
          <cell r="AF4">
            <v>2.5999999999999999E-2</v>
          </cell>
          <cell r="AG4">
            <v>2.5999999999999999E-2</v>
          </cell>
        </row>
        <row r="5">
          <cell r="B5">
            <v>37491</v>
          </cell>
          <cell r="C5">
            <v>3.5499999999999997E-2</v>
          </cell>
          <cell r="D5">
            <v>4.2499999999999996E-2</v>
          </cell>
          <cell r="E5">
            <v>3.6999999999999998E-2</v>
          </cell>
          <cell r="F5">
            <v>3.85E-2</v>
          </cell>
          <cell r="G5">
            <v>4.1499999999999995E-2</v>
          </cell>
          <cell r="H5">
            <v>3.6999999999999998E-2</v>
          </cell>
          <cell r="I5">
            <v>3.5499999999999997E-2</v>
          </cell>
          <cell r="J5">
            <v>4.1499999999999995E-2</v>
          </cell>
          <cell r="K5">
            <v>4.1499999999999995E-2</v>
          </cell>
          <cell r="L5">
            <v>3.6999999999999998E-2</v>
          </cell>
          <cell r="M5">
            <v>4.2499999999999996E-2</v>
          </cell>
          <cell r="N5">
            <v>3.5499999999999997E-2</v>
          </cell>
          <cell r="O5">
            <v>4.3499999999999997E-2</v>
          </cell>
          <cell r="P5">
            <v>4.3499999999999997E-2</v>
          </cell>
          <cell r="Q5">
            <v>4.3499999999999997E-2</v>
          </cell>
          <cell r="R5">
            <v>4.1499999999999995E-2</v>
          </cell>
          <cell r="S5">
            <v>3.5499999999999997E-2</v>
          </cell>
          <cell r="T5">
            <v>4.1499999999999995E-2</v>
          </cell>
          <cell r="U5">
            <v>3.6999999999999998E-2</v>
          </cell>
          <cell r="V5">
            <v>3.6999999999999998E-2</v>
          </cell>
          <cell r="W5">
            <v>4.3499999999999997E-2</v>
          </cell>
          <cell r="X5">
            <v>4.2499999999999996E-2</v>
          </cell>
          <cell r="Y5">
            <v>3.85E-2</v>
          </cell>
          <cell r="Z5">
            <v>3.6999999999999998E-2</v>
          </cell>
          <cell r="AA5">
            <v>3.6999999999999998E-2</v>
          </cell>
          <cell r="AB5">
            <v>3.6999999999999998E-2</v>
          </cell>
          <cell r="AC5">
            <v>4.3499999999999997E-2</v>
          </cell>
          <cell r="AD5">
            <v>4.1499999999999995E-2</v>
          </cell>
          <cell r="AE5">
            <v>4.7500000000000001E-2</v>
          </cell>
          <cell r="AF5">
            <v>4.1499999999999995E-2</v>
          </cell>
          <cell r="AG5">
            <v>4.1499999999999995E-2</v>
          </cell>
        </row>
        <row r="6">
          <cell r="B6">
            <v>37582</v>
          </cell>
          <cell r="C6">
            <v>3.6999999999999998E-2</v>
          </cell>
          <cell r="D6">
            <v>4.5999999999999999E-2</v>
          </cell>
          <cell r="E6">
            <v>3.9E-2</v>
          </cell>
          <cell r="F6">
            <v>4.0999999999999995E-2</v>
          </cell>
          <cell r="G6">
            <v>4.3999999999999997E-2</v>
          </cell>
          <cell r="H6">
            <v>3.85E-2</v>
          </cell>
          <cell r="I6">
            <v>3.6999999999999998E-2</v>
          </cell>
          <cell r="J6">
            <v>4.3999999999999997E-2</v>
          </cell>
          <cell r="K6">
            <v>4.3999999999999997E-2</v>
          </cell>
          <cell r="L6">
            <v>3.85E-2</v>
          </cell>
          <cell r="M6">
            <v>4.5999999999999999E-2</v>
          </cell>
          <cell r="N6">
            <v>3.6999999999999998E-2</v>
          </cell>
          <cell r="O6">
            <v>4.7E-2</v>
          </cell>
          <cell r="P6">
            <v>4.7E-2</v>
          </cell>
          <cell r="Q6">
            <v>4.7E-2</v>
          </cell>
          <cell r="R6">
            <v>4.4999999999999998E-2</v>
          </cell>
          <cell r="S6">
            <v>3.6999999999999998E-2</v>
          </cell>
          <cell r="T6">
            <v>4.3999999999999997E-2</v>
          </cell>
          <cell r="U6">
            <v>3.85E-2</v>
          </cell>
          <cell r="V6">
            <v>3.85E-2</v>
          </cell>
          <cell r="W6">
            <v>4.7E-2</v>
          </cell>
          <cell r="X6">
            <v>4.4999999999999998E-2</v>
          </cell>
          <cell r="Y6">
            <v>4.0999999999999995E-2</v>
          </cell>
          <cell r="Z6">
            <v>3.85E-2</v>
          </cell>
          <cell r="AA6">
            <v>3.85E-2</v>
          </cell>
          <cell r="AB6">
            <v>3.9E-2</v>
          </cell>
          <cell r="AC6">
            <v>4.7E-2</v>
          </cell>
          <cell r="AD6">
            <v>4.3999999999999997E-2</v>
          </cell>
          <cell r="AE6">
            <v>5.0499999999999996E-2</v>
          </cell>
          <cell r="AF6">
            <v>4.3999999999999997E-2</v>
          </cell>
          <cell r="AG6">
            <v>4.3999999999999997E-2</v>
          </cell>
        </row>
        <row r="7">
          <cell r="B7">
            <v>37764</v>
          </cell>
          <cell r="C7">
            <v>3.7999999999999999E-2</v>
          </cell>
          <cell r="D7">
            <v>0.05</v>
          </cell>
          <cell r="E7">
            <v>4.1000000000000002E-2</v>
          </cell>
          <cell r="F7">
            <v>4.2499999999999996E-2</v>
          </cell>
          <cell r="G7">
            <v>4.8000000000000001E-2</v>
          </cell>
          <cell r="H7">
            <v>3.95E-2</v>
          </cell>
          <cell r="I7">
            <v>3.7999999999999999E-2</v>
          </cell>
          <cell r="J7">
            <v>4.8000000000000001E-2</v>
          </cell>
          <cell r="K7">
            <v>4.8000000000000001E-2</v>
          </cell>
          <cell r="L7">
            <v>3.95E-2</v>
          </cell>
          <cell r="M7">
            <v>4.9000000000000002E-2</v>
          </cell>
          <cell r="N7">
            <v>3.7999999999999999E-2</v>
          </cell>
          <cell r="O7">
            <v>0.05</v>
          </cell>
          <cell r="P7">
            <v>0.05</v>
          </cell>
          <cell r="Q7">
            <v>0.05</v>
          </cell>
          <cell r="R7">
            <v>4.8000000000000001E-2</v>
          </cell>
          <cell r="S7">
            <v>3.7999999999999999E-2</v>
          </cell>
          <cell r="T7">
            <v>4.8000000000000001E-2</v>
          </cell>
          <cell r="U7">
            <v>3.95E-2</v>
          </cell>
          <cell r="V7">
            <v>3.95E-2</v>
          </cell>
          <cell r="W7">
            <v>0.05</v>
          </cell>
          <cell r="X7">
            <v>4.7E-2</v>
          </cell>
          <cell r="Y7">
            <v>4.2999999999999997E-2</v>
          </cell>
          <cell r="Z7">
            <v>3.95E-2</v>
          </cell>
          <cell r="AA7">
            <v>3.95E-2</v>
          </cell>
          <cell r="AB7">
            <v>4.1000000000000002E-2</v>
          </cell>
          <cell r="AC7">
            <v>4.9000000000000002E-2</v>
          </cell>
          <cell r="AD7">
            <v>4.6199999999999998E-2</v>
          </cell>
          <cell r="AE7">
            <v>5.2999999999999999E-2</v>
          </cell>
          <cell r="AF7">
            <v>4.6199999999999998E-2</v>
          </cell>
          <cell r="AG7">
            <v>4.6199999999999998E-2</v>
          </cell>
        </row>
        <row r="8">
          <cell r="B8">
            <v>37765</v>
          </cell>
          <cell r="C8">
            <v>3.8529785704160657E-2</v>
          </cell>
          <cell r="D8">
            <v>5.0529785704160654E-2</v>
          </cell>
          <cell r="E8">
            <v>4.152978570416066E-2</v>
          </cell>
          <cell r="F8">
            <v>4.3029785704160654E-2</v>
          </cell>
          <cell r="G8">
            <v>4.8529785704160659E-2</v>
          </cell>
          <cell r="H8">
            <v>4.0029785704160659E-2</v>
          </cell>
          <cell r="I8">
            <v>3.8529785704160657E-2</v>
          </cell>
          <cell r="J8">
            <v>4.8529785704160659E-2</v>
          </cell>
          <cell r="K8">
            <v>4.8529785704160659E-2</v>
          </cell>
          <cell r="L8">
            <v>4.0029785704160659E-2</v>
          </cell>
          <cell r="M8">
            <v>4.9529785704160653E-2</v>
          </cell>
          <cell r="N8">
            <v>3.8529785704160657E-2</v>
          </cell>
          <cell r="O8">
            <v>5.0529785704160654E-2</v>
          </cell>
          <cell r="P8">
            <v>5.0529785704160654E-2</v>
          </cell>
          <cell r="Q8">
            <v>5.0529785704160654E-2</v>
          </cell>
          <cell r="R8">
            <v>4.8529785704160659E-2</v>
          </cell>
          <cell r="S8">
            <v>3.8529785704160657E-2</v>
          </cell>
          <cell r="T8">
            <v>4.8529785704160659E-2</v>
          </cell>
          <cell r="U8">
            <v>4.0029785704160659E-2</v>
          </cell>
          <cell r="V8">
            <v>4.0029785704160659E-2</v>
          </cell>
          <cell r="W8">
            <v>5.0529785704160654E-2</v>
          </cell>
          <cell r="X8">
            <v>4.7529785704160658E-2</v>
          </cell>
          <cell r="Y8">
            <v>4.3529785704160655E-2</v>
          </cell>
          <cell r="Z8">
            <v>4.0029785704160659E-2</v>
          </cell>
          <cell r="AA8">
            <v>4.0029785704160659E-2</v>
          </cell>
          <cell r="AB8">
            <v>4.152978570416066E-2</v>
          </cell>
          <cell r="AC8">
            <v>4.9529785704160653E-2</v>
          </cell>
          <cell r="AD8">
            <v>4.6729785704160656E-2</v>
          </cell>
          <cell r="AE8">
            <v>5.3529785704160657E-2</v>
          </cell>
          <cell r="AF8">
            <v>4.6729785704160656E-2</v>
          </cell>
          <cell r="AG8">
            <v>4.6729785704160656E-2</v>
          </cell>
        </row>
        <row r="9">
          <cell r="B9">
            <v>38131</v>
          </cell>
          <cell r="C9">
            <v>4.7500000000000001E-2</v>
          </cell>
          <cell r="D9">
            <v>6.0499999999999998E-2</v>
          </cell>
          <cell r="E9">
            <v>5.1500000000000004E-2</v>
          </cell>
          <cell r="F9">
            <v>5.2499999999999998E-2</v>
          </cell>
          <cell r="G9">
            <v>5.9499999999999997E-2</v>
          </cell>
          <cell r="H9">
            <v>4.9000000000000002E-2</v>
          </cell>
          <cell r="I9">
            <v>4.7500000000000001E-2</v>
          </cell>
          <cell r="J9">
            <v>5.9400000000000001E-2</v>
          </cell>
          <cell r="K9">
            <v>5.9400000000000001E-2</v>
          </cell>
          <cell r="L9">
            <v>4.9000000000000002E-2</v>
          </cell>
          <cell r="M9">
            <v>6.0499999999999998E-2</v>
          </cell>
          <cell r="N9">
            <v>4.7500000000000001E-2</v>
          </cell>
          <cell r="O9">
            <v>6.1499999999999999E-2</v>
          </cell>
          <cell r="P9">
            <v>6.1499999999999999E-2</v>
          </cell>
          <cell r="Q9">
            <v>6.1499999999999999E-2</v>
          </cell>
          <cell r="R9">
            <v>5.8499999999999996E-2</v>
          </cell>
          <cell r="S9">
            <v>4.7500000000000001E-2</v>
          </cell>
          <cell r="T9">
            <v>5.91E-2</v>
          </cell>
          <cell r="U9">
            <v>4.9000000000000002E-2</v>
          </cell>
          <cell r="V9">
            <v>4.9000000000000002E-2</v>
          </cell>
          <cell r="W9">
            <v>6.1499999999999999E-2</v>
          </cell>
          <cell r="X9">
            <v>5.7000000000000002E-2</v>
          </cell>
          <cell r="Y9">
            <v>5.3499999999999999E-2</v>
          </cell>
          <cell r="Z9">
            <v>4.9000000000000002E-2</v>
          </cell>
          <cell r="AA9">
            <v>4.9000000000000002E-2</v>
          </cell>
          <cell r="AB9">
            <v>5.1500000000000004E-2</v>
          </cell>
          <cell r="AC9">
            <v>5.9499999999999997E-2</v>
          </cell>
          <cell r="AD9">
            <v>5.6899999999999999E-2</v>
          </cell>
          <cell r="AE9">
            <v>6.4000000000000001E-2</v>
          </cell>
          <cell r="AF9">
            <v>5.6899999999999999E-2</v>
          </cell>
          <cell r="AG9">
            <v>5.6899999999999999E-2</v>
          </cell>
        </row>
        <row r="10">
          <cell r="B10">
            <v>38496</v>
          </cell>
          <cell r="C10">
            <v>5.1299999999999998E-2</v>
          </cell>
          <cell r="D10">
            <v>6.6900000000000001E-2</v>
          </cell>
          <cell r="E10">
            <v>5.1299999999999998E-2</v>
          </cell>
          <cell r="F10">
            <v>5.6799999999999996E-2</v>
          </cell>
          <cell r="G10">
            <v>6.5099999999999991E-2</v>
          </cell>
          <cell r="H10">
            <v>5.28E-2</v>
          </cell>
          <cell r="I10">
            <v>5.1299999999999998E-2</v>
          </cell>
          <cell r="J10">
            <v>6.5099999999999991E-2</v>
          </cell>
          <cell r="K10">
            <v>6.5099999999999991E-2</v>
          </cell>
          <cell r="L10">
            <v>5.28E-2</v>
          </cell>
          <cell r="M10">
            <v>6.6699999999999995E-2</v>
          </cell>
          <cell r="N10">
            <v>5.1299999999999998E-2</v>
          </cell>
          <cell r="O10">
            <v>6.6299999999999998E-2</v>
          </cell>
          <cell r="P10">
            <v>6.6299999999999998E-2</v>
          </cell>
          <cell r="Q10">
            <v>6.6299999999999998E-2</v>
          </cell>
          <cell r="R10">
            <v>6.3299999999999995E-2</v>
          </cell>
          <cell r="S10">
            <v>5.1299999999999998E-2</v>
          </cell>
          <cell r="T10">
            <v>6.4599999999999991E-2</v>
          </cell>
          <cell r="U10">
            <v>5.28E-2</v>
          </cell>
          <cell r="V10">
            <v>5.28E-2</v>
          </cell>
          <cell r="W10">
            <v>6.6299999999999998E-2</v>
          </cell>
          <cell r="X10">
            <v>6.1800000000000001E-2</v>
          </cell>
          <cell r="Y10">
            <v>5.1299999999999998E-2</v>
          </cell>
          <cell r="Z10">
            <v>5.28E-2</v>
          </cell>
          <cell r="AA10">
            <v>5.28E-2</v>
          </cell>
          <cell r="AB10">
            <v>5.1299999999999998E-2</v>
          </cell>
          <cell r="AC10">
            <v>6.3799999999999996E-2</v>
          </cell>
          <cell r="AD10">
            <v>6.2299999999999994E-2</v>
          </cell>
          <cell r="AE10">
            <v>6.9000000000000006E-2</v>
          </cell>
          <cell r="AF10">
            <v>6.2299999999999994E-2</v>
          </cell>
          <cell r="AG10">
            <v>6.2299999999999994E-2</v>
          </cell>
        </row>
        <row r="11">
          <cell r="B11">
            <v>38861</v>
          </cell>
          <cell r="C11">
            <v>5.5100000000000003E-2</v>
          </cell>
          <cell r="D11">
            <v>7.1900000000000006E-2</v>
          </cell>
          <cell r="E11">
            <v>5.5100000000000003E-2</v>
          </cell>
          <cell r="F11">
            <v>6.1600000000000002E-2</v>
          </cell>
          <cell r="G11">
            <v>7.0099999999999996E-2</v>
          </cell>
          <cell r="H11">
            <v>5.6600000000000004E-2</v>
          </cell>
          <cell r="I11">
            <v>5.5100000000000003E-2</v>
          </cell>
          <cell r="J11">
            <v>7.0699999999999999E-2</v>
          </cell>
          <cell r="K11">
            <v>7.0699999999999999E-2</v>
          </cell>
          <cell r="L11">
            <v>5.6600000000000004E-2</v>
          </cell>
          <cell r="M11">
            <v>5.5100000000000003E-2</v>
          </cell>
          <cell r="N11">
            <v>5.5100000000000003E-2</v>
          </cell>
          <cell r="O11">
            <v>7.1099999999999997E-2</v>
          </cell>
          <cell r="P11">
            <v>7.1099999999999997E-2</v>
          </cell>
          <cell r="Q11">
            <v>7.0900000000000005E-2</v>
          </cell>
          <cell r="R11">
            <v>5.5100000000000003E-2</v>
          </cell>
          <cell r="S11">
            <v>5.5100000000000003E-2</v>
          </cell>
          <cell r="T11">
            <v>7.0000000000000007E-2</v>
          </cell>
          <cell r="U11">
            <v>5.6600000000000004E-2</v>
          </cell>
          <cell r="V11">
            <v>5.6600000000000004E-2</v>
          </cell>
          <cell r="W11">
            <v>7.0599999999999996E-2</v>
          </cell>
          <cell r="X11">
            <v>6.6100000000000006E-2</v>
          </cell>
          <cell r="Y11">
            <v>5.5100000000000003E-2</v>
          </cell>
          <cell r="Z11">
            <v>5.6600000000000004E-2</v>
          </cell>
          <cell r="AA11">
            <v>5.6600000000000004E-2</v>
          </cell>
          <cell r="AB11">
            <v>5.5100000000000003E-2</v>
          </cell>
          <cell r="AC11">
            <v>6.88E-2</v>
          </cell>
          <cell r="AD11">
            <v>6.7100000000000007E-2</v>
          </cell>
          <cell r="AE11">
            <v>5.5100000000000003E-2</v>
          </cell>
          <cell r="AF11">
            <v>6.7100000000000007E-2</v>
          </cell>
          <cell r="AG11">
            <v>6.7100000000000007E-2</v>
          </cell>
        </row>
        <row r="12">
          <cell r="B12">
            <v>39226</v>
          </cell>
          <cell r="C12">
            <v>5.8900000000000001E-2</v>
          </cell>
          <cell r="D12">
            <v>7.6899999999999996E-2</v>
          </cell>
          <cell r="E12">
            <v>5.8900000000000001E-2</v>
          </cell>
          <cell r="F12">
            <v>6.6400000000000001E-2</v>
          </cell>
          <cell r="G12">
            <v>7.5399999999999995E-2</v>
          </cell>
          <cell r="H12">
            <v>6.0400000000000002E-2</v>
          </cell>
          <cell r="I12">
            <v>5.8900000000000001E-2</v>
          </cell>
          <cell r="J12">
            <v>7.6399999999999996E-2</v>
          </cell>
          <cell r="K12">
            <v>7.6399999999999996E-2</v>
          </cell>
          <cell r="L12">
            <v>6.0400000000000002E-2</v>
          </cell>
          <cell r="M12">
            <v>5.8900000000000001E-2</v>
          </cell>
          <cell r="N12">
            <v>5.8900000000000001E-2</v>
          </cell>
          <cell r="O12">
            <v>7.5899999999999995E-2</v>
          </cell>
          <cell r="P12">
            <v>7.5899999999999995E-2</v>
          </cell>
          <cell r="Q12">
            <v>7.5399999999999995E-2</v>
          </cell>
          <cell r="R12">
            <v>5.8900000000000001E-2</v>
          </cell>
          <cell r="S12">
            <v>5.8900000000000001E-2</v>
          </cell>
          <cell r="T12">
            <v>7.5399999999999995E-2</v>
          </cell>
          <cell r="U12">
            <v>6.0400000000000002E-2</v>
          </cell>
          <cell r="V12">
            <v>6.0400000000000002E-2</v>
          </cell>
          <cell r="W12">
            <v>7.4899999999999994E-2</v>
          </cell>
          <cell r="X12">
            <v>7.0400000000000004E-2</v>
          </cell>
          <cell r="Y12">
            <v>5.8900000000000001E-2</v>
          </cell>
          <cell r="Z12">
            <v>6.0400000000000002E-2</v>
          </cell>
          <cell r="AA12">
            <v>6.0400000000000002E-2</v>
          </cell>
          <cell r="AB12">
            <v>5.8900000000000001E-2</v>
          </cell>
          <cell r="AC12">
            <v>7.3999999999999996E-2</v>
          </cell>
          <cell r="AD12">
            <v>7.1900000000000006E-2</v>
          </cell>
          <cell r="AE12">
            <v>5.8900000000000001E-2</v>
          </cell>
          <cell r="AF12">
            <v>7.1900000000000006E-2</v>
          </cell>
          <cell r="AG12">
            <v>7.1900000000000006E-2</v>
          </cell>
        </row>
        <row r="13">
          <cell r="B13">
            <v>39592</v>
          </cell>
          <cell r="C13">
            <v>6.0322331691297207E-2</v>
          </cell>
          <cell r="D13">
            <v>6.0322331691297207E-2</v>
          </cell>
          <cell r="E13">
            <v>6.0322331691297207E-2</v>
          </cell>
          <cell r="F13">
            <v>6.9122331691297209E-2</v>
          </cell>
          <cell r="G13">
            <v>7.8022331691297214E-2</v>
          </cell>
          <cell r="H13">
            <v>6.1822331691297208E-2</v>
          </cell>
          <cell r="I13">
            <v>6.0322331691297207E-2</v>
          </cell>
          <cell r="J13">
            <v>7.9122331691297204E-2</v>
          </cell>
          <cell r="K13">
            <v>7.9122331691297204E-2</v>
          </cell>
          <cell r="L13">
            <v>6.1822331691297208E-2</v>
          </cell>
          <cell r="M13">
            <v>6.0322331691297207E-2</v>
          </cell>
          <cell r="N13">
            <v>6.0322331691297207E-2</v>
          </cell>
          <cell r="O13">
            <v>6.0322331691297207E-2</v>
          </cell>
          <cell r="P13">
            <v>6.0322331691297207E-2</v>
          </cell>
          <cell r="Q13">
            <v>6.0322331691297207E-2</v>
          </cell>
          <cell r="R13">
            <v>6.0322331691297207E-2</v>
          </cell>
          <cell r="S13">
            <v>6.0322331691297207E-2</v>
          </cell>
          <cell r="T13">
            <v>7.8022331691297214E-2</v>
          </cell>
          <cell r="U13">
            <v>6.1822331691297208E-2</v>
          </cell>
          <cell r="V13">
            <v>6.1822331691297208E-2</v>
          </cell>
          <cell r="W13">
            <v>7.6822331691297208E-2</v>
          </cell>
          <cell r="X13">
            <v>7.3322331691297205E-2</v>
          </cell>
          <cell r="Y13">
            <v>6.0322331691297207E-2</v>
          </cell>
          <cell r="Z13">
            <v>6.1822331691297208E-2</v>
          </cell>
          <cell r="AA13">
            <v>6.1822331691297208E-2</v>
          </cell>
          <cell r="AB13">
            <v>6.0322331691297207E-2</v>
          </cell>
          <cell r="AC13">
            <v>6.0322331691297207E-2</v>
          </cell>
          <cell r="AD13">
            <v>7.4322331691297205E-2</v>
          </cell>
          <cell r="AE13">
            <v>6.0322331691297207E-2</v>
          </cell>
          <cell r="AF13">
            <v>7.4322331691297205E-2</v>
          </cell>
          <cell r="AG13">
            <v>7.4322331691297205E-2</v>
          </cell>
        </row>
        <row r="14">
          <cell r="B14">
            <v>39957</v>
          </cell>
          <cell r="C14">
            <v>6.1740777230432406E-2</v>
          </cell>
          <cell r="D14">
            <v>6.1740777230432406E-2</v>
          </cell>
          <cell r="E14">
            <v>6.1740777230432406E-2</v>
          </cell>
          <cell r="F14">
            <v>7.1740777230432401E-2</v>
          </cell>
          <cell r="G14">
            <v>8.0540777230432403E-2</v>
          </cell>
          <cell r="H14">
            <v>6.3240777230432407E-2</v>
          </cell>
          <cell r="I14">
            <v>6.1740777230432406E-2</v>
          </cell>
          <cell r="J14">
            <v>8.174077723043241E-2</v>
          </cell>
          <cell r="K14">
            <v>8.174077723043241E-2</v>
          </cell>
          <cell r="L14">
            <v>6.3240777230432407E-2</v>
          </cell>
          <cell r="M14">
            <v>6.1740777230432406E-2</v>
          </cell>
          <cell r="N14">
            <v>6.1740777230432406E-2</v>
          </cell>
          <cell r="O14">
            <v>6.1740777230432406E-2</v>
          </cell>
          <cell r="P14">
            <v>6.1740777230432406E-2</v>
          </cell>
          <cell r="Q14">
            <v>6.1740777230432406E-2</v>
          </cell>
          <cell r="R14">
            <v>6.1740777230432406E-2</v>
          </cell>
          <cell r="S14">
            <v>6.1740777230432406E-2</v>
          </cell>
          <cell r="T14">
            <v>8.0540777230432403E-2</v>
          </cell>
          <cell r="U14">
            <v>6.3240777230432407E-2</v>
          </cell>
          <cell r="V14">
            <v>6.3240777230432407E-2</v>
          </cell>
          <cell r="W14">
            <v>7.8740777230432407E-2</v>
          </cell>
          <cell r="X14">
            <v>7.6740777230432405E-2</v>
          </cell>
          <cell r="Y14">
            <v>6.1740777230432406E-2</v>
          </cell>
          <cell r="Z14">
            <v>6.3240777230432407E-2</v>
          </cell>
          <cell r="AA14">
            <v>6.3240777230432407E-2</v>
          </cell>
          <cell r="AB14">
            <v>6.1740777230432406E-2</v>
          </cell>
          <cell r="AC14">
            <v>6.1740777230432406E-2</v>
          </cell>
          <cell r="AD14">
            <v>7.6740777230432405E-2</v>
          </cell>
          <cell r="AE14">
            <v>6.1740777230432406E-2</v>
          </cell>
          <cell r="AF14">
            <v>7.6740777230432405E-2</v>
          </cell>
          <cell r="AG14">
            <v>7.6740777230432405E-2</v>
          </cell>
        </row>
        <row r="15">
          <cell r="B15">
            <v>40322</v>
          </cell>
          <cell r="C15">
            <v>6.3159222769567605E-2</v>
          </cell>
          <cell r="D15">
            <v>6.3159222769567605E-2</v>
          </cell>
          <cell r="E15">
            <v>6.3159222769567605E-2</v>
          </cell>
          <cell r="F15">
            <v>6.3159222769567605E-2</v>
          </cell>
          <cell r="G15">
            <v>8.3159222769567609E-2</v>
          </cell>
          <cell r="H15">
            <v>6.4659222769567606E-2</v>
          </cell>
          <cell r="I15">
            <v>6.3159222769567605E-2</v>
          </cell>
          <cell r="J15">
            <v>8.4459222769567605E-2</v>
          </cell>
          <cell r="K15">
            <v>8.4459222769567605E-2</v>
          </cell>
          <cell r="L15">
            <v>6.4659222769567606E-2</v>
          </cell>
          <cell r="M15">
            <v>6.3159222769567605E-2</v>
          </cell>
          <cell r="N15">
            <v>6.3159222769567605E-2</v>
          </cell>
          <cell r="O15">
            <v>6.3159222769567605E-2</v>
          </cell>
          <cell r="P15">
            <v>6.3159222769567605E-2</v>
          </cell>
          <cell r="Q15">
            <v>6.3159222769567605E-2</v>
          </cell>
          <cell r="R15">
            <v>6.3159222769567605E-2</v>
          </cell>
          <cell r="S15">
            <v>6.3159222769567605E-2</v>
          </cell>
          <cell r="T15">
            <v>8.3159222769567609E-2</v>
          </cell>
          <cell r="U15">
            <v>6.4659222769567606E-2</v>
          </cell>
          <cell r="V15">
            <v>6.4659222769567606E-2</v>
          </cell>
          <cell r="W15">
            <v>6.3159222769567605E-2</v>
          </cell>
          <cell r="X15">
            <v>6.3159222769567605E-2</v>
          </cell>
          <cell r="Y15">
            <v>6.3159222769567605E-2</v>
          </cell>
          <cell r="Z15">
            <v>6.4659222769567606E-2</v>
          </cell>
          <cell r="AA15">
            <v>6.4659222769567606E-2</v>
          </cell>
          <cell r="AB15">
            <v>6.3159222769567605E-2</v>
          </cell>
          <cell r="AC15">
            <v>6.3159222769567605E-2</v>
          </cell>
          <cell r="AD15">
            <v>6.3159222769567605E-2</v>
          </cell>
          <cell r="AE15">
            <v>6.3159222769567605E-2</v>
          </cell>
          <cell r="AF15">
            <v>6.3159222769567605E-2</v>
          </cell>
          <cell r="AG15">
            <v>6.3159222769567605E-2</v>
          </cell>
        </row>
        <row r="16">
          <cell r="B16">
            <v>40687</v>
          </cell>
          <cell r="C16">
            <v>6.457766830870279E-2</v>
          </cell>
          <cell r="D16">
            <v>6.457766830870279E-2</v>
          </cell>
          <cell r="E16">
            <v>6.457766830870279E-2</v>
          </cell>
          <cell r="F16">
            <v>6.457766830870279E-2</v>
          </cell>
          <cell r="G16">
            <v>8.5677668308702798E-2</v>
          </cell>
          <cell r="H16">
            <v>6.6077668308702792E-2</v>
          </cell>
          <cell r="I16">
            <v>6.457766830870279E-2</v>
          </cell>
          <cell r="J16">
            <v>8.7077668308702783E-2</v>
          </cell>
          <cell r="K16">
            <v>8.7077668308702783E-2</v>
          </cell>
          <cell r="L16">
            <v>6.6077668308702792E-2</v>
          </cell>
          <cell r="M16">
            <v>6.457766830870279E-2</v>
          </cell>
          <cell r="N16">
            <v>6.457766830870279E-2</v>
          </cell>
          <cell r="O16">
            <v>6.457766830870279E-2</v>
          </cell>
          <cell r="P16">
            <v>6.457766830870279E-2</v>
          </cell>
          <cell r="Q16">
            <v>6.457766830870279E-2</v>
          </cell>
          <cell r="R16">
            <v>6.457766830870279E-2</v>
          </cell>
          <cell r="S16">
            <v>6.457766830870279E-2</v>
          </cell>
          <cell r="T16">
            <v>8.5677668308702798E-2</v>
          </cell>
          <cell r="U16">
            <v>6.6077668308702792E-2</v>
          </cell>
          <cell r="V16">
            <v>6.6077668308702792E-2</v>
          </cell>
          <cell r="W16">
            <v>6.457766830870279E-2</v>
          </cell>
          <cell r="X16">
            <v>6.457766830870279E-2</v>
          </cell>
          <cell r="Y16">
            <v>6.457766830870279E-2</v>
          </cell>
          <cell r="Z16">
            <v>6.6077668308702792E-2</v>
          </cell>
          <cell r="AA16">
            <v>6.6077668308702792E-2</v>
          </cell>
          <cell r="AB16">
            <v>6.457766830870279E-2</v>
          </cell>
          <cell r="AC16">
            <v>6.457766830870279E-2</v>
          </cell>
          <cell r="AD16">
            <v>6.457766830870279E-2</v>
          </cell>
          <cell r="AE16">
            <v>6.457766830870279E-2</v>
          </cell>
          <cell r="AF16">
            <v>6.457766830870279E-2</v>
          </cell>
          <cell r="AG16">
            <v>6.457766830870279E-2</v>
          </cell>
        </row>
        <row r="17">
          <cell r="B17">
            <v>41053</v>
          </cell>
          <cell r="C17">
            <v>6.6000000000000003E-2</v>
          </cell>
          <cell r="D17">
            <v>6.6000000000000003E-2</v>
          </cell>
          <cell r="E17">
            <v>6.6000000000000003E-2</v>
          </cell>
          <cell r="F17">
            <v>6.6000000000000003E-2</v>
          </cell>
          <cell r="G17">
            <v>8.8300000000000003E-2</v>
          </cell>
          <cell r="H17">
            <v>6.7500000000000004E-2</v>
          </cell>
          <cell r="I17">
            <v>6.6000000000000003E-2</v>
          </cell>
          <cell r="J17">
            <v>8.9800000000000005E-2</v>
          </cell>
          <cell r="K17">
            <v>8.9800000000000005E-2</v>
          </cell>
          <cell r="L17">
            <v>6.7500000000000004E-2</v>
          </cell>
          <cell r="M17">
            <v>6.6000000000000003E-2</v>
          </cell>
          <cell r="N17">
            <v>6.6000000000000003E-2</v>
          </cell>
          <cell r="O17">
            <v>6.6000000000000003E-2</v>
          </cell>
          <cell r="P17">
            <v>6.6000000000000003E-2</v>
          </cell>
          <cell r="Q17">
            <v>6.6000000000000003E-2</v>
          </cell>
          <cell r="R17">
            <v>6.6000000000000003E-2</v>
          </cell>
          <cell r="S17">
            <v>6.6000000000000003E-2</v>
          </cell>
          <cell r="T17">
            <v>8.8300000000000003E-2</v>
          </cell>
          <cell r="U17">
            <v>6.7500000000000004E-2</v>
          </cell>
          <cell r="V17">
            <v>6.7500000000000004E-2</v>
          </cell>
          <cell r="W17">
            <v>6.6000000000000003E-2</v>
          </cell>
          <cell r="X17">
            <v>6.6000000000000003E-2</v>
          </cell>
          <cell r="Y17">
            <v>6.6000000000000003E-2</v>
          </cell>
          <cell r="Z17">
            <v>6.7500000000000004E-2</v>
          </cell>
          <cell r="AA17">
            <v>6.7500000000000004E-2</v>
          </cell>
          <cell r="AB17">
            <v>6.6000000000000003E-2</v>
          </cell>
          <cell r="AC17">
            <v>6.6000000000000003E-2</v>
          </cell>
          <cell r="AD17">
            <v>6.6000000000000003E-2</v>
          </cell>
          <cell r="AE17">
            <v>6.6000000000000003E-2</v>
          </cell>
          <cell r="AF17">
            <v>6.6000000000000003E-2</v>
          </cell>
          <cell r="AG17">
            <v>6.6000000000000003E-2</v>
          </cell>
        </row>
        <row r="18">
          <cell r="B18">
            <v>41418</v>
          </cell>
          <cell r="C18">
            <v>6.6979463307776571E-2</v>
          </cell>
          <cell r="D18">
            <v>6.6979463307776571E-2</v>
          </cell>
          <cell r="E18">
            <v>6.6979463307776571E-2</v>
          </cell>
          <cell r="F18">
            <v>6.6979463307776571E-2</v>
          </cell>
          <cell r="G18">
            <v>9.0379463307776575E-2</v>
          </cell>
          <cell r="H18">
            <v>6.8479463307776572E-2</v>
          </cell>
          <cell r="I18">
            <v>6.6979463307776571E-2</v>
          </cell>
          <cell r="J18">
            <v>9.1979463307776566E-2</v>
          </cell>
          <cell r="K18">
            <v>9.1979463307776566E-2</v>
          </cell>
          <cell r="L18">
            <v>6.8479463307776572E-2</v>
          </cell>
          <cell r="M18">
            <v>6.6979463307776571E-2</v>
          </cell>
          <cell r="N18">
            <v>6.6979463307776571E-2</v>
          </cell>
          <cell r="O18">
            <v>6.6979463307776571E-2</v>
          </cell>
          <cell r="P18">
            <v>6.6979463307776571E-2</v>
          </cell>
          <cell r="Q18">
            <v>6.6979463307776571E-2</v>
          </cell>
          <cell r="R18">
            <v>6.6979463307776571E-2</v>
          </cell>
          <cell r="S18">
            <v>6.6979463307776571E-2</v>
          </cell>
          <cell r="T18">
            <v>9.0379463307776575E-2</v>
          </cell>
          <cell r="U18">
            <v>6.8479463307776572E-2</v>
          </cell>
          <cell r="V18">
            <v>6.8479463307776572E-2</v>
          </cell>
          <cell r="W18">
            <v>6.6979463307776571E-2</v>
          </cell>
          <cell r="X18">
            <v>6.6979463307776571E-2</v>
          </cell>
          <cell r="Y18">
            <v>6.6979463307776571E-2</v>
          </cell>
          <cell r="Z18">
            <v>6.8479463307776572E-2</v>
          </cell>
          <cell r="AA18">
            <v>6.8479463307776572E-2</v>
          </cell>
          <cell r="AB18">
            <v>6.6979463307776571E-2</v>
          </cell>
          <cell r="AC18">
            <v>6.6979463307776571E-2</v>
          </cell>
          <cell r="AD18">
            <v>6.6979463307776571E-2</v>
          </cell>
          <cell r="AE18">
            <v>6.6979463307776571E-2</v>
          </cell>
          <cell r="AF18">
            <v>6.6979463307776571E-2</v>
          </cell>
          <cell r="AG18">
            <v>6.6979463307776571E-2</v>
          </cell>
        </row>
        <row r="19">
          <cell r="B19">
            <v>41783</v>
          </cell>
          <cell r="C19">
            <v>6.7958926615553125E-2</v>
          </cell>
          <cell r="D19">
            <v>6.7958926615553125E-2</v>
          </cell>
          <cell r="E19">
            <v>6.7958926615553125E-2</v>
          </cell>
          <cell r="F19">
            <v>6.7958926615553125E-2</v>
          </cell>
          <cell r="G19">
            <v>9.2558926615553122E-2</v>
          </cell>
          <cell r="H19">
            <v>6.9458926615553127E-2</v>
          </cell>
          <cell r="I19">
            <v>6.7958926615553125E-2</v>
          </cell>
          <cell r="J19">
            <v>9.4258926615553129E-2</v>
          </cell>
          <cell r="K19">
            <v>9.4258926615553129E-2</v>
          </cell>
          <cell r="L19">
            <v>6.9458926615553127E-2</v>
          </cell>
          <cell r="M19">
            <v>6.7958926615553125E-2</v>
          </cell>
          <cell r="N19">
            <v>6.7958926615553125E-2</v>
          </cell>
          <cell r="O19">
            <v>6.7958926615553125E-2</v>
          </cell>
          <cell r="P19">
            <v>6.7958926615553125E-2</v>
          </cell>
          <cell r="Q19">
            <v>6.7958926615553125E-2</v>
          </cell>
          <cell r="R19">
            <v>6.7958926615553125E-2</v>
          </cell>
          <cell r="S19">
            <v>6.7958926615553125E-2</v>
          </cell>
          <cell r="T19">
            <v>9.2558926615553122E-2</v>
          </cell>
          <cell r="U19">
            <v>6.9458926615553127E-2</v>
          </cell>
          <cell r="V19">
            <v>6.9458926615553127E-2</v>
          </cell>
          <cell r="W19">
            <v>6.7958926615553125E-2</v>
          </cell>
          <cell r="X19">
            <v>6.7958926615553125E-2</v>
          </cell>
          <cell r="Y19">
            <v>6.7958926615553125E-2</v>
          </cell>
          <cell r="Z19">
            <v>6.9458926615553127E-2</v>
          </cell>
          <cell r="AA19">
            <v>6.9458926615553127E-2</v>
          </cell>
          <cell r="AB19">
            <v>6.7958926615553125E-2</v>
          </cell>
          <cell r="AC19">
            <v>6.7958926615553125E-2</v>
          </cell>
          <cell r="AD19">
            <v>6.7958926615553125E-2</v>
          </cell>
          <cell r="AE19">
            <v>6.7958926615553125E-2</v>
          </cell>
          <cell r="AF19">
            <v>6.7958926615553125E-2</v>
          </cell>
          <cell r="AG19">
            <v>6.7958926615553125E-2</v>
          </cell>
        </row>
        <row r="20">
          <cell r="B20">
            <v>42148</v>
          </cell>
          <cell r="C20">
            <v>6.8938389923329679E-2</v>
          </cell>
          <cell r="D20">
            <v>6.8938389923329679E-2</v>
          </cell>
          <cell r="E20">
            <v>6.8938389923329679E-2</v>
          </cell>
          <cell r="F20">
            <v>6.8938389923329679E-2</v>
          </cell>
          <cell r="G20">
            <v>9.463838992332968E-2</v>
          </cell>
          <cell r="H20">
            <v>7.0438389923329681E-2</v>
          </cell>
          <cell r="I20">
            <v>6.8938389923329679E-2</v>
          </cell>
          <cell r="J20">
            <v>9.6438389923329676E-2</v>
          </cell>
          <cell r="K20">
            <v>9.6438389923329676E-2</v>
          </cell>
          <cell r="L20">
            <v>7.0438389923329681E-2</v>
          </cell>
          <cell r="M20">
            <v>6.8938389923329679E-2</v>
          </cell>
          <cell r="N20">
            <v>6.8938389923329679E-2</v>
          </cell>
          <cell r="O20">
            <v>6.8938389923329679E-2</v>
          </cell>
          <cell r="P20">
            <v>6.8938389923329679E-2</v>
          </cell>
          <cell r="Q20">
            <v>6.8938389923329679E-2</v>
          </cell>
          <cell r="R20">
            <v>6.8938389923329679E-2</v>
          </cell>
          <cell r="S20">
            <v>6.8938389923329679E-2</v>
          </cell>
          <cell r="T20">
            <v>9.463838992332968E-2</v>
          </cell>
          <cell r="U20">
            <v>7.0438389923329681E-2</v>
          </cell>
          <cell r="V20">
            <v>7.0438389923329681E-2</v>
          </cell>
          <cell r="W20">
            <v>6.8938389923329679E-2</v>
          </cell>
          <cell r="X20">
            <v>6.8938389923329679E-2</v>
          </cell>
          <cell r="Y20">
            <v>6.8938389923329679E-2</v>
          </cell>
          <cell r="Z20">
            <v>7.0438389923329681E-2</v>
          </cell>
          <cell r="AA20">
            <v>7.0438389923329681E-2</v>
          </cell>
          <cell r="AB20">
            <v>6.8938389923329679E-2</v>
          </cell>
          <cell r="AC20">
            <v>6.8938389923329679E-2</v>
          </cell>
          <cell r="AD20">
            <v>6.8938389923329679E-2</v>
          </cell>
          <cell r="AE20">
            <v>6.8938389923329679E-2</v>
          </cell>
          <cell r="AF20">
            <v>6.8938389923329679E-2</v>
          </cell>
          <cell r="AG20">
            <v>6.8938389923329679E-2</v>
          </cell>
        </row>
        <row r="21">
          <cell r="B21">
            <v>42514</v>
          </cell>
          <cell r="C21">
            <v>6.9920536692223451E-2</v>
          </cell>
          <cell r="D21">
            <v>6.9920536692223451E-2</v>
          </cell>
          <cell r="E21">
            <v>6.9920536692223451E-2</v>
          </cell>
          <cell r="F21">
            <v>6.9920536692223451E-2</v>
          </cell>
          <cell r="G21">
            <v>9.6820536692223458E-2</v>
          </cell>
          <cell r="H21">
            <v>7.1420536692223452E-2</v>
          </cell>
          <cell r="I21">
            <v>6.9920536692223451E-2</v>
          </cell>
          <cell r="J21">
            <v>9.8720536692223443E-2</v>
          </cell>
          <cell r="K21">
            <v>9.8720536692223443E-2</v>
          </cell>
          <cell r="L21">
            <v>7.1420536692223452E-2</v>
          </cell>
          <cell r="M21">
            <v>6.9920536692223451E-2</v>
          </cell>
          <cell r="N21">
            <v>6.9920536692223451E-2</v>
          </cell>
          <cell r="O21">
            <v>6.9920536692223451E-2</v>
          </cell>
          <cell r="P21">
            <v>6.9920536692223451E-2</v>
          </cell>
          <cell r="Q21">
            <v>6.9920536692223451E-2</v>
          </cell>
          <cell r="R21">
            <v>6.9920536692223451E-2</v>
          </cell>
          <cell r="S21">
            <v>6.9920536692223451E-2</v>
          </cell>
          <cell r="T21">
            <v>9.6820536692223458E-2</v>
          </cell>
          <cell r="U21">
            <v>7.1420536692223452E-2</v>
          </cell>
          <cell r="V21">
            <v>7.1420536692223452E-2</v>
          </cell>
          <cell r="W21">
            <v>6.9920536692223451E-2</v>
          </cell>
          <cell r="X21">
            <v>6.9920536692223451E-2</v>
          </cell>
          <cell r="Y21">
            <v>6.9920536692223451E-2</v>
          </cell>
          <cell r="Z21">
            <v>7.1420536692223452E-2</v>
          </cell>
          <cell r="AA21">
            <v>7.1420536692223452E-2</v>
          </cell>
          <cell r="AB21">
            <v>6.9920536692223451E-2</v>
          </cell>
          <cell r="AC21">
            <v>6.9920536692223451E-2</v>
          </cell>
          <cell r="AD21">
            <v>6.9920536692223451E-2</v>
          </cell>
          <cell r="AE21">
            <v>6.9920536692223451E-2</v>
          </cell>
          <cell r="AF21">
            <v>6.9920536692223451E-2</v>
          </cell>
          <cell r="AG21">
            <v>6.9920536692223451E-2</v>
          </cell>
        </row>
        <row r="22">
          <cell r="B22">
            <v>42879</v>
          </cell>
          <cell r="C22">
            <v>7.0900000000000005E-2</v>
          </cell>
          <cell r="D22">
            <v>7.0900000000000005E-2</v>
          </cell>
          <cell r="E22">
            <v>7.0900000000000005E-2</v>
          </cell>
          <cell r="F22">
            <v>7.0900000000000005E-2</v>
          </cell>
          <cell r="G22">
            <v>9.8900000000000002E-2</v>
          </cell>
          <cell r="H22">
            <v>7.2400000000000006E-2</v>
          </cell>
          <cell r="I22">
            <v>7.0900000000000005E-2</v>
          </cell>
          <cell r="J22">
            <v>0.1009</v>
          </cell>
          <cell r="K22">
            <v>0.1009</v>
          </cell>
          <cell r="L22">
            <v>7.2400000000000006E-2</v>
          </cell>
          <cell r="M22">
            <v>7.0900000000000005E-2</v>
          </cell>
          <cell r="N22">
            <v>7.0900000000000005E-2</v>
          </cell>
          <cell r="O22">
            <v>7.0900000000000005E-2</v>
          </cell>
          <cell r="P22">
            <v>7.0900000000000005E-2</v>
          </cell>
          <cell r="Q22">
            <v>7.0900000000000005E-2</v>
          </cell>
          <cell r="R22">
            <v>7.0900000000000005E-2</v>
          </cell>
          <cell r="S22">
            <v>7.0900000000000005E-2</v>
          </cell>
          <cell r="T22">
            <v>9.8900000000000002E-2</v>
          </cell>
          <cell r="U22">
            <v>7.2400000000000006E-2</v>
          </cell>
          <cell r="V22">
            <v>7.2400000000000006E-2</v>
          </cell>
          <cell r="W22">
            <v>7.0900000000000005E-2</v>
          </cell>
          <cell r="X22">
            <v>7.0900000000000005E-2</v>
          </cell>
          <cell r="Y22">
            <v>7.0900000000000005E-2</v>
          </cell>
          <cell r="Z22">
            <v>7.2400000000000006E-2</v>
          </cell>
          <cell r="AA22">
            <v>7.2400000000000006E-2</v>
          </cell>
          <cell r="AB22">
            <v>7.0900000000000005E-2</v>
          </cell>
          <cell r="AC22">
            <v>7.0900000000000005E-2</v>
          </cell>
          <cell r="AD22">
            <v>7.0900000000000005E-2</v>
          </cell>
          <cell r="AE22">
            <v>7.0900000000000005E-2</v>
          </cell>
          <cell r="AF22">
            <v>7.0900000000000005E-2</v>
          </cell>
          <cell r="AG22">
            <v>7.0900000000000005E-2</v>
          </cell>
        </row>
      </sheetData>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UX"/>
      <sheetName val="valorisation"/>
      <sheetName val="Valorisation ONCF"/>
      <sheetName val="Courbe_taux"/>
      <sheetName val="Feuil1"/>
      <sheetName val="FDG"/>
      <sheetName val="Courbe des taux"/>
      <sheetName val="IMP ATR"/>
      <sheetName val="PRE ATR"/>
      <sheetName val="PRE AMP"/>
      <sheetName val="imp AMP"/>
      <sheetName val="ONCF HEBDO"/>
      <sheetName val="CIH 2"/>
      <sheetName val="ODEP"/>
      <sheetName val="LYDEC"/>
      <sheetName val="imp TBL"/>
      <sheetName val="VALO TBL"/>
      <sheetName val="imp FCR"/>
      <sheetName val="VALO FCR"/>
      <sheetName val="imp CAT EQUIL"/>
      <sheetName val="VALO CAT EQUIL"/>
      <sheetName val="BSF "/>
      <sheetName val="Feuil2"/>
      <sheetName val="TX AMP"/>
      <sheetName val="TX ATR"/>
      <sheetName val="CIH"/>
      <sheetName val="CDM"/>
      <sheetName val="PRE CD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urbePrimaire"/>
      <sheetName val="Courbe Zéro Coupon"/>
      <sheetName val="CourbeZéroCoupon"/>
      <sheetName val="Pricer"/>
      <sheetName val="Feuil2"/>
      <sheetName val="Pricer_Mon_Oblg"/>
    </sheetNames>
    <sheetDataSet>
      <sheetData sheetId="0" refreshError="1"/>
      <sheetData sheetId="1" refreshError="1"/>
      <sheetData sheetId="2" refreshError="1"/>
      <sheetData sheetId="3" refreshError="1">
        <row r="7">
          <cell r="B7">
            <v>3.9199999999999999E-2</v>
          </cell>
        </row>
      </sheetData>
      <sheetData sheetId="4" refreshError="1"/>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1 &lt; 364 jrs"/>
      <sheetName val="365 jrs &lt; S2 &lt; 5 ans"/>
      <sheetName val="5 ans &lt; S3 &lt; 10 ans"/>
      <sheetName val="10 ans &lt; S4"/>
      <sheetName val="Courbe"/>
      <sheetName val="Synthèse"/>
      <sheetName val="Calculs"/>
      <sheetName val="Performances"/>
    </sheetNames>
    <sheetDataSet>
      <sheetData sheetId="0" refreshError="1"/>
      <sheetData sheetId="1" refreshError="1">
        <row r="11">
          <cell r="AH11">
            <v>0</v>
          </cell>
        </row>
      </sheetData>
      <sheetData sheetId="2" refreshError="1">
        <row r="11">
          <cell r="AH11">
            <v>0</v>
          </cell>
        </row>
      </sheetData>
      <sheetData sheetId="3" refreshError="1">
        <row r="11">
          <cell r="AH11">
            <v>0</v>
          </cell>
        </row>
      </sheetData>
      <sheetData sheetId="4" refreshError="1">
        <row r="1">
          <cell r="B1">
            <v>38260</v>
          </cell>
        </row>
        <row r="2">
          <cell r="B2">
            <v>38261</v>
          </cell>
        </row>
      </sheetData>
      <sheetData sheetId="5" refreshError="1"/>
      <sheetData sheetId="6" refreshError="1"/>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S DE VALO PROCEDURE"/>
      <sheetName val="Recap"/>
      <sheetName val="UPDATE_REUTERS"/>
      <sheetName val="XS2621506588"/>
      <sheetName val="XS2270577344"/>
      <sheetName val="XS3040573191"/>
      <sheetName val="XS3040572979"/>
      <sheetName val="XS1221677120"/>
      <sheetName val="XS2355149316"/>
      <sheetName val="XS2270576965"/>
      <sheetName val=" XS2595028700"/>
      <sheetName val="XS2595028452"/>
      <sheetName val="XS2270576619"/>
      <sheetName val="XS2810168737"/>
      <sheetName val="XS2810168810"/>
      <sheetName val="XS1061043367"/>
      <sheetName val="XS0864259717"/>
      <sheetName val="XS3041322051"/>
      <sheetName val="XS3041270664"/>
      <sheetName val="XS2080771806"/>
      <sheetName val="XS2239830222"/>
      <sheetName val="XS2239829216"/>
      <sheetName val="XS1061043011"/>
      <sheetName val="XS1079233810"/>
      <sheetName val="US912797FP74 "/>
      <sheetName val="XS0850020586"/>
      <sheetName val="Contrat Placement"/>
      <sheetName val="XS0998123037"/>
      <sheetName val="XS0546649822"/>
    </sheetNames>
    <sheetDataSet>
      <sheetData sheetId="0">
        <row r="16">
          <cell r="F16"/>
          <cell r="G16"/>
        </row>
        <row r="17">
          <cell r="F17"/>
          <cell r="G17"/>
        </row>
      </sheetData>
      <sheetData sheetId="1">
        <row r="9">
          <cell r="F9" t="str">
            <v>XS2080771806</v>
          </cell>
          <cell r="G9">
            <v>868.92</v>
          </cell>
        </row>
        <row r="10">
          <cell r="G10">
            <v>926.18</v>
          </cell>
        </row>
        <row r="11">
          <cell r="G11">
            <v>1013.48</v>
          </cell>
        </row>
        <row r="12">
          <cell r="G12">
            <v>872.71</v>
          </cell>
        </row>
        <row r="13">
          <cell r="G13">
            <v>1064.01</v>
          </cell>
        </row>
        <row r="14">
          <cell r="G14">
            <v>1021.23</v>
          </cell>
        </row>
        <row r="15">
          <cell r="G15">
            <v>967.46</v>
          </cell>
        </row>
        <row r="16">
          <cell r="G16">
            <v>933.51</v>
          </cell>
        </row>
        <row r="17">
          <cell r="G17">
            <v>1072.3399999999999</v>
          </cell>
        </row>
        <row r="18">
          <cell r="G18">
            <v>1095.71</v>
          </cell>
        </row>
        <row r="19">
          <cell r="G19">
            <v>1043.8399999999999</v>
          </cell>
        </row>
        <row r="20">
          <cell r="G20">
            <v>946.04</v>
          </cell>
        </row>
        <row r="21">
          <cell r="G21">
            <v>1043.42</v>
          </cell>
        </row>
        <row r="22">
          <cell r="G22">
            <v>1035.6199999999999</v>
          </cell>
        </row>
        <row r="23">
          <cell r="G23">
            <v>1040.17</v>
          </cell>
        </row>
        <row r="24">
          <cell r="G24">
            <v>1044.74</v>
          </cell>
        </row>
        <row r="25">
          <cell r="G25">
            <v>711.22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S DE VALO PROCEDURE"/>
      <sheetName val="Recap"/>
      <sheetName val="UPDATE_REUTERS"/>
      <sheetName val="XS2621506588"/>
      <sheetName val="XS2270577344"/>
      <sheetName val="XS3040573191"/>
      <sheetName val="XS3040572979"/>
      <sheetName val="XS1221677120"/>
      <sheetName val="XS2355149316"/>
      <sheetName val="XS2270576965"/>
      <sheetName val=" XS2595028700"/>
      <sheetName val="XS2595028452"/>
      <sheetName val="XS2270576619"/>
      <sheetName val="XS2810168737"/>
      <sheetName val="XS2810168810"/>
      <sheetName val="XS1061043367"/>
      <sheetName val="XS0864259717"/>
      <sheetName val="XS3041322051"/>
      <sheetName val="XS3041270664"/>
      <sheetName val="XS2080771806"/>
      <sheetName val="XS2239830222"/>
      <sheetName val="XS2239829216"/>
      <sheetName val="XS1061043011"/>
      <sheetName val="XS1079233810"/>
      <sheetName val="US912797FP74 "/>
      <sheetName val="XS0850020586"/>
      <sheetName val="Contrat Placement"/>
      <sheetName val="XS0998123037"/>
      <sheetName val="XS0546649822"/>
    </sheetNames>
    <sheetDataSet>
      <sheetData sheetId="0"/>
      <sheetData sheetId="1">
        <row r="10">
          <cell r="F10" t="str">
            <v>XS2355149316</v>
          </cell>
        </row>
        <row r="11">
          <cell r="F11" t="str">
            <v>XS2239830222</v>
          </cell>
        </row>
        <row r="12">
          <cell r="F12" t="str">
            <v>XS2270576965</v>
          </cell>
        </row>
        <row r="13">
          <cell r="F13" t="str">
            <v>XS2595028700</v>
          </cell>
        </row>
        <row r="14">
          <cell r="F14" t="str">
            <v>XS2595028452</v>
          </cell>
        </row>
        <row r="15">
          <cell r="F15" t="str">
            <v>XS2270576619</v>
          </cell>
        </row>
        <row r="16">
          <cell r="F16" t="str">
            <v>XS2239829216</v>
          </cell>
        </row>
        <row r="17">
          <cell r="F17" t="str">
            <v>XS2810168737</v>
          </cell>
        </row>
        <row r="18">
          <cell r="F18" t="str">
            <v>XS2810168810</v>
          </cell>
        </row>
        <row r="19">
          <cell r="F19" t="str">
            <v>XS1061043367</v>
          </cell>
        </row>
        <row r="20">
          <cell r="F20" t="str">
            <v>XS0864259717</v>
          </cell>
        </row>
        <row r="21">
          <cell r="F21" t="str">
            <v>XS3041322051</v>
          </cell>
        </row>
        <row r="22">
          <cell r="F22" t="str">
            <v>XS3041270664</v>
          </cell>
        </row>
        <row r="23">
          <cell r="F23" t="str">
            <v>XS3040573191</v>
          </cell>
        </row>
        <row r="24">
          <cell r="F24" t="str">
            <v>XS3040572979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uveau"/>
      <sheetName val="Valo Change"/>
    </sheetNames>
    <sheetDataSet>
      <sheetData sheetId="0">
        <row r="2">
          <cell r="F2">
            <v>10.8057</v>
          </cell>
        </row>
        <row r="3">
          <cell r="F3">
            <v>9.3188999999999993</v>
          </cell>
        </row>
        <row r="4">
          <cell r="F4">
            <v>5.8619999999999998E-2</v>
          </cell>
        </row>
        <row r="5">
          <cell r="F5">
            <v>6.7584</v>
          </cell>
        </row>
        <row r="6">
          <cell r="F6">
            <v>3.1903999999999999</v>
          </cell>
        </row>
        <row r="7">
          <cell r="F7">
            <v>1.0005999999999999</v>
          </cell>
        </row>
        <row r="8">
          <cell r="F8">
            <v>12.48</v>
          </cell>
        </row>
      </sheetData>
      <sheetData sheetId="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icer"/>
      <sheetName val="Courbe"/>
    </sheetNames>
    <sheetDataSet>
      <sheetData sheetId="0">
        <row r="10">
          <cell r="K10">
            <v>101.55060702210467</v>
          </cell>
        </row>
      </sheetData>
      <sheetData sheetId="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bligation" adjustColumnWidth="0" connectionId="1" xr16:uid="{00000000-0016-0000-0000-000000000000}" autoFormatId="16" applyNumberFormats="0" applyBorderFormats="0" applyFontFormats="1" applyPatternFormats="1" applyAlignmentFormats="0" applyWidthHeightFormats="0">
  <queryTableRefresh preserveSortFilterLayout="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2" xr16:uid="{A40AF033-4957-40D8-BC17-A422370CC823}" autoFormatId="16" applyNumberFormats="0" applyBorderFormats="0" applyFontFormats="0" applyPatternFormats="0" applyAlignmentFormats="0" applyWidthHeightFormats="0">
  <queryTableRefresh nextId="6" unboundColumnsRight="2">
    <queryTableFields count="5">
      <queryTableField id="1" name="titre" tableColumnId="1"/>
      <queryTableField id="2" name="date" tableColumnId="2"/>
      <queryTableField id="3" name="valo" tableColumnId="3"/>
      <queryTableField id="4" dataBound="0" tableColumnId="4"/>
      <queryTableField id="5" dataBound="0"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F82B5D-826F-4CA5-BDC1-FAAD5E9A8CE1}" name="Requête1" displayName="Requête1" ref="A1:E355" tableType="queryTable" totalsRowShown="0" headerRowDxfId="6" dataDxfId="5" headerRowCellStyle="Milliers">
  <autoFilter ref="A1:E355" xr:uid="{46F82B5D-826F-4CA5-BDC1-FAAD5E9A8CE1}">
    <filterColumn colId="0">
      <filters>
        <filter val="200792"/>
      </filters>
    </filterColumn>
  </autoFilter>
  <sortState xmlns:xlrd2="http://schemas.microsoft.com/office/spreadsheetml/2017/richdata2" ref="A2:E355">
    <sortCondition descending="1" ref="E2:E355"/>
  </sortState>
  <tableColumns count="5">
    <tableColumn id="1" xr3:uid="{611DC353-F1D4-4878-A07E-AB061A8B73B6}" uniqueName="1" name="titre" queryTableFieldId="1" dataDxfId="4" dataCellStyle="Milliers"/>
    <tableColumn id="2" xr3:uid="{8D57EBA2-AC8B-43A5-B1FA-C7C12D35E4A3}" uniqueName="2" name="date" queryTableFieldId="2" dataDxfId="3" dataCellStyle="Milliers"/>
    <tableColumn id="3" xr3:uid="{2DA4CBBC-21F8-4988-8040-BC88EC3366CE}" uniqueName="3" name="valo" queryTableFieldId="3" dataDxfId="2" dataCellStyle="Milliers"/>
    <tableColumn id="4" xr3:uid="{AC8765C5-5B44-447D-9C23-359B1B7A8E64}" uniqueName="4" name="PRICER" queryTableFieldId="4" dataDxfId="1">
      <calculatedColumnFormula>IF(ISNUMBER(LOOKUP("XS",Requête1[[#This Row],[titre]])),VLOOKUP(Requête1[[#This Row],[titre]],'[5]REFERENCES DE VALO PROCEDURE'!F$9:G$22,2,),VLOOKUP(Requête1[[#This Row],[titre]],Lignes_détenues!A:B,2,))</calculatedColumnFormula>
    </tableColumn>
    <tableColumn id="5" xr3:uid="{00833E7E-CCB7-4CAF-8FCB-DEB035B3EA42}" uniqueName="5" name="ecart" queryTableFieldId="5" dataDxfId="0">
      <calculatedColumnFormula>Requête1[[#This Row],[PRICER]]-Requête1[[#This Row],[valo]]</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pageSetUpPr fitToPage="1"/>
  </sheetPr>
  <dimension ref="A1:CQ2748"/>
  <sheetViews>
    <sheetView zoomScale="96" zoomScaleNormal="96" workbookViewId="0">
      <pane ySplit="1" topLeftCell="A2184" activePane="bottomLeft" state="frozen"/>
      <selection sqref="A1:XFD1048576"/>
      <selection pane="bottomLeft" activeCell="B2738" sqref="B2738"/>
    </sheetView>
  </sheetViews>
  <sheetFormatPr baseColWidth="10" defaultColWidth="11.42578125" defaultRowHeight="12.75" x14ac:dyDescent="0.2"/>
  <cols>
    <col min="1" max="1" width="38.42578125" style="38" customWidth="1"/>
    <col min="2" max="2" width="10.7109375" style="38" customWidth="1"/>
    <col min="3" max="3" width="57.5703125" style="38" bestFit="1" customWidth="1"/>
    <col min="4" max="4" width="17.85546875" style="279" bestFit="1" customWidth="1"/>
    <col min="5" max="5" width="13" style="38" customWidth="1"/>
    <col min="6" max="6" width="11" style="40" customWidth="1"/>
    <col min="7" max="7" width="13.5703125" style="41" customWidth="1"/>
    <col min="8" max="8" width="12" style="41" customWidth="1"/>
    <col min="9" max="9" width="11.85546875" style="39" customWidth="1"/>
    <col min="10" max="10" width="5.140625" style="39" customWidth="1"/>
    <col min="11" max="11" width="9.140625" style="39" customWidth="1"/>
    <col min="12" max="12" width="14.85546875" style="39" customWidth="1"/>
    <col min="13" max="13" width="32.85546875" style="38" customWidth="1"/>
    <col min="14" max="14" width="18.5703125" style="38" customWidth="1"/>
    <col min="15" max="15" width="14.7109375" style="2" customWidth="1"/>
    <col min="16" max="16" width="11.5703125" style="2" bestFit="1" customWidth="1"/>
    <col min="17" max="17" width="15.7109375" style="2" bestFit="1" customWidth="1"/>
    <col min="18" max="18" width="18.42578125" style="2" customWidth="1"/>
    <col min="19" max="19" width="11.5703125" style="2" bestFit="1" customWidth="1"/>
    <col min="20" max="22" width="11.42578125" style="2"/>
    <col min="23" max="23" width="12.85546875" style="2" bestFit="1" customWidth="1"/>
    <col min="24" max="16384" width="11.42578125" style="2"/>
  </cols>
  <sheetData>
    <row r="1" spans="1:14" s="43" customFormat="1" ht="46.5" customHeight="1" x14ac:dyDescent="0.2">
      <c r="A1" s="42" t="s">
        <v>1617</v>
      </c>
      <c r="B1" s="42" t="s">
        <v>1616</v>
      </c>
      <c r="C1" s="42" t="s">
        <v>1712</v>
      </c>
      <c r="D1" s="578" t="s">
        <v>365</v>
      </c>
      <c r="E1" s="42" t="s">
        <v>366</v>
      </c>
      <c r="F1" s="722" t="s">
        <v>421</v>
      </c>
      <c r="G1" s="93" t="s">
        <v>2263</v>
      </c>
      <c r="H1" s="93" t="s">
        <v>502</v>
      </c>
      <c r="I1" s="42" t="s">
        <v>368</v>
      </c>
      <c r="J1" s="42"/>
      <c r="K1" s="42" t="s">
        <v>1665</v>
      </c>
      <c r="L1" s="42" t="s">
        <v>1666</v>
      </c>
      <c r="M1" s="38"/>
      <c r="N1" s="276"/>
    </row>
    <row r="2" spans="1:14" ht="14.25" customHeight="1" x14ac:dyDescent="0.2">
      <c r="A2" s="38" t="s">
        <v>1512</v>
      </c>
      <c r="B2" s="38">
        <v>2001</v>
      </c>
      <c r="C2" s="38" t="s">
        <v>1109</v>
      </c>
      <c r="D2" s="279">
        <v>150000</v>
      </c>
      <c r="E2" s="38">
        <v>2014</v>
      </c>
      <c r="F2" s="40">
        <v>0.105</v>
      </c>
      <c r="G2" s="44">
        <v>35611</v>
      </c>
      <c r="H2" s="44">
        <v>41090</v>
      </c>
      <c r="I2" s="45">
        <v>15</v>
      </c>
      <c r="J2" s="45" t="s">
        <v>1716</v>
      </c>
      <c r="K2" s="39" t="s">
        <v>1716</v>
      </c>
      <c r="L2" s="39" t="s">
        <v>1716</v>
      </c>
      <c r="M2" s="38" t="str">
        <f>+A2</f>
        <v>Obligation ordinaire</v>
      </c>
    </row>
    <row r="3" spans="1:14" x14ac:dyDescent="0.2">
      <c r="A3" s="38" t="s">
        <v>1512</v>
      </c>
      <c r="B3" s="38">
        <v>2002</v>
      </c>
      <c r="C3" s="38" t="s">
        <v>513</v>
      </c>
      <c r="D3" s="279">
        <v>100000</v>
      </c>
      <c r="E3" s="38">
        <v>2014</v>
      </c>
      <c r="F3" s="40">
        <v>0.1</v>
      </c>
      <c r="G3" s="44">
        <v>35723</v>
      </c>
      <c r="H3" s="44">
        <v>39375</v>
      </c>
      <c r="I3" s="45">
        <v>10</v>
      </c>
      <c r="J3" s="45" t="s">
        <v>1716</v>
      </c>
      <c r="K3" s="39" t="s">
        <v>1716</v>
      </c>
      <c r="L3" s="39" t="s">
        <v>1716</v>
      </c>
      <c r="M3" s="38" t="str">
        <f t="shared" ref="M3:M66" si="0">+A3</f>
        <v>Obligation ordinaire</v>
      </c>
    </row>
    <row r="4" spans="1:14" x14ac:dyDescent="0.2">
      <c r="A4" s="38" t="s">
        <v>1512</v>
      </c>
      <c r="B4" s="38">
        <v>2003</v>
      </c>
      <c r="C4" s="38" t="s">
        <v>515</v>
      </c>
      <c r="D4" s="279">
        <v>100000</v>
      </c>
      <c r="E4" s="38">
        <v>126</v>
      </c>
      <c r="F4" s="40">
        <v>0.1275</v>
      </c>
      <c r="G4" s="44">
        <v>33847</v>
      </c>
      <c r="H4" s="44">
        <v>39325</v>
      </c>
      <c r="I4" s="45">
        <v>15</v>
      </c>
      <c r="J4" s="45" t="s">
        <v>1716</v>
      </c>
      <c r="K4" s="39" t="s">
        <v>1716</v>
      </c>
      <c r="L4" s="39" t="s">
        <v>1716</v>
      </c>
      <c r="M4" s="38" t="str">
        <f t="shared" si="0"/>
        <v>Obligation ordinaire</v>
      </c>
    </row>
    <row r="5" spans="1:14" x14ac:dyDescent="0.2">
      <c r="A5" s="38" t="s">
        <v>1512</v>
      </c>
      <c r="B5" s="38">
        <v>2004</v>
      </c>
      <c r="C5" s="38" t="s">
        <v>516</v>
      </c>
      <c r="D5" s="279">
        <v>150000</v>
      </c>
      <c r="E5" s="38">
        <v>126</v>
      </c>
      <c r="F5" s="40">
        <v>0.1275</v>
      </c>
      <c r="G5" s="44">
        <v>33893</v>
      </c>
      <c r="H5" s="44">
        <v>39371</v>
      </c>
      <c r="I5" s="45">
        <v>15</v>
      </c>
      <c r="J5" s="45" t="s">
        <v>1716</v>
      </c>
      <c r="K5" s="39" t="s">
        <v>1716</v>
      </c>
      <c r="L5" s="39" t="s">
        <v>1716</v>
      </c>
      <c r="M5" s="38" t="str">
        <f t="shared" si="0"/>
        <v>Obligation ordinaire</v>
      </c>
    </row>
    <row r="6" spans="1:14" x14ac:dyDescent="0.2">
      <c r="A6" s="38" t="s">
        <v>1512</v>
      </c>
      <c r="B6" s="38">
        <v>2005</v>
      </c>
      <c r="C6" s="38" t="s">
        <v>1086</v>
      </c>
      <c r="D6" s="279">
        <v>150000</v>
      </c>
      <c r="E6" s="38">
        <v>126</v>
      </c>
      <c r="F6" s="40">
        <v>0.1275</v>
      </c>
      <c r="G6" s="44">
        <v>33927</v>
      </c>
      <c r="H6" s="44">
        <v>39405</v>
      </c>
      <c r="I6" s="45">
        <v>15</v>
      </c>
      <c r="J6" s="45" t="s">
        <v>1716</v>
      </c>
      <c r="K6" s="39" t="s">
        <v>1716</v>
      </c>
      <c r="L6" s="39" t="s">
        <v>1716</v>
      </c>
      <c r="M6" s="38" t="str">
        <f t="shared" si="0"/>
        <v>Obligation ordinaire</v>
      </c>
    </row>
    <row r="7" spans="1:14" x14ac:dyDescent="0.2">
      <c r="A7" s="38" t="s">
        <v>1512</v>
      </c>
      <c r="B7" s="38">
        <v>2006</v>
      </c>
      <c r="C7" s="38" t="s">
        <v>556</v>
      </c>
      <c r="D7" s="279">
        <v>150000</v>
      </c>
      <c r="E7" s="38">
        <v>126</v>
      </c>
      <c r="F7" s="40">
        <v>0.1275</v>
      </c>
      <c r="G7" s="44">
        <v>34057</v>
      </c>
      <c r="H7" s="44">
        <v>37709</v>
      </c>
      <c r="I7" s="45">
        <v>10</v>
      </c>
      <c r="J7" s="45" t="s">
        <v>1716</v>
      </c>
      <c r="K7" s="39" t="s">
        <v>1716</v>
      </c>
      <c r="L7" s="39" t="s">
        <v>1716</v>
      </c>
      <c r="M7" s="38" t="str">
        <f t="shared" si="0"/>
        <v>Obligation ordinaire</v>
      </c>
    </row>
    <row r="8" spans="1:14" x14ac:dyDescent="0.2">
      <c r="A8" s="38" t="s">
        <v>1512</v>
      </c>
      <c r="B8" s="38">
        <v>2007</v>
      </c>
      <c r="C8" s="38" t="s">
        <v>1110</v>
      </c>
      <c r="D8" s="279">
        <v>150000</v>
      </c>
      <c r="E8" s="38">
        <v>126</v>
      </c>
      <c r="F8" s="40">
        <v>0.1275</v>
      </c>
      <c r="G8" s="44">
        <v>34180</v>
      </c>
      <c r="H8" s="44">
        <v>37832</v>
      </c>
      <c r="I8" s="45">
        <v>10</v>
      </c>
      <c r="J8" s="45" t="s">
        <v>1716</v>
      </c>
      <c r="K8" s="39" t="s">
        <v>1716</v>
      </c>
      <c r="L8" s="39" t="s">
        <v>1716</v>
      </c>
      <c r="M8" s="38" t="str">
        <f t="shared" si="0"/>
        <v>Obligation ordinaire</v>
      </c>
    </row>
    <row r="9" spans="1:14" x14ac:dyDescent="0.2">
      <c r="A9" s="38" t="s">
        <v>1512</v>
      </c>
      <c r="B9" s="38">
        <v>2008</v>
      </c>
      <c r="C9" s="38" t="s">
        <v>1111</v>
      </c>
      <c r="D9" s="279">
        <v>150000</v>
      </c>
      <c r="E9" s="38">
        <v>126</v>
      </c>
      <c r="F9" s="40">
        <v>0.1275</v>
      </c>
      <c r="G9" s="44">
        <v>34222</v>
      </c>
      <c r="H9" s="44">
        <v>37874</v>
      </c>
      <c r="I9" s="45">
        <v>10</v>
      </c>
      <c r="J9" s="45" t="s">
        <v>1716</v>
      </c>
      <c r="K9" s="39" t="s">
        <v>1716</v>
      </c>
      <c r="L9" s="39" t="s">
        <v>1716</v>
      </c>
      <c r="M9" s="38" t="str">
        <f t="shared" si="0"/>
        <v>Obligation ordinaire</v>
      </c>
    </row>
    <row r="10" spans="1:14" x14ac:dyDescent="0.2">
      <c r="A10" s="38" t="s">
        <v>1512</v>
      </c>
      <c r="B10" s="38">
        <v>2009</v>
      </c>
      <c r="C10" s="38" t="s">
        <v>1114</v>
      </c>
      <c r="D10" s="279">
        <v>140000</v>
      </c>
      <c r="E10" s="38">
        <v>126</v>
      </c>
      <c r="F10" s="40">
        <v>0.105</v>
      </c>
      <c r="G10" s="44">
        <v>34551</v>
      </c>
      <c r="H10" s="44">
        <v>37108</v>
      </c>
      <c r="I10" s="45">
        <v>7</v>
      </c>
      <c r="J10" s="45" t="s">
        <v>1716</v>
      </c>
      <c r="K10" s="39" t="s">
        <v>1716</v>
      </c>
      <c r="L10" s="39" t="s">
        <v>1716</v>
      </c>
      <c r="M10" s="38" t="str">
        <f t="shared" si="0"/>
        <v>Obligation ordinaire</v>
      </c>
    </row>
    <row r="11" spans="1:14" x14ac:dyDescent="0.2">
      <c r="A11" s="38" t="s">
        <v>1512</v>
      </c>
      <c r="B11" s="38">
        <v>2010</v>
      </c>
      <c r="C11" s="38" t="s">
        <v>1116</v>
      </c>
      <c r="D11" s="279">
        <v>140000</v>
      </c>
      <c r="E11" s="38">
        <v>126</v>
      </c>
      <c r="F11" s="40">
        <v>0.105</v>
      </c>
      <c r="G11" s="44">
        <v>34593</v>
      </c>
      <c r="H11" s="44">
        <v>37150</v>
      </c>
      <c r="I11" s="45">
        <v>7</v>
      </c>
      <c r="J11" s="45" t="s">
        <v>1716</v>
      </c>
      <c r="K11" s="39" t="s">
        <v>1716</v>
      </c>
      <c r="L11" s="39" t="s">
        <v>1716</v>
      </c>
      <c r="M11" s="38" t="str">
        <f t="shared" si="0"/>
        <v>Obligation ordinaire</v>
      </c>
    </row>
    <row r="12" spans="1:14" x14ac:dyDescent="0.2">
      <c r="A12" s="38" t="s">
        <v>1512</v>
      </c>
      <c r="B12" s="38">
        <v>2011</v>
      </c>
      <c r="C12" s="38" t="s">
        <v>1163</v>
      </c>
      <c r="D12" s="279">
        <v>100000</v>
      </c>
      <c r="E12" s="38">
        <v>126</v>
      </c>
      <c r="F12" s="40">
        <v>0.1</v>
      </c>
      <c r="G12" s="44">
        <v>35018</v>
      </c>
      <c r="H12" s="44">
        <v>37575</v>
      </c>
      <c r="I12" s="45">
        <v>7</v>
      </c>
      <c r="J12" s="45" t="s">
        <v>1716</v>
      </c>
      <c r="K12" s="39" t="s">
        <v>1716</v>
      </c>
      <c r="L12" s="39" t="s">
        <v>1716</v>
      </c>
      <c r="M12" s="38" t="str">
        <f t="shared" si="0"/>
        <v>Obligation ordinaire</v>
      </c>
    </row>
    <row r="13" spans="1:14" x14ac:dyDescent="0.2">
      <c r="A13" s="38" t="s">
        <v>1512</v>
      </c>
      <c r="B13" s="38">
        <v>2012</v>
      </c>
      <c r="C13" s="38" t="s">
        <v>1164</v>
      </c>
      <c r="D13" s="279">
        <v>100000</v>
      </c>
      <c r="E13" s="38">
        <v>126</v>
      </c>
      <c r="F13" s="40">
        <v>0.1</v>
      </c>
      <c r="G13" s="44">
        <v>35053</v>
      </c>
      <c r="H13" s="44">
        <v>37610</v>
      </c>
      <c r="I13" s="45">
        <v>7</v>
      </c>
      <c r="J13" s="45" t="s">
        <v>1716</v>
      </c>
      <c r="K13" s="39" t="s">
        <v>1716</v>
      </c>
      <c r="L13" s="39" t="s">
        <v>1716</v>
      </c>
      <c r="M13" s="38" t="str">
        <f t="shared" si="0"/>
        <v>Obligation ordinaire</v>
      </c>
    </row>
    <row r="14" spans="1:14" x14ac:dyDescent="0.2">
      <c r="A14" s="38" t="s">
        <v>1512</v>
      </c>
      <c r="B14" s="38">
        <v>2013</v>
      </c>
      <c r="C14" s="38" t="s">
        <v>1199</v>
      </c>
      <c r="D14" s="279">
        <v>100000</v>
      </c>
      <c r="E14" s="38">
        <v>126</v>
      </c>
      <c r="F14" s="40">
        <v>0.1</v>
      </c>
      <c r="G14" s="44">
        <v>35153</v>
      </c>
      <c r="H14" s="44">
        <v>37709</v>
      </c>
      <c r="I14" s="45">
        <v>7</v>
      </c>
      <c r="J14" s="45" t="s">
        <v>1716</v>
      </c>
      <c r="K14" s="39" t="s">
        <v>1716</v>
      </c>
      <c r="L14" s="39" t="s">
        <v>1716</v>
      </c>
      <c r="M14" s="38" t="str">
        <f t="shared" si="0"/>
        <v>Obligation ordinaire</v>
      </c>
    </row>
    <row r="15" spans="1:14" x14ac:dyDescent="0.2">
      <c r="A15" s="38" t="s">
        <v>1512</v>
      </c>
      <c r="B15" s="38">
        <v>2014</v>
      </c>
      <c r="C15" s="38" t="s">
        <v>1708</v>
      </c>
      <c r="D15" s="279">
        <v>10000</v>
      </c>
      <c r="E15" s="38">
        <v>126</v>
      </c>
      <c r="F15" s="40">
        <v>0.08</v>
      </c>
      <c r="G15" s="44">
        <v>36031</v>
      </c>
      <c r="H15" s="44">
        <v>37857</v>
      </c>
      <c r="I15" s="45">
        <v>5</v>
      </c>
      <c r="J15" s="45" t="s">
        <v>1716</v>
      </c>
      <c r="K15" s="39" t="s">
        <v>1716</v>
      </c>
      <c r="L15" s="39" t="s">
        <v>1014</v>
      </c>
      <c r="M15" s="38" t="str">
        <f t="shared" si="0"/>
        <v>Obligation ordinaire</v>
      </c>
    </row>
    <row r="16" spans="1:14" x14ac:dyDescent="0.2">
      <c r="A16" s="38" t="s">
        <v>1512</v>
      </c>
      <c r="B16" s="38">
        <v>2015</v>
      </c>
      <c r="C16" s="38" t="s">
        <v>480</v>
      </c>
      <c r="D16" s="279">
        <v>10000</v>
      </c>
      <c r="E16" s="38">
        <v>2014</v>
      </c>
      <c r="F16" s="40">
        <v>0.08</v>
      </c>
      <c r="G16" s="44">
        <v>36010</v>
      </c>
      <c r="H16" s="44">
        <v>37836</v>
      </c>
      <c r="I16" s="45">
        <v>5</v>
      </c>
      <c r="J16" s="45" t="s">
        <v>1716</v>
      </c>
      <c r="K16" s="39" t="s">
        <v>1716</v>
      </c>
      <c r="L16" s="39" t="s">
        <v>1014</v>
      </c>
      <c r="M16" s="38" t="str">
        <f t="shared" si="0"/>
        <v>Obligation ordinaire</v>
      </c>
    </row>
    <row r="17" spans="1:13" x14ac:dyDescent="0.2">
      <c r="A17" s="38" t="s">
        <v>1512</v>
      </c>
      <c r="B17" s="38">
        <v>2016</v>
      </c>
      <c r="C17" s="38" t="s">
        <v>1194</v>
      </c>
      <c r="D17" s="279">
        <v>10000</v>
      </c>
      <c r="E17" s="38">
        <v>3021</v>
      </c>
      <c r="F17" s="40">
        <v>0.08</v>
      </c>
      <c r="G17" s="44">
        <v>36066</v>
      </c>
      <c r="H17" s="44">
        <v>37162</v>
      </c>
      <c r="I17" s="45">
        <v>3</v>
      </c>
      <c r="J17" s="45" t="s">
        <v>1716</v>
      </c>
      <c r="K17" s="39" t="s">
        <v>1716</v>
      </c>
      <c r="L17" s="39" t="s">
        <v>1014</v>
      </c>
      <c r="M17" s="38" t="str">
        <f t="shared" si="0"/>
        <v>Obligation ordinaire</v>
      </c>
    </row>
    <row r="18" spans="1:13" x14ac:dyDescent="0.2">
      <c r="A18" s="38" t="s">
        <v>1512</v>
      </c>
      <c r="B18" s="38">
        <v>2017</v>
      </c>
      <c r="C18" s="38" t="s">
        <v>1195</v>
      </c>
      <c r="D18" s="279">
        <v>150000</v>
      </c>
      <c r="E18" s="38">
        <v>2014</v>
      </c>
      <c r="F18" s="40">
        <v>0.1275</v>
      </c>
      <c r="G18" s="44">
        <v>33847</v>
      </c>
      <c r="H18" s="44">
        <v>39325</v>
      </c>
      <c r="I18" s="45">
        <v>15</v>
      </c>
      <c r="J18" s="45" t="s">
        <v>1716</v>
      </c>
      <c r="K18" s="39" t="s">
        <v>1716</v>
      </c>
      <c r="L18" s="39" t="s">
        <v>1716</v>
      </c>
      <c r="M18" s="38" t="str">
        <f t="shared" si="0"/>
        <v>Obligation ordinaire</v>
      </c>
    </row>
    <row r="19" spans="1:13" x14ac:dyDescent="0.2">
      <c r="A19" s="38" t="s">
        <v>1512</v>
      </c>
      <c r="B19" s="38">
        <v>2018</v>
      </c>
      <c r="C19" s="38" t="s">
        <v>1220</v>
      </c>
      <c r="D19" s="279">
        <v>150000</v>
      </c>
      <c r="E19" s="38">
        <v>2014</v>
      </c>
      <c r="F19" s="40">
        <v>0.1275</v>
      </c>
      <c r="G19" s="44">
        <v>33875</v>
      </c>
      <c r="H19" s="44">
        <v>39353</v>
      </c>
      <c r="I19" s="45">
        <v>15</v>
      </c>
      <c r="J19" s="45" t="s">
        <v>1716</v>
      </c>
      <c r="K19" s="39" t="s">
        <v>1716</v>
      </c>
      <c r="L19" s="39" t="s">
        <v>1716</v>
      </c>
      <c r="M19" s="38" t="str">
        <f t="shared" si="0"/>
        <v>Obligation ordinaire</v>
      </c>
    </row>
    <row r="20" spans="1:13" x14ac:dyDescent="0.2">
      <c r="A20" s="38" t="s">
        <v>1512</v>
      </c>
      <c r="B20" s="38">
        <v>2019</v>
      </c>
      <c r="C20" s="38" t="s">
        <v>1221</v>
      </c>
      <c r="D20" s="279">
        <v>150000</v>
      </c>
      <c r="E20" s="38">
        <v>2014</v>
      </c>
      <c r="F20" s="40">
        <v>0.1275</v>
      </c>
      <c r="G20" s="44">
        <v>33906</v>
      </c>
      <c r="H20" s="943" t="str">
        <f>J9</f>
        <v>A</v>
      </c>
      <c r="I20" s="45">
        <v>15</v>
      </c>
      <c r="J20" s="45" t="s">
        <v>1716</v>
      </c>
      <c r="K20" s="39" t="s">
        <v>1716</v>
      </c>
      <c r="L20" s="39" t="s">
        <v>1716</v>
      </c>
      <c r="M20" s="38" t="str">
        <f t="shared" si="0"/>
        <v>Obligation ordinaire</v>
      </c>
    </row>
    <row r="21" spans="1:13" x14ac:dyDescent="0.2">
      <c r="A21" s="38" t="s">
        <v>1512</v>
      </c>
      <c r="B21" s="38">
        <v>2020</v>
      </c>
      <c r="C21" s="38" t="s">
        <v>1943</v>
      </c>
      <c r="D21" s="279">
        <v>150000</v>
      </c>
      <c r="E21" s="38">
        <v>2014</v>
      </c>
      <c r="F21" s="40">
        <v>0.1275</v>
      </c>
      <c r="G21" s="44">
        <v>33945</v>
      </c>
      <c r="H21" s="943" t="str">
        <f>J10</f>
        <v>A</v>
      </c>
      <c r="I21" s="45">
        <v>15</v>
      </c>
      <c r="J21" s="45" t="s">
        <v>1716</v>
      </c>
      <c r="K21" s="39" t="s">
        <v>1716</v>
      </c>
      <c r="L21" s="39" t="s">
        <v>1716</v>
      </c>
      <c r="M21" s="38" t="str">
        <f t="shared" si="0"/>
        <v>Obligation ordinaire</v>
      </c>
    </row>
    <row r="22" spans="1:13" x14ac:dyDescent="0.2">
      <c r="A22" s="38" t="s">
        <v>1512</v>
      </c>
      <c r="B22" s="38">
        <v>2021</v>
      </c>
      <c r="C22" s="38" t="s">
        <v>1944</v>
      </c>
      <c r="D22" s="279">
        <v>150000</v>
      </c>
      <c r="E22" s="38">
        <v>2014</v>
      </c>
      <c r="F22" s="40">
        <v>0.1275</v>
      </c>
      <c r="G22" s="44">
        <v>33966</v>
      </c>
      <c r="H22" s="44">
        <v>39444</v>
      </c>
      <c r="I22" s="45">
        <v>15</v>
      </c>
      <c r="J22" s="45" t="s">
        <v>1716</v>
      </c>
      <c r="K22" s="39" t="s">
        <v>1716</v>
      </c>
      <c r="L22" s="39" t="s">
        <v>1716</v>
      </c>
      <c r="M22" s="38" t="str">
        <f t="shared" si="0"/>
        <v>Obligation ordinaire</v>
      </c>
    </row>
    <row r="23" spans="1:13" x14ac:dyDescent="0.2">
      <c r="A23" s="38" t="s">
        <v>1512</v>
      </c>
      <c r="B23" s="38">
        <v>2022</v>
      </c>
      <c r="C23" s="38" t="s">
        <v>1947</v>
      </c>
      <c r="D23" s="279">
        <v>150000</v>
      </c>
      <c r="E23" s="38">
        <v>2014</v>
      </c>
      <c r="F23" s="40">
        <v>0.1275</v>
      </c>
      <c r="G23" s="44">
        <v>34050</v>
      </c>
      <c r="H23" s="943" t="str">
        <f t="shared" ref="H23:H28" si="1">J12</f>
        <v>A</v>
      </c>
      <c r="I23" s="45">
        <v>15</v>
      </c>
      <c r="J23" s="45" t="s">
        <v>1716</v>
      </c>
      <c r="K23" s="39" t="s">
        <v>1716</v>
      </c>
      <c r="L23" s="39" t="s">
        <v>1716</v>
      </c>
      <c r="M23" s="38" t="str">
        <f t="shared" si="0"/>
        <v>Obligation ordinaire</v>
      </c>
    </row>
    <row r="24" spans="1:13" x14ac:dyDescent="0.2">
      <c r="A24" s="38" t="s">
        <v>1512</v>
      </c>
      <c r="B24" s="38">
        <v>2023</v>
      </c>
      <c r="C24" s="38" t="s">
        <v>980</v>
      </c>
      <c r="D24" s="279">
        <v>150000</v>
      </c>
      <c r="E24" s="38">
        <v>2014</v>
      </c>
      <c r="F24" s="40">
        <v>0.1275</v>
      </c>
      <c r="G24" s="44">
        <v>34085</v>
      </c>
      <c r="H24" s="943" t="str">
        <f t="shared" si="1"/>
        <v>A</v>
      </c>
      <c r="I24" s="45">
        <v>15</v>
      </c>
      <c r="J24" s="45" t="s">
        <v>1716</v>
      </c>
      <c r="K24" s="39" t="s">
        <v>1716</v>
      </c>
      <c r="L24" s="39" t="s">
        <v>1716</v>
      </c>
      <c r="M24" s="38" t="str">
        <f t="shared" si="0"/>
        <v>Obligation ordinaire</v>
      </c>
    </row>
    <row r="25" spans="1:13" x14ac:dyDescent="0.2">
      <c r="A25" s="38" t="s">
        <v>1512</v>
      </c>
      <c r="B25" s="38">
        <v>2024</v>
      </c>
      <c r="C25" s="38" t="s">
        <v>1615</v>
      </c>
      <c r="D25" s="279">
        <v>150000</v>
      </c>
      <c r="E25" s="38">
        <v>2014</v>
      </c>
      <c r="F25" s="40">
        <v>0.1275</v>
      </c>
      <c r="G25" s="44">
        <v>34117</v>
      </c>
      <c r="H25" s="943" t="str">
        <f t="shared" si="1"/>
        <v>A</v>
      </c>
      <c r="I25" s="45">
        <v>15</v>
      </c>
      <c r="J25" s="45" t="s">
        <v>1716</v>
      </c>
      <c r="K25" s="39" t="s">
        <v>1716</v>
      </c>
      <c r="L25" s="39" t="s">
        <v>1716</v>
      </c>
      <c r="M25" s="38" t="str">
        <f t="shared" si="0"/>
        <v>Obligation ordinaire</v>
      </c>
    </row>
    <row r="26" spans="1:13" x14ac:dyDescent="0.2">
      <c r="A26" s="38" t="s">
        <v>1512</v>
      </c>
      <c r="B26" s="38">
        <v>2025</v>
      </c>
      <c r="C26" s="38" t="s">
        <v>1211</v>
      </c>
      <c r="D26" s="279">
        <v>150000</v>
      </c>
      <c r="E26" s="38">
        <v>2014</v>
      </c>
      <c r="F26" s="40">
        <v>0.1275</v>
      </c>
      <c r="G26" s="44">
        <v>34172</v>
      </c>
      <c r="H26" s="943" t="str">
        <f t="shared" si="1"/>
        <v>A</v>
      </c>
      <c r="I26" s="45">
        <v>15</v>
      </c>
      <c r="J26" s="45" t="s">
        <v>1716</v>
      </c>
      <c r="K26" s="39" t="s">
        <v>1716</v>
      </c>
      <c r="L26" s="39" t="s">
        <v>1716</v>
      </c>
      <c r="M26" s="38" t="str">
        <f t="shared" si="0"/>
        <v>Obligation ordinaire</v>
      </c>
    </row>
    <row r="27" spans="1:13" x14ac:dyDescent="0.2">
      <c r="A27" s="38" t="s">
        <v>1512</v>
      </c>
      <c r="B27" s="38">
        <v>2026</v>
      </c>
      <c r="C27" s="38" t="s">
        <v>1213</v>
      </c>
      <c r="D27" s="279">
        <v>200000</v>
      </c>
      <c r="E27" s="38">
        <v>2014</v>
      </c>
      <c r="F27" s="40">
        <v>0.1275</v>
      </c>
      <c r="G27" s="44">
        <v>34214</v>
      </c>
      <c r="H27" s="943" t="str">
        <f t="shared" si="1"/>
        <v>A</v>
      </c>
      <c r="I27" s="45">
        <v>15</v>
      </c>
      <c r="J27" s="45" t="s">
        <v>1716</v>
      </c>
      <c r="K27" s="39" t="s">
        <v>1716</v>
      </c>
      <c r="L27" s="39" t="s">
        <v>1716</v>
      </c>
      <c r="M27" s="38" t="str">
        <f t="shared" si="0"/>
        <v>Obligation ordinaire</v>
      </c>
    </row>
    <row r="28" spans="1:13" x14ac:dyDescent="0.2">
      <c r="A28" s="38" t="s">
        <v>1512</v>
      </c>
      <c r="B28" s="38">
        <v>2027</v>
      </c>
      <c r="C28" s="38" t="s">
        <v>1216</v>
      </c>
      <c r="D28" s="279">
        <v>200000</v>
      </c>
      <c r="E28" s="38">
        <v>2014</v>
      </c>
      <c r="F28" s="40">
        <v>0.1275</v>
      </c>
      <c r="G28" s="44">
        <v>34242</v>
      </c>
      <c r="H28" s="943" t="str">
        <f t="shared" si="1"/>
        <v>A</v>
      </c>
      <c r="I28" s="45">
        <v>15</v>
      </c>
      <c r="J28" s="45" t="s">
        <v>1716</v>
      </c>
      <c r="K28" s="39" t="s">
        <v>1716</v>
      </c>
      <c r="L28" s="39" t="s">
        <v>1716</v>
      </c>
      <c r="M28" s="38" t="str">
        <f t="shared" si="0"/>
        <v>Obligation ordinaire</v>
      </c>
    </row>
    <row r="29" spans="1:13" x14ac:dyDescent="0.2">
      <c r="A29" s="38" t="s">
        <v>1512</v>
      </c>
      <c r="B29" s="38">
        <v>2028</v>
      </c>
      <c r="C29" s="38" t="s">
        <v>1217</v>
      </c>
      <c r="D29" s="279">
        <v>150000</v>
      </c>
      <c r="E29" s="38">
        <v>2014</v>
      </c>
      <c r="F29" s="40">
        <v>0.1275</v>
      </c>
      <c r="G29" s="44">
        <v>34271</v>
      </c>
      <c r="H29" s="44">
        <v>39750</v>
      </c>
      <c r="I29" s="45">
        <v>15</v>
      </c>
      <c r="J29" s="45" t="s">
        <v>1716</v>
      </c>
      <c r="K29" s="39" t="s">
        <v>1716</v>
      </c>
      <c r="L29" s="39" t="s">
        <v>1716</v>
      </c>
      <c r="M29" s="38" t="str">
        <f t="shared" si="0"/>
        <v>Obligation ordinaire</v>
      </c>
    </row>
    <row r="30" spans="1:13" x14ac:dyDescent="0.2">
      <c r="A30" s="38" t="s">
        <v>1512</v>
      </c>
      <c r="B30" s="38">
        <v>2029</v>
      </c>
      <c r="C30" s="38" t="s">
        <v>1148</v>
      </c>
      <c r="D30" s="279">
        <v>200000</v>
      </c>
      <c r="E30" s="38">
        <v>2014</v>
      </c>
      <c r="F30" s="40">
        <v>0.1275</v>
      </c>
      <c r="G30" s="44">
        <v>34291</v>
      </c>
      <c r="H30" s="44">
        <v>39770</v>
      </c>
      <c r="I30" s="45">
        <v>15</v>
      </c>
      <c r="J30" s="45" t="s">
        <v>1716</v>
      </c>
      <c r="K30" s="39" t="s">
        <v>1716</v>
      </c>
      <c r="L30" s="39" t="s">
        <v>1716</v>
      </c>
      <c r="M30" s="38" t="str">
        <f t="shared" si="0"/>
        <v>Obligation ordinaire</v>
      </c>
    </row>
    <row r="31" spans="1:13" x14ac:dyDescent="0.2">
      <c r="A31" s="38" t="s">
        <v>1512</v>
      </c>
      <c r="B31" s="38">
        <v>2030</v>
      </c>
      <c r="C31" s="38" t="s">
        <v>495</v>
      </c>
      <c r="D31" s="279">
        <v>200000</v>
      </c>
      <c r="E31" s="38">
        <v>2014</v>
      </c>
      <c r="F31" s="40">
        <v>0.1275</v>
      </c>
      <c r="G31" s="44">
        <v>34327</v>
      </c>
      <c r="H31" s="44">
        <v>39806</v>
      </c>
      <c r="I31" s="45">
        <v>15</v>
      </c>
      <c r="J31" s="45" t="s">
        <v>1716</v>
      </c>
      <c r="K31" s="39" t="s">
        <v>1716</v>
      </c>
      <c r="L31" s="39" t="s">
        <v>1716</v>
      </c>
      <c r="M31" s="38" t="str">
        <f t="shared" si="0"/>
        <v>Obligation ordinaire</v>
      </c>
    </row>
    <row r="32" spans="1:13" x14ac:dyDescent="0.2">
      <c r="A32" s="38" t="s">
        <v>1512</v>
      </c>
      <c r="B32" s="38">
        <v>2031</v>
      </c>
      <c r="C32" s="38" t="s">
        <v>1092</v>
      </c>
      <c r="D32" s="279">
        <v>200000</v>
      </c>
      <c r="E32" s="38">
        <v>2014</v>
      </c>
      <c r="F32" s="40">
        <v>0.11</v>
      </c>
      <c r="G32" s="44">
        <v>34466</v>
      </c>
      <c r="H32" s="44">
        <v>39945</v>
      </c>
      <c r="I32" s="45">
        <v>15</v>
      </c>
      <c r="J32" s="45" t="s">
        <v>1716</v>
      </c>
      <c r="K32" s="39" t="s">
        <v>1716</v>
      </c>
      <c r="L32" s="39" t="s">
        <v>1716</v>
      </c>
      <c r="M32" s="38" t="str">
        <f t="shared" si="0"/>
        <v>Obligation ordinaire</v>
      </c>
    </row>
    <row r="33" spans="1:13" x14ac:dyDescent="0.2">
      <c r="A33" s="38" t="s">
        <v>1512</v>
      </c>
      <c r="B33" s="38">
        <v>2033</v>
      </c>
      <c r="C33" s="38" t="s">
        <v>1180</v>
      </c>
      <c r="D33" s="279">
        <v>150000</v>
      </c>
      <c r="E33" s="38">
        <v>2014</v>
      </c>
      <c r="F33" s="40">
        <v>0.11</v>
      </c>
      <c r="G33" s="44">
        <v>34571</v>
      </c>
      <c r="H33" s="44">
        <v>40050</v>
      </c>
      <c r="I33" s="45">
        <v>15</v>
      </c>
      <c r="J33" s="45" t="s">
        <v>1716</v>
      </c>
      <c r="K33" s="39" t="s">
        <v>1716</v>
      </c>
      <c r="L33" s="39" t="s">
        <v>1716</v>
      </c>
      <c r="M33" s="38" t="str">
        <f t="shared" si="0"/>
        <v>Obligation ordinaire</v>
      </c>
    </row>
    <row r="34" spans="1:13" x14ac:dyDescent="0.2">
      <c r="A34" s="38" t="s">
        <v>1512</v>
      </c>
      <c r="B34" s="38">
        <v>2035</v>
      </c>
      <c r="C34" s="38" t="s">
        <v>1181</v>
      </c>
      <c r="D34" s="279">
        <v>150000</v>
      </c>
      <c r="E34" s="38">
        <v>2014</v>
      </c>
      <c r="F34" s="40">
        <v>0.11</v>
      </c>
      <c r="G34" s="44">
        <v>34669</v>
      </c>
      <c r="H34" s="44">
        <v>40148</v>
      </c>
      <c r="I34" s="45">
        <v>15</v>
      </c>
      <c r="J34" s="45" t="s">
        <v>1716</v>
      </c>
      <c r="K34" s="39" t="s">
        <v>1716</v>
      </c>
      <c r="L34" s="39" t="s">
        <v>1716</v>
      </c>
      <c r="M34" s="38" t="str">
        <f t="shared" si="0"/>
        <v>Obligation ordinaire</v>
      </c>
    </row>
    <row r="35" spans="1:13" x14ac:dyDescent="0.2">
      <c r="A35" s="38" t="s">
        <v>1512</v>
      </c>
      <c r="B35" s="38">
        <v>2036</v>
      </c>
      <c r="C35" s="38" t="s">
        <v>1182</v>
      </c>
      <c r="D35" s="279">
        <v>150000</v>
      </c>
      <c r="E35" s="38">
        <v>2014</v>
      </c>
      <c r="F35" s="40">
        <v>0.11</v>
      </c>
      <c r="G35" s="44">
        <v>34698</v>
      </c>
      <c r="H35" s="44">
        <v>40177</v>
      </c>
      <c r="I35" s="45">
        <v>15</v>
      </c>
      <c r="J35" s="45" t="s">
        <v>1716</v>
      </c>
      <c r="K35" s="39" t="s">
        <v>1716</v>
      </c>
      <c r="L35" s="39" t="s">
        <v>1716</v>
      </c>
      <c r="M35" s="38" t="str">
        <f t="shared" si="0"/>
        <v>Obligation ordinaire</v>
      </c>
    </row>
    <row r="36" spans="1:13" x14ac:dyDescent="0.2">
      <c r="A36" s="38" t="s">
        <v>1512</v>
      </c>
      <c r="B36" s="38">
        <v>2037</v>
      </c>
      <c r="C36" s="38" t="s">
        <v>2001</v>
      </c>
      <c r="D36" s="279">
        <v>100000</v>
      </c>
      <c r="E36" s="38">
        <v>2014</v>
      </c>
      <c r="F36" s="40">
        <v>0.105</v>
      </c>
      <c r="G36" s="44">
        <v>34802</v>
      </c>
      <c r="H36" s="44">
        <v>38455</v>
      </c>
      <c r="I36" s="45">
        <v>10</v>
      </c>
      <c r="J36" s="45" t="s">
        <v>1716</v>
      </c>
      <c r="K36" s="39" t="s">
        <v>1716</v>
      </c>
      <c r="L36" s="39" t="s">
        <v>1716</v>
      </c>
      <c r="M36" s="38" t="str">
        <f t="shared" si="0"/>
        <v>Obligation ordinaire</v>
      </c>
    </row>
    <row r="37" spans="1:13" x14ac:dyDescent="0.2">
      <c r="A37" s="38" t="s">
        <v>1512</v>
      </c>
      <c r="B37" s="38">
        <v>2038</v>
      </c>
      <c r="C37" s="38" t="s">
        <v>2002</v>
      </c>
      <c r="D37" s="279">
        <v>200000</v>
      </c>
      <c r="E37" s="38">
        <v>2014</v>
      </c>
      <c r="F37" s="40">
        <v>0.10249999999999999</v>
      </c>
      <c r="G37" s="44">
        <v>34845</v>
      </c>
      <c r="H37" s="44">
        <v>38498</v>
      </c>
      <c r="I37" s="45">
        <v>10</v>
      </c>
      <c r="J37" s="45" t="s">
        <v>1716</v>
      </c>
      <c r="K37" s="39" t="s">
        <v>1716</v>
      </c>
      <c r="L37" s="39" t="s">
        <v>1716</v>
      </c>
      <c r="M37" s="38" t="str">
        <f t="shared" si="0"/>
        <v>Obligation ordinaire</v>
      </c>
    </row>
    <row r="38" spans="1:13" x14ac:dyDescent="0.2">
      <c r="A38" s="38" t="s">
        <v>1512</v>
      </c>
      <c r="B38" s="38">
        <v>2039</v>
      </c>
      <c r="C38" s="38" t="s">
        <v>1894</v>
      </c>
      <c r="D38" s="279">
        <v>150000</v>
      </c>
      <c r="E38" s="38">
        <v>2014</v>
      </c>
      <c r="F38" s="40">
        <v>0.105</v>
      </c>
      <c r="G38" s="44">
        <v>34908</v>
      </c>
      <c r="H38" s="44">
        <v>40387</v>
      </c>
      <c r="I38" s="45">
        <v>15</v>
      </c>
      <c r="J38" s="45" t="s">
        <v>1716</v>
      </c>
      <c r="K38" s="39" t="s">
        <v>1716</v>
      </c>
      <c r="L38" s="39" t="s">
        <v>1716</v>
      </c>
      <c r="M38" s="38" t="str">
        <f t="shared" si="0"/>
        <v>Obligation ordinaire</v>
      </c>
    </row>
    <row r="39" spans="1:13" x14ac:dyDescent="0.2">
      <c r="A39" s="38" t="s">
        <v>1512</v>
      </c>
      <c r="B39" s="38">
        <v>2040</v>
      </c>
      <c r="C39" s="38" t="s">
        <v>1583</v>
      </c>
      <c r="D39" s="279">
        <v>100000</v>
      </c>
      <c r="E39" s="38">
        <v>2014</v>
      </c>
      <c r="F39" s="40">
        <v>0.105</v>
      </c>
      <c r="G39" s="44">
        <v>34941</v>
      </c>
      <c r="H39" s="44">
        <v>40420</v>
      </c>
      <c r="I39" s="45">
        <v>15</v>
      </c>
      <c r="J39" s="45" t="s">
        <v>1716</v>
      </c>
      <c r="K39" s="39" t="s">
        <v>1716</v>
      </c>
      <c r="L39" s="39" t="s">
        <v>1716</v>
      </c>
      <c r="M39" s="38" t="str">
        <f t="shared" si="0"/>
        <v>Obligation ordinaire</v>
      </c>
    </row>
    <row r="40" spans="1:13" x14ac:dyDescent="0.2">
      <c r="A40" s="38" t="s">
        <v>1512</v>
      </c>
      <c r="B40" s="38">
        <v>2041</v>
      </c>
      <c r="C40" s="38" t="s">
        <v>1584</v>
      </c>
      <c r="D40" s="279">
        <v>150000</v>
      </c>
      <c r="E40" s="38">
        <v>2014</v>
      </c>
      <c r="F40" s="40">
        <v>0.105</v>
      </c>
      <c r="G40" s="44">
        <v>34971</v>
      </c>
      <c r="H40" s="44">
        <v>40450</v>
      </c>
      <c r="I40" s="45">
        <v>15</v>
      </c>
      <c r="J40" s="45" t="s">
        <v>1716</v>
      </c>
      <c r="K40" s="39" t="s">
        <v>1716</v>
      </c>
      <c r="L40" s="39" t="s">
        <v>1716</v>
      </c>
      <c r="M40" s="38" t="str">
        <f t="shared" si="0"/>
        <v>Obligation ordinaire</v>
      </c>
    </row>
    <row r="41" spans="1:13" x14ac:dyDescent="0.2">
      <c r="A41" s="38" t="s">
        <v>1512</v>
      </c>
      <c r="B41" s="38">
        <v>2042</v>
      </c>
      <c r="C41" s="38" t="s">
        <v>1585</v>
      </c>
      <c r="D41" s="279">
        <v>150000</v>
      </c>
      <c r="E41" s="38">
        <v>2014</v>
      </c>
      <c r="F41" s="40">
        <v>0.105</v>
      </c>
      <c r="G41" s="44">
        <v>35027</v>
      </c>
      <c r="H41" s="44">
        <v>40506</v>
      </c>
      <c r="I41" s="45">
        <v>15</v>
      </c>
      <c r="J41" s="45" t="s">
        <v>1716</v>
      </c>
      <c r="K41" s="39" t="s">
        <v>1716</v>
      </c>
      <c r="L41" s="39" t="s">
        <v>1716</v>
      </c>
      <c r="M41" s="38" t="str">
        <f t="shared" si="0"/>
        <v>Obligation ordinaire</v>
      </c>
    </row>
    <row r="42" spans="1:13" x14ac:dyDescent="0.2">
      <c r="A42" s="38" t="s">
        <v>1512</v>
      </c>
      <c r="B42" s="38">
        <v>2043</v>
      </c>
      <c r="C42" s="38" t="s">
        <v>1587</v>
      </c>
      <c r="D42" s="279">
        <v>150000</v>
      </c>
      <c r="E42" s="38">
        <v>2014</v>
      </c>
      <c r="F42" s="40">
        <v>0.105</v>
      </c>
      <c r="G42" s="44">
        <v>35051</v>
      </c>
      <c r="H42" s="44">
        <v>40530</v>
      </c>
      <c r="I42" s="45">
        <v>15</v>
      </c>
      <c r="J42" s="45" t="s">
        <v>1716</v>
      </c>
      <c r="K42" s="39" t="s">
        <v>1716</v>
      </c>
      <c r="L42" s="39" t="s">
        <v>1716</v>
      </c>
      <c r="M42" s="38" t="str">
        <f t="shared" si="0"/>
        <v>Obligation ordinaire</v>
      </c>
    </row>
    <row r="43" spans="1:13" x14ac:dyDescent="0.2">
      <c r="A43" s="38" t="s">
        <v>1512</v>
      </c>
      <c r="B43" s="38">
        <v>2044</v>
      </c>
      <c r="C43" s="38" t="s">
        <v>1588</v>
      </c>
      <c r="D43" s="279">
        <v>100000</v>
      </c>
      <c r="E43" s="38">
        <v>2014</v>
      </c>
      <c r="F43" s="40">
        <v>0.10249999999999999</v>
      </c>
      <c r="G43" s="44">
        <v>35153</v>
      </c>
      <c r="H43" s="44">
        <v>38805</v>
      </c>
      <c r="I43" s="45">
        <v>10</v>
      </c>
      <c r="J43" s="45" t="s">
        <v>1716</v>
      </c>
      <c r="K43" s="39" t="s">
        <v>1716</v>
      </c>
      <c r="L43" s="39" t="s">
        <v>1716</v>
      </c>
      <c r="M43" s="38" t="str">
        <f t="shared" si="0"/>
        <v>Obligation ordinaire</v>
      </c>
    </row>
    <row r="44" spans="1:13" x14ac:dyDescent="0.2">
      <c r="A44" s="38" t="s">
        <v>1512</v>
      </c>
      <c r="B44" s="38">
        <v>2045</v>
      </c>
      <c r="C44" s="38" t="s">
        <v>1589</v>
      </c>
      <c r="D44" s="279">
        <v>100000</v>
      </c>
      <c r="E44" s="38">
        <v>2014</v>
      </c>
      <c r="F44" s="40">
        <v>0.10249999999999999</v>
      </c>
      <c r="G44" s="44">
        <v>35181</v>
      </c>
      <c r="H44" s="44">
        <v>38833</v>
      </c>
      <c r="I44" s="45">
        <v>10</v>
      </c>
      <c r="J44" s="45" t="s">
        <v>1716</v>
      </c>
      <c r="K44" s="39" t="s">
        <v>1716</v>
      </c>
      <c r="L44" s="39" t="s">
        <v>1716</v>
      </c>
      <c r="M44" s="38" t="str">
        <f t="shared" si="0"/>
        <v>Obligation ordinaire</v>
      </c>
    </row>
    <row r="45" spans="1:13" x14ac:dyDescent="0.2">
      <c r="A45" s="38" t="s">
        <v>1512</v>
      </c>
      <c r="B45" s="38">
        <v>2046</v>
      </c>
      <c r="C45" s="38" t="s">
        <v>1591</v>
      </c>
      <c r="D45" s="279">
        <v>100000</v>
      </c>
      <c r="E45" s="38">
        <v>2014</v>
      </c>
      <c r="F45" s="40">
        <v>0.10249999999999999</v>
      </c>
      <c r="G45" s="44">
        <v>35207</v>
      </c>
      <c r="H45" s="44">
        <v>38859</v>
      </c>
      <c r="I45" s="45">
        <v>10</v>
      </c>
      <c r="J45" s="45" t="s">
        <v>1716</v>
      </c>
      <c r="K45" s="39" t="s">
        <v>1716</v>
      </c>
      <c r="L45" s="39" t="s">
        <v>1716</v>
      </c>
      <c r="M45" s="38" t="str">
        <f t="shared" si="0"/>
        <v>Obligation ordinaire</v>
      </c>
    </row>
    <row r="46" spans="1:13" x14ac:dyDescent="0.2">
      <c r="A46" s="38" t="s">
        <v>1512</v>
      </c>
      <c r="B46" s="38">
        <v>2047</v>
      </c>
      <c r="C46" s="38" t="s">
        <v>1593</v>
      </c>
      <c r="D46" s="279">
        <v>100000</v>
      </c>
      <c r="E46" s="38">
        <v>2014</v>
      </c>
      <c r="F46" s="40">
        <v>0.10249999999999999</v>
      </c>
      <c r="G46" s="44">
        <v>35228</v>
      </c>
      <c r="H46" s="44">
        <v>38880</v>
      </c>
      <c r="I46" s="45">
        <v>10</v>
      </c>
      <c r="J46" s="45" t="s">
        <v>1716</v>
      </c>
      <c r="K46" s="39" t="s">
        <v>1716</v>
      </c>
      <c r="L46" s="39" t="s">
        <v>1716</v>
      </c>
      <c r="M46" s="38" t="str">
        <f t="shared" si="0"/>
        <v>Obligation ordinaire</v>
      </c>
    </row>
    <row r="47" spans="1:13" x14ac:dyDescent="0.2">
      <c r="A47" s="38" t="s">
        <v>1512</v>
      </c>
      <c r="B47" s="38">
        <v>2048</v>
      </c>
      <c r="C47" s="38" t="s">
        <v>1885</v>
      </c>
      <c r="D47" s="279">
        <v>100000</v>
      </c>
      <c r="E47" s="38">
        <v>2014</v>
      </c>
      <c r="F47" s="40">
        <v>0.10249999999999999</v>
      </c>
      <c r="G47" s="44">
        <v>35279</v>
      </c>
      <c r="H47" s="44">
        <v>38931</v>
      </c>
      <c r="I47" s="45">
        <v>10</v>
      </c>
      <c r="J47" s="45" t="s">
        <v>1716</v>
      </c>
      <c r="K47" s="39" t="s">
        <v>1716</v>
      </c>
      <c r="L47" s="39" t="s">
        <v>1716</v>
      </c>
      <c r="M47" s="38" t="str">
        <f t="shared" si="0"/>
        <v>Obligation ordinaire</v>
      </c>
    </row>
    <row r="48" spans="1:13" x14ac:dyDescent="0.2">
      <c r="A48" s="38" t="s">
        <v>1512</v>
      </c>
      <c r="B48" s="38">
        <v>2049</v>
      </c>
      <c r="C48" s="38" t="s">
        <v>467</v>
      </c>
      <c r="D48" s="279">
        <v>100000</v>
      </c>
      <c r="E48" s="38">
        <v>2014</v>
      </c>
      <c r="F48" s="40">
        <v>0.1</v>
      </c>
      <c r="G48" s="44">
        <v>35419</v>
      </c>
      <c r="H48" s="44">
        <v>37245</v>
      </c>
      <c r="I48" s="45">
        <v>5</v>
      </c>
      <c r="J48" s="45" t="s">
        <v>1716</v>
      </c>
      <c r="K48" s="39" t="s">
        <v>1716</v>
      </c>
      <c r="L48" s="39" t="s">
        <v>1716</v>
      </c>
      <c r="M48" s="38" t="str">
        <f t="shared" si="0"/>
        <v>Obligation ordinaire</v>
      </c>
    </row>
    <row r="49" spans="1:13" x14ac:dyDescent="0.2">
      <c r="A49" s="38" t="s">
        <v>1512</v>
      </c>
      <c r="B49" s="38">
        <v>2050</v>
      </c>
      <c r="C49" s="38" t="s">
        <v>308</v>
      </c>
      <c r="D49" s="279">
        <v>150000</v>
      </c>
      <c r="E49" s="38">
        <v>2014</v>
      </c>
      <c r="F49" s="40">
        <v>0.10249999999999999</v>
      </c>
      <c r="G49" s="44">
        <v>35513</v>
      </c>
      <c r="H49" s="44">
        <v>40992</v>
      </c>
      <c r="I49" s="45">
        <v>15</v>
      </c>
      <c r="J49" s="45" t="s">
        <v>1716</v>
      </c>
      <c r="K49" s="39" t="s">
        <v>1716</v>
      </c>
      <c r="L49" s="39" t="s">
        <v>1716</v>
      </c>
      <c r="M49" s="38" t="str">
        <f t="shared" si="0"/>
        <v>Obligation ordinaire</v>
      </c>
    </row>
    <row r="50" spans="1:13" x14ac:dyDescent="0.2">
      <c r="A50" s="38" t="s">
        <v>1512</v>
      </c>
      <c r="B50" s="38">
        <v>2051</v>
      </c>
      <c r="C50" s="38" t="s">
        <v>2000</v>
      </c>
      <c r="D50" s="279">
        <v>150000</v>
      </c>
      <c r="E50" s="38">
        <v>2009</v>
      </c>
      <c r="F50" s="40">
        <v>0.1275</v>
      </c>
      <c r="G50" s="44">
        <v>33900</v>
      </c>
      <c r="H50" s="44">
        <v>39378</v>
      </c>
      <c r="I50" s="45">
        <v>15</v>
      </c>
      <c r="J50" s="45" t="s">
        <v>1716</v>
      </c>
      <c r="K50" s="39" t="s">
        <v>1716</v>
      </c>
      <c r="L50" s="39" t="s">
        <v>1716</v>
      </c>
      <c r="M50" s="38" t="str">
        <f t="shared" si="0"/>
        <v>Obligation ordinaire</v>
      </c>
    </row>
    <row r="51" spans="1:13" x14ac:dyDescent="0.2">
      <c r="A51" s="38" t="s">
        <v>1512</v>
      </c>
      <c r="B51" s="38">
        <v>2052</v>
      </c>
      <c r="C51" s="38" t="s">
        <v>1058</v>
      </c>
      <c r="D51" s="279">
        <v>150000</v>
      </c>
      <c r="E51" s="38">
        <v>2009</v>
      </c>
      <c r="F51" s="40">
        <v>0.1275</v>
      </c>
      <c r="G51" s="44">
        <v>33963</v>
      </c>
      <c r="H51" s="44">
        <v>37615</v>
      </c>
      <c r="I51" s="45">
        <v>10</v>
      </c>
      <c r="J51" s="45" t="s">
        <v>1716</v>
      </c>
      <c r="K51" s="39" t="s">
        <v>1716</v>
      </c>
      <c r="L51" s="39" t="s">
        <v>1716</v>
      </c>
      <c r="M51" s="38" t="str">
        <f t="shared" si="0"/>
        <v>Obligation ordinaire</v>
      </c>
    </row>
    <row r="52" spans="1:13" x14ac:dyDescent="0.2">
      <c r="A52" s="38" t="s">
        <v>1512</v>
      </c>
      <c r="B52" s="38">
        <v>2053</v>
      </c>
      <c r="C52" s="38" t="s">
        <v>73</v>
      </c>
      <c r="D52" s="279">
        <v>150000</v>
      </c>
      <c r="E52" s="38">
        <v>2009</v>
      </c>
      <c r="F52" s="40">
        <v>0.1275</v>
      </c>
      <c r="G52" s="44">
        <v>34071</v>
      </c>
      <c r="H52" s="44">
        <v>37723</v>
      </c>
      <c r="I52" s="45">
        <v>10</v>
      </c>
      <c r="J52" s="45" t="s">
        <v>1716</v>
      </c>
      <c r="K52" s="39" t="s">
        <v>1716</v>
      </c>
      <c r="L52" s="39" t="s">
        <v>1716</v>
      </c>
      <c r="M52" s="38" t="str">
        <f t="shared" si="0"/>
        <v>Obligation ordinaire</v>
      </c>
    </row>
    <row r="53" spans="1:13" x14ac:dyDescent="0.2">
      <c r="A53" s="38" t="s">
        <v>1512</v>
      </c>
      <c r="B53" s="38">
        <v>2054</v>
      </c>
      <c r="C53" s="38" t="s">
        <v>74</v>
      </c>
      <c r="D53" s="279">
        <v>200000</v>
      </c>
      <c r="E53" s="38">
        <v>2009</v>
      </c>
      <c r="F53" s="40">
        <v>0.1275</v>
      </c>
      <c r="G53" s="44">
        <v>34207</v>
      </c>
      <c r="H53" s="44">
        <v>37859</v>
      </c>
      <c r="I53" s="45">
        <v>10</v>
      </c>
      <c r="J53" s="45" t="s">
        <v>1716</v>
      </c>
      <c r="K53" s="39" t="s">
        <v>1716</v>
      </c>
      <c r="L53" s="39" t="s">
        <v>1716</v>
      </c>
      <c r="M53" s="38" t="str">
        <f t="shared" si="0"/>
        <v>Obligation ordinaire</v>
      </c>
    </row>
    <row r="54" spans="1:13" x14ac:dyDescent="0.2">
      <c r="A54" s="38" t="s">
        <v>1512</v>
      </c>
      <c r="B54" s="38">
        <v>2055</v>
      </c>
      <c r="C54" s="38" t="s">
        <v>1669</v>
      </c>
      <c r="D54" s="279">
        <v>200000</v>
      </c>
      <c r="E54" s="38">
        <v>2009</v>
      </c>
      <c r="F54" s="40">
        <v>0.1275</v>
      </c>
      <c r="G54" s="44">
        <v>34299</v>
      </c>
      <c r="H54" s="44">
        <v>37951</v>
      </c>
      <c r="I54" s="45">
        <v>10</v>
      </c>
      <c r="J54" s="45" t="s">
        <v>1716</v>
      </c>
      <c r="K54" s="39" t="s">
        <v>1716</v>
      </c>
      <c r="L54" s="39" t="s">
        <v>1716</v>
      </c>
      <c r="M54" s="38" t="str">
        <f t="shared" si="0"/>
        <v>Obligation ordinaire</v>
      </c>
    </row>
    <row r="55" spans="1:13" x14ac:dyDescent="0.2">
      <c r="A55" s="38" t="s">
        <v>1512</v>
      </c>
      <c r="B55" s="38">
        <v>2056</v>
      </c>
      <c r="C55" s="38" t="s">
        <v>1670</v>
      </c>
      <c r="D55" s="279">
        <v>100000</v>
      </c>
      <c r="E55" s="38">
        <v>2009</v>
      </c>
      <c r="F55" s="40">
        <v>0.11</v>
      </c>
      <c r="G55" s="44">
        <v>34509</v>
      </c>
      <c r="H55" s="44">
        <v>38162</v>
      </c>
      <c r="I55" s="45">
        <v>10</v>
      </c>
      <c r="J55" s="45" t="s">
        <v>1716</v>
      </c>
      <c r="K55" s="39" t="s">
        <v>1716</v>
      </c>
      <c r="L55" s="39" t="s">
        <v>1014</v>
      </c>
      <c r="M55" s="38" t="str">
        <f t="shared" si="0"/>
        <v>Obligation ordinaire</v>
      </c>
    </row>
    <row r="56" spans="1:13" x14ac:dyDescent="0.2">
      <c r="A56" s="38" t="s">
        <v>1512</v>
      </c>
      <c r="B56" s="38">
        <v>2057</v>
      </c>
      <c r="C56" s="38" t="s">
        <v>1671</v>
      </c>
      <c r="D56" s="279">
        <v>100000</v>
      </c>
      <c r="E56" s="38">
        <v>2009</v>
      </c>
      <c r="F56" s="40">
        <v>0.105</v>
      </c>
      <c r="G56" s="44">
        <v>34610</v>
      </c>
      <c r="H56" s="44">
        <v>37167</v>
      </c>
      <c r="I56" s="45">
        <v>7</v>
      </c>
      <c r="J56" s="45" t="s">
        <v>1716</v>
      </c>
      <c r="K56" s="39" t="s">
        <v>1716</v>
      </c>
      <c r="L56" s="39" t="s">
        <v>1014</v>
      </c>
      <c r="M56" s="38" t="str">
        <f t="shared" si="0"/>
        <v>Obligation ordinaire</v>
      </c>
    </row>
    <row r="57" spans="1:13" x14ac:dyDescent="0.2">
      <c r="A57" s="38" t="s">
        <v>1512</v>
      </c>
      <c r="B57" s="38">
        <v>2058</v>
      </c>
      <c r="C57" s="38" t="s">
        <v>1447</v>
      </c>
      <c r="D57" s="279">
        <v>100000</v>
      </c>
      <c r="E57" s="38">
        <v>2009</v>
      </c>
      <c r="F57" s="40">
        <v>0.105</v>
      </c>
      <c r="G57" s="44">
        <v>34680</v>
      </c>
      <c r="H57" s="44">
        <v>37237</v>
      </c>
      <c r="I57" s="45">
        <v>7</v>
      </c>
      <c r="J57" s="45" t="s">
        <v>1716</v>
      </c>
      <c r="K57" s="39" t="s">
        <v>1716</v>
      </c>
      <c r="L57" s="39" t="s">
        <v>1716</v>
      </c>
      <c r="M57" s="38" t="str">
        <f t="shared" si="0"/>
        <v>Obligation ordinaire</v>
      </c>
    </row>
    <row r="58" spans="1:13" x14ac:dyDescent="0.2">
      <c r="A58" s="38" t="s">
        <v>1512</v>
      </c>
      <c r="B58" s="38">
        <v>2059</v>
      </c>
      <c r="C58" s="38" t="s">
        <v>1566</v>
      </c>
      <c r="D58" s="279">
        <v>100000</v>
      </c>
      <c r="E58" s="38">
        <v>2009</v>
      </c>
      <c r="F58" s="40">
        <v>0.10249999999999999</v>
      </c>
      <c r="G58" s="44">
        <v>34816</v>
      </c>
      <c r="H58" s="44">
        <v>37373</v>
      </c>
      <c r="I58" s="45">
        <v>7</v>
      </c>
      <c r="J58" s="45" t="s">
        <v>1716</v>
      </c>
      <c r="K58" s="39" t="s">
        <v>1716</v>
      </c>
      <c r="L58" s="39" t="s">
        <v>1716</v>
      </c>
      <c r="M58" s="38" t="str">
        <f t="shared" si="0"/>
        <v>Obligation ordinaire</v>
      </c>
    </row>
    <row r="59" spans="1:13" x14ac:dyDescent="0.2">
      <c r="A59" s="38" t="s">
        <v>1512</v>
      </c>
      <c r="B59" s="38">
        <v>2060</v>
      </c>
      <c r="C59" s="38" t="s">
        <v>1667</v>
      </c>
      <c r="D59" s="279">
        <v>100000</v>
      </c>
      <c r="E59" s="38">
        <v>2009</v>
      </c>
      <c r="F59" s="40">
        <v>0.1</v>
      </c>
      <c r="G59" s="44">
        <v>34915</v>
      </c>
      <c r="H59" s="44">
        <v>37837</v>
      </c>
      <c r="I59" s="45">
        <v>8</v>
      </c>
      <c r="J59" s="45" t="s">
        <v>1716</v>
      </c>
      <c r="K59" s="39" t="s">
        <v>1716</v>
      </c>
      <c r="L59" s="39" t="s">
        <v>1716</v>
      </c>
      <c r="M59" s="38" t="str">
        <f t="shared" si="0"/>
        <v>Obligation ordinaire</v>
      </c>
    </row>
    <row r="60" spans="1:13" x14ac:dyDescent="0.2">
      <c r="A60" s="38" t="s">
        <v>1512</v>
      </c>
      <c r="B60" s="38">
        <v>2061</v>
      </c>
      <c r="C60" s="38" t="s">
        <v>549</v>
      </c>
      <c r="D60" s="279">
        <v>100000</v>
      </c>
      <c r="E60" s="38">
        <v>2009</v>
      </c>
      <c r="F60" s="40">
        <v>0.1</v>
      </c>
      <c r="G60" s="44">
        <v>35019</v>
      </c>
      <c r="H60" s="44">
        <v>37941</v>
      </c>
      <c r="I60" s="45">
        <v>8</v>
      </c>
      <c r="J60" s="45" t="s">
        <v>1716</v>
      </c>
      <c r="K60" s="39" t="s">
        <v>1716</v>
      </c>
      <c r="L60" s="39" t="s">
        <v>1716</v>
      </c>
      <c r="M60" s="38" t="str">
        <f t="shared" si="0"/>
        <v>Obligation ordinaire</v>
      </c>
    </row>
    <row r="61" spans="1:13" x14ac:dyDescent="0.2">
      <c r="A61" s="38" t="s">
        <v>1512</v>
      </c>
      <c r="B61" s="38">
        <v>2062</v>
      </c>
      <c r="C61" s="38" t="s">
        <v>550</v>
      </c>
      <c r="D61" s="279">
        <v>100000</v>
      </c>
      <c r="E61" s="38">
        <v>2009</v>
      </c>
      <c r="F61" s="40">
        <v>0.1</v>
      </c>
      <c r="G61" s="44">
        <v>35145</v>
      </c>
      <c r="H61" s="44">
        <v>38067</v>
      </c>
      <c r="I61" s="45">
        <v>8</v>
      </c>
      <c r="J61" s="45" t="s">
        <v>1716</v>
      </c>
      <c r="K61" s="39" t="s">
        <v>1716</v>
      </c>
      <c r="L61" s="39" t="s">
        <v>1716</v>
      </c>
      <c r="M61" s="38" t="str">
        <f t="shared" si="0"/>
        <v>Obligation ordinaire</v>
      </c>
    </row>
    <row r="62" spans="1:13" x14ac:dyDescent="0.2">
      <c r="A62" s="38" t="s">
        <v>1512</v>
      </c>
      <c r="B62" s="38">
        <v>2063</v>
      </c>
      <c r="C62" s="38" t="s">
        <v>1988</v>
      </c>
      <c r="D62" s="279">
        <v>300000</v>
      </c>
      <c r="E62" s="38">
        <v>2009</v>
      </c>
      <c r="F62" s="40">
        <v>0.1</v>
      </c>
      <c r="G62" s="44">
        <v>35201</v>
      </c>
      <c r="H62" s="44">
        <v>38123</v>
      </c>
      <c r="I62" s="45">
        <v>8</v>
      </c>
      <c r="J62" s="45" t="s">
        <v>1716</v>
      </c>
      <c r="K62" s="39" t="s">
        <v>1716</v>
      </c>
      <c r="L62" s="39" t="s">
        <v>1716</v>
      </c>
      <c r="M62" s="38" t="str">
        <f t="shared" si="0"/>
        <v>Obligation ordinaire</v>
      </c>
    </row>
    <row r="63" spans="1:13" x14ac:dyDescent="0.2">
      <c r="A63" s="38" t="s">
        <v>1512</v>
      </c>
      <c r="B63" s="38">
        <v>2064</v>
      </c>
      <c r="C63" s="38" t="s">
        <v>1048</v>
      </c>
      <c r="D63" s="279">
        <v>10000</v>
      </c>
      <c r="E63" s="38">
        <v>2009</v>
      </c>
      <c r="F63" s="40">
        <v>7.9500000000000001E-2</v>
      </c>
      <c r="G63" s="44">
        <v>36150</v>
      </c>
      <c r="H63" s="44">
        <v>37976</v>
      </c>
      <c r="I63" s="45">
        <v>5</v>
      </c>
      <c r="J63" s="45" t="s">
        <v>1716</v>
      </c>
      <c r="K63" s="39" t="s">
        <v>1716</v>
      </c>
      <c r="L63" s="39" t="s">
        <v>1716</v>
      </c>
      <c r="M63" s="38" t="str">
        <f t="shared" si="0"/>
        <v>Obligation ordinaire</v>
      </c>
    </row>
    <row r="64" spans="1:13" x14ac:dyDescent="0.2">
      <c r="A64" s="38" t="s">
        <v>1512</v>
      </c>
      <c r="B64" s="38">
        <v>2065</v>
      </c>
      <c r="C64" s="38" t="s">
        <v>1051</v>
      </c>
      <c r="D64" s="279">
        <v>10000</v>
      </c>
      <c r="E64" s="38">
        <v>2014</v>
      </c>
      <c r="F64" s="40">
        <v>8.4000000000000005E-2</v>
      </c>
      <c r="G64" s="44">
        <v>36126</v>
      </c>
      <c r="H64" s="44">
        <v>39779</v>
      </c>
      <c r="I64" s="45">
        <v>10</v>
      </c>
      <c r="J64" s="45" t="s">
        <v>1716</v>
      </c>
      <c r="K64" s="39" t="s">
        <v>1716</v>
      </c>
      <c r="L64" s="39" t="s">
        <v>1716</v>
      </c>
      <c r="M64" s="38" t="str">
        <f t="shared" si="0"/>
        <v>Obligation ordinaire</v>
      </c>
    </row>
    <row r="65" spans="1:13" x14ac:dyDescent="0.2">
      <c r="A65" s="38" t="s">
        <v>1512</v>
      </c>
      <c r="B65" s="38">
        <v>2066</v>
      </c>
      <c r="C65" s="38" t="s">
        <v>641</v>
      </c>
      <c r="D65" s="279">
        <v>7000</v>
      </c>
      <c r="E65" s="38">
        <v>1002</v>
      </c>
      <c r="F65" s="40">
        <v>0.08</v>
      </c>
      <c r="G65" s="44">
        <v>36228</v>
      </c>
      <c r="H65" s="44">
        <v>38785</v>
      </c>
      <c r="I65" s="45">
        <v>7</v>
      </c>
      <c r="J65" s="45" t="s">
        <v>1716</v>
      </c>
      <c r="K65" s="39" t="s">
        <v>1716</v>
      </c>
      <c r="L65" s="39" t="s">
        <v>1716</v>
      </c>
      <c r="M65" s="38" t="str">
        <f t="shared" si="0"/>
        <v>Obligation ordinaire</v>
      </c>
    </row>
    <row r="66" spans="1:13" x14ac:dyDescent="0.2">
      <c r="A66" s="38" t="s">
        <v>1512</v>
      </c>
      <c r="B66" s="38">
        <v>2067</v>
      </c>
      <c r="C66" s="38" t="s">
        <v>642</v>
      </c>
      <c r="D66" s="279">
        <v>15000</v>
      </c>
      <c r="E66" s="38">
        <v>2014</v>
      </c>
      <c r="F66" s="40">
        <v>8.5000000000000006E-2</v>
      </c>
      <c r="G66" s="44">
        <v>36241</v>
      </c>
      <c r="H66" s="44">
        <v>41720</v>
      </c>
      <c r="I66" s="45">
        <v>15</v>
      </c>
      <c r="J66" s="45" t="s">
        <v>1716</v>
      </c>
      <c r="K66" s="39" t="s">
        <v>1716</v>
      </c>
      <c r="L66" s="39" t="s">
        <v>1716</v>
      </c>
      <c r="M66" s="38" t="str">
        <f t="shared" si="0"/>
        <v>Obligation ordinaire</v>
      </c>
    </row>
    <row r="67" spans="1:13" x14ac:dyDescent="0.2">
      <c r="A67" s="38" t="s">
        <v>1512</v>
      </c>
      <c r="B67" s="38">
        <v>2068</v>
      </c>
      <c r="C67" s="38" t="s">
        <v>646</v>
      </c>
      <c r="D67" s="279">
        <v>10000</v>
      </c>
      <c r="E67" s="38">
        <v>2009</v>
      </c>
      <c r="F67" s="40">
        <v>7.7499999999999999E-2</v>
      </c>
      <c r="G67" s="44">
        <v>36343</v>
      </c>
      <c r="H67" s="44">
        <v>38170</v>
      </c>
      <c r="I67" s="45">
        <v>5</v>
      </c>
      <c r="J67" s="45" t="s">
        <v>1716</v>
      </c>
      <c r="K67" s="39" t="s">
        <v>1716</v>
      </c>
      <c r="L67" s="39" t="s">
        <v>1716</v>
      </c>
      <c r="M67" s="38" t="str">
        <f t="shared" ref="M67:M130" si="2">+A67</f>
        <v>Obligation ordinaire</v>
      </c>
    </row>
    <row r="68" spans="1:13" x14ac:dyDescent="0.2">
      <c r="A68" s="38" t="s">
        <v>1512</v>
      </c>
      <c r="B68" s="38">
        <v>2069</v>
      </c>
      <c r="C68" s="38" t="s">
        <v>1388</v>
      </c>
      <c r="D68" s="279">
        <v>10000</v>
      </c>
      <c r="E68" s="38">
        <v>2009</v>
      </c>
      <c r="F68" s="40">
        <v>6.25E-2</v>
      </c>
      <c r="G68" s="44">
        <v>36466</v>
      </c>
      <c r="H68" s="44">
        <v>38293</v>
      </c>
      <c r="I68" s="45">
        <v>5</v>
      </c>
      <c r="J68" s="45" t="s">
        <v>1716</v>
      </c>
      <c r="K68" s="39" t="s">
        <v>1716</v>
      </c>
      <c r="L68" s="39" t="s">
        <v>1716</v>
      </c>
      <c r="M68" s="38" t="str">
        <f t="shared" si="2"/>
        <v>Obligation ordinaire</v>
      </c>
    </row>
    <row r="69" spans="1:13" x14ac:dyDescent="0.2">
      <c r="A69" s="38" t="s">
        <v>1512</v>
      </c>
      <c r="B69" s="38">
        <v>2070</v>
      </c>
      <c r="C69" s="38" t="s">
        <v>1621</v>
      </c>
      <c r="D69" s="279">
        <v>10000</v>
      </c>
      <c r="E69" s="38">
        <v>2014</v>
      </c>
      <c r="F69" s="40">
        <v>6.3500000000000001E-2</v>
      </c>
      <c r="G69" s="44">
        <v>36584</v>
      </c>
      <c r="H69" s="44">
        <v>40237</v>
      </c>
      <c r="I69" s="45">
        <v>10</v>
      </c>
      <c r="J69" s="45" t="s">
        <v>1716</v>
      </c>
      <c r="K69" s="39" t="s">
        <v>1716</v>
      </c>
      <c r="L69" s="39" t="s">
        <v>1014</v>
      </c>
      <c r="M69" s="38" t="str">
        <f t="shared" si="2"/>
        <v>Obligation ordinaire</v>
      </c>
    </row>
    <row r="70" spans="1:13" x14ac:dyDescent="0.2">
      <c r="A70" s="38" t="s">
        <v>1512</v>
      </c>
      <c r="B70" s="38">
        <v>2071</v>
      </c>
      <c r="C70" s="38" t="s">
        <v>1622</v>
      </c>
      <c r="D70" s="279">
        <v>10000</v>
      </c>
      <c r="E70" s="38">
        <v>2014</v>
      </c>
      <c r="F70" s="40">
        <v>5.8499999999999996E-2</v>
      </c>
      <c r="G70" s="44">
        <v>36644</v>
      </c>
      <c r="H70" s="44">
        <v>38470</v>
      </c>
      <c r="I70" s="45">
        <v>5</v>
      </c>
      <c r="J70" s="45" t="s">
        <v>1716</v>
      </c>
      <c r="K70" s="39" t="s">
        <v>1716</v>
      </c>
      <c r="L70" s="39" t="s">
        <v>1014</v>
      </c>
      <c r="M70" s="38" t="str">
        <f t="shared" si="2"/>
        <v>Obligation ordinaire</v>
      </c>
    </row>
    <row r="71" spans="1:13" x14ac:dyDescent="0.2">
      <c r="A71" s="38" t="s">
        <v>536</v>
      </c>
      <c r="B71" s="38">
        <v>2072</v>
      </c>
      <c r="C71" s="38" t="s">
        <v>1511</v>
      </c>
      <c r="D71" s="279">
        <v>700</v>
      </c>
      <c r="E71" s="38">
        <v>2008</v>
      </c>
      <c r="F71" s="40">
        <v>4.2500000000000003E-2</v>
      </c>
      <c r="G71" s="44">
        <v>36526</v>
      </c>
      <c r="H71" s="44">
        <v>39326</v>
      </c>
      <c r="I71" s="45">
        <v>7</v>
      </c>
      <c r="J71" s="45" t="s">
        <v>1716</v>
      </c>
      <c r="K71" s="39" t="s">
        <v>1716</v>
      </c>
      <c r="L71" s="39" t="s">
        <v>1014</v>
      </c>
      <c r="M71" s="38" t="str">
        <f t="shared" si="2"/>
        <v>Obligation convertible</v>
      </c>
    </row>
    <row r="72" spans="1:13" x14ac:dyDescent="0.2">
      <c r="A72" s="38" t="s">
        <v>1512</v>
      </c>
      <c r="B72" s="38">
        <v>2073</v>
      </c>
      <c r="C72" s="38" t="s">
        <v>1623</v>
      </c>
      <c r="D72" s="279">
        <v>10000</v>
      </c>
      <c r="E72" s="38">
        <v>2009</v>
      </c>
      <c r="F72" s="40">
        <v>7.0000000000000007E-2</v>
      </c>
      <c r="G72" s="44">
        <v>37064</v>
      </c>
      <c r="H72" s="44">
        <v>38890</v>
      </c>
      <c r="I72" s="45">
        <v>5</v>
      </c>
      <c r="J72" s="45" t="s">
        <v>1716</v>
      </c>
      <c r="K72" s="39" t="s">
        <v>1716</v>
      </c>
      <c r="L72" s="39" t="s">
        <v>1624</v>
      </c>
      <c r="M72" s="38" t="str">
        <f t="shared" si="2"/>
        <v>Obligation ordinaire</v>
      </c>
    </row>
    <row r="73" spans="1:13" x14ac:dyDescent="0.2">
      <c r="A73" s="38" t="s">
        <v>1512</v>
      </c>
      <c r="B73" s="38">
        <v>9000</v>
      </c>
      <c r="C73" s="38" t="s">
        <v>1627</v>
      </c>
      <c r="D73" s="279">
        <v>250000</v>
      </c>
      <c r="E73" s="38">
        <v>4000</v>
      </c>
      <c r="F73" s="40">
        <v>6.6500000000000004E-2</v>
      </c>
      <c r="G73" s="44">
        <v>36528</v>
      </c>
      <c r="H73" s="44">
        <v>38355</v>
      </c>
      <c r="I73" s="45">
        <v>5</v>
      </c>
      <c r="J73" s="45" t="s">
        <v>1716</v>
      </c>
      <c r="K73" s="39" t="s">
        <v>1716</v>
      </c>
      <c r="L73" s="39" t="s">
        <v>1014</v>
      </c>
      <c r="M73" s="38" t="str">
        <f t="shared" si="2"/>
        <v>Obligation ordinaire</v>
      </c>
    </row>
    <row r="74" spans="1:13" x14ac:dyDescent="0.2">
      <c r="A74" s="38" t="s">
        <v>1512</v>
      </c>
      <c r="B74" s="38">
        <v>9001</v>
      </c>
      <c r="C74" s="38" t="s">
        <v>364</v>
      </c>
      <c r="D74" s="279">
        <v>10000</v>
      </c>
      <c r="E74" s="38">
        <v>2014</v>
      </c>
      <c r="F74" s="40">
        <v>5.8600000000000006E-2</v>
      </c>
      <c r="G74" s="44">
        <v>36644</v>
      </c>
      <c r="H74" s="44">
        <v>38470</v>
      </c>
      <c r="I74" s="45">
        <v>5</v>
      </c>
      <c r="J74" s="45" t="s">
        <v>1716</v>
      </c>
      <c r="K74" s="39" t="s">
        <v>1716</v>
      </c>
      <c r="L74" s="39" t="s">
        <v>1014</v>
      </c>
      <c r="M74" s="38" t="str">
        <f t="shared" si="2"/>
        <v>Obligation ordinaire</v>
      </c>
    </row>
    <row r="75" spans="1:13" x14ac:dyDescent="0.2">
      <c r="A75" s="38" t="s">
        <v>1015</v>
      </c>
      <c r="B75" s="38">
        <v>100001</v>
      </c>
      <c r="C75" s="38" t="s">
        <v>537</v>
      </c>
      <c r="D75" s="279">
        <v>250000</v>
      </c>
      <c r="E75" s="38">
        <v>1001</v>
      </c>
      <c r="F75" s="40">
        <v>0.10249999999999999</v>
      </c>
      <c r="G75" s="44">
        <v>35408</v>
      </c>
      <c r="H75" s="44">
        <v>37234</v>
      </c>
      <c r="I75" s="45">
        <v>5</v>
      </c>
      <c r="J75" s="45" t="s">
        <v>1716</v>
      </c>
      <c r="K75" s="39" t="s">
        <v>1716</v>
      </c>
      <c r="L75" s="39" t="s">
        <v>1014</v>
      </c>
      <c r="M75" s="38" t="str">
        <f t="shared" si="2"/>
        <v>Bon de société de financement</v>
      </c>
    </row>
    <row r="76" spans="1:13" x14ac:dyDescent="0.2">
      <c r="A76" s="38" t="s">
        <v>1015</v>
      </c>
      <c r="B76" s="38">
        <v>100004</v>
      </c>
      <c r="C76" s="38" t="s">
        <v>538</v>
      </c>
      <c r="D76" s="279">
        <v>250000</v>
      </c>
      <c r="E76" s="38">
        <v>1001</v>
      </c>
      <c r="F76" s="40">
        <v>0.10249999999999999</v>
      </c>
      <c r="G76" s="44">
        <v>35464</v>
      </c>
      <c r="H76" s="44">
        <v>37290</v>
      </c>
      <c r="I76" s="45">
        <v>5</v>
      </c>
      <c r="J76" s="45" t="s">
        <v>1716</v>
      </c>
      <c r="K76" s="39" t="s">
        <v>1716</v>
      </c>
      <c r="L76" s="39" t="s">
        <v>1014</v>
      </c>
      <c r="M76" s="38" t="str">
        <f t="shared" si="2"/>
        <v>Bon de société de financement</v>
      </c>
    </row>
    <row r="77" spans="1:13" x14ac:dyDescent="0.2">
      <c r="A77" s="38" t="s">
        <v>1015</v>
      </c>
      <c r="B77" s="38">
        <v>100009</v>
      </c>
      <c r="C77" s="38" t="s">
        <v>539</v>
      </c>
      <c r="D77" s="279">
        <v>250000</v>
      </c>
      <c r="E77" s="38">
        <v>1001</v>
      </c>
      <c r="F77" s="40">
        <v>9.8000000000000004E-2</v>
      </c>
      <c r="G77" s="44">
        <v>35552</v>
      </c>
      <c r="H77" s="44">
        <v>37378</v>
      </c>
      <c r="I77" s="45">
        <v>5</v>
      </c>
      <c r="J77" s="45" t="s">
        <v>1716</v>
      </c>
      <c r="K77" s="39" t="s">
        <v>1716</v>
      </c>
      <c r="L77" s="39" t="s">
        <v>1014</v>
      </c>
      <c r="M77" s="38" t="str">
        <f t="shared" si="2"/>
        <v>Bon de société de financement</v>
      </c>
    </row>
    <row r="78" spans="1:13" x14ac:dyDescent="0.2">
      <c r="A78" s="38" t="s">
        <v>1015</v>
      </c>
      <c r="B78" s="38">
        <v>100011</v>
      </c>
      <c r="C78" s="38" t="s">
        <v>1764</v>
      </c>
      <c r="D78" s="279">
        <v>250000</v>
      </c>
      <c r="E78" s="38">
        <v>1001</v>
      </c>
      <c r="F78" s="40">
        <v>9.6000000000000002E-2</v>
      </c>
      <c r="G78" s="44">
        <v>35635</v>
      </c>
      <c r="H78" s="44">
        <v>37096</v>
      </c>
      <c r="I78" s="45">
        <v>4</v>
      </c>
      <c r="J78" s="45" t="s">
        <v>1716</v>
      </c>
      <c r="K78" s="39" t="s">
        <v>1716</v>
      </c>
      <c r="L78" s="39" t="s">
        <v>1014</v>
      </c>
      <c r="M78" s="38" t="str">
        <f t="shared" si="2"/>
        <v>Bon de société de financement</v>
      </c>
    </row>
    <row r="79" spans="1:13" x14ac:dyDescent="0.2">
      <c r="A79" s="38" t="s">
        <v>1015</v>
      </c>
      <c r="B79" s="38">
        <v>100024</v>
      </c>
      <c r="C79" s="38" t="s">
        <v>1717</v>
      </c>
      <c r="D79" s="279">
        <v>250000</v>
      </c>
      <c r="E79" s="38">
        <v>1004</v>
      </c>
      <c r="F79" s="40">
        <v>0.09</v>
      </c>
      <c r="G79" s="44">
        <v>35717</v>
      </c>
      <c r="H79" s="44">
        <v>37543</v>
      </c>
      <c r="I79" s="45">
        <v>5</v>
      </c>
      <c r="J79" s="45" t="s">
        <v>1716</v>
      </c>
      <c r="K79" s="39" t="s">
        <v>1716</v>
      </c>
      <c r="L79" s="39" t="s">
        <v>1014</v>
      </c>
      <c r="M79" s="38" t="str">
        <f t="shared" si="2"/>
        <v>Bon de société de financement</v>
      </c>
    </row>
    <row r="80" spans="1:13" x14ac:dyDescent="0.2">
      <c r="A80" s="38" t="s">
        <v>1015</v>
      </c>
      <c r="B80" s="38">
        <v>100041</v>
      </c>
      <c r="C80" s="38" t="s">
        <v>1718</v>
      </c>
      <c r="D80" s="279">
        <v>250000</v>
      </c>
      <c r="E80" s="38">
        <v>1005</v>
      </c>
      <c r="F80" s="40">
        <v>9.2499999999999999E-2</v>
      </c>
      <c r="G80" s="44">
        <v>35788</v>
      </c>
      <c r="H80" s="44">
        <v>38345</v>
      </c>
      <c r="I80" s="45">
        <v>7</v>
      </c>
      <c r="J80" s="45" t="s">
        <v>1716</v>
      </c>
      <c r="K80" s="39" t="s">
        <v>1716</v>
      </c>
      <c r="L80" s="39" t="s">
        <v>1014</v>
      </c>
      <c r="M80" s="38" t="str">
        <f t="shared" si="2"/>
        <v>Bon de société de financement</v>
      </c>
    </row>
    <row r="81" spans="1:13" x14ac:dyDescent="0.2">
      <c r="A81" s="38" t="s">
        <v>1015</v>
      </c>
      <c r="B81" s="38">
        <v>100044</v>
      </c>
      <c r="C81" s="38" t="s">
        <v>1507</v>
      </c>
      <c r="D81" s="279">
        <v>250000</v>
      </c>
      <c r="E81" s="38">
        <v>1005</v>
      </c>
      <c r="F81" s="40">
        <v>9.1999999999999998E-2</v>
      </c>
      <c r="G81" s="44">
        <v>35794</v>
      </c>
      <c r="H81" s="44">
        <v>38351</v>
      </c>
      <c r="I81" s="45">
        <v>7</v>
      </c>
      <c r="J81" s="45" t="s">
        <v>1716</v>
      </c>
      <c r="K81" s="39" t="s">
        <v>1716</v>
      </c>
      <c r="L81" s="39" t="s">
        <v>1014</v>
      </c>
      <c r="M81" s="38" t="str">
        <f t="shared" si="2"/>
        <v>Bon de société de financement</v>
      </c>
    </row>
    <row r="82" spans="1:13" x14ac:dyDescent="0.2">
      <c r="A82" s="38" t="s">
        <v>1015</v>
      </c>
      <c r="B82" s="38">
        <v>100049</v>
      </c>
      <c r="C82" s="38" t="s">
        <v>1508</v>
      </c>
      <c r="D82" s="279">
        <v>250000</v>
      </c>
      <c r="E82" s="38">
        <v>1004</v>
      </c>
      <c r="F82" s="40">
        <v>9.2499999999999999E-2</v>
      </c>
      <c r="G82" s="44">
        <v>35795</v>
      </c>
      <c r="H82" s="44">
        <v>37621</v>
      </c>
      <c r="I82" s="45">
        <v>5</v>
      </c>
      <c r="J82" s="45" t="s">
        <v>1716</v>
      </c>
      <c r="K82" s="39" t="s">
        <v>1716</v>
      </c>
      <c r="L82" s="39" t="s">
        <v>1014</v>
      </c>
      <c r="M82" s="38" t="str">
        <f t="shared" si="2"/>
        <v>Bon de société de financement</v>
      </c>
    </row>
    <row r="83" spans="1:13" x14ac:dyDescent="0.2">
      <c r="A83" s="38" t="s">
        <v>1015</v>
      </c>
      <c r="B83" s="38">
        <v>100050</v>
      </c>
      <c r="C83" s="38" t="s">
        <v>1509</v>
      </c>
      <c r="D83" s="279">
        <v>250000</v>
      </c>
      <c r="E83" s="38">
        <v>1004</v>
      </c>
      <c r="F83" s="40">
        <v>9.2499999999999999E-2</v>
      </c>
      <c r="G83" s="44">
        <v>35797</v>
      </c>
      <c r="H83" s="44">
        <v>37623</v>
      </c>
      <c r="I83" s="45">
        <v>5</v>
      </c>
      <c r="J83" s="45" t="s">
        <v>1716</v>
      </c>
      <c r="K83" s="39" t="s">
        <v>1716</v>
      </c>
      <c r="L83" s="39" t="s">
        <v>1014</v>
      </c>
      <c r="M83" s="38" t="str">
        <f t="shared" si="2"/>
        <v>Bon de société de financement</v>
      </c>
    </row>
    <row r="84" spans="1:13" x14ac:dyDescent="0.2">
      <c r="A84" s="38" t="s">
        <v>1015</v>
      </c>
      <c r="B84" s="38">
        <v>100052</v>
      </c>
      <c r="C84" s="38" t="s">
        <v>1143</v>
      </c>
      <c r="D84" s="279">
        <v>250000</v>
      </c>
      <c r="E84" s="38">
        <v>1004</v>
      </c>
      <c r="F84" s="40">
        <v>9.2499999999999999E-2</v>
      </c>
      <c r="G84" s="44">
        <v>35800</v>
      </c>
      <c r="H84" s="44">
        <v>37626</v>
      </c>
      <c r="I84" s="45">
        <v>5</v>
      </c>
      <c r="J84" s="45" t="s">
        <v>1716</v>
      </c>
      <c r="K84" s="39" t="s">
        <v>1716</v>
      </c>
      <c r="L84" s="39" t="s">
        <v>1014</v>
      </c>
      <c r="M84" s="38" t="str">
        <f t="shared" si="2"/>
        <v>Bon de société de financement</v>
      </c>
    </row>
    <row r="85" spans="1:13" x14ac:dyDescent="0.2">
      <c r="A85" s="38" t="s">
        <v>1015</v>
      </c>
      <c r="B85" s="38">
        <v>100054</v>
      </c>
      <c r="C85" s="38" t="s">
        <v>1646</v>
      </c>
      <c r="D85" s="279">
        <v>250000</v>
      </c>
      <c r="E85" s="38">
        <v>1004</v>
      </c>
      <c r="F85" s="40">
        <v>9.2499999999999999E-2</v>
      </c>
      <c r="G85" s="44">
        <v>35801</v>
      </c>
      <c r="H85" s="44">
        <v>37627</v>
      </c>
      <c r="I85" s="45">
        <v>5</v>
      </c>
      <c r="J85" s="45" t="s">
        <v>1716</v>
      </c>
      <c r="K85" s="39" t="s">
        <v>1716</v>
      </c>
      <c r="L85" s="39" t="s">
        <v>1014</v>
      </c>
      <c r="M85" s="38" t="str">
        <f t="shared" si="2"/>
        <v>Bon de société de financement</v>
      </c>
    </row>
    <row r="86" spans="1:13" x14ac:dyDescent="0.2">
      <c r="A86" s="38" t="s">
        <v>1015</v>
      </c>
      <c r="B86" s="38">
        <v>100065</v>
      </c>
      <c r="C86" s="38" t="s">
        <v>1647</v>
      </c>
      <c r="D86" s="279">
        <v>250000</v>
      </c>
      <c r="E86" s="38">
        <v>2033</v>
      </c>
      <c r="F86" s="40">
        <v>0.09</v>
      </c>
      <c r="G86" s="44">
        <v>35870</v>
      </c>
      <c r="H86" s="44">
        <v>37695</v>
      </c>
      <c r="I86" s="45">
        <v>5</v>
      </c>
      <c r="J86" s="45" t="s">
        <v>1716</v>
      </c>
      <c r="K86" s="39" t="s">
        <v>1716</v>
      </c>
      <c r="L86" s="39" t="s">
        <v>1014</v>
      </c>
      <c r="M86" s="38" t="str">
        <f t="shared" si="2"/>
        <v>Bon de société de financement</v>
      </c>
    </row>
    <row r="87" spans="1:13" x14ac:dyDescent="0.2">
      <c r="A87" s="38" t="s">
        <v>1015</v>
      </c>
      <c r="B87" s="38">
        <v>100066</v>
      </c>
      <c r="C87" s="38" t="s">
        <v>1648</v>
      </c>
      <c r="D87" s="279">
        <v>250000</v>
      </c>
      <c r="E87" s="38">
        <v>2033</v>
      </c>
      <c r="F87" s="40">
        <v>0.09</v>
      </c>
      <c r="G87" s="44">
        <v>35871</v>
      </c>
      <c r="H87" s="44">
        <v>37696</v>
      </c>
      <c r="I87" s="45">
        <v>5</v>
      </c>
      <c r="J87" s="45" t="s">
        <v>1716</v>
      </c>
      <c r="K87" s="39" t="s">
        <v>1716</v>
      </c>
      <c r="L87" s="39" t="s">
        <v>1014</v>
      </c>
      <c r="M87" s="38" t="str">
        <f t="shared" si="2"/>
        <v>Bon de société de financement</v>
      </c>
    </row>
    <row r="88" spans="1:13" x14ac:dyDescent="0.2">
      <c r="A88" s="38" t="s">
        <v>1015</v>
      </c>
      <c r="B88" s="38">
        <v>100083</v>
      </c>
      <c r="C88" s="38" t="s">
        <v>1183</v>
      </c>
      <c r="D88" s="279">
        <v>250000</v>
      </c>
      <c r="E88" s="38">
        <v>1006</v>
      </c>
      <c r="F88" s="40">
        <v>8.4499999999999992E-2</v>
      </c>
      <c r="G88" s="44">
        <v>35992</v>
      </c>
      <c r="H88" s="44">
        <v>37087</v>
      </c>
      <c r="I88" s="45">
        <v>3</v>
      </c>
      <c r="J88" s="45" t="s">
        <v>1716</v>
      </c>
      <c r="K88" s="39" t="s">
        <v>1716</v>
      </c>
      <c r="L88" s="39" t="s">
        <v>1014</v>
      </c>
      <c r="M88" s="38" t="str">
        <f t="shared" si="2"/>
        <v>Bon de société de financement</v>
      </c>
    </row>
    <row r="89" spans="1:13" x14ac:dyDescent="0.2">
      <c r="A89" s="38" t="s">
        <v>1015</v>
      </c>
      <c r="B89" s="38">
        <v>100085</v>
      </c>
      <c r="C89" s="38" t="s">
        <v>454</v>
      </c>
      <c r="D89" s="279">
        <v>250000</v>
      </c>
      <c r="E89" s="38">
        <v>1006</v>
      </c>
      <c r="F89" s="40">
        <v>8.4499999999999992E-2</v>
      </c>
      <c r="G89" s="44">
        <v>36005</v>
      </c>
      <c r="H89" s="44">
        <v>37100</v>
      </c>
      <c r="I89" s="45">
        <v>3</v>
      </c>
      <c r="J89" s="45" t="s">
        <v>1716</v>
      </c>
      <c r="K89" s="39" t="s">
        <v>1716</v>
      </c>
      <c r="L89" s="39" t="s">
        <v>1014</v>
      </c>
      <c r="M89" s="38" t="str">
        <f t="shared" si="2"/>
        <v>Bon de société de financement</v>
      </c>
    </row>
    <row r="90" spans="1:13" x14ac:dyDescent="0.2">
      <c r="A90" s="38" t="s">
        <v>1015</v>
      </c>
      <c r="B90" s="38">
        <v>100087</v>
      </c>
      <c r="C90" s="38" t="s">
        <v>692</v>
      </c>
      <c r="D90" s="279">
        <v>250000</v>
      </c>
      <c r="E90" s="38">
        <v>1001</v>
      </c>
      <c r="F90" s="40">
        <v>0.08</v>
      </c>
      <c r="G90" s="44">
        <v>36087</v>
      </c>
      <c r="H90" s="44">
        <v>37183</v>
      </c>
      <c r="I90" s="45">
        <v>3</v>
      </c>
      <c r="J90" s="45" t="s">
        <v>1716</v>
      </c>
      <c r="K90" s="39" t="s">
        <v>1716</v>
      </c>
      <c r="L90" s="39" t="s">
        <v>1014</v>
      </c>
      <c r="M90" s="38" t="str">
        <f t="shared" si="2"/>
        <v>Bon de société de financement</v>
      </c>
    </row>
    <row r="91" spans="1:13" x14ac:dyDescent="0.2">
      <c r="A91" s="38" t="s">
        <v>1015</v>
      </c>
      <c r="B91" s="38">
        <v>100088</v>
      </c>
      <c r="C91" s="38" t="s">
        <v>1009</v>
      </c>
      <c r="D91" s="279">
        <v>250000</v>
      </c>
      <c r="E91" s="38">
        <v>1001</v>
      </c>
      <c r="F91" s="40">
        <v>0.08</v>
      </c>
      <c r="G91" s="44">
        <v>36095</v>
      </c>
      <c r="H91" s="44">
        <v>37191</v>
      </c>
      <c r="I91" s="45">
        <v>3</v>
      </c>
      <c r="J91" s="45" t="s">
        <v>1716</v>
      </c>
      <c r="K91" s="39" t="s">
        <v>1716</v>
      </c>
      <c r="L91" s="39" t="s">
        <v>1014</v>
      </c>
      <c r="M91" s="38" t="str">
        <f t="shared" si="2"/>
        <v>Bon de société de financement</v>
      </c>
    </row>
    <row r="92" spans="1:13" x14ac:dyDescent="0.2">
      <c r="A92" s="38" t="s">
        <v>1015</v>
      </c>
      <c r="B92" s="38">
        <v>100089</v>
      </c>
      <c r="C92" s="38" t="s">
        <v>762</v>
      </c>
      <c r="D92" s="279">
        <v>250000</v>
      </c>
      <c r="E92" s="38">
        <v>1003</v>
      </c>
      <c r="F92" s="40">
        <v>7.5999999999999998E-2</v>
      </c>
      <c r="G92" s="44">
        <v>36097</v>
      </c>
      <c r="H92" s="44">
        <v>37193</v>
      </c>
      <c r="I92" s="45">
        <v>3</v>
      </c>
      <c r="J92" s="45" t="s">
        <v>1716</v>
      </c>
      <c r="K92" s="39" t="s">
        <v>1716</v>
      </c>
      <c r="L92" s="39" t="s">
        <v>1014</v>
      </c>
      <c r="M92" s="38" t="str">
        <f t="shared" si="2"/>
        <v>Bon de société de financement</v>
      </c>
    </row>
    <row r="93" spans="1:13" x14ac:dyDescent="0.2">
      <c r="A93" s="38" t="s">
        <v>1015</v>
      </c>
      <c r="B93" s="38">
        <v>100090</v>
      </c>
      <c r="C93" s="38" t="s">
        <v>763</v>
      </c>
      <c r="D93" s="279">
        <v>250000</v>
      </c>
      <c r="E93" s="38">
        <v>1001</v>
      </c>
      <c r="F93" s="40">
        <v>0.08</v>
      </c>
      <c r="G93" s="44">
        <v>36109</v>
      </c>
      <c r="H93" s="44">
        <v>37205</v>
      </c>
      <c r="I93" s="45">
        <v>3</v>
      </c>
      <c r="J93" s="45" t="s">
        <v>1716</v>
      </c>
      <c r="K93" s="39" t="s">
        <v>1716</v>
      </c>
      <c r="L93" s="39" t="s">
        <v>1014</v>
      </c>
      <c r="M93" s="38" t="str">
        <f t="shared" si="2"/>
        <v>Bon de société de financement</v>
      </c>
    </row>
    <row r="94" spans="1:13" x14ac:dyDescent="0.2">
      <c r="A94" s="38" t="s">
        <v>1015</v>
      </c>
      <c r="B94" s="38">
        <v>100091</v>
      </c>
      <c r="C94" s="38" t="s">
        <v>225</v>
      </c>
      <c r="D94" s="279">
        <v>250000</v>
      </c>
      <c r="E94" s="38">
        <v>1001</v>
      </c>
      <c r="F94" s="40">
        <v>0.08</v>
      </c>
      <c r="G94" s="44">
        <v>36112</v>
      </c>
      <c r="H94" s="44">
        <v>37208</v>
      </c>
      <c r="I94" s="45">
        <v>3</v>
      </c>
      <c r="J94" s="45" t="s">
        <v>1716</v>
      </c>
      <c r="K94" s="39" t="s">
        <v>1716</v>
      </c>
      <c r="L94" s="39" t="s">
        <v>1014</v>
      </c>
      <c r="M94" s="38" t="str">
        <f t="shared" si="2"/>
        <v>Bon de société de financement</v>
      </c>
    </row>
    <row r="95" spans="1:13" x14ac:dyDescent="0.2">
      <c r="A95" s="38" t="s">
        <v>1015</v>
      </c>
      <c r="B95" s="38">
        <v>100092</v>
      </c>
      <c r="C95" s="38" t="s">
        <v>226</v>
      </c>
      <c r="D95" s="279">
        <v>250000</v>
      </c>
      <c r="E95" s="38">
        <v>1001</v>
      </c>
      <c r="F95" s="40">
        <v>0.08</v>
      </c>
      <c r="G95" s="44">
        <v>36115</v>
      </c>
      <c r="H95" s="44">
        <v>37211</v>
      </c>
      <c r="I95" s="45">
        <v>3</v>
      </c>
      <c r="J95" s="45" t="s">
        <v>1716</v>
      </c>
      <c r="K95" s="39" t="s">
        <v>1716</v>
      </c>
      <c r="L95" s="39" t="s">
        <v>1014</v>
      </c>
      <c r="M95" s="38" t="str">
        <f t="shared" si="2"/>
        <v>Bon de société de financement</v>
      </c>
    </row>
    <row r="96" spans="1:13" x14ac:dyDescent="0.2">
      <c r="A96" s="38" t="s">
        <v>1015</v>
      </c>
      <c r="B96" s="38">
        <v>100093</v>
      </c>
      <c r="C96" s="38" t="s">
        <v>997</v>
      </c>
      <c r="D96" s="279">
        <v>250000</v>
      </c>
      <c r="E96" s="38">
        <v>1005</v>
      </c>
      <c r="F96" s="40">
        <v>8.2500000000000004E-2</v>
      </c>
      <c r="G96" s="44">
        <v>36129</v>
      </c>
      <c r="H96" s="44">
        <v>38687</v>
      </c>
      <c r="I96" s="45">
        <v>7</v>
      </c>
      <c r="J96" s="45" t="s">
        <v>1716</v>
      </c>
      <c r="K96" s="39" t="s">
        <v>1716</v>
      </c>
      <c r="L96" s="39" t="s">
        <v>1014</v>
      </c>
      <c r="M96" s="38" t="str">
        <f t="shared" si="2"/>
        <v>Bon de société de financement</v>
      </c>
    </row>
    <row r="97" spans="1:13" x14ac:dyDescent="0.2">
      <c r="A97" s="38" t="s">
        <v>1015</v>
      </c>
      <c r="B97" s="38">
        <v>100094</v>
      </c>
      <c r="C97" s="38" t="s">
        <v>998</v>
      </c>
      <c r="D97" s="279">
        <v>250000</v>
      </c>
      <c r="E97" s="38">
        <v>1007</v>
      </c>
      <c r="F97" s="40">
        <v>0.08</v>
      </c>
      <c r="G97" s="44">
        <v>36150</v>
      </c>
      <c r="H97" s="44">
        <v>37976</v>
      </c>
      <c r="I97" s="45">
        <v>5</v>
      </c>
      <c r="J97" s="45" t="s">
        <v>1716</v>
      </c>
      <c r="K97" s="39" t="s">
        <v>1716</v>
      </c>
      <c r="L97" s="39" t="s">
        <v>1014</v>
      </c>
      <c r="M97" s="38" t="str">
        <f t="shared" si="2"/>
        <v>Bon de société de financement</v>
      </c>
    </row>
    <row r="98" spans="1:13" x14ac:dyDescent="0.2">
      <c r="A98" s="38" t="s">
        <v>1015</v>
      </c>
      <c r="B98" s="38">
        <v>100095</v>
      </c>
      <c r="C98" s="38" t="s">
        <v>999</v>
      </c>
      <c r="D98" s="279">
        <v>250000</v>
      </c>
      <c r="E98" s="38">
        <v>3036</v>
      </c>
      <c r="F98" s="40">
        <v>0.08</v>
      </c>
      <c r="G98" s="44">
        <v>36196</v>
      </c>
      <c r="H98" s="44">
        <v>37292</v>
      </c>
      <c r="I98" s="45">
        <v>3</v>
      </c>
      <c r="J98" s="45" t="s">
        <v>1716</v>
      </c>
      <c r="K98" s="39" t="s">
        <v>1716</v>
      </c>
      <c r="L98" s="39" t="s">
        <v>1014</v>
      </c>
      <c r="M98" s="38" t="str">
        <f t="shared" si="2"/>
        <v>Bon de société de financement</v>
      </c>
    </row>
    <row r="99" spans="1:13" x14ac:dyDescent="0.2">
      <c r="A99" s="38" t="s">
        <v>1015</v>
      </c>
      <c r="B99" s="38">
        <v>100096</v>
      </c>
      <c r="C99" s="38" t="s">
        <v>1001</v>
      </c>
      <c r="D99" s="279">
        <v>250000</v>
      </c>
      <c r="E99" s="38">
        <v>1001</v>
      </c>
      <c r="F99" s="40">
        <v>7.7499999999999999E-2</v>
      </c>
      <c r="G99" s="44">
        <v>36202</v>
      </c>
      <c r="H99" s="44">
        <v>37298</v>
      </c>
      <c r="I99" s="45">
        <v>3</v>
      </c>
      <c r="J99" s="45" t="s">
        <v>1716</v>
      </c>
      <c r="K99" s="39" t="s">
        <v>1716</v>
      </c>
      <c r="L99" s="39" t="s">
        <v>1014</v>
      </c>
      <c r="M99" s="38" t="str">
        <f t="shared" si="2"/>
        <v>Bon de société de financement</v>
      </c>
    </row>
    <row r="100" spans="1:13" x14ac:dyDescent="0.2">
      <c r="A100" s="38" t="s">
        <v>1015</v>
      </c>
      <c r="B100" s="38">
        <v>100097</v>
      </c>
      <c r="C100" s="38" t="s">
        <v>928</v>
      </c>
      <c r="D100" s="279">
        <v>250000</v>
      </c>
      <c r="E100" s="38">
        <v>1001</v>
      </c>
      <c r="F100" s="40">
        <v>7.7499999999999999E-2</v>
      </c>
      <c r="G100" s="44">
        <v>36206</v>
      </c>
      <c r="H100" s="44">
        <v>37302</v>
      </c>
      <c r="I100" s="45">
        <v>3</v>
      </c>
      <c r="J100" s="45" t="s">
        <v>1716</v>
      </c>
      <c r="K100" s="39" t="s">
        <v>1716</v>
      </c>
      <c r="L100" s="39" t="s">
        <v>1014</v>
      </c>
      <c r="M100" s="38" t="str">
        <f t="shared" si="2"/>
        <v>Bon de société de financement</v>
      </c>
    </row>
    <row r="101" spans="1:13" x14ac:dyDescent="0.2">
      <c r="A101" s="38" t="s">
        <v>1015</v>
      </c>
      <c r="B101" s="38">
        <v>100098</v>
      </c>
      <c r="C101" s="38" t="s">
        <v>929</v>
      </c>
      <c r="D101" s="279">
        <v>250000</v>
      </c>
      <c r="E101" s="38">
        <v>1009</v>
      </c>
      <c r="F101" s="40">
        <v>0.08</v>
      </c>
      <c r="G101" s="44">
        <v>36255</v>
      </c>
      <c r="H101" s="44">
        <v>37350</v>
      </c>
      <c r="I101" s="45">
        <v>3</v>
      </c>
      <c r="J101" s="45" t="s">
        <v>1716</v>
      </c>
      <c r="K101" s="39" t="s">
        <v>1716</v>
      </c>
      <c r="L101" s="39" t="s">
        <v>1014</v>
      </c>
      <c r="M101" s="38" t="str">
        <f t="shared" si="2"/>
        <v>Bon de société de financement</v>
      </c>
    </row>
    <row r="102" spans="1:13" x14ac:dyDescent="0.2">
      <c r="A102" s="38" t="s">
        <v>1015</v>
      </c>
      <c r="B102" s="38">
        <v>100099</v>
      </c>
      <c r="C102" s="38" t="s">
        <v>930</v>
      </c>
      <c r="D102" s="279">
        <v>250000</v>
      </c>
      <c r="E102" s="38">
        <v>1009</v>
      </c>
      <c r="F102" s="40">
        <v>0.08</v>
      </c>
      <c r="G102" s="44">
        <v>36264</v>
      </c>
      <c r="H102" s="44">
        <v>37359</v>
      </c>
      <c r="I102" s="45">
        <v>3</v>
      </c>
      <c r="J102" s="45" t="s">
        <v>1716</v>
      </c>
      <c r="K102" s="39" t="s">
        <v>1716</v>
      </c>
      <c r="L102" s="39" t="s">
        <v>1014</v>
      </c>
      <c r="M102" s="38" t="str">
        <f t="shared" si="2"/>
        <v>Bon de société de financement</v>
      </c>
    </row>
    <row r="103" spans="1:13" x14ac:dyDescent="0.2">
      <c r="A103" s="38" t="s">
        <v>1015</v>
      </c>
      <c r="B103" s="38">
        <v>100100</v>
      </c>
      <c r="C103" s="38" t="s">
        <v>1016</v>
      </c>
      <c r="D103" s="279">
        <v>250000</v>
      </c>
      <c r="E103" s="38">
        <v>1008</v>
      </c>
      <c r="F103" s="40">
        <v>0.08</v>
      </c>
      <c r="G103" s="44">
        <v>36265</v>
      </c>
      <c r="H103" s="44">
        <v>37361</v>
      </c>
      <c r="I103" s="45">
        <v>3</v>
      </c>
      <c r="J103" s="45" t="s">
        <v>1716</v>
      </c>
      <c r="K103" s="39" t="s">
        <v>1716</v>
      </c>
      <c r="L103" s="39" t="s">
        <v>1014</v>
      </c>
      <c r="M103" s="38" t="str">
        <f t="shared" si="2"/>
        <v>Bon de société de financement</v>
      </c>
    </row>
    <row r="104" spans="1:13" x14ac:dyDescent="0.2">
      <c r="A104" s="38" t="s">
        <v>1015</v>
      </c>
      <c r="B104" s="38">
        <v>100101</v>
      </c>
      <c r="C104" s="38" t="s">
        <v>1017</v>
      </c>
      <c r="D104" s="279">
        <v>250000</v>
      </c>
      <c r="E104" s="38">
        <v>1001</v>
      </c>
      <c r="F104" s="40">
        <v>7.6999999999999999E-2</v>
      </c>
      <c r="G104" s="44">
        <v>36270</v>
      </c>
      <c r="H104" s="44">
        <v>37366</v>
      </c>
      <c r="I104" s="45">
        <v>3</v>
      </c>
      <c r="J104" s="45" t="s">
        <v>1716</v>
      </c>
      <c r="K104" s="39" t="s">
        <v>1716</v>
      </c>
      <c r="L104" s="39" t="s">
        <v>1014</v>
      </c>
      <c r="M104" s="38" t="str">
        <f t="shared" si="2"/>
        <v>Bon de société de financement</v>
      </c>
    </row>
    <row r="105" spans="1:13" x14ac:dyDescent="0.2">
      <c r="A105" s="38" t="s">
        <v>1015</v>
      </c>
      <c r="B105" s="38">
        <v>100102</v>
      </c>
      <c r="C105" s="38" t="s">
        <v>1018</v>
      </c>
      <c r="D105" s="279">
        <v>250000</v>
      </c>
      <c r="E105" s="38">
        <v>1001</v>
      </c>
      <c r="F105" s="40">
        <v>7.6999999999999999E-2</v>
      </c>
      <c r="G105" s="44">
        <v>36280</v>
      </c>
      <c r="H105" s="44">
        <v>37376</v>
      </c>
      <c r="I105" s="45">
        <v>3</v>
      </c>
      <c r="J105" s="45" t="s">
        <v>1716</v>
      </c>
      <c r="K105" s="39" t="s">
        <v>1716</v>
      </c>
      <c r="L105" s="39" t="s">
        <v>1014</v>
      </c>
      <c r="M105" s="38" t="str">
        <f t="shared" si="2"/>
        <v>Bon de société de financement</v>
      </c>
    </row>
    <row r="106" spans="1:13" x14ac:dyDescent="0.2">
      <c r="A106" s="38" t="s">
        <v>1015</v>
      </c>
      <c r="B106" s="38">
        <v>100103</v>
      </c>
      <c r="C106" s="38" t="s">
        <v>1019</v>
      </c>
      <c r="D106" s="279">
        <v>250000</v>
      </c>
      <c r="E106" s="38">
        <v>1001</v>
      </c>
      <c r="F106" s="40">
        <v>7.7499999999999999E-2</v>
      </c>
      <c r="G106" s="44">
        <v>36289</v>
      </c>
      <c r="H106" s="44">
        <v>37385</v>
      </c>
      <c r="I106" s="45">
        <v>3</v>
      </c>
      <c r="J106" s="45" t="s">
        <v>1716</v>
      </c>
      <c r="K106" s="39" t="s">
        <v>1716</v>
      </c>
      <c r="L106" s="39" t="s">
        <v>1014</v>
      </c>
      <c r="M106" s="38" t="str">
        <f t="shared" si="2"/>
        <v>Bon de société de financement</v>
      </c>
    </row>
    <row r="107" spans="1:13" x14ac:dyDescent="0.2">
      <c r="A107" s="38" t="s">
        <v>1015</v>
      </c>
      <c r="B107" s="38">
        <v>100106</v>
      </c>
      <c r="C107" s="38" t="s">
        <v>1020</v>
      </c>
      <c r="D107" s="279">
        <v>250000</v>
      </c>
      <c r="E107" s="38">
        <v>1001</v>
      </c>
      <c r="F107" s="40">
        <v>7.6499999999999999E-2</v>
      </c>
      <c r="G107" s="44">
        <v>36306</v>
      </c>
      <c r="H107" s="44">
        <v>37402</v>
      </c>
      <c r="I107" s="45">
        <v>3</v>
      </c>
      <c r="J107" s="45" t="s">
        <v>1716</v>
      </c>
      <c r="K107" s="39" t="s">
        <v>1716</v>
      </c>
      <c r="L107" s="39" t="s">
        <v>1014</v>
      </c>
      <c r="M107" s="38" t="str">
        <f t="shared" si="2"/>
        <v>Bon de société de financement</v>
      </c>
    </row>
    <row r="108" spans="1:13" x14ac:dyDescent="0.2">
      <c r="A108" s="38" t="s">
        <v>1015</v>
      </c>
      <c r="B108" s="38">
        <v>100107</v>
      </c>
      <c r="C108" s="38" t="s">
        <v>1021</v>
      </c>
      <c r="D108" s="279">
        <v>250000</v>
      </c>
      <c r="E108" s="38">
        <v>1001</v>
      </c>
      <c r="F108" s="40">
        <v>7.6999999999999999E-2</v>
      </c>
      <c r="G108" s="44">
        <v>36306</v>
      </c>
      <c r="H108" s="44">
        <v>37767</v>
      </c>
      <c r="I108" s="45">
        <v>4</v>
      </c>
      <c r="J108" s="45" t="s">
        <v>1716</v>
      </c>
      <c r="K108" s="39" t="s">
        <v>1716</v>
      </c>
      <c r="L108" s="39" t="s">
        <v>1014</v>
      </c>
      <c r="M108" s="38" t="str">
        <f t="shared" si="2"/>
        <v>Bon de société de financement</v>
      </c>
    </row>
    <row r="109" spans="1:13" x14ac:dyDescent="0.2">
      <c r="A109" s="38" t="s">
        <v>1015</v>
      </c>
      <c r="B109" s="38">
        <v>100110</v>
      </c>
      <c r="C109" s="38" t="s">
        <v>1052</v>
      </c>
      <c r="D109" s="279">
        <v>250000</v>
      </c>
      <c r="E109" s="38">
        <v>1010</v>
      </c>
      <c r="F109" s="40">
        <v>7.5999999999999998E-2</v>
      </c>
      <c r="G109" s="44">
        <v>36336</v>
      </c>
      <c r="H109" s="44">
        <v>37797</v>
      </c>
      <c r="I109" s="45">
        <v>4</v>
      </c>
      <c r="J109" s="45" t="s">
        <v>1716</v>
      </c>
      <c r="K109" s="39" t="s">
        <v>1716</v>
      </c>
      <c r="L109" s="39" t="s">
        <v>1014</v>
      </c>
      <c r="M109" s="38" t="str">
        <f t="shared" si="2"/>
        <v>Bon de société de financement</v>
      </c>
    </row>
    <row r="110" spans="1:13" x14ac:dyDescent="0.2">
      <c r="A110" s="38" t="s">
        <v>1015</v>
      </c>
      <c r="B110" s="38">
        <v>100111</v>
      </c>
      <c r="C110" s="38" t="s">
        <v>1053</v>
      </c>
      <c r="D110" s="279">
        <v>250000</v>
      </c>
      <c r="E110" s="38">
        <v>2033</v>
      </c>
      <c r="F110" s="40">
        <v>7.3499999999999996E-2</v>
      </c>
      <c r="G110" s="44">
        <v>36356</v>
      </c>
      <c r="H110" s="44">
        <v>37451</v>
      </c>
      <c r="I110" s="45">
        <v>3</v>
      </c>
      <c r="J110" s="45" t="s">
        <v>1716</v>
      </c>
      <c r="K110" s="39" t="s">
        <v>1716</v>
      </c>
      <c r="L110" s="39" t="s">
        <v>1014</v>
      </c>
      <c r="M110" s="38" t="str">
        <f t="shared" si="2"/>
        <v>Bon de société de financement</v>
      </c>
    </row>
    <row r="111" spans="1:13" x14ac:dyDescent="0.2">
      <c r="A111" s="38" t="s">
        <v>1015</v>
      </c>
      <c r="B111" s="38">
        <v>100112</v>
      </c>
      <c r="C111" s="38" t="s">
        <v>1765</v>
      </c>
      <c r="D111" s="279">
        <v>250000</v>
      </c>
      <c r="E111" s="38">
        <v>1005</v>
      </c>
      <c r="F111" s="40">
        <v>7.2499999999999995E-2</v>
      </c>
      <c r="G111" s="44">
        <v>36360</v>
      </c>
      <c r="H111" s="44">
        <v>38918</v>
      </c>
      <c r="I111" s="45">
        <v>7</v>
      </c>
      <c r="J111" s="45" t="s">
        <v>1716</v>
      </c>
      <c r="K111" s="39" t="s">
        <v>1716</v>
      </c>
      <c r="L111" s="39" t="s">
        <v>1014</v>
      </c>
      <c r="M111" s="38" t="str">
        <f t="shared" si="2"/>
        <v>Bon de société de financement</v>
      </c>
    </row>
    <row r="112" spans="1:13" x14ac:dyDescent="0.2">
      <c r="A112" s="38" t="s">
        <v>1015</v>
      </c>
      <c r="B112" s="38">
        <v>100113</v>
      </c>
      <c r="C112" s="38" t="s">
        <v>1729</v>
      </c>
      <c r="D112" s="279">
        <v>250000</v>
      </c>
      <c r="E112" s="38">
        <v>1001</v>
      </c>
      <c r="F112" s="40">
        <v>7.4999999999999997E-2</v>
      </c>
      <c r="G112" s="44">
        <v>36362</v>
      </c>
      <c r="H112" s="44">
        <v>37458</v>
      </c>
      <c r="I112" s="45">
        <v>3</v>
      </c>
      <c r="J112" s="45" t="s">
        <v>1716</v>
      </c>
      <c r="K112" s="39" t="s">
        <v>1716</v>
      </c>
      <c r="L112" s="39" t="s">
        <v>1014</v>
      </c>
      <c r="M112" s="38" t="str">
        <f t="shared" si="2"/>
        <v>Bon de société de financement</v>
      </c>
    </row>
    <row r="113" spans="1:13" x14ac:dyDescent="0.2">
      <c r="A113" s="38" t="s">
        <v>1015</v>
      </c>
      <c r="B113" s="38">
        <v>100114</v>
      </c>
      <c r="C113" s="38" t="s">
        <v>1730</v>
      </c>
      <c r="D113" s="279">
        <v>250000</v>
      </c>
      <c r="E113" s="38">
        <v>1001</v>
      </c>
      <c r="F113" s="40">
        <v>7.3499999999999996E-2</v>
      </c>
      <c r="G113" s="44">
        <v>36390</v>
      </c>
      <c r="H113" s="44">
        <v>37486</v>
      </c>
      <c r="I113" s="45">
        <v>3</v>
      </c>
      <c r="J113" s="45" t="s">
        <v>1716</v>
      </c>
      <c r="K113" s="39" t="s">
        <v>1716</v>
      </c>
      <c r="L113" s="39" t="s">
        <v>1014</v>
      </c>
      <c r="M113" s="38" t="str">
        <f t="shared" si="2"/>
        <v>Bon de société de financement</v>
      </c>
    </row>
    <row r="114" spans="1:13" x14ac:dyDescent="0.2">
      <c r="A114" s="38" t="s">
        <v>1015</v>
      </c>
      <c r="B114" s="38">
        <v>100115</v>
      </c>
      <c r="C114" s="38" t="s">
        <v>1742</v>
      </c>
      <c r="D114" s="279">
        <v>250000</v>
      </c>
      <c r="E114" s="38">
        <v>1001</v>
      </c>
      <c r="F114" s="40">
        <v>7.4999999999999997E-2</v>
      </c>
      <c r="G114" s="44">
        <v>36394</v>
      </c>
      <c r="H114" s="44">
        <v>37490</v>
      </c>
      <c r="I114" s="45">
        <v>3</v>
      </c>
      <c r="J114" s="45" t="s">
        <v>1716</v>
      </c>
      <c r="K114" s="39" t="s">
        <v>1716</v>
      </c>
      <c r="L114" s="39" t="s">
        <v>1014</v>
      </c>
      <c r="M114" s="38" t="str">
        <f t="shared" si="2"/>
        <v>Bon de société de financement</v>
      </c>
    </row>
    <row r="115" spans="1:13" x14ac:dyDescent="0.2">
      <c r="A115" s="38" t="s">
        <v>1015</v>
      </c>
      <c r="B115" s="38">
        <v>100116</v>
      </c>
      <c r="C115" s="38" t="s">
        <v>1743</v>
      </c>
      <c r="D115" s="279">
        <v>250000</v>
      </c>
      <c r="E115" s="38">
        <v>3025</v>
      </c>
      <c r="F115" s="40">
        <v>7.0999999999999994E-2</v>
      </c>
      <c r="G115" s="44">
        <v>36404</v>
      </c>
      <c r="H115" s="44">
        <v>37500</v>
      </c>
      <c r="I115" s="45">
        <v>3</v>
      </c>
      <c r="J115" s="45" t="s">
        <v>1716</v>
      </c>
      <c r="K115" s="39" t="s">
        <v>1716</v>
      </c>
      <c r="L115" s="39" t="s">
        <v>1014</v>
      </c>
      <c r="M115" s="38" t="str">
        <f t="shared" si="2"/>
        <v>Bon de société de financement</v>
      </c>
    </row>
    <row r="116" spans="1:13" x14ac:dyDescent="0.2">
      <c r="A116" s="38" t="s">
        <v>1015</v>
      </c>
      <c r="B116" s="38">
        <v>100117</v>
      </c>
      <c r="C116" s="38" t="s">
        <v>616</v>
      </c>
      <c r="D116" s="279">
        <v>250000</v>
      </c>
      <c r="E116" s="38">
        <v>3025</v>
      </c>
      <c r="F116" s="40">
        <v>7.2999999999999995E-2</v>
      </c>
      <c r="G116" s="44">
        <v>36404</v>
      </c>
      <c r="H116" s="44">
        <v>38231</v>
      </c>
      <c r="I116" s="45">
        <v>5</v>
      </c>
      <c r="J116" s="45" t="s">
        <v>1716</v>
      </c>
      <c r="K116" s="39" t="s">
        <v>1716</v>
      </c>
      <c r="L116" s="39" t="s">
        <v>1014</v>
      </c>
      <c r="M116" s="38" t="str">
        <f t="shared" si="2"/>
        <v>Bon de société de financement</v>
      </c>
    </row>
    <row r="117" spans="1:13" x14ac:dyDescent="0.2">
      <c r="A117" s="38" t="s">
        <v>1015</v>
      </c>
      <c r="B117" s="38">
        <v>100118</v>
      </c>
      <c r="C117" s="38" t="s">
        <v>619</v>
      </c>
      <c r="D117" s="279">
        <v>250000</v>
      </c>
      <c r="E117" s="38">
        <v>2033</v>
      </c>
      <c r="F117" s="40">
        <v>7.2999999999999995E-2</v>
      </c>
      <c r="G117" s="44">
        <v>36404</v>
      </c>
      <c r="H117" s="44">
        <v>38231</v>
      </c>
      <c r="I117" s="45">
        <v>5</v>
      </c>
      <c r="J117" s="45" t="s">
        <v>1716</v>
      </c>
      <c r="K117" s="39" t="s">
        <v>1716</v>
      </c>
      <c r="L117" s="39" t="s">
        <v>1014</v>
      </c>
      <c r="M117" s="38" t="str">
        <f t="shared" si="2"/>
        <v>Bon de société de financement</v>
      </c>
    </row>
    <row r="118" spans="1:13" x14ac:dyDescent="0.2">
      <c r="A118" s="38" t="s">
        <v>1015</v>
      </c>
      <c r="B118" s="38">
        <v>100119</v>
      </c>
      <c r="C118" s="38" t="s">
        <v>21</v>
      </c>
      <c r="D118" s="279">
        <v>250000</v>
      </c>
      <c r="E118" s="38">
        <v>1009</v>
      </c>
      <c r="F118" s="40">
        <v>8.1000000000000003E-2</v>
      </c>
      <c r="G118" s="44">
        <v>36404</v>
      </c>
      <c r="H118" s="44">
        <v>37500</v>
      </c>
      <c r="I118" s="45">
        <v>3</v>
      </c>
      <c r="J118" s="45" t="s">
        <v>1716</v>
      </c>
      <c r="K118" s="39" t="s">
        <v>1716</v>
      </c>
      <c r="L118" s="39" t="s">
        <v>1014</v>
      </c>
      <c r="M118" s="38" t="str">
        <f t="shared" si="2"/>
        <v>Bon de société de financement</v>
      </c>
    </row>
    <row r="119" spans="1:13" x14ac:dyDescent="0.2">
      <c r="A119" s="38" t="s">
        <v>1015</v>
      </c>
      <c r="B119" s="38">
        <v>100120</v>
      </c>
      <c r="C119" s="38" t="s">
        <v>593</v>
      </c>
      <c r="D119" s="279">
        <v>250000</v>
      </c>
      <c r="E119" s="38">
        <v>3025</v>
      </c>
      <c r="F119" s="40">
        <v>7.0999999999999994E-2</v>
      </c>
      <c r="G119" s="44">
        <v>36405</v>
      </c>
      <c r="H119" s="44">
        <v>37500</v>
      </c>
      <c r="I119" s="45">
        <v>3</v>
      </c>
      <c r="J119" s="45" t="s">
        <v>1716</v>
      </c>
      <c r="K119" s="39" t="s">
        <v>1716</v>
      </c>
      <c r="L119" s="39" t="s">
        <v>1014</v>
      </c>
      <c r="M119" s="38" t="str">
        <f t="shared" si="2"/>
        <v>Bon de société de financement</v>
      </c>
    </row>
    <row r="120" spans="1:13" x14ac:dyDescent="0.2">
      <c r="A120" s="38" t="s">
        <v>1015</v>
      </c>
      <c r="B120" s="38">
        <v>100121</v>
      </c>
      <c r="C120" s="38" t="s">
        <v>303</v>
      </c>
      <c r="D120" s="279">
        <v>250000</v>
      </c>
      <c r="E120" s="38">
        <v>3025</v>
      </c>
      <c r="F120" s="40">
        <v>7.2999999999999995E-2</v>
      </c>
      <c r="G120" s="44">
        <v>36405</v>
      </c>
      <c r="H120" s="44">
        <v>38231</v>
      </c>
      <c r="I120" s="45">
        <v>5</v>
      </c>
      <c r="J120" s="45" t="s">
        <v>1716</v>
      </c>
      <c r="K120" s="39" t="s">
        <v>1716</v>
      </c>
      <c r="L120" s="39" t="s">
        <v>1014</v>
      </c>
      <c r="M120" s="38" t="str">
        <f t="shared" si="2"/>
        <v>Bon de société de financement</v>
      </c>
    </row>
    <row r="121" spans="1:13" x14ac:dyDescent="0.2">
      <c r="A121" s="38" t="s">
        <v>1015</v>
      </c>
      <c r="B121" s="38">
        <v>100122</v>
      </c>
      <c r="C121" s="38" t="s">
        <v>466</v>
      </c>
      <c r="D121" s="279">
        <v>250000</v>
      </c>
      <c r="E121" s="38">
        <v>2033</v>
      </c>
      <c r="F121" s="40">
        <v>7.2999999999999995E-2</v>
      </c>
      <c r="G121" s="44">
        <v>36409</v>
      </c>
      <c r="H121" s="44">
        <v>38235</v>
      </c>
      <c r="I121" s="45">
        <v>5</v>
      </c>
      <c r="J121" s="45" t="s">
        <v>1716</v>
      </c>
      <c r="K121" s="39" t="s">
        <v>1716</v>
      </c>
      <c r="L121" s="39" t="s">
        <v>1014</v>
      </c>
      <c r="M121" s="38" t="str">
        <f t="shared" si="2"/>
        <v>Bon de société de financement</v>
      </c>
    </row>
    <row r="122" spans="1:13" x14ac:dyDescent="0.2">
      <c r="A122" s="38" t="s">
        <v>1015</v>
      </c>
      <c r="B122" s="38">
        <v>100123</v>
      </c>
      <c r="C122" s="38" t="s">
        <v>1990</v>
      </c>
      <c r="D122" s="279">
        <v>250000</v>
      </c>
      <c r="E122" s="38">
        <v>2033</v>
      </c>
      <c r="F122" s="40">
        <v>7.0999999999999994E-2</v>
      </c>
      <c r="G122" s="44">
        <v>36410</v>
      </c>
      <c r="H122" s="44">
        <v>37505</v>
      </c>
      <c r="I122" s="45">
        <v>3</v>
      </c>
      <c r="J122" s="45" t="s">
        <v>1716</v>
      </c>
      <c r="K122" s="39" t="s">
        <v>1716</v>
      </c>
      <c r="L122" s="39" t="s">
        <v>1014</v>
      </c>
      <c r="M122" s="38" t="str">
        <f t="shared" si="2"/>
        <v>Bon de société de financement</v>
      </c>
    </row>
    <row r="123" spans="1:13" x14ac:dyDescent="0.2">
      <c r="A123" s="38" t="s">
        <v>1015</v>
      </c>
      <c r="B123" s="38">
        <v>100124</v>
      </c>
      <c r="C123" s="38" t="s">
        <v>1992</v>
      </c>
      <c r="D123" s="279">
        <v>250000</v>
      </c>
      <c r="E123" s="38">
        <v>2033</v>
      </c>
      <c r="F123" s="40">
        <v>7.0999999999999994E-2</v>
      </c>
      <c r="G123" s="44">
        <v>36411</v>
      </c>
      <c r="H123" s="44">
        <v>37506</v>
      </c>
      <c r="I123" s="45">
        <v>3</v>
      </c>
      <c r="J123" s="45" t="s">
        <v>1716</v>
      </c>
      <c r="K123" s="39" t="s">
        <v>1716</v>
      </c>
      <c r="L123" s="39" t="s">
        <v>1014</v>
      </c>
      <c r="M123" s="38" t="str">
        <f t="shared" si="2"/>
        <v>Bon de société de financement</v>
      </c>
    </row>
    <row r="124" spans="1:13" x14ac:dyDescent="0.2">
      <c r="A124" s="38" t="s">
        <v>1015</v>
      </c>
      <c r="B124" s="38">
        <v>100125</v>
      </c>
      <c r="C124" s="38" t="s">
        <v>1993</v>
      </c>
      <c r="D124" s="279">
        <v>250000</v>
      </c>
      <c r="E124" s="38">
        <v>3025</v>
      </c>
      <c r="F124" s="40">
        <v>7.2999999999999995E-2</v>
      </c>
      <c r="G124" s="44">
        <v>36418</v>
      </c>
      <c r="H124" s="44">
        <v>38244</v>
      </c>
      <c r="I124" s="45">
        <v>5</v>
      </c>
      <c r="J124" s="45" t="s">
        <v>1716</v>
      </c>
      <c r="K124" s="39" t="s">
        <v>1716</v>
      </c>
      <c r="L124" s="39" t="s">
        <v>1014</v>
      </c>
      <c r="M124" s="38" t="str">
        <f t="shared" si="2"/>
        <v>Bon de société de financement</v>
      </c>
    </row>
    <row r="125" spans="1:13" x14ac:dyDescent="0.2">
      <c r="A125" s="38" t="s">
        <v>1015</v>
      </c>
      <c r="B125" s="38">
        <v>100126</v>
      </c>
      <c r="C125" s="38" t="s">
        <v>1995</v>
      </c>
      <c r="D125" s="279">
        <v>250000</v>
      </c>
      <c r="E125" s="38">
        <v>2033</v>
      </c>
      <c r="F125" s="40">
        <v>7.0999999999999994E-2</v>
      </c>
      <c r="G125" s="44">
        <v>36419</v>
      </c>
      <c r="H125" s="44">
        <v>37514</v>
      </c>
      <c r="I125" s="45">
        <v>3</v>
      </c>
      <c r="J125" s="45" t="s">
        <v>1716</v>
      </c>
      <c r="K125" s="39" t="s">
        <v>1716</v>
      </c>
      <c r="L125" s="39" t="s">
        <v>1014</v>
      </c>
      <c r="M125" s="38" t="str">
        <f t="shared" si="2"/>
        <v>Bon de société de financement</v>
      </c>
    </row>
    <row r="126" spans="1:13" x14ac:dyDescent="0.2">
      <c r="A126" s="38" t="s">
        <v>1015</v>
      </c>
      <c r="B126" s="38">
        <v>100127</v>
      </c>
      <c r="C126" s="38" t="s">
        <v>1996</v>
      </c>
      <c r="D126" s="279">
        <v>250000</v>
      </c>
      <c r="E126" s="38">
        <v>1009</v>
      </c>
      <c r="F126" s="40">
        <v>8.1000000000000003E-2</v>
      </c>
      <c r="G126" s="44">
        <v>36420</v>
      </c>
      <c r="H126" s="44">
        <v>37516</v>
      </c>
      <c r="I126" s="45">
        <v>3</v>
      </c>
      <c r="J126" s="45" t="s">
        <v>1716</v>
      </c>
      <c r="K126" s="39" t="s">
        <v>1716</v>
      </c>
      <c r="L126" s="39" t="s">
        <v>1014</v>
      </c>
      <c r="M126" s="38" t="str">
        <f t="shared" si="2"/>
        <v>Bon de société de financement</v>
      </c>
    </row>
    <row r="127" spans="1:13" x14ac:dyDescent="0.2">
      <c r="A127" s="38" t="s">
        <v>1015</v>
      </c>
      <c r="B127" s="38">
        <v>100128</v>
      </c>
      <c r="C127" s="38" t="s">
        <v>889</v>
      </c>
      <c r="D127" s="279">
        <v>250000</v>
      </c>
      <c r="E127" s="38">
        <v>1009</v>
      </c>
      <c r="F127" s="40">
        <v>8.1000000000000003E-2</v>
      </c>
      <c r="G127" s="44">
        <v>36423</v>
      </c>
      <c r="H127" s="44">
        <v>37518</v>
      </c>
      <c r="I127" s="45">
        <v>3</v>
      </c>
      <c r="J127" s="45" t="s">
        <v>1716</v>
      </c>
      <c r="K127" s="39" t="s">
        <v>1716</v>
      </c>
      <c r="L127" s="39" t="s">
        <v>1014</v>
      </c>
      <c r="M127" s="38" t="str">
        <f t="shared" si="2"/>
        <v>Bon de société de financement</v>
      </c>
    </row>
    <row r="128" spans="1:13" x14ac:dyDescent="0.2">
      <c r="A128" s="38" t="s">
        <v>1015</v>
      </c>
      <c r="B128" s="38">
        <v>100129</v>
      </c>
      <c r="C128" s="38" t="s">
        <v>2012</v>
      </c>
      <c r="D128" s="279">
        <v>250000</v>
      </c>
      <c r="E128" s="38">
        <v>1001</v>
      </c>
      <c r="F128" s="40">
        <v>6.8000000000000005E-2</v>
      </c>
      <c r="G128" s="44">
        <v>36423</v>
      </c>
      <c r="H128" s="44">
        <v>37519</v>
      </c>
      <c r="I128" s="45">
        <v>3</v>
      </c>
      <c r="J128" s="45" t="s">
        <v>1716</v>
      </c>
      <c r="K128" s="39" t="s">
        <v>1716</v>
      </c>
      <c r="L128" s="39" t="s">
        <v>1014</v>
      </c>
      <c r="M128" s="38" t="str">
        <f t="shared" si="2"/>
        <v>Bon de société de financement</v>
      </c>
    </row>
    <row r="129" spans="1:13" x14ac:dyDescent="0.2">
      <c r="A129" s="38" t="s">
        <v>1015</v>
      </c>
      <c r="B129" s="38">
        <v>100130</v>
      </c>
      <c r="C129" s="38" t="s">
        <v>2013</v>
      </c>
      <c r="D129" s="279">
        <v>250000</v>
      </c>
      <c r="E129" s="38">
        <v>1009</v>
      </c>
      <c r="F129" s="40">
        <v>8.1000000000000003E-2</v>
      </c>
      <c r="G129" s="44">
        <v>36424</v>
      </c>
      <c r="H129" s="44">
        <v>37519</v>
      </c>
      <c r="I129" s="45">
        <v>3</v>
      </c>
      <c r="J129" s="45" t="s">
        <v>1716</v>
      </c>
      <c r="K129" s="39" t="s">
        <v>1716</v>
      </c>
      <c r="L129" s="39" t="s">
        <v>1014</v>
      </c>
      <c r="M129" s="38" t="str">
        <f t="shared" si="2"/>
        <v>Bon de société de financement</v>
      </c>
    </row>
    <row r="130" spans="1:13" x14ac:dyDescent="0.2">
      <c r="A130" s="38" t="s">
        <v>1015</v>
      </c>
      <c r="B130" s="38">
        <v>100132</v>
      </c>
      <c r="C130" s="38" t="s">
        <v>1280</v>
      </c>
      <c r="D130" s="279">
        <v>250000</v>
      </c>
      <c r="E130" s="38">
        <v>1001</v>
      </c>
      <c r="F130" s="40">
        <v>6.5000000000000002E-2</v>
      </c>
      <c r="G130" s="44">
        <v>36437</v>
      </c>
      <c r="H130" s="44">
        <v>37533</v>
      </c>
      <c r="I130" s="45">
        <v>3</v>
      </c>
      <c r="J130" s="45" t="s">
        <v>1716</v>
      </c>
      <c r="K130" s="39" t="s">
        <v>1716</v>
      </c>
      <c r="L130" s="39" t="s">
        <v>1014</v>
      </c>
      <c r="M130" s="38" t="str">
        <f t="shared" si="2"/>
        <v>Bon de société de financement</v>
      </c>
    </row>
    <row r="131" spans="1:13" x14ac:dyDescent="0.2">
      <c r="A131" s="38" t="s">
        <v>1015</v>
      </c>
      <c r="B131" s="38">
        <v>100133</v>
      </c>
      <c r="C131" s="38" t="s">
        <v>1281</v>
      </c>
      <c r="D131" s="279">
        <v>250000</v>
      </c>
      <c r="E131" s="38">
        <v>3007</v>
      </c>
      <c r="F131" s="40">
        <v>6.2E-2</v>
      </c>
      <c r="G131" s="44">
        <v>36481</v>
      </c>
      <c r="H131" s="44">
        <v>37577</v>
      </c>
      <c r="I131" s="45">
        <v>3</v>
      </c>
      <c r="J131" s="45" t="s">
        <v>1716</v>
      </c>
      <c r="K131" s="39" t="s">
        <v>1716</v>
      </c>
      <c r="L131" s="39" t="s">
        <v>1014</v>
      </c>
      <c r="M131" s="38" t="str">
        <f t="shared" ref="M131:M194" si="3">+A131</f>
        <v>Bon de société de financement</v>
      </c>
    </row>
    <row r="132" spans="1:13" x14ac:dyDescent="0.2">
      <c r="A132" s="38" t="s">
        <v>1015</v>
      </c>
      <c r="B132" s="38">
        <v>100134</v>
      </c>
      <c r="C132" s="38" t="s">
        <v>1282</v>
      </c>
      <c r="D132" s="279">
        <v>250000</v>
      </c>
      <c r="E132" s="38">
        <v>3007</v>
      </c>
      <c r="F132" s="40">
        <v>6.4000000000000001E-2</v>
      </c>
      <c r="G132" s="44">
        <v>36481</v>
      </c>
      <c r="H132" s="44">
        <v>38308</v>
      </c>
      <c r="I132" s="45">
        <v>5</v>
      </c>
      <c r="J132" s="45" t="s">
        <v>1716</v>
      </c>
      <c r="K132" s="39" t="s">
        <v>1716</v>
      </c>
      <c r="L132" s="39" t="s">
        <v>1014</v>
      </c>
      <c r="M132" s="38" t="str">
        <f t="shared" si="3"/>
        <v>Bon de société de financement</v>
      </c>
    </row>
    <row r="133" spans="1:13" x14ac:dyDescent="0.2">
      <c r="A133" s="38" t="s">
        <v>1015</v>
      </c>
      <c r="B133" s="38">
        <v>100135</v>
      </c>
      <c r="C133" s="38" t="s">
        <v>1283</v>
      </c>
      <c r="D133" s="279">
        <v>250000</v>
      </c>
      <c r="E133" s="38">
        <v>1009</v>
      </c>
      <c r="F133" s="40">
        <v>0.08</v>
      </c>
      <c r="G133" s="44">
        <v>36448</v>
      </c>
      <c r="H133" s="44">
        <v>37543</v>
      </c>
      <c r="I133" s="45">
        <v>3</v>
      </c>
      <c r="J133" s="45" t="s">
        <v>1716</v>
      </c>
      <c r="K133" s="39" t="s">
        <v>1716</v>
      </c>
      <c r="L133" s="39" t="s">
        <v>1014</v>
      </c>
      <c r="M133" s="38" t="str">
        <f t="shared" si="3"/>
        <v>Bon de société de financement</v>
      </c>
    </row>
    <row r="134" spans="1:13" x14ac:dyDescent="0.2">
      <c r="A134" s="38" t="s">
        <v>1015</v>
      </c>
      <c r="B134" s="38">
        <v>100136</v>
      </c>
      <c r="C134" s="38" t="s">
        <v>1054</v>
      </c>
      <c r="D134" s="279">
        <v>250000</v>
      </c>
      <c r="E134" s="38">
        <v>1001</v>
      </c>
      <c r="F134" s="40">
        <v>5.9500000000000004E-2</v>
      </c>
      <c r="G134" s="44">
        <v>36480</v>
      </c>
      <c r="H134" s="44">
        <v>37212</v>
      </c>
      <c r="I134" s="45">
        <v>2</v>
      </c>
      <c r="J134" s="45" t="s">
        <v>1716</v>
      </c>
      <c r="K134" s="39" t="s">
        <v>1716</v>
      </c>
      <c r="L134" s="39" t="s">
        <v>1014</v>
      </c>
      <c r="M134" s="38" t="str">
        <f t="shared" si="3"/>
        <v>Bon de société de financement</v>
      </c>
    </row>
    <row r="135" spans="1:13" x14ac:dyDescent="0.2">
      <c r="A135" s="38" t="s">
        <v>1015</v>
      </c>
      <c r="B135" s="38">
        <v>100137</v>
      </c>
      <c r="C135" s="38" t="s">
        <v>1976</v>
      </c>
      <c r="D135" s="279">
        <v>250000</v>
      </c>
      <c r="E135" s="38">
        <v>1001</v>
      </c>
      <c r="F135" s="40">
        <v>5.7500000000000002E-2</v>
      </c>
      <c r="G135" s="44">
        <v>36480</v>
      </c>
      <c r="H135" s="44">
        <v>37212</v>
      </c>
      <c r="I135" s="45">
        <v>2</v>
      </c>
      <c r="J135" s="45" t="s">
        <v>1716</v>
      </c>
      <c r="K135" s="39" t="s">
        <v>1716</v>
      </c>
      <c r="L135" s="39" t="s">
        <v>1014</v>
      </c>
      <c r="M135" s="38" t="str">
        <f t="shared" si="3"/>
        <v>Bon de société de financement</v>
      </c>
    </row>
    <row r="136" spans="1:13" x14ac:dyDescent="0.2">
      <c r="A136" s="38" t="s">
        <v>1015</v>
      </c>
      <c r="B136" s="38">
        <v>100138</v>
      </c>
      <c r="C136" s="38" t="s">
        <v>1980</v>
      </c>
      <c r="D136" s="279">
        <v>250000</v>
      </c>
      <c r="E136" s="38">
        <v>1009</v>
      </c>
      <c r="F136" s="40">
        <v>0.08</v>
      </c>
      <c r="G136" s="44">
        <v>36483</v>
      </c>
      <c r="H136" s="44">
        <v>37579</v>
      </c>
      <c r="I136" s="45">
        <v>3</v>
      </c>
      <c r="J136" s="45" t="s">
        <v>1716</v>
      </c>
      <c r="K136" s="39" t="s">
        <v>1716</v>
      </c>
      <c r="L136" s="39" t="s">
        <v>1014</v>
      </c>
      <c r="M136" s="38" t="str">
        <f t="shared" si="3"/>
        <v>Bon de société de financement</v>
      </c>
    </row>
    <row r="137" spans="1:13" x14ac:dyDescent="0.2">
      <c r="A137" s="38" t="s">
        <v>1015</v>
      </c>
      <c r="B137" s="38">
        <v>100139</v>
      </c>
      <c r="C137" s="38" t="s">
        <v>1981</v>
      </c>
      <c r="D137" s="279">
        <v>250000</v>
      </c>
      <c r="E137" s="38">
        <v>1002</v>
      </c>
      <c r="F137" s="40">
        <v>6.4500000000000002E-2</v>
      </c>
      <c r="G137" s="44">
        <v>36493</v>
      </c>
      <c r="H137" s="44">
        <v>38320</v>
      </c>
      <c r="I137" s="45">
        <v>5</v>
      </c>
      <c r="J137" s="45" t="s">
        <v>1716</v>
      </c>
      <c r="K137" s="39" t="s">
        <v>1716</v>
      </c>
      <c r="L137" s="39" t="s">
        <v>1014</v>
      </c>
      <c r="M137" s="38" t="str">
        <f t="shared" si="3"/>
        <v>Bon de société de financement</v>
      </c>
    </row>
    <row r="138" spans="1:13" x14ac:dyDescent="0.2">
      <c r="A138" s="38" t="s">
        <v>1015</v>
      </c>
      <c r="B138" s="38">
        <v>100140</v>
      </c>
      <c r="C138" s="38" t="s">
        <v>1437</v>
      </c>
      <c r="D138" s="279">
        <v>250000</v>
      </c>
      <c r="E138" s="38">
        <v>1002</v>
      </c>
      <c r="F138" s="40">
        <v>6.4000000000000001E-2</v>
      </c>
      <c r="G138" s="44">
        <v>36500</v>
      </c>
      <c r="H138" s="44">
        <v>38327</v>
      </c>
      <c r="I138" s="45">
        <v>5</v>
      </c>
      <c r="J138" s="45" t="s">
        <v>1716</v>
      </c>
      <c r="K138" s="39" t="s">
        <v>1716</v>
      </c>
      <c r="L138" s="39" t="s">
        <v>1014</v>
      </c>
      <c r="M138" s="38" t="str">
        <f t="shared" si="3"/>
        <v>Bon de société de financement</v>
      </c>
    </row>
    <row r="139" spans="1:13" x14ac:dyDescent="0.2">
      <c r="A139" s="38" t="s">
        <v>1015</v>
      </c>
      <c r="B139" s="38">
        <v>100141</v>
      </c>
      <c r="C139" s="38" t="s">
        <v>1438</v>
      </c>
      <c r="D139" s="279">
        <v>250000</v>
      </c>
      <c r="E139" s="38">
        <v>1002</v>
      </c>
      <c r="F139" s="40">
        <v>6.4500000000000002E-2</v>
      </c>
      <c r="G139" s="44">
        <v>36500</v>
      </c>
      <c r="H139" s="44">
        <v>38327</v>
      </c>
      <c r="I139" s="45">
        <v>5</v>
      </c>
      <c r="J139" s="45" t="s">
        <v>1716</v>
      </c>
      <c r="K139" s="39" t="s">
        <v>1716</v>
      </c>
      <c r="L139" s="39" t="s">
        <v>1014</v>
      </c>
      <c r="M139" s="38" t="str">
        <f t="shared" si="3"/>
        <v>Bon de société de financement</v>
      </c>
    </row>
    <row r="140" spans="1:13" x14ac:dyDescent="0.2">
      <c r="A140" s="38" t="s">
        <v>1015</v>
      </c>
      <c r="B140" s="38">
        <v>100142</v>
      </c>
      <c r="C140" s="38" t="s">
        <v>1568</v>
      </c>
      <c r="D140" s="279">
        <v>250000</v>
      </c>
      <c r="E140" s="38">
        <v>3033</v>
      </c>
      <c r="F140" s="40">
        <v>6.1500000000000006E-2</v>
      </c>
      <c r="G140" s="44">
        <v>36503</v>
      </c>
      <c r="H140" s="44">
        <v>38330</v>
      </c>
      <c r="I140" s="45">
        <v>5</v>
      </c>
      <c r="J140" s="45" t="s">
        <v>1716</v>
      </c>
      <c r="K140" s="39" t="s">
        <v>1716</v>
      </c>
      <c r="L140" s="39" t="s">
        <v>1014</v>
      </c>
      <c r="M140" s="38" t="str">
        <f t="shared" si="3"/>
        <v>Bon de société de financement</v>
      </c>
    </row>
    <row r="141" spans="1:13" x14ac:dyDescent="0.2">
      <c r="A141" s="38" t="s">
        <v>1015</v>
      </c>
      <c r="B141" s="38">
        <v>100143</v>
      </c>
      <c r="C141" s="38" t="s">
        <v>1571</v>
      </c>
      <c r="D141" s="279">
        <v>250000</v>
      </c>
      <c r="E141" s="38">
        <v>1001</v>
      </c>
      <c r="F141" s="40">
        <v>0.06</v>
      </c>
      <c r="G141" s="44">
        <v>36516</v>
      </c>
      <c r="H141" s="44">
        <v>37612</v>
      </c>
      <c r="I141" s="45">
        <v>3</v>
      </c>
      <c r="J141" s="45" t="s">
        <v>1716</v>
      </c>
      <c r="K141" s="39" t="s">
        <v>1716</v>
      </c>
      <c r="L141" s="39" t="s">
        <v>1014</v>
      </c>
      <c r="M141" s="38" t="str">
        <f t="shared" si="3"/>
        <v>Bon de société de financement</v>
      </c>
    </row>
    <row r="142" spans="1:13" x14ac:dyDescent="0.2">
      <c r="A142" s="38" t="s">
        <v>1015</v>
      </c>
      <c r="B142" s="38">
        <v>100144</v>
      </c>
      <c r="C142" s="38" t="s">
        <v>1572</v>
      </c>
      <c r="D142" s="279">
        <v>250000</v>
      </c>
      <c r="E142" s="38">
        <v>1001</v>
      </c>
      <c r="F142" s="40">
        <v>0.06</v>
      </c>
      <c r="G142" s="44">
        <v>36523</v>
      </c>
      <c r="H142" s="44">
        <v>37619</v>
      </c>
      <c r="I142" s="45">
        <v>3</v>
      </c>
      <c r="J142" s="45" t="s">
        <v>1716</v>
      </c>
      <c r="K142" s="39" t="s">
        <v>1716</v>
      </c>
      <c r="L142" s="39" t="s">
        <v>1014</v>
      </c>
      <c r="M142" s="38" t="str">
        <f t="shared" si="3"/>
        <v>Bon de société de financement</v>
      </c>
    </row>
    <row r="143" spans="1:13" x14ac:dyDescent="0.2">
      <c r="A143" s="38" t="s">
        <v>1015</v>
      </c>
      <c r="B143" s="38">
        <v>100145</v>
      </c>
      <c r="C143" s="38" t="s">
        <v>1573</v>
      </c>
      <c r="D143" s="279">
        <v>250000</v>
      </c>
      <c r="E143" s="38">
        <v>3043</v>
      </c>
      <c r="F143" s="40">
        <v>6.0999999999999999E-2</v>
      </c>
      <c r="G143" s="44">
        <v>36532</v>
      </c>
      <c r="H143" s="44">
        <v>37628</v>
      </c>
      <c r="I143" s="45">
        <v>3</v>
      </c>
      <c r="J143" s="45" t="s">
        <v>1716</v>
      </c>
      <c r="K143" s="39" t="s">
        <v>1716</v>
      </c>
      <c r="L143" s="39" t="s">
        <v>1014</v>
      </c>
      <c r="M143" s="38" t="str">
        <f t="shared" si="3"/>
        <v>Bon de société de financement</v>
      </c>
    </row>
    <row r="144" spans="1:13" x14ac:dyDescent="0.2">
      <c r="A144" s="38" t="s">
        <v>1015</v>
      </c>
      <c r="B144" s="38">
        <v>100146</v>
      </c>
      <c r="C144" s="38" t="s">
        <v>1574</v>
      </c>
      <c r="D144" s="279">
        <v>250000</v>
      </c>
      <c r="E144" s="38">
        <v>1004</v>
      </c>
      <c r="F144" s="40">
        <v>6.8499999999999991E-2</v>
      </c>
      <c r="G144" s="44">
        <v>36567</v>
      </c>
      <c r="H144" s="44">
        <v>37663</v>
      </c>
      <c r="I144" s="45">
        <v>3</v>
      </c>
      <c r="J144" s="45" t="s">
        <v>1716</v>
      </c>
      <c r="K144" s="39" t="s">
        <v>1716</v>
      </c>
      <c r="L144" s="39" t="s">
        <v>1014</v>
      </c>
      <c r="M144" s="38" t="str">
        <f t="shared" si="3"/>
        <v>Bon de société de financement</v>
      </c>
    </row>
    <row r="145" spans="1:13" x14ac:dyDescent="0.2">
      <c r="A145" s="38" t="s">
        <v>1015</v>
      </c>
      <c r="B145" s="38">
        <v>100147</v>
      </c>
      <c r="C145" s="38" t="s">
        <v>1577</v>
      </c>
      <c r="D145" s="279">
        <v>250000</v>
      </c>
      <c r="E145" s="38">
        <v>1004</v>
      </c>
      <c r="F145" s="40">
        <v>6.5000000000000002E-2</v>
      </c>
      <c r="G145" s="44">
        <v>36567</v>
      </c>
      <c r="H145" s="44">
        <v>37663</v>
      </c>
      <c r="I145" s="45">
        <v>3</v>
      </c>
      <c r="J145" s="45" t="s">
        <v>1716</v>
      </c>
      <c r="K145" s="39" t="s">
        <v>1716</v>
      </c>
      <c r="L145" s="39" t="s">
        <v>1014</v>
      </c>
      <c r="M145" s="38" t="str">
        <f t="shared" si="3"/>
        <v>Bon de société de financement</v>
      </c>
    </row>
    <row r="146" spans="1:13" x14ac:dyDescent="0.2">
      <c r="A146" s="38" t="s">
        <v>1015</v>
      </c>
      <c r="B146" s="38">
        <v>100148</v>
      </c>
      <c r="C146" s="38" t="s">
        <v>1425</v>
      </c>
      <c r="D146" s="279">
        <v>250000</v>
      </c>
      <c r="E146" s="38">
        <v>1001</v>
      </c>
      <c r="F146" s="40">
        <v>6.5000000000000002E-2</v>
      </c>
      <c r="G146" s="44">
        <v>36567</v>
      </c>
      <c r="H146" s="44">
        <v>37663</v>
      </c>
      <c r="I146" s="45">
        <v>3</v>
      </c>
      <c r="J146" s="45" t="s">
        <v>1716</v>
      </c>
      <c r="K146" s="39" t="s">
        <v>1716</v>
      </c>
      <c r="L146" s="39" t="s">
        <v>1014</v>
      </c>
      <c r="M146" s="38" t="str">
        <f t="shared" si="3"/>
        <v>Bon de société de financement</v>
      </c>
    </row>
    <row r="147" spans="1:13" x14ac:dyDescent="0.2">
      <c r="A147" s="38" t="s">
        <v>1015</v>
      </c>
      <c r="B147" s="38">
        <v>100149</v>
      </c>
      <c r="C147" s="38" t="s">
        <v>1426</v>
      </c>
      <c r="D147" s="279">
        <v>250000</v>
      </c>
      <c r="E147" s="38">
        <v>1001</v>
      </c>
      <c r="F147" s="40">
        <v>6.7500000000000004E-2</v>
      </c>
      <c r="G147" s="44">
        <v>36580</v>
      </c>
      <c r="H147" s="44">
        <v>37676</v>
      </c>
      <c r="I147" s="45">
        <v>3</v>
      </c>
      <c r="J147" s="45" t="s">
        <v>1716</v>
      </c>
      <c r="K147" s="39" t="s">
        <v>1716</v>
      </c>
      <c r="L147" s="39" t="s">
        <v>1014</v>
      </c>
      <c r="M147" s="38" t="str">
        <f t="shared" si="3"/>
        <v>Bon de société de financement</v>
      </c>
    </row>
    <row r="148" spans="1:13" x14ac:dyDescent="0.2">
      <c r="A148" s="38" t="s">
        <v>1015</v>
      </c>
      <c r="B148" s="38">
        <v>100150</v>
      </c>
      <c r="C148" s="38" t="s">
        <v>1427</v>
      </c>
      <c r="D148" s="279">
        <v>250000</v>
      </c>
      <c r="E148" s="38">
        <v>3029</v>
      </c>
      <c r="F148" s="40">
        <v>6.6500000000000004E-2</v>
      </c>
      <c r="G148" s="44">
        <v>36598</v>
      </c>
      <c r="H148" s="44">
        <v>37693</v>
      </c>
      <c r="I148" s="45">
        <v>3</v>
      </c>
      <c r="J148" s="45" t="s">
        <v>1716</v>
      </c>
      <c r="K148" s="39" t="s">
        <v>1716</v>
      </c>
      <c r="L148" s="39" t="s">
        <v>1014</v>
      </c>
      <c r="M148" s="38" t="str">
        <f t="shared" si="3"/>
        <v>Bon de société de financement</v>
      </c>
    </row>
    <row r="149" spans="1:13" x14ac:dyDescent="0.2">
      <c r="A149" s="38" t="s">
        <v>1015</v>
      </c>
      <c r="B149" s="38">
        <v>100151</v>
      </c>
      <c r="C149" s="38" t="s">
        <v>1428</v>
      </c>
      <c r="D149" s="279">
        <v>250000</v>
      </c>
      <c r="E149" s="38">
        <v>1001</v>
      </c>
      <c r="F149" s="40">
        <v>6.4000000000000001E-2</v>
      </c>
      <c r="G149" s="44">
        <v>36606</v>
      </c>
      <c r="H149" s="44">
        <v>37701</v>
      </c>
      <c r="I149" s="45">
        <v>3</v>
      </c>
      <c r="J149" s="45" t="s">
        <v>1716</v>
      </c>
      <c r="K149" s="39" t="s">
        <v>1716</v>
      </c>
      <c r="L149" s="39" t="s">
        <v>1014</v>
      </c>
      <c r="M149" s="38" t="str">
        <f t="shared" si="3"/>
        <v>Bon de société de financement</v>
      </c>
    </row>
    <row r="150" spans="1:13" x14ac:dyDescent="0.2">
      <c r="A150" s="38" t="s">
        <v>1015</v>
      </c>
      <c r="B150" s="38">
        <v>100152</v>
      </c>
      <c r="C150" s="38" t="s">
        <v>1505</v>
      </c>
      <c r="D150" s="279">
        <v>250000</v>
      </c>
      <c r="E150" s="38">
        <v>3043</v>
      </c>
      <c r="F150" s="40">
        <v>6.7000000000000004E-2</v>
      </c>
      <c r="G150" s="44">
        <v>36607</v>
      </c>
      <c r="H150" s="44">
        <v>37702</v>
      </c>
      <c r="I150" s="45">
        <v>3</v>
      </c>
      <c r="J150" s="45" t="s">
        <v>1716</v>
      </c>
      <c r="K150" s="39" t="s">
        <v>1716</v>
      </c>
      <c r="L150" s="39" t="s">
        <v>1014</v>
      </c>
      <c r="M150" s="38" t="str">
        <f t="shared" si="3"/>
        <v>Bon de société de financement</v>
      </c>
    </row>
    <row r="151" spans="1:13" x14ac:dyDescent="0.2">
      <c r="A151" s="38" t="s">
        <v>1015</v>
      </c>
      <c r="B151" s="38">
        <v>100153</v>
      </c>
      <c r="C151" s="38" t="s">
        <v>358</v>
      </c>
      <c r="D151" s="279">
        <v>250000</v>
      </c>
      <c r="E151" s="38">
        <v>3046</v>
      </c>
      <c r="F151" s="40">
        <v>7.2000000000000008E-2</v>
      </c>
      <c r="G151" s="44">
        <v>36643</v>
      </c>
      <c r="H151" s="44">
        <v>37738</v>
      </c>
      <c r="I151" s="45">
        <v>3</v>
      </c>
      <c r="J151" s="45" t="s">
        <v>1716</v>
      </c>
      <c r="K151" s="39" t="s">
        <v>1716</v>
      </c>
      <c r="L151" s="39" t="s">
        <v>1014</v>
      </c>
      <c r="M151" s="38" t="str">
        <f t="shared" si="3"/>
        <v>Bon de société de financement</v>
      </c>
    </row>
    <row r="152" spans="1:13" x14ac:dyDescent="0.2">
      <c r="A152" s="38" t="s">
        <v>1015</v>
      </c>
      <c r="B152" s="38">
        <v>100154</v>
      </c>
      <c r="C152" s="38" t="s">
        <v>359</v>
      </c>
      <c r="D152" s="279">
        <v>250000</v>
      </c>
      <c r="E152" s="38">
        <v>3046</v>
      </c>
      <c r="F152" s="40">
        <v>7.2000000000000008E-2</v>
      </c>
      <c r="G152" s="44">
        <v>36649</v>
      </c>
      <c r="H152" s="44">
        <v>37744</v>
      </c>
      <c r="I152" s="45">
        <v>3</v>
      </c>
      <c r="J152" s="45" t="s">
        <v>1716</v>
      </c>
      <c r="K152" s="39" t="s">
        <v>1716</v>
      </c>
      <c r="L152" s="39" t="s">
        <v>1014</v>
      </c>
      <c r="M152" s="38" t="str">
        <f t="shared" si="3"/>
        <v>Bon de société de financement</v>
      </c>
    </row>
    <row r="153" spans="1:13" x14ac:dyDescent="0.2">
      <c r="A153" s="38" t="s">
        <v>1015</v>
      </c>
      <c r="B153" s="38">
        <v>100155</v>
      </c>
      <c r="C153" s="38" t="s">
        <v>1490</v>
      </c>
      <c r="D153" s="279">
        <v>250000</v>
      </c>
      <c r="E153" s="38">
        <v>3046</v>
      </c>
      <c r="F153" s="40">
        <v>7.3499999999999996E-2</v>
      </c>
      <c r="G153" s="44">
        <v>36649</v>
      </c>
      <c r="H153" s="44">
        <v>38110</v>
      </c>
      <c r="I153" s="45">
        <v>4</v>
      </c>
      <c r="J153" s="45" t="s">
        <v>1716</v>
      </c>
      <c r="K153" s="39" t="s">
        <v>1716</v>
      </c>
      <c r="L153" s="39" t="s">
        <v>1014</v>
      </c>
      <c r="M153" s="38" t="str">
        <f t="shared" si="3"/>
        <v>Bon de société de financement</v>
      </c>
    </row>
    <row r="154" spans="1:13" x14ac:dyDescent="0.2">
      <c r="A154" s="38" t="s">
        <v>1015</v>
      </c>
      <c r="B154" s="38">
        <v>100156</v>
      </c>
      <c r="C154" s="38" t="s">
        <v>1491</v>
      </c>
      <c r="D154" s="279">
        <v>250000</v>
      </c>
      <c r="E154" s="38">
        <v>3046</v>
      </c>
      <c r="F154" s="40">
        <v>7.4999999999999997E-2</v>
      </c>
      <c r="G154" s="44">
        <v>36649</v>
      </c>
      <c r="H154" s="44">
        <v>38475</v>
      </c>
      <c r="I154" s="45">
        <v>5</v>
      </c>
      <c r="J154" s="45" t="s">
        <v>1716</v>
      </c>
      <c r="K154" s="39" t="s">
        <v>1716</v>
      </c>
      <c r="L154" s="39" t="s">
        <v>1014</v>
      </c>
      <c r="M154" s="38" t="str">
        <f t="shared" si="3"/>
        <v>Bon de société de financement</v>
      </c>
    </row>
    <row r="155" spans="1:13" x14ac:dyDescent="0.2">
      <c r="A155" s="38" t="s">
        <v>1015</v>
      </c>
      <c r="B155" s="38">
        <v>100157</v>
      </c>
      <c r="C155" s="38" t="s">
        <v>1492</v>
      </c>
      <c r="D155" s="279">
        <v>250000</v>
      </c>
      <c r="E155" s="38">
        <v>3046</v>
      </c>
      <c r="F155" s="40">
        <v>7.2000000000000008E-2</v>
      </c>
      <c r="G155" s="44">
        <v>36651</v>
      </c>
      <c r="H155" s="44">
        <v>37746</v>
      </c>
      <c r="I155" s="45">
        <v>3</v>
      </c>
      <c r="J155" s="45" t="s">
        <v>1716</v>
      </c>
      <c r="K155" s="39" t="s">
        <v>1716</v>
      </c>
      <c r="L155" s="39" t="s">
        <v>1014</v>
      </c>
      <c r="M155" s="38" t="str">
        <f t="shared" si="3"/>
        <v>Bon de société de financement</v>
      </c>
    </row>
    <row r="156" spans="1:13" x14ac:dyDescent="0.2">
      <c r="A156" s="38" t="s">
        <v>1015</v>
      </c>
      <c r="B156" s="38">
        <v>100158</v>
      </c>
      <c r="C156" s="38" t="s">
        <v>1494</v>
      </c>
      <c r="D156" s="279">
        <v>250000</v>
      </c>
      <c r="E156" s="38">
        <v>3046</v>
      </c>
      <c r="F156" s="40">
        <v>7.3499999999999996E-2</v>
      </c>
      <c r="G156" s="44">
        <v>36661</v>
      </c>
      <c r="H156" s="44">
        <v>38122</v>
      </c>
      <c r="I156" s="45">
        <v>4</v>
      </c>
      <c r="J156" s="45" t="s">
        <v>1716</v>
      </c>
      <c r="K156" s="39" t="s">
        <v>1716</v>
      </c>
      <c r="L156" s="39" t="s">
        <v>1014</v>
      </c>
      <c r="M156" s="38" t="str">
        <f t="shared" si="3"/>
        <v>Bon de société de financement</v>
      </c>
    </row>
    <row r="157" spans="1:13" x14ac:dyDescent="0.2">
      <c r="A157" s="38" t="s">
        <v>1015</v>
      </c>
      <c r="B157" s="38">
        <v>100159</v>
      </c>
      <c r="C157" s="38" t="s">
        <v>884</v>
      </c>
      <c r="D157" s="279">
        <v>250000</v>
      </c>
      <c r="E157" s="38">
        <v>3046</v>
      </c>
      <c r="F157" s="40">
        <v>7.2000000000000008E-2</v>
      </c>
      <c r="G157" s="44">
        <v>36662</v>
      </c>
      <c r="H157" s="44">
        <v>37757</v>
      </c>
      <c r="I157" s="45">
        <v>3</v>
      </c>
      <c r="J157" s="45" t="s">
        <v>1716</v>
      </c>
      <c r="K157" s="39" t="s">
        <v>1716</v>
      </c>
      <c r="L157" s="39" t="s">
        <v>1014</v>
      </c>
      <c r="M157" s="38" t="str">
        <f t="shared" si="3"/>
        <v>Bon de société de financement</v>
      </c>
    </row>
    <row r="158" spans="1:13" x14ac:dyDescent="0.2">
      <c r="A158" s="38" t="s">
        <v>1015</v>
      </c>
      <c r="B158" s="38">
        <v>100160</v>
      </c>
      <c r="C158" s="38" t="s">
        <v>885</v>
      </c>
      <c r="D158" s="279">
        <v>250000</v>
      </c>
      <c r="E158" s="38">
        <v>1001</v>
      </c>
      <c r="F158" s="40">
        <v>6.7000000000000004E-2</v>
      </c>
      <c r="G158" s="44">
        <v>36665</v>
      </c>
      <c r="H158" s="44">
        <v>37760</v>
      </c>
      <c r="I158" s="45">
        <v>3</v>
      </c>
      <c r="J158" s="45" t="s">
        <v>1716</v>
      </c>
      <c r="K158" s="39" t="s">
        <v>1716</v>
      </c>
      <c r="L158" s="39" t="s">
        <v>1014</v>
      </c>
      <c r="M158" s="38" t="str">
        <f t="shared" si="3"/>
        <v>Bon de société de financement</v>
      </c>
    </row>
    <row r="159" spans="1:13" x14ac:dyDescent="0.2">
      <c r="A159" s="38" t="s">
        <v>1015</v>
      </c>
      <c r="B159" s="38">
        <v>100161</v>
      </c>
      <c r="C159" s="38" t="s">
        <v>886</v>
      </c>
      <c r="D159" s="279">
        <v>250000</v>
      </c>
      <c r="E159" s="38">
        <v>3029</v>
      </c>
      <c r="F159" s="40">
        <v>6.7000000000000004E-2</v>
      </c>
      <c r="G159" s="44">
        <v>36690</v>
      </c>
      <c r="H159" s="44">
        <v>37785</v>
      </c>
      <c r="I159" s="45">
        <v>3</v>
      </c>
      <c r="J159" s="45" t="s">
        <v>1716</v>
      </c>
      <c r="K159" s="39" t="s">
        <v>1716</v>
      </c>
      <c r="L159" s="39" t="s">
        <v>1014</v>
      </c>
      <c r="M159" s="38" t="str">
        <f t="shared" si="3"/>
        <v>Bon de société de financement</v>
      </c>
    </row>
    <row r="160" spans="1:13" x14ac:dyDescent="0.2">
      <c r="A160" s="38" t="s">
        <v>1015</v>
      </c>
      <c r="B160" s="38">
        <v>100162</v>
      </c>
      <c r="C160" s="38" t="s">
        <v>313</v>
      </c>
      <c r="D160" s="279">
        <v>250000</v>
      </c>
      <c r="E160" s="38">
        <v>3021</v>
      </c>
      <c r="F160" s="40">
        <v>7.3499999999999996E-2</v>
      </c>
      <c r="G160" s="44">
        <v>36703</v>
      </c>
      <c r="H160" s="44">
        <v>37798</v>
      </c>
      <c r="I160" s="45">
        <v>3</v>
      </c>
      <c r="J160" s="45" t="s">
        <v>1716</v>
      </c>
      <c r="K160" s="39" t="s">
        <v>1716</v>
      </c>
      <c r="L160" s="39" t="s">
        <v>1014</v>
      </c>
      <c r="M160" s="38" t="str">
        <f t="shared" si="3"/>
        <v>Bon de société de financement</v>
      </c>
    </row>
    <row r="161" spans="1:13" x14ac:dyDescent="0.2">
      <c r="A161" s="38" t="s">
        <v>1015</v>
      </c>
      <c r="B161" s="38">
        <v>100163</v>
      </c>
      <c r="C161" s="38" t="s">
        <v>342</v>
      </c>
      <c r="D161" s="279">
        <v>250000</v>
      </c>
      <c r="E161" s="38">
        <v>3036</v>
      </c>
      <c r="F161" s="40">
        <v>7.2999999999999995E-2</v>
      </c>
      <c r="G161" s="44">
        <v>36704</v>
      </c>
      <c r="H161" s="44">
        <v>37799</v>
      </c>
      <c r="I161" s="45">
        <v>3</v>
      </c>
      <c r="J161" s="45" t="s">
        <v>1716</v>
      </c>
      <c r="K161" s="39" t="s">
        <v>1716</v>
      </c>
      <c r="L161" s="39" t="s">
        <v>1014</v>
      </c>
      <c r="M161" s="38" t="str">
        <f t="shared" si="3"/>
        <v>Bon de société de financement</v>
      </c>
    </row>
    <row r="162" spans="1:13" x14ac:dyDescent="0.2">
      <c r="A162" s="38" t="s">
        <v>1015</v>
      </c>
      <c r="B162" s="38">
        <v>100164</v>
      </c>
      <c r="C162" s="38" t="s">
        <v>343</v>
      </c>
      <c r="D162" s="279">
        <v>250000</v>
      </c>
      <c r="E162" s="38">
        <v>3024</v>
      </c>
      <c r="F162" s="40">
        <v>7.5399999999999995E-2</v>
      </c>
      <c r="G162" s="44">
        <v>36706</v>
      </c>
      <c r="H162" s="44">
        <v>37801</v>
      </c>
      <c r="I162" s="45">
        <v>3</v>
      </c>
      <c r="J162" s="45" t="s">
        <v>1716</v>
      </c>
      <c r="K162" s="39" t="s">
        <v>1716</v>
      </c>
      <c r="L162" s="39" t="s">
        <v>1014</v>
      </c>
      <c r="M162" s="38" t="str">
        <f t="shared" si="3"/>
        <v>Bon de société de financement</v>
      </c>
    </row>
    <row r="163" spans="1:13" x14ac:dyDescent="0.2">
      <c r="A163" s="38" t="s">
        <v>1015</v>
      </c>
      <c r="B163" s="38">
        <v>100165</v>
      </c>
      <c r="C163" s="38" t="s">
        <v>344</v>
      </c>
      <c r="D163" s="279">
        <v>250000</v>
      </c>
      <c r="E163" s="38">
        <v>3021</v>
      </c>
      <c r="F163" s="40">
        <v>7.3499999999999996E-2</v>
      </c>
      <c r="G163" s="44">
        <v>36710</v>
      </c>
      <c r="H163" s="44">
        <v>37805</v>
      </c>
      <c r="I163" s="45">
        <v>3</v>
      </c>
      <c r="J163" s="45" t="s">
        <v>1716</v>
      </c>
      <c r="K163" s="39" t="s">
        <v>1716</v>
      </c>
      <c r="L163" s="39" t="s">
        <v>1014</v>
      </c>
      <c r="M163" s="38" t="str">
        <f t="shared" si="3"/>
        <v>Bon de société de financement</v>
      </c>
    </row>
    <row r="164" spans="1:13" x14ac:dyDescent="0.2">
      <c r="A164" s="38" t="s">
        <v>1015</v>
      </c>
      <c r="B164" s="38">
        <v>100166</v>
      </c>
      <c r="C164" s="38" t="s">
        <v>345</v>
      </c>
      <c r="D164" s="279">
        <v>250000</v>
      </c>
      <c r="E164" s="38">
        <v>3029</v>
      </c>
      <c r="F164" s="40">
        <v>7.0000000000000007E-2</v>
      </c>
      <c r="G164" s="44">
        <v>36727</v>
      </c>
      <c r="H164" s="44">
        <v>37822</v>
      </c>
      <c r="I164" s="45">
        <v>3</v>
      </c>
      <c r="J164" s="45" t="s">
        <v>1716</v>
      </c>
      <c r="K164" s="39" t="s">
        <v>1716</v>
      </c>
      <c r="L164" s="39" t="s">
        <v>1014</v>
      </c>
      <c r="M164" s="38" t="str">
        <f t="shared" si="3"/>
        <v>Bon de société de financement</v>
      </c>
    </row>
    <row r="165" spans="1:13" x14ac:dyDescent="0.2">
      <c r="A165" s="38" t="s">
        <v>1015</v>
      </c>
      <c r="B165" s="38">
        <v>100167</v>
      </c>
      <c r="C165" s="38" t="s">
        <v>1295</v>
      </c>
      <c r="D165" s="279">
        <v>250000</v>
      </c>
      <c r="E165" s="38">
        <v>1001</v>
      </c>
      <c r="F165" s="40">
        <v>7.0000000000000007E-2</v>
      </c>
      <c r="G165" s="44">
        <v>36755</v>
      </c>
      <c r="H165" s="44">
        <v>37850</v>
      </c>
      <c r="I165" s="45">
        <v>3</v>
      </c>
      <c r="J165" s="45" t="s">
        <v>1716</v>
      </c>
      <c r="K165" s="39" t="s">
        <v>1716</v>
      </c>
      <c r="L165" s="39" t="s">
        <v>1014</v>
      </c>
      <c r="M165" s="38" t="str">
        <f t="shared" si="3"/>
        <v>Bon de société de financement</v>
      </c>
    </row>
    <row r="166" spans="1:13" x14ac:dyDescent="0.2">
      <c r="A166" s="38" t="s">
        <v>1015</v>
      </c>
      <c r="B166" s="38">
        <v>100168</v>
      </c>
      <c r="C166" s="38" t="s">
        <v>1297</v>
      </c>
      <c r="D166" s="279">
        <v>250000</v>
      </c>
      <c r="E166" s="38">
        <v>1001</v>
      </c>
      <c r="F166" s="40">
        <v>7.0000000000000007E-2</v>
      </c>
      <c r="G166" s="44">
        <v>36759</v>
      </c>
      <c r="H166" s="44">
        <v>37854</v>
      </c>
      <c r="I166" s="45">
        <v>3</v>
      </c>
      <c r="J166" s="45" t="s">
        <v>1716</v>
      </c>
      <c r="K166" s="39" t="s">
        <v>1716</v>
      </c>
      <c r="L166" s="39" t="s">
        <v>1014</v>
      </c>
      <c r="M166" s="38" t="str">
        <f t="shared" si="3"/>
        <v>Bon de société de financement</v>
      </c>
    </row>
    <row r="167" spans="1:13" x14ac:dyDescent="0.2">
      <c r="A167" s="38" t="s">
        <v>1015</v>
      </c>
      <c r="B167" s="38">
        <v>100169</v>
      </c>
      <c r="C167" s="38" t="s">
        <v>984</v>
      </c>
      <c r="D167" s="279">
        <v>250000</v>
      </c>
      <c r="E167" s="38">
        <v>1001</v>
      </c>
      <c r="F167" s="40">
        <v>7.0000000000000007E-2</v>
      </c>
      <c r="G167" s="44">
        <v>36773</v>
      </c>
      <c r="H167" s="44">
        <v>37868</v>
      </c>
      <c r="I167" s="45">
        <v>3</v>
      </c>
      <c r="J167" s="45" t="s">
        <v>1716</v>
      </c>
      <c r="K167" s="39" t="s">
        <v>1716</v>
      </c>
      <c r="L167" s="39" t="s">
        <v>1014</v>
      </c>
      <c r="M167" s="38" t="str">
        <f t="shared" si="3"/>
        <v>Bon de société de financement</v>
      </c>
    </row>
    <row r="168" spans="1:13" x14ac:dyDescent="0.2">
      <c r="A168" s="38" t="s">
        <v>1015</v>
      </c>
      <c r="B168" s="38">
        <v>100170</v>
      </c>
      <c r="C168" s="38" t="s">
        <v>1495</v>
      </c>
      <c r="D168" s="279">
        <v>250000</v>
      </c>
      <c r="E168" s="38">
        <v>1001</v>
      </c>
      <c r="F168" s="40">
        <v>7.0000000000000007E-2</v>
      </c>
      <c r="G168" s="44">
        <v>36778</v>
      </c>
      <c r="H168" s="44">
        <v>37873</v>
      </c>
      <c r="I168" s="45">
        <v>3</v>
      </c>
      <c r="J168" s="45" t="s">
        <v>1716</v>
      </c>
      <c r="K168" s="39" t="s">
        <v>1716</v>
      </c>
      <c r="L168" s="39" t="s">
        <v>1014</v>
      </c>
      <c r="M168" s="38" t="str">
        <f t="shared" si="3"/>
        <v>Bon de société de financement</v>
      </c>
    </row>
    <row r="169" spans="1:13" x14ac:dyDescent="0.2">
      <c r="A169" s="38" t="s">
        <v>1015</v>
      </c>
      <c r="B169" s="38">
        <v>100171</v>
      </c>
      <c r="C169" s="38" t="s">
        <v>896</v>
      </c>
      <c r="D169" s="279">
        <v>250000</v>
      </c>
      <c r="E169" s="38">
        <v>1001</v>
      </c>
      <c r="F169" s="40">
        <v>7.0000000000000007E-2</v>
      </c>
      <c r="G169" s="44">
        <v>36781</v>
      </c>
      <c r="H169" s="44">
        <v>37876</v>
      </c>
      <c r="I169" s="45">
        <v>3</v>
      </c>
      <c r="J169" s="45" t="s">
        <v>1716</v>
      </c>
      <c r="K169" s="39" t="s">
        <v>1716</v>
      </c>
      <c r="L169" s="39" t="s">
        <v>1014</v>
      </c>
      <c r="M169" s="38" t="str">
        <f t="shared" si="3"/>
        <v>Bon de société de financement</v>
      </c>
    </row>
    <row r="170" spans="1:13" x14ac:dyDescent="0.2">
      <c r="A170" s="38" t="s">
        <v>1015</v>
      </c>
      <c r="B170" s="38">
        <v>100172</v>
      </c>
      <c r="C170" s="38" t="s">
        <v>897</v>
      </c>
      <c r="D170" s="279">
        <v>250000</v>
      </c>
      <c r="E170" s="38">
        <v>3025</v>
      </c>
      <c r="F170" s="40">
        <v>7.7100000000000002E-2</v>
      </c>
      <c r="G170" s="44">
        <v>36809</v>
      </c>
      <c r="H170" s="44">
        <v>37904</v>
      </c>
      <c r="I170" s="45">
        <v>3</v>
      </c>
      <c r="J170" s="45" t="s">
        <v>1716</v>
      </c>
      <c r="K170" s="39" t="s">
        <v>1716</v>
      </c>
      <c r="L170" s="39" t="s">
        <v>1014</v>
      </c>
      <c r="M170" s="38" t="str">
        <f t="shared" si="3"/>
        <v>Bon de société de financement</v>
      </c>
    </row>
    <row r="171" spans="1:13" x14ac:dyDescent="0.2">
      <c r="A171" s="38" t="s">
        <v>1015</v>
      </c>
      <c r="B171" s="38">
        <v>100173</v>
      </c>
      <c r="C171" s="38" t="s">
        <v>902</v>
      </c>
      <c r="D171" s="279">
        <v>250000</v>
      </c>
      <c r="E171" s="38">
        <v>3025</v>
      </c>
      <c r="F171" s="40">
        <v>8.14E-2</v>
      </c>
      <c r="G171" s="44">
        <v>36809</v>
      </c>
      <c r="H171" s="44">
        <v>38635</v>
      </c>
      <c r="I171" s="45">
        <v>5</v>
      </c>
      <c r="J171" s="45" t="s">
        <v>1716</v>
      </c>
      <c r="K171" s="39" t="s">
        <v>1716</v>
      </c>
      <c r="L171" s="39" t="s">
        <v>1014</v>
      </c>
      <c r="M171" s="38" t="str">
        <f t="shared" si="3"/>
        <v>Bon de société de financement</v>
      </c>
    </row>
    <row r="172" spans="1:13" x14ac:dyDescent="0.2">
      <c r="A172" s="38" t="s">
        <v>1015</v>
      </c>
      <c r="B172" s="38">
        <v>100174</v>
      </c>
      <c r="C172" s="38" t="s">
        <v>904</v>
      </c>
      <c r="D172" s="279">
        <v>250000</v>
      </c>
      <c r="E172" s="38">
        <v>1001</v>
      </c>
      <c r="F172" s="40">
        <v>7.0000000000000007E-2</v>
      </c>
      <c r="G172" s="44">
        <v>36813</v>
      </c>
      <c r="H172" s="44">
        <v>37908</v>
      </c>
      <c r="I172" s="45">
        <v>3</v>
      </c>
      <c r="J172" s="45" t="s">
        <v>1716</v>
      </c>
      <c r="K172" s="39" t="s">
        <v>1716</v>
      </c>
      <c r="L172" s="39" t="s">
        <v>1014</v>
      </c>
      <c r="M172" s="38" t="str">
        <f t="shared" si="3"/>
        <v>Bon de société de financement</v>
      </c>
    </row>
    <row r="173" spans="1:13" x14ac:dyDescent="0.2">
      <c r="A173" s="38" t="s">
        <v>1015</v>
      </c>
      <c r="B173" s="38">
        <v>100175</v>
      </c>
      <c r="C173" s="38" t="s">
        <v>905</v>
      </c>
      <c r="D173" s="279">
        <v>250000</v>
      </c>
      <c r="E173" s="38">
        <v>3021</v>
      </c>
      <c r="F173" s="40">
        <v>0.08</v>
      </c>
      <c r="G173" s="44">
        <v>36815</v>
      </c>
      <c r="H173" s="44">
        <v>37910</v>
      </c>
      <c r="I173" s="45">
        <v>3</v>
      </c>
      <c r="J173" s="45" t="s">
        <v>1716</v>
      </c>
      <c r="K173" s="39" t="s">
        <v>1716</v>
      </c>
      <c r="L173" s="39" t="s">
        <v>1014</v>
      </c>
      <c r="M173" s="38" t="str">
        <f t="shared" si="3"/>
        <v>Bon de société de financement</v>
      </c>
    </row>
    <row r="174" spans="1:13" x14ac:dyDescent="0.2">
      <c r="A174" s="38" t="s">
        <v>1015</v>
      </c>
      <c r="B174" s="38">
        <v>100176</v>
      </c>
      <c r="C174" s="38" t="s">
        <v>1352</v>
      </c>
      <c r="D174" s="279">
        <v>250000</v>
      </c>
      <c r="E174" s="38">
        <v>1001</v>
      </c>
      <c r="F174" s="40">
        <v>7.0000000000000007E-2</v>
      </c>
      <c r="G174" s="44">
        <v>36816</v>
      </c>
      <c r="H174" s="44">
        <v>37911</v>
      </c>
      <c r="I174" s="45">
        <v>3</v>
      </c>
      <c r="J174" s="45" t="s">
        <v>1716</v>
      </c>
      <c r="K174" s="39" t="s">
        <v>1716</v>
      </c>
      <c r="L174" s="39" t="s">
        <v>1014</v>
      </c>
      <c r="M174" s="38" t="str">
        <f t="shared" si="3"/>
        <v>Bon de société de financement</v>
      </c>
    </row>
    <row r="175" spans="1:13" x14ac:dyDescent="0.2">
      <c r="A175" s="38" t="s">
        <v>1015</v>
      </c>
      <c r="B175" s="38">
        <v>100177</v>
      </c>
      <c r="C175" s="38" t="s">
        <v>1353</v>
      </c>
      <c r="D175" s="279">
        <v>250000</v>
      </c>
      <c r="E175" s="38">
        <v>3029</v>
      </c>
      <c r="F175" s="40">
        <v>7.2999999999999995E-2</v>
      </c>
      <c r="G175" s="44">
        <v>36830</v>
      </c>
      <c r="H175" s="44">
        <v>37925</v>
      </c>
      <c r="I175" s="45">
        <v>3</v>
      </c>
      <c r="J175" s="45" t="s">
        <v>1716</v>
      </c>
      <c r="K175" s="39" t="s">
        <v>1716</v>
      </c>
      <c r="L175" s="39" t="s">
        <v>1014</v>
      </c>
      <c r="M175" s="38" t="str">
        <f t="shared" si="3"/>
        <v>Bon de société de financement</v>
      </c>
    </row>
    <row r="176" spans="1:13" x14ac:dyDescent="0.2">
      <c r="A176" s="38" t="s">
        <v>1015</v>
      </c>
      <c r="B176" s="38">
        <v>100178</v>
      </c>
      <c r="C176" s="38" t="s">
        <v>1354</v>
      </c>
      <c r="D176" s="279">
        <v>250000</v>
      </c>
      <c r="E176" s="38">
        <v>3029</v>
      </c>
      <c r="F176" s="40">
        <v>7.6999999999999999E-2</v>
      </c>
      <c r="G176" s="44">
        <v>36830</v>
      </c>
      <c r="H176" s="44">
        <v>38656</v>
      </c>
      <c r="I176" s="45">
        <v>5</v>
      </c>
      <c r="J176" s="45" t="s">
        <v>1716</v>
      </c>
      <c r="K176" s="39" t="s">
        <v>1716</v>
      </c>
      <c r="L176" s="39" t="s">
        <v>1014</v>
      </c>
      <c r="M176" s="38" t="str">
        <f t="shared" si="3"/>
        <v>Bon de société de financement</v>
      </c>
    </row>
    <row r="177" spans="1:13" x14ac:dyDescent="0.2">
      <c r="A177" s="38" t="s">
        <v>1015</v>
      </c>
      <c r="B177" s="38">
        <v>100179</v>
      </c>
      <c r="C177" s="38" t="s">
        <v>758</v>
      </c>
      <c r="D177" s="279">
        <v>250000</v>
      </c>
      <c r="E177" s="38">
        <v>1003</v>
      </c>
      <c r="F177" s="40">
        <v>7.1500000000000008E-2</v>
      </c>
      <c r="G177" s="44">
        <v>36867</v>
      </c>
      <c r="H177" s="44">
        <v>37962</v>
      </c>
      <c r="I177" s="45">
        <v>3</v>
      </c>
      <c r="J177" s="45" t="s">
        <v>1716</v>
      </c>
      <c r="K177" s="39" t="s">
        <v>1716</v>
      </c>
      <c r="L177" s="39" t="s">
        <v>1014</v>
      </c>
      <c r="M177" s="38" t="str">
        <f t="shared" si="3"/>
        <v>Bon de société de financement</v>
      </c>
    </row>
    <row r="178" spans="1:13" x14ac:dyDescent="0.2">
      <c r="A178" s="38" t="s">
        <v>1015</v>
      </c>
      <c r="B178" s="38">
        <v>100180</v>
      </c>
      <c r="C178" s="38" t="s">
        <v>232</v>
      </c>
      <c r="D178" s="279">
        <v>250000</v>
      </c>
      <c r="E178" s="38">
        <v>1001</v>
      </c>
      <c r="F178" s="40">
        <v>7.0000000000000007E-2</v>
      </c>
      <c r="G178" s="44">
        <v>36873</v>
      </c>
      <c r="H178" s="44">
        <v>37968</v>
      </c>
      <c r="I178" s="45">
        <v>3</v>
      </c>
      <c r="J178" s="45" t="s">
        <v>1716</v>
      </c>
      <c r="K178" s="39" t="s">
        <v>1716</v>
      </c>
      <c r="L178" s="39" t="s">
        <v>1014</v>
      </c>
      <c r="M178" s="38" t="str">
        <f t="shared" si="3"/>
        <v>Bon de société de financement</v>
      </c>
    </row>
    <row r="179" spans="1:13" x14ac:dyDescent="0.2">
      <c r="A179" s="38" t="s">
        <v>1015</v>
      </c>
      <c r="B179" s="38">
        <v>100181</v>
      </c>
      <c r="C179" s="38" t="s">
        <v>233</v>
      </c>
      <c r="D179" s="279">
        <v>250000</v>
      </c>
      <c r="E179" s="38">
        <v>3036</v>
      </c>
      <c r="F179" s="40">
        <v>8.199999999999999E-2</v>
      </c>
      <c r="G179" s="44">
        <v>36879</v>
      </c>
      <c r="H179" s="44">
        <v>37974</v>
      </c>
      <c r="I179" s="45">
        <v>3</v>
      </c>
      <c r="J179" s="45" t="s">
        <v>1716</v>
      </c>
      <c r="K179" s="39" t="s">
        <v>1716</v>
      </c>
      <c r="L179" s="39" t="s">
        <v>1014</v>
      </c>
      <c r="M179" s="38" t="str">
        <f t="shared" si="3"/>
        <v>Bon de société de financement</v>
      </c>
    </row>
    <row r="180" spans="1:13" x14ac:dyDescent="0.2">
      <c r="A180" s="38" t="s">
        <v>1015</v>
      </c>
      <c r="B180" s="38">
        <v>100182</v>
      </c>
      <c r="C180" s="38" t="s">
        <v>920</v>
      </c>
      <c r="D180" s="279">
        <v>250000</v>
      </c>
      <c r="E180" s="38">
        <v>1002</v>
      </c>
      <c r="F180" s="40">
        <v>6.5000000000000002E-2</v>
      </c>
      <c r="G180" s="44">
        <v>36885</v>
      </c>
      <c r="H180" s="44">
        <v>37980</v>
      </c>
      <c r="I180" s="45">
        <v>3</v>
      </c>
      <c r="J180" s="45" t="s">
        <v>1716</v>
      </c>
      <c r="K180" s="39" t="s">
        <v>1716</v>
      </c>
      <c r="L180" s="39" t="s">
        <v>1014</v>
      </c>
      <c r="M180" s="38" t="str">
        <f t="shared" si="3"/>
        <v>Bon de société de financement</v>
      </c>
    </row>
    <row r="181" spans="1:13" x14ac:dyDescent="0.2">
      <c r="A181" s="38" t="s">
        <v>1015</v>
      </c>
      <c r="B181" s="38">
        <v>100183</v>
      </c>
      <c r="C181" s="38" t="s">
        <v>728</v>
      </c>
      <c r="D181" s="279">
        <v>250000</v>
      </c>
      <c r="E181" s="38">
        <v>1002</v>
      </c>
      <c r="F181" s="40">
        <v>6.7000000000000004E-2</v>
      </c>
      <c r="G181" s="44">
        <v>36885</v>
      </c>
      <c r="H181" s="44">
        <v>37980</v>
      </c>
      <c r="I181" s="45">
        <v>3</v>
      </c>
      <c r="J181" s="45" t="s">
        <v>1716</v>
      </c>
      <c r="K181" s="39" t="s">
        <v>1716</v>
      </c>
      <c r="L181" s="39" t="s">
        <v>1014</v>
      </c>
      <c r="M181" s="38" t="str">
        <f t="shared" si="3"/>
        <v>Bon de société de financement</v>
      </c>
    </row>
    <row r="182" spans="1:13" x14ac:dyDescent="0.2">
      <c r="A182" s="38" t="s">
        <v>1015</v>
      </c>
      <c r="B182" s="38">
        <v>100184</v>
      </c>
      <c r="C182" s="38" t="s">
        <v>729</v>
      </c>
      <c r="D182" s="279">
        <v>250000</v>
      </c>
      <c r="E182" s="38">
        <v>1002</v>
      </c>
      <c r="F182" s="40">
        <v>6.5000000000000002E-2</v>
      </c>
      <c r="G182" s="44">
        <v>36891</v>
      </c>
      <c r="H182" s="44">
        <v>37986</v>
      </c>
      <c r="I182" s="45">
        <v>3</v>
      </c>
      <c r="J182" s="45" t="s">
        <v>1716</v>
      </c>
      <c r="K182" s="39" t="s">
        <v>1716</v>
      </c>
      <c r="L182" s="39" t="s">
        <v>1014</v>
      </c>
      <c r="M182" s="38" t="str">
        <f t="shared" si="3"/>
        <v>Bon de société de financement</v>
      </c>
    </row>
    <row r="183" spans="1:13" x14ac:dyDescent="0.2">
      <c r="A183" s="38" t="s">
        <v>1015</v>
      </c>
      <c r="B183" s="38">
        <v>100185</v>
      </c>
      <c r="C183" s="38" t="s">
        <v>731</v>
      </c>
      <c r="D183" s="279">
        <v>250000</v>
      </c>
      <c r="E183" s="38">
        <v>1002</v>
      </c>
      <c r="F183" s="40">
        <v>6.7000000000000004E-2</v>
      </c>
      <c r="G183" s="44">
        <v>36891</v>
      </c>
      <c r="H183" s="44">
        <v>37986</v>
      </c>
      <c r="I183" s="45">
        <v>3</v>
      </c>
      <c r="J183" s="45" t="s">
        <v>1716</v>
      </c>
      <c r="K183" s="39" t="s">
        <v>1716</v>
      </c>
      <c r="L183" s="39" t="s">
        <v>1014</v>
      </c>
      <c r="M183" s="38" t="str">
        <f t="shared" si="3"/>
        <v>Bon de société de financement</v>
      </c>
    </row>
    <row r="184" spans="1:13" x14ac:dyDescent="0.2">
      <c r="A184" s="38" t="s">
        <v>1015</v>
      </c>
      <c r="B184" s="38">
        <v>100186</v>
      </c>
      <c r="C184" s="38" t="s">
        <v>735</v>
      </c>
      <c r="D184" s="279">
        <v>250000</v>
      </c>
      <c r="E184" s="38">
        <v>1002</v>
      </c>
      <c r="F184" s="40">
        <v>6.7000000000000004E-2</v>
      </c>
      <c r="G184" s="44">
        <v>36899</v>
      </c>
      <c r="H184" s="44">
        <v>37994</v>
      </c>
      <c r="I184" s="45">
        <v>3</v>
      </c>
      <c r="J184" s="45" t="s">
        <v>1716</v>
      </c>
      <c r="K184" s="39" t="s">
        <v>1716</v>
      </c>
      <c r="L184" s="39" t="s">
        <v>1014</v>
      </c>
      <c r="M184" s="38" t="str">
        <f t="shared" si="3"/>
        <v>Bon de société de financement</v>
      </c>
    </row>
    <row r="185" spans="1:13" x14ac:dyDescent="0.2">
      <c r="A185" s="38" t="s">
        <v>1015</v>
      </c>
      <c r="B185" s="38">
        <v>100187</v>
      </c>
      <c r="C185" s="38" t="s">
        <v>912</v>
      </c>
      <c r="D185" s="279">
        <v>250000</v>
      </c>
      <c r="E185" s="38">
        <v>3036</v>
      </c>
      <c r="F185" s="40">
        <v>7.9000000000000001E-2</v>
      </c>
      <c r="G185" s="44">
        <v>36927</v>
      </c>
      <c r="H185" s="44">
        <v>37657</v>
      </c>
      <c r="I185" s="45">
        <v>2</v>
      </c>
      <c r="J185" s="45" t="s">
        <v>1716</v>
      </c>
      <c r="K185" s="39" t="s">
        <v>1716</v>
      </c>
      <c r="L185" s="39" t="s">
        <v>1014</v>
      </c>
      <c r="M185" s="38" t="str">
        <f t="shared" si="3"/>
        <v>Bon de société de financement</v>
      </c>
    </row>
    <row r="186" spans="1:13" x14ac:dyDescent="0.2">
      <c r="A186" s="38" t="s">
        <v>1015</v>
      </c>
      <c r="B186" s="38">
        <v>100188</v>
      </c>
      <c r="C186" s="38" t="s">
        <v>199</v>
      </c>
      <c r="D186" s="279">
        <v>250000</v>
      </c>
      <c r="E186" s="38">
        <v>3036</v>
      </c>
      <c r="F186" s="40">
        <v>8.0500000000000002E-2</v>
      </c>
      <c r="G186" s="44">
        <v>36927</v>
      </c>
      <c r="H186" s="44">
        <v>38022</v>
      </c>
      <c r="I186" s="45">
        <v>3</v>
      </c>
      <c r="J186" s="45" t="s">
        <v>1716</v>
      </c>
      <c r="K186" s="39" t="s">
        <v>1716</v>
      </c>
      <c r="L186" s="39" t="s">
        <v>1014</v>
      </c>
      <c r="M186" s="38" t="str">
        <f t="shared" si="3"/>
        <v>Bon de société de financement</v>
      </c>
    </row>
    <row r="187" spans="1:13" x14ac:dyDescent="0.2">
      <c r="A187" s="38" t="s">
        <v>1015</v>
      </c>
      <c r="B187" s="38">
        <v>100189</v>
      </c>
      <c r="C187" s="38" t="s">
        <v>1356</v>
      </c>
      <c r="D187" s="279">
        <v>250000</v>
      </c>
      <c r="E187" s="38">
        <v>3036</v>
      </c>
      <c r="F187" s="40">
        <v>8.3199999999999996E-2</v>
      </c>
      <c r="G187" s="44">
        <v>36927</v>
      </c>
      <c r="H187" s="44">
        <v>38753</v>
      </c>
      <c r="I187" s="45">
        <v>5</v>
      </c>
      <c r="J187" s="45" t="s">
        <v>1716</v>
      </c>
      <c r="K187" s="39" t="s">
        <v>1716</v>
      </c>
      <c r="L187" s="39" t="s">
        <v>1014</v>
      </c>
      <c r="M187" s="38" t="str">
        <f t="shared" si="3"/>
        <v>Bon de société de financement</v>
      </c>
    </row>
    <row r="188" spans="1:13" x14ac:dyDescent="0.2">
      <c r="A188" s="38" t="s">
        <v>1015</v>
      </c>
      <c r="B188" s="38">
        <v>100190</v>
      </c>
      <c r="C188" s="38" t="s">
        <v>1357</v>
      </c>
      <c r="D188" s="279">
        <v>250000</v>
      </c>
      <c r="E188" s="38">
        <v>3025</v>
      </c>
      <c r="F188" s="40">
        <v>7.85E-2</v>
      </c>
      <c r="G188" s="44">
        <v>36951</v>
      </c>
      <c r="H188" s="44">
        <v>37681</v>
      </c>
      <c r="I188" s="45">
        <v>2</v>
      </c>
      <c r="J188" s="45" t="s">
        <v>1716</v>
      </c>
      <c r="K188" s="39" t="s">
        <v>1716</v>
      </c>
      <c r="L188" s="39" t="s">
        <v>1014</v>
      </c>
      <c r="M188" s="38" t="str">
        <f t="shared" si="3"/>
        <v>Bon de société de financement</v>
      </c>
    </row>
    <row r="189" spans="1:13" x14ac:dyDescent="0.2">
      <c r="A189" s="38" t="s">
        <v>1015</v>
      </c>
      <c r="B189" s="38">
        <v>100191</v>
      </c>
      <c r="C189" s="38" t="s">
        <v>1360</v>
      </c>
      <c r="D189" s="279">
        <v>250000</v>
      </c>
      <c r="E189" s="38">
        <v>1002</v>
      </c>
      <c r="F189" s="40">
        <v>6.4500000000000002E-2</v>
      </c>
      <c r="G189" s="44">
        <v>36973</v>
      </c>
      <c r="H189" s="44">
        <v>38069</v>
      </c>
      <c r="I189" s="45">
        <v>3</v>
      </c>
      <c r="J189" s="45" t="s">
        <v>1716</v>
      </c>
      <c r="K189" s="39" t="s">
        <v>1716</v>
      </c>
      <c r="L189" s="39" t="s">
        <v>1014</v>
      </c>
      <c r="M189" s="38" t="str">
        <f t="shared" si="3"/>
        <v>Bon de société de financement</v>
      </c>
    </row>
    <row r="190" spans="1:13" x14ac:dyDescent="0.2">
      <c r="A190" s="38" t="s">
        <v>1015</v>
      </c>
      <c r="B190" s="38">
        <v>100192</v>
      </c>
      <c r="C190" s="38" t="s">
        <v>1361</v>
      </c>
      <c r="D190" s="279">
        <v>250000</v>
      </c>
      <c r="E190" s="38">
        <v>1002</v>
      </c>
      <c r="F190" s="40">
        <v>6.5500000000000003E-2</v>
      </c>
      <c r="G190" s="44">
        <v>36973</v>
      </c>
      <c r="H190" s="44">
        <v>38434</v>
      </c>
      <c r="I190" s="45">
        <v>4</v>
      </c>
      <c r="J190" s="45" t="s">
        <v>1716</v>
      </c>
      <c r="K190" s="39" t="s">
        <v>1716</v>
      </c>
      <c r="L190" s="39" t="s">
        <v>1014</v>
      </c>
      <c r="M190" s="38" t="str">
        <f t="shared" si="3"/>
        <v>Bon de société de financement</v>
      </c>
    </row>
    <row r="191" spans="1:13" x14ac:dyDescent="0.2">
      <c r="A191" s="38" t="s">
        <v>1015</v>
      </c>
      <c r="B191" s="38">
        <v>100193</v>
      </c>
      <c r="C191" s="38" t="s">
        <v>1362</v>
      </c>
      <c r="D191" s="279">
        <v>250000</v>
      </c>
      <c r="E191" s="38">
        <v>1002</v>
      </c>
      <c r="F191" s="40">
        <v>6.6500000000000004E-2</v>
      </c>
      <c r="G191" s="44">
        <v>36973</v>
      </c>
      <c r="H191" s="44">
        <v>38799</v>
      </c>
      <c r="I191" s="45">
        <v>5</v>
      </c>
      <c r="J191" s="45" t="s">
        <v>1716</v>
      </c>
      <c r="K191" s="39" t="s">
        <v>1716</v>
      </c>
      <c r="L191" s="39" t="s">
        <v>1014</v>
      </c>
      <c r="M191" s="38" t="str">
        <f t="shared" si="3"/>
        <v>Bon de société de financement</v>
      </c>
    </row>
    <row r="192" spans="1:13" x14ac:dyDescent="0.2">
      <c r="A192" s="38" t="s">
        <v>1015</v>
      </c>
      <c r="B192" s="38">
        <v>100194</v>
      </c>
      <c r="C192" s="38" t="s">
        <v>848</v>
      </c>
      <c r="D192" s="279">
        <v>250000</v>
      </c>
      <c r="E192" s="38">
        <v>1003</v>
      </c>
      <c r="F192" s="40">
        <v>6.7500000000000004E-2</v>
      </c>
      <c r="G192" s="44">
        <v>36973</v>
      </c>
      <c r="H192" s="44">
        <v>37703</v>
      </c>
      <c r="I192" s="45">
        <v>2</v>
      </c>
      <c r="J192" s="45" t="s">
        <v>1716</v>
      </c>
      <c r="K192" s="39" t="s">
        <v>1716</v>
      </c>
      <c r="L192" s="39" t="s">
        <v>1014</v>
      </c>
      <c r="M192" s="38" t="str">
        <f t="shared" si="3"/>
        <v>Bon de société de financement</v>
      </c>
    </row>
    <row r="193" spans="1:13" x14ac:dyDescent="0.2">
      <c r="A193" s="38" t="s">
        <v>1015</v>
      </c>
      <c r="B193" s="38">
        <v>100195</v>
      </c>
      <c r="C193" s="38" t="s">
        <v>1333</v>
      </c>
      <c r="D193" s="279">
        <v>250000</v>
      </c>
      <c r="E193" s="38">
        <v>1003</v>
      </c>
      <c r="F193" s="40">
        <v>7.0000000000000007E-2</v>
      </c>
      <c r="G193" s="44">
        <v>36973</v>
      </c>
      <c r="H193" s="44">
        <v>38069</v>
      </c>
      <c r="I193" s="45">
        <v>3</v>
      </c>
      <c r="J193" s="45" t="s">
        <v>1716</v>
      </c>
      <c r="K193" s="39" t="s">
        <v>1716</v>
      </c>
      <c r="L193" s="39" t="s">
        <v>1014</v>
      </c>
      <c r="M193" s="38" t="str">
        <f t="shared" si="3"/>
        <v>Bon de société de financement</v>
      </c>
    </row>
    <row r="194" spans="1:13" x14ac:dyDescent="0.2">
      <c r="A194" s="38" t="s">
        <v>1015</v>
      </c>
      <c r="B194" s="38">
        <v>100196</v>
      </c>
      <c r="C194" s="38" t="s">
        <v>1958</v>
      </c>
      <c r="D194" s="279">
        <v>250000</v>
      </c>
      <c r="E194" s="38">
        <v>3021</v>
      </c>
      <c r="F194" s="40">
        <v>7.4200000000000002E-2</v>
      </c>
      <c r="G194" s="44">
        <v>36990</v>
      </c>
      <c r="H194" s="44">
        <v>38086</v>
      </c>
      <c r="I194" s="45">
        <v>3</v>
      </c>
      <c r="J194" s="45" t="s">
        <v>1716</v>
      </c>
      <c r="K194" s="39" t="s">
        <v>1716</v>
      </c>
      <c r="L194" s="39" t="s">
        <v>1014</v>
      </c>
      <c r="M194" s="38" t="str">
        <f t="shared" si="3"/>
        <v>Bon de société de financement</v>
      </c>
    </row>
    <row r="195" spans="1:13" x14ac:dyDescent="0.2">
      <c r="A195" s="38" t="s">
        <v>1015</v>
      </c>
      <c r="B195" s="38">
        <v>100197</v>
      </c>
      <c r="C195" s="38" t="s">
        <v>1959</v>
      </c>
      <c r="D195" s="279">
        <v>250000</v>
      </c>
      <c r="E195" s="38">
        <v>3021</v>
      </c>
      <c r="F195" s="40">
        <v>7.3399999999999993E-2</v>
      </c>
      <c r="G195" s="44">
        <v>36997</v>
      </c>
      <c r="H195" s="44">
        <v>38093</v>
      </c>
      <c r="I195" s="45">
        <v>3</v>
      </c>
      <c r="J195" s="45" t="s">
        <v>1716</v>
      </c>
      <c r="K195" s="39" t="s">
        <v>1716</v>
      </c>
      <c r="L195" s="39" t="s">
        <v>1014</v>
      </c>
      <c r="M195" s="38" t="str">
        <f t="shared" ref="M195:M258" si="4">+A195</f>
        <v>Bon de société de financement</v>
      </c>
    </row>
    <row r="196" spans="1:13" x14ac:dyDescent="0.2">
      <c r="A196" s="38" t="s">
        <v>1015</v>
      </c>
      <c r="B196" s="38">
        <v>100198</v>
      </c>
      <c r="C196" s="38" t="s">
        <v>743</v>
      </c>
      <c r="D196" s="279">
        <v>250000</v>
      </c>
      <c r="E196" s="38">
        <v>3021</v>
      </c>
      <c r="F196" s="40">
        <v>7.4200000000000002E-2</v>
      </c>
      <c r="G196" s="44">
        <v>37004</v>
      </c>
      <c r="H196" s="44">
        <v>38100</v>
      </c>
      <c r="I196" s="45">
        <v>3</v>
      </c>
      <c r="J196" s="45" t="s">
        <v>1716</v>
      </c>
      <c r="K196" s="39" t="s">
        <v>1716</v>
      </c>
      <c r="L196" s="39" t="s">
        <v>1014</v>
      </c>
      <c r="M196" s="38" t="str">
        <f t="shared" si="4"/>
        <v>Bon de société de financement</v>
      </c>
    </row>
    <row r="197" spans="1:13" x14ac:dyDescent="0.2">
      <c r="A197" s="38" t="s">
        <v>1015</v>
      </c>
      <c r="B197" s="38">
        <v>100199</v>
      </c>
      <c r="C197" s="38" t="s">
        <v>744</v>
      </c>
      <c r="D197" s="279">
        <v>250000</v>
      </c>
      <c r="E197" s="38">
        <v>1001</v>
      </c>
      <c r="F197" s="40">
        <v>7.2000000000000008E-2</v>
      </c>
      <c r="G197" s="44">
        <v>36916</v>
      </c>
      <c r="H197" s="44">
        <v>38011</v>
      </c>
      <c r="I197" s="45">
        <v>3</v>
      </c>
      <c r="J197" s="45" t="s">
        <v>1716</v>
      </c>
      <c r="K197" s="39" t="s">
        <v>1716</v>
      </c>
      <c r="L197" s="39" t="s">
        <v>1014</v>
      </c>
      <c r="M197" s="38" t="str">
        <f t="shared" si="4"/>
        <v>Bon de société de financement</v>
      </c>
    </row>
    <row r="198" spans="1:13" x14ac:dyDescent="0.2">
      <c r="A198" s="38" t="s">
        <v>1015</v>
      </c>
      <c r="B198" s="38">
        <v>100200</v>
      </c>
      <c r="C198" s="38" t="s">
        <v>745</v>
      </c>
      <c r="D198" s="279">
        <v>250000</v>
      </c>
      <c r="E198" s="38">
        <v>1001</v>
      </c>
      <c r="F198" s="40">
        <v>6.1500000000000006E-2</v>
      </c>
      <c r="G198" s="44">
        <v>37005</v>
      </c>
      <c r="H198" s="44">
        <v>38101</v>
      </c>
      <c r="I198" s="45">
        <v>3</v>
      </c>
      <c r="J198" s="45" t="s">
        <v>1716</v>
      </c>
      <c r="K198" s="39" t="s">
        <v>1716</v>
      </c>
      <c r="L198" s="39" t="s">
        <v>1014</v>
      </c>
      <c r="M198" s="38" t="str">
        <f t="shared" si="4"/>
        <v>Bon de société de financement</v>
      </c>
    </row>
    <row r="199" spans="1:13" x14ac:dyDescent="0.2">
      <c r="A199" s="38" t="s">
        <v>1015</v>
      </c>
      <c r="B199" s="38">
        <v>100201</v>
      </c>
      <c r="C199" s="38" t="s">
        <v>747</v>
      </c>
      <c r="D199" s="279">
        <v>250000</v>
      </c>
      <c r="E199" s="38">
        <v>1003</v>
      </c>
      <c r="F199" s="40">
        <v>6.5000000000000002E-2</v>
      </c>
      <c r="G199" s="44">
        <v>37040</v>
      </c>
      <c r="H199" s="44">
        <v>37770</v>
      </c>
      <c r="I199" s="45">
        <v>2</v>
      </c>
      <c r="J199" s="45" t="s">
        <v>1716</v>
      </c>
      <c r="K199" s="39" t="s">
        <v>1716</v>
      </c>
      <c r="L199" s="39" t="s">
        <v>1014</v>
      </c>
      <c r="M199" s="38" t="str">
        <f t="shared" si="4"/>
        <v>Bon de société de financement</v>
      </c>
    </row>
    <row r="200" spans="1:13" x14ac:dyDescent="0.2">
      <c r="A200" s="38" t="s">
        <v>1015</v>
      </c>
      <c r="B200" s="38">
        <v>100202</v>
      </c>
      <c r="C200" s="38" t="s">
        <v>200</v>
      </c>
      <c r="D200" s="279">
        <v>250000</v>
      </c>
      <c r="E200" s="38">
        <v>1003</v>
      </c>
      <c r="F200" s="40">
        <v>7.0000000000000007E-2</v>
      </c>
      <c r="G200" s="44">
        <v>37040</v>
      </c>
      <c r="H200" s="44">
        <v>38136</v>
      </c>
      <c r="I200" s="45">
        <v>3</v>
      </c>
      <c r="J200" s="45" t="s">
        <v>1716</v>
      </c>
      <c r="K200" s="39" t="s">
        <v>1716</v>
      </c>
      <c r="L200" s="39" t="s">
        <v>1014</v>
      </c>
      <c r="M200" s="38" t="str">
        <f t="shared" si="4"/>
        <v>Bon de société de financement</v>
      </c>
    </row>
    <row r="201" spans="1:13" x14ac:dyDescent="0.2">
      <c r="A201" s="38" t="s">
        <v>1015</v>
      </c>
      <c r="B201" s="38">
        <v>100203</v>
      </c>
      <c r="C201" s="38" t="s">
        <v>201</v>
      </c>
      <c r="D201" s="279">
        <v>250000</v>
      </c>
      <c r="E201" s="38">
        <v>1003</v>
      </c>
      <c r="F201" s="40">
        <v>7.2000000000000008E-2</v>
      </c>
      <c r="G201" s="44">
        <v>37040</v>
      </c>
      <c r="H201" s="44">
        <v>38866</v>
      </c>
      <c r="I201" s="45">
        <v>5</v>
      </c>
      <c r="J201" s="45" t="s">
        <v>1716</v>
      </c>
      <c r="K201" s="39" t="s">
        <v>1716</v>
      </c>
      <c r="L201" s="39" t="s">
        <v>1014</v>
      </c>
      <c r="M201" s="38" t="str">
        <f t="shared" si="4"/>
        <v>Bon de société de financement</v>
      </c>
    </row>
    <row r="202" spans="1:13" x14ac:dyDescent="0.2">
      <c r="A202" s="38" t="s">
        <v>1015</v>
      </c>
      <c r="B202" s="38">
        <v>100204</v>
      </c>
      <c r="C202" s="38" t="s">
        <v>203</v>
      </c>
      <c r="D202" s="279">
        <v>250000</v>
      </c>
      <c r="E202" s="38">
        <v>2033</v>
      </c>
      <c r="F202" s="40">
        <v>6.25E-2</v>
      </c>
      <c r="G202" s="44">
        <v>37033</v>
      </c>
      <c r="H202" s="44">
        <v>37763</v>
      </c>
      <c r="I202" s="45">
        <v>2</v>
      </c>
      <c r="J202" s="45" t="s">
        <v>1716</v>
      </c>
      <c r="K202" s="39" t="s">
        <v>1716</v>
      </c>
      <c r="L202" s="39" t="s">
        <v>1014</v>
      </c>
      <c r="M202" s="38" t="str">
        <f t="shared" si="4"/>
        <v>Bon de société de financement</v>
      </c>
    </row>
    <row r="203" spans="1:13" x14ac:dyDescent="0.2">
      <c r="A203" s="38" t="s">
        <v>1015</v>
      </c>
      <c r="B203" s="38">
        <v>100205</v>
      </c>
      <c r="C203" s="38" t="s">
        <v>204</v>
      </c>
      <c r="D203" s="279">
        <v>250000</v>
      </c>
      <c r="E203" s="38">
        <v>2033</v>
      </c>
      <c r="F203" s="40">
        <v>6.5000000000000002E-2</v>
      </c>
      <c r="G203" s="44">
        <v>37033</v>
      </c>
      <c r="H203" s="44">
        <v>38129</v>
      </c>
      <c r="I203" s="45">
        <v>3</v>
      </c>
      <c r="J203" s="45" t="s">
        <v>1716</v>
      </c>
      <c r="K203" s="39" t="s">
        <v>1716</v>
      </c>
      <c r="L203" s="39" t="s">
        <v>1014</v>
      </c>
      <c r="M203" s="38" t="str">
        <f t="shared" si="4"/>
        <v>Bon de société de financement</v>
      </c>
    </row>
    <row r="204" spans="1:13" x14ac:dyDescent="0.2">
      <c r="A204" s="38" t="s">
        <v>1015</v>
      </c>
      <c r="B204" s="38">
        <v>100206</v>
      </c>
      <c r="C204" s="38" t="s">
        <v>1911</v>
      </c>
      <c r="D204" s="279">
        <v>250000</v>
      </c>
      <c r="E204" s="38">
        <v>3036</v>
      </c>
      <c r="F204" s="40">
        <v>5.79E-2</v>
      </c>
      <c r="G204" s="44">
        <v>37046</v>
      </c>
      <c r="H204" s="44">
        <v>38142</v>
      </c>
      <c r="I204" s="45">
        <v>3</v>
      </c>
      <c r="J204" s="45" t="s">
        <v>1716</v>
      </c>
      <c r="K204" s="39" t="s">
        <v>1716</v>
      </c>
      <c r="L204" s="39" t="s">
        <v>1014</v>
      </c>
      <c r="M204" s="38" t="str">
        <f t="shared" si="4"/>
        <v>Bon de société de financement</v>
      </c>
    </row>
    <row r="205" spans="1:13" x14ac:dyDescent="0.2">
      <c r="A205" s="38" t="s">
        <v>1015</v>
      </c>
      <c r="B205" s="38">
        <v>100207</v>
      </c>
      <c r="C205" s="38" t="s">
        <v>1650</v>
      </c>
      <c r="D205" s="279">
        <v>250000</v>
      </c>
      <c r="E205" s="38">
        <v>3036</v>
      </c>
      <c r="F205" s="40">
        <v>6.7000000000000004E-2</v>
      </c>
      <c r="G205" s="44">
        <v>37046</v>
      </c>
      <c r="H205" s="44">
        <v>38142</v>
      </c>
      <c r="I205" s="45">
        <v>3</v>
      </c>
      <c r="J205" s="45" t="s">
        <v>1716</v>
      </c>
      <c r="K205" s="39" t="s">
        <v>1716</v>
      </c>
      <c r="L205" s="39" t="s">
        <v>1014</v>
      </c>
      <c r="M205" s="38" t="str">
        <f t="shared" si="4"/>
        <v>Bon de société de financement</v>
      </c>
    </row>
    <row r="206" spans="1:13" x14ac:dyDescent="0.2">
      <c r="A206" s="38" t="s">
        <v>1015</v>
      </c>
      <c r="B206" s="38">
        <v>100208</v>
      </c>
      <c r="C206" s="38" t="s">
        <v>1651</v>
      </c>
      <c r="D206" s="279">
        <v>250000</v>
      </c>
      <c r="E206" s="38">
        <v>3036</v>
      </c>
      <c r="F206" s="40">
        <v>7.3499999999999996E-2</v>
      </c>
      <c r="G206" s="44">
        <v>37046</v>
      </c>
      <c r="H206" s="44">
        <v>38872</v>
      </c>
      <c r="I206" s="45">
        <v>5</v>
      </c>
      <c r="J206" s="45" t="s">
        <v>1716</v>
      </c>
      <c r="K206" s="39" t="s">
        <v>1716</v>
      </c>
      <c r="L206" s="39" t="s">
        <v>1014</v>
      </c>
      <c r="M206" s="38" t="str">
        <f t="shared" si="4"/>
        <v>Bon de société de financement</v>
      </c>
    </row>
    <row r="207" spans="1:13" x14ac:dyDescent="0.2">
      <c r="A207" s="38" t="s">
        <v>1015</v>
      </c>
      <c r="B207" s="38">
        <v>100209</v>
      </c>
      <c r="C207" s="38" t="s">
        <v>1373</v>
      </c>
      <c r="D207" s="279">
        <v>250000</v>
      </c>
      <c r="E207" s="38">
        <v>3033</v>
      </c>
      <c r="F207" s="40">
        <v>6.8000000000000005E-2</v>
      </c>
      <c r="G207" s="44">
        <v>37046</v>
      </c>
      <c r="H207" s="44">
        <v>37958</v>
      </c>
      <c r="I207" s="45">
        <v>2</v>
      </c>
      <c r="J207" s="45" t="s">
        <v>1716</v>
      </c>
      <c r="K207" s="39" t="s">
        <v>1716</v>
      </c>
      <c r="L207" s="39" t="s">
        <v>1014</v>
      </c>
      <c r="M207" s="38" t="str">
        <f t="shared" si="4"/>
        <v>Bon de société de financement</v>
      </c>
    </row>
    <row r="208" spans="1:13" x14ac:dyDescent="0.2">
      <c r="A208" s="38" t="s">
        <v>1015</v>
      </c>
      <c r="B208" s="38">
        <v>100305</v>
      </c>
      <c r="C208" s="38" t="s">
        <v>1695</v>
      </c>
      <c r="D208" s="279">
        <v>100000</v>
      </c>
      <c r="E208" s="38">
        <v>3033</v>
      </c>
      <c r="F208" s="40">
        <v>5.1299999999999998E-2</v>
      </c>
      <c r="G208" s="44">
        <v>37816</v>
      </c>
      <c r="H208" s="44">
        <v>39277</v>
      </c>
      <c r="I208" s="45">
        <v>4</v>
      </c>
      <c r="J208" s="45" t="s">
        <v>1716</v>
      </c>
      <c r="K208" s="39" t="s">
        <v>1716</v>
      </c>
      <c r="L208" s="39" t="s">
        <v>1014</v>
      </c>
      <c r="M208" s="38" t="str">
        <f t="shared" si="4"/>
        <v>Bon de société de financement</v>
      </c>
    </row>
    <row r="209" spans="1:13" x14ac:dyDescent="0.2">
      <c r="A209" s="38" t="s">
        <v>1015</v>
      </c>
      <c r="B209" s="38">
        <v>100210</v>
      </c>
      <c r="C209" s="38" t="s">
        <v>842</v>
      </c>
      <c r="D209" s="279">
        <v>250000</v>
      </c>
      <c r="E209" s="38">
        <v>1003</v>
      </c>
      <c r="F209" s="40">
        <v>6.5000000000000002E-2</v>
      </c>
      <c r="G209" s="44">
        <v>37046</v>
      </c>
      <c r="H209" s="44">
        <v>37776</v>
      </c>
      <c r="I209" s="45">
        <v>2</v>
      </c>
      <c r="J209" s="45" t="s">
        <v>1716</v>
      </c>
      <c r="K209" s="39" t="s">
        <v>1716</v>
      </c>
      <c r="L209" s="39" t="s">
        <v>1014</v>
      </c>
      <c r="M209" s="38" t="str">
        <f t="shared" si="4"/>
        <v>Bon de société de financement</v>
      </c>
    </row>
    <row r="210" spans="1:13" x14ac:dyDescent="0.2">
      <c r="A210" s="38" t="s">
        <v>1015</v>
      </c>
      <c r="B210" s="38">
        <v>100211</v>
      </c>
      <c r="C210" s="38" t="s">
        <v>1841</v>
      </c>
      <c r="D210" s="279">
        <v>250000</v>
      </c>
      <c r="E210" s="38">
        <v>1003</v>
      </c>
      <c r="F210" s="40">
        <v>7.2000000000000008E-2</v>
      </c>
      <c r="G210" s="44">
        <v>37046</v>
      </c>
      <c r="H210" s="44">
        <v>38872</v>
      </c>
      <c r="I210" s="45">
        <v>5</v>
      </c>
      <c r="J210" s="45" t="s">
        <v>1716</v>
      </c>
      <c r="K210" s="39" t="s">
        <v>1716</v>
      </c>
      <c r="L210" s="39" t="s">
        <v>1014</v>
      </c>
      <c r="M210" s="38" t="str">
        <f t="shared" si="4"/>
        <v>Bon de société de financement</v>
      </c>
    </row>
    <row r="211" spans="1:13" x14ac:dyDescent="0.2">
      <c r="A211" s="38" t="s">
        <v>1015</v>
      </c>
      <c r="B211" s="38">
        <v>100212</v>
      </c>
      <c r="C211" s="38" t="s">
        <v>1842</v>
      </c>
      <c r="D211" s="279">
        <v>250000</v>
      </c>
      <c r="E211" s="38">
        <v>3029</v>
      </c>
      <c r="F211" s="40">
        <v>6.6500000000000004E-2</v>
      </c>
      <c r="G211" s="44">
        <v>37060</v>
      </c>
      <c r="H211" s="44">
        <v>38156</v>
      </c>
      <c r="I211" s="45">
        <v>3</v>
      </c>
      <c r="J211" s="45" t="s">
        <v>1716</v>
      </c>
      <c r="K211" s="39" t="s">
        <v>1716</v>
      </c>
      <c r="L211" s="39" t="s">
        <v>1014</v>
      </c>
      <c r="M211" s="38" t="str">
        <f t="shared" si="4"/>
        <v>Bon de société de financement</v>
      </c>
    </row>
    <row r="212" spans="1:13" x14ac:dyDescent="0.2">
      <c r="A212" s="38" t="s">
        <v>1015</v>
      </c>
      <c r="B212" s="38">
        <v>100213</v>
      </c>
      <c r="C212" s="38" t="s">
        <v>1403</v>
      </c>
      <c r="D212" s="279">
        <v>250000</v>
      </c>
      <c r="E212" s="38">
        <v>3029</v>
      </c>
      <c r="F212" s="40">
        <v>6.2300000000000001E-2</v>
      </c>
      <c r="G212" s="44">
        <v>37060</v>
      </c>
      <c r="H212" s="44">
        <v>38156</v>
      </c>
      <c r="I212" s="45">
        <v>3</v>
      </c>
      <c r="J212" s="45" t="s">
        <v>1716</v>
      </c>
      <c r="K212" s="39" t="s">
        <v>1716</v>
      </c>
      <c r="L212" s="39" t="s">
        <v>1014</v>
      </c>
      <c r="M212" s="38" t="str">
        <f t="shared" si="4"/>
        <v>Bon de société de financement</v>
      </c>
    </row>
    <row r="213" spans="1:13" x14ac:dyDescent="0.2">
      <c r="A213" s="38" t="s">
        <v>1015</v>
      </c>
      <c r="B213" s="38">
        <v>100214</v>
      </c>
      <c r="C213" s="38" t="s">
        <v>709</v>
      </c>
      <c r="D213" s="279">
        <v>250000</v>
      </c>
      <c r="E213" s="38">
        <v>1003</v>
      </c>
      <c r="F213" s="40">
        <v>6.5000000000000002E-2</v>
      </c>
      <c r="G213" s="44">
        <v>37067</v>
      </c>
      <c r="H213" s="44">
        <v>37797</v>
      </c>
      <c r="I213" s="45">
        <v>2</v>
      </c>
      <c r="J213" s="45" t="s">
        <v>1716</v>
      </c>
      <c r="K213" s="39" t="s">
        <v>1716</v>
      </c>
      <c r="L213" s="39" t="s">
        <v>1014</v>
      </c>
      <c r="M213" s="38" t="str">
        <f t="shared" si="4"/>
        <v>Bon de société de financement</v>
      </c>
    </row>
    <row r="214" spans="1:13" x14ac:dyDescent="0.2">
      <c r="A214" s="38" t="s">
        <v>1015</v>
      </c>
      <c r="B214" s="38">
        <v>100215</v>
      </c>
      <c r="C214" s="38" t="s">
        <v>710</v>
      </c>
      <c r="D214" s="279">
        <v>250000</v>
      </c>
      <c r="E214" s="38">
        <v>3033</v>
      </c>
      <c r="F214" s="40">
        <v>6.7000000000000004E-2</v>
      </c>
      <c r="G214" s="44">
        <v>37067</v>
      </c>
      <c r="H214" s="44">
        <v>37958</v>
      </c>
      <c r="I214" s="45">
        <v>2</v>
      </c>
      <c r="J214" s="45" t="s">
        <v>1716</v>
      </c>
      <c r="K214" s="39" t="s">
        <v>1716</v>
      </c>
      <c r="L214" s="39" t="s">
        <v>1014</v>
      </c>
      <c r="M214" s="38" t="str">
        <f t="shared" si="4"/>
        <v>Bon de société de financement</v>
      </c>
    </row>
    <row r="215" spans="1:13" x14ac:dyDescent="0.2">
      <c r="A215" s="38" t="s">
        <v>1015</v>
      </c>
      <c r="B215" s="38">
        <v>100274</v>
      </c>
      <c r="C215" s="38" t="s">
        <v>1737</v>
      </c>
      <c r="D215" s="279">
        <v>100000</v>
      </c>
      <c r="F215" s="40">
        <v>5.16E-2</v>
      </c>
      <c r="G215" s="44">
        <v>37469</v>
      </c>
      <c r="H215" s="44">
        <v>38200</v>
      </c>
      <c r="I215" s="45">
        <v>2</v>
      </c>
      <c r="J215" s="45" t="s">
        <v>1716</v>
      </c>
      <c r="K215" s="39" t="s">
        <v>1716</v>
      </c>
      <c r="L215" s="39" t="s">
        <v>1014</v>
      </c>
      <c r="M215" s="38" t="str">
        <f t="shared" si="4"/>
        <v>Bon de société de financement</v>
      </c>
    </row>
    <row r="216" spans="1:13" x14ac:dyDescent="0.2">
      <c r="A216" s="38" t="s">
        <v>1015</v>
      </c>
      <c r="B216" s="38">
        <v>100216</v>
      </c>
      <c r="C216" s="38" t="s">
        <v>711</v>
      </c>
      <c r="D216" s="279">
        <v>250000</v>
      </c>
      <c r="E216" s="38">
        <v>3033</v>
      </c>
      <c r="F216" s="40">
        <v>6.8000000000000005E-2</v>
      </c>
      <c r="G216" s="44">
        <v>37067</v>
      </c>
      <c r="H216" s="44">
        <v>37958</v>
      </c>
      <c r="I216" s="45">
        <v>2</v>
      </c>
      <c r="J216" s="45" t="s">
        <v>1716</v>
      </c>
      <c r="K216" s="39" t="s">
        <v>1716</v>
      </c>
      <c r="L216" s="39" t="s">
        <v>1014</v>
      </c>
      <c r="M216" s="38" t="str">
        <f t="shared" si="4"/>
        <v>Bon de société de financement</v>
      </c>
    </row>
    <row r="217" spans="1:13" x14ac:dyDescent="0.2">
      <c r="A217" s="38" t="s">
        <v>1015</v>
      </c>
      <c r="B217" s="38">
        <v>100217</v>
      </c>
      <c r="C217" s="38" t="s">
        <v>873</v>
      </c>
      <c r="D217" s="279">
        <v>250000</v>
      </c>
      <c r="E217" s="38">
        <v>1007</v>
      </c>
      <c r="F217" s="40">
        <v>6.25E-2</v>
      </c>
      <c r="G217" s="44">
        <v>37071</v>
      </c>
      <c r="H217" s="44">
        <v>37801</v>
      </c>
      <c r="I217" s="45">
        <v>2</v>
      </c>
      <c r="J217" s="45" t="s">
        <v>1716</v>
      </c>
      <c r="K217" s="39" t="s">
        <v>1716</v>
      </c>
      <c r="L217" s="39" t="s">
        <v>1014</v>
      </c>
      <c r="M217" s="38" t="str">
        <f t="shared" si="4"/>
        <v>Bon de société de financement</v>
      </c>
    </row>
    <row r="218" spans="1:13" x14ac:dyDescent="0.2">
      <c r="A218" s="38" t="s">
        <v>1015</v>
      </c>
      <c r="B218" s="38">
        <v>100218</v>
      </c>
      <c r="C218" s="38" t="s">
        <v>52</v>
      </c>
      <c r="D218" s="279">
        <v>250000</v>
      </c>
      <c r="E218" s="38">
        <v>1007</v>
      </c>
      <c r="F218" s="40">
        <v>6.6000000000000003E-2</v>
      </c>
      <c r="G218" s="44">
        <v>37071</v>
      </c>
      <c r="H218" s="44">
        <v>38167</v>
      </c>
      <c r="I218" s="45">
        <v>3</v>
      </c>
      <c r="J218" s="45" t="s">
        <v>1716</v>
      </c>
      <c r="K218" s="39" t="s">
        <v>1716</v>
      </c>
      <c r="L218" s="39" t="s">
        <v>1014</v>
      </c>
      <c r="M218" s="38" t="str">
        <f t="shared" si="4"/>
        <v>Bon de société de financement</v>
      </c>
    </row>
    <row r="219" spans="1:13" x14ac:dyDescent="0.2">
      <c r="A219" s="38" t="s">
        <v>1015</v>
      </c>
      <c r="B219" s="38">
        <v>100219</v>
      </c>
      <c r="C219" s="38" t="s">
        <v>950</v>
      </c>
      <c r="D219" s="279">
        <v>250000</v>
      </c>
      <c r="E219" s="38">
        <v>3033</v>
      </c>
      <c r="F219" s="40">
        <v>6.7000000000000004E-2</v>
      </c>
      <c r="G219" s="44">
        <v>37076</v>
      </c>
      <c r="H219" s="44">
        <v>38172</v>
      </c>
      <c r="I219" s="45">
        <v>3</v>
      </c>
      <c r="J219" s="45" t="s">
        <v>1716</v>
      </c>
      <c r="K219" s="39" t="s">
        <v>1716</v>
      </c>
      <c r="L219" s="39" t="s">
        <v>1014</v>
      </c>
      <c r="M219" s="38" t="str">
        <f t="shared" si="4"/>
        <v>Bon de société de financement</v>
      </c>
    </row>
    <row r="220" spans="1:13" x14ac:dyDescent="0.2">
      <c r="A220" s="38" t="s">
        <v>1015</v>
      </c>
      <c r="B220" s="38">
        <v>100220</v>
      </c>
      <c r="C220" s="38" t="s">
        <v>749</v>
      </c>
      <c r="D220" s="279">
        <v>250000</v>
      </c>
      <c r="E220" s="38">
        <v>1001</v>
      </c>
      <c r="F220" s="40">
        <v>6.6000000000000003E-2</v>
      </c>
      <c r="G220" s="44">
        <v>37081</v>
      </c>
      <c r="H220" s="44">
        <v>38177</v>
      </c>
      <c r="I220" s="45">
        <v>3</v>
      </c>
      <c r="J220" s="45" t="s">
        <v>1716</v>
      </c>
      <c r="K220" s="39" t="s">
        <v>1716</v>
      </c>
      <c r="L220" s="39" t="s">
        <v>1014</v>
      </c>
      <c r="M220" s="38" t="str">
        <f t="shared" si="4"/>
        <v>Bon de société de financement</v>
      </c>
    </row>
    <row r="221" spans="1:13" x14ac:dyDescent="0.2">
      <c r="A221" s="38" t="s">
        <v>1015</v>
      </c>
      <c r="B221" s="38">
        <v>100244</v>
      </c>
      <c r="C221" s="38" t="s">
        <v>1926</v>
      </c>
      <c r="D221" s="279">
        <v>100000</v>
      </c>
      <c r="F221" s="46">
        <v>4.6350000000000002E-2</v>
      </c>
      <c r="G221" s="44">
        <v>37646</v>
      </c>
      <c r="H221" s="44">
        <v>38011</v>
      </c>
      <c r="I221" s="47">
        <v>1</v>
      </c>
      <c r="J221" s="47" t="s">
        <v>1716</v>
      </c>
      <c r="K221" s="39" t="s">
        <v>1716</v>
      </c>
      <c r="L221" s="39" t="s">
        <v>1014</v>
      </c>
      <c r="M221" s="38" t="str">
        <f t="shared" si="4"/>
        <v>Bon de société de financement</v>
      </c>
    </row>
    <row r="222" spans="1:13" x14ac:dyDescent="0.2">
      <c r="A222" s="38" t="s">
        <v>1015</v>
      </c>
      <c r="B222" s="38">
        <v>100258</v>
      </c>
      <c r="C222" s="38" t="s">
        <v>1689</v>
      </c>
      <c r="D222" s="279">
        <v>100000</v>
      </c>
      <c r="E222" s="38">
        <v>1003</v>
      </c>
      <c r="F222" s="46">
        <v>6.5000000000000002E-2</v>
      </c>
      <c r="G222" s="44">
        <v>37343</v>
      </c>
      <c r="H222" s="44">
        <v>38439</v>
      </c>
      <c r="I222" s="47">
        <v>3</v>
      </c>
      <c r="J222" s="47" t="s">
        <v>1716</v>
      </c>
      <c r="K222" s="39" t="s">
        <v>1716</v>
      </c>
      <c r="L222" s="39" t="s">
        <v>1014</v>
      </c>
      <c r="M222" s="38" t="str">
        <f t="shared" si="4"/>
        <v>Bon de société de financement</v>
      </c>
    </row>
    <row r="223" spans="1:13" x14ac:dyDescent="0.2">
      <c r="A223" s="38" t="s">
        <v>1015</v>
      </c>
      <c r="B223" s="38">
        <v>100268</v>
      </c>
      <c r="C223" s="38" t="s">
        <v>577</v>
      </c>
      <c r="D223" s="279">
        <v>100000</v>
      </c>
      <c r="E223" s="38">
        <v>3033</v>
      </c>
      <c r="F223" s="46">
        <v>6.0999999999999999E-2</v>
      </c>
      <c r="G223" s="44">
        <v>37432</v>
      </c>
      <c r="H223" s="44">
        <v>38528</v>
      </c>
      <c r="I223" s="47">
        <v>3</v>
      </c>
      <c r="J223" s="47" t="s">
        <v>1716</v>
      </c>
      <c r="K223" s="39" t="s">
        <v>1716</v>
      </c>
      <c r="L223" s="39" t="s">
        <v>1014</v>
      </c>
      <c r="M223" s="38" t="str">
        <f t="shared" si="4"/>
        <v>Bon de société de financement</v>
      </c>
    </row>
    <row r="224" spans="1:13" x14ac:dyDescent="0.2">
      <c r="A224" s="38" t="s">
        <v>1015</v>
      </c>
      <c r="B224" s="38">
        <v>100282</v>
      </c>
      <c r="C224" s="38" t="s">
        <v>1500</v>
      </c>
      <c r="D224" s="279">
        <v>100000</v>
      </c>
      <c r="E224" s="38">
        <v>3007</v>
      </c>
      <c r="F224" s="46">
        <v>5.7099999999999998E-2</v>
      </c>
      <c r="G224" s="44">
        <v>37519</v>
      </c>
      <c r="H224" s="44">
        <v>38251</v>
      </c>
      <c r="I224" s="47">
        <v>2</v>
      </c>
      <c r="J224" s="47" t="s">
        <v>1716</v>
      </c>
      <c r="K224" s="39" t="s">
        <v>1716</v>
      </c>
      <c r="L224" s="39" t="s">
        <v>1014</v>
      </c>
      <c r="M224" s="38" t="str">
        <f t="shared" si="4"/>
        <v>Bon de société de financement</v>
      </c>
    </row>
    <row r="225" spans="1:13" x14ac:dyDescent="0.2">
      <c r="A225" s="38" t="s">
        <v>1015</v>
      </c>
      <c r="B225" s="38">
        <v>100312</v>
      </c>
      <c r="C225" s="38" t="s">
        <v>693</v>
      </c>
      <c r="D225" s="279">
        <v>100000</v>
      </c>
      <c r="F225" s="46">
        <v>5.2499999999999998E-2</v>
      </c>
      <c r="G225" s="44">
        <v>37830</v>
      </c>
      <c r="H225" s="44">
        <v>39291</v>
      </c>
      <c r="I225" s="47">
        <v>4</v>
      </c>
      <c r="J225" s="47" t="s">
        <v>1716</v>
      </c>
      <c r="K225" s="39" t="s">
        <v>1716</v>
      </c>
      <c r="L225" s="39" t="s">
        <v>1014</v>
      </c>
      <c r="M225" s="38" t="str">
        <f t="shared" si="4"/>
        <v>Bon de société de financement</v>
      </c>
    </row>
    <row r="226" spans="1:13" x14ac:dyDescent="0.2">
      <c r="A226" s="38" t="s">
        <v>1015</v>
      </c>
      <c r="B226" s="38">
        <v>100311</v>
      </c>
      <c r="C226" s="38" t="s">
        <v>995</v>
      </c>
      <c r="D226" s="279">
        <v>100000</v>
      </c>
      <c r="F226" s="46">
        <v>4.8500000000000001E-2</v>
      </c>
      <c r="G226" s="44">
        <v>37830</v>
      </c>
      <c r="H226" s="44">
        <v>38926</v>
      </c>
      <c r="I226" s="47">
        <v>3</v>
      </c>
      <c r="J226" s="47" t="s">
        <v>1716</v>
      </c>
      <c r="K226" s="39" t="s">
        <v>1716</v>
      </c>
      <c r="L226" s="39" t="s">
        <v>1014</v>
      </c>
      <c r="M226" s="38" t="str">
        <f t="shared" si="4"/>
        <v>Bon de société de financement</v>
      </c>
    </row>
    <row r="227" spans="1:13" x14ac:dyDescent="0.2">
      <c r="A227" s="38" t="s">
        <v>1713</v>
      </c>
      <c r="B227" s="38">
        <v>140002</v>
      </c>
      <c r="C227" s="38" t="s">
        <v>1714</v>
      </c>
      <c r="D227" s="279">
        <v>250000</v>
      </c>
      <c r="E227" s="38">
        <v>575</v>
      </c>
      <c r="F227" s="40">
        <v>7.9000000000000001E-2</v>
      </c>
      <c r="G227" s="44">
        <v>36916</v>
      </c>
      <c r="H227" s="44">
        <v>37280</v>
      </c>
      <c r="I227" s="45">
        <v>52</v>
      </c>
      <c r="J227" s="45" t="s">
        <v>369</v>
      </c>
      <c r="K227" s="39" t="s">
        <v>1716</v>
      </c>
      <c r="L227" s="39" t="s">
        <v>1014</v>
      </c>
      <c r="M227" s="38" t="str">
        <f t="shared" si="4"/>
        <v>Billet de trésorerie</v>
      </c>
    </row>
    <row r="228" spans="1:13" x14ac:dyDescent="0.2">
      <c r="A228" s="38" t="s">
        <v>1713</v>
      </c>
      <c r="B228" s="38">
        <v>140019</v>
      </c>
      <c r="C228" s="38" t="s">
        <v>599</v>
      </c>
      <c r="D228" s="279">
        <v>100000</v>
      </c>
      <c r="F228" s="40">
        <v>4.2000000000000003E-2</v>
      </c>
      <c r="G228" s="44">
        <v>37592</v>
      </c>
      <c r="H228" s="44">
        <f>+G228+182</f>
        <v>37774</v>
      </c>
      <c r="I228" s="45">
        <v>26</v>
      </c>
      <c r="J228" s="45" t="s">
        <v>369</v>
      </c>
      <c r="K228" s="39" t="s">
        <v>1716</v>
      </c>
      <c r="L228" s="39" t="s">
        <v>1014</v>
      </c>
      <c r="M228" s="38" t="str">
        <f t="shared" si="4"/>
        <v>Billet de trésorerie</v>
      </c>
    </row>
    <row r="229" spans="1:13" x14ac:dyDescent="0.2">
      <c r="A229" s="38" t="s">
        <v>1713</v>
      </c>
      <c r="B229" s="38">
        <v>140024</v>
      </c>
      <c r="C229" s="38" t="s">
        <v>1745</v>
      </c>
      <c r="D229" s="279">
        <v>100000</v>
      </c>
      <c r="F229" s="40">
        <v>3.5499999999999997E-2</v>
      </c>
      <c r="G229" s="44">
        <v>37700</v>
      </c>
      <c r="H229" s="44">
        <v>37732</v>
      </c>
      <c r="I229" s="45">
        <v>13</v>
      </c>
      <c r="J229" s="45" t="s">
        <v>369</v>
      </c>
      <c r="K229" s="39" t="s">
        <v>1716</v>
      </c>
      <c r="L229" s="39" t="s">
        <v>1014</v>
      </c>
      <c r="M229" s="38" t="str">
        <f t="shared" si="4"/>
        <v>Billet de trésorerie</v>
      </c>
    </row>
    <row r="230" spans="1:13" x14ac:dyDescent="0.2">
      <c r="A230" s="38" t="s">
        <v>557</v>
      </c>
      <c r="B230" s="38">
        <v>150000</v>
      </c>
      <c r="C230" s="38" t="s">
        <v>558</v>
      </c>
      <c r="D230" s="279">
        <v>250000</v>
      </c>
      <c r="E230" s="38">
        <v>2046</v>
      </c>
      <c r="F230" s="40">
        <v>0.08</v>
      </c>
      <c r="G230" s="44">
        <v>35381</v>
      </c>
      <c r="H230" s="44">
        <v>37937</v>
      </c>
      <c r="I230" s="45">
        <v>7</v>
      </c>
      <c r="J230" s="45" t="s">
        <v>1716</v>
      </c>
      <c r="K230" s="39" t="s">
        <v>1716</v>
      </c>
      <c r="L230" s="39" t="s">
        <v>1014</v>
      </c>
      <c r="M230" s="38" t="str">
        <f t="shared" si="4"/>
        <v>Certificat de dépôt</v>
      </c>
    </row>
    <row r="231" spans="1:13" x14ac:dyDescent="0.2">
      <c r="A231" s="38" t="s">
        <v>557</v>
      </c>
      <c r="B231" s="38">
        <v>150001</v>
      </c>
      <c r="C231" s="38" t="s">
        <v>559</v>
      </c>
      <c r="D231" s="279">
        <v>250000</v>
      </c>
      <c r="E231" s="38">
        <v>2046</v>
      </c>
      <c r="F231" s="40">
        <v>0.08</v>
      </c>
      <c r="G231" s="44">
        <v>35382</v>
      </c>
      <c r="H231" s="44">
        <v>37938</v>
      </c>
      <c r="I231" s="45">
        <v>7</v>
      </c>
      <c r="J231" s="45" t="s">
        <v>1716</v>
      </c>
      <c r="K231" s="39" t="s">
        <v>1716</v>
      </c>
      <c r="L231" s="39" t="s">
        <v>1014</v>
      </c>
      <c r="M231" s="38" t="str">
        <f t="shared" si="4"/>
        <v>Certificat de dépôt</v>
      </c>
    </row>
    <row r="232" spans="1:13" x14ac:dyDescent="0.2">
      <c r="A232" s="38" t="s">
        <v>557</v>
      </c>
      <c r="B232" s="38">
        <v>150002</v>
      </c>
      <c r="C232" s="38" t="s">
        <v>561</v>
      </c>
      <c r="D232" s="279">
        <v>250000</v>
      </c>
      <c r="E232" s="38">
        <v>2046</v>
      </c>
      <c r="F232" s="40">
        <v>0.08</v>
      </c>
      <c r="G232" s="44">
        <v>35383</v>
      </c>
      <c r="H232" s="44">
        <v>37939</v>
      </c>
      <c r="I232" s="45">
        <v>7</v>
      </c>
      <c r="J232" s="45" t="s">
        <v>1716</v>
      </c>
      <c r="K232" s="39" t="s">
        <v>1716</v>
      </c>
      <c r="L232" s="39" t="s">
        <v>1014</v>
      </c>
      <c r="M232" s="38" t="str">
        <f t="shared" si="4"/>
        <v>Certificat de dépôt</v>
      </c>
    </row>
    <row r="233" spans="1:13" x14ac:dyDescent="0.2">
      <c r="A233" s="38" t="s">
        <v>557</v>
      </c>
      <c r="B233" s="38">
        <v>150003</v>
      </c>
      <c r="C233" s="38" t="s">
        <v>487</v>
      </c>
      <c r="D233" s="279">
        <v>250000</v>
      </c>
      <c r="E233" s="38">
        <v>2046</v>
      </c>
      <c r="F233" s="40">
        <v>0.08</v>
      </c>
      <c r="G233" s="44">
        <v>35384</v>
      </c>
      <c r="H233" s="44">
        <v>37940</v>
      </c>
      <c r="I233" s="45">
        <v>7</v>
      </c>
      <c r="J233" s="45" t="s">
        <v>1716</v>
      </c>
      <c r="K233" s="39" t="s">
        <v>1716</v>
      </c>
      <c r="L233" s="39" t="s">
        <v>1014</v>
      </c>
      <c r="M233" s="38" t="str">
        <f t="shared" si="4"/>
        <v>Certificat de dépôt</v>
      </c>
    </row>
    <row r="234" spans="1:13" x14ac:dyDescent="0.2">
      <c r="A234" s="38" t="s">
        <v>557</v>
      </c>
      <c r="B234" s="38">
        <v>150004</v>
      </c>
      <c r="C234" s="38" t="s">
        <v>488</v>
      </c>
      <c r="D234" s="279">
        <v>250000</v>
      </c>
      <c r="E234" s="38">
        <v>2046</v>
      </c>
      <c r="F234" s="40">
        <v>0.08</v>
      </c>
      <c r="G234" s="44">
        <v>35388</v>
      </c>
      <c r="H234" s="44">
        <v>37944</v>
      </c>
      <c r="I234" s="45">
        <v>7</v>
      </c>
      <c r="J234" s="45" t="s">
        <v>1716</v>
      </c>
      <c r="K234" s="39" t="s">
        <v>1716</v>
      </c>
      <c r="L234" s="39" t="s">
        <v>1014</v>
      </c>
      <c r="M234" s="38" t="str">
        <f t="shared" si="4"/>
        <v>Certificat de dépôt</v>
      </c>
    </row>
    <row r="235" spans="1:13" x14ac:dyDescent="0.2">
      <c r="A235" s="38" t="s">
        <v>557</v>
      </c>
      <c r="B235" s="38">
        <v>150005</v>
      </c>
      <c r="C235" s="38" t="s">
        <v>490</v>
      </c>
      <c r="D235" s="279">
        <v>250000</v>
      </c>
      <c r="E235" s="38">
        <v>2046</v>
      </c>
      <c r="F235" s="40">
        <v>0.08</v>
      </c>
      <c r="G235" s="44">
        <v>35389</v>
      </c>
      <c r="H235" s="44">
        <v>37945</v>
      </c>
      <c r="I235" s="45">
        <v>7</v>
      </c>
      <c r="J235" s="45" t="s">
        <v>1716</v>
      </c>
      <c r="K235" s="39" t="s">
        <v>1716</v>
      </c>
      <c r="L235" s="39" t="s">
        <v>1014</v>
      </c>
      <c r="M235" s="38" t="str">
        <f t="shared" si="4"/>
        <v>Certificat de dépôt</v>
      </c>
    </row>
    <row r="236" spans="1:13" x14ac:dyDescent="0.2">
      <c r="A236" s="38" t="s">
        <v>557</v>
      </c>
      <c r="B236" s="38">
        <v>150006</v>
      </c>
      <c r="C236" s="38" t="s">
        <v>491</v>
      </c>
      <c r="D236" s="279">
        <v>250000</v>
      </c>
      <c r="E236" s="38">
        <v>2046</v>
      </c>
      <c r="F236" s="40">
        <v>0.08</v>
      </c>
      <c r="G236" s="44">
        <v>35390</v>
      </c>
      <c r="H236" s="44">
        <v>37946</v>
      </c>
      <c r="I236" s="45">
        <v>7</v>
      </c>
      <c r="J236" s="45" t="s">
        <v>1716</v>
      </c>
      <c r="K236" s="39" t="s">
        <v>1716</v>
      </c>
      <c r="L236" s="39" t="s">
        <v>1014</v>
      </c>
      <c r="M236" s="38" t="str">
        <f t="shared" si="4"/>
        <v>Certificat de dépôt</v>
      </c>
    </row>
    <row r="237" spans="1:13" x14ac:dyDescent="0.2">
      <c r="A237" s="38" t="s">
        <v>557</v>
      </c>
      <c r="B237" s="38">
        <v>150007</v>
      </c>
      <c r="C237" s="38" t="s">
        <v>492</v>
      </c>
      <c r="D237" s="279">
        <v>250000</v>
      </c>
      <c r="E237" s="38">
        <v>2046</v>
      </c>
      <c r="F237" s="40">
        <v>0.08</v>
      </c>
      <c r="G237" s="44">
        <v>35391</v>
      </c>
      <c r="H237" s="44">
        <v>37947</v>
      </c>
      <c r="I237" s="45">
        <v>7</v>
      </c>
      <c r="J237" s="45" t="s">
        <v>1716</v>
      </c>
      <c r="K237" s="39" t="s">
        <v>1716</v>
      </c>
      <c r="L237" s="39" t="s">
        <v>1014</v>
      </c>
      <c r="M237" s="38" t="str">
        <f t="shared" si="4"/>
        <v>Certificat de dépôt</v>
      </c>
    </row>
    <row r="238" spans="1:13" x14ac:dyDescent="0.2">
      <c r="A238" s="38" t="s">
        <v>557</v>
      </c>
      <c r="B238" s="38">
        <v>150008</v>
      </c>
      <c r="C238" s="38" t="s">
        <v>493</v>
      </c>
      <c r="D238" s="279">
        <v>250000</v>
      </c>
      <c r="E238" s="38">
        <v>2046</v>
      </c>
      <c r="F238" s="40">
        <v>0.08</v>
      </c>
      <c r="G238" s="44">
        <v>35395</v>
      </c>
      <c r="H238" s="44">
        <v>37951</v>
      </c>
      <c r="I238" s="45">
        <v>7</v>
      </c>
      <c r="J238" s="45" t="s">
        <v>1716</v>
      </c>
      <c r="K238" s="39" t="s">
        <v>1716</v>
      </c>
      <c r="L238" s="39" t="s">
        <v>1014</v>
      </c>
      <c r="M238" s="38" t="str">
        <f t="shared" si="4"/>
        <v>Certificat de dépôt</v>
      </c>
    </row>
    <row r="239" spans="1:13" x14ac:dyDescent="0.2">
      <c r="A239" s="38" t="s">
        <v>557</v>
      </c>
      <c r="B239" s="38">
        <v>150009</v>
      </c>
      <c r="C239" s="38" t="s">
        <v>494</v>
      </c>
      <c r="D239" s="279">
        <v>250000</v>
      </c>
      <c r="E239" s="38">
        <v>2046</v>
      </c>
      <c r="F239" s="40">
        <v>0.08</v>
      </c>
      <c r="G239" s="44">
        <v>35396</v>
      </c>
      <c r="H239" s="44">
        <v>37952</v>
      </c>
      <c r="I239" s="45">
        <v>7</v>
      </c>
      <c r="J239" s="45" t="s">
        <v>1716</v>
      </c>
      <c r="K239" s="39" t="s">
        <v>1716</v>
      </c>
      <c r="L239" s="39" t="s">
        <v>1014</v>
      </c>
      <c r="M239" s="38" t="str">
        <f t="shared" si="4"/>
        <v>Certificat de dépôt</v>
      </c>
    </row>
    <row r="240" spans="1:13" x14ac:dyDescent="0.2">
      <c r="A240" s="38" t="s">
        <v>557</v>
      </c>
      <c r="B240" s="38">
        <v>150010</v>
      </c>
      <c r="C240" s="38" t="s">
        <v>632</v>
      </c>
      <c r="D240" s="279">
        <v>250000</v>
      </c>
      <c r="E240" s="38">
        <v>2046</v>
      </c>
      <c r="F240" s="40">
        <v>0.08</v>
      </c>
      <c r="G240" s="44">
        <v>35402</v>
      </c>
      <c r="H240" s="44">
        <v>37958</v>
      </c>
      <c r="I240" s="45">
        <v>7</v>
      </c>
      <c r="J240" s="45" t="s">
        <v>1716</v>
      </c>
      <c r="K240" s="39" t="s">
        <v>1716</v>
      </c>
      <c r="L240" s="39" t="s">
        <v>1014</v>
      </c>
      <c r="M240" s="38" t="str">
        <f t="shared" si="4"/>
        <v>Certificat de dépôt</v>
      </c>
    </row>
    <row r="241" spans="1:13" x14ac:dyDescent="0.2">
      <c r="A241" s="38" t="s">
        <v>557</v>
      </c>
      <c r="B241" s="38">
        <v>150011</v>
      </c>
      <c r="C241" s="38" t="s">
        <v>633</v>
      </c>
      <c r="D241" s="279">
        <v>250000</v>
      </c>
      <c r="E241" s="38">
        <v>2046</v>
      </c>
      <c r="F241" s="40">
        <v>0.08</v>
      </c>
      <c r="G241" s="44">
        <v>35403</v>
      </c>
      <c r="H241" s="44">
        <v>37959</v>
      </c>
      <c r="I241" s="45">
        <v>7</v>
      </c>
      <c r="J241" s="45" t="s">
        <v>1716</v>
      </c>
      <c r="K241" s="39" t="s">
        <v>1716</v>
      </c>
      <c r="L241" s="39" t="s">
        <v>1014</v>
      </c>
      <c r="M241" s="38" t="str">
        <f t="shared" si="4"/>
        <v>Certificat de dépôt</v>
      </c>
    </row>
    <row r="242" spans="1:13" x14ac:dyDescent="0.2">
      <c r="A242" s="38" t="s">
        <v>557</v>
      </c>
      <c r="B242" s="38">
        <v>150012</v>
      </c>
      <c r="C242" s="38" t="s">
        <v>503</v>
      </c>
      <c r="D242" s="279">
        <v>250000</v>
      </c>
      <c r="E242" s="38">
        <v>2046</v>
      </c>
      <c r="F242" s="40">
        <v>0.08</v>
      </c>
      <c r="G242" s="44">
        <v>35404</v>
      </c>
      <c r="H242" s="44">
        <v>37960</v>
      </c>
      <c r="I242" s="45">
        <v>7</v>
      </c>
      <c r="J242" s="45" t="s">
        <v>1716</v>
      </c>
      <c r="K242" s="39" t="s">
        <v>1716</v>
      </c>
      <c r="L242" s="39" t="s">
        <v>1014</v>
      </c>
      <c r="M242" s="38" t="str">
        <f t="shared" si="4"/>
        <v>Certificat de dépôt</v>
      </c>
    </row>
    <row r="243" spans="1:13" x14ac:dyDescent="0.2">
      <c r="A243" s="38" t="s">
        <v>557</v>
      </c>
      <c r="B243" s="38">
        <v>150013</v>
      </c>
      <c r="C243" s="38" t="s">
        <v>504</v>
      </c>
      <c r="D243" s="279">
        <v>250000</v>
      </c>
      <c r="E243" s="38">
        <v>2046</v>
      </c>
      <c r="F243" s="40">
        <v>0.08</v>
      </c>
      <c r="G243" s="44">
        <v>35405</v>
      </c>
      <c r="H243" s="44">
        <v>37961</v>
      </c>
      <c r="I243" s="45">
        <v>7</v>
      </c>
      <c r="J243" s="45" t="s">
        <v>1716</v>
      </c>
      <c r="K243" s="39" t="s">
        <v>1716</v>
      </c>
      <c r="L243" s="39" t="s">
        <v>1014</v>
      </c>
      <c r="M243" s="38" t="str">
        <f t="shared" si="4"/>
        <v>Certificat de dépôt</v>
      </c>
    </row>
    <row r="244" spans="1:13" x14ac:dyDescent="0.2">
      <c r="A244" s="38" t="s">
        <v>557</v>
      </c>
      <c r="B244" s="38">
        <v>150015</v>
      </c>
      <c r="C244" s="38" t="s">
        <v>505</v>
      </c>
      <c r="D244" s="279">
        <v>250000</v>
      </c>
      <c r="E244" s="38">
        <v>2046</v>
      </c>
      <c r="F244" s="40">
        <v>0.08</v>
      </c>
      <c r="G244" s="44">
        <v>35408</v>
      </c>
      <c r="H244" s="44">
        <v>37964</v>
      </c>
      <c r="I244" s="45">
        <v>7</v>
      </c>
      <c r="J244" s="45" t="s">
        <v>1716</v>
      </c>
      <c r="K244" s="39" t="s">
        <v>1716</v>
      </c>
      <c r="L244" s="39" t="s">
        <v>1014</v>
      </c>
      <c r="M244" s="38" t="str">
        <f t="shared" si="4"/>
        <v>Certificat de dépôt</v>
      </c>
    </row>
    <row r="245" spans="1:13" x14ac:dyDescent="0.2">
      <c r="A245" s="38" t="s">
        <v>557</v>
      </c>
      <c r="B245" s="38">
        <v>150016</v>
      </c>
      <c r="C245" s="38" t="s">
        <v>506</v>
      </c>
      <c r="D245" s="279">
        <v>250000</v>
      </c>
      <c r="E245" s="38">
        <v>2046</v>
      </c>
      <c r="F245" s="40">
        <v>0.08</v>
      </c>
      <c r="G245" s="44">
        <v>35409</v>
      </c>
      <c r="H245" s="44">
        <v>37965</v>
      </c>
      <c r="I245" s="45">
        <v>7</v>
      </c>
      <c r="J245" s="45" t="s">
        <v>1716</v>
      </c>
      <c r="K245" s="39" t="s">
        <v>1716</v>
      </c>
      <c r="L245" s="39" t="s">
        <v>1014</v>
      </c>
      <c r="M245" s="38" t="str">
        <f t="shared" si="4"/>
        <v>Certificat de dépôt</v>
      </c>
    </row>
    <row r="246" spans="1:13" x14ac:dyDescent="0.2">
      <c r="A246" s="38" t="s">
        <v>557</v>
      </c>
      <c r="B246" s="38">
        <v>150017</v>
      </c>
      <c r="C246" s="38" t="s">
        <v>507</v>
      </c>
      <c r="D246" s="279">
        <v>250000</v>
      </c>
      <c r="E246" s="38">
        <v>2046</v>
      </c>
      <c r="F246" s="40">
        <v>0.08</v>
      </c>
      <c r="G246" s="44">
        <v>35410</v>
      </c>
      <c r="H246" s="44">
        <v>37966</v>
      </c>
      <c r="I246" s="45">
        <v>7</v>
      </c>
      <c r="J246" s="45" t="s">
        <v>1716</v>
      </c>
      <c r="K246" s="39" t="s">
        <v>1716</v>
      </c>
      <c r="L246" s="39" t="s">
        <v>1014</v>
      </c>
      <c r="M246" s="38" t="str">
        <f t="shared" si="4"/>
        <v>Certificat de dépôt</v>
      </c>
    </row>
    <row r="247" spans="1:13" x14ac:dyDescent="0.2">
      <c r="A247" s="38" t="s">
        <v>557</v>
      </c>
      <c r="B247" s="38">
        <v>150018</v>
      </c>
      <c r="C247" s="38" t="s">
        <v>509</v>
      </c>
      <c r="D247" s="279">
        <v>250000</v>
      </c>
      <c r="E247" s="38">
        <v>2046</v>
      </c>
      <c r="F247" s="40">
        <v>0.08</v>
      </c>
      <c r="G247" s="44">
        <v>35411</v>
      </c>
      <c r="H247" s="44">
        <v>37967</v>
      </c>
      <c r="I247" s="45">
        <v>7</v>
      </c>
      <c r="J247" s="45" t="s">
        <v>1716</v>
      </c>
      <c r="K247" s="39" t="s">
        <v>1716</v>
      </c>
      <c r="L247" s="39" t="s">
        <v>1014</v>
      </c>
      <c r="M247" s="38" t="str">
        <f t="shared" si="4"/>
        <v>Certificat de dépôt</v>
      </c>
    </row>
    <row r="248" spans="1:13" x14ac:dyDescent="0.2">
      <c r="A248" s="38" t="s">
        <v>557</v>
      </c>
      <c r="B248" s="38">
        <v>150019</v>
      </c>
      <c r="C248" s="38" t="s">
        <v>787</v>
      </c>
      <c r="D248" s="279">
        <v>250000</v>
      </c>
      <c r="E248" s="38">
        <v>2046</v>
      </c>
      <c r="F248" s="40">
        <v>0.08</v>
      </c>
      <c r="G248" s="44">
        <v>35412</v>
      </c>
      <c r="H248" s="44">
        <v>37968</v>
      </c>
      <c r="I248" s="45">
        <v>7</v>
      </c>
      <c r="J248" s="45" t="s">
        <v>1716</v>
      </c>
      <c r="K248" s="39" t="s">
        <v>1716</v>
      </c>
      <c r="L248" s="39" t="s">
        <v>1014</v>
      </c>
      <c r="M248" s="38" t="str">
        <f t="shared" si="4"/>
        <v>Certificat de dépôt</v>
      </c>
    </row>
    <row r="249" spans="1:13" x14ac:dyDescent="0.2">
      <c r="A249" s="38" t="s">
        <v>557</v>
      </c>
      <c r="B249" s="38">
        <v>150020</v>
      </c>
      <c r="C249" s="38" t="s">
        <v>788</v>
      </c>
      <c r="D249" s="279">
        <v>250000</v>
      </c>
      <c r="E249" s="38">
        <v>2046</v>
      </c>
      <c r="F249" s="40">
        <v>0.08</v>
      </c>
      <c r="G249" s="44">
        <v>35415</v>
      </c>
      <c r="H249" s="44">
        <v>37971</v>
      </c>
      <c r="I249" s="45">
        <v>7</v>
      </c>
      <c r="J249" s="45" t="s">
        <v>1716</v>
      </c>
      <c r="K249" s="39" t="s">
        <v>1716</v>
      </c>
      <c r="L249" s="39" t="s">
        <v>1014</v>
      </c>
      <c r="M249" s="38" t="str">
        <f t="shared" si="4"/>
        <v>Certificat de dépôt</v>
      </c>
    </row>
    <row r="250" spans="1:13" x14ac:dyDescent="0.2">
      <c r="A250" s="38" t="s">
        <v>557</v>
      </c>
      <c r="B250" s="38">
        <v>150021</v>
      </c>
      <c r="C250" s="38" t="s">
        <v>789</v>
      </c>
      <c r="D250" s="279">
        <v>250000</v>
      </c>
      <c r="E250" s="38">
        <v>2046</v>
      </c>
      <c r="F250" s="40">
        <v>0.08</v>
      </c>
      <c r="G250" s="44">
        <v>35416</v>
      </c>
      <c r="H250" s="44">
        <v>37972</v>
      </c>
      <c r="I250" s="45">
        <v>7</v>
      </c>
      <c r="J250" s="45" t="s">
        <v>1716</v>
      </c>
      <c r="K250" s="39" t="s">
        <v>1716</v>
      </c>
      <c r="L250" s="39" t="s">
        <v>1014</v>
      </c>
      <c r="M250" s="38" t="str">
        <f t="shared" si="4"/>
        <v>Certificat de dépôt</v>
      </c>
    </row>
    <row r="251" spans="1:13" x14ac:dyDescent="0.2">
      <c r="A251" s="38" t="s">
        <v>557</v>
      </c>
      <c r="B251" s="38">
        <v>150022</v>
      </c>
      <c r="C251" s="38" t="s">
        <v>792</v>
      </c>
      <c r="D251" s="279">
        <v>250000</v>
      </c>
      <c r="E251" s="38">
        <v>2046</v>
      </c>
      <c r="F251" s="40">
        <v>0.08</v>
      </c>
      <c r="G251" s="44">
        <v>35417</v>
      </c>
      <c r="H251" s="44">
        <v>37973</v>
      </c>
      <c r="I251" s="45">
        <v>7</v>
      </c>
      <c r="J251" s="45" t="s">
        <v>1716</v>
      </c>
      <c r="K251" s="39" t="s">
        <v>1716</v>
      </c>
      <c r="L251" s="39" t="s">
        <v>1014</v>
      </c>
      <c r="M251" s="38" t="str">
        <f t="shared" si="4"/>
        <v>Certificat de dépôt</v>
      </c>
    </row>
    <row r="252" spans="1:13" x14ac:dyDescent="0.2">
      <c r="A252" s="38" t="s">
        <v>557</v>
      </c>
      <c r="B252" s="38">
        <v>150023</v>
      </c>
      <c r="C252" s="38" t="s">
        <v>793</v>
      </c>
      <c r="D252" s="279">
        <v>250000</v>
      </c>
      <c r="E252" s="38">
        <v>2046</v>
      </c>
      <c r="F252" s="40">
        <v>0.08</v>
      </c>
      <c r="G252" s="44">
        <v>35418</v>
      </c>
      <c r="H252" s="44">
        <v>37974</v>
      </c>
      <c r="I252" s="45">
        <v>7</v>
      </c>
      <c r="J252" s="45" t="s">
        <v>1716</v>
      </c>
      <c r="K252" s="39" t="s">
        <v>1716</v>
      </c>
      <c r="L252" s="39" t="s">
        <v>1014</v>
      </c>
      <c r="M252" s="38" t="str">
        <f t="shared" si="4"/>
        <v>Certificat de dépôt</v>
      </c>
    </row>
    <row r="253" spans="1:13" x14ac:dyDescent="0.2">
      <c r="A253" s="38" t="s">
        <v>557</v>
      </c>
      <c r="B253" s="38">
        <v>150025</v>
      </c>
      <c r="C253" s="38" t="s">
        <v>794</v>
      </c>
      <c r="D253" s="279">
        <v>250000</v>
      </c>
      <c r="E253" s="38">
        <v>2046</v>
      </c>
      <c r="F253" s="40">
        <v>0.08</v>
      </c>
      <c r="G253" s="44">
        <v>35419</v>
      </c>
      <c r="H253" s="44">
        <v>37975</v>
      </c>
      <c r="I253" s="45">
        <v>7</v>
      </c>
      <c r="J253" s="45" t="s">
        <v>1716</v>
      </c>
      <c r="K253" s="39" t="s">
        <v>1716</v>
      </c>
      <c r="L253" s="39" t="s">
        <v>1014</v>
      </c>
      <c r="M253" s="38" t="str">
        <f t="shared" si="4"/>
        <v>Certificat de dépôt</v>
      </c>
    </row>
    <row r="254" spans="1:13" x14ac:dyDescent="0.2">
      <c r="A254" s="38" t="s">
        <v>557</v>
      </c>
      <c r="B254" s="38">
        <v>150026</v>
      </c>
      <c r="C254" s="38" t="s">
        <v>1721</v>
      </c>
      <c r="D254" s="279">
        <v>250000</v>
      </c>
      <c r="E254" s="38">
        <v>2046</v>
      </c>
      <c r="F254" s="40">
        <v>0.08</v>
      </c>
      <c r="G254" s="44">
        <v>35422</v>
      </c>
      <c r="H254" s="44">
        <v>37978</v>
      </c>
      <c r="I254" s="45">
        <v>7</v>
      </c>
      <c r="J254" s="45" t="s">
        <v>1716</v>
      </c>
      <c r="K254" s="39" t="s">
        <v>1716</v>
      </c>
      <c r="L254" s="39" t="s">
        <v>1014</v>
      </c>
      <c r="M254" s="38" t="str">
        <f t="shared" si="4"/>
        <v>Certificat de dépôt</v>
      </c>
    </row>
    <row r="255" spans="1:13" x14ac:dyDescent="0.2">
      <c r="A255" s="38" t="s">
        <v>557</v>
      </c>
      <c r="B255" s="38">
        <v>150029</v>
      </c>
      <c r="C255" s="38" t="s">
        <v>1722</v>
      </c>
      <c r="D255" s="279">
        <v>250000</v>
      </c>
      <c r="E255" s="38">
        <v>2046</v>
      </c>
      <c r="F255" s="40">
        <v>0.08</v>
      </c>
      <c r="G255" s="44">
        <v>35424</v>
      </c>
      <c r="H255" s="44">
        <v>37980</v>
      </c>
      <c r="I255" s="45">
        <v>7</v>
      </c>
      <c r="J255" s="45" t="s">
        <v>1716</v>
      </c>
      <c r="K255" s="39" t="s">
        <v>1716</v>
      </c>
      <c r="L255" s="39" t="s">
        <v>1014</v>
      </c>
      <c r="M255" s="38" t="str">
        <f t="shared" si="4"/>
        <v>Certificat de dépôt</v>
      </c>
    </row>
    <row r="256" spans="1:13" x14ac:dyDescent="0.2">
      <c r="A256" s="38" t="s">
        <v>557</v>
      </c>
      <c r="B256" s="38">
        <v>150030</v>
      </c>
      <c r="C256" s="38" t="s">
        <v>1723</v>
      </c>
      <c r="D256" s="279">
        <v>250000</v>
      </c>
      <c r="E256" s="38">
        <v>2046</v>
      </c>
      <c r="F256" s="40">
        <v>0.08</v>
      </c>
      <c r="G256" s="44">
        <v>35425</v>
      </c>
      <c r="H256" s="44">
        <v>37981</v>
      </c>
      <c r="I256" s="45">
        <v>7</v>
      </c>
      <c r="J256" s="45" t="s">
        <v>1716</v>
      </c>
      <c r="K256" s="39" t="s">
        <v>1716</v>
      </c>
      <c r="L256" s="39" t="s">
        <v>1014</v>
      </c>
      <c r="M256" s="38" t="str">
        <f t="shared" si="4"/>
        <v>Certificat de dépôt</v>
      </c>
    </row>
    <row r="257" spans="1:13" x14ac:dyDescent="0.2">
      <c r="A257" s="38" t="s">
        <v>557</v>
      </c>
      <c r="B257" s="38">
        <v>150031</v>
      </c>
      <c r="C257" s="38" t="s">
        <v>605</v>
      </c>
      <c r="D257" s="279">
        <v>250000</v>
      </c>
      <c r="E257" s="38">
        <v>2046</v>
      </c>
      <c r="F257" s="40">
        <v>0.08</v>
      </c>
      <c r="G257" s="44">
        <v>35429</v>
      </c>
      <c r="H257" s="44">
        <v>37985</v>
      </c>
      <c r="I257" s="45">
        <v>7</v>
      </c>
      <c r="J257" s="45" t="s">
        <v>1716</v>
      </c>
      <c r="K257" s="39" t="s">
        <v>1716</v>
      </c>
      <c r="L257" s="39" t="s">
        <v>1014</v>
      </c>
      <c r="M257" s="38" t="str">
        <f t="shared" si="4"/>
        <v>Certificat de dépôt</v>
      </c>
    </row>
    <row r="258" spans="1:13" x14ac:dyDescent="0.2">
      <c r="A258" s="38" t="s">
        <v>557</v>
      </c>
      <c r="B258" s="38">
        <v>150042</v>
      </c>
      <c r="C258" s="38" t="s">
        <v>606</v>
      </c>
      <c r="D258" s="279">
        <v>250000</v>
      </c>
      <c r="E258" s="38">
        <v>2009</v>
      </c>
      <c r="F258" s="40">
        <v>0.1</v>
      </c>
      <c r="G258" s="44">
        <v>35543</v>
      </c>
      <c r="H258" s="44">
        <v>37369</v>
      </c>
      <c r="I258" s="45">
        <v>5</v>
      </c>
      <c r="J258" s="45" t="s">
        <v>1716</v>
      </c>
      <c r="K258" s="39" t="s">
        <v>1716</v>
      </c>
      <c r="L258" s="39" t="s">
        <v>1014</v>
      </c>
      <c r="M258" s="38" t="str">
        <f t="shared" si="4"/>
        <v>Certificat de dépôt</v>
      </c>
    </row>
    <row r="259" spans="1:13" x14ac:dyDescent="0.2">
      <c r="A259" s="38" t="s">
        <v>557</v>
      </c>
      <c r="B259" s="38">
        <v>150043</v>
      </c>
      <c r="C259" s="38" t="s">
        <v>607</v>
      </c>
      <c r="D259" s="279">
        <v>250000</v>
      </c>
      <c r="E259" s="38">
        <v>2009</v>
      </c>
      <c r="F259" s="40">
        <v>0.1</v>
      </c>
      <c r="G259" s="44">
        <v>35544</v>
      </c>
      <c r="H259" s="44">
        <v>37370</v>
      </c>
      <c r="I259" s="45">
        <v>5</v>
      </c>
      <c r="J259" s="45" t="s">
        <v>1716</v>
      </c>
      <c r="K259" s="39" t="s">
        <v>1716</v>
      </c>
      <c r="L259" s="39" t="s">
        <v>1014</v>
      </c>
      <c r="M259" s="38" t="str">
        <f t="shared" ref="M259:M322" si="5">+A259</f>
        <v>Certificat de dépôt</v>
      </c>
    </row>
    <row r="260" spans="1:13" x14ac:dyDescent="0.2">
      <c r="A260" s="38" t="s">
        <v>557</v>
      </c>
      <c r="B260" s="38">
        <v>150044</v>
      </c>
      <c r="C260" s="38" t="s">
        <v>608</v>
      </c>
      <c r="D260" s="279">
        <v>250000</v>
      </c>
      <c r="E260" s="38">
        <v>2009</v>
      </c>
      <c r="F260" s="40">
        <v>0.1</v>
      </c>
      <c r="G260" s="44">
        <v>35562</v>
      </c>
      <c r="H260" s="44">
        <v>37388</v>
      </c>
      <c r="I260" s="45">
        <v>5</v>
      </c>
      <c r="J260" s="45" t="s">
        <v>1716</v>
      </c>
      <c r="K260" s="39" t="s">
        <v>1716</v>
      </c>
      <c r="L260" s="39" t="s">
        <v>1014</v>
      </c>
      <c r="M260" s="38" t="str">
        <f t="shared" si="5"/>
        <v>Certificat de dépôt</v>
      </c>
    </row>
    <row r="261" spans="1:13" x14ac:dyDescent="0.2">
      <c r="A261" s="38" t="s">
        <v>557</v>
      </c>
      <c r="B261" s="38">
        <v>150048</v>
      </c>
      <c r="C261" s="38" t="s">
        <v>609</v>
      </c>
      <c r="D261" s="279">
        <v>250000</v>
      </c>
      <c r="E261" s="38">
        <v>2009</v>
      </c>
      <c r="F261" s="40">
        <v>9.7500000000000003E-2</v>
      </c>
      <c r="G261" s="44">
        <v>35597</v>
      </c>
      <c r="H261" s="44">
        <v>37423</v>
      </c>
      <c r="I261" s="45">
        <v>5</v>
      </c>
      <c r="J261" s="45" t="s">
        <v>1716</v>
      </c>
      <c r="K261" s="39" t="s">
        <v>1716</v>
      </c>
      <c r="L261" s="39" t="s">
        <v>1014</v>
      </c>
      <c r="M261" s="38" t="str">
        <f t="shared" si="5"/>
        <v>Certificat de dépôt</v>
      </c>
    </row>
    <row r="262" spans="1:13" x14ac:dyDescent="0.2">
      <c r="A262" s="38" t="s">
        <v>557</v>
      </c>
      <c r="B262" s="38">
        <v>150050</v>
      </c>
      <c r="C262" s="38" t="s">
        <v>610</v>
      </c>
      <c r="D262" s="279">
        <v>250000</v>
      </c>
      <c r="E262" s="38">
        <v>2009</v>
      </c>
      <c r="F262" s="40">
        <v>9.5000000000000001E-2</v>
      </c>
      <c r="G262" s="44">
        <v>35646</v>
      </c>
      <c r="H262" s="44">
        <v>37472</v>
      </c>
      <c r="I262" s="45">
        <v>5</v>
      </c>
      <c r="J262" s="45" t="s">
        <v>1716</v>
      </c>
      <c r="K262" s="39" t="s">
        <v>1716</v>
      </c>
      <c r="L262" s="39" t="s">
        <v>1014</v>
      </c>
      <c r="M262" s="38" t="str">
        <f t="shared" si="5"/>
        <v>Certificat de dépôt</v>
      </c>
    </row>
    <row r="263" spans="1:13" x14ac:dyDescent="0.2">
      <c r="A263" s="38" t="s">
        <v>557</v>
      </c>
      <c r="B263" s="38">
        <v>150067</v>
      </c>
      <c r="C263" s="38" t="s">
        <v>611</v>
      </c>
      <c r="D263" s="279">
        <v>250000</v>
      </c>
      <c r="E263" s="38">
        <v>2009</v>
      </c>
      <c r="F263" s="40">
        <v>0.09</v>
      </c>
      <c r="G263" s="44">
        <v>35794</v>
      </c>
      <c r="H263" s="44">
        <v>37255</v>
      </c>
      <c r="I263" s="45">
        <v>4</v>
      </c>
      <c r="J263" s="45" t="s">
        <v>1716</v>
      </c>
      <c r="K263" s="39" t="s">
        <v>1716</v>
      </c>
      <c r="L263" s="39" t="s">
        <v>1014</v>
      </c>
      <c r="M263" s="38" t="str">
        <f t="shared" si="5"/>
        <v>Certificat de dépôt</v>
      </c>
    </row>
    <row r="264" spans="1:13" x14ac:dyDescent="0.2">
      <c r="A264" s="38" t="s">
        <v>557</v>
      </c>
      <c r="B264" s="38">
        <v>150075</v>
      </c>
      <c r="C264" s="38" t="s">
        <v>612</v>
      </c>
      <c r="D264" s="279">
        <v>250000</v>
      </c>
      <c r="E264" s="38">
        <v>2009</v>
      </c>
      <c r="F264" s="40">
        <v>0.09</v>
      </c>
      <c r="G264" s="44">
        <v>35845</v>
      </c>
      <c r="H264" s="44">
        <v>37671</v>
      </c>
      <c r="I264" s="45">
        <v>5</v>
      </c>
      <c r="J264" s="45" t="s">
        <v>1716</v>
      </c>
      <c r="K264" s="39" t="s">
        <v>1716</v>
      </c>
      <c r="L264" s="39" t="s">
        <v>1014</v>
      </c>
      <c r="M264" s="38" t="str">
        <f t="shared" si="5"/>
        <v>Certificat de dépôt</v>
      </c>
    </row>
    <row r="265" spans="1:13" x14ac:dyDescent="0.2">
      <c r="A265" s="38" t="s">
        <v>557</v>
      </c>
      <c r="B265" s="38">
        <v>150077</v>
      </c>
      <c r="C265" s="38" t="s">
        <v>613</v>
      </c>
      <c r="D265" s="279">
        <v>250000</v>
      </c>
      <c r="E265" s="38">
        <v>2009</v>
      </c>
      <c r="F265" s="40">
        <v>0.09</v>
      </c>
      <c r="G265" s="44">
        <v>35851</v>
      </c>
      <c r="H265" s="44">
        <v>37677</v>
      </c>
      <c r="I265" s="45">
        <v>5</v>
      </c>
      <c r="J265" s="45" t="s">
        <v>1716</v>
      </c>
      <c r="K265" s="39" t="s">
        <v>1716</v>
      </c>
      <c r="L265" s="39" t="s">
        <v>1014</v>
      </c>
      <c r="M265" s="38" t="str">
        <f t="shared" si="5"/>
        <v>Certificat de dépôt</v>
      </c>
    </row>
    <row r="266" spans="1:13" x14ac:dyDescent="0.2">
      <c r="A266" s="38" t="s">
        <v>557</v>
      </c>
      <c r="B266" s="38">
        <v>150078</v>
      </c>
      <c r="C266" s="38" t="s">
        <v>1734</v>
      </c>
      <c r="D266" s="279">
        <v>250000</v>
      </c>
      <c r="E266" s="38">
        <v>2009</v>
      </c>
      <c r="F266" s="40">
        <v>0.09</v>
      </c>
      <c r="G266" s="44">
        <v>35859</v>
      </c>
      <c r="H266" s="44">
        <v>37685</v>
      </c>
      <c r="I266" s="45">
        <v>5</v>
      </c>
      <c r="J266" s="45" t="s">
        <v>1716</v>
      </c>
      <c r="K266" s="39" t="s">
        <v>1716</v>
      </c>
      <c r="L266" s="39" t="s">
        <v>1014</v>
      </c>
      <c r="M266" s="38" t="str">
        <f t="shared" si="5"/>
        <v>Certificat de dépôt</v>
      </c>
    </row>
    <row r="267" spans="1:13" x14ac:dyDescent="0.2">
      <c r="A267" s="38" t="s">
        <v>557</v>
      </c>
      <c r="B267" s="38">
        <v>150088</v>
      </c>
      <c r="C267" s="38" t="s">
        <v>568</v>
      </c>
      <c r="D267" s="279">
        <v>250000</v>
      </c>
      <c r="E267" s="38">
        <v>126</v>
      </c>
      <c r="F267" s="40">
        <v>8.2500000000000004E-2</v>
      </c>
      <c r="G267" s="44">
        <v>35874</v>
      </c>
      <c r="H267" s="44">
        <v>37700</v>
      </c>
      <c r="I267" s="45">
        <v>5</v>
      </c>
      <c r="J267" s="45" t="s">
        <v>1716</v>
      </c>
      <c r="K267" s="39" t="s">
        <v>1716</v>
      </c>
      <c r="L267" s="39" t="s">
        <v>1014</v>
      </c>
      <c r="M267" s="38" t="str">
        <f t="shared" si="5"/>
        <v>Certificat de dépôt</v>
      </c>
    </row>
    <row r="268" spans="1:13" x14ac:dyDescent="0.2">
      <c r="A268" s="38" t="s">
        <v>557</v>
      </c>
      <c r="B268" s="38">
        <v>150091</v>
      </c>
      <c r="C268" s="38" t="s">
        <v>569</v>
      </c>
      <c r="D268" s="279">
        <v>250000</v>
      </c>
      <c r="E268" s="38">
        <v>2009</v>
      </c>
      <c r="F268" s="40">
        <v>0.08</v>
      </c>
      <c r="G268" s="44">
        <v>35908</v>
      </c>
      <c r="H268" s="44">
        <v>37734</v>
      </c>
      <c r="I268" s="45">
        <v>5</v>
      </c>
      <c r="J268" s="45" t="s">
        <v>1716</v>
      </c>
      <c r="K268" s="39" t="s">
        <v>1716</v>
      </c>
      <c r="L268" s="39" t="s">
        <v>1014</v>
      </c>
      <c r="M268" s="38" t="str">
        <f t="shared" si="5"/>
        <v>Certificat de dépôt</v>
      </c>
    </row>
    <row r="269" spans="1:13" x14ac:dyDescent="0.2">
      <c r="A269" s="38" t="s">
        <v>557</v>
      </c>
      <c r="B269" s="38">
        <v>150098</v>
      </c>
      <c r="C269" s="38" t="s">
        <v>570</v>
      </c>
      <c r="D269" s="279">
        <v>250000</v>
      </c>
      <c r="E269" s="38">
        <v>2009</v>
      </c>
      <c r="F269" s="40">
        <v>0.08</v>
      </c>
      <c r="G269" s="44">
        <v>35958</v>
      </c>
      <c r="H269" s="44">
        <v>37784</v>
      </c>
      <c r="I269" s="45">
        <v>5</v>
      </c>
      <c r="J269" s="45" t="s">
        <v>1716</v>
      </c>
      <c r="K269" s="39" t="s">
        <v>1716</v>
      </c>
      <c r="L269" s="39" t="s">
        <v>1014</v>
      </c>
      <c r="M269" s="38" t="str">
        <f t="shared" si="5"/>
        <v>Certificat de dépôt</v>
      </c>
    </row>
    <row r="270" spans="1:13" x14ac:dyDescent="0.2">
      <c r="A270" s="38" t="s">
        <v>557</v>
      </c>
      <c r="B270" s="38">
        <v>150101</v>
      </c>
      <c r="C270" s="38" t="s">
        <v>571</v>
      </c>
      <c r="D270" s="279">
        <v>250000</v>
      </c>
      <c r="E270" s="38">
        <v>2009</v>
      </c>
      <c r="F270" s="40">
        <v>0.08</v>
      </c>
      <c r="G270" s="44">
        <v>35972</v>
      </c>
      <c r="H270" s="44">
        <v>37798</v>
      </c>
      <c r="I270" s="45">
        <v>5</v>
      </c>
      <c r="J270" s="45" t="s">
        <v>1716</v>
      </c>
      <c r="K270" s="39" t="s">
        <v>1716</v>
      </c>
      <c r="L270" s="39" t="s">
        <v>1014</v>
      </c>
      <c r="M270" s="38" t="str">
        <f t="shared" si="5"/>
        <v>Certificat de dépôt</v>
      </c>
    </row>
    <row r="271" spans="1:13" x14ac:dyDescent="0.2">
      <c r="A271" s="38" t="s">
        <v>557</v>
      </c>
      <c r="B271" s="38">
        <v>150102</v>
      </c>
      <c r="C271" s="38" t="s">
        <v>572</v>
      </c>
      <c r="D271" s="279">
        <v>250000</v>
      </c>
      <c r="E271" s="38">
        <v>2009</v>
      </c>
      <c r="F271" s="40">
        <v>0.08</v>
      </c>
      <c r="G271" s="44">
        <v>35986</v>
      </c>
      <c r="H271" s="44">
        <v>37812</v>
      </c>
      <c r="I271" s="45">
        <v>5</v>
      </c>
      <c r="J271" s="45" t="s">
        <v>1716</v>
      </c>
      <c r="K271" s="39" t="s">
        <v>1716</v>
      </c>
      <c r="L271" s="39" t="s">
        <v>1014</v>
      </c>
      <c r="M271" s="38" t="str">
        <f t="shared" si="5"/>
        <v>Certificat de dépôt</v>
      </c>
    </row>
    <row r="272" spans="1:13" x14ac:dyDescent="0.2">
      <c r="A272" s="38" t="s">
        <v>557</v>
      </c>
      <c r="B272" s="38">
        <v>150103</v>
      </c>
      <c r="C272" s="38" t="s">
        <v>573</v>
      </c>
      <c r="D272" s="279">
        <v>250000</v>
      </c>
      <c r="E272" s="38">
        <v>2009</v>
      </c>
      <c r="F272" s="40">
        <v>8.1000000000000003E-2</v>
      </c>
      <c r="G272" s="44">
        <v>35998</v>
      </c>
      <c r="H272" s="44">
        <v>37824</v>
      </c>
      <c r="I272" s="45">
        <v>5</v>
      </c>
      <c r="J272" s="45" t="s">
        <v>1716</v>
      </c>
      <c r="K272" s="39" t="s">
        <v>1716</v>
      </c>
      <c r="L272" s="39" t="s">
        <v>1014</v>
      </c>
      <c r="M272" s="38" t="str">
        <f t="shared" si="5"/>
        <v>Certificat de dépôt</v>
      </c>
    </row>
    <row r="273" spans="1:13" x14ac:dyDescent="0.2">
      <c r="A273" s="38" t="s">
        <v>557</v>
      </c>
      <c r="B273" s="38">
        <v>150106</v>
      </c>
      <c r="C273" s="38" t="s">
        <v>574</v>
      </c>
      <c r="D273" s="279">
        <v>250000</v>
      </c>
      <c r="E273" s="38">
        <v>126</v>
      </c>
      <c r="F273" s="40">
        <v>7.5800000000000006E-2</v>
      </c>
      <c r="G273" s="44">
        <v>36006</v>
      </c>
      <c r="H273" s="44">
        <v>37102</v>
      </c>
      <c r="I273" s="45">
        <v>3</v>
      </c>
      <c r="J273" s="45" t="s">
        <v>1716</v>
      </c>
      <c r="K273" s="39" t="s">
        <v>1716</v>
      </c>
      <c r="L273" s="39" t="s">
        <v>1014</v>
      </c>
      <c r="M273" s="38" t="str">
        <f t="shared" si="5"/>
        <v>Certificat de dépôt</v>
      </c>
    </row>
    <row r="274" spans="1:13" x14ac:dyDescent="0.2">
      <c r="A274" s="38" t="s">
        <v>557</v>
      </c>
      <c r="B274" s="38">
        <v>150109</v>
      </c>
      <c r="C274" s="38" t="s">
        <v>575</v>
      </c>
      <c r="D274" s="279">
        <v>250000</v>
      </c>
      <c r="E274" s="38">
        <v>2009</v>
      </c>
      <c r="F274" s="40">
        <v>0.08</v>
      </c>
      <c r="G274" s="44">
        <v>36035</v>
      </c>
      <c r="H274" s="44">
        <v>37861</v>
      </c>
      <c r="I274" s="45">
        <v>5</v>
      </c>
      <c r="J274" s="45" t="s">
        <v>1716</v>
      </c>
      <c r="K274" s="39" t="s">
        <v>1716</v>
      </c>
      <c r="L274" s="39" t="s">
        <v>1014</v>
      </c>
      <c r="M274" s="38" t="str">
        <f t="shared" si="5"/>
        <v>Certificat de dépôt</v>
      </c>
    </row>
    <row r="275" spans="1:13" x14ac:dyDescent="0.2">
      <c r="A275" s="38" t="s">
        <v>557</v>
      </c>
      <c r="B275" s="38">
        <v>150110</v>
      </c>
      <c r="C275" s="38" t="s">
        <v>576</v>
      </c>
      <c r="D275" s="279">
        <v>250000</v>
      </c>
      <c r="E275" s="38">
        <v>2009</v>
      </c>
      <c r="F275" s="40">
        <v>0.08</v>
      </c>
      <c r="G275" s="44">
        <v>36075</v>
      </c>
      <c r="H275" s="44">
        <v>37901</v>
      </c>
      <c r="I275" s="45">
        <v>5</v>
      </c>
      <c r="J275" s="45" t="s">
        <v>1716</v>
      </c>
      <c r="K275" s="39" t="s">
        <v>1716</v>
      </c>
      <c r="L275" s="39" t="s">
        <v>1014</v>
      </c>
      <c r="M275" s="38" t="str">
        <f t="shared" si="5"/>
        <v>Certificat de dépôt</v>
      </c>
    </row>
    <row r="276" spans="1:13" x14ac:dyDescent="0.2">
      <c r="A276" s="38" t="s">
        <v>557</v>
      </c>
      <c r="B276" s="38">
        <v>150111</v>
      </c>
      <c r="C276" s="38" t="s">
        <v>1364</v>
      </c>
      <c r="D276" s="279">
        <v>250000</v>
      </c>
      <c r="E276" s="38">
        <v>2009</v>
      </c>
      <c r="F276" s="40">
        <v>0.08</v>
      </c>
      <c r="G276" s="44">
        <v>36076</v>
      </c>
      <c r="H276" s="44">
        <v>37902</v>
      </c>
      <c r="I276" s="45">
        <v>5</v>
      </c>
      <c r="J276" s="45" t="s">
        <v>1716</v>
      </c>
      <c r="K276" s="39" t="s">
        <v>1716</v>
      </c>
      <c r="L276" s="39" t="s">
        <v>1014</v>
      </c>
      <c r="M276" s="38" t="str">
        <f t="shared" si="5"/>
        <v>Certificat de dépôt</v>
      </c>
    </row>
    <row r="277" spans="1:13" x14ac:dyDescent="0.2">
      <c r="A277" s="38" t="s">
        <v>557</v>
      </c>
      <c r="B277" s="38">
        <v>150116</v>
      </c>
      <c r="C277" s="38" t="s">
        <v>178</v>
      </c>
      <c r="D277" s="279">
        <v>250000</v>
      </c>
      <c r="E277" s="38">
        <v>2009</v>
      </c>
      <c r="F277" s="40">
        <v>7.9600000000000004E-2</v>
      </c>
      <c r="G277" s="44">
        <v>36133</v>
      </c>
      <c r="H277" s="44">
        <v>37959</v>
      </c>
      <c r="I277" s="45">
        <v>5</v>
      </c>
      <c r="J277" s="45" t="s">
        <v>1716</v>
      </c>
      <c r="K277" s="39" t="s">
        <v>1716</v>
      </c>
      <c r="L277" s="39" t="s">
        <v>1014</v>
      </c>
      <c r="M277" s="38" t="str">
        <f t="shared" si="5"/>
        <v>Certificat de dépôt</v>
      </c>
    </row>
    <row r="278" spans="1:13" x14ac:dyDescent="0.2">
      <c r="A278" s="38" t="s">
        <v>557</v>
      </c>
      <c r="B278" s="38">
        <v>150117</v>
      </c>
      <c r="C278" s="38" t="s">
        <v>180</v>
      </c>
      <c r="D278" s="279">
        <v>250000</v>
      </c>
      <c r="E278" s="38">
        <v>2009</v>
      </c>
      <c r="F278" s="40">
        <v>0.08</v>
      </c>
      <c r="G278" s="44">
        <v>36133</v>
      </c>
      <c r="H278" s="44">
        <v>37959</v>
      </c>
      <c r="I278" s="45">
        <v>5</v>
      </c>
      <c r="J278" s="45" t="s">
        <v>1716</v>
      </c>
      <c r="K278" s="39" t="s">
        <v>1716</v>
      </c>
      <c r="L278" s="39" t="s">
        <v>1014</v>
      </c>
      <c r="M278" s="38" t="str">
        <f t="shared" si="5"/>
        <v>Certificat de dépôt</v>
      </c>
    </row>
    <row r="279" spans="1:13" x14ac:dyDescent="0.2">
      <c r="A279" s="38" t="s">
        <v>557</v>
      </c>
      <c r="B279" s="38">
        <v>150118</v>
      </c>
      <c r="C279" s="38" t="s">
        <v>181</v>
      </c>
      <c r="D279" s="279">
        <v>250000</v>
      </c>
      <c r="E279" s="38">
        <v>2009</v>
      </c>
      <c r="F279" s="40">
        <v>8.0500000000000002E-2</v>
      </c>
      <c r="G279" s="44">
        <v>36152</v>
      </c>
      <c r="H279" s="44">
        <v>37978</v>
      </c>
      <c r="I279" s="45">
        <v>5</v>
      </c>
      <c r="J279" s="45" t="s">
        <v>1716</v>
      </c>
      <c r="K279" s="39" t="s">
        <v>1716</v>
      </c>
      <c r="L279" s="39" t="s">
        <v>1014</v>
      </c>
      <c r="M279" s="38" t="str">
        <f t="shared" si="5"/>
        <v>Certificat de dépôt</v>
      </c>
    </row>
    <row r="280" spans="1:13" x14ac:dyDescent="0.2">
      <c r="A280" s="38" t="s">
        <v>557</v>
      </c>
      <c r="B280" s="38">
        <v>150119</v>
      </c>
      <c r="C280" s="38" t="s">
        <v>182</v>
      </c>
      <c r="D280" s="279">
        <v>250000</v>
      </c>
      <c r="E280" s="38">
        <v>126</v>
      </c>
      <c r="F280" s="40">
        <v>8.1000000000000003E-2</v>
      </c>
      <c r="G280" s="44">
        <v>36154</v>
      </c>
      <c r="H280" s="44">
        <v>38711</v>
      </c>
      <c r="I280" s="45">
        <v>7</v>
      </c>
      <c r="J280" s="45" t="s">
        <v>1716</v>
      </c>
      <c r="K280" s="39" t="s">
        <v>1716</v>
      </c>
      <c r="L280" s="39" t="s">
        <v>1014</v>
      </c>
      <c r="M280" s="38" t="str">
        <f t="shared" si="5"/>
        <v>Certificat de dépôt</v>
      </c>
    </row>
    <row r="281" spans="1:13" x14ac:dyDescent="0.2">
      <c r="A281" s="38" t="s">
        <v>557</v>
      </c>
      <c r="B281" s="38">
        <v>150121</v>
      </c>
      <c r="C281" s="38" t="s">
        <v>833</v>
      </c>
      <c r="D281" s="279">
        <v>250000</v>
      </c>
      <c r="E281" s="38">
        <v>2009</v>
      </c>
      <c r="F281" s="40">
        <v>7.9600000000000004E-2</v>
      </c>
      <c r="G281" s="44">
        <v>36158</v>
      </c>
      <c r="H281" s="44">
        <v>37984</v>
      </c>
      <c r="I281" s="45">
        <v>5</v>
      </c>
      <c r="J281" s="45" t="s">
        <v>1716</v>
      </c>
      <c r="K281" s="39" t="s">
        <v>1716</v>
      </c>
      <c r="L281" s="39" t="s">
        <v>1014</v>
      </c>
      <c r="M281" s="38" t="str">
        <f t="shared" si="5"/>
        <v>Certificat de dépôt</v>
      </c>
    </row>
    <row r="282" spans="1:13" x14ac:dyDescent="0.2">
      <c r="A282" s="38" t="s">
        <v>557</v>
      </c>
      <c r="B282" s="38">
        <v>150122</v>
      </c>
      <c r="C282" s="38" t="s">
        <v>799</v>
      </c>
      <c r="D282" s="279">
        <v>250000</v>
      </c>
      <c r="E282" s="38">
        <v>2009</v>
      </c>
      <c r="F282" s="40">
        <v>7.9899999999999999E-2</v>
      </c>
      <c r="G282" s="44">
        <v>36159</v>
      </c>
      <c r="H282" s="44">
        <v>37985</v>
      </c>
      <c r="I282" s="45">
        <v>5</v>
      </c>
      <c r="J282" s="45" t="s">
        <v>1716</v>
      </c>
      <c r="K282" s="39" t="s">
        <v>1716</v>
      </c>
      <c r="L282" s="39" t="s">
        <v>1014</v>
      </c>
      <c r="M282" s="38" t="str">
        <f t="shared" si="5"/>
        <v>Certificat de dépôt</v>
      </c>
    </row>
    <row r="283" spans="1:13" x14ac:dyDescent="0.2">
      <c r="A283" s="38" t="s">
        <v>557</v>
      </c>
      <c r="B283" s="38">
        <v>150124</v>
      </c>
      <c r="C283" s="38" t="s">
        <v>800</v>
      </c>
      <c r="D283" s="279">
        <v>250000</v>
      </c>
      <c r="E283" s="38">
        <v>126</v>
      </c>
      <c r="F283" s="40">
        <v>8.1000000000000003E-2</v>
      </c>
      <c r="G283" s="44">
        <v>36160</v>
      </c>
      <c r="H283" s="44">
        <v>38717</v>
      </c>
      <c r="I283" s="45">
        <v>7</v>
      </c>
      <c r="J283" s="45" t="s">
        <v>1716</v>
      </c>
      <c r="K283" s="39" t="s">
        <v>1716</v>
      </c>
      <c r="L283" s="39" t="s">
        <v>1014</v>
      </c>
      <c r="M283" s="38" t="str">
        <f t="shared" si="5"/>
        <v>Certificat de dépôt</v>
      </c>
    </row>
    <row r="284" spans="1:13" x14ac:dyDescent="0.2">
      <c r="A284" s="38" t="s">
        <v>557</v>
      </c>
      <c r="B284" s="38">
        <v>150125</v>
      </c>
      <c r="C284" s="38" t="s">
        <v>801</v>
      </c>
      <c r="D284" s="279">
        <v>250000</v>
      </c>
      <c r="E284" s="38">
        <v>2009</v>
      </c>
      <c r="F284" s="40">
        <v>0.08</v>
      </c>
      <c r="G284" s="44">
        <v>36164</v>
      </c>
      <c r="H284" s="44">
        <v>37990</v>
      </c>
      <c r="I284" s="45">
        <v>5</v>
      </c>
      <c r="J284" s="45" t="s">
        <v>1716</v>
      </c>
      <c r="K284" s="39" t="s">
        <v>1716</v>
      </c>
      <c r="L284" s="39" t="s">
        <v>1014</v>
      </c>
      <c r="M284" s="38" t="str">
        <f t="shared" si="5"/>
        <v>Certificat de dépôt</v>
      </c>
    </row>
    <row r="285" spans="1:13" x14ac:dyDescent="0.2">
      <c r="A285" s="38" t="s">
        <v>557</v>
      </c>
      <c r="B285" s="38">
        <v>150126</v>
      </c>
      <c r="C285" s="38" t="s">
        <v>802</v>
      </c>
      <c r="D285" s="279">
        <v>250000</v>
      </c>
      <c r="E285" s="38">
        <v>2009</v>
      </c>
      <c r="F285" s="40">
        <v>0.08</v>
      </c>
      <c r="G285" s="44">
        <v>36168</v>
      </c>
      <c r="H285" s="44">
        <v>37994</v>
      </c>
      <c r="I285" s="45">
        <v>5</v>
      </c>
      <c r="J285" s="45" t="s">
        <v>1716</v>
      </c>
      <c r="K285" s="39" t="s">
        <v>1716</v>
      </c>
      <c r="L285" s="39" t="s">
        <v>1014</v>
      </c>
      <c r="M285" s="38" t="str">
        <f t="shared" si="5"/>
        <v>Certificat de dépôt</v>
      </c>
    </row>
    <row r="286" spans="1:13" x14ac:dyDescent="0.2">
      <c r="A286" s="38" t="s">
        <v>557</v>
      </c>
      <c r="B286" s="38">
        <v>150127</v>
      </c>
      <c r="C286" s="38" t="s">
        <v>164</v>
      </c>
      <c r="D286" s="279">
        <v>250000</v>
      </c>
      <c r="E286" s="38">
        <v>2009</v>
      </c>
      <c r="F286" s="40">
        <v>7.9500000000000001E-2</v>
      </c>
      <c r="G286" s="44">
        <v>36203</v>
      </c>
      <c r="H286" s="44">
        <v>38029</v>
      </c>
      <c r="I286" s="45">
        <v>5</v>
      </c>
      <c r="J286" s="45" t="s">
        <v>1716</v>
      </c>
      <c r="K286" s="39" t="s">
        <v>1716</v>
      </c>
      <c r="L286" s="39" t="s">
        <v>1014</v>
      </c>
      <c r="M286" s="38" t="str">
        <f t="shared" si="5"/>
        <v>Certificat de dépôt</v>
      </c>
    </row>
    <row r="287" spans="1:13" x14ac:dyDescent="0.2">
      <c r="A287" s="38" t="s">
        <v>557</v>
      </c>
      <c r="B287" s="38">
        <v>150128</v>
      </c>
      <c r="C287" s="38" t="s">
        <v>167</v>
      </c>
      <c r="D287" s="279">
        <v>250000</v>
      </c>
      <c r="E287" s="38">
        <v>2009</v>
      </c>
      <c r="F287" s="40">
        <v>7.980000000000001E-2</v>
      </c>
      <c r="G287" s="44">
        <v>36210</v>
      </c>
      <c r="H287" s="44">
        <v>38036</v>
      </c>
      <c r="I287" s="45">
        <v>5</v>
      </c>
      <c r="J287" s="45" t="s">
        <v>1716</v>
      </c>
      <c r="K287" s="39" t="s">
        <v>1716</v>
      </c>
      <c r="L287" s="39" t="s">
        <v>1014</v>
      </c>
      <c r="M287" s="38" t="str">
        <f t="shared" si="5"/>
        <v>Certificat de dépôt</v>
      </c>
    </row>
    <row r="288" spans="1:13" x14ac:dyDescent="0.2">
      <c r="A288" s="38" t="s">
        <v>557</v>
      </c>
      <c r="B288" s="38">
        <v>150129</v>
      </c>
      <c r="C288" s="38" t="s">
        <v>218</v>
      </c>
      <c r="D288" s="279">
        <v>250000</v>
      </c>
      <c r="E288" s="38">
        <v>2009</v>
      </c>
      <c r="F288" s="40">
        <v>7.9500000000000001E-2</v>
      </c>
      <c r="G288" s="44">
        <v>36216</v>
      </c>
      <c r="H288" s="44">
        <v>38042</v>
      </c>
      <c r="I288" s="45">
        <v>5</v>
      </c>
      <c r="J288" s="45" t="s">
        <v>1716</v>
      </c>
      <c r="K288" s="39" t="s">
        <v>1716</v>
      </c>
      <c r="L288" s="39" t="s">
        <v>1014</v>
      </c>
      <c r="M288" s="38" t="str">
        <f t="shared" si="5"/>
        <v>Certificat de dépôt</v>
      </c>
    </row>
    <row r="289" spans="1:13" x14ac:dyDescent="0.2">
      <c r="A289" s="38" t="s">
        <v>557</v>
      </c>
      <c r="B289" s="38">
        <v>150133</v>
      </c>
      <c r="C289" s="38" t="s">
        <v>659</v>
      </c>
      <c r="D289" s="279">
        <v>250000</v>
      </c>
      <c r="E289" s="38">
        <v>2009</v>
      </c>
      <c r="F289" s="40">
        <v>7.8E-2</v>
      </c>
      <c r="G289" s="44">
        <v>36238</v>
      </c>
      <c r="H289" s="44">
        <v>38065</v>
      </c>
      <c r="I289" s="45">
        <v>5</v>
      </c>
      <c r="J289" s="45" t="s">
        <v>1716</v>
      </c>
      <c r="K289" s="39" t="s">
        <v>1716</v>
      </c>
      <c r="L289" s="39" t="s">
        <v>1014</v>
      </c>
      <c r="M289" s="38" t="str">
        <f t="shared" si="5"/>
        <v>Certificat de dépôt</v>
      </c>
    </row>
    <row r="290" spans="1:13" x14ac:dyDescent="0.2">
      <c r="A290" s="38" t="s">
        <v>557</v>
      </c>
      <c r="B290" s="38">
        <v>150135</v>
      </c>
      <c r="C290" s="38" t="s">
        <v>660</v>
      </c>
      <c r="D290" s="279">
        <v>250000</v>
      </c>
      <c r="E290" s="38">
        <v>2009</v>
      </c>
      <c r="F290" s="40">
        <v>7.8E-2</v>
      </c>
      <c r="G290" s="44">
        <v>36243</v>
      </c>
      <c r="H290" s="44">
        <v>38070</v>
      </c>
      <c r="I290" s="45">
        <v>5</v>
      </c>
      <c r="J290" s="45" t="s">
        <v>1716</v>
      </c>
      <c r="K290" s="39" t="s">
        <v>1716</v>
      </c>
      <c r="L290" s="39" t="s">
        <v>1014</v>
      </c>
      <c r="M290" s="38" t="str">
        <f t="shared" si="5"/>
        <v>Certificat de dépôt</v>
      </c>
    </row>
    <row r="291" spans="1:13" x14ac:dyDescent="0.2">
      <c r="A291" s="38" t="s">
        <v>557</v>
      </c>
      <c r="B291" s="38">
        <v>150136</v>
      </c>
      <c r="C291" s="38" t="s">
        <v>591</v>
      </c>
      <c r="D291" s="279">
        <v>250000</v>
      </c>
      <c r="E291" s="38">
        <v>2009</v>
      </c>
      <c r="F291" s="40">
        <v>7.7499999999999999E-2</v>
      </c>
      <c r="G291" s="44">
        <v>36245</v>
      </c>
      <c r="H291" s="44">
        <v>38072</v>
      </c>
      <c r="I291" s="45">
        <v>5</v>
      </c>
      <c r="J291" s="45" t="s">
        <v>1716</v>
      </c>
      <c r="K291" s="39" t="s">
        <v>1716</v>
      </c>
      <c r="L291" s="39" t="s">
        <v>1014</v>
      </c>
      <c r="M291" s="38" t="str">
        <f t="shared" si="5"/>
        <v>Certificat de dépôt</v>
      </c>
    </row>
    <row r="292" spans="1:13" x14ac:dyDescent="0.2">
      <c r="A292" s="38" t="s">
        <v>557</v>
      </c>
      <c r="B292" s="38">
        <v>150137</v>
      </c>
      <c r="C292" s="38" t="s">
        <v>221</v>
      </c>
      <c r="D292" s="279">
        <v>250000</v>
      </c>
      <c r="E292" s="38">
        <v>2009</v>
      </c>
      <c r="F292" s="40">
        <v>7.6999999999999999E-2</v>
      </c>
      <c r="G292" s="44">
        <v>36258</v>
      </c>
      <c r="H292" s="44">
        <v>38085</v>
      </c>
      <c r="I292" s="45">
        <v>5</v>
      </c>
      <c r="J292" s="45" t="s">
        <v>1716</v>
      </c>
      <c r="K292" s="39" t="s">
        <v>1716</v>
      </c>
      <c r="L292" s="39" t="s">
        <v>1014</v>
      </c>
      <c r="M292" s="38" t="str">
        <f t="shared" si="5"/>
        <v>Certificat de dépôt</v>
      </c>
    </row>
    <row r="293" spans="1:13" x14ac:dyDescent="0.2">
      <c r="A293" s="38" t="s">
        <v>557</v>
      </c>
      <c r="B293" s="38">
        <v>150138</v>
      </c>
      <c r="C293" s="38" t="s">
        <v>1602</v>
      </c>
      <c r="D293" s="279">
        <v>250000</v>
      </c>
      <c r="E293" s="38">
        <v>2009</v>
      </c>
      <c r="F293" s="40">
        <v>7.7499999999999999E-2</v>
      </c>
      <c r="G293" s="44">
        <v>36273</v>
      </c>
      <c r="H293" s="44">
        <v>38100</v>
      </c>
      <c r="I293" s="45">
        <v>5</v>
      </c>
      <c r="J293" s="45" t="s">
        <v>1716</v>
      </c>
      <c r="K293" s="39" t="s">
        <v>1716</v>
      </c>
      <c r="L293" s="39" t="s">
        <v>1014</v>
      </c>
      <c r="M293" s="38" t="str">
        <f t="shared" si="5"/>
        <v>Certificat de dépôt</v>
      </c>
    </row>
    <row r="294" spans="1:13" x14ac:dyDescent="0.2">
      <c r="A294" s="38" t="s">
        <v>557</v>
      </c>
      <c r="B294" s="38">
        <v>150139</v>
      </c>
      <c r="C294" s="38" t="s">
        <v>1377</v>
      </c>
      <c r="D294" s="279">
        <v>250000</v>
      </c>
      <c r="E294" s="38">
        <v>2009</v>
      </c>
      <c r="F294" s="40">
        <v>7.7499999999999999E-2</v>
      </c>
      <c r="G294" s="44">
        <v>36290</v>
      </c>
      <c r="H294" s="44">
        <v>38117</v>
      </c>
      <c r="I294" s="45">
        <v>5</v>
      </c>
      <c r="J294" s="45" t="s">
        <v>1716</v>
      </c>
      <c r="K294" s="39" t="s">
        <v>1716</v>
      </c>
      <c r="L294" s="39" t="s">
        <v>1014</v>
      </c>
      <c r="M294" s="38" t="str">
        <f t="shared" si="5"/>
        <v>Certificat de dépôt</v>
      </c>
    </row>
    <row r="295" spans="1:13" x14ac:dyDescent="0.2">
      <c r="A295" s="38" t="s">
        <v>557</v>
      </c>
      <c r="B295" s="38">
        <v>150140</v>
      </c>
      <c r="C295" s="38" t="s">
        <v>1378</v>
      </c>
      <c r="D295" s="279">
        <v>250000</v>
      </c>
      <c r="E295" s="38">
        <v>2009</v>
      </c>
      <c r="F295" s="40">
        <v>7.400000000000001E-2</v>
      </c>
      <c r="G295" s="44">
        <v>36291</v>
      </c>
      <c r="H295" s="44">
        <v>37387</v>
      </c>
      <c r="I295" s="45">
        <v>3</v>
      </c>
      <c r="J295" s="45" t="s">
        <v>1716</v>
      </c>
      <c r="K295" s="39" t="s">
        <v>1716</v>
      </c>
      <c r="L295" s="39" t="s">
        <v>1014</v>
      </c>
      <c r="M295" s="38" t="str">
        <f t="shared" si="5"/>
        <v>Certificat de dépôt</v>
      </c>
    </row>
    <row r="296" spans="1:13" x14ac:dyDescent="0.2">
      <c r="A296" s="38" t="s">
        <v>557</v>
      </c>
      <c r="B296" s="38">
        <v>150141</v>
      </c>
      <c r="C296" s="38" t="s">
        <v>956</v>
      </c>
      <c r="D296" s="279">
        <v>250000</v>
      </c>
      <c r="E296" s="38">
        <v>2009</v>
      </c>
      <c r="F296" s="40">
        <v>7.5999999999999998E-2</v>
      </c>
      <c r="G296" s="44">
        <v>36291</v>
      </c>
      <c r="H296" s="44">
        <v>37752</v>
      </c>
      <c r="I296" s="45">
        <v>4</v>
      </c>
      <c r="J296" s="45" t="s">
        <v>1716</v>
      </c>
      <c r="K296" s="39" t="s">
        <v>1716</v>
      </c>
      <c r="L296" s="39" t="s">
        <v>1014</v>
      </c>
      <c r="M296" s="38" t="str">
        <f t="shared" si="5"/>
        <v>Certificat de dépôt</v>
      </c>
    </row>
    <row r="297" spans="1:13" x14ac:dyDescent="0.2">
      <c r="A297" s="38" t="s">
        <v>557</v>
      </c>
      <c r="B297" s="38">
        <v>150142</v>
      </c>
      <c r="C297" s="38" t="s">
        <v>957</v>
      </c>
      <c r="D297" s="279">
        <v>250000</v>
      </c>
      <c r="E297" s="38">
        <v>2009</v>
      </c>
      <c r="F297" s="40">
        <v>7.5999999999999998E-2</v>
      </c>
      <c r="G297" s="44">
        <v>36298</v>
      </c>
      <c r="H297" s="44">
        <v>37759</v>
      </c>
      <c r="I297" s="45">
        <v>4</v>
      </c>
      <c r="J297" s="45" t="s">
        <v>1716</v>
      </c>
      <c r="K297" s="39" t="s">
        <v>1716</v>
      </c>
      <c r="L297" s="39" t="s">
        <v>1014</v>
      </c>
      <c r="M297" s="38" t="str">
        <f t="shared" si="5"/>
        <v>Certificat de dépôt</v>
      </c>
    </row>
    <row r="298" spans="1:13" x14ac:dyDescent="0.2">
      <c r="A298" s="38" t="s">
        <v>557</v>
      </c>
      <c r="B298" s="38">
        <v>150143</v>
      </c>
      <c r="C298" s="38" t="s">
        <v>592</v>
      </c>
      <c r="D298" s="279">
        <v>250000</v>
      </c>
      <c r="E298" s="38">
        <v>2009</v>
      </c>
      <c r="F298" s="40">
        <v>7.7499999999999999E-2</v>
      </c>
      <c r="G298" s="44">
        <v>36321</v>
      </c>
      <c r="H298" s="44">
        <v>38148</v>
      </c>
      <c r="I298" s="45">
        <v>5</v>
      </c>
      <c r="J298" s="45" t="s">
        <v>1716</v>
      </c>
      <c r="K298" s="39" t="s">
        <v>1716</v>
      </c>
      <c r="L298" s="39" t="s">
        <v>1014</v>
      </c>
      <c r="M298" s="38" t="str">
        <f t="shared" si="5"/>
        <v>Certificat de dépôt</v>
      </c>
    </row>
    <row r="299" spans="1:13" x14ac:dyDescent="0.2">
      <c r="A299" s="38" t="s">
        <v>557</v>
      </c>
      <c r="B299" s="38">
        <v>150147</v>
      </c>
      <c r="C299" s="38" t="s">
        <v>1117</v>
      </c>
      <c r="D299" s="279">
        <v>250000</v>
      </c>
      <c r="E299" s="38">
        <v>2009</v>
      </c>
      <c r="F299" s="40">
        <v>7.7499999999999999E-2</v>
      </c>
      <c r="G299" s="44">
        <v>36342</v>
      </c>
      <c r="H299" s="44">
        <v>38169</v>
      </c>
      <c r="I299" s="45">
        <v>5</v>
      </c>
      <c r="J299" s="45" t="s">
        <v>1716</v>
      </c>
      <c r="K299" s="39" t="s">
        <v>1716</v>
      </c>
      <c r="L299" s="39" t="s">
        <v>1014</v>
      </c>
      <c r="M299" s="38" t="str">
        <f t="shared" si="5"/>
        <v>Certificat de dépôt</v>
      </c>
    </row>
    <row r="300" spans="1:13" x14ac:dyDescent="0.2">
      <c r="A300" s="38" t="s">
        <v>557</v>
      </c>
      <c r="B300" s="38">
        <v>150148</v>
      </c>
      <c r="C300" s="38" t="s">
        <v>1118</v>
      </c>
      <c r="D300" s="279">
        <v>250000</v>
      </c>
      <c r="E300" s="38">
        <v>2009</v>
      </c>
      <c r="F300" s="40">
        <v>7.7499999999999999E-2</v>
      </c>
      <c r="G300" s="44">
        <v>36343</v>
      </c>
      <c r="H300" s="44">
        <v>38170</v>
      </c>
      <c r="I300" s="45">
        <v>5</v>
      </c>
      <c r="J300" s="45" t="s">
        <v>1716</v>
      </c>
      <c r="K300" s="39" t="s">
        <v>1716</v>
      </c>
      <c r="L300" s="39" t="s">
        <v>1014</v>
      </c>
      <c r="M300" s="38" t="str">
        <f t="shared" si="5"/>
        <v>Certificat de dépôt</v>
      </c>
    </row>
    <row r="301" spans="1:13" x14ac:dyDescent="0.2">
      <c r="A301" s="38" t="s">
        <v>557</v>
      </c>
      <c r="B301" s="38">
        <v>150149</v>
      </c>
      <c r="C301" s="38" t="s">
        <v>1119</v>
      </c>
      <c r="D301" s="279">
        <v>250000</v>
      </c>
      <c r="E301" s="38">
        <v>2009</v>
      </c>
      <c r="F301" s="40">
        <v>7.7499999999999999E-2</v>
      </c>
      <c r="G301" s="44">
        <v>36346</v>
      </c>
      <c r="H301" s="44">
        <v>38173</v>
      </c>
      <c r="I301" s="45">
        <v>5</v>
      </c>
      <c r="J301" s="45" t="s">
        <v>1716</v>
      </c>
      <c r="K301" s="39" t="s">
        <v>1716</v>
      </c>
      <c r="L301" s="39" t="s">
        <v>1014</v>
      </c>
      <c r="M301" s="38" t="str">
        <f t="shared" si="5"/>
        <v>Certificat de dépôt</v>
      </c>
    </row>
    <row r="302" spans="1:13" x14ac:dyDescent="0.2">
      <c r="A302" s="38" t="s">
        <v>557</v>
      </c>
      <c r="B302" s="38">
        <v>150150</v>
      </c>
      <c r="C302" s="38" t="s">
        <v>1653</v>
      </c>
      <c r="D302" s="279">
        <v>250000</v>
      </c>
      <c r="E302" s="38">
        <v>2009</v>
      </c>
      <c r="F302" s="40">
        <v>7.7499999999999999E-2</v>
      </c>
      <c r="G302" s="44">
        <v>36348</v>
      </c>
      <c r="H302" s="44">
        <v>38175</v>
      </c>
      <c r="I302" s="45">
        <v>5</v>
      </c>
      <c r="J302" s="45" t="s">
        <v>1716</v>
      </c>
      <c r="K302" s="39" t="s">
        <v>1716</v>
      </c>
      <c r="L302" s="39" t="s">
        <v>1014</v>
      </c>
      <c r="M302" s="38" t="str">
        <f t="shared" si="5"/>
        <v>Certificat de dépôt</v>
      </c>
    </row>
    <row r="303" spans="1:13" x14ac:dyDescent="0.2">
      <c r="A303" s="38" t="s">
        <v>557</v>
      </c>
      <c r="B303" s="38">
        <v>150152</v>
      </c>
      <c r="C303" s="38" t="s">
        <v>1654</v>
      </c>
      <c r="D303" s="279">
        <v>250000</v>
      </c>
      <c r="E303" s="38">
        <v>2009</v>
      </c>
      <c r="F303" s="40">
        <v>7.4999999999999997E-2</v>
      </c>
      <c r="G303" s="44">
        <v>36356</v>
      </c>
      <c r="H303" s="44">
        <v>38183</v>
      </c>
      <c r="I303" s="45">
        <v>5</v>
      </c>
      <c r="J303" s="45" t="s">
        <v>1716</v>
      </c>
      <c r="K303" s="39" t="s">
        <v>1716</v>
      </c>
      <c r="L303" s="39" t="s">
        <v>1014</v>
      </c>
      <c r="M303" s="38" t="str">
        <f t="shared" si="5"/>
        <v>Certificat de dépôt</v>
      </c>
    </row>
    <row r="304" spans="1:13" x14ac:dyDescent="0.2">
      <c r="A304" s="38" t="s">
        <v>557</v>
      </c>
      <c r="B304" s="38">
        <v>150153</v>
      </c>
      <c r="C304" s="38" t="s">
        <v>1655</v>
      </c>
      <c r="D304" s="279">
        <v>250000</v>
      </c>
      <c r="E304" s="38">
        <v>2009</v>
      </c>
      <c r="F304" s="40">
        <v>7.2999999999999995E-2</v>
      </c>
      <c r="G304" s="44">
        <v>36357</v>
      </c>
      <c r="H304" s="44">
        <v>37088</v>
      </c>
      <c r="I304" s="45">
        <v>2</v>
      </c>
      <c r="J304" s="45" t="s">
        <v>1716</v>
      </c>
      <c r="K304" s="39" t="s">
        <v>1716</v>
      </c>
      <c r="L304" s="39" t="s">
        <v>1014</v>
      </c>
      <c r="M304" s="38" t="str">
        <f t="shared" si="5"/>
        <v>Certificat de dépôt</v>
      </c>
    </row>
    <row r="305" spans="1:13" x14ac:dyDescent="0.2">
      <c r="A305" s="38" t="s">
        <v>557</v>
      </c>
      <c r="B305" s="38">
        <v>150154</v>
      </c>
      <c r="C305" s="38" t="s">
        <v>1744</v>
      </c>
      <c r="D305" s="279">
        <v>250000</v>
      </c>
      <c r="E305" s="38">
        <v>2009</v>
      </c>
      <c r="F305" s="40">
        <v>7.2999999999999995E-2</v>
      </c>
      <c r="G305" s="44">
        <v>36362</v>
      </c>
      <c r="H305" s="44">
        <v>37093</v>
      </c>
      <c r="I305" s="45">
        <v>2</v>
      </c>
      <c r="J305" s="45" t="s">
        <v>1716</v>
      </c>
      <c r="K305" s="39" t="s">
        <v>1716</v>
      </c>
      <c r="L305" s="39" t="s">
        <v>1014</v>
      </c>
      <c r="M305" s="38" t="str">
        <f t="shared" si="5"/>
        <v>Certificat de dépôt</v>
      </c>
    </row>
    <row r="306" spans="1:13" x14ac:dyDescent="0.2">
      <c r="A306" s="38" t="s">
        <v>557</v>
      </c>
      <c r="B306" s="38">
        <v>150156</v>
      </c>
      <c r="C306" s="38" t="s">
        <v>1746</v>
      </c>
      <c r="D306" s="279">
        <v>250000</v>
      </c>
      <c r="E306" s="38">
        <v>2008</v>
      </c>
      <c r="F306" s="40">
        <v>6.3E-2</v>
      </c>
      <c r="G306" s="44">
        <v>36377</v>
      </c>
      <c r="H306" s="44">
        <v>37108</v>
      </c>
      <c r="I306" s="45">
        <v>2</v>
      </c>
      <c r="J306" s="45" t="s">
        <v>1716</v>
      </c>
      <c r="K306" s="39" t="s">
        <v>1716</v>
      </c>
      <c r="L306" s="39" t="s">
        <v>1014</v>
      </c>
      <c r="M306" s="38" t="str">
        <f t="shared" si="5"/>
        <v>Certificat de dépôt</v>
      </c>
    </row>
    <row r="307" spans="1:13" x14ac:dyDescent="0.2">
      <c r="A307" s="38" t="s">
        <v>557</v>
      </c>
      <c r="B307" s="38">
        <v>150157</v>
      </c>
      <c r="C307" s="38" t="s">
        <v>1749</v>
      </c>
      <c r="D307" s="279">
        <v>250000</v>
      </c>
      <c r="E307" s="38">
        <v>2008</v>
      </c>
      <c r="F307" s="40">
        <v>6.5000000000000002E-2</v>
      </c>
      <c r="G307" s="44">
        <v>36377</v>
      </c>
      <c r="H307" s="44">
        <v>38204</v>
      </c>
      <c r="I307" s="45">
        <v>5</v>
      </c>
      <c r="J307" s="45" t="s">
        <v>1716</v>
      </c>
      <c r="K307" s="39" t="s">
        <v>1716</v>
      </c>
      <c r="L307" s="39" t="s">
        <v>1014</v>
      </c>
      <c r="M307" s="38" t="str">
        <f t="shared" si="5"/>
        <v>Certificat de dépôt</v>
      </c>
    </row>
    <row r="308" spans="1:13" x14ac:dyDescent="0.2">
      <c r="A308" s="38" t="s">
        <v>557</v>
      </c>
      <c r="B308" s="38">
        <v>150158</v>
      </c>
      <c r="C308" s="38" t="s">
        <v>804</v>
      </c>
      <c r="D308" s="279">
        <v>250000</v>
      </c>
      <c r="E308" s="38">
        <v>2008</v>
      </c>
      <c r="F308" s="40">
        <v>6.3E-2</v>
      </c>
      <c r="G308" s="44">
        <v>36388</v>
      </c>
      <c r="H308" s="44">
        <v>37119</v>
      </c>
      <c r="I308" s="45">
        <v>2</v>
      </c>
      <c r="J308" s="45" t="s">
        <v>1716</v>
      </c>
      <c r="K308" s="39" t="s">
        <v>1716</v>
      </c>
      <c r="L308" s="39" t="s">
        <v>1014</v>
      </c>
      <c r="M308" s="38" t="str">
        <f t="shared" si="5"/>
        <v>Certificat de dépôt</v>
      </c>
    </row>
    <row r="309" spans="1:13" x14ac:dyDescent="0.2">
      <c r="A309" s="38" t="s">
        <v>557</v>
      </c>
      <c r="B309" s="38">
        <v>150159</v>
      </c>
      <c r="C309" s="38" t="s">
        <v>805</v>
      </c>
      <c r="D309" s="279">
        <v>250000</v>
      </c>
      <c r="E309" s="38">
        <v>2009</v>
      </c>
      <c r="F309" s="40">
        <v>7.0000000000000007E-2</v>
      </c>
      <c r="G309" s="44">
        <v>36390</v>
      </c>
      <c r="H309" s="44">
        <v>38217</v>
      </c>
      <c r="I309" s="45">
        <v>5</v>
      </c>
      <c r="J309" s="45" t="s">
        <v>1716</v>
      </c>
      <c r="K309" s="39" t="s">
        <v>1716</v>
      </c>
      <c r="L309" s="39" t="s">
        <v>1014</v>
      </c>
      <c r="M309" s="38" t="str">
        <f t="shared" si="5"/>
        <v>Certificat de dépôt</v>
      </c>
    </row>
    <row r="310" spans="1:13" x14ac:dyDescent="0.2">
      <c r="A310" s="38" t="s">
        <v>557</v>
      </c>
      <c r="B310" s="38">
        <v>150160</v>
      </c>
      <c r="C310" s="38" t="s">
        <v>1930</v>
      </c>
      <c r="D310" s="279">
        <v>250000</v>
      </c>
      <c r="E310" s="38">
        <v>2009</v>
      </c>
      <c r="F310" s="40">
        <v>7.0000000000000007E-2</v>
      </c>
      <c r="G310" s="44">
        <v>36395</v>
      </c>
      <c r="H310" s="44">
        <v>38222</v>
      </c>
      <c r="I310" s="45">
        <v>5</v>
      </c>
      <c r="J310" s="45" t="s">
        <v>1716</v>
      </c>
      <c r="K310" s="39" t="s">
        <v>1716</v>
      </c>
      <c r="L310" s="39" t="s">
        <v>1014</v>
      </c>
      <c r="M310" s="38" t="str">
        <f t="shared" si="5"/>
        <v>Certificat de dépôt</v>
      </c>
    </row>
    <row r="311" spans="1:13" x14ac:dyDescent="0.2">
      <c r="A311" s="38" t="s">
        <v>557</v>
      </c>
      <c r="B311" s="38">
        <v>150162</v>
      </c>
      <c r="C311" s="38" t="s">
        <v>1931</v>
      </c>
      <c r="D311" s="279">
        <v>250000</v>
      </c>
      <c r="E311" s="38">
        <v>2009</v>
      </c>
      <c r="F311" s="40">
        <v>7.0000000000000007E-2</v>
      </c>
      <c r="G311" s="44">
        <v>36410</v>
      </c>
      <c r="H311" s="44">
        <v>38237</v>
      </c>
      <c r="I311" s="45">
        <v>5</v>
      </c>
      <c r="J311" s="45" t="s">
        <v>1716</v>
      </c>
      <c r="K311" s="39" t="s">
        <v>1716</v>
      </c>
      <c r="L311" s="39" t="s">
        <v>1014</v>
      </c>
      <c r="M311" s="38" t="str">
        <f t="shared" si="5"/>
        <v>Certificat de dépôt</v>
      </c>
    </row>
    <row r="312" spans="1:13" x14ac:dyDescent="0.2">
      <c r="A312" s="38" t="s">
        <v>557</v>
      </c>
      <c r="B312" s="38">
        <v>150163</v>
      </c>
      <c r="C312" s="38" t="s">
        <v>1932</v>
      </c>
      <c r="D312" s="279">
        <v>250000</v>
      </c>
      <c r="E312" s="38">
        <v>2008</v>
      </c>
      <c r="F312" s="40">
        <v>6.6000000000000003E-2</v>
      </c>
      <c r="G312" s="44">
        <v>36413</v>
      </c>
      <c r="H312" s="44">
        <v>38970</v>
      </c>
      <c r="I312" s="45">
        <v>7</v>
      </c>
      <c r="J312" s="45" t="s">
        <v>1716</v>
      </c>
      <c r="K312" s="39" t="s">
        <v>1716</v>
      </c>
      <c r="L312" s="39" t="s">
        <v>1014</v>
      </c>
      <c r="M312" s="38" t="str">
        <f t="shared" si="5"/>
        <v>Certificat de dépôt</v>
      </c>
    </row>
    <row r="313" spans="1:13" x14ac:dyDescent="0.2">
      <c r="A313" s="38" t="s">
        <v>557</v>
      </c>
      <c r="B313" s="38">
        <v>150164</v>
      </c>
      <c r="C313" s="38" t="s">
        <v>1933</v>
      </c>
      <c r="D313" s="279">
        <v>250000</v>
      </c>
      <c r="E313" s="38">
        <v>2009</v>
      </c>
      <c r="F313" s="40">
        <v>6.7500000000000004E-2</v>
      </c>
      <c r="G313" s="44">
        <v>36426</v>
      </c>
      <c r="H313" s="44">
        <v>38253</v>
      </c>
      <c r="I313" s="45">
        <v>5</v>
      </c>
      <c r="J313" s="45" t="s">
        <v>1716</v>
      </c>
      <c r="K313" s="39" t="s">
        <v>1716</v>
      </c>
      <c r="L313" s="39" t="s">
        <v>1014</v>
      </c>
      <c r="M313" s="38" t="str">
        <f t="shared" si="5"/>
        <v>Certificat de dépôt</v>
      </c>
    </row>
    <row r="314" spans="1:13" x14ac:dyDescent="0.2">
      <c r="A314" s="38" t="s">
        <v>557</v>
      </c>
      <c r="B314" s="38">
        <v>150166</v>
      </c>
      <c r="C314" s="38" t="s">
        <v>1934</v>
      </c>
      <c r="D314" s="279">
        <v>250000</v>
      </c>
      <c r="E314" s="38">
        <v>2009</v>
      </c>
      <c r="F314" s="40">
        <v>7.0000000000000007E-2</v>
      </c>
      <c r="G314" s="44">
        <v>36432</v>
      </c>
      <c r="H314" s="44">
        <v>38989</v>
      </c>
      <c r="I314" s="45">
        <v>7</v>
      </c>
      <c r="J314" s="45" t="s">
        <v>1716</v>
      </c>
      <c r="K314" s="39" t="s">
        <v>1716</v>
      </c>
      <c r="L314" s="39" t="s">
        <v>1014</v>
      </c>
      <c r="M314" s="38" t="str">
        <f t="shared" si="5"/>
        <v>Certificat de dépôt</v>
      </c>
    </row>
    <row r="315" spans="1:13" x14ac:dyDescent="0.2">
      <c r="A315" s="38" t="s">
        <v>557</v>
      </c>
      <c r="B315" s="38">
        <v>150169</v>
      </c>
      <c r="C315" s="38" t="s">
        <v>1935</v>
      </c>
      <c r="D315" s="279">
        <v>250000</v>
      </c>
      <c r="E315" s="38">
        <v>2009</v>
      </c>
      <c r="F315" s="40">
        <v>0.06</v>
      </c>
      <c r="G315" s="44">
        <v>36444</v>
      </c>
      <c r="H315" s="44">
        <v>37175</v>
      </c>
      <c r="I315" s="45">
        <v>2</v>
      </c>
      <c r="J315" s="45" t="s">
        <v>1716</v>
      </c>
      <c r="K315" s="39" t="s">
        <v>1716</v>
      </c>
      <c r="L315" s="39" t="s">
        <v>1014</v>
      </c>
      <c r="M315" s="38" t="str">
        <f t="shared" si="5"/>
        <v>Certificat de dépôt</v>
      </c>
    </row>
    <row r="316" spans="1:13" x14ac:dyDescent="0.2">
      <c r="A316" s="38" t="s">
        <v>557</v>
      </c>
      <c r="B316" s="38">
        <v>150170</v>
      </c>
      <c r="C316" s="38" t="s">
        <v>1936</v>
      </c>
      <c r="D316" s="279">
        <v>250000</v>
      </c>
      <c r="E316" s="38">
        <v>126</v>
      </c>
      <c r="F316" s="40">
        <v>0.06</v>
      </c>
      <c r="G316" s="44">
        <v>36466</v>
      </c>
      <c r="H316" s="44">
        <v>39023</v>
      </c>
      <c r="I316" s="45">
        <v>7</v>
      </c>
      <c r="J316" s="45" t="s">
        <v>1716</v>
      </c>
      <c r="K316" s="39" t="s">
        <v>1716</v>
      </c>
      <c r="L316" s="39" t="s">
        <v>1014</v>
      </c>
      <c r="M316" s="38" t="str">
        <f t="shared" si="5"/>
        <v>Certificat de dépôt</v>
      </c>
    </row>
    <row r="317" spans="1:13" x14ac:dyDescent="0.2">
      <c r="A317" s="38" t="s">
        <v>557</v>
      </c>
      <c r="B317" s="38">
        <v>150171</v>
      </c>
      <c r="C317" s="38" t="s">
        <v>1937</v>
      </c>
      <c r="D317" s="279">
        <v>250000</v>
      </c>
      <c r="E317" s="38">
        <v>126</v>
      </c>
      <c r="F317" s="40">
        <v>0.06</v>
      </c>
      <c r="G317" s="44">
        <v>36473</v>
      </c>
      <c r="H317" s="44">
        <v>39030</v>
      </c>
      <c r="I317" s="45">
        <v>7</v>
      </c>
      <c r="J317" s="45" t="s">
        <v>1716</v>
      </c>
      <c r="K317" s="39" t="s">
        <v>1716</v>
      </c>
      <c r="L317" s="39" t="s">
        <v>1014</v>
      </c>
      <c r="M317" s="38" t="str">
        <f t="shared" si="5"/>
        <v>Certificat de dépôt</v>
      </c>
    </row>
    <row r="318" spans="1:13" x14ac:dyDescent="0.2">
      <c r="A318" s="38" t="s">
        <v>557</v>
      </c>
      <c r="B318" s="38">
        <v>150172</v>
      </c>
      <c r="C318" s="38" t="s">
        <v>1938</v>
      </c>
      <c r="D318" s="279">
        <v>250000</v>
      </c>
      <c r="E318" s="38">
        <v>126</v>
      </c>
      <c r="F318" s="40">
        <v>0.06</v>
      </c>
      <c r="G318" s="44">
        <v>36493</v>
      </c>
      <c r="H318" s="44">
        <v>38320</v>
      </c>
      <c r="I318" s="45">
        <v>5</v>
      </c>
      <c r="J318" s="45" t="s">
        <v>1716</v>
      </c>
      <c r="K318" s="39" t="s">
        <v>1716</v>
      </c>
      <c r="L318" s="39" t="s">
        <v>1014</v>
      </c>
      <c r="M318" s="38" t="str">
        <f t="shared" si="5"/>
        <v>Certificat de dépôt</v>
      </c>
    </row>
    <row r="319" spans="1:13" x14ac:dyDescent="0.2">
      <c r="A319" s="38" t="s">
        <v>557</v>
      </c>
      <c r="B319" s="38">
        <v>150173</v>
      </c>
      <c r="C319" s="38" t="s">
        <v>1872</v>
      </c>
      <c r="D319" s="279">
        <v>250000</v>
      </c>
      <c r="E319" s="38">
        <v>126</v>
      </c>
      <c r="F319" s="40">
        <v>6.1500000000000006E-2</v>
      </c>
      <c r="G319" s="44">
        <v>36493</v>
      </c>
      <c r="H319" s="44">
        <v>39050</v>
      </c>
      <c r="I319" s="45">
        <v>7</v>
      </c>
      <c r="J319" s="45" t="s">
        <v>1716</v>
      </c>
      <c r="K319" s="39" t="s">
        <v>1716</v>
      </c>
      <c r="L319" s="39" t="s">
        <v>1014</v>
      </c>
      <c r="M319" s="38" t="str">
        <f t="shared" si="5"/>
        <v>Certificat de dépôt</v>
      </c>
    </row>
    <row r="320" spans="1:13" x14ac:dyDescent="0.2">
      <c r="A320" s="38" t="s">
        <v>557</v>
      </c>
      <c r="B320" s="38">
        <v>150174</v>
      </c>
      <c r="C320" s="38" t="s">
        <v>1873</v>
      </c>
      <c r="D320" s="279">
        <v>250000</v>
      </c>
      <c r="E320" s="38">
        <v>2009</v>
      </c>
      <c r="F320" s="40">
        <v>6.1200000000000004E-2</v>
      </c>
      <c r="G320" s="44">
        <v>36557</v>
      </c>
      <c r="H320" s="44">
        <v>37104</v>
      </c>
      <c r="I320" s="45">
        <v>1.5</v>
      </c>
      <c r="J320" s="45" t="s">
        <v>1716</v>
      </c>
      <c r="K320" s="39" t="s">
        <v>1716</v>
      </c>
      <c r="L320" s="39" t="s">
        <v>1014</v>
      </c>
      <c r="M320" s="38" t="str">
        <f t="shared" si="5"/>
        <v>Certificat de dépôt</v>
      </c>
    </row>
    <row r="321" spans="1:13" x14ac:dyDescent="0.2">
      <c r="A321" s="38" t="s">
        <v>557</v>
      </c>
      <c r="B321" s="38">
        <v>150177</v>
      </c>
      <c r="C321" s="38" t="s">
        <v>1874</v>
      </c>
      <c r="D321" s="279">
        <v>250000</v>
      </c>
      <c r="E321" s="38">
        <v>2009</v>
      </c>
      <c r="F321" s="40">
        <v>7.0000000000000007E-2</v>
      </c>
      <c r="G321" s="44">
        <v>36745</v>
      </c>
      <c r="H321" s="44">
        <v>37110</v>
      </c>
      <c r="I321" s="45">
        <v>1</v>
      </c>
      <c r="J321" s="45" t="s">
        <v>1716</v>
      </c>
      <c r="K321" s="39" t="s">
        <v>1716</v>
      </c>
      <c r="L321" s="39" t="s">
        <v>1014</v>
      </c>
      <c r="M321" s="38" t="str">
        <f t="shared" si="5"/>
        <v>Certificat de dépôt</v>
      </c>
    </row>
    <row r="322" spans="1:13" x14ac:dyDescent="0.2">
      <c r="A322" s="38" t="s">
        <v>557</v>
      </c>
      <c r="B322" s="38">
        <v>150178</v>
      </c>
      <c r="C322" s="38" t="s">
        <v>1876</v>
      </c>
      <c r="D322" s="279">
        <v>250000</v>
      </c>
      <c r="E322" s="38">
        <v>2009</v>
      </c>
      <c r="F322" s="40">
        <v>7.0000000000000007E-2</v>
      </c>
      <c r="G322" s="44">
        <v>36749</v>
      </c>
      <c r="H322" s="44">
        <v>37114</v>
      </c>
      <c r="I322" s="45">
        <v>1</v>
      </c>
      <c r="J322" s="45" t="s">
        <v>1716</v>
      </c>
      <c r="K322" s="39" t="s">
        <v>1716</v>
      </c>
      <c r="L322" s="39" t="s">
        <v>1014</v>
      </c>
      <c r="M322" s="38" t="str">
        <f t="shared" si="5"/>
        <v>Certificat de dépôt</v>
      </c>
    </row>
    <row r="323" spans="1:13" x14ac:dyDescent="0.2">
      <c r="A323" s="38" t="s">
        <v>557</v>
      </c>
      <c r="B323" s="38">
        <v>150179</v>
      </c>
      <c r="C323" s="38" t="s">
        <v>1878</v>
      </c>
      <c r="D323" s="279">
        <v>250000</v>
      </c>
      <c r="E323" s="38">
        <v>2009</v>
      </c>
      <c r="F323" s="40">
        <v>7.0000000000000007E-2</v>
      </c>
      <c r="G323" s="44">
        <v>36753</v>
      </c>
      <c r="H323" s="44">
        <v>37118</v>
      </c>
      <c r="I323" s="45">
        <v>1</v>
      </c>
      <c r="J323" s="45" t="s">
        <v>1716</v>
      </c>
      <c r="K323" s="39" t="s">
        <v>1716</v>
      </c>
      <c r="L323" s="39" t="s">
        <v>1014</v>
      </c>
      <c r="M323" s="38" t="str">
        <f t="shared" ref="M323:M386" si="6">+A323</f>
        <v>Certificat de dépôt</v>
      </c>
    </row>
    <row r="324" spans="1:13" x14ac:dyDescent="0.2">
      <c r="A324" s="38" t="s">
        <v>557</v>
      </c>
      <c r="B324" s="38">
        <v>150180</v>
      </c>
      <c r="C324" s="38" t="s">
        <v>1379</v>
      </c>
      <c r="D324" s="279">
        <v>250000</v>
      </c>
      <c r="E324" s="38">
        <v>2009</v>
      </c>
      <c r="F324" s="40">
        <v>7.0000000000000007E-2</v>
      </c>
      <c r="G324" s="44">
        <v>36767</v>
      </c>
      <c r="H324" s="44">
        <v>37132</v>
      </c>
      <c r="I324" s="45">
        <v>1</v>
      </c>
      <c r="J324" s="45" t="s">
        <v>1716</v>
      </c>
      <c r="K324" s="39" t="s">
        <v>1716</v>
      </c>
      <c r="L324" s="39" t="s">
        <v>1014</v>
      </c>
      <c r="M324" s="38" t="str">
        <f t="shared" si="6"/>
        <v>Certificat de dépôt</v>
      </c>
    </row>
    <row r="325" spans="1:13" x14ac:dyDescent="0.2">
      <c r="A325" s="38" t="s">
        <v>557</v>
      </c>
      <c r="B325" s="38">
        <v>150181</v>
      </c>
      <c r="C325" s="38" t="s">
        <v>1783</v>
      </c>
      <c r="D325" s="279">
        <v>250000</v>
      </c>
      <c r="E325" s="38">
        <v>126</v>
      </c>
      <c r="F325" s="40">
        <v>7.0999999999999994E-2</v>
      </c>
      <c r="G325" s="44">
        <v>36776</v>
      </c>
      <c r="H325" s="44">
        <v>38602</v>
      </c>
      <c r="I325" s="45">
        <v>5</v>
      </c>
      <c r="J325" s="45" t="s">
        <v>1716</v>
      </c>
      <c r="K325" s="39" t="s">
        <v>1716</v>
      </c>
      <c r="L325" s="39" t="s">
        <v>1014</v>
      </c>
      <c r="M325" s="38" t="str">
        <f t="shared" si="6"/>
        <v>Certificat de dépôt</v>
      </c>
    </row>
    <row r="326" spans="1:13" x14ac:dyDescent="0.2">
      <c r="A326" s="38" t="s">
        <v>557</v>
      </c>
      <c r="B326" s="38">
        <v>150183</v>
      </c>
      <c r="C326" s="38" t="s">
        <v>1787</v>
      </c>
      <c r="D326" s="279">
        <v>250000</v>
      </c>
      <c r="E326" s="38">
        <v>126</v>
      </c>
      <c r="F326" s="40">
        <v>6.8000000000000005E-2</v>
      </c>
      <c r="G326" s="44">
        <v>36802</v>
      </c>
      <c r="H326" s="44">
        <v>37167</v>
      </c>
      <c r="I326" s="45">
        <v>1</v>
      </c>
      <c r="J326" s="45" t="s">
        <v>1716</v>
      </c>
      <c r="K326" s="39" t="s">
        <v>1716</v>
      </c>
      <c r="L326" s="39" t="s">
        <v>1014</v>
      </c>
      <c r="M326" s="38" t="str">
        <f t="shared" si="6"/>
        <v>Certificat de dépôt</v>
      </c>
    </row>
    <row r="327" spans="1:13" x14ac:dyDescent="0.2">
      <c r="A327" s="38" t="s">
        <v>557</v>
      </c>
      <c r="B327" s="38">
        <v>150186</v>
      </c>
      <c r="C327" s="38" t="s">
        <v>472</v>
      </c>
      <c r="D327" s="279">
        <v>250000</v>
      </c>
      <c r="E327" s="38">
        <v>2009</v>
      </c>
      <c r="F327" s="40">
        <v>7.4999999999999997E-2</v>
      </c>
      <c r="G327" s="44">
        <v>36880</v>
      </c>
      <c r="H327" s="44">
        <v>37976</v>
      </c>
      <c r="I327" s="45">
        <v>3</v>
      </c>
      <c r="J327" s="45" t="s">
        <v>1716</v>
      </c>
      <c r="K327" s="39" t="s">
        <v>1716</v>
      </c>
      <c r="L327" s="39" t="s">
        <v>1014</v>
      </c>
      <c r="M327" s="38" t="str">
        <f t="shared" si="6"/>
        <v>Certificat de dépôt</v>
      </c>
    </row>
    <row r="328" spans="1:13" x14ac:dyDescent="0.2">
      <c r="A328" s="38" t="s">
        <v>557</v>
      </c>
      <c r="B328" s="38">
        <v>150187</v>
      </c>
      <c r="C328" s="38" t="s">
        <v>473</v>
      </c>
      <c r="D328" s="279">
        <v>250000</v>
      </c>
      <c r="E328" s="38">
        <v>2009</v>
      </c>
      <c r="F328" s="40">
        <v>6.8000000000000005E-2</v>
      </c>
      <c r="G328" s="44">
        <v>36881</v>
      </c>
      <c r="H328" s="44">
        <v>37246</v>
      </c>
      <c r="I328" s="45">
        <v>1</v>
      </c>
      <c r="J328" s="45" t="s">
        <v>1716</v>
      </c>
      <c r="K328" s="39" t="s">
        <v>1716</v>
      </c>
      <c r="L328" s="39" t="s">
        <v>1014</v>
      </c>
      <c r="M328" s="38" t="str">
        <f t="shared" si="6"/>
        <v>Certificat de dépôt</v>
      </c>
    </row>
    <row r="329" spans="1:13" x14ac:dyDescent="0.2">
      <c r="A329" s="38" t="s">
        <v>557</v>
      </c>
      <c r="B329" s="38">
        <v>150188</v>
      </c>
      <c r="C329" s="38" t="s">
        <v>474</v>
      </c>
      <c r="D329" s="279">
        <v>250000</v>
      </c>
      <c r="E329" s="38">
        <v>2009</v>
      </c>
      <c r="F329" s="40">
        <v>6.8000000000000005E-2</v>
      </c>
      <c r="G329" s="44">
        <v>36882</v>
      </c>
      <c r="H329" s="44">
        <v>37247</v>
      </c>
      <c r="I329" s="45">
        <v>1</v>
      </c>
      <c r="J329" s="45" t="s">
        <v>1716</v>
      </c>
      <c r="K329" s="39" t="s">
        <v>1716</v>
      </c>
      <c r="L329" s="39" t="s">
        <v>1014</v>
      </c>
      <c r="M329" s="38" t="str">
        <f t="shared" si="6"/>
        <v>Certificat de dépôt</v>
      </c>
    </row>
    <row r="330" spans="1:13" x14ac:dyDescent="0.2">
      <c r="A330" s="38" t="s">
        <v>557</v>
      </c>
      <c r="B330" s="38">
        <v>150189</v>
      </c>
      <c r="C330" s="38" t="s">
        <v>475</v>
      </c>
      <c r="D330" s="279">
        <v>250000</v>
      </c>
      <c r="E330" s="38">
        <v>2009</v>
      </c>
      <c r="F330" s="40">
        <v>6.8000000000000005E-2</v>
      </c>
      <c r="G330" s="44">
        <v>36889</v>
      </c>
      <c r="H330" s="44">
        <v>37254</v>
      </c>
      <c r="I330" s="45">
        <v>1</v>
      </c>
      <c r="J330" s="45" t="s">
        <v>1716</v>
      </c>
      <c r="K330" s="39" t="s">
        <v>1716</v>
      </c>
      <c r="L330" s="39" t="s">
        <v>1014</v>
      </c>
      <c r="M330" s="38" t="str">
        <f t="shared" si="6"/>
        <v>Certificat de dépôt</v>
      </c>
    </row>
    <row r="331" spans="1:13" x14ac:dyDescent="0.2">
      <c r="A331" s="38" t="s">
        <v>557</v>
      </c>
      <c r="B331" s="38">
        <v>150190</v>
      </c>
      <c r="C331" s="38" t="s">
        <v>476</v>
      </c>
      <c r="D331" s="279">
        <v>250000</v>
      </c>
      <c r="E331" s="38">
        <v>2009</v>
      </c>
      <c r="F331" s="40">
        <v>7.0000000000000007E-2</v>
      </c>
      <c r="G331" s="44">
        <v>36885</v>
      </c>
      <c r="H331" s="44">
        <v>37250</v>
      </c>
      <c r="I331" s="45">
        <v>1</v>
      </c>
      <c r="J331" s="45" t="s">
        <v>1716</v>
      </c>
      <c r="K331" s="39" t="s">
        <v>1716</v>
      </c>
      <c r="L331" s="39" t="s">
        <v>1014</v>
      </c>
      <c r="M331" s="38" t="str">
        <f t="shared" si="6"/>
        <v>Certificat de dépôt</v>
      </c>
    </row>
    <row r="332" spans="1:13" x14ac:dyDescent="0.2">
      <c r="A332" s="38" t="s">
        <v>557</v>
      </c>
      <c r="B332" s="38">
        <v>150191</v>
      </c>
      <c r="C332" s="38" t="s">
        <v>477</v>
      </c>
      <c r="D332" s="279">
        <v>250000</v>
      </c>
      <c r="E332" s="38">
        <v>2009</v>
      </c>
      <c r="F332" s="40">
        <v>7.0000000000000007E-2</v>
      </c>
      <c r="G332" s="44">
        <v>36927</v>
      </c>
      <c r="H332" s="44">
        <v>37292</v>
      </c>
      <c r="I332" s="45">
        <v>1</v>
      </c>
      <c r="J332" s="45" t="s">
        <v>1716</v>
      </c>
      <c r="K332" s="39" t="s">
        <v>1716</v>
      </c>
      <c r="L332" s="39" t="s">
        <v>1014</v>
      </c>
      <c r="M332" s="38" t="str">
        <f t="shared" si="6"/>
        <v>Certificat de dépôt</v>
      </c>
    </row>
    <row r="333" spans="1:13" x14ac:dyDescent="0.2">
      <c r="A333" s="38" t="s">
        <v>557</v>
      </c>
      <c r="B333" s="38">
        <v>150192</v>
      </c>
      <c r="C333" s="38" t="s">
        <v>600</v>
      </c>
      <c r="D333" s="279">
        <v>250000</v>
      </c>
      <c r="E333" s="38">
        <v>2009</v>
      </c>
      <c r="F333" s="40">
        <v>7.0000000000000007E-2</v>
      </c>
      <c r="G333" s="44">
        <v>36437</v>
      </c>
      <c r="H333" s="44">
        <v>38264</v>
      </c>
      <c r="I333" s="45">
        <v>5</v>
      </c>
      <c r="J333" s="45" t="s">
        <v>1716</v>
      </c>
      <c r="K333" s="39" t="s">
        <v>1716</v>
      </c>
      <c r="L333" s="39" t="s">
        <v>1014</v>
      </c>
      <c r="M333" s="38" t="str">
        <f t="shared" si="6"/>
        <v>Certificat de dépôt</v>
      </c>
    </row>
    <row r="334" spans="1:13" x14ac:dyDescent="0.2">
      <c r="A334" s="38" t="s">
        <v>557</v>
      </c>
      <c r="B334" s="38">
        <v>150194</v>
      </c>
      <c r="C334" s="38" t="s">
        <v>601</v>
      </c>
      <c r="D334" s="279">
        <v>250000</v>
      </c>
      <c r="E334" s="38">
        <v>2009</v>
      </c>
      <c r="F334" s="40">
        <v>6.5000000000000002E-2</v>
      </c>
      <c r="G334" s="44">
        <v>36446</v>
      </c>
      <c r="H334" s="44">
        <v>38273</v>
      </c>
      <c r="I334" s="45">
        <v>5</v>
      </c>
      <c r="J334" s="45" t="s">
        <v>1716</v>
      </c>
      <c r="K334" s="39" t="s">
        <v>1716</v>
      </c>
      <c r="L334" s="39" t="s">
        <v>1014</v>
      </c>
      <c r="M334" s="38" t="str">
        <f t="shared" si="6"/>
        <v>Certificat de dépôt</v>
      </c>
    </row>
    <row r="335" spans="1:13" x14ac:dyDescent="0.2">
      <c r="A335" s="38" t="s">
        <v>557</v>
      </c>
      <c r="B335" s="38">
        <v>150196</v>
      </c>
      <c r="C335" s="38" t="s">
        <v>602</v>
      </c>
      <c r="D335" s="279">
        <v>250000</v>
      </c>
      <c r="E335" s="38">
        <v>2009</v>
      </c>
      <c r="F335" s="40">
        <v>6.5000000000000002E-2</v>
      </c>
      <c r="G335" s="44">
        <v>36714</v>
      </c>
      <c r="H335" s="44">
        <v>38540</v>
      </c>
      <c r="I335" s="45">
        <v>5</v>
      </c>
      <c r="J335" s="45" t="s">
        <v>1716</v>
      </c>
      <c r="K335" s="39" t="s">
        <v>1716</v>
      </c>
      <c r="L335" s="39" t="s">
        <v>1014</v>
      </c>
      <c r="M335" s="38" t="str">
        <f t="shared" si="6"/>
        <v>Certificat de dépôt</v>
      </c>
    </row>
    <row r="336" spans="1:13" x14ac:dyDescent="0.2">
      <c r="A336" s="38" t="s">
        <v>557</v>
      </c>
      <c r="B336" s="38">
        <v>150197</v>
      </c>
      <c r="C336" s="38" t="s">
        <v>603</v>
      </c>
      <c r="D336" s="279">
        <v>250000</v>
      </c>
      <c r="E336" s="38">
        <v>2009</v>
      </c>
      <c r="F336" s="40">
        <v>7.0000000000000007E-2</v>
      </c>
      <c r="G336" s="44">
        <v>36808</v>
      </c>
      <c r="H336" s="44">
        <v>38634</v>
      </c>
      <c r="I336" s="45">
        <v>5</v>
      </c>
      <c r="J336" s="45" t="s">
        <v>1716</v>
      </c>
      <c r="K336" s="39" t="s">
        <v>1716</v>
      </c>
      <c r="L336" s="39" t="s">
        <v>1014</v>
      </c>
      <c r="M336" s="38" t="str">
        <f t="shared" si="6"/>
        <v>Certificat de dépôt</v>
      </c>
    </row>
    <row r="337" spans="1:13" x14ac:dyDescent="0.2">
      <c r="A337" s="38" t="s">
        <v>557</v>
      </c>
      <c r="B337" s="38">
        <v>150198</v>
      </c>
      <c r="C337" s="38" t="s">
        <v>1660</v>
      </c>
      <c r="D337" s="279">
        <v>250000</v>
      </c>
      <c r="E337" s="38">
        <v>2009</v>
      </c>
      <c r="F337" s="40">
        <v>0.06</v>
      </c>
      <c r="G337" s="44">
        <v>36958</v>
      </c>
      <c r="H337" s="44">
        <v>37322</v>
      </c>
      <c r="I337" s="45">
        <v>52</v>
      </c>
      <c r="J337" s="45" t="s">
        <v>369</v>
      </c>
      <c r="K337" s="39" t="s">
        <v>1716</v>
      </c>
      <c r="L337" s="39" t="s">
        <v>1014</v>
      </c>
      <c r="M337" s="38" t="str">
        <f t="shared" si="6"/>
        <v>Certificat de dépôt</v>
      </c>
    </row>
    <row r="338" spans="1:13" x14ac:dyDescent="0.2">
      <c r="A338" s="38" t="s">
        <v>557</v>
      </c>
      <c r="B338" s="38">
        <v>150199</v>
      </c>
      <c r="C338" s="38" t="s">
        <v>1731</v>
      </c>
      <c r="D338" s="279">
        <v>250000</v>
      </c>
      <c r="E338" s="38">
        <v>2009</v>
      </c>
      <c r="F338" s="40">
        <v>0.06</v>
      </c>
      <c r="G338" s="44">
        <v>36972</v>
      </c>
      <c r="H338" s="44">
        <v>37336</v>
      </c>
      <c r="I338" s="45">
        <v>52</v>
      </c>
      <c r="J338" s="45" t="s">
        <v>369</v>
      </c>
      <c r="K338" s="39" t="s">
        <v>1716</v>
      </c>
      <c r="L338" s="39" t="s">
        <v>1014</v>
      </c>
      <c r="M338" s="38" t="str">
        <f t="shared" si="6"/>
        <v>Certificat de dépôt</v>
      </c>
    </row>
    <row r="339" spans="1:13" x14ac:dyDescent="0.2">
      <c r="A339" s="38" t="s">
        <v>557</v>
      </c>
      <c r="B339" s="38">
        <v>150200</v>
      </c>
      <c r="C339" s="38" t="s">
        <v>1733</v>
      </c>
      <c r="D339" s="279">
        <v>250000</v>
      </c>
      <c r="E339" s="38">
        <v>2009</v>
      </c>
      <c r="F339" s="40">
        <v>6.3E-2</v>
      </c>
      <c r="G339" s="44">
        <v>36973</v>
      </c>
      <c r="H339" s="44">
        <v>37337</v>
      </c>
      <c r="I339" s="45">
        <v>52</v>
      </c>
      <c r="J339" s="45" t="s">
        <v>369</v>
      </c>
      <c r="K339" s="39" t="s">
        <v>1716</v>
      </c>
      <c r="L339" s="39" t="s">
        <v>1014</v>
      </c>
      <c r="M339" s="38" t="str">
        <f t="shared" si="6"/>
        <v>Certificat de dépôt</v>
      </c>
    </row>
    <row r="340" spans="1:13" x14ac:dyDescent="0.2">
      <c r="A340" s="38" t="s">
        <v>557</v>
      </c>
      <c r="B340" s="38">
        <v>150201</v>
      </c>
      <c r="C340" s="38" t="s">
        <v>1127</v>
      </c>
      <c r="D340" s="279">
        <v>250000</v>
      </c>
      <c r="E340" s="38">
        <v>2009</v>
      </c>
      <c r="F340" s="40">
        <v>6.0999999999999999E-2</v>
      </c>
      <c r="G340" s="44">
        <v>36976</v>
      </c>
      <c r="H340" s="44">
        <v>37340</v>
      </c>
      <c r="I340" s="45">
        <v>52</v>
      </c>
      <c r="J340" s="45" t="s">
        <v>369</v>
      </c>
      <c r="K340" s="39" t="s">
        <v>1716</v>
      </c>
      <c r="L340" s="39" t="s">
        <v>1014</v>
      </c>
      <c r="M340" s="38" t="str">
        <f t="shared" si="6"/>
        <v>Certificat de dépôt</v>
      </c>
    </row>
    <row r="341" spans="1:13" x14ac:dyDescent="0.2">
      <c r="A341" s="38" t="s">
        <v>557</v>
      </c>
      <c r="B341" s="38">
        <v>150202</v>
      </c>
      <c r="C341" s="38" t="s">
        <v>1141</v>
      </c>
      <c r="D341" s="279">
        <v>250000</v>
      </c>
      <c r="E341" s="38">
        <v>2009</v>
      </c>
      <c r="F341" s="40">
        <v>6.1500000000000006E-2</v>
      </c>
      <c r="G341" s="44">
        <v>36986</v>
      </c>
      <c r="H341" s="44">
        <v>37351</v>
      </c>
      <c r="I341" s="45">
        <v>1</v>
      </c>
      <c r="J341" s="45" t="s">
        <v>1716</v>
      </c>
      <c r="K341" s="39" t="s">
        <v>1716</v>
      </c>
      <c r="L341" s="39" t="s">
        <v>1014</v>
      </c>
      <c r="M341" s="38" t="str">
        <f t="shared" si="6"/>
        <v>Certificat de dépôt</v>
      </c>
    </row>
    <row r="342" spans="1:13" x14ac:dyDescent="0.2">
      <c r="A342" s="38" t="s">
        <v>557</v>
      </c>
      <c r="B342" s="38">
        <v>150203</v>
      </c>
      <c r="C342" s="38" t="s">
        <v>1635</v>
      </c>
      <c r="D342" s="279">
        <v>250000</v>
      </c>
      <c r="E342" s="38">
        <v>2009</v>
      </c>
      <c r="F342" s="40">
        <v>6.3E-2</v>
      </c>
      <c r="G342" s="44">
        <v>36990</v>
      </c>
      <c r="H342" s="44">
        <v>37355</v>
      </c>
      <c r="I342" s="45">
        <v>1</v>
      </c>
      <c r="J342" s="45" t="s">
        <v>1716</v>
      </c>
      <c r="K342" s="39" t="s">
        <v>1716</v>
      </c>
      <c r="L342" s="39" t="s">
        <v>1014</v>
      </c>
      <c r="M342" s="38" t="str">
        <f t="shared" si="6"/>
        <v>Certificat de dépôt</v>
      </c>
    </row>
    <row r="343" spans="1:13" x14ac:dyDescent="0.2">
      <c r="A343" s="38" t="s">
        <v>557</v>
      </c>
      <c r="B343" s="38">
        <v>150204</v>
      </c>
      <c r="C343" s="38" t="s">
        <v>1636</v>
      </c>
      <c r="D343" s="279">
        <v>250000</v>
      </c>
      <c r="E343" s="38">
        <v>2009</v>
      </c>
      <c r="F343" s="40">
        <v>0.06</v>
      </c>
      <c r="G343" s="44">
        <v>36991</v>
      </c>
      <c r="H343" s="44">
        <v>37356</v>
      </c>
      <c r="I343" s="45">
        <v>1</v>
      </c>
      <c r="J343" s="45" t="s">
        <v>1716</v>
      </c>
      <c r="K343" s="39" t="s">
        <v>1716</v>
      </c>
      <c r="L343" s="39" t="s">
        <v>1014</v>
      </c>
      <c r="M343" s="38" t="str">
        <f t="shared" si="6"/>
        <v>Certificat de dépôt</v>
      </c>
    </row>
    <row r="344" spans="1:13" x14ac:dyDescent="0.2">
      <c r="A344" s="38" t="s">
        <v>557</v>
      </c>
      <c r="B344" s="38">
        <v>150206</v>
      </c>
      <c r="C344" s="38" t="s">
        <v>1638</v>
      </c>
      <c r="D344" s="279">
        <v>250000</v>
      </c>
      <c r="E344" s="38">
        <v>2009</v>
      </c>
      <c r="F344" s="40">
        <v>0.06</v>
      </c>
      <c r="G344" s="44">
        <v>36992</v>
      </c>
      <c r="H344" s="44">
        <v>37357</v>
      </c>
      <c r="I344" s="45">
        <v>1</v>
      </c>
      <c r="J344" s="45" t="s">
        <v>1716</v>
      </c>
      <c r="K344" s="39" t="s">
        <v>1716</v>
      </c>
      <c r="L344" s="39" t="s">
        <v>1014</v>
      </c>
      <c r="M344" s="38" t="str">
        <f t="shared" si="6"/>
        <v>Certificat de dépôt</v>
      </c>
    </row>
    <row r="345" spans="1:13" x14ac:dyDescent="0.2">
      <c r="A345" s="38" t="s">
        <v>557</v>
      </c>
      <c r="B345" s="38">
        <v>150207</v>
      </c>
      <c r="C345" s="38" t="s">
        <v>1639</v>
      </c>
      <c r="D345" s="279">
        <v>250000</v>
      </c>
      <c r="E345" s="38">
        <v>2007</v>
      </c>
      <c r="F345" s="40">
        <v>5.2499999999999998E-2</v>
      </c>
      <c r="G345" s="44">
        <v>37013</v>
      </c>
      <c r="H345" s="44">
        <v>37378</v>
      </c>
      <c r="I345" s="45">
        <v>1</v>
      </c>
      <c r="J345" s="45" t="s">
        <v>1716</v>
      </c>
      <c r="K345" s="39" t="s">
        <v>1716</v>
      </c>
      <c r="L345" s="39" t="s">
        <v>1014</v>
      </c>
      <c r="M345" s="38" t="str">
        <f t="shared" si="6"/>
        <v>Certificat de dépôt</v>
      </c>
    </row>
    <row r="346" spans="1:13" x14ac:dyDescent="0.2">
      <c r="A346" s="38" t="s">
        <v>557</v>
      </c>
      <c r="B346" s="38">
        <v>150208</v>
      </c>
      <c r="C346" s="38" t="s">
        <v>1640</v>
      </c>
      <c r="D346" s="279">
        <v>250000</v>
      </c>
      <c r="E346" s="38">
        <v>2007</v>
      </c>
      <c r="F346" s="40">
        <v>0.05</v>
      </c>
      <c r="G346" s="44">
        <v>37021</v>
      </c>
      <c r="H346" s="44">
        <v>37203</v>
      </c>
      <c r="I346" s="45">
        <v>26</v>
      </c>
      <c r="J346" s="45" t="s">
        <v>369</v>
      </c>
      <c r="K346" s="39" t="s">
        <v>1716</v>
      </c>
      <c r="L346" s="39" t="s">
        <v>1014</v>
      </c>
      <c r="M346" s="38" t="str">
        <f t="shared" si="6"/>
        <v>Certificat de dépôt</v>
      </c>
    </row>
    <row r="347" spans="1:13" x14ac:dyDescent="0.2">
      <c r="A347" s="38" t="s">
        <v>557</v>
      </c>
      <c r="B347" s="38">
        <v>150209</v>
      </c>
      <c r="C347" s="38" t="s">
        <v>1641</v>
      </c>
      <c r="D347" s="279">
        <v>250000</v>
      </c>
      <c r="E347" s="38">
        <v>2007</v>
      </c>
      <c r="F347" s="40">
        <v>5.2499999999999998E-2</v>
      </c>
      <c r="G347" s="44">
        <v>37021</v>
      </c>
      <c r="H347" s="44">
        <v>37385</v>
      </c>
      <c r="I347" s="45">
        <v>52</v>
      </c>
      <c r="J347" s="45" t="s">
        <v>369</v>
      </c>
      <c r="K347" s="39" t="s">
        <v>1716</v>
      </c>
      <c r="L347" s="39" t="s">
        <v>1014</v>
      </c>
      <c r="M347" s="38" t="str">
        <f t="shared" si="6"/>
        <v>Certificat de dépôt</v>
      </c>
    </row>
    <row r="348" spans="1:13" x14ac:dyDescent="0.2">
      <c r="A348" s="38" t="s">
        <v>557</v>
      </c>
      <c r="B348" s="38">
        <v>150210</v>
      </c>
      <c r="C348" s="38" t="s">
        <v>1755</v>
      </c>
      <c r="D348" s="279">
        <v>250000</v>
      </c>
      <c r="E348" s="38">
        <v>2009</v>
      </c>
      <c r="F348" s="40">
        <v>6.3E-2</v>
      </c>
      <c r="G348" s="44">
        <v>37022</v>
      </c>
      <c r="H348" s="44">
        <v>37387</v>
      </c>
      <c r="I348" s="45">
        <v>1</v>
      </c>
      <c r="J348" s="45" t="s">
        <v>1716</v>
      </c>
      <c r="K348" s="39" t="s">
        <v>1716</v>
      </c>
      <c r="L348" s="39" t="s">
        <v>1014</v>
      </c>
      <c r="M348" s="38" t="str">
        <f t="shared" si="6"/>
        <v>Certificat de dépôt</v>
      </c>
    </row>
    <row r="349" spans="1:13" x14ac:dyDescent="0.2">
      <c r="A349" s="38" t="s">
        <v>557</v>
      </c>
      <c r="B349" s="38">
        <v>150211</v>
      </c>
      <c r="C349" s="38" t="s">
        <v>1756</v>
      </c>
      <c r="D349" s="279">
        <v>250000</v>
      </c>
      <c r="E349" s="38">
        <v>2009</v>
      </c>
      <c r="F349" s="40">
        <v>6.3E-2</v>
      </c>
      <c r="G349" s="44">
        <v>37004</v>
      </c>
      <c r="H349" s="44">
        <v>37369</v>
      </c>
      <c r="I349" s="45">
        <v>1</v>
      </c>
      <c r="J349" s="45" t="s">
        <v>1716</v>
      </c>
      <c r="K349" s="39" t="s">
        <v>1716</v>
      </c>
      <c r="L349" s="39" t="s">
        <v>1014</v>
      </c>
      <c r="M349" s="38" t="str">
        <f t="shared" si="6"/>
        <v>Certificat de dépôt</v>
      </c>
    </row>
    <row r="350" spans="1:13" x14ac:dyDescent="0.2">
      <c r="A350" s="38" t="s">
        <v>557</v>
      </c>
      <c r="B350" s="38">
        <v>150212</v>
      </c>
      <c r="C350" s="38" t="s">
        <v>555</v>
      </c>
      <c r="D350" s="279">
        <v>250000</v>
      </c>
      <c r="E350" s="38">
        <v>2009</v>
      </c>
      <c r="F350" s="40">
        <v>6.3E-2</v>
      </c>
      <c r="G350" s="44">
        <v>37006</v>
      </c>
      <c r="H350" s="44">
        <v>37371</v>
      </c>
      <c r="I350" s="45">
        <v>1</v>
      </c>
      <c r="J350" s="45" t="s">
        <v>1716</v>
      </c>
      <c r="K350" s="39" t="s">
        <v>1716</v>
      </c>
      <c r="L350" s="39" t="s">
        <v>1014</v>
      </c>
      <c r="M350" s="38" t="str">
        <f t="shared" si="6"/>
        <v>Certificat de dépôt</v>
      </c>
    </row>
    <row r="351" spans="1:13" x14ac:dyDescent="0.2">
      <c r="A351" s="38" t="s">
        <v>557</v>
      </c>
      <c r="B351" s="38">
        <v>150213</v>
      </c>
      <c r="C351" s="38" t="s">
        <v>1740</v>
      </c>
      <c r="D351" s="279">
        <v>250000</v>
      </c>
      <c r="E351" s="38">
        <v>2009</v>
      </c>
      <c r="F351" s="40">
        <v>6.25E-2</v>
      </c>
      <c r="G351" s="44">
        <v>37014</v>
      </c>
      <c r="H351" s="44">
        <v>37744</v>
      </c>
      <c r="I351" s="45">
        <v>2</v>
      </c>
      <c r="J351" s="45" t="s">
        <v>1716</v>
      </c>
      <c r="K351" s="39" t="s">
        <v>1716</v>
      </c>
      <c r="L351" s="39" t="s">
        <v>1014</v>
      </c>
      <c r="M351" s="38" t="str">
        <f t="shared" si="6"/>
        <v>Certificat de dépôt</v>
      </c>
    </row>
    <row r="352" spans="1:13" x14ac:dyDescent="0.2">
      <c r="A352" s="38" t="s">
        <v>557</v>
      </c>
      <c r="B352" s="38">
        <v>150214</v>
      </c>
      <c r="C352" s="38" t="s">
        <v>1081</v>
      </c>
      <c r="D352" s="279">
        <v>250000</v>
      </c>
      <c r="E352" s="38">
        <v>2009</v>
      </c>
      <c r="F352" s="40">
        <v>6.5000000000000002E-2</v>
      </c>
      <c r="G352" s="44">
        <v>37015</v>
      </c>
      <c r="H352" s="44">
        <v>37380</v>
      </c>
      <c r="I352" s="45">
        <v>1</v>
      </c>
      <c r="J352" s="45" t="s">
        <v>1716</v>
      </c>
      <c r="K352" s="39" t="s">
        <v>1716</v>
      </c>
      <c r="L352" s="39" t="s">
        <v>1014</v>
      </c>
      <c r="M352" s="38" t="str">
        <f t="shared" si="6"/>
        <v>Certificat de dépôt</v>
      </c>
    </row>
    <row r="353" spans="1:13" x14ac:dyDescent="0.2">
      <c r="A353" s="38" t="s">
        <v>557</v>
      </c>
      <c r="B353" s="38">
        <v>150215</v>
      </c>
      <c r="C353" s="38" t="s">
        <v>1082</v>
      </c>
      <c r="D353" s="279">
        <v>250000</v>
      </c>
      <c r="E353" s="38">
        <v>2009</v>
      </c>
      <c r="F353" s="40">
        <v>6.5000000000000002E-2</v>
      </c>
      <c r="G353" s="44">
        <v>37018</v>
      </c>
      <c r="H353" s="44">
        <v>37383</v>
      </c>
      <c r="I353" s="45">
        <v>1</v>
      </c>
      <c r="J353" s="45" t="s">
        <v>1716</v>
      </c>
      <c r="K353" s="39" t="s">
        <v>1716</v>
      </c>
      <c r="L353" s="39" t="s">
        <v>1014</v>
      </c>
      <c r="M353" s="38" t="str">
        <f t="shared" si="6"/>
        <v>Certificat de dépôt</v>
      </c>
    </row>
    <row r="354" spans="1:13" x14ac:dyDescent="0.2">
      <c r="A354" s="38" t="s">
        <v>557</v>
      </c>
      <c r="B354" s="38">
        <v>150216</v>
      </c>
      <c r="C354" s="38" t="s">
        <v>1083</v>
      </c>
      <c r="D354" s="279">
        <v>250000</v>
      </c>
      <c r="E354" s="38">
        <v>2009</v>
      </c>
      <c r="F354" s="40">
        <v>6.5000000000000002E-2</v>
      </c>
      <c r="G354" s="44">
        <v>37020</v>
      </c>
      <c r="H354" s="44">
        <v>37385</v>
      </c>
      <c r="I354" s="45">
        <v>1</v>
      </c>
      <c r="J354" s="45" t="s">
        <v>1716</v>
      </c>
      <c r="K354" s="39" t="s">
        <v>1716</v>
      </c>
      <c r="L354" s="39" t="s">
        <v>1014</v>
      </c>
      <c r="M354" s="38" t="str">
        <f t="shared" si="6"/>
        <v>Certificat de dépôt</v>
      </c>
    </row>
    <row r="355" spans="1:13" x14ac:dyDescent="0.2">
      <c r="A355" s="38" t="s">
        <v>557</v>
      </c>
      <c r="B355" s="38">
        <v>150217</v>
      </c>
      <c r="C355" s="38" t="s">
        <v>1084</v>
      </c>
      <c r="D355" s="279">
        <v>250000</v>
      </c>
      <c r="E355" s="38">
        <v>2009</v>
      </c>
      <c r="F355" s="40">
        <v>6.5000000000000002E-2</v>
      </c>
      <c r="G355" s="44">
        <v>37021</v>
      </c>
      <c r="H355" s="44">
        <v>37386</v>
      </c>
      <c r="I355" s="45">
        <v>1</v>
      </c>
      <c r="J355" s="45" t="s">
        <v>1716</v>
      </c>
      <c r="K355" s="39" t="s">
        <v>1716</v>
      </c>
      <c r="L355" s="39" t="s">
        <v>1014</v>
      </c>
      <c r="M355" s="38" t="str">
        <f t="shared" si="6"/>
        <v>Certificat de dépôt</v>
      </c>
    </row>
    <row r="356" spans="1:13" x14ac:dyDescent="0.2">
      <c r="A356" s="38" t="s">
        <v>557</v>
      </c>
      <c r="B356" s="38">
        <v>150218</v>
      </c>
      <c r="C356" s="38" t="s">
        <v>1853</v>
      </c>
      <c r="D356" s="279">
        <v>250000</v>
      </c>
      <c r="E356" s="38">
        <v>2009</v>
      </c>
      <c r="F356" s="40">
        <v>0.06</v>
      </c>
      <c r="G356" s="44">
        <v>37033</v>
      </c>
      <c r="H356" s="44">
        <v>37398</v>
      </c>
      <c r="I356" s="45">
        <v>1</v>
      </c>
      <c r="J356" s="45" t="s">
        <v>1716</v>
      </c>
      <c r="K356" s="39" t="s">
        <v>1716</v>
      </c>
      <c r="L356" s="39" t="s">
        <v>1014</v>
      </c>
      <c r="M356" s="38" t="str">
        <f t="shared" si="6"/>
        <v>Certificat de dépôt</v>
      </c>
    </row>
    <row r="357" spans="1:13" x14ac:dyDescent="0.2">
      <c r="A357" s="38" t="s">
        <v>557</v>
      </c>
      <c r="B357" s="38">
        <v>150219</v>
      </c>
      <c r="C357" s="38" t="s">
        <v>1855</v>
      </c>
      <c r="D357" s="279">
        <v>250000</v>
      </c>
      <c r="E357" s="38">
        <v>2009</v>
      </c>
      <c r="F357" s="40">
        <v>6.0999999999999999E-2</v>
      </c>
      <c r="G357" s="44">
        <v>37027</v>
      </c>
      <c r="H357" s="44">
        <v>37392</v>
      </c>
      <c r="I357" s="45">
        <v>1</v>
      </c>
      <c r="J357" s="45" t="s">
        <v>1716</v>
      </c>
      <c r="K357" s="39" t="s">
        <v>1716</v>
      </c>
      <c r="L357" s="39" t="s">
        <v>1014</v>
      </c>
      <c r="M357" s="38" t="str">
        <f t="shared" si="6"/>
        <v>Certificat de dépôt</v>
      </c>
    </row>
    <row r="358" spans="1:13" x14ac:dyDescent="0.2">
      <c r="A358" s="38" t="s">
        <v>557</v>
      </c>
      <c r="B358" s="38">
        <v>150220</v>
      </c>
      <c r="C358" s="38" t="s">
        <v>1856</v>
      </c>
      <c r="D358" s="279">
        <v>250000</v>
      </c>
      <c r="E358" s="38">
        <v>2009</v>
      </c>
      <c r="F358" s="40">
        <v>6.5000000000000002E-2</v>
      </c>
      <c r="G358" s="44">
        <v>37027</v>
      </c>
      <c r="H358" s="44">
        <v>37392</v>
      </c>
      <c r="I358" s="45">
        <v>1</v>
      </c>
      <c r="J358" s="45" t="s">
        <v>1716</v>
      </c>
      <c r="K358" s="39" t="s">
        <v>1716</v>
      </c>
      <c r="L358" s="39" t="s">
        <v>1014</v>
      </c>
      <c r="M358" s="38" t="str">
        <f t="shared" si="6"/>
        <v>Certificat de dépôt</v>
      </c>
    </row>
    <row r="359" spans="1:13" x14ac:dyDescent="0.2">
      <c r="A359" s="38" t="s">
        <v>557</v>
      </c>
      <c r="B359" s="38">
        <v>150221</v>
      </c>
      <c r="C359" s="38" t="s">
        <v>1857</v>
      </c>
      <c r="D359" s="279">
        <v>250000</v>
      </c>
      <c r="E359" s="38">
        <v>2009</v>
      </c>
      <c r="F359" s="40">
        <v>6.5000000000000002E-2</v>
      </c>
      <c r="G359" s="44">
        <v>37028</v>
      </c>
      <c r="H359" s="44">
        <v>37393</v>
      </c>
      <c r="I359" s="45">
        <v>1</v>
      </c>
      <c r="J359" s="45" t="s">
        <v>1716</v>
      </c>
      <c r="K359" s="39" t="s">
        <v>1716</v>
      </c>
      <c r="L359" s="39" t="s">
        <v>1014</v>
      </c>
      <c r="M359" s="38" t="str">
        <f t="shared" si="6"/>
        <v>Certificat de dépôt</v>
      </c>
    </row>
    <row r="360" spans="1:13" x14ac:dyDescent="0.2">
      <c r="A360" s="38" t="s">
        <v>557</v>
      </c>
      <c r="B360" s="38">
        <v>150222</v>
      </c>
      <c r="C360" s="38" t="s">
        <v>1858</v>
      </c>
      <c r="D360" s="279">
        <v>250000</v>
      </c>
      <c r="E360" s="38">
        <v>2009</v>
      </c>
      <c r="F360" s="40">
        <v>6.3500000000000001E-2</v>
      </c>
      <c r="G360" s="44">
        <v>37039</v>
      </c>
      <c r="H360" s="44">
        <v>37404</v>
      </c>
      <c r="I360" s="45">
        <v>1</v>
      </c>
      <c r="J360" s="45" t="s">
        <v>1716</v>
      </c>
      <c r="K360" s="39" t="s">
        <v>1716</v>
      </c>
      <c r="L360" s="39" t="s">
        <v>1014</v>
      </c>
      <c r="M360" s="38" t="str">
        <f t="shared" si="6"/>
        <v>Certificat de dépôt</v>
      </c>
    </row>
    <row r="361" spans="1:13" x14ac:dyDescent="0.2">
      <c r="A361" s="38" t="s">
        <v>557</v>
      </c>
      <c r="B361" s="38">
        <v>150223</v>
      </c>
      <c r="C361" s="38" t="s">
        <v>1859</v>
      </c>
      <c r="D361" s="279">
        <v>250000</v>
      </c>
      <c r="E361" s="38">
        <v>2009</v>
      </c>
      <c r="F361" s="40">
        <v>0.06</v>
      </c>
      <c r="G361" s="44">
        <v>37049</v>
      </c>
      <c r="H361" s="44">
        <v>37414</v>
      </c>
      <c r="I361" s="45">
        <v>1</v>
      </c>
      <c r="J361" s="45" t="s">
        <v>1716</v>
      </c>
      <c r="K361" s="39" t="s">
        <v>1716</v>
      </c>
      <c r="L361" s="39" t="s">
        <v>1014</v>
      </c>
      <c r="M361" s="38" t="str">
        <f t="shared" si="6"/>
        <v>Certificat de dépôt</v>
      </c>
    </row>
    <row r="362" spans="1:13" x14ac:dyDescent="0.2">
      <c r="A362" s="38" t="s">
        <v>557</v>
      </c>
      <c r="B362" s="38">
        <v>150224</v>
      </c>
      <c r="C362" s="38" t="s">
        <v>580</v>
      </c>
      <c r="D362" s="279">
        <v>250000</v>
      </c>
      <c r="E362" s="38">
        <v>2009</v>
      </c>
      <c r="F362" s="40">
        <v>7.4999999999999997E-2</v>
      </c>
      <c r="G362" s="44">
        <v>37071</v>
      </c>
      <c r="H362" s="44">
        <v>38897</v>
      </c>
      <c r="I362" s="45">
        <v>5</v>
      </c>
      <c r="J362" s="45" t="s">
        <v>1716</v>
      </c>
      <c r="K362" s="39" t="s">
        <v>1716</v>
      </c>
      <c r="L362" s="39" t="s">
        <v>1014</v>
      </c>
      <c r="M362" s="38" t="str">
        <f t="shared" si="6"/>
        <v>Certificat de dépôt</v>
      </c>
    </row>
    <row r="363" spans="1:13" x14ac:dyDescent="0.2">
      <c r="A363" s="38" t="s">
        <v>557</v>
      </c>
      <c r="B363" s="38">
        <v>150254</v>
      </c>
      <c r="C363" s="38" t="s">
        <v>270</v>
      </c>
      <c r="D363" s="279">
        <v>100000</v>
      </c>
      <c r="E363" s="38">
        <v>2009</v>
      </c>
      <c r="F363" s="40">
        <v>5.2999999999999999E-2</v>
      </c>
      <c r="G363" s="44">
        <v>37389</v>
      </c>
      <c r="H363" s="44">
        <v>37754</v>
      </c>
      <c r="I363" s="45">
        <v>1</v>
      </c>
      <c r="J363" s="45" t="s">
        <v>1716</v>
      </c>
      <c r="K363" s="39" t="s">
        <v>1716</v>
      </c>
      <c r="L363" s="39" t="s">
        <v>1014</v>
      </c>
      <c r="M363" s="38" t="str">
        <f t="shared" si="6"/>
        <v>Certificat de dépôt</v>
      </c>
    </row>
    <row r="364" spans="1:13" x14ac:dyDescent="0.2">
      <c r="A364" s="38" t="s">
        <v>1713</v>
      </c>
      <c r="B364" s="38">
        <v>140016</v>
      </c>
      <c r="C364" s="38" t="s">
        <v>54</v>
      </c>
      <c r="D364" s="279">
        <v>100000</v>
      </c>
      <c r="F364" s="40">
        <v>3.5999999999999997E-2</v>
      </c>
      <c r="G364" s="44">
        <v>37581</v>
      </c>
      <c r="H364" s="44">
        <v>37671</v>
      </c>
      <c r="I364" s="45">
        <v>13</v>
      </c>
      <c r="J364" s="45" t="s">
        <v>369</v>
      </c>
      <c r="K364" s="39" t="s">
        <v>1716</v>
      </c>
      <c r="L364" s="39" t="s">
        <v>1014</v>
      </c>
      <c r="M364" s="38" t="str">
        <f t="shared" si="6"/>
        <v>Billet de trésorerie</v>
      </c>
    </row>
    <row r="365" spans="1:13" x14ac:dyDescent="0.2">
      <c r="A365" s="38" t="s">
        <v>1713</v>
      </c>
      <c r="B365" s="38">
        <v>140034</v>
      </c>
      <c r="C365" s="38" t="s">
        <v>1502</v>
      </c>
      <c r="D365" s="279">
        <v>100000</v>
      </c>
      <c r="F365" s="40">
        <v>3.5499999999999997E-2</v>
      </c>
      <c r="G365" s="44">
        <v>37872</v>
      </c>
      <c r="H365" s="44">
        <v>37963</v>
      </c>
      <c r="I365" s="45">
        <v>13</v>
      </c>
      <c r="J365" s="45" t="s">
        <v>369</v>
      </c>
      <c r="K365" s="39" t="s">
        <v>1716</v>
      </c>
      <c r="L365" s="39" t="s">
        <v>1014</v>
      </c>
      <c r="M365" s="38" t="str">
        <f t="shared" si="6"/>
        <v>Billet de trésorerie</v>
      </c>
    </row>
    <row r="366" spans="1:13" x14ac:dyDescent="0.2">
      <c r="A366" s="38" t="s">
        <v>1713</v>
      </c>
      <c r="B366" s="38">
        <v>140035</v>
      </c>
      <c r="C366" s="38" t="s">
        <v>1942</v>
      </c>
      <c r="D366" s="279">
        <v>100000</v>
      </c>
      <c r="F366" s="40">
        <v>3.85E-2</v>
      </c>
      <c r="G366" s="44">
        <v>37902</v>
      </c>
      <c r="H366" s="44">
        <f>+G366+92</f>
        <v>37994</v>
      </c>
      <c r="I366" s="45">
        <v>13</v>
      </c>
      <c r="J366" s="45" t="s">
        <v>369</v>
      </c>
      <c r="K366" s="39" t="s">
        <v>1716</v>
      </c>
      <c r="L366" s="39" t="s">
        <v>1014</v>
      </c>
      <c r="M366" s="38" t="str">
        <f t="shared" si="6"/>
        <v>Billet de trésorerie</v>
      </c>
    </row>
    <row r="367" spans="1:13" x14ac:dyDescent="0.2">
      <c r="A367" s="38" t="s">
        <v>1035</v>
      </c>
      <c r="B367" s="38">
        <v>200000</v>
      </c>
      <c r="C367" s="38" t="s">
        <v>524</v>
      </c>
      <c r="D367" s="279">
        <v>250000</v>
      </c>
      <c r="E367" s="38">
        <v>101</v>
      </c>
      <c r="F367" s="40">
        <v>0.1275</v>
      </c>
      <c r="G367" s="44">
        <v>34263</v>
      </c>
      <c r="H367" s="44">
        <v>37915</v>
      </c>
      <c r="I367" s="45">
        <v>10</v>
      </c>
      <c r="J367" s="45" t="s">
        <v>1716</v>
      </c>
      <c r="K367" s="39" t="s">
        <v>1716</v>
      </c>
      <c r="L367" s="39" t="s">
        <v>1014</v>
      </c>
      <c r="M367" s="38" t="str">
        <f t="shared" si="6"/>
        <v>Bon du Trésor</v>
      </c>
    </row>
    <row r="368" spans="1:13" x14ac:dyDescent="0.2">
      <c r="A368" s="38" t="s">
        <v>1035</v>
      </c>
      <c r="B368" s="38">
        <v>200001</v>
      </c>
      <c r="C368" s="38" t="s">
        <v>525</v>
      </c>
      <c r="D368" s="279">
        <v>250000</v>
      </c>
      <c r="E368" s="38">
        <v>101</v>
      </c>
      <c r="F368" s="40">
        <v>0.1275</v>
      </c>
      <c r="G368" s="44">
        <v>34271</v>
      </c>
      <c r="H368" s="44">
        <v>37923</v>
      </c>
      <c r="I368" s="45">
        <v>10</v>
      </c>
      <c r="J368" s="45" t="s">
        <v>1716</v>
      </c>
      <c r="K368" s="39" t="s">
        <v>1716</v>
      </c>
      <c r="L368" s="39" t="s">
        <v>1014</v>
      </c>
      <c r="M368" s="38" t="str">
        <f t="shared" si="6"/>
        <v>Bon du Trésor</v>
      </c>
    </row>
    <row r="369" spans="1:13" x14ac:dyDescent="0.2">
      <c r="A369" s="38" t="s">
        <v>1035</v>
      </c>
      <c r="B369" s="38">
        <v>200002</v>
      </c>
      <c r="C369" s="38" t="s">
        <v>529</v>
      </c>
      <c r="D369" s="279">
        <v>250000</v>
      </c>
      <c r="E369" s="38">
        <v>101</v>
      </c>
      <c r="F369" s="40">
        <v>0.12</v>
      </c>
      <c r="G369" s="44">
        <v>34319</v>
      </c>
      <c r="H369" s="44">
        <v>37971</v>
      </c>
      <c r="I369" s="45">
        <v>10</v>
      </c>
      <c r="J369" s="45" t="s">
        <v>1716</v>
      </c>
      <c r="K369" s="39" t="s">
        <v>1716</v>
      </c>
      <c r="L369" s="39" t="s">
        <v>1014</v>
      </c>
      <c r="M369" s="38" t="str">
        <f t="shared" si="6"/>
        <v>Bon du Trésor</v>
      </c>
    </row>
    <row r="370" spans="1:13" x14ac:dyDescent="0.2">
      <c r="A370" s="38" t="s">
        <v>1035</v>
      </c>
      <c r="B370" s="38">
        <v>200003</v>
      </c>
      <c r="C370" s="38" t="s">
        <v>114</v>
      </c>
      <c r="D370" s="279">
        <v>250000</v>
      </c>
      <c r="E370" s="38">
        <v>101</v>
      </c>
      <c r="F370" s="40">
        <v>0.1225</v>
      </c>
      <c r="G370" s="44">
        <v>34319</v>
      </c>
      <c r="H370" s="44">
        <v>39798</v>
      </c>
      <c r="I370" s="45">
        <v>15</v>
      </c>
      <c r="J370" s="45" t="s">
        <v>1716</v>
      </c>
      <c r="K370" s="39" t="s">
        <v>1716</v>
      </c>
      <c r="L370" s="39" t="s">
        <v>1014</v>
      </c>
      <c r="M370" s="38" t="str">
        <f t="shared" si="6"/>
        <v>Bon du Trésor</v>
      </c>
    </row>
    <row r="371" spans="1:13" x14ac:dyDescent="0.2">
      <c r="A371" s="38" t="s">
        <v>1035</v>
      </c>
      <c r="B371" s="38">
        <v>200004</v>
      </c>
      <c r="C371" s="38" t="s">
        <v>115</v>
      </c>
      <c r="D371" s="279">
        <v>250000</v>
      </c>
      <c r="E371" s="38">
        <v>101</v>
      </c>
      <c r="F371" s="40">
        <v>0.115</v>
      </c>
      <c r="G371" s="44">
        <v>34354</v>
      </c>
      <c r="H371" s="44">
        <v>38006</v>
      </c>
      <c r="I371" s="45">
        <v>10</v>
      </c>
      <c r="J371" s="45" t="s">
        <v>1716</v>
      </c>
      <c r="K371" s="39" t="s">
        <v>1716</v>
      </c>
      <c r="L371" s="39" t="s">
        <v>1014</v>
      </c>
      <c r="M371" s="38" t="str">
        <f t="shared" si="6"/>
        <v>Bon du Trésor</v>
      </c>
    </row>
    <row r="372" spans="1:13" x14ac:dyDescent="0.2">
      <c r="A372" s="38" t="s">
        <v>1035</v>
      </c>
      <c r="B372" s="38">
        <v>200005</v>
      </c>
      <c r="C372" s="38" t="s">
        <v>117</v>
      </c>
      <c r="D372" s="279">
        <v>250000</v>
      </c>
      <c r="E372" s="38">
        <v>101</v>
      </c>
      <c r="F372" s="40">
        <v>0.115</v>
      </c>
      <c r="G372" s="44">
        <v>34361</v>
      </c>
      <c r="H372" s="44">
        <v>38013</v>
      </c>
      <c r="I372" s="45">
        <v>10</v>
      </c>
      <c r="J372" s="45" t="s">
        <v>1716</v>
      </c>
      <c r="K372" s="39" t="s">
        <v>1716</v>
      </c>
      <c r="L372" s="39" t="s">
        <v>1014</v>
      </c>
      <c r="M372" s="38" t="str">
        <f t="shared" si="6"/>
        <v>Bon du Trésor</v>
      </c>
    </row>
    <row r="373" spans="1:13" x14ac:dyDescent="0.2">
      <c r="A373" s="38" t="s">
        <v>1035</v>
      </c>
      <c r="B373" s="38">
        <v>200006</v>
      </c>
      <c r="C373" s="38" t="s">
        <v>1192</v>
      </c>
      <c r="D373" s="279">
        <v>250000</v>
      </c>
      <c r="E373" s="38">
        <v>101</v>
      </c>
      <c r="F373" s="40">
        <v>0.1125</v>
      </c>
      <c r="G373" s="44">
        <v>34382</v>
      </c>
      <c r="H373" s="44">
        <v>38034</v>
      </c>
      <c r="I373" s="45">
        <v>10</v>
      </c>
      <c r="J373" s="45" t="s">
        <v>1716</v>
      </c>
      <c r="K373" s="39" t="s">
        <v>1716</v>
      </c>
      <c r="L373" s="39" t="s">
        <v>1014</v>
      </c>
      <c r="M373" s="38" t="str">
        <f t="shared" si="6"/>
        <v>Bon du Trésor</v>
      </c>
    </row>
    <row r="374" spans="1:13" x14ac:dyDescent="0.2">
      <c r="A374" s="38" t="s">
        <v>1035</v>
      </c>
      <c r="B374" s="38">
        <v>200007</v>
      </c>
      <c r="C374" s="38" t="s">
        <v>1334</v>
      </c>
      <c r="D374" s="279">
        <v>250000</v>
      </c>
      <c r="E374" s="38">
        <v>101</v>
      </c>
      <c r="F374" s="40">
        <v>0.1125</v>
      </c>
      <c r="G374" s="44">
        <v>34389</v>
      </c>
      <c r="H374" s="44">
        <v>38041</v>
      </c>
      <c r="I374" s="45">
        <v>10</v>
      </c>
      <c r="J374" s="45" t="s">
        <v>1716</v>
      </c>
      <c r="K374" s="39" t="s">
        <v>1716</v>
      </c>
      <c r="L374" s="39" t="s">
        <v>1014</v>
      </c>
      <c r="M374" s="38" t="str">
        <f t="shared" si="6"/>
        <v>Bon du Trésor</v>
      </c>
    </row>
    <row r="375" spans="1:13" x14ac:dyDescent="0.2">
      <c r="A375" s="38" t="s">
        <v>1035</v>
      </c>
      <c r="B375" s="38">
        <v>200008</v>
      </c>
      <c r="C375" s="38" t="s">
        <v>448</v>
      </c>
      <c r="D375" s="279">
        <v>250000</v>
      </c>
      <c r="E375" s="38">
        <v>101</v>
      </c>
      <c r="F375" s="40">
        <v>0.1125</v>
      </c>
      <c r="G375" s="44">
        <v>34417</v>
      </c>
      <c r="H375" s="44">
        <v>38070</v>
      </c>
      <c r="I375" s="45">
        <v>10</v>
      </c>
      <c r="J375" s="45" t="s">
        <v>1716</v>
      </c>
      <c r="K375" s="39" t="s">
        <v>1716</v>
      </c>
      <c r="L375" s="39" t="s">
        <v>1014</v>
      </c>
      <c r="M375" s="38" t="str">
        <f t="shared" si="6"/>
        <v>Bon du Trésor</v>
      </c>
    </row>
    <row r="376" spans="1:13" x14ac:dyDescent="0.2">
      <c r="A376" s="38" t="s">
        <v>1035</v>
      </c>
      <c r="B376" s="38">
        <v>200009</v>
      </c>
      <c r="C376" s="38" t="s">
        <v>1960</v>
      </c>
      <c r="D376" s="279">
        <v>250000</v>
      </c>
      <c r="E376" s="38">
        <v>101</v>
      </c>
      <c r="F376" s="40">
        <v>0.1125</v>
      </c>
      <c r="G376" s="44">
        <v>34424</v>
      </c>
      <c r="H376" s="44">
        <v>38077</v>
      </c>
      <c r="I376" s="45">
        <v>10</v>
      </c>
      <c r="J376" s="45" t="s">
        <v>1716</v>
      </c>
      <c r="K376" s="39" t="s">
        <v>1716</v>
      </c>
      <c r="L376" s="39" t="s">
        <v>1014</v>
      </c>
      <c r="M376" s="38" t="str">
        <f t="shared" si="6"/>
        <v>Bon du Trésor</v>
      </c>
    </row>
    <row r="377" spans="1:13" x14ac:dyDescent="0.2">
      <c r="A377" s="38" t="s">
        <v>1035</v>
      </c>
      <c r="B377" s="38">
        <v>200010</v>
      </c>
      <c r="C377" s="38" t="s">
        <v>584</v>
      </c>
      <c r="D377" s="279">
        <v>250000</v>
      </c>
      <c r="E377" s="38">
        <v>101</v>
      </c>
      <c r="F377" s="40">
        <v>0.11</v>
      </c>
      <c r="G377" s="44">
        <v>34438</v>
      </c>
      <c r="H377" s="44">
        <v>38091</v>
      </c>
      <c r="I377" s="45">
        <v>10</v>
      </c>
      <c r="J377" s="45" t="s">
        <v>1716</v>
      </c>
      <c r="K377" s="39" t="s">
        <v>1716</v>
      </c>
      <c r="L377" s="39" t="s">
        <v>1014</v>
      </c>
      <c r="M377" s="38" t="str">
        <f t="shared" si="6"/>
        <v>Bon du Trésor</v>
      </c>
    </row>
    <row r="378" spans="1:13" x14ac:dyDescent="0.2">
      <c r="A378" s="38" t="s">
        <v>1035</v>
      </c>
      <c r="B378" s="38">
        <v>200011</v>
      </c>
      <c r="C378" s="38" t="s">
        <v>49</v>
      </c>
      <c r="D378" s="279">
        <v>250000</v>
      </c>
      <c r="E378" s="38">
        <v>101</v>
      </c>
      <c r="F378" s="40">
        <v>0.11</v>
      </c>
      <c r="G378" s="44">
        <v>34473</v>
      </c>
      <c r="H378" s="44">
        <v>38126</v>
      </c>
      <c r="I378" s="45">
        <v>10</v>
      </c>
      <c r="J378" s="45" t="s">
        <v>1716</v>
      </c>
      <c r="K378" s="39" t="s">
        <v>1716</v>
      </c>
      <c r="L378" s="39" t="s">
        <v>1014</v>
      </c>
      <c r="M378" s="38" t="str">
        <f t="shared" si="6"/>
        <v>Bon du Trésor</v>
      </c>
    </row>
    <row r="379" spans="1:13" x14ac:dyDescent="0.2">
      <c r="A379" s="38" t="s">
        <v>1035</v>
      </c>
      <c r="B379" s="38">
        <v>200012</v>
      </c>
      <c r="C379" s="38" t="s">
        <v>78</v>
      </c>
      <c r="D379" s="279">
        <v>250000</v>
      </c>
      <c r="E379" s="38">
        <v>101</v>
      </c>
      <c r="F379" s="40">
        <v>0.11</v>
      </c>
      <c r="G379" s="44">
        <v>34487</v>
      </c>
      <c r="H379" s="44">
        <v>38140</v>
      </c>
      <c r="I379" s="45">
        <v>10</v>
      </c>
      <c r="J379" s="45" t="s">
        <v>1716</v>
      </c>
      <c r="K379" s="39" t="s">
        <v>1716</v>
      </c>
      <c r="L379" s="39" t="s">
        <v>1014</v>
      </c>
      <c r="M379" s="38" t="str">
        <f t="shared" si="6"/>
        <v>Bon du Trésor</v>
      </c>
    </row>
    <row r="380" spans="1:13" x14ac:dyDescent="0.2">
      <c r="A380" s="38" t="s">
        <v>1035</v>
      </c>
      <c r="B380" s="38">
        <v>200013</v>
      </c>
      <c r="C380" s="38" t="s">
        <v>80</v>
      </c>
      <c r="D380" s="279">
        <v>250000</v>
      </c>
      <c r="E380" s="38">
        <v>101</v>
      </c>
      <c r="F380" s="40">
        <v>0.11</v>
      </c>
      <c r="G380" s="44">
        <v>34529</v>
      </c>
      <c r="H380" s="44">
        <v>40008</v>
      </c>
      <c r="I380" s="45">
        <v>15</v>
      </c>
      <c r="J380" s="45" t="s">
        <v>1716</v>
      </c>
      <c r="K380" s="39" t="s">
        <v>1716</v>
      </c>
      <c r="L380" s="39" t="s">
        <v>1014</v>
      </c>
      <c r="M380" s="38" t="str">
        <f t="shared" si="6"/>
        <v>Bon du Trésor</v>
      </c>
    </row>
    <row r="381" spans="1:13" x14ac:dyDescent="0.2">
      <c r="A381" s="38" t="s">
        <v>1035</v>
      </c>
      <c r="B381" s="38">
        <v>200014</v>
      </c>
      <c r="C381" s="38" t="s">
        <v>542</v>
      </c>
      <c r="D381" s="279">
        <v>1000000</v>
      </c>
      <c r="E381" s="38">
        <v>101</v>
      </c>
      <c r="F381" s="40">
        <v>0.11</v>
      </c>
      <c r="G381" s="44">
        <v>34543</v>
      </c>
      <c r="H381" s="44">
        <v>38196</v>
      </c>
      <c r="I381" s="45">
        <v>10</v>
      </c>
      <c r="J381" s="45" t="s">
        <v>1716</v>
      </c>
      <c r="K381" s="39" t="s">
        <v>1716</v>
      </c>
      <c r="L381" s="39" t="s">
        <v>1014</v>
      </c>
      <c r="M381" s="38" t="str">
        <f t="shared" si="6"/>
        <v>Bon du Trésor</v>
      </c>
    </row>
    <row r="382" spans="1:13" x14ac:dyDescent="0.2">
      <c r="A382" s="38" t="s">
        <v>1035</v>
      </c>
      <c r="B382" s="38">
        <v>200015</v>
      </c>
      <c r="C382" s="38" t="s">
        <v>543</v>
      </c>
      <c r="D382" s="279">
        <v>250000</v>
      </c>
      <c r="E382" s="38">
        <v>101</v>
      </c>
      <c r="F382" s="40">
        <v>0.1075</v>
      </c>
      <c r="G382" s="44">
        <v>34557</v>
      </c>
      <c r="H382" s="44">
        <v>38210</v>
      </c>
      <c r="I382" s="45">
        <v>10</v>
      </c>
      <c r="J382" s="45" t="s">
        <v>1716</v>
      </c>
      <c r="K382" s="39" t="s">
        <v>1716</v>
      </c>
      <c r="L382" s="39" t="s">
        <v>1014</v>
      </c>
      <c r="M382" s="38" t="str">
        <f t="shared" si="6"/>
        <v>Bon du Trésor</v>
      </c>
    </row>
    <row r="383" spans="1:13" x14ac:dyDescent="0.2">
      <c r="A383" s="38" t="s">
        <v>1035</v>
      </c>
      <c r="B383" s="38">
        <v>200016</v>
      </c>
      <c r="C383" s="38" t="s">
        <v>545</v>
      </c>
      <c r="D383" s="279">
        <v>250000</v>
      </c>
      <c r="E383" s="38">
        <v>101</v>
      </c>
      <c r="F383" s="40">
        <v>0.11</v>
      </c>
      <c r="G383" s="44">
        <v>34557</v>
      </c>
      <c r="H383" s="44">
        <v>40036</v>
      </c>
      <c r="I383" s="45">
        <v>15</v>
      </c>
      <c r="J383" s="45" t="s">
        <v>1716</v>
      </c>
      <c r="K383" s="39" t="s">
        <v>1716</v>
      </c>
      <c r="L383" s="39" t="s">
        <v>1014</v>
      </c>
      <c r="M383" s="38" t="str">
        <f t="shared" si="6"/>
        <v>Bon du Trésor</v>
      </c>
    </row>
    <row r="384" spans="1:13" x14ac:dyDescent="0.2">
      <c r="A384" s="38" t="s">
        <v>1035</v>
      </c>
      <c r="B384" s="38">
        <v>200017</v>
      </c>
      <c r="C384" s="38" t="s">
        <v>1070</v>
      </c>
      <c r="D384" s="279">
        <v>250000</v>
      </c>
      <c r="E384" s="38">
        <v>101</v>
      </c>
      <c r="F384" s="40">
        <v>0.11</v>
      </c>
      <c r="G384" s="44">
        <v>34571</v>
      </c>
      <c r="H384" s="44">
        <v>40050</v>
      </c>
      <c r="I384" s="45">
        <v>15</v>
      </c>
      <c r="J384" s="45" t="s">
        <v>1716</v>
      </c>
      <c r="K384" s="39" t="s">
        <v>1716</v>
      </c>
      <c r="L384" s="39" t="s">
        <v>1014</v>
      </c>
      <c r="M384" s="38" t="str">
        <f t="shared" si="6"/>
        <v>Bon du Trésor</v>
      </c>
    </row>
    <row r="385" spans="1:13" x14ac:dyDescent="0.2">
      <c r="A385" s="38" t="s">
        <v>1035</v>
      </c>
      <c r="B385" s="38">
        <v>200018</v>
      </c>
      <c r="C385" s="38" t="s">
        <v>944</v>
      </c>
      <c r="D385" s="279">
        <v>250000</v>
      </c>
      <c r="E385" s="38">
        <v>101</v>
      </c>
      <c r="F385" s="40">
        <v>0.11</v>
      </c>
      <c r="G385" s="44">
        <v>34578</v>
      </c>
      <c r="H385" s="44">
        <v>40057</v>
      </c>
      <c r="I385" s="45">
        <v>15</v>
      </c>
      <c r="J385" s="45" t="s">
        <v>1716</v>
      </c>
      <c r="K385" s="39" t="s">
        <v>1716</v>
      </c>
      <c r="L385" s="39" t="s">
        <v>1014</v>
      </c>
      <c r="M385" s="38" t="str">
        <f t="shared" si="6"/>
        <v>Bon du Trésor</v>
      </c>
    </row>
    <row r="386" spans="1:13" x14ac:dyDescent="0.2">
      <c r="A386" s="38" t="s">
        <v>1035</v>
      </c>
      <c r="B386" s="38">
        <v>200019</v>
      </c>
      <c r="C386" s="38" t="s">
        <v>669</v>
      </c>
      <c r="D386" s="279">
        <v>250000</v>
      </c>
      <c r="E386" s="38">
        <v>101</v>
      </c>
      <c r="F386" s="40">
        <v>0.11</v>
      </c>
      <c r="G386" s="44">
        <v>34585</v>
      </c>
      <c r="H386" s="44">
        <v>40064</v>
      </c>
      <c r="I386" s="45">
        <v>15</v>
      </c>
      <c r="J386" s="45" t="s">
        <v>1716</v>
      </c>
      <c r="K386" s="39" t="s">
        <v>1716</v>
      </c>
      <c r="L386" s="39" t="s">
        <v>1014</v>
      </c>
      <c r="M386" s="38" t="str">
        <f t="shared" si="6"/>
        <v>Bon du Trésor</v>
      </c>
    </row>
    <row r="387" spans="1:13" x14ac:dyDescent="0.2">
      <c r="A387" s="38" t="s">
        <v>1035</v>
      </c>
      <c r="B387" s="38">
        <v>200020</v>
      </c>
      <c r="C387" s="38" t="s">
        <v>1758</v>
      </c>
      <c r="D387" s="279">
        <v>250000</v>
      </c>
      <c r="E387" s="38">
        <v>101</v>
      </c>
      <c r="F387" s="40">
        <v>0.11</v>
      </c>
      <c r="G387" s="44">
        <v>34599</v>
      </c>
      <c r="H387" s="44">
        <v>40078</v>
      </c>
      <c r="I387" s="45">
        <v>15</v>
      </c>
      <c r="J387" s="45" t="s">
        <v>1716</v>
      </c>
      <c r="K387" s="39" t="s">
        <v>1716</v>
      </c>
      <c r="L387" s="39" t="s">
        <v>1014</v>
      </c>
      <c r="M387" s="38" t="str">
        <f t="shared" ref="M387:M450" si="7">+A387</f>
        <v>Bon du Trésor</v>
      </c>
    </row>
    <row r="388" spans="1:13" x14ac:dyDescent="0.2">
      <c r="A388" s="38" t="s">
        <v>1035</v>
      </c>
      <c r="B388" s="38">
        <v>200021</v>
      </c>
      <c r="C388" s="38" t="s">
        <v>1759</v>
      </c>
      <c r="D388" s="279">
        <v>250000</v>
      </c>
      <c r="E388" s="38">
        <v>101</v>
      </c>
      <c r="F388" s="40">
        <v>0.11</v>
      </c>
      <c r="G388" s="44">
        <v>34620</v>
      </c>
      <c r="H388" s="44">
        <v>40099</v>
      </c>
      <c r="I388" s="45">
        <v>15</v>
      </c>
      <c r="J388" s="45" t="s">
        <v>1716</v>
      </c>
      <c r="K388" s="39" t="s">
        <v>1716</v>
      </c>
      <c r="L388" s="39" t="s">
        <v>1014</v>
      </c>
      <c r="M388" s="38" t="str">
        <f t="shared" si="7"/>
        <v>Bon du Trésor</v>
      </c>
    </row>
    <row r="389" spans="1:13" x14ac:dyDescent="0.2">
      <c r="A389" s="38" t="s">
        <v>1035</v>
      </c>
      <c r="B389" s="38">
        <v>200022</v>
      </c>
      <c r="C389" s="38" t="s">
        <v>1144</v>
      </c>
      <c r="D389" s="279">
        <v>250000</v>
      </c>
      <c r="E389" s="38">
        <v>101</v>
      </c>
      <c r="F389" s="40">
        <v>0.11</v>
      </c>
      <c r="G389" s="44">
        <v>34641</v>
      </c>
      <c r="H389" s="44">
        <v>40120</v>
      </c>
      <c r="I389" s="45">
        <v>15</v>
      </c>
      <c r="J389" s="45" t="s">
        <v>1716</v>
      </c>
      <c r="K389" s="39" t="s">
        <v>1716</v>
      </c>
      <c r="L389" s="39" t="s">
        <v>1014</v>
      </c>
      <c r="M389" s="38" t="str">
        <f t="shared" si="7"/>
        <v>Bon du Trésor</v>
      </c>
    </row>
    <row r="390" spans="1:13" x14ac:dyDescent="0.2">
      <c r="A390" s="38" t="s">
        <v>1035</v>
      </c>
      <c r="B390" s="38">
        <v>200023</v>
      </c>
      <c r="C390" s="38" t="s">
        <v>1145</v>
      </c>
      <c r="D390" s="279">
        <v>250000</v>
      </c>
      <c r="E390" s="38">
        <v>101</v>
      </c>
      <c r="F390" s="40">
        <v>0.11</v>
      </c>
      <c r="G390" s="44">
        <v>34655</v>
      </c>
      <c r="H390" s="44">
        <v>40134</v>
      </c>
      <c r="I390" s="45">
        <v>15</v>
      </c>
      <c r="J390" s="45" t="s">
        <v>1716</v>
      </c>
      <c r="K390" s="39" t="s">
        <v>1716</v>
      </c>
      <c r="L390" s="39" t="s">
        <v>1014</v>
      </c>
      <c r="M390" s="38" t="str">
        <f t="shared" si="7"/>
        <v>Bon du Trésor</v>
      </c>
    </row>
    <row r="391" spans="1:13" x14ac:dyDescent="0.2">
      <c r="A391" s="38" t="s">
        <v>1035</v>
      </c>
      <c r="B391" s="38">
        <v>200024</v>
      </c>
      <c r="C391" s="38" t="s">
        <v>1146</v>
      </c>
      <c r="D391" s="279">
        <v>250000</v>
      </c>
      <c r="E391" s="38">
        <v>101</v>
      </c>
      <c r="F391" s="40">
        <v>0.105</v>
      </c>
      <c r="G391" s="44">
        <v>34690</v>
      </c>
      <c r="H391" s="44">
        <v>40169</v>
      </c>
      <c r="I391" s="45">
        <v>15</v>
      </c>
      <c r="J391" s="45" t="s">
        <v>1716</v>
      </c>
      <c r="K391" s="39" t="s">
        <v>1716</v>
      </c>
      <c r="L391" s="39" t="s">
        <v>1014</v>
      </c>
      <c r="M391" s="38" t="str">
        <f t="shared" si="7"/>
        <v>Bon du Trésor</v>
      </c>
    </row>
    <row r="392" spans="1:13" x14ac:dyDescent="0.2">
      <c r="A392" s="38" t="s">
        <v>1035</v>
      </c>
      <c r="B392" s="38">
        <v>200025</v>
      </c>
      <c r="C392" s="38" t="s">
        <v>9</v>
      </c>
      <c r="D392" s="279">
        <v>1000000</v>
      </c>
      <c r="E392" s="38">
        <v>101</v>
      </c>
      <c r="F392" s="40">
        <v>0.105</v>
      </c>
      <c r="G392" s="44">
        <v>34697</v>
      </c>
      <c r="H392" s="44">
        <v>40176</v>
      </c>
      <c r="I392" s="45">
        <v>15</v>
      </c>
      <c r="J392" s="45" t="s">
        <v>1716</v>
      </c>
      <c r="K392" s="39" t="s">
        <v>1716</v>
      </c>
      <c r="L392" s="39" t="s">
        <v>1014</v>
      </c>
      <c r="M392" s="38" t="str">
        <f t="shared" si="7"/>
        <v>Bon du Trésor</v>
      </c>
    </row>
    <row r="393" spans="1:13" x14ac:dyDescent="0.2">
      <c r="A393" s="38" t="s">
        <v>1035</v>
      </c>
      <c r="B393" s="38">
        <v>200026</v>
      </c>
      <c r="C393" s="38" t="s">
        <v>10</v>
      </c>
      <c r="D393" s="279">
        <v>250000</v>
      </c>
      <c r="E393" s="38">
        <v>101</v>
      </c>
      <c r="F393" s="40">
        <v>0.105</v>
      </c>
      <c r="G393" s="44">
        <v>34732</v>
      </c>
      <c r="H393" s="44">
        <v>40211</v>
      </c>
      <c r="I393" s="45">
        <v>15</v>
      </c>
      <c r="J393" s="45" t="s">
        <v>1716</v>
      </c>
      <c r="K393" s="39" t="s">
        <v>1716</v>
      </c>
      <c r="L393" s="39" t="s">
        <v>1014</v>
      </c>
      <c r="M393" s="38" t="str">
        <f t="shared" si="7"/>
        <v>Bon du Trésor</v>
      </c>
    </row>
    <row r="394" spans="1:13" x14ac:dyDescent="0.2">
      <c r="A394" s="38" t="s">
        <v>1035</v>
      </c>
      <c r="B394" s="38">
        <v>200027</v>
      </c>
      <c r="C394" s="38" t="s">
        <v>1761</v>
      </c>
      <c r="D394" s="279">
        <v>1000000</v>
      </c>
      <c r="E394" s="38">
        <v>101</v>
      </c>
      <c r="F394" s="40">
        <v>0.105</v>
      </c>
      <c r="G394" s="44">
        <v>34739</v>
      </c>
      <c r="H394" s="44">
        <v>40218</v>
      </c>
      <c r="I394" s="45">
        <v>15</v>
      </c>
      <c r="J394" s="45" t="s">
        <v>1716</v>
      </c>
      <c r="K394" s="39" t="s">
        <v>1716</v>
      </c>
      <c r="L394" s="39" t="s">
        <v>1014</v>
      </c>
      <c r="M394" s="38" t="str">
        <f t="shared" si="7"/>
        <v>Bon du Trésor</v>
      </c>
    </row>
    <row r="395" spans="1:13" x14ac:dyDescent="0.2">
      <c r="A395" s="38" t="s">
        <v>1035</v>
      </c>
      <c r="B395" s="38">
        <v>200028</v>
      </c>
      <c r="C395" s="38" t="s">
        <v>1762</v>
      </c>
      <c r="D395" s="293">
        <v>250000</v>
      </c>
      <c r="E395" s="38">
        <v>101</v>
      </c>
      <c r="F395" s="40">
        <v>0.105</v>
      </c>
      <c r="G395" s="44">
        <v>34753</v>
      </c>
      <c r="H395" s="44">
        <v>40232</v>
      </c>
      <c r="I395" s="45">
        <v>15</v>
      </c>
      <c r="J395" s="45" t="s">
        <v>1716</v>
      </c>
      <c r="K395" s="39" t="s">
        <v>1716</v>
      </c>
      <c r="L395" s="39" t="s">
        <v>1014</v>
      </c>
      <c r="M395" s="38" t="str">
        <f t="shared" si="7"/>
        <v>Bon du Trésor</v>
      </c>
    </row>
    <row r="396" spans="1:13" x14ac:dyDescent="0.2">
      <c r="A396" s="38" t="s">
        <v>1035</v>
      </c>
      <c r="B396" s="38">
        <v>200029</v>
      </c>
      <c r="C396" s="38" t="s">
        <v>624</v>
      </c>
      <c r="D396" s="279">
        <v>1000000</v>
      </c>
      <c r="E396" s="38">
        <v>101</v>
      </c>
      <c r="F396" s="40">
        <v>0.105</v>
      </c>
      <c r="G396" s="44">
        <v>34772</v>
      </c>
      <c r="H396" s="44">
        <v>40251</v>
      </c>
      <c r="I396" s="45">
        <v>15</v>
      </c>
      <c r="J396" s="45" t="s">
        <v>1716</v>
      </c>
      <c r="K396" s="39" t="s">
        <v>1716</v>
      </c>
      <c r="L396" s="39" t="s">
        <v>1014</v>
      </c>
      <c r="M396" s="38" t="str">
        <f t="shared" si="7"/>
        <v>Bon du Trésor</v>
      </c>
    </row>
    <row r="397" spans="1:13" x14ac:dyDescent="0.2">
      <c r="A397" s="38" t="s">
        <v>1035</v>
      </c>
      <c r="B397" s="38">
        <v>200030</v>
      </c>
      <c r="C397" s="38" t="s">
        <v>1232</v>
      </c>
      <c r="D397" s="279">
        <v>250000</v>
      </c>
      <c r="E397" s="38">
        <v>101</v>
      </c>
      <c r="F397" s="40">
        <v>0.105</v>
      </c>
      <c r="G397" s="44">
        <v>34774</v>
      </c>
      <c r="H397" s="44">
        <v>40253</v>
      </c>
      <c r="I397" s="45">
        <v>15</v>
      </c>
      <c r="J397" s="45" t="s">
        <v>1716</v>
      </c>
      <c r="K397" s="39" t="s">
        <v>1716</v>
      </c>
      <c r="L397" s="39" t="s">
        <v>1014</v>
      </c>
      <c r="M397" s="38" t="str">
        <f t="shared" si="7"/>
        <v>Bon du Trésor</v>
      </c>
    </row>
    <row r="398" spans="1:13" x14ac:dyDescent="0.2">
      <c r="A398" s="38" t="s">
        <v>1035</v>
      </c>
      <c r="B398" s="38">
        <v>200031</v>
      </c>
      <c r="C398" s="38" t="s">
        <v>1233</v>
      </c>
      <c r="D398" s="279">
        <v>250000</v>
      </c>
      <c r="E398" s="38">
        <v>101</v>
      </c>
      <c r="F398" s="40">
        <v>0.105</v>
      </c>
      <c r="G398" s="44">
        <v>34781</v>
      </c>
      <c r="H398" s="44">
        <v>40260</v>
      </c>
      <c r="I398" s="45">
        <v>15</v>
      </c>
      <c r="J398" s="45" t="s">
        <v>1716</v>
      </c>
      <c r="K398" s="39" t="s">
        <v>1716</v>
      </c>
      <c r="L398" s="39" t="s">
        <v>1014</v>
      </c>
      <c r="M398" s="38" t="str">
        <f t="shared" si="7"/>
        <v>Bon du Trésor</v>
      </c>
    </row>
    <row r="399" spans="1:13" x14ac:dyDescent="0.2">
      <c r="A399" s="38" t="s">
        <v>1035</v>
      </c>
      <c r="B399" s="38">
        <v>200032</v>
      </c>
      <c r="C399" s="38" t="s">
        <v>1234</v>
      </c>
      <c r="D399" s="279">
        <v>1000000</v>
      </c>
      <c r="E399" s="38">
        <v>101</v>
      </c>
      <c r="F399" s="40">
        <v>0.105</v>
      </c>
      <c r="G399" s="44">
        <v>34792</v>
      </c>
      <c r="H399" s="44">
        <v>40271</v>
      </c>
      <c r="I399" s="45">
        <v>15</v>
      </c>
      <c r="J399" s="45" t="s">
        <v>1716</v>
      </c>
      <c r="K399" s="39" t="s">
        <v>1716</v>
      </c>
      <c r="L399" s="39" t="s">
        <v>1014</v>
      </c>
      <c r="M399" s="38" t="str">
        <f t="shared" si="7"/>
        <v>Bon du Trésor</v>
      </c>
    </row>
    <row r="400" spans="1:13" x14ac:dyDescent="0.2">
      <c r="A400" s="38" t="s">
        <v>1035</v>
      </c>
      <c r="B400" s="38">
        <v>200033</v>
      </c>
      <c r="C400" s="38" t="s">
        <v>1235</v>
      </c>
      <c r="D400" s="279">
        <v>1000000</v>
      </c>
      <c r="E400" s="38">
        <v>101</v>
      </c>
      <c r="F400" s="40">
        <v>0.105</v>
      </c>
      <c r="G400" s="44">
        <v>34806</v>
      </c>
      <c r="H400" s="44">
        <v>40285</v>
      </c>
      <c r="I400" s="45">
        <v>15</v>
      </c>
      <c r="J400" s="45" t="s">
        <v>1716</v>
      </c>
      <c r="K400" s="39" t="s">
        <v>1716</v>
      </c>
      <c r="L400" s="39" t="s">
        <v>1014</v>
      </c>
      <c r="M400" s="38" t="str">
        <f t="shared" si="7"/>
        <v>Bon du Trésor</v>
      </c>
    </row>
    <row r="401" spans="1:13" x14ac:dyDescent="0.2">
      <c r="A401" s="38" t="s">
        <v>1035</v>
      </c>
      <c r="B401" s="38">
        <v>200035</v>
      </c>
      <c r="C401" s="38" t="s">
        <v>699</v>
      </c>
      <c r="D401" s="279">
        <v>1000000</v>
      </c>
      <c r="E401" s="38">
        <v>101</v>
      </c>
      <c r="F401" s="40">
        <v>0.105</v>
      </c>
      <c r="G401" s="44">
        <v>34926</v>
      </c>
      <c r="H401" s="44">
        <v>40405</v>
      </c>
      <c r="I401" s="45">
        <v>15</v>
      </c>
      <c r="J401" s="45" t="s">
        <v>1716</v>
      </c>
      <c r="K401" s="39" t="s">
        <v>1716</v>
      </c>
      <c r="L401" s="39" t="s">
        <v>1014</v>
      </c>
      <c r="M401" s="38" t="str">
        <f t="shared" si="7"/>
        <v>Bon du Trésor</v>
      </c>
    </row>
    <row r="402" spans="1:13" x14ac:dyDescent="0.2">
      <c r="A402" s="38" t="s">
        <v>1035</v>
      </c>
      <c r="B402" s="38">
        <v>200036</v>
      </c>
      <c r="C402" s="38" t="s">
        <v>700</v>
      </c>
      <c r="D402" s="279">
        <v>1000000</v>
      </c>
      <c r="E402" s="38">
        <v>101</v>
      </c>
      <c r="F402" s="40">
        <v>0.10249999999999999</v>
      </c>
      <c r="G402" s="44">
        <v>34932</v>
      </c>
      <c r="H402" s="44">
        <v>38585</v>
      </c>
      <c r="I402" s="45">
        <v>10</v>
      </c>
      <c r="J402" s="45" t="s">
        <v>1716</v>
      </c>
      <c r="K402" s="39" t="s">
        <v>1716</v>
      </c>
      <c r="L402" s="39" t="s">
        <v>1014</v>
      </c>
      <c r="M402" s="38" t="str">
        <f t="shared" si="7"/>
        <v>Bon du Trésor</v>
      </c>
    </row>
    <row r="403" spans="1:13" x14ac:dyDescent="0.2">
      <c r="A403" s="38" t="s">
        <v>1035</v>
      </c>
      <c r="B403" s="38">
        <v>200037</v>
      </c>
      <c r="C403" s="38" t="s">
        <v>701</v>
      </c>
      <c r="D403" s="279">
        <v>1000000</v>
      </c>
      <c r="E403" s="38">
        <v>101</v>
      </c>
      <c r="F403" s="40">
        <v>0.10249999999999999</v>
      </c>
      <c r="G403" s="44">
        <v>34939</v>
      </c>
      <c r="H403" s="44">
        <v>38592</v>
      </c>
      <c r="I403" s="45">
        <v>10</v>
      </c>
      <c r="J403" s="45" t="s">
        <v>1716</v>
      </c>
      <c r="K403" s="39" t="s">
        <v>1716</v>
      </c>
      <c r="L403" s="39" t="s">
        <v>1014</v>
      </c>
      <c r="M403" s="38" t="str">
        <f t="shared" si="7"/>
        <v>Bon du Trésor</v>
      </c>
    </row>
    <row r="404" spans="1:13" x14ac:dyDescent="0.2">
      <c r="A404" s="38" t="s">
        <v>1035</v>
      </c>
      <c r="B404" s="38">
        <v>200038</v>
      </c>
      <c r="C404" s="38" t="s">
        <v>702</v>
      </c>
      <c r="D404" s="279">
        <v>1000000</v>
      </c>
      <c r="E404" s="38">
        <v>101</v>
      </c>
      <c r="F404" s="40">
        <v>0.10249999999999999</v>
      </c>
      <c r="G404" s="44">
        <v>34953</v>
      </c>
      <c r="H404" s="44">
        <v>38606</v>
      </c>
      <c r="I404" s="45">
        <v>10</v>
      </c>
      <c r="J404" s="45" t="s">
        <v>1716</v>
      </c>
      <c r="K404" s="39" t="s">
        <v>1716</v>
      </c>
      <c r="L404" s="39" t="s">
        <v>1014</v>
      </c>
      <c r="M404" s="38" t="str">
        <f t="shared" si="7"/>
        <v>Bon du Trésor</v>
      </c>
    </row>
    <row r="405" spans="1:13" x14ac:dyDescent="0.2">
      <c r="A405" s="38" t="s">
        <v>1035</v>
      </c>
      <c r="B405" s="38">
        <v>200039</v>
      </c>
      <c r="C405" s="38" t="s">
        <v>703</v>
      </c>
      <c r="D405" s="279">
        <v>1000000</v>
      </c>
      <c r="E405" s="38">
        <v>101</v>
      </c>
      <c r="F405" s="40">
        <v>0.10249999999999999</v>
      </c>
      <c r="G405" s="44">
        <v>34967</v>
      </c>
      <c r="H405" s="44">
        <v>38620</v>
      </c>
      <c r="I405" s="45">
        <v>10</v>
      </c>
      <c r="J405" s="45" t="s">
        <v>1716</v>
      </c>
      <c r="K405" s="39" t="s">
        <v>1716</v>
      </c>
      <c r="L405" s="39" t="s">
        <v>1014</v>
      </c>
      <c r="M405" s="38" t="str">
        <f t="shared" si="7"/>
        <v>Bon du Trésor</v>
      </c>
    </row>
    <row r="406" spans="1:13" x14ac:dyDescent="0.2">
      <c r="A406" s="38" t="s">
        <v>1035</v>
      </c>
      <c r="B406" s="38">
        <v>200040</v>
      </c>
      <c r="C406" s="38" t="s">
        <v>706</v>
      </c>
      <c r="D406" s="279">
        <v>1000000</v>
      </c>
      <c r="E406" s="38">
        <v>101</v>
      </c>
      <c r="F406" s="40">
        <v>0.10249999999999999</v>
      </c>
      <c r="G406" s="44">
        <v>34988</v>
      </c>
      <c r="H406" s="44">
        <v>38641</v>
      </c>
      <c r="I406" s="45">
        <v>10</v>
      </c>
      <c r="J406" s="45" t="s">
        <v>1716</v>
      </c>
      <c r="K406" s="39" t="s">
        <v>1716</v>
      </c>
      <c r="L406" s="39" t="s">
        <v>1014</v>
      </c>
      <c r="M406" s="38" t="str">
        <f t="shared" si="7"/>
        <v>Bon du Trésor</v>
      </c>
    </row>
    <row r="407" spans="1:13" x14ac:dyDescent="0.2">
      <c r="A407" s="38" t="s">
        <v>1035</v>
      </c>
      <c r="B407" s="38">
        <v>200042</v>
      </c>
      <c r="C407" s="38" t="s">
        <v>137</v>
      </c>
      <c r="D407" s="279">
        <v>1000000</v>
      </c>
      <c r="E407" s="38">
        <v>101</v>
      </c>
      <c r="F407" s="40">
        <v>0.10249999999999999</v>
      </c>
      <c r="G407" s="44">
        <v>35023</v>
      </c>
      <c r="H407" s="44">
        <v>38676</v>
      </c>
      <c r="I407" s="45">
        <v>10</v>
      </c>
      <c r="J407" s="45" t="s">
        <v>1716</v>
      </c>
      <c r="K407" s="39" t="s">
        <v>1716</v>
      </c>
      <c r="L407" s="39" t="s">
        <v>1014</v>
      </c>
      <c r="M407" s="38" t="str">
        <f t="shared" si="7"/>
        <v>Bon du Trésor</v>
      </c>
    </row>
    <row r="408" spans="1:13" x14ac:dyDescent="0.2">
      <c r="A408" s="38" t="s">
        <v>1035</v>
      </c>
      <c r="B408" s="38">
        <v>200044</v>
      </c>
      <c r="C408" s="38" t="s">
        <v>634</v>
      </c>
      <c r="D408" s="279">
        <v>1000000</v>
      </c>
      <c r="E408" s="38">
        <v>101</v>
      </c>
      <c r="F408" s="40">
        <v>0.10249999999999999</v>
      </c>
      <c r="G408" s="44">
        <v>35037</v>
      </c>
      <c r="H408" s="44">
        <v>38690</v>
      </c>
      <c r="I408" s="45">
        <v>10</v>
      </c>
      <c r="J408" s="45" t="s">
        <v>1716</v>
      </c>
      <c r="K408" s="39" t="s">
        <v>1716</v>
      </c>
      <c r="L408" s="39" t="s">
        <v>1014</v>
      </c>
      <c r="M408" s="38" t="str">
        <f t="shared" si="7"/>
        <v>Bon du Trésor</v>
      </c>
    </row>
    <row r="409" spans="1:13" x14ac:dyDescent="0.2">
      <c r="A409" s="38" t="s">
        <v>1035</v>
      </c>
      <c r="B409" s="38">
        <v>200045</v>
      </c>
      <c r="C409" s="38" t="s">
        <v>635</v>
      </c>
      <c r="D409" s="279">
        <v>1000000</v>
      </c>
      <c r="E409" s="38">
        <v>101</v>
      </c>
      <c r="F409" s="40">
        <v>0.105</v>
      </c>
      <c r="G409" s="44">
        <v>35037</v>
      </c>
      <c r="H409" s="44">
        <v>40516</v>
      </c>
      <c r="I409" s="45">
        <v>15</v>
      </c>
      <c r="J409" s="45" t="s">
        <v>1716</v>
      </c>
      <c r="K409" s="39" t="s">
        <v>1716</v>
      </c>
      <c r="L409" s="39" t="s">
        <v>1014</v>
      </c>
      <c r="M409" s="38" t="str">
        <f t="shared" si="7"/>
        <v>Bon du Trésor</v>
      </c>
    </row>
    <row r="410" spans="1:13" x14ac:dyDescent="0.2">
      <c r="A410" s="38" t="s">
        <v>1035</v>
      </c>
      <c r="B410" s="38">
        <v>200046</v>
      </c>
      <c r="C410" s="38" t="s">
        <v>636</v>
      </c>
      <c r="D410" s="279">
        <v>1000000</v>
      </c>
      <c r="E410" s="38">
        <v>101</v>
      </c>
      <c r="F410" s="40">
        <v>0.105</v>
      </c>
      <c r="G410" s="44">
        <v>35044</v>
      </c>
      <c r="H410" s="44">
        <v>40523</v>
      </c>
      <c r="I410" s="45">
        <v>15</v>
      </c>
      <c r="J410" s="45" t="s">
        <v>1716</v>
      </c>
      <c r="K410" s="39" t="s">
        <v>1716</v>
      </c>
      <c r="L410" s="39" t="s">
        <v>1014</v>
      </c>
      <c r="M410" s="38" t="str">
        <f t="shared" si="7"/>
        <v>Bon du Trésor</v>
      </c>
    </row>
    <row r="411" spans="1:13" x14ac:dyDescent="0.2">
      <c r="A411" s="38" t="s">
        <v>1035</v>
      </c>
      <c r="B411" s="38">
        <v>200047</v>
      </c>
      <c r="C411" s="38" t="s">
        <v>637</v>
      </c>
      <c r="D411" s="279">
        <v>1000000</v>
      </c>
      <c r="E411" s="38">
        <v>101</v>
      </c>
      <c r="F411" s="40">
        <v>0.105</v>
      </c>
      <c r="G411" s="44">
        <v>35079</v>
      </c>
      <c r="H411" s="44">
        <v>40558</v>
      </c>
      <c r="I411" s="45">
        <v>15</v>
      </c>
      <c r="J411" s="45" t="s">
        <v>1716</v>
      </c>
      <c r="K411" s="39" t="s">
        <v>1716</v>
      </c>
      <c r="L411" s="39" t="s">
        <v>1014</v>
      </c>
      <c r="M411" s="38" t="str">
        <f t="shared" si="7"/>
        <v>Bon du Trésor</v>
      </c>
    </row>
    <row r="412" spans="1:13" x14ac:dyDescent="0.2">
      <c r="A412" s="38" t="s">
        <v>1035</v>
      </c>
      <c r="B412" s="38">
        <v>200050</v>
      </c>
      <c r="C412" s="38" t="s">
        <v>1076</v>
      </c>
      <c r="D412" s="579">
        <v>100000</v>
      </c>
      <c r="E412" s="38">
        <v>101</v>
      </c>
      <c r="F412" s="40">
        <v>8.5000000000000006E-2</v>
      </c>
      <c r="G412" s="44">
        <v>35093</v>
      </c>
      <c r="H412" s="44">
        <v>38746</v>
      </c>
      <c r="I412" s="45">
        <v>10</v>
      </c>
      <c r="J412" s="45" t="s">
        <v>1716</v>
      </c>
      <c r="K412" s="39" t="s">
        <v>1716</v>
      </c>
      <c r="L412" s="39" t="s">
        <v>1014</v>
      </c>
      <c r="M412" s="38" t="str">
        <f t="shared" si="7"/>
        <v>Bon du Trésor</v>
      </c>
    </row>
    <row r="413" spans="1:13" x14ac:dyDescent="0.2">
      <c r="A413" s="38" t="s">
        <v>1035</v>
      </c>
      <c r="B413" s="38">
        <v>200054</v>
      </c>
      <c r="C413" s="38" t="s">
        <v>1077</v>
      </c>
      <c r="D413" s="579">
        <v>500000</v>
      </c>
      <c r="E413" s="38">
        <v>101</v>
      </c>
      <c r="F413" s="40">
        <v>0.105</v>
      </c>
      <c r="G413" s="44">
        <v>35114</v>
      </c>
      <c r="H413" s="44">
        <v>40593</v>
      </c>
      <c r="I413" s="45">
        <v>15</v>
      </c>
      <c r="J413" s="45" t="s">
        <v>1716</v>
      </c>
      <c r="K413" s="39" t="s">
        <v>1716</v>
      </c>
      <c r="L413" s="39" t="s">
        <v>1014</v>
      </c>
      <c r="M413" s="38" t="str">
        <f t="shared" si="7"/>
        <v>Bon du Trésor</v>
      </c>
    </row>
    <row r="414" spans="1:13" x14ac:dyDescent="0.2">
      <c r="A414" s="38" t="s">
        <v>1035</v>
      </c>
      <c r="B414" s="38">
        <v>200056</v>
      </c>
      <c r="C414" s="38" t="s">
        <v>1080</v>
      </c>
      <c r="D414" s="279">
        <v>500000</v>
      </c>
      <c r="E414" s="38">
        <v>101</v>
      </c>
      <c r="F414" s="40">
        <v>0.105</v>
      </c>
      <c r="G414" s="44">
        <v>35128</v>
      </c>
      <c r="H414" s="44">
        <v>40606</v>
      </c>
      <c r="I414" s="45">
        <v>15</v>
      </c>
      <c r="J414" s="45" t="s">
        <v>1716</v>
      </c>
      <c r="K414" s="39" t="s">
        <v>1716</v>
      </c>
      <c r="L414" s="39" t="s">
        <v>1014</v>
      </c>
      <c r="M414" s="38" t="str">
        <f t="shared" si="7"/>
        <v>Bon du Trésor</v>
      </c>
    </row>
    <row r="415" spans="1:13" x14ac:dyDescent="0.2">
      <c r="A415" s="38" t="s">
        <v>1035</v>
      </c>
      <c r="B415" s="38">
        <v>200059</v>
      </c>
      <c r="C415" s="38" t="s">
        <v>210</v>
      </c>
      <c r="D415" s="279">
        <v>500000</v>
      </c>
      <c r="E415" s="38">
        <v>101</v>
      </c>
      <c r="F415" s="40">
        <v>0.105</v>
      </c>
      <c r="G415" s="44">
        <v>35142</v>
      </c>
      <c r="H415" s="44">
        <v>40620</v>
      </c>
      <c r="I415" s="45">
        <v>15</v>
      </c>
      <c r="J415" s="45" t="s">
        <v>1716</v>
      </c>
      <c r="K415" s="39" t="s">
        <v>1716</v>
      </c>
      <c r="L415" s="39" t="s">
        <v>1014</v>
      </c>
      <c r="M415" s="38" t="str">
        <f t="shared" si="7"/>
        <v>Bon du Trésor</v>
      </c>
    </row>
    <row r="416" spans="1:13" x14ac:dyDescent="0.2">
      <c r="A416" s="38" t="s">
        <v>1035</v>
      </c>
      <c r="B416" s="38">
        <v>200060</v>
      </c>
      <c r="C416" s="38" t="s">
        <v>1798</v>
      </c>
      <c r="D416" s="279">
        <v>500000</v>
      </c>
      <c r="E416" s="38">
        <v>101</v>
      </c>
      <c r="F416" s="40">
        <v>0.105</v>
      </c>
      <c r="G416" s="44">
        <v>35149</v>
      </c>
      <c r="H416" s="44">
        <v>40627</v>
      </c>
      <c r="I416" s="45">
        <v>15</v>
      </c>
      <c r="J416" s="45" t="s">
        <v>1716</v>
      </c>
      <c r="K416" s="39" t="s">
        <v>1716</v>
      </c>
      <c r="L416" s="39" t="s">
        <v>1014</v>
      </c>
      <c r="M416" s="38" t="str">
        <f t="shared" si="7"/>
        <v>Bon du Trésor</v>
      </c>
    </row>
    <row r="417" spans="1:13" x14ac:dyDescent="0.2">
      <c r="A417" s="38" t="s">
        <v>1035</v>
      </c>
      <c r="B417" s="38">
        <v>200062</v>
      </c>
      <c r="C417" s="38" t="s">
        <v>1799</v>
      </c>
      <c r="D417" s="279">
        <v>500000</v>
      </c>
      <c r="E417" s="38">
        <v>101</v>
      </c>
      <c r="F417" s="40">
        <v>0.10249999999999999</v>
      </c>
      <c r="G417" s="44">
        <v>35163</v>
      </c>
      <c r="H417" s="44">
        <v>38815</v>
      </c>
      <c r="I417" s="45">
        <v>10</v>
      </c>
      <c r="J417" s="45" t="s">
        <v>1716</v>
      </c>
      <c r="K417" s="39" t="s">
        <v>1716</v>
      </c>
      <c r="L417" s="39" t="s">
        <v>1014</v>
      </c>
      <c r="M417" s="38" t="str">
        <f t="shared" si="7"/>
        <v>Bon du Trésor</v>
      </c>
    </row>
    <row r="418" spans="1:13" x14ac:dyDescent="0.2">
      <c r="A418" s="38" t="s">
        <v>1035</v>
      </c>
      <c r="B418" s="38">
        <v>200063</v>
      </c>
      <c r="C418" s="38" t="s">
        <v>1800</v>
      </c>
      <c r="D418" s="279">
        <v>500000</v>
      </c>
      <c r="E418" s="38">
        <v>101</v>
      </c>
      <c r="F418" s="40">
        <v>0.105</v>
      </c>
      <c r="G418" s="44">
        <v>35163</v>
      </c>
      <c r="H418" s="44">
        <v>40641</v>
      </c>
      <c r="I418" s="45">
        <v>15</v>
      </c>
      <c r="J418" s="45" t="s">
        <v>1716</v>
      </c>
      <c r="K418" s="39" t="s">
        <v>1716</v>
      </c>
      <c r="L418" s="39" t="s">
        <v>1014</v>
      </c>
      <c r="M418" s="38" t="str">
        <f t="shared" si="7"/>
        <v>Bon du Trésor</v>
      </c>
    </row>
    <row r="419" spans="1:13" x14ac:dyDescent="0.2">
      <c r="A419" s="38" t="s">
        <v>1035</v>
      </c>
      <c r="B419" s="38">
        <v>200065</v>
      </c>
      <c r="C419" s="38" t="s">
        <v>1805</v>
      </c>
      <c r="D419" s="279">
        <v>500000</v>
      </c>
      <c r="E419" s="38">
        <v>101</v>
      </c>
      <c r="F419" s="40">
        <v>0.10249999999999999</v>
      </c>
      <c r="G419" s="44">
        <v>35170</v>
      </c>
      <c r="H419" s="44">
        <v>38822</v>
      </c>
      <c r="I419" s="45">
        <v>10</v>
      </c>
      <c r="J419" s="45" t="s">
        <v>1716</v>
      </c>
      <c r="K419" s="39" t="s">
        <v>1716</v>
      </c>
      <c r="L419" s="39" t="s">
        <v>1014</v>
      </c>
      <c r="M419" s="38" t="str">
        <f t="shared" si="7"/>
        <v>Bon du Trésor</v>
      </c>
    </row>
    <row r="420" spans="1:13" x14ac:dyDescent="0.2">
      <c r="A420" s="38" t="s">
        <v>1035</v>
      </c>
      <c r="B420" s="38">
        <v>200066</v>
      </c>
      <c r="C420" s="38" t="s">
        <v>1806</v>
      </c>
      <c r="D420" s="279">
        <v>500000</v>
      </c>
      <c r="E420" s="38">
        <v>101</v>
      </c>
      <c r="F420" s="40">
        <v>0.105</v>
      </c>
      <c r="G420" s="44">
        <v>35170</v>
      </c>
      <c r="H420" s="44">
        <v>40648</v>
      </c>
      <c r="I420" s="45">
        <v>15</v>
      </c>
      <c r="J420" s="45" t="s">
        <v>1716</v>
      </c>
      <c r="K420" s="39" t="s">
        <v>1716</v>
      </c>
      <c r="L420" s="39" t="s">
        <v>1014</v>
      </c>
      <c r="M420" s="38" t="str">
        <f t="shared" si="7"/>
        <v>Bon du Trésor</v>
      </c>
    </row>
    <row r="421" spans="1:13" x14ac:dyDescent="0.2">
      <c r="A421" s="38" t="s">
        <v>1035</v>
      </c>
      <c r="B421" s="38">
        <v>200068</v>
      </c>
      <c r="C421" s="38" t="s">
        <v>621</v>
      </c>
      <c r="D421" s="279">
        <v>500000</v>
      </c>
      <c r="E421" s="38">
        <v>101</v>
      </c>
      <c r="F421" s="40">
        <v>0.105</v>
      </c>
      <c r="G421" s="44">
        <v>35177</v>
      </c>
      <c r="H421" s="44">
        <v>40655</v>
      </c>
      <c r="I421" s="45">
        <v>15</v>
      </c>
      <c r="J421" s="45" t="s">
        <v>1716</v>
      </c>
      <c r="K421" s="39" t="s">
        <v>1716</v>
      </c>
      <c r="L421" s="39" t="s">
        <v>1014</v>
      </c>
      <c r="M421" s="38" t="str">
        <f t="shared" si="7"/>
        <v>Bon du Trésor</v>
      </c>
    </row>
    <row r="422" spans="1:13" x14ac:dyDescent="0.2">
      <c r="A422" s="38" t="s">
        <v>1035</v>
      </c>
      <c r="B422" s="38">
        <v>200071</v>
      </c>
      <c r="C422" s="38" t="s">
        <v>622</v>
      </c>
      <c r="D422" s="279">
        <v>500000</v>
      </c>
      <c r="E422" s="38">
        <v>101</v>
      </c>
      <c r="F422" s="40">
        <v>0.105</v>
      </c>
      <c r="G422" s="44">
        <v>35205</v>
      </c>
      <c r="H422" s="44">
        <v>40683</v>
      </c>
      <c r="I422" s="45">
        <v>15</v>
      </c>
      <c r="J422" s="45" t="s">
        <v>1716</v>
      </c>
      <c r="K422" s="39" t="s">
        <v>1716</v>
      </c>
      <c r="L422" s="39" t="s">
        <v>1014</v>
      </c>
      <c r="M422" s="38" t="str">
        <f t="shared" si="7"/>
        <v>Bon du Trésor</v>
      </c>
    </row>
    <row r="423" spans="1:13" x14ac:dyDescent="0.2">
      <c r="A423" s="38" t="s">
        <v>1035</v>
      </c>
      <c r="B423" s="38">
        <v>200073</v>
      </c>
      <c r="C423" s="38" t="s">
        <v>623</v>
      </c>
      <c r="D423" s="279">
        <v>500000</v>
      </c>
      <c r="E423" s="38">
        <v>101</v>
      </c>
      <c r="F423" s="40">
        <v>0.105</v>
      </c>
      <c r="G423" s="44">
        <v>35219</v>
      </c>
      <c r="H423" s="44">
        <v>40697</v>
      </c>
      <c r="I423" s="45">
        <v>15</v>
      </c>
      <c r="J423" s="45" t="s">
        <v>1716</v>
      </c>
      <c r="K423" s="39" t="s">
        <v>1716</v>
      </c>
      <c r="L423" s="39" t="s">
        <v>1014</v>
      </c>
      <c r="M423" s="38" t="str">
        <f t="shared" si="7"/>
        <v>Bon du Trésor</v>
      </c>
    </row>
    <row r="424" spans="1:13" x14ac:dyDescent="0.2">
      <c r="A424" s="38" t="s">
        <v>1035</v>
      </c>
      <c r="B424" s="38">
        <v>200075</v>
      </c>
      <c r="C424" s="38" t="s">
        <v>378</v>
      </c>
      <c r="D424" s="279">
        <v>500000</v>
      </c>
      <c r="E424" s="38">
        <v>101</v>
      </c>
      <c r="F424" s="40">
        <v>0.105</v>
      </c>
      <c r="G424" s="44">
        <v>35226</v>
      </c>
      <c r="H424" s="44">
        <v>40704</v>
      </c>
      <c r="I424" s="45">
        <v>15</v>
      </c>
      <c r="J424" s="45" t="s">
        <v>1716</v>
      </c>
      <c r="K424" s="39" t="s">
        <v>1716</v>
      </c>
      <c r="L424" s="39" t="s">
        <v>1014</v>
      </c>
      <c r="M424" s="38" t="str">
        <f t="shared" si="7"/>
        <v>Bon du Trésor</v>
      </c>
    </row>
    <row r="425" spans="1:13" x14ac:dyDescent="0.2">
      <c r="A425" s="38" t="s">
        <v>1035</v>
      </c>
      <c r="B425" s="38">
        <v>200076</v>
      </c>
      <c r="C425" s="38" t="s">
        <v>1781</v>
      </c>
      <c r="D425" s="279">
        <v>500000</v>
      </c>
      <c r="E425" s="38">
        <v>101</v>
      </c>
      <c r="F425" s="40">
        <v>0.10249999999999999</v>
      </c>
      <c r="G425" s="44">
        <v>35233</v>
      </c>
      <c r="H425" s="44">
        <v>38885</v>
      </c>
      <c r="I425" s="45">
        <v>10</v>
      </c>
      <c r="J425" s="45" t="s">
        <v>1716</v>
      </c>
      <c r="K425" s="39" t="s">
        <v>1716</v>
      </c>
      <c r="L425" s="39" t="s">
        <v>1014</v>
      </c>
      <c r="M425" s="38" t="str">
        <f t="shared" si="7"/>
        <v>Bon du Trésor</v>
      </c>
    </row>
    <row r="426" spans="1:13" x14ac:dyDescent="0.2">
      <c r="A426" s="38" t="s">
        <v>1035</v>
      </c>
      <c r="B426" s="38">
        <v>200077</v>
      </c>
      <c r="C426" s="38" t="s">
        <v>1782</v>
      </c>
      <c r="D426" s="279">
        <v>500000</v>
      </c>
      <c r="E426" s="38">
        <v>101</v>
      </c>
      <c r="F426" s="40">
        <v>0.105</v>
      </c>
      <c r="G426" s="44">
        <v>35233</v>
      </c>
      <c r="H426" s="44">
        <v>40711</v>
      </c>
      <c r="I426" s="45">
        <v>15</v>
      </c>
      <c r="J426" s="45" t="s">
        <v>1716</v>
      </c>
      <c r="K426" s="39" t="s">
        <v>1716</v>
      </c>
      <c r="L426" s="39" t="s">
        <v>1014</v>
      </c>
      <c r="M426" s="38" t="str">
        <f t="shared" si="7"/>
        <v>Bon du Trésor</v>
      </c>
    </row>
    <row r="427" spans="1:13" x14ac:dyDescent="0.2">
      <c r="A427" s="38" t="s">
        <v>1035</v>
      </c>
      <c r="B427" s="38">
        <v>200079</v>
      </c>
      <c r="C427" s="38" t="s">
        <v>470</v>
      </c>
      <c r="D427" s="279">
        <v>500000</v>
      </c>
      <c r="E427" s="38">
        <v>101</v>
      </c>
      <c r="F427" s="40">
        <v>0.10249999999999999</v>
      </c>
      <c r="G427" s="44">
        <v>35247</v>
      </c>
      <c r="H427" s="44">
        <v>38899</v>
      </c>
      <c r="I427" s="45">
        <v>10</v>
      </c>
      <c r="J427" s="45" t="s">
        <v>1716</v>
      </c>
      <c r="K427" s="39" t="s">
        <v>1716</v>
      </c>
      <c r="L427" s="39" t="s">
        <v>1014</v>
      </c>
      <c r="M427" s="38" t="str">
        <f t="shared" si="7"/>
        <v>Bon du Trésor</v>
      </c>
    </row>
    <row r="428" spans="1:13" x14ac:dyDescent="0.2">
      <c r="A428" s="38" t="s">
        <v>1035</v>
      </c>
      <c r="B428" s="38">
        <v>200080</v>
      </c>
      <c r="C428" s="38" t="s">
        <v>471</v>
      </c>
      <c r="D428" s="279">
        <v>500000</v>
      </c>
      <c r="E428" s="38">
        <v>101</v>
      </c>
      <c r="F428" s="40">
        <v>0.105</v>
      </c>
      <c r="G428" s="44">
        <v>35247</v>
      </c>
      <c r="H428" s="44">
        <v>40725</v>
      </c>
      <c r="I428" s="45">
        <v>15</v>
      </c>
      <c r="J428" s="45" t="s">
        <v>1716</v>
      </c>
      <c r="K428" s="39" t="s">
        <v>1716</v>
      </c>
      <c r="L428" s="39" t="s">
        <v>1014</v>
      </c>
      <c r="M428" s="38" t="str">
        <f t="shared" si="7"/>
        <v>Bon du Trésor</v>
      </c>
    </row>
    <row r="429" spans="1:13" x14ac:dyDescent="0.2">
      <c r="A429" s="38" t="s">
        <v>1035</v>
      </c>
      <c r="B429" s="38">
        <v>200081</v>
      </c>
      <c r="C429" s="38" t="s">
        <v>1123</v>
      </c>
      <c r="D429" s="279">
        <v>500000</v>
      </c>
      <c r="E429" s="38">
        <v>101</v>
      </c>
      <c r="F429" s="40">
        <v>0.105</v>
      </c>
      <c r="G429" s="44">
        <v>35254</v>
      </c>
      <c r="H429" s="44">
        <v>40732</v>
      </c>
      <c r="I429" s="45">
        <v>15</v>
      </c>
      <c r="J429" s="45" t="s">
        <v>1716</v>
      </c>
      <c r="K429" s="39" t="s">
        <v>1716</v>
      </c>
      <c r="L429" s="39" t="s">
        <v>1014</v>
      </c>
      <c r="M429" s="38" t="str">
        <f t="shared" si="7"/>
        <v>Bon du Trésor</v>
      </c>
    </row>
    <row r="430" spans="1:13" x14ac:dyDescent="0.2">
      <c r="A430" s="38" t="s">
        <v>1035</v>
      </c>
      <c r="B430" s="38">
        <v>200082</v>
      </c>
      <c r="C430" s="38" t="s">
        <v>546</v>
      </c>
      <c r="D430" s="279">
        <v>500000</v>
      </c>
      <c r="E430" s="38">
        <v>101</v>
      </c>
      <c r="F430" s="40">
        <v>0.1</v>
      </c>
      <c r="G430" s="44">
        <v>35261</v>
      </c>
      <c r="H430" s="44">
        <v>37087</v>
      </c>
      <c r="I430" s="45">
        <v>5</v>
      </c>
      <c r="J430" s="45" t="s">
        <v>1716</v>
      </c>
      <c r="K430" s="39" t="s">
        <v>1716</v>
      </c>
      <c r="L430" s="39" t="s">
        <v>1014</v>
      </c>
      <c r="M430" s="38" t="str">
        <f t="shared" si="7"/>
        <v>Bon du Trésor</v>
      </c>
    </row>
    <row r="431" spans="1:13" x14ac:dyDescent="0.2">
      <c r="A431" s="38" t="s">
        <v>1035</v>
      </c>
      <c r="B431" s="38">
        <v>200083</v>
      </c>
      <c r="C431" s="38" t="s">
        <v>1608</v>
      </c>
      <c r="D431" s="279">
        <v>500000</v>
      </c>
      <c r="E431" s="38">
        <v>101</v>
      </c>
      <c r="F431" s="40">
        <v>0.10249999999999999</v>
      </c>
      <c r="G431" s="44">
        <v>35261</v>
      </c>
      <c r="H431" s="44">
        <v>38913</v>
      </c>
      <c r="I431" s="45">
        <v>10</v>
      </c>
      <c r="J431" s="45" t="s">
        <v>1716</v>
      </c>
      <c r="K431" s="39" t="s">
        <v>1716</v>
      </c>
      <c r="L431" s="39" t="s">
        <v>1014</v>
      </c>
      <c r="M431" s="38" t="str">
        <f t="shared" si="7"/>
        <v>Bon du Trésor</v>
      </c>
    </row>
    <row r="432" spans="1:13" x14ac:dyDescent="0.2">
      <c r="A432" s="38" t="s">
        <v>1035</v>
      </c>
      <c r="B432" s="38">
        <v>200084</v>
      </c>
      <c r="C432" s="38" t="s">
        <v>1609</v>
      </c>
      <c r="D432" s="279">
        <v>500000</v>
      </c>
      <c r="E432" s="38">
        <v>101</v>
      </c>
      <c r="F432" s="40">
        <v>0.1</v>
      </c>
      <c r="G432" s="44">
        <v>35268</v>
      </c>
      <c r="H432" s="44">
        <v>37094</v>
      </c>
      <c r="I432" s="45">
        <v>5</v>
      </c>
      <c r="J432" s="45" t="s">
        <v>1716</v>
      </c>
      <c r="K432" s="39" t="s">
        <v>1716</v>
      </c>
      <c r="L432" s="39" t="s">
        <v>1014</v>
      </c>
      <c r="M432" s="38" t="str">
        <f t="shared" si="7"/>
        <v>Bon du Trésor</v>
      </c>
    </row>
    <row r="433" spans="1:13" x14ac:dyDescent="0.2">
      <c r="A433" s="38" t="s">
        <v>1035</v>
      </c>
      <c r="B433" s="38">
        <v>200085</v>
      </c>
      <c r="C433" s="38" t="s">
        <v>1610</v>
      </c>
      <c r="D433" s="279">
        <v>500000</v>
      </c>
      <c r="E433" s="38">
        <v>101</v>
      </c>
      <c r="F433" s="40">
        <v>0.105</v>
      </c>
      <c r="G433" s="44">
        <v>35268</v>
      </c>
      <c r="H433" s="44">
        <v>40746</v>
      </c>
      <c r="I433" s="45">
        <v>15</v>
      </c>
      <c r="J433" s="45" t="s">
        <v>1716</v>
      </c>
      <c r="K433" s="39" t="s">
        <v>1716</v>
      </c>
      <c r="L433" s="39" t="s">
        <v>1014</v>
      </c>
      <c r="M433" s="38" t="str">
        <f t="shared" si="7"/>
        <v>Bon du Trésor</v>
      </c>
    </row>
    <row r="434" spans="1:13" x14ac:dyDescent="0.2">
      <c r="A434" s="38" t="s">
        <v>1035</v>
      </c>
      <c r="B434" s="38">
        <v>200086</v>
      </c>
      <c r="C434" s="38" t="s">
        <v>1611</v>
      </c>
      <c r="D434" s="279">
        <v>500000</v>
      </c>
      <c r="E434" s="38">
        <v>101</v>
      </c>
      <c r="F434" s="40">
        <v>0.10249999999999999</v>
      </c>
      <c r="G434" s="44">
        <v>35277</v>
      </c>
      <c r="H434" s="44">
        <v>38929</v>
      </c>
      <c r="I434" s="45">
        <v>10</v>
      </c>
      <c r="J434" s="45" t="s">
        <v>1716</v>
      </c>
      <c r="K434" s="39" t="s">
        <v>1716</v>
      </c>
      <c r="L434" s="39" t="s">
        <v>1014</v>
      </c>
      <c r="M434" s="38" t="str">
        <f t="shared" si="7"/>
        <v>Bon du Trésor</v>
      </c>
    </row>
    <row r="435" spans="1:13" x14ac:dyDescent="0.2">
      <c r="A435" s="38" t="s">
        <v>1035</v>
      </c>
      <c r="B435" s="38">
        <v>200087</v>
      </c>
      <c r="C435" s="38" t="s">
        <v>1613</v>
      </c>
      <c r="D435" s="279">
        <v>500000</v>
      </c>
      <c r="E435" s="38">
        <v>101</v>
      </c>
      <c r="F435" s="40">
        <v>0.105</v>
      </c>
      <c r="G435" s="44">
        <v>35277</v>
      </c>
      <c r="H435" s="44">
        <v>40755</v>
      </c>
      <c r="I435" s="45">
        <v>15</v>
      </c>
      <c r="J435" s="45" t="s">
        <v>1716</v>
      </c>
      <c r="K435" s="39" t="s">
        <v>1716</v>
      </c>
      <c r="L435" s="39" t="s">
        <v>1014</v>
      </c>
      <c r="M435" s="38" t="str">
        <f t="shared" si="7"/>
        <v>Bon du Trésor</v>
      </c>
    </row>
    <row r="436" spans="1:13" x14ac:dyDescent="0.2">
      <c r="A436" s="38" t="s">
        <v>1035</v>
      </c>
      <c r="B436" s="38">
        <v>200088</v>
      </c>
      <c r="C436" s="38" t="s">
        <v>510</v>
      </c>
      <c r="D436" s="279">
        <v>500000</v>
      </c>
      <c r="E436" s="38">
        <v>101</v>
      </c>
      <c r="F436" s="40">
        <v>0.105</v>
      </c>
      <c r="G436" s="44">
        <v>35289</v>
      </c>
      <c r="H436" s="44">
        <v>40767</v>
      </c>
      <c r="I436" s="45">
        <v>15</v>
      </c>
      <c r="J436" s="45" t="s">
        <v>1716</v>
      </c>
      <c r="K436" s="39" t="s">
        <v>1716</v>
      </c>
      <c r="L436" s="39" t="s">
        <v>1014</v>
      </c>
      <c r="M436" s="38" t="str">
        <f t="shared" si="7"/>
        <v>Bon du Trésor</v>
      </c>
    </row>
    <row r="437" spans="1:13" x14ac:dyDescent="0.2">
      <c r="A437" s="38" t="s">
        <v>1035</v>
      </c>
      <c r="B437" s="38">
        <v>200089</v>
      </c>
      <c r="C437" s="38" t="s">
        <v>511</v>
      </c>
      <c r="D437" s="279">
        <v>250000</v>
      </c>
      <c r="E437" s="38">
        <v>101</v>
      </c>
      <c r="F437" s="40">
        <v>0.1</v>
      </c>
      <c r="G437" s="44">
        <v>35296</v>
      </c>
      <c r="H437" s="44">
        <v>37122</v>
      </c>
      <c r="I437" s="45">
        <v>5</v>
      </c>
      <c r="J437" s="45" t="s">
        <v>1716</v>
      </c>
      <c r="K437" s="39" t="s">
        <v>1716</v>
      </c>
      <c r="L437" s="39" t="s">
        <v>1014</v>
      </c>
      <c r="M437" s="38" t="str">
        <f t="shared" si="7"/>
        <v>Bon du Trésor</v>
      </c>
    </row>
    <row r="438" spans="1:13" x14ac:dyDescent="0.2">
      <c r="A438" s="38" t="s">
        <v>1035</v>
      </c>
      <c r="B438" s="38">
        <v>200090</v>
      </c>
      <c r="C438" s="38" t="s">
        <v>1027</v>
      </c>
      <c r="D438" s="279">
        <v>250000</v>
      </c>
      <c r="E438" s="38">
        <v>101</v>
      </c>
      <c r="F438" s="40">
        <v>0.10249999999999999</v>
      </c>
      <c r="G438" s="44">
        <v>35296</v>
      </c>
      <c r="H438" s="44">
        <v>38948</v>
      </c>
      <c r="I438" s="45">
        <v>10</v>
      </c>
      <c r="J438" s="45" t="s">
        <v>1716</v>
      </c>
      <c r="K438" s="39" t="s">
        <v>1716</v>
      </c>
      <c r="L438" s="39" t="s">
        <v>1014</v>
      </c>
      <c r="M438" s="38" t="str">
        <f t="shared" si="7"/>
        <v>Bon du Trésor</v>
      </c>
    </row>
    <row r="439" spans="1:13" x14ac:dyDescent="0.2">
      <c r="A439" s="38" t="s">
        <v>1035</v>
      </c>
      <c r="B439" s="38">
        <v>200091</v>
      </c>
      <c r="C439" s="38" t="s">
        <v>1028</v>
      </c>
      <c r="D439" s="279">
        <v>250000</v>
      </c>
      <c r="E439" s="38">
        <v>101</v>
      </c>
      <c r="F439" s="40">
        <v>0.105</v>
      </c>
      <c r="G439" s="44">
        <v>35296</v>
      </c>
      <c r="H439" s="44">
        <v>40774</v>
      </c>
      <c r="I439" s="45">
        <v>15</v>
      </c>
      <c r="J439" s="45" t="s">
        <v>1716</v>
      </c>
      <c r="K439" s="39" t="s">
        <v>1716</v>
      </c>
      <c r="L439" s="39" t="s">
        <v>1014</v>
      </c>
      <c r="M439" s="38" t="str">
        <f t="shared" si="7"/>
        <v>Bon du Trésor</v>
      </c>
    </row>
    <row r="440" spans="1:13" x14ac:dyDescent="0.2">
      <c r="A440" s="38" t="s">
        <v>1035</v>
      </c>
      <c r="B440" s="38">
        <v>200092</v>
      </c>
      <c r="C440" s="38" t="s">
        <v>1534</v>
      </c>
      <c r="D440" s="279">
        <v>250000</v>
      </c>
      <c r="E440" s="38">
        <v>101</v>
      </c>
      <c r="F440" s="40">
        <v>0.1</v>
      </c>
      <c r="G440" s="44">
        <v>35303</v>
      </c>
      <c r="H440" s="44">
        <v>37129</v>
      </c>
      <c r="I440" s="45">
        <v>5</v>
      </c>
      <c r="J440" s="45" t="s">
        <v>1716</v>
      </c>
      <c r="K440" s="39" t="s">
        <v>1716</v>
      </c>
      <c r="L440" s="39" t="s">
        <v>1014</v>
      </c>
      <c r="M440" s="38" t="str">
        <f t="shared" si="7"/>
        <v>Bon du Trésor</v>
      </c>
    </row>
    <row r="441" spans="1:13" x14ac:dyDescent="0.2">
      <c r="A441" s="38" t="s">
        <v>1035</v>
      </c>
      <c r="B441" s="38">
        <v>200093</v>
      </c>
      <c r="C441" s="38" t="s">
        <v>1681</v>
      </c>
      <c r="D441" s="279">
        <v>250000</v>
      </c>
      <c r="E441" s="38">
        <v>101</v>
      </c>
      <c r="F441" s="40">
        <v>0.10249999999999999</v>
      </c>
      <c r="G441" s="44">
        <v>35303</v>
      </c>
      <c r="H441" s="44">
        <v>38955</v>
      </c>
      <c r="I441" s="45">
        <v>10</v>
      </c>
      <c r="J441" s="45" t="s">
        <v>1716</v>
      </c>
      <c r="K441" s="39" t="s">
        <v>1716</v>
      </c>
      <c r="L441" s="39" t="s">
        <v>1014</v>
      </c>
      <c r="M441" s="38" t="str">
        <f t="shared" si="7"/>
        <v>Bon du Trésor</v>
      </c>
    </row>
    <row r="442" spans="1:13" x14ac:dyDescent="0.2">
      <c r="A442" s="38" t="s">
        <v>1035</v>
      </c>
      <c r="B442" s="38">
        <v>200094</v>
      </c>
      <c r="C442" s="38" t="s">
        <v>1682</v>
      </c>
      <c r="D442" s="279">
        <v>250000</v>
      </c>
      <c r="E442" s="38">
        <v>101</v>
      </c>
      <c r="F442" s="40">
        <v>0.105</v>
      </c>
      <c r="G442" s="44">
        <v>35310</v>
      </c>
      <c r="H442" s="44">
        <v>40788</v>
      </c>
      <c r="I442" s="45">
        <v>15</v>
      </c>
      <c r="J442" s="45" t="s">
        <v>1716</v>
      </c>
      <c r="K442" s="39" t="s">
        <v>1716</v>
      </c>
      <c r="L442" s="39" t="s">
        <v>1014</v>
      </c>
      <c r="M442" s="38" t="str">
        <f t="shared" si="7"/>
        <v>Bon du Trésor</v>
      </c>
    </row>
    <row r="443" spans="1:13" x14ac:dyDescent="0.2">
      <c r="A443" s="38" t="s">
        <v>1035</v>
      </c>
      <c r="B443" s="38">
        <v>200095</v>
      </c>
      <c r="C443" s="38" t="s">
        <v>1683</v>
      </c>
      <c r="D443" s="279">
        <v>250000</v>
      </c>
      <c r="E443" s="38">
        <v>101</v>
      </c>
      <c r="F443" s="40">
        <v>0.1</v>
      </c>
      <c r="G443" s="44">
        <v>35317</v>
      </c>
      <c r="H443" s="44">
        <v>37143</v>
      </c>
      <c r="I443" s="45">
        <v>5</v>
      </c>
      <c r="J443" s="45" t="s">
        <v>1716</v>
      </c>
      <c r="K443" s="39" t="s">
        <v>1716</v>
      </c>
      <c r="L443" s="39" t="s">
        <v>1014</v>
      </c>
      <c r="M443" s="38" t="str">
        <f t="shared" si="7"/>
        <v>Bon du Trésor</v>
      </c>
    </row>
    <row r="444" spans="1:13" x14ac:dyDescent="0.2">
      <c r="A444" s="38" t="s">
        <v>1035</v>
      </c>
      <c r="B444" s="38">
        <v>200096</v>
      </c>
      <c r="C444" s="38" t="s">
        <v>419</v>
      </c>
      <c r="D444" s="279">
        <v>250000</v>
      </c>
      <c r="E444" s="38">
        <v>101</v>
      </c>
      <c r="F444" s="40">
        <v>0.10249999999999999</v>
      </c>
      <c r="G444" s="44">
        <v>35317</v>
      </c>
      <c r="H444" s="44">
        <v>38969</v>
      </c>
      <c r="I444" s="45">
        <v>10</v>
      </c>
      <c r="J444" s="45" t="s">
        <v>1716</v>
      </c>
      <c r="K444" s="39" t="s">
        <v>1716</v>
      </c>
      <c r="L444" s="39" t="s">
        <v>1014</v>
      </c>
      <c r="M444" s="38" t="str">
        <f t="shared" si="7"/>
        <v>Bon du Trésor</v>
      </c>
    </row>
    <row r="445" spans="1:13" x14ac:dyDescent="0.2">
      <c r="A445" s="38" t="s">
        <v>1035</v>
      </c>
      <c r="B445" s="38">
        <v>200097</v>
      </c>
      <c r="C445" s="38" t="s">
        <v>420</v>
      </c>
      <c r="D445" s="279">
        <v>250000</v>
      </c>
      <c r="E445" s="38">
        <v>101</v>
      </c>
      <c r="F445" s="40">
        <v>0.105</v>
      </c>
      <c r="G445" s="44">
        <v>35317</v>
      </c>
      <c r="H445" s="44">
        <v>40795</v>
      </c>
      <c r="I445" s="45">
        <v>15</v>
      </c>
      <c r="J445" s="45" t="s">
        <v>1716</v>
      </c>
      <c r="K445" s="39" t="s">
        <v>1716</v>
      </c>
      <c r="L445" s="39" t="s">
        <v>1014</v>
      </c>
      <c r="M445" s="38" t="str">
        <f t="shared" si="7"/>
        <v>Bon du Trésor</v>
      </c>
    </row>
    <row r="446" spans="1:13" x14ac:dyDescent="0.2">
      <c r="A446" s="38" t="s">
        <v>1035</v>
      </c>
      <c r="B446" s="38">
        <v>200098</v>
      </c>
      <c r="C446" s="38" t="s">
        <v>422</v>
      </c>
      <c r="D446" s="279">
        <v>250000</v>
      </c>
      <c r="E446" s="38">
        <v>101</v>
      </c>
      <c r="F446" s="40">
        <v>0.1</v>
      </c>
      <c r="G446" s="44">
        <v>35324</v>
      </c>
      <c r="H446" s="44">
        <v>37150</v>
      </c>
      <c r="I446" s="45">
        <v>5</v>
      </c>
      <c r="J446" s="45" t="s">
        <v>1716</v>
      </c>
      <c r="K446" s="39" t="s">
        <v>1716</v>
      </c>
      <c r="L446" s="39" t="s">
        <v>1014</v>
      </c>
      <c r="M446" s="38" t="str">
        <f t="shared" si="7"/>
        <v>Bon du Trésor</v>
      </c>
    </row>
    <row r="447" spans="1:13" x14ac:dyDescent="0.2">
      <c r="A447" s="38" t="s">
        <v>1035</v>
      </c>
      <c r="B447" s="38">
        <v>200099</v>
      </c>
      <c r="C447" s="38" t="s">
        <v>424</v>
      </c>
      <c r="D447" s="279">
        <v>250000</v>
      </c>
      <c r="E447" s="38">
        <v>101</v>
      </c>
      <c r="F447" s="40">
        <v>0.105</v>
      </c>
      <c r="G447" s="44">
        <v>35324</v>
      </c>
      <c r="H447" s="44">
        <v>40802</v>
      </c>
      <c r="I447" s="45">
        <v>15</v>
      </c>
      <c r="J447" s="45" t="s">
        <v>1716</v>
      </c>
      <c r="K447" s="39" t="s">
        <v>1716</v>
      </c>
      <c r="L447" s="39" t="s">
        <v>1014</v>
      </c>
      <c r="M447" s="38" t="str">
        <f t="shared" si="7"/>
        <v>Bon du Trésor</v>
      </c>
    </row>
    <row r="448" spans="1:13" x14ac:dyDescent="0.2">
      <c r="A448" s="38" t="s">
        <v>1035</v>
      </c>
      <c r="B448" s="38">
        <v>200100</v>
      </c>
      <c r="C448" s="38" t="s">
        <v>425</v>
      </c>
      <c r="D448" s="279">
        <v>250000</v>
      </c>
      <c r="E448" s="38">
        <v>101</v>
      </c>
      <c r="F448" s="40">
        <v>0.10249999999999999</v>
      </c>
      <c r="G448" s="44">
        <v>35331</v>
      </c>
      <c r="H448" s="44">
        <v>38983</v>
      </c>
      <c r="I448" s="45">
        <v>10</v>
      </c>
      <c r="J448" s="45" t="s">
        <v>1716</v>
      </c>
      <c r="K448" s="39" t="s">
        <v>1716</v>
      </c>
      <c r="L448" s="39" t="s">
        <v>1014</v>
      </c>
      <c r="M448" s="38" t="str">
        <f t="shared" si="7"/>
        <v>Bon du Trésor</v>
      </c>
    </row>
    <row r="449" spans="1:13" x14ac:dyDescent="0.2">
      <c r="A449" s="38" t="s">
        <v>1035</v>
      </c>
      <c r="B449" s="38">
        <v>200101</v>
      </c>
      <c r="C449" s="38" t="s">
        <v>258</v>
      </c>
      <c r="D449" s="279">
        <v>250000</v>
      </c>
      <c r="E449" s="38">
        <v>101</v>
      </c>
      <c r="F449" s="40">
        <v>0.105</v>
      </c>
      <c r="G449" s="44">
        <v>35331</v>
      </c>
      <c r="H449" s="44">
        <v>40809</v>
      </c>
      <c r="I449" s="45">
        <v>15</v>
      </c>
      <c r="J449" s="45" t="s">
        <v>1716</v>
      </c>
      <c r="K449" s="39" t="s">
        <v>1716</v>
      </c>
      <c r="L449" s="39" t="s">
        <v>1014</v>
      </c>
      <c r="M449" s="38" t="str">
        <f t="shared" si="7"/>
        <v>Bon du Trésor</v>
      </c>
    </row>
    <row r="450" spans="1:13" x14ac:dyDescent="0.2">
      <c r="A450" s="38" t="s">
        <v>1035</v>
      </c>
      <c r="B450" s="38">
        <v>200102</v>
      </c>
      <c r="C450" s="38" t="s">
        <v>245</v>
      </c>
      <c r="D450" s="279">
        <v>250000</v>
      </c>
      <c r="E450" s="38">
        <v>101</v>
      </c>
      <c r="F450" s="40">
        <v>7.0000000000000007E-2</v>
      </c>
      <c r="G450" s="44">
        <v>35338</v>
      </c>
      <c r="H450" s="44">
        <v>37164</v>
      </c>
      <c r="I450" s="45">
        <v>5</v>
      </c>
      <c r="J450" s="45" t="s">
        <v>1716</v>
      </c>
      <c r="K450" s="39" t="s">
        <v>1716</v>
      </c>
      <c r="L450" s="39" t="s">
        <v>1014</v>
      </c>
      <c r="M450" s="38" t="str">
        <f t="shared" si="7"/>
        <v>Bon du Trésor</v>
      </c>
    </row>
    <row r="451" spans="1:13" x14ac:dyDescent="0.2">
      <c r="A451" s="38" t="s">
        <v>1035</v>
      </c>
      <c r="B451" s="38">
        <v>200103</v>
      </c>
      <c r="C451" s="38" t="s">
        <v>246</v>
      </c>
      <c r="D451" s="279">
        <v>250000</v>
      </c>
      <c r="E451" s="38">
        <v>101</v>
      </c>
      <c r="F451" s="40">
        <v>0.1</v>
      </c>
      <c r="G451" s="44">
        <v>35338</v>
      </c>
      <c r="H451" s="44">
        <v>37164</v>
      </c>
      <c r="I451" s="45">
        <v>5</v>
      </c>
      <c r="J451" s="45" t="s">
        <v>1716</v>
      </c>
      <c r="K451" s="39" t="s">
        <v>1716</v>
      </c>
      <c r="L451" s="39" t="s">
        <v>1014</v>
      </c>
      <c r="M451" s="38" t="str">
        <f t="shared" ref="M451:M514" si="8">+A451</f>
        <v>Bon du Trésor</v>
      </c>
    </row>
    <row r="452" spans="1:13" x14ac:dyDescent="0.2">
      <c r="A452" s="38" t="s">
        <v>1035</v>
      </c>
      <c r="B452" s="38">
        <v>200104</v>
      </c>
      <c r="C452" s="38" t="s">
        <v>1949</v>
      </c>
      <c r="D452" s="279">
        <v>250000</v>
      </c>
      <c r="E452" s="38">
        <v>101</v>
      </c>
      <c r="F452" s="40">
        <v>0.1</v>
      </c>
      <c r="G452" s="44">
        <v>35345</v>
      </c>
      <c r="H452" s="44">
        <v>37171</v>
      </c>
      <c r="I452" s="45">
        <v>5</v>
      </c>
      <c r="J452" s="45" t="s">
        <v>1716</v>
      </c>
      <c r="K452" s="39" t="s">
        <v>1716</v>
      </c>
      <c r="L452" s="39" t="s">
        <v>1014</v>
      </c>
      <c r="M452" s="38" t="str">
        <f t="shared" si="8"/>
        <v>Bon du Trésor</v>
      </c>
    </row>
    <row r="453" spans="1:13" x14ac:dyDescent="0.2">
      <c r="A453" s="38" t="s">
        <v>1035</v>
      </c>
      <c r="B453" s="38">
        <v>200105</v>
      </c>
      <c r="C453" s="38" t="s">
        <v>1950</v>
      </c>
      <c r="D453" s="279">
        <v>250000</v>
      </c>
      <c r="E453" s="38">
        <v>101</v>
      </c>
      <c r="F453" s="40">
        <v>0.10249999999999999</v>
      </c>
      <c r="G453" s="44">
        <v>35345</v>
      </c>
      <c r="H453" s="44">
        <v>38997</v>
      </c>
      <c r="I453" s="45">
        <v>10</v>
      </c>
      <c r="J453" s="45" t="s">
        <v>1716</v>
      </c>
      <c r="K453" s="39" t="s">
        <v>1716</v>
      </c>
      <c r="L453" s="39" t="s">
        <v>1014</v>
      </c>
      <c r="M453" s="38" t="str">
        <f t="shared" si="8"/>
        <v>Bon du Trésor</v>
      </c>
    </row>
    <row r="454" spans="1:13" x14ac:dyDescent="0.2">
      <c r="A454" s="38" t="s">
        <v>1035</v>
      </c>
      <c r="B454" s="38">
        <v>200106</v>
      </c>
      <c r="C454" s="38" t="s">
        <v>1940</v>
      </c>
      <c r="D454" s="279">
        <v>250000</v>
      </c>
      <c r="E454" s="38">
        <v>101</v>
      </c>
      <c r="F454" s="40">
        <v>0.105</v>
      </c>
      <c r="G454" s="44">
        <v>35345</v>
      </c>
      <c r="H454" s="44">
        <v>40823</v>
      </c>
      <c r="I454" s="45">
        <v>15</v>
      </c>
      <c r="J454" s="45" t="s">
        <v>1716</v>
      </c>
      <c r="K454" s="39" t="s">
        <v>1716</v>
      </c>
      <c r="L454" s="39" t="s">
        <v>1014</v>
      </c>
      <c r="M454" s="38" t="str">
        <f t="shared" si="8"/>
        <v>Bon du Trésor</v>
      </c>
    </row>
    <row r="455" spans="1:13" x14ac:dyDescent="0.2">
      <c r="A455" s="38" t="s">
        <v>1035</v>
      </c>
      <c r="B455" s="38">
        <v>200107</v>
      </c>
      <c r="C455" s="38" t="s">
        <v>1941</v>
      </c>
      <c r="D455" s="279">
        <v>250000</v>
      </c>
      <c r="E455" s="38">
        <v>101</v>
      </c>
      <c r="F455" s="40">
        <v>0.1</v>
      </c>
      <c r="G455" s="44">
        <v>35352</v>
      </c>
      <c r="H455" s="44">
        <v>37178</v>
      </c>
      <c r="I455" s="45">
        <v>5</v>
      </c>
      <c r="J455" s="45" t="s">
        <v>1716</v>
      </c>
      <c r="K455" s="39" t="s">
        <v>1716</v>
      </c>
      <c r="L455" s="39" t="s">
        <v>1014</v>
      </c>
      <c r="M455" s="38" t="str">
        <f t="shared" si="8"/>
        <v>Bon du Trésor</v>
      </c>
    </row>
    <row r="456" spans="1:13" x14ac:dyDescent="0.2">
      <c r="A456" s="38" t="s">
        <v>1035</v>
      </c>
      <c r="B456" s="38">
        <v>200108</v>
      </c>
      <c r="C456" s="38" t="s">
        <v>1890</v>
      </c>
      <c r="D456" s="279">
        <v>250000</v>
      </c>
      <c r="E456" s="38">
        <v>101</v>
      </c>
      <c r="F456" s="40">
        <v>0.10249999999999999</v>
      </c>
      <c r="G456" s="44">
        <v>35352</v>
      </c>
      <c r="H456" s="44">
        <v>39004</v>
      </c>
      <c r="I456" s="45">
        <v>10</v>
      </c>
      <c r="J456" s="45" t="s">
        <v>1716</v>
      </c>
      <c r="K456" s="39" t="s">
        <v>1716</v>
      </c>
      <c r="L456" s="39" t="s">
        <v>1014</v>
      </c>
      <c r="M456" s="38" t="str">
        <f t="shared" si="8"/>
        <v>Bon du Trésor</v>
      </c>
    </row>
    <row r="457" spans="1:13" x14ac:dyDescent="0.2">
      <c r="A457" s="38" t="s">
        <v>1035</v>
      </c>
      <c r="B457" s="38">
        <v>200109</v>
      </c>
      <c r="C457" s="38" t="s">
        <v>1891</v>
      </c>
      <c r="D457" s="279">
        <v>250000</v>
      </c>
      <c r="E457" s="38">
        <v>101</v>
      </c>
      <c r="F457" s="40">
        <v>0.105</v>
      </c>
      <c r="G457" s="44">
        <v>35352</v>
      </c>
      <c r="H457" s="44">
        <v>40830</v>
      </c>
      <c r="I457" s="45">
        <v>15</v>
      </c>
      <c r="J457" s="45" t="s">
        <v>1716</v>
      </c>
      <c r="K457" s="39" t="s">
        <v>1716</v>
      </c>
      <c r="L457" s="39" t="s">
        <v>1014</v>
      </c>
      <c r="M457" s="38" t="str">
        <f t="shared" si="8"/>
        <v>Bon du Trésor</v>
      </c>
    </row>
    <row r="458" spans="1:13" x14ac:dyDescent="0.2">
      <c r="A458" s="38" t="s">
        <v>1035</v>
      </c>
      <c r="B458" s="38">
        <v>200110</v>
      </c>
      <c r="C458" s="38" t="s">
        <v>1892</v>
      </c>
      <c r="D458" s="279">
        <v>250000</v>
      </c>
      <c r="E458" s="38">
        <v>101</v>
      </c>
      <c r="F458" s="40">
        <v>7.4999999999999997E-2</v>
      </c>
      <c r="G458" s="44">
        <v>35359</v>
      </c>
      <c r="H458" s="44">
        <v>37185</v>
      </c>
      <c r="I458" s="45">
        <v>5</v>
      </c>
      <c r="J458" s="45" t="s">
        <v>1716</v>
      </c>
      <c r="K458" s="39" t="s">
        <v>1716</v>
      </c>
      <c r="L458" s="39" t="s">
        <v>1014</v>
      </c>
      <c r="M458" s="38" t="str">
        <f t="shared" si="8"/>
        <v>Bon du Trésor</v>
      </c>
    </row>
    <row r="459" spans="1:13" x14ac:dyDescent="0.2">
      <c r="A459" s="38" t="s">
        <v>1035</v>
      </c>
      <c r="B459" s="38">
        <v>200111</v>
      </c>
      <c r="C459" s="38" t="s">
        <v>1893</v>
      </c>
      <c r="D459" s="279">
        <v>250000</v>
      </c>
      <c r="E459" s="38">
        <v>101</v>
      </c>
      <c r="F459" s="40">
        <v>0.1</v>
      </c>
      <c r="G459" s="44">
        <v>35359</v>
      </c>
      <c r="H459" s="44">
        <v>37185</v>
      </c>
      <c r="I459" s="45">
        <v>5</v>
      </c>
      <c r="J459" s="45" t="s">
        <v>1716</v>
      </c>
      <c r="K459" s="39" t="s">
        <v>1716</v>
      </c>
      <c r="L459" s="39" t="s">
        <v>1014</v>
      </c>
      <c r="M459" s="38" t="str">
        <f t="shared" si="8"/>
        <v>Bon du Trésor</v>
      </c>
    </row>
    <row r="460" spans="1:13" x14ac:dyDescent="0.2">
      <c r="A460" s="38" t="s">
        <v>1035</v>
      </c>
      <c r="B460" s="38">
        <v>200112</v>
      </c>
      <c r="C460" s="38" t="s">
        <v>1915</v>
      </c>
      <c r="D460" s="279">
        <v>250000</v>
      </c>
      <c r="E460" s="38">
        <v>101</v>
      </c>
      <c r="F460" s="40">
        <v>0.10249999999999999</v>
      </c>
      <c r="G460" s="44">
        <v>35359</v>
      </c>
      <c r="H460" s="44">
        <v>39011</v>
      </c>
      <c r="I460" s="45">
        <v>10</v>
      </c>
      <c r="J460" s="45" t="s">
        <v>1716</v>
      </c>
      <c r="K460" s="39" t="s">
        <v>1716</v>
      </c>
      <c r="L460" s="39" t="s">
        <v>1014</v>
      </c>
      <c r="M460" s="38" t="str">
        <f t="shared" si="8"/>
        <v>Bon du Trésor</v>
      </c>
    </row>
    <row r="461" spans="1:13" x14ac:dyDescent="0.2">
      <c r="A461" s="38" t="s">
        <v>1035</v>
      </c>
      <c r="B461" s="38">
        <v>200113</v>
      </c>
      <c r="C461" s="38" t="s">
        <v>1632</v>
      </c>
      <c r="D461" s="279">
        <v>250000</v>
      </c>
      <c r="E461" s="38">
        <v>101</v>
      </c>
      <c r="F461" s="40">
        <v>0.105</v>
      </c>
      <c r="G461" s="44">
        <v>35359</v>
      </c>
      <c r="H461" s="44">
        <v>40837</v>
      </c>
      <c r="I461" s="45">
        <v>15</v>
      </c>
      <c r="J461" s="45" t="s">
        <v>1716</v>
      </c>
      <c r="K461" s="39" t="s">
        <v>1716</v>
      </c>
      <c r="L461" s="39" t="s">
        <v>1014</v>
      </c>
      <c r="M461" s="38" t="str">
        <f t="shared" si="8"/>
        <v>Bon du Trésor</v>
      </c>
    </row>
    <row r="462" spans="1:13" x14ac:dyDescent="0.2">
      <c r="A462" s="38" t="s">
        <v>1035</v>
      </c>
      <c r="B462" s="38">
        <v>200114</v>
      </c>
      <c r="C462" s="38" t="s">
        <v>1633</v>
      </c>
      <c r="D462" s="279">
        <v>250000</v>
      </c>
      <c r="E462" s="38">
        <v>101</v>
      </c>
      <c r="F462" s="40">
        <v>0.1</v>
      </c>
      <c r="G462" s="44">
        <v>35366</v>
      </c>
      <c r="H462" s="44">
        <v>37192</v>
      </c>
      <c r="I462" s="45">
        <v>5</v>
      </c>
      <c r="J462" s="45" t="s">
        <v>1716</v>
      </c>
      <c r="K462" s="39" t="s">
        <v>1716</v>
      </c>
      <c r="L462" s="39" t="s">
        <v>1014</v>
      </c>
      <c r="M462" s="38" t="str">
        <f t="shared" si="8"/>
        <v>Bon du Trésor</v>
      </c>
    </row>
    <row r="463" spans="1:13" x14ac:dyDescent="0.2">
      <c r="A463" s="38" t="s">
        <v>1035</v>
      </c>
      <c r="B463" s="38">
        <v>200115</v>
      </c>
      <c r="C463" s="38" t="s">
        <v>1634</v>
      </c>
      <c r="D463" s="279">
        <v>250000</v>
      </c>
      <c r="E463" s="38">
        <v>101</v>
      </c>
      <c r="F463" s="40">
        <v>0.105</v>
      </c>
      <c r="G463" s="44">
        <v>35366</v>
      </c>
      <c r="H463" s="44">
        <v>40844</v>
      </c>
      <c r="I463" s="45">
        <v>15</v>
      </c>
      <c r="J463" s="45" t="s">
        <v>1716</v>
      </c>
      <c r="K463" s="39" t="s">
        <v>1716</v>
      </c>
      <c r="L463" s="39" t="s">
        <v>1014</v>
      </c>
      <c r="M463" s="38" t="str">
        <f t="shared" si="8"/>
        <v>Bon du Trésor</v>
      </c>
    </row>
    <row r="464" spans="1:13" x14ac:dyDescent="0.2">
      <c r="A464" s="38" t="s">
        <v>1035</v>
      </c>
      <c r="B464" s="38">
        <v>200116</v>
      </c>
      <c r="C464" s="38" t="s">
        <v>1177</v>
      </c>
      <c r="D464" s="279">
        <v>250000</v>
      </c>
      <c r="E464" s="38">
        <v>101</v>
      </c>
      <c r="F464" s="40">
        <v>0.1</v>
      </c>
      <c r="G464" s="44">
        <v>35367</v>
      </c>
      <c r="H464" s="44">
        <v>37193</v>
      </c>
      <c r="I464" s="45">
        <v>5</v>
      </c>
      <c r="J464" s="45" t="s">
        <v>1716</v>
      </c>
      <c r="K464" s="39" t="s">
        <v>1716</v>
      </c>
      <c r="L464" s="39" t="s">
        <v>1014</v>
      </c>
      <c r="M464" s="38" t="str">
        <f t="shared" si="8"/>
        <v>Bon du Trésor</v>
      </c>
    </row>
    <row r="465" spans="1:13" x14ac:dyDescent="0.2">
      <c r="A465" s="38" t="s">
        <v>1035</v>
      </c>
      <c r="B465" s="38">
        <v>200117</v>
      </c>
      <c r="C465" s="38" t="s">
        <v>1178</v>
      </c>
      <c r="D465" s="279">
        <v>250000</v>
      </c>
      <c r="E465" s="38">
        <v>101</v>
      </c>
      <c r="F465" s="40">
        <v>0.1</v>
      </c>
      <c r="G465" s="44">
        <v>35373</v>
      </c>
      <c r="H465" s="44">
        <v>37199</v>
      </c>
      <c r="I465" s="45">
        <v>5</v>
      </c>
      <c r="J465" s="45" t="s">
        <v>1716</v>
      </c>
      <c r="K465" s="39" t="s">
        <v>1716</v>
      </c>
      <c r="L465" s="39" t="s">
        <v>1014</v>
      </c>
      <c r="M465" s="38" t="str">
        <f t="shared" si="8"/>
        <v>Bon du Trésor</v>
      </c>
    </row>
    <row r="466" spans="1:13" x14ac:dyDescent="0.2">
      <c r="A466" s="38" t="s">
        <v>1035</v>
      </c>
      <c r="B466" s="38">
        <v>200118</v>
      </c>
      <c r="C466" s="38" t="s">
        <v>1179</v>
      </c>
      <c r="D466" s="279">
        <v>250000</v>
      </c>
      <c r="E466" s="38">
        <v>101</v>
      </c>
      <c r="F466" s="40">
        <v>0.105</v>
      </c>
      <c r="G466" s="44">
        <v>35373</v>
      </c>
      <c r="H466" s="44">
        <v>40851</v>
      </c>
      <c r="I466" s="45">
        <v>15</v>
      </c>
      <c r="J466" s="45" t="s">
        <v>1716</v>
      </c>
      <c r="K466" s="39" t="s">
        <v>1716</v>
      </c>
      <c r="L466" s="39" t="s">
        <v>1014</v>
      </c>
      <c r="M466" s="38" t="str">
        <f t="shared" si="8"/>
        <v>Bon du Trésor</v>
      </c>
    </row>
    <row r="467" spans="1:13" x14ac:dyDescent="0.2">
      <c r="A467" s="38" t="s">
        <v>1035</v>
      </c>
      <c r="B467" s="38">
        <v>200119</v>
      </c>
      <c r="C467" s="38" t="s">
        <v>704</v>
      </c>
      <c r="D467" s="279">
        <v>250000</v>
      </c>
      <c r="E467" s="38">
        <v>101</v>
      </c>
      <c r="F467" s="40">
        <v>0.1</v>
      </c>
      <c r="G467" s="44">
        <v>35380</v>
      </c>
      <c r="H467" s="44">
        <v>37206</v>
      </c>
      <c r="I467" s="45">
        <v>5</v>
      </c>
      <c r="J467" s="45" t="s">
        <v>1716</v>
      </c>
      <c r="K467" s="39" t="s">
        <v>1716</v>
      </c>
      <c r="L467" s="39" t="s">
        <v>1014</v>
      </c>
      <c r="M467" s="38" t="str">
        <f t="shared" si="8"/>
        <v>Bon du Trésor</v>
      </c>
    </row>
    <row r="468" spans="1:13" x14ac:dyDescent="0.2">
      <c r="A468" s="38" t="s">
        <v>1035</v>
      </c>
      <c r="B468" s="38">
        <v>200120</v>
      </c>
      <c r="C468" s="38" t="s">
        <v>1241</v>
      </c>
      <c r="D468" s="279">
        <v>250000</v>
      </c>
      <c r="E468" s="38">
        <v>101</v>
      </c>
      <c r="F468" s="40">
        <v>0.105</v>
      </c>
      <c r="G468" s="44">
        <v>35380</v>
      </c>
      <c r="H468" s="44">
        <v>40858</v>
      </c>
      <c r="I468" s="45">
        <v>15</v>
      </c>
      <c r="J468" s="45" t="s">
        <v>1716</v>
      </c>
      <c r="K468" s="39" t="s">
        <v>1716</v>
      </c>
      <c r="L468" s="39" t="s">
        <v>1014</v>
      </c>
      <c r="M468" s="38" t="str">
        <f t="shared" si="8"/>
        <v>Bon du Trésor</v>
      </c>
    </row>
    <row r="469" spans="1:13" x14ac:dyDescent="0.2">
      <c r="A469" s="38" t="s">
        <v>1035</v>
      </c>
      <c r="B469" s="38">
        <v>200121</v>
      </c>
      <c r="C469" s="38" t="s">
        <v>1242</v>
      </c>
      <c r="D469" s="279">
        <v>250000</v>
      </c>
      <c r="E469" s="38">
        <v>101</v>
      </c>
      <c r="F469" s="40">
        <v>0.10249999999999999</v>
      </c>
      <c r="G469" s="44">
        <v>35388</v>
      </c>
      <c r="H469" s="44">
        <v>39040</v>
      </c>
      <c r="I469" s="45">
        <v>10</v>
      </c>
      <c r="J469" s="45" t="s">
        <v>1716</v>
      </c>
      <c r="K469" s="39" t="s">
        <v>1716</v>
      </c>
      <c r="L469" s="39" t="s">
        <v>1014</v>
      </c>
      <c r="M469" s="38" t="str">
        <f t="shared" si="8"/>
        <v>Bon du Trésor</v>
      </c>
    </row>
    <row r="470" spans="1:13" x14ac:dyDescent="0.2">
      <c r="A470" s="38" t="s">
        <v>1035</v>
      </c>
      <c r="B470" s="38">
        <v>200122</v>
      </c>
      <c r="C470" s="38" t="s">
        <v>1243</v>
      </c>
      <c r="D470" s="279">
        <v>250000</v>
      </c>
      <c r="E470" s="38">
        <v>101</v>
      </c>
      <c r="F470" s="40">
        <v>0.105</v>
      </c>
      <c r="G470" s="44">
        <v>35388</v>
      </c>
      <c r="H470" s="44">
        <v>40866</v>
      </c>
      <c r="I470" s="45">
        <v>15</v>
      </c>
      <c r="J470" s="45" t="s">
        <v>1716</v>
      </c>
      <c r="K470" s="39" t="s">
        <v>1716</v>
      </c>
      <c r="L470" s="39" t="s">
        <v>1014</v>
      </c>
      <c r="M470" s="38" t="str">
        <f t="shared" si="8"/>
        <v>Bon du Trésor</v>
      </c>
    </row>
    <row r="471" spans="1:13" x14ac:dyDescent="0.2">
      <c r="A471" s="38" t="s">
        <v>1035</v>
      </c>
      <c r="B471" s="38">
        <v>200123</v>
      </c>
      <c r="C471" s="38" t="s">
        <v>1202</v>
      </c>
      <c r="D471" s="279">
        <v>250000</v>
      </c>
      <c r="E471" s="38">
        <v>101</v>
      </c>
      <c r="F471" s="40">
        <v>0.105</v>
      </c>
      <c r="G471" s="44">
        <v>35394</v>
      </c>
      <c r="H471" s="44">
        <v>40872</v>
      </c>
      <c r="I471" s="45">
        <v>15</v>
      </c>
      <c r="J471" s="45" t="s">
        <v>1716</v>
      </c>
      <c r="K471" s="39" t="s">
        <v>1716</v>
      </c>
      <c r="L471" s="39" t="s">
        <v>1014</v>
      </c>
      <c r="M471" s="38" t="str">
        <f t="shared" si="8"/>
        <v>Bon du Trésor</v>
      </c>
    </row>
    <row r="472" spans="1:13" x14ac:dyDescent="0.2">
      <c r="A472" s="38" t="s">
        <v>1035</v>
      </c>
      <c r="B472" s="38">
        <v>200124</v>
      </c>
      <c r="C472" s="38" t="s">
        <v>1203</v>
      </c>
      <c r="D472" s="279">
        <v>250000</v>
      </c>
      <c r="E472" s="38">
        <v>101</v>
      </c>
      <c r="F472" s="40">
        <v>0.10249999999999999</v>
      </c>
      <c r="G472" s="44">
        <v>35401</v>
      </c>
      <c r="H472" s="44">
        <v>39053</v>
      </c>
      <c r="I472" s="45">
        <v>10</v>
      </c>
      <c r="J472" s="45" t="s">
        <v>1716</v>
      </c>
      <c r="K472" s="39" t="s">
        <v>1716</v>
      </c>
      <c r="L472" s="39" t="s">
        <v>1014</v>
      </c>
      <c r="M472" s="38" t="str">
        <f t="shared" si="8"/>
        <v>Bon du Trésor</v>
      </c>
    </row>
    <row r="473" spans="1:13" x14ac:dyDescent="0.2">
      <c r="A473" s="38" t="s">
        <v>1035</v>
      </c>
      <c r="B473" s="38">
        <v>200125</v>
      </c>
      <c r="C473" s="38" t="s">
        <v>1204</v>
      </c>
      <c r="D473" s="279">
        <v>250000</v>
      </c>
      <c r="E473" s="38">
        <v>101</v>
      </c>
      <c r="F473" s="40">
        <v>0.105</v>
      </c>
      <c r="G473" s="44">
        <v>35401</v>
      </c>
      <c r="H473" s="44">
        <v>40879</v>
      </c>
      <c r="I473" s="45">
        <v>15</v>
      </c>
      <c r="J473" s="45" t="s">
        <v>1716</v>
      </c>
      <c r="K473" s="39" t="s">
        <v>1716</v>
      </c>
      <c r="L473" s="39" t="s">
        <v>1014</v>
      </c>
      <c r="M473" s="38" t="str">
        <f t="shared" si="8"/>
        <v>Bon du Trésor</v>
      </c>
    </row>
    <row r="474" spans="1:13" x14ac:dyDescent="0.2">
      <c r="A474" s="38" t="s">
        <v>1035</v>
      </c>
      <c r="B474" s="38">
        <v>200126</v>
      </c>
      <c r="C474" s="38" t="s">
        <v>1205</v>
      </c>
      <c r="D474" s="279">
        <v>250000</v>
      </c>
      <c r="E474" s="38">
        <v>101</v>
      </c>
      <c r="F474" s="40">
        <v>0.105</v>
      </c>
      <c r="G474" s="44">
        <v>35408</v>
      </c>
      <c r="H474" s="44">
        <v>40886</v>
      </c>
      <c r="I474" s="45">
        <v>15</v>
      </c>
      <c r="J474" s="45" t="s">
        <v>1716</v>
      </c>
      <c r="K474" s="39" t="s">
        <v>1716</v>
      </c>
      <c r="L474" s="39" t="s">
        <v>1014</v>
      </c>
      <c r="M474" s="38" t="str">
        <f t="shared" si="8"/>
        <v>Bon du Trésor</v>
      </c>
    </row>
    <row r="475" spans="1:13" x14ac:dyDescent="0.2">
      <c r="A475" s="38" t="s">
        <v>1035</v>
      </c>
      <c r="B475" s="38">
        <v>200127</v>
      </c>
      <c r="C475" s="38" t="s">
        <v>1206</v>
      </c>
      <c r="D475" s="279">
        <v>250000</v>
      </c>
      <c r="E475" s="38">
        <v>101</v>
      </c>
      <c r="F475" s="40">
        <v>0.1</v>
      </c>
      <c r="G475" s="44">
        <v>35415</v>
      </c>
      <c r="H475" s="44">
        <v>37241</v>
      </c>
      <c r="I475" s="45">
        <v>5</v>
      </c>
      <c r="J475" s="45" t="s">
        <v>1716</v>
      </c>
      <c r="K475" s="39" t="s">
        <v>1716</v>
      </c>
      <c r="L475" s="39" t="s">
        <v>1014</v>
      </c>
      <c r="M475" s="38" t="str">
        <f t="shared" si="8"/>
        <v>Bon du Trésor</v>
      </c>
    </row>
    <row r="476" spans="1:13" x14ac:dyDescent="0.2">
      <c r="A476" s="38" t="s">
        <v>1035</v>
      </c>
      <c r="B476" s="38">
        <v>200128</v>
      </c>
      <c r="C476" s="38" t="s">
        <v>685</v>
      </c>
      <c r="D476" s="279">
        <v>250000</v>
      </c>
      <c r="E476" s="38">
        <v>101</v>
      </c>
      <c r="F476" s="40">
        <v>0.10249999999999999</v>
      </c>
      <c r="G476" s="44">
        <v>35415</v>
      </c>
      <c r="H476" s="44">
        <v>39067</v>
      </c>
      <c r="I476" s="45">
        <v>10</v>
      </c>
      <c r="J476" s="45" t="s">
        <v>1716</v>
      </c>
      <c r="K476" s="39" t="s">
        <v>1716</v>
      </c>
      <c r="L476" s="39" t="s">
        <v>1014</v>
      </c>
      <c r="M476" s="38" t="str">
        <f t="shared" si="8"/>
        <v>Bon du Trésor</v>
      </c>
    </row>
    <row r="477" spans="1:13" x14ac:dyDescent="0.2">
      <c r="A477" s="38" t="s">
        <v>1035</v>
      </c>
      <c r="B477" s="38">
        <v>200129</v>
      </c>
      <c r="C477" s="38" t="s">
        <v>686</v>
      </c>
      <c r="D477" s="279">
        <v>250000</v>
      </c>
      <c r="E477" s="38">
        <v>101</v>
      </c>
      <c r="F477" s="40">
        <v>0.105</v>
      </c>
      <c r="G477" s="44">
        <v>35415</v>
      </c>
      <c r="H477" s="44">
        <v>40893</v>
      </c>
      <c r="I477" s="45">
        <v>15</v>
      </c>
      <c r="J477" s="45" t="s">
        <v>1716</v>
      </c>
      <c r="K477" s="39" t="s">
        <v>1716</v>
      </c>
      <c r="L477" s="39" t="s">
        <v>1014</v>
      </c>
      <c r="M477" s="38" t="str">
        <f t="shared" si="8"/>
        <v>Bon du Trésor</v>
      </c>
    </row>
    <row r="478" spans="1:13" x14ac:dyDescent="0.2">
      <c r="A478" s="38" t="s">
        <v>1035</v>
      </c>
      <c r="B478" s="38">
        <v>200130</v>
      </c>
      <c r="C478" s="38" t="s">
        <v>598</v>
      </c>
      <c r="D478" s="279">
        <v>250000</v>
      </c>
      <c r="E478" s="38">
        <v>101</v>
      </c>
      <c r="F478" s="40">
        <v>0.10249999999999999</v>
      </c>
      <c r="G478" s="44">
        <v>35422</v>
      </c>
      <c r="H478" s="44">
        <v>39074</v>
      </c>
      <c r="I478" s="45">
        <v>10</v>
      </c>
      <c r="J478" s="45" t="s">
        <v>1716</v>
      </c>
      <c r="K478" s="39" t="s">
        <v>1716</v>
      </c>
      <c r="L478" s="39" t="s">
        <v>1014</v>
      </c>
      <c r="M478" s="38" t="str">
        <f t="shared" si="8"/>
        <v>Bon du Trésor</v>
      </c>
    </row>
    <row r="479" spans="1:13" x14ac:dyDescent="0.2">
      <c r="A479" s="38" t="s">
        <v>1035</v>
      </c>
      <c r="B479" s="38">
        <v>200131</v>
      </c>
      <c r="C479" s="38" t="s">
        <v>1103</v>
      </c>
      <c r="D479" s="279">
        <v>250000</v>
      </c>
      <c r="E479" s="38">
        <v>101</v>
      </c>
      <c r="F479" s="40">
        <v>0.105</v>
      </c>
      <c r="G479" s="44">
        <v>35422</v>
      </c>
      <c r="H479" s="44">
        <v>40900</v>
      </c>
      <c r="I479" s="45">
        <v>15</v>
      </c>
      <c r="J479" s="45" t="s">
        <v>1716</v>
      </c>
      <c r="K479" s="39" t="s">
        <v>1716</v>
      </c>
      <c r="L479" s="39" t="s">
        <v>1014</v>
      </c>
      <c r="M479" s="38" t="str">
        <f t="shared" si="8"/>
        <v>Bon du Trésor</v>
      </c>
    </row>
    <row r="480" spans="1:13" x14ac:dyDescent="0.2">
      <c r="A480" s="38" t="s">
        <v>1035</v>
      </c>
      <c r="B480" s="38">
        <v>200132</v>
      </c>
      <c r="C480" s="38" t="s">
        <v>1104</v>
      </c>
      <c r="D480" s="279">
        <v>250000</v>
      </c>
      <c r="E480" s="38">
        <v>101</v>
      </c>
      <c r="F480" s="40">
        <v>0.1</v>
      </c>
      <c r="G480" s="44">
        <v>35429</v>
      </c>
      <c r="H480" s="44">
        <v>37255</v>
      </c>
      <c r="I480" s="45">
        <v>5</v>
      </c>
      <c r="J480" s="45" t="s">
        <v>1716</v>
      </c>
      <c r="K480" s="39" t="s">
        <v>1716</v>
      </c>
      <c r="L480" s="39" t="s">
        <v>1014</v>
      </c>
      <c r="M480" s="38" t="str">
        <f t="shared" si="8"/>
        <v>Bon du Trésor</v>
      </c>
    </row>
    <row r="481" spans="1:13" x14ac:dyDescent="0.2">
      <c r="A481" s="38" t="s">
        <v>1035</v>
      </c>
      <c r="B481" s="38">
        <v>200133</v>
      </c>
      <c r="C481" s="38" t="s">
        <v>1105</v>
      </c>
      <c r="D481" s="279">
        <v>250000</v>
      </c>
      <c r="E481" s="38">
        <v>101</v>
      </c>
      <c r="F481" s="40">
        <v>0.10249999999999999</v>
      </c>
      <c r="G481" s="44">
        <v>35429</v>
      </c>
      <c r="H481" s="44">
        <v>39081</v>
      </c>
      <c r="I481" s="45">
        <v>10</v>
      </c>
      <c r="J481" s="45" t="s">
        <v>1716</v>
      </c>
      <c r="K481" s="39" t="s">
        <v>1716</v>
      </c>
      <c r="L481" s="39" t="s">
        <v>1014</v>
      </c>
      <c r="M481" s="38" t="str">
        <f t="shared" si="8"/>
        <v>Bon du Trésor</v>
      </c>
    </row>
    <row r="482" spans="1:13" x14ac:dyDescent="0.2">
      <c r="A482" s="38" t="s">
        <v>1035</v>
      </c>
      <c r="B482" s="38">
        <v>200134</v>
      </c>
      <c r="C482" s="38" t="s">
        <v>1106</v>
      </c>
      <c r="D482" s="279">
        <v>250000</v>
      </c>
      <c r="E482" s="38">
        <v>101</v>
      </c>
      <c r="F482" s="40">
        <v>0.105</v>
      </c>
      <c r="G482" s="44">
        <v>35429</v>
      </c>
      <c r="H482" s="44">
        <v>40907</v>
      </c>
      <c r="I482" s="45">
        <v>15</v>
      </c>
      <c r="J482" s="45" t="s">
        <v>1716</v>
      </c>
      <c r="K482" s="39" t="s">
        <v>1716</v>
      </c>
      <c r="L482" s="39" t="s">
        <v>1014</v>
      </c>
      <c r="M482" s="38" t="str">
        <f t="shared" si="8"/>
        <v>Bon du Trésor</v>
      </c>
    </row>
    <row r="483" spans="1:13" x14ac:dyDescent="0.2">
      <c r="A483" s="38" t="s">
        <v>1035</v>
      </c>
      <c r="B483" s="38">
        <v>200135</v>
      </c>
      <c r="C483" s="38" t="s">
        <v>1107</v>
      </c>
      <c r="D483" s="279">
        <v>250000</v>
      </c>
      <c r="E483" s="38">
        <v>101</v>
      </c>
      <c r="F483" s="40">
        <v>0.1</v>
      </c>
      <c r="G483" s="44">
        <v>35436</v>
      </c>
      <c r="H483" s="44">
        <v>37262</v>
      </c>
      <c r="I483" s="45">
        <v>5</v>
      </c>
      <c r="J483" s="45" t="s">
        <v>1716</v>
      </c>
      <c r="K483" s="39" t="s">
        <v>1716</v>
      </c>
      <c r="L483" s="39" t="s">
        <v>1014</v>
      </c>
      <c r="M483" s="38" t="str">
        <f t="shared" si="8"/>
        <v>Bon du Trésor</v>
      </c>
    </row>
    <row r="484" spans="1:13" x14ac:dyDescent="0.2">
      <c r="A484" s="38" t="s">
        <v>1035</v>
      </c>
      <c r="B484" s="38">
        <v>200136</v>
      </c>
      <c r="C484" s="38" t="s">
        <v>1108</v>
      </c>
      <c r="D484" s="279">
        <v>250000</v>
      </c>
      <c r="E484" s="38">
        <v>101</v>
      </c>
      <c r="F484" s="40">
        <v>0.1</v>
      </c>
      <c r="G484" s="44">
        <v>35443</v>
      </c>
      <c r="H484" s="44">
        <v>37269</v>
      </c>
      <c r="I484" s="45">
        <v>5</v>
      </c>
      <c r="J484" s="45" t="s">
        <v>1716</v>
      </c>
      <c r="K484" s="39" t="s">
        <v>1716</v>
      </c>
      <c r="L484" s="39" t="s">
        <v>1014</v>
      </c>
      <c r="M484" s="38" t="str">
        <f t="shared" si="8"/>
        <v>Bon du Trésor</v>
      </c>
    </row>
    <row r="485" spans="1:13" x14ac:dyDescent="0.2">
      <c r="A485" s="38" t="s">
        <v>1035</v>
      </c>
      <c r="B485" s="38">
        <v>200137</v>
      </c>
      <c r="C485" s="38" t="s">
        <v>39</v>
      </c>
      <c r="D485" s="279">
        <v>250000</v>
      </c>
      <c r="E485" s="38">
        <v>101</v>
      </c>
      <c r="F485" s="40">
        <v>0.10249999999999999</v>
      </c>
      <c r="G485" s="44">
        <v>35443</v>
      </c>
      <c r="H485" s="44">
        <v>39095</v>
      </c>
      <c r="I485" s="45">
        <v>10</v>
      </c>
      <c r="J485" s="45" t="s">
        <v>1716</v>
      </c>
      <c r="K485" s="39" t="s">
        <v>1716</v>
      </c>
      <c r="L485" s="39" t="s">
        <v>1014</v>
      </c>
      <c r="M485" s="38" t="str">
        <f t="shared" si="8"/>
        <v>Bon du Trésor</v>
      </c>
    </row>
    <row r="486" spans="1:13" x14ac:dyDescent="0.2">
      <c r="A486" s="38" t="s">
        <v>1035</v>
      </c>
      <c r="B486" s="38">
        <v>200138</v>
      </c>
      <c r="C486" s="38" t="s">
        <v>41</v>
      </c>
      <c r="D486" s="279">
        <v>250000</v>
      </c>
      <c r="E486" s="38">
        <v>101</v>
      </c>
      <c r="F486" s="40">
        <v>0.105</v>
      </c>
      <c r="G486" s="44">
        <v>35443</v>
      </c>
      <c r="H486" s="44">
        <v>40921</v>
      </c>
      <c r="I486" s="45">
        <v>15</v>
      </c>
      <c r="J486" s="45" t="s">
        <v>1716</v>
      </c>
      <c r="K486" s="39" t="s">
        <v>1716</v>
      </c>
      <c r="L486" s="39" t="s">
        <v>1014</v>
      </c>
      <c r="M486" s="38" t="str">
        <f t="shared" si="8"/>
        <v>Bon du Trésor</v>
      </c>
    </row>
    <row r="487" spans="1:13" x14ac:dyDescent="0.2">
      <c r="A487" s="38" t="s">
        <v>1035</v>
      </c>
      <c r="B487" s="38">
        <v>200139</v>
      </c>
      <c r="C487" s="38" t="s">
        <v>42</v>
      </c>
      <c r="D487" s="279">
        <v>250000</v>
      </c>
      <c r="E487" s="38">
        <v>101</v>
      </c>
      <c r="F487" s="40">
        <v>0.1</v>
      </c>
      <c r="G487" s="44">
        <v>35450</v>
      </c>
      <c r="H487" s="44">
        <v>37276</v>
      </c>
      <c r="I487" s="45">
        <v>5</v>
      </c>
      <c r="J487" s="45" t="s">
        <v>1716</v>
      </c>
      <c r="K487" s="39" t="s">
        <v>1716</v>
      </c>
      <c r="L487" s="39" t="s">
        <v>1014</v>
      </c>
      <c r="M487" s="38" t="str">
        <f t="shared" si="8"/>
        <v>Bon du Trésor</v>
      </c>
    </row>
    <row r="488" spans="1:13" x14ac:dyDescent="0.2">
      <c r="A488" s="38" t="s">
        <v>1035</v>
      </c>
      <c r="B488" s="38">
        <v>200140</v>
      </c>
      <c r="C488" s="38" t="s">
        <v>43</v>
      </c>
      <c r="D488" s="279">
        <v>250000</v>
      </c>
      <c r="E488" s="38">
        <v>101</v>
      </c>
      <c r="F488" s="40">
        <v>0.10249999999999999</v>
      </c>
      <c r="G488" s="44">
        <v>35450</v>
      </c>
      <c r="H488" s="44">
        <v>39102</v>
      </c>
      <c r="I488" s="45">
        <v>10</v>
      </c>
      <c r="J488" s="45" t="s">
        <v>1716</v>
      </c>
      <c r="K488" s="39" t="s">
        <v>1716</v>
      </c>
      <c r="L488" s="39" t="s">
        <v>1014</v>
      </c>
      <c r="M488" s="38" t="str">
        <f t="shared" si="8"/>
        <v>Bon du Trésor</v>
      </c>
    </row>
    <row r="489" spans="1:13" x14ac:dyDescent="0.2">
      <c r="A489" s="38" t="s">
        <v>1035</v>
      </c>
      <c r="B489" s="38">
        <v>200141</v>
      </c>
      <c r="C489" s="38" t="s">
        <v>44</v>
      </c>
      <c r="D489" s="279">
        <v>250000</v>
      </c>
      <c r="E489" s="38">
        <v>101</v>
      </c>
      <c r="F489" s="40">
        <v>0.105</v>
      </c>
      <c r="G489" s="44">
        <v>35450</v>
      </c>
      <c r="H489" s="44">
        <v>40928</v>
      </c>
      <c r="I489" s="45">
        <v>15</v>
      </c>
      <c r="J489" s="45" t="s">
        <v>1716</v>
      </c>
      <c r="K489" s="39" t="s">
        <v>1716</v>
      </c>
      <c r="L489" s="39" t="s">
        <v>1014</v>
      </c>
      <c r="M489" s="38" t="str">
        <f t="shared" si="8"/>
        <v>Bon du Trésor</v>
      </c>
    </row>
    <row r="490" spans="1:13" x14ac:dyDescent="0.2">
      <c r="A490" s="38" t="s">
        <v>1035</v>
      </c>
      <c r="B490" s="38">
        <v>200142</v>
      </c>
      <c r="C490" s="38" t="s">
        <v>45</v>
      </c>
      <c r="D490" s="279">
        <v>250000</v>
      </c>
      <c r="E490" s="38">
        <v>101</v>
      </c>
      <c r="F490" s="40">
        <v>0.1</v>
      </c>
      <c r="G490" s="44">
        <v>35457</v>
      </c>
      <c r="H490" s="44">
        <v>37283</v>
      </c>
      <c r="I490" s="45">
        <v>5</v>
      </c>
      <c r="J490" s="45" t="s">
        <v>1716</v>
      </c>
      <c r="K490" s="39" t="s">
        <v>1716</v>
      </c>
      <c r="L490" s="39" t="s">
        <v>1014</v>
      </c>
      <c r="M490" s="38" t="str">
        <f t="shared" si="8"/>
        <v>Bon du Trésor</v>
      </c>
    </row>
    <row r="491" spans="1:13" x14ac:dyDescent="0.2">
      <c r="A491" s="38" t="s">
        <v>1035</v>
      </c>
      <c r="B491" s="38">
        <v>200143</v>
      </c>
      <c r="C491" s="38" t="s">
        <v>46</v>
      </c>
      <c r="D491" s="279">
        <v>250000</v>
      </c>
      <c r="E491" s="38">
        <v>101</v>
      </c>
      <c r="F491" s="40">
        <v>0.105</v>
      </c>
      <c r="G491" s="44">
        <v>35457</v>
      </c>
      <c r="H491" s="44">
        <v>40935</v>
      </c>
      <c r="I491" s="45">
        <v>15</v>
      </c>
      <c r="J491" s="45" t="s">
        <v>1716</v>
      </c>
      <c r="K491" s="39" t="s">
        <v>1716</v>
      </c>
      <c r="L491" s="39" t="s">
        <v>1014</v>
      </c>
      <c r="M491" s="38" t="str">
        <f t="shared" si="8"/>
        <v>Bon du Trésor</v>
      </c>
    </row>
    <row r="492" spans="1:13" x14ac:dyDescent="0.2">
      <c r="A492" s="38" t="s">
        <v>1035</v>
      </c>
      <c r="B492" s="38">
        <v>200144</v>
      </c>
      <c r="C492" s="38" t="s">
        <v>47</v>
      </c>
      <c r="D492" s="279">
        <v>250000</v>
      </c>
      <c r="E492" s="38">
        <v>101</v>
      </c>
      <c r="F492" s="40">
        <v>0.1</v>
      </c>
      <c r="G492" s="44">
        <v>35464</v>
      </c>
      <c r="H492" s="44">
        <v>37290</v>
      </c>
      <c r="I492" s="45">
        <v>5</v>
      </c>
      <c r="J492" s="45" t="s">
        <v>1716</v>
      </c>
      <c r="K492" s="39" t="s">
        <v>1716</v>
      </c>
      <c r="L492" s="39" t="s">
        <v>1014</v>
      </c>
      <c r="M492" s="38" t="str">
        <f t="shared" si="8"/>
        <v>Bon du Trésor</v>
      </c>
    </row>
    <row r="493" spans="1:13" x14ac:dyDescent="0.2">
      <c r="A493" s="38" t="s">
        <v>1035</v>
      </c>
      <c r="B493" s="38">
        <v>200145</v>
      </c>
      <c r="C493" s="38" t="s">
        <v>48</v>
      </c>
      <c r="D493" s="279">
        <v>250000</v>
      </c>
      <c r="E493" s="38">
        <v>101</v>
      </c>
      <c r="F493" s="40">
        <v>0.105</v>
      </c>
      <c r="G493" s="44">
        <v>35464</v>
      </c>
      <c r="H493" s="44">
        <v>40942</v>
      </c>
      <c r="I493" s="45">
        <v>15</v>
      </c>
      <c r="J493" s="45" t="s">
        <v>1716</v>
      </c>
      <c r="K493" s="39" t="s">
        <v>1716</v>
      </c>
      <c r="L493" s="39" t="s">
        <v>1014</v>
      </c>
      <c r="M493" s="38" t="str">
        <f t="shared" si="8"/>
        <v>Bon du Trésor</v>
      </c>
    </row>
    <row r="494" spans="1:13" x14ac:dyDescent="0.2">
      <c r="A494" s="38" t="s">
        <v>1035</v>
      </c>
      <c r="B494" s="38">
        <v>200146</v>
      </c>
      <c r="C494" s="38" t="s">
        <v>1169</v>
      </c>
      <c r="D494" s="279">
        <v>250000</v>
      </c>
      <c r="E494" s="38">
        <v>101</v>
      </c>
      <c r="F494" s="40">
        <v>0.1</v>
      </c>
      <c r="G494" s="44">
        <v>35472</v>
      </c>
      <c r="H494" s="44">
        <v>37298</v>
      </c>
      <c r="I494" s="45">
        <v>5</v>
      </c>
      <c r="J494" s="45" t="s">
        <v>1716</v>
      </c>
      <c r="K494" s="39" t="s">
        <v>1716</v>
      </c>
      <c r="L494" s="39" t="s">
        <v>1014</v>
      </c>
      <c r="M494" s="38" t="str">
        <f t="shared" si="8"/>
        <v>Bon du Trésor</v>
      </c>
    </row>
    <row r="495" spans="1:13" x14ac:dyDescent="0.2">
      <c r="A495" s="38" t="s">
        <v>1035</v>
      </c>
      <c r="B495" s="38">
        <v>200147</v>
      </c>
      <c r="C495" s="38" t="s">
        <v>679</v>
      </c>
      <c r="D495" s="279">
        <v>250000</v>
      </c>
      <c r="E495" s="38">
        <v>101</v>
      </c>
      <c r="F495" s="40">
        <v>0.105</v>
      </c>
      <c r="G495" s="44">
        <v>35472</v>
      </c>
      <c r="H495" s="44">
        <v>40950</v>
      </c>
      <c r="I495" s="45">
        <v>15</v>
      </c>
      <c r="J495" s="45" t="s">
        <v>1716</v>
      </c>
      <c r="K495" s="39" t="s">
        <v>1716</v>
      </c>
      <c r="L495" s="39" t="s">
        <v>1014</v>
      </c>
      <c r="M495" s="38" t="str">
        <f t="shared" si="8"/>
        <v>Bon du Trésor</v>
      </c>
    </row>
    <row r="496" spans="1:13" x14ac:dyDescent="0.2">
      <c r="A496" s="38" t="s">
        <v>1035</v>
      </c>
      <c r="B496" s="38">
        <v>200148</v>
      </c>
      <c r="C496" s="38" t="s">
        <v>680</v>
      </c>
      <c r="D496" s="279">
        <v>250000</v>
      </c>
      <c r="E496" s="38">
        <v>101</v>
      </c>
      <c r="F496" s="40">
        <v>0.1</v>
      </c>
      <c r="G496" s="44">
        <v>35478</v>
      </c>
      <c r="H496" s="44">
        <v>37304</v>
      </c>
      <c r="I496" s="45">
        <v>5</v>
      </c>
      <c r="J496" s="45" t="s">
        <v>1716</v>
      </c>
      <c r="K496" s="39" t="s">
        <v>1716</v>
      </c>
      <c r="L496" s="39" t="s">
        <v>1014</v>
      </c>
      <c r="M496" s="38" t="str">
        <f t="shared" si="8"/>
        <v>Bon du Trésor</v>
      </c>
    </row>
    <row r="497" spans="1:13" x14ac:dyDescent="0.2">
      <c r="A497" s="38" t="s">
        <v>1035</v>
      </c>
      <c r="B497" s="38">
        <v>200149</v>
      </c>
      <c r="C497" s="38" t="s">
        <v>681</v>
      </c>
      <c r="D497" s="279">
        <v>250000</v>
      </c>
      <c r="E497" s="38">
        <v>101</v>
      </c>
      <c r="F497" s="40">
        <v>0.105</v>
      </c>
      <c r="G497" s="44">
        <v>35478</v>
      </c>
      <c r="H497" s="44">
        <v>40956</v>
      </c>
      <c r="I497" s="45">
        <v>15</v>
      </c>
      <c r="J497" s="45" t="s">
        <v>1716</v>
      </c>
      <c r="K497" s="39" t="s">
        <v>1716</v>
      </c>
      <c r="L497" s="39" t="s">
        <v>1014</v>
      </c>
      <c r="M497" s="38" t="str">
        <f t="shared" si="8"/>
        <v>Bon du Trésor</v>
      </c>
    </row>
    <row r="498" spans="1:13" x14ac:dyDescent="0.2">
      <c r="A498" s="38" t="s">
        <v>1035</v>
      </c>
      <c r="B498" s="38">
        <v>200150</v>
      </c>
      <c r="C498" s="38" t="s">
        <v>682</v>
      </c>
      <c r="D498" s="279">
        <v>250000</v>
      </c>
      <c r="E498" s="38">
        <v>101</v>
      </c>
      <c r="F498" s="40">
        <v>0.1</v>
      </c>
      <c r="G498" s="44">
        <v>35485</v>
      </c>
      <c r="H498" s="44">
        <v>37311</v>
      </c>
      <c r="I498" s="45">
        <v>5</v>
      </c>
      <c r="J498" s="45" t="s">
        <v>1716</v>
      </c>
      <c r="K498" s="39" t="s">
        <v>1716</v>
      </c>
      <c r="L498" s="39" t="s">
        <v>1014</v>
      </c>
      <c r="M498" s="38" t="str">
        <f t="shared" si="8"/>
        <v>Bon du Trésor</v>
      </c>
    </row>
    <row r="499" spans="1:13" x14ac:dyDescent="0.2">
      <c r="A499" s="38" t="s">
        <v>1035</v>
      </c>
      <c r="B499" s="38">
        <v>200151</v>
      </c>
      <c r="C499" s="38" t="s">
        <v>1791</v>
      </c>
      <c r="D499" s="279">
        <v>250000</v>
      </c>
      <c r="E499" s="38">
        <v>101</v>
      </c>
      <c r="F499" s="40">
        <v>0.105</v>
      </c>
      <c r="G499" s="44">
        <v>35485</v>
      </c>
      <c r="H499" s="44">
        <v>40963</v>
      </c>
      <c r="I499" s="45">
        <v>15</v>
      </c>
      <c r="J499" s="45" t="s">
        <v>1716</v>
      </c>
      <c r="K499" s="39" t="s">
        <v>1716</v>
      </c>
      <c r="L499" s="39" t="s">
        <v>1014</v>
      </c>
      <c r="M499" s="38" t="str">
        <f t="shared" si="8"/>
        <v>Bon du Trésor</v>
      </c>
    </row>
    <row r="500" spans="1:13" x14ac:dyDescent="0.2">
      <c r="A500" s="38" t="s">
        <v>1035</v>
      </c>
      <c r="B500" s="38">
        <v>200152</v>
      </c>
      <c r="C500" s="38" t="s">
        <v>1775</v>
      </c>
      <c r="D500" s="279">
        <v>250000</v>
      </c>
      <c r="E500" s="38">
        <v>101</v>
      </c>
      <c r="F500" s="40">
        <v>0.1</v>
      </c>
      <c r="G500" s="44">
        <v>35493</v>
      </c>
      <c r="H500" s="44">
        <v>37319</v>
      </c>
      <c r="I500" s="45">
        <v>5</v>
      </c>
      <c r="J500" s="45" t="s">
        <v>1716</v>
      </c>
      <c r="K500" s="39" t="s">
        <v>1716</v>
      </c>
      <c r="L500" s="39" t="s">
        <v>1014</v>
      </c>
      <c r="M500" s="38" t="str">
        <f t="shared" si="8"/>
        <v>Bon du Trésor</v>
      </c>
    </row>
    <row r="501" spans="1:13" x14ac:dyDescent="0.2">
      <c r="A501" s="38" t="s">
        <v>1035</v>
      </c>
      <c r="B501" s="38">
        <v>200153</v>
      </c>
      <c r="C501" s="38" t="s">
        <v>436</v>
      </c>
      <c r="D501" s="279">
        <v>250000</v>
      </c>
      <c r="E501" s="38">
        <v>101</v>
      </c>
      <c r="F501" s="40">
        <v>0.105</v>
      </c>
      <c r="G501" s="44">
        <v>35493</v>
      </c>
      <c r="H501" s="44">
        <v>40972</v>
      </c>
      <c r="I501" s="45">
        <v>15</v>
      </c>
      <c r="J501" s="45" t="s">
        <v>1716</v>
      </c>
      <c r="K501" s="39" t="s">
        <v>1716</v>
      </c>
      <c r="L501" s="39" t="s">
        <v>1014</v>
      </c>
      <c r="M501" s="38" t="str">
        <f t="shared" si="8"/>
        <v>Bon du Trésor</v>
      </c>
    </row>
    <row r="502" spans="1:13" x14ac:dyDescent="0.2">
      <c r="A502" s="38" t="s">
        <v>1035</v>
      </c>
      <c r="B502" s="38">
        <v>200154</v>
      </c>
      <c r="C502" s="38" t="s">
        <v>437</v>
      </c>
      <c r="D502" s="279">
        <v>250000</v>
      </c>
      <c r="E502" s="38">
        <v>101</v>
      </c>
      <c r="F502" s="40">
        <v>0.1</v>
      </c>
      <c r="G502" s="44">
        <v>35499</v>
      </c>
      <c r="H502" s="44">
        <v>37325</v>
      </c>
      <c r="I502" s="45">
        <v>5</v>
      </c>
      <c r="J502" s="45" t="s">
        <v>1716</v>
      </c>
      <c r="K502" s="39" t="s">
        <v>1716</v>
      </c>
      <c r="L502" s="39" t="s">
        <v>1014</v>
      </c>
      <c r="M502" s="38" t="str">
        <f t="shared" si="8"/>
        <v>Bon du Trésor</v>
      </c>
    </row>
    <row r="503" spans="1:13" x14ac:dyDescent="0.2">
      <c r="A503" s="38" t="s">
        <v>1035</v>
      </c>
      <c r="B503" s="38">
        <v>200155</v>
      </c>
      <c r="C503" s="38" t="s">
        <v>438</v>
      </c>
      <c r="D503" s="279">
        <v>250000</v>
      </c>
      <c r="E503" s="38">
        <v>101</v>
      </c>
      <c r="F503" s="40">
        <v>0.105</v>
      </c>
      <c r="G503" s="44">
        <v>35499</v>
      </c>
      <c r="H503" s="44">
        <v>40978</v>
      </c>
      <c r="I503" s="45">
        <v>15</v>
      </c>
      <c r="J503" s="45" t="s">
        <v>1716</v>
      </c>
      <c r="K503" s="39" t="s">
        <v>1716</v>
      </c>
      <c r="L503" s="39" t="s">
        <v>1014</v>
      </c>
      <c r="M503" s="38" t="str">
        <f t="shared" si="8"/>
        <v>Bon du Trésor</v>
      </c>
    </row>
    <row r="504" spans="1:13" x14ac:dyDescent="0.2">
      <c r="A504" s="38" t="s">
        <v>1035</v>
      </c>
      <c r="B504" s="38">
        <v>200156</v>
      </c>
      <c r="C504" s="38" t="s">
        <v>439</v>
      </c>
      <c r="D504" s="279">
        <v>250000</v>
      </c>
      <c r="E504" s="38">
        <v>101</v>
      </c>
      <c r="F504" s="40">
        <v>9.5000000000000001E-2</v>
      </c>
      <c r="G504" s="44">
        <v>35506</v>
      </c>
      <c r="H504" s="44">
        <v>37332</v>
      </c>
      <c r="I504" s="45">
        <v>5</v>
      </c>
      <c r="J504" s="45" t="s">
        <v>1716</v>
      </c>
      <c r="K504" s="39" t="s">
        <v>1716</v>
      </c>
      <c r="L504" s="39" t="s">
        <v>1014</v>
      </c>
      <c r="M504" s="38" t="str">
        <f t="shared" si="8"/>
        <v>Bon du Trésor</v>
      </c>
    </row>
    <row r="505" spans="1:13" x14ac:dyDescent="0.2">
      <c r="A505" s="38" t="s">
        <v>1035</v>
      </c>
      <c r="B505" s="38">
        <v>200157</v>
      </c>
      <c r="C505" s="38" t="s">
        <v>440</v>
      </c>
      <c r="D505" s="279">
        <v>250000</v>
      </c>
      <c r="E505" s="38">
        <v>101</v>
      </c>
      <c r="F505" s="40">
        <v>0.105</v>
      </c>
      <c r="G505" s="44">
        <v>35506</v>
      </c>
      <c r="H505" s="44">
        <v>40985</v>
      </c>
      <c r="I505" s="45">
        <v>15</v>
      </c>
      <c r="J505" s="45" t="s">
        <v>1716</v>
      </c>
      <c r="K505" s="39" t="s">
        <v>1716</v>
      </c>
      <c r="L505" s="39" t="s">
        <v>1014</v>
      </c>
      <c r="M505" s="38" t="str">
        <f t="shared" si="8"/>
        <v>Bon du Trésor</v>
      </c>
    </row>
    <row r="506" spans="1:13" x14ac:dyDescent="0.2">
      <c r="A506" s="38" t="s">
        <v>1035</v>
      </c>
      <c r="B506" s="38">
        <v>200158</v>
      </c>
      <c r="C506" s="38" t="s">
        <v>1200</v>
      </c>
      <c r="D506" s="279">
        <v>250000</v>
      </c>
      <c r="E506" s="38">
        <v>101</v>
      </c>
      <c r="F506" s="40">
        <v>9.5000000000000001E-2</v>
      </c>
      <c r="G506" s="44">
        <v>35513</v>
      </c>
      <c r="H506" s="44">
        <v>37339</v>
      </c>
      <c r="I506" s="45">
        <v>5</v>
      </c>
      <c r="J506" s="45" t="s">
        <v>1716</v>
      </c>
      <c r="K506" s="39" t="s">
        <v>1716</v>
      </c>
      <c r="L506" s="39" t="s">
        <v>1014</v>
      </c>
      <c r="M506" s="38" t="str">
        <f t="shared" si="8"/>
        <v>Bon du Trésor</v>
      </c>
    </row>
    <row r="507" spans="1:13" x14ac:dyDescent="0.2">
      <c r="A507" s="38" t="s">
        <v>1035</v>
      </c>
      <c r="B507" s="38">
        <v>200159</v>
      </c>
      <c r="C507" s="38" t="s">
        <v>1201</v>
      </c>
      <c r="D507" s="279">
        <v>250000</v>
      </c>
      <c r="E507" s="38">
        <v>101</v>
      </c>
      <c r="F507" s="40">
        <v>0.10249999999999999</v>
      </c>
      <c r="G507" s="44">
        <v>35513</v>
      </c>
      <c r="H507" s="44">
        <v>39165</v>
      </c>
      <c r="I507" s="45">
        <v>10</v>
      </c>
      <c r="J507" s="45" t="s">
        <v>1716</v>
      </c>
      <c r="K507" s="39" t="s">
        <v>1716</v>
      </c>
      <c r="L507" s="39" t="s">
        <v>1014</v>
      </c>
      <c r="M507" s="38" t="str">
        <f t="shared" si="8"/>
        <v>Bon du Trésor</v>
      </c>
    </row>
    <row r="508" spans="1:13" x14ac:dyDescent="0.2">
      <c r="A508" s="38" t="s">
        <v>1035</v>
      </c>
      <c r="B508" s="38">
        <v>200160</v>
      </c>
      <c r="C508" s="38" t="s">
        <v>1741</v>
      </c>
      <c r="D508" s="279">
        <v>250000</v>
      </c>
      <c r="E508" s="38">
        <v>101</v>
      </c>
      <c r="F508" s="40">
        <v>0.105</v>
      </c>
      <c r="G508" s="44">
        <v>35513</v>
      </c>
      <c r="H508" s="44">
        <v>40992</v>
      </c>
      <c r="I508" s="45">
        <v>15</v>
      </c>
      <c r="J508" s="45" t="s">
        <v>1716</v>
      </c>
      <c r="K508" s="39" t="s">
        <v>1716</v>
      </c>
      <c r="L508" s="39" t="s">
        <v>1014</v>
      </c>
      <c r="M508" s="38" t="str">
        <f t="shared" si="8"/>
        <v>Bon du Trésor</v>
      </c>
    </row>
    <row r="509" spans="1:13" x14ac:dyDescent="0.2">
      <c r="A509" s="38" t="s">
        <v>1035</v>
      </c>
      <c r="B509" s="38">
        <v>200161</v>
      </c>
      <c r="C509" s="38" t="s">
        <v>594</v>
      </c>
      <c r="D509" s="279">
        <v>250000</v>
      </c>
      <c r="E509" s="38">
        <v>101</v>
      </c>
      <c r="F509" s="40">
        <v>9.5000000000000001E-2</v>
      </c>
      <c r="G509" s="44">
        <v>35520</v>
      </c>
      <c r="H509" s="44">
        <v>37346</v>
      </c>
      <c r="I509" s="45">
        <v>5</v>
      </c>
      <c r="J509" s="45" t="s">
        <v>1716</v>
      </c>
      <c r="K509" s="39" t="s">
        <v>1716</v>
      </c>
      <c r="L509" s="39" t="s">
        <v>1014</v>
      </c>
      <c r="M509" s="38" t="str">
        <f t="shared" si="8"/>
        <v>Bon du Trésor</v>
      </c>
    </row>
    <row r="510" spans="1:13" x14ac:dyDescent="0.2">
      <c r="A510" s="38" t="s">
        <v>1035</v>
      </c>
      <c r="B510" s="38">
        <v>200163</v>
      </c>
      <c r="C510" s="38" t="s">
        <v>595</v>
      </c>
      <c r="D510" s="279">
        <v>250000</v>
      </c>
      <c r="E510" s="38">
        <v>101</v>
      </c>
      <c r="F510" s="40">
        <v>9.5000000000000001E-2</v>
      </c>
      <c r="G510" s="44">
        <v>35527</v>
      </c>
      <c r="H510" s="44">
        <v>37353</v>
      </c>
      <c r="I510" s="45">
        <v>5</v>
      </c>
      <c r="J510" s="45" t="s">
        <v>1716</v>
      </c>
      <c r="K510" s="39" t="s">
        <v>1716</v>
      </c>
      <c r="L510" s="39" t="s">
        <v>1014</v>
      </c>
      <c r="M510" s="38" t="str">
        <f t="shared" si="8"/>
        <v>Bon du Trésor</v>
      </c>
    </row>
    <row r="511" spans="1:13" x14ac:dyDescent="0.2">
      <c r="A511" s="38" t="s">
        <v>1035</v>
      </c>
      <c r="B511" s="38">
        <v>200164</v>
      </c>
      <c r="C511" s="38" t="s">
        <v>939</v>
      </c>
      <c r="D511" s="279">
        <v>250000</v>
      </c>
      <c r="E511" s="38">
        <v>101</v>
      </c>
      <c r="F511" s="40">
        <v>0.10249999999999999</v>
      </c>
      <c r="G511" s="44">
        <v>35527</v>
      </c>
      <c r="H511" s="44">
        <v>41006</v>
      </c>
      <c r="I511" s="45">
        <v>15</v>
      </c>
      <c r="J511" s="45" t="s">
        <v>1716</v>
      </c>
      <c r="K511" s="39" t="s">
        <v>1716</v>
      </c>
      <c r="L511" s="39" t="s">
        <v>1014</v>
      </c>
      <c r="M511" s="38" t="str">
        <f t="shared" si="8"/>
        <v>Bon du Trésor</v>
      </c>
    </row>
    <row r="512" spans="1:13" x14ac:dyDescent="0.2">
      <c r="A512" s="38" t="s">
        <v>1035</v>
      </c>
      <c r="B512" s="38">
        <v>200165</v>
      </c>
      <c r="C512" s="38" t="s">
        <v>940</v>
      </c>
      <c r="D512" s="279">
        <v>250000</v>
      </c>
      <c r="E512" s="38">
        <v>101</v>
      </c>
      <c r="F512" s="40">
        <v>9.5000000000000001E-2</v>
      </c>
      <c r="G512" s="44">
        <v>35534</v>
      </c>
      <c r="H512" s="44">
        <v>37360</v>
      </c>
      <c r="I512" s="45">
        <v>5</v>
      </c>
      <c r="J512" s="45" t="s">
        <v>1716</v>
      </c>
      <c r="K512" s="39" t="s">
        <v>1716</v>
      </c>
      <c r="L512" s="39" t="s">
        <v>1014</v>
      </c>
      <c r="M512" s="38" t="str">
        <f t="shared" si="8"/>
        <v>Bon du Trésor</v>
      </c>
    </row>
    <row r="513" spans="1:13" x14ac:dyDescent="0.2">
      <c r="A513" s="38" t="s">
        <v>1035</v>
      </c>
      <c r="B513" s="38">
        <v>200166</v>
      </c>
      <c r="C513" s="38" t="s">
        <v>941</v>
      </c>
      <c r="D513" s="279">
        <v>250000</v>
      </c>
      <c r="E513" s="38">
        <v>101</v>
      </c>
      <c r="F513" s="40">
        <v>0.1</v>
      </c>
      <c r="G513" s="44">
        <v>35534</v>
      </c>
      <c r="H513" s="44">
        <v>39186</v>
      </c>
      <c r="I513" s="45">
        <v>10</v>
      </c>
      <c r="J513" s="45" t="s">
        <v>1716</v>
      </c>
      <c r="K513" s="39" t="s">
        <v>1716</v>
      </c>
      <c r="L513" s="39" t="s">
        <v>1014</v>
      </c>
      <c r="M513" s="38" t="str">
        <f t="shared" si="8"/>
        <v>Bon du Trésor</v>
      </c>
    </row>
    <row r="514" spans="1:13" x14ac:dyDescent="0.2">
      <c r="A514" s="38" t="s">
        <v>1035</v>
      </c>
      <c r="B514" s="38">
        <v>200167</v>
      </c>
      <c r="C514" s="38" t="s">
        <v>431</v>
      </c>
      <c r="D514" s="279">
        <v>250000</v>
      </c>
      <c r="E514" s="38">
        <v>101</v>
      </c>
      <c r="F514" s="40">
        <v>0.10249999999999999</v>
      </c>
      <c r="G514" s="44">
        <v>35534</v>
      </c>
      <c r="H514" s="44">
        <v>41013</v>
      </c>
      <c r="I514" s="45">
        <v>15</v>
      </c>
      <c r="J514" s="45" t="s">
        <v>1716</v>
      </c>
      <c r="K514" s="39" t="s">
        <v>1716</v>
      </c>
      <c r="L514" s="39" t="s">
        <v>1014</v>
      </c>
      <c r="M514" s="38" t="str">
        <f t="shared" si="8"/>
        <v>Bon du Trésor</v>
      </c>
    </row>
    <row r="515" spans="1:13" x14ac:dyDescent="0.2">
      <c r="A515" s="38" t="s">
        <v>1035</v>
      </c>
      <c r="B515" s="38">
        <v>200169</v>
      </c>
      <c r="C515" s="38" t="s">
        <v>433</v>
      </c>
      <c r="D515" s="279">
        <v>250000</v>
      </c>
      <c r="E515" s="38">
        <v>101</v>
      </c>
      <c r="F515" s="40">
        <v>9.5000000000000001E-2</v>
      </c>
      <c r="G515" s="44">
        <v>35541</v>
      </c>
      <c r="H515" s="44">
        <v>37367</v>
      </c>
      <c r="I515" s="45">
        <v>5</v>
      </c>
      <c r="J515" s="45" t="s">
        <v>1716</v>
      </c>
      <c r="K515" s="39" t="s">
        <v>1716</v>
      </c>
      <c r="L515" s="39" t="s">
        <v>1014</v>
      </c>
      <c r="M515" s="38" t="str">
        <f t="shared" ref="M515:M578" si="9">+A515</f>
        <v>Bon du Trésor</v>
      </c>
    </row>
    <row r="516" spans="1:13" x14ac:dyDescent="0.2">
      <c r="A516" s="38" t="s">
        <v>1035</v>
      </c>
      <c r="B516" s="38">
        <v>200170</v>
      </c>
      <c r="C516" s="38" t="s">
        <v>269</v>
      </c>
      <c r="D516" s="279">
        <v>250000</v>
      </c>
      <c r="E516" s="38">
        <v>101</v>
      </c>
      <c r="F516" s="40">
        <v>0.1</v>
      </c>
      <c r="G516" s="44">
        <v>35541</v>
      </c>
      <c r="H516" s="44">
        <v>39193</v>
      </c>
      <c r="I516" s="45">
        <v>10</v>
      </c>
      <c r="J516" s="45" t="s">
        <v>1716</v>
      </c>
      <c r="K516" s="39" t="s">
        <v>1716</v>
      </c>
      <c r="L516" s="39" t="s">
        <v>1014</v>
      </c>
      <c r="M516" s="38" t="str">
        <f t="shared" si="9"/>
        <v>Bon du Trésor</v>
      </c>
    </row>
    <row r="517" spans="1:13" x14ac:dyDescent="0.2">
      <c r="A517" s="38" t="s">
        <v>1035</v>
      </c>
      <c r="B517" s="38">
        <v>200171</v>
      </c>
      <c r="C517" s="38" t="s">
        <v>1097</v>
      </c>
      <c r="D517" s="279">
        <v>250000</v>
      </c>
      <c r="E517" s="38">
        <v>101</v>
      </c>
      <c r="F517" s="40">
        <v>0.10249999999999999</v>
      </c>
      <c r="G517" s="44">
        <v>35541</v>
      </c>
      <c r="H517" s="44">
        <v>41020</v>
      </c>
      <c r="I517" s="45">
        <v>15</v>
      </c>
      <c r="J517" s="45" t="s">
        <v>1716</v>
      </c>
      <c r="K517" s="39" t="s">
        <v>1716</v>
      </c>
      <c r="L517" s="39" t="s">
        <v>1014</v>
      </c>
      <c r="M517" s="38" t="str">
        <f t="shared" si="9"/>
        <v>Bon du Trésor</v>
      </c>
    </row>
    <row r="518" spans="1:13" x14ac:dyDescent="0.2">
      <c r="A518" s="38" t="s">
        <v>1035</v>
      </c>
      <c r="B518" s="38">
        <v>200173</v>
      </c>
      <c r="C518" s="38" t="s">
        <v>1098</v>
      </c>
      <c r="D518" s="279">
        <v>250000</v>
      </c>
      <c r="E518" s="38">
        <v>101</v>
      </c>
      <c r="F518" s="40">
        <v>9.5000000000000001E-2</v>
      </c>
      <c r="G518" s="44">
        <v>35548</v>
      </c>
      <c r="H518" s="44">
        <v>37374</v>
      </c>
      <c r="I518" s="45">
        <v>5</v>
      </c>
      <c r="J518" s="45" t="s">
        <v>1716</v>
      </c>
      <c r="K518" s="39" t="s">
        <v>1716</v>
      </c>
      <c r="L518" s="39" t="s">
        <v>1014</v>
      </c>
      <c r="M518" s="38" t="str">
        <f t="shared" si="9"/>
        <v>Bon du Trésor</v>
      </c>
    </row>
    <row r="519" spans="1:13" x14ac:dyDescent="0.2">
      <c r="A519" s="38" t="s">
        <v>1035</v>
      </c>
      <c r="B519" s="38">
        <v>200174</v>
      </c>
      <c r="C519" s="38" t="s">
        <v>1099</v>
      </c>
      <c r="D519" s="279">
        <v>250000</v>
      </c>
      <c r="E519" s="38">
        <v>101</v>
      </c>
      <c r="F519" s="40">
        <v>0.10249999999999999</v>
      </c>
      <c r="G519" s="44">
        <v>35548</v>
      </c>
      <c r="H519" s="44">
        <v>41027</v>
      </c>
      <c r="I519" s="45">
        <v>15</v>
      </c>
      <c r="J519" s="45" t="s">
        <v>1716</v>
      </c>
      <c r="K519" s="39" t="s">
        <v>1716</v>
      </c>
      <c r="L519" s="39" t="s">
        <v>1014</v>
      </c>
      <c r="M519" s="38" t="str">
        <f t="shared" si="9"/>
        <v>Bon du Trésor</v>
      </c>
    </row>
    <row r="520" spans="1:13" x14ac:dyDescent="0.2">
      <c r="A520" s="38" t="s">
        <v>1035</v>
      </c>
      <c r="B520" s="38">
        <v>200175</v>
      </c>
      <c r="C520" s="38" t="s">
        <v>1101</v>
      </c>
      <c r="D520" s="279">
        <v>250000</v>
      </c>
      <c r="E520" s="38">
        <v>101</v>
      </c>
      <c r="F520" s="40">
        <v>9.5000000000000001E-2</v>
      </c>
      <c r="G520" s="44">
        <v>35555</v>
      </c>
      <c r="H520" s="44">
        <v>37381</v>
      </c>
      <c r="I520" s="45">
        <v>5</v>
      </c>
      <c r="J520" s="45" t="s">
        <v>1716</v>
      </c>
      <c r="K520" s="39" t="s">
        <v>1716</v>
      </c>
      <c r="L520" s="39" t="s">
        <v>1014</v>
      </c>
      <c r="M520" s="38" t="str">
        <f t="shared" si="9"/>
        <v>Bon du Trésor</v>
      </c>
    </row>
    <row r="521" spans="1:13" x14ac:dyDescent="0.2">
      <c r="A521" s="38" t="s">
        <v>1035</v>
      </c>
      <c r="B521" s="38">
        <v>200176</v>
      </c>
      <c r="C521" s="38" t="s">
        <v>1102</v>
      </c>
      <c r="D521" s="279">
        <v>250000</v>
      </c>
      <c r="E521" s="38">
        <v>101</v>
      </c>
      <c r="F521" s="40">
        <v>0.1</v>
      </c>
      <c r="G521" s="44">
        <v>35555</v>
      </c>
      <c r="H521" s="44">
        <v>39207</v>
      </c>
      <c r="I521" s="45">
        <v>10</v>
      </c>
      <c r="J521" s="45" t="s">
        <v>1716</v>
      </c>
      <c r="K521" s="39" t="s">
        <v>1716</v>
      </c>
      <c r="L521" s="39" t="s">
        <v>1014</v>
      </c>
      <c r="M521" s="38" t="str">
        <f t="shared" si="9"/>
        <v>Bon du Trésor</v>
      </c>
    </row>
    <row r="522" spans="1:13" x14ac:dyDescent="0.2">
      <c r="A522" s="38" t="s">
        <v>1035</v>
      </c>
      <c r="B522" s="38">
        <v>200177</v>
      </c>
      <c r="C522" s="38" t="s">
        <v>1449</v>
      </c>
      <c r="D522" s="279">
        <v>250000</v>
      </c>
      <c r="E522" s="38">
        <v>101</v>
      </c>
      <c r="F522" s="40">
        <v>0.10249999999999999</v>
      </c>
      <c r="G522" s="44">
        <v>35555</v>
      </c>
      <c r="H522" s="44">
        <v>41034</v>
      </c>
      <c r="I522" s="45">
        <v>15</v>
      </c>
      <c r="J522" s="45" t="s">
        <v>1716</v>
      </c>
      <c r="K522" s="39" t="s">
        <v>1716</v>
      </c>
      <c r="L522" s="39" t="s">
        <v>1014</v>
      </c>
      <c r="M522" s="38" t="str">
        <f t="shared" si="9"/>
        <v>Bon du Trésor</v>
      </c>
    </row>
    <row r="523" spans="1:13" x14ac:dyDescent="0.2">
      <c r="A523" s="38" t="s">
        <v>1035</v>
      </c>
      <c r="B523" s="38">
        <v>200178</v>
      </c>
      <c r="C523" s="38" t="s">
        <v>1450</v>
      </c>
      <c r="D523" s="279">
        <v>250000</v>
      </c>
      <c r="E523" s="38">
        <v>101</v>
      </c>
      <c r="F523" s="40">
        <v>9.5000000000000001E-2</v>
      </c>
      <c r="G523" s="44">
        <v>35562</v>
      </c>
      <c r="H523" s="44">
        <v>37388</v>
      </c>
      <c r="I523" s="45">
        <v>5</v>
      </c>
      <c r="J523" s="45" t="s">
        <v>1716</v>
      </c>
      <c r="K523" s="39" t="s">
        <v>1716</v>
      </c>
      <c r="L523" s="39" t="s">
        <v>1014</v>
      </c>
      <c r="M523" s="38" t="str">
        <f t="shared" si="9"/>
        <v>Bon du Trésor</v>
      </c>
    </row>
    <row r="524" spans="1:13" x14ac:dyDescent="0.2">
      <c r="A524" s="38" t="s">
        <v>1035</v>
      </c>
      <c r="B524" s="38">
        <v>200179</v>
      </c>
      <c r="C524" s="38" t="s">
        <v>11</v>
      </c>
      <c r="D524" s="279">
        <v>250000</v>
      </c>
      <c r="E524" s="38">
        <v>101</v>
      </c>
      <c r="F524" s="40">
        <v>0.1</v>
      </c>
      <c r="G524" s="44">
        <v>35562</v>
      </c>
      <c r="H524" s="44">
        <v>39214</v>
      </c>
      <c r="I524" s="45">
        <v>10</v>
      </c>
      <c r="J524" s="45" t="s">
        <v>1716</v>
      </c>
      <c r="K524" s="39" t="s">
        <v>1716</v>
      </c>
      <c r="L524" s="39" t="s">
        <v>1014</v>
      </c>
      <c r="M524" s="38" t="str">
        <f t="shared" si="9"/>
        <v>Bon du Trésor</v>
      </c>
    </row>
    <row r="525" spans="1:13" x14ac:dyDescent="0.2">
      <c r="A525" s="38" t="s">
        <v>1035</v>
      </c>
      <c r="B525" s="38">
        <v>200180</v>
      </c>
      <c r="C525" s="38" t="s">
        <v>12</v>
      </c>
      <c r="D525" s="279">
        <v>250000</v>
      </c>
      <c r="E525" s="38">
        <v>101</v>
      </c>
      <c r="F525" s="40">
        <v>9.5000000000000001E-2</v>
      </c>
      <c r="G525" s="44">
        <v>35569</v>
      </c>
      <c r="H525" s="44">
        <v>37395</v>
      </c>
      <c r="I525" s="45">
        <v>5</v>
      </c>
      <c r="J525" s="45" t="s">
        <v>1716</v>
      </c>
      <c r="K525" s="39" t="s">
        <v>1716</v>
      </c>
      <c r="L525" s="39" t="s">
        <v>1014</v>
      </c>
      <c r="M525" s="38" t="str">
        <f t="shared" si="9"/>
        <v>Bon du Trésor</v>
      </c>
    </row>
    <row r="526" spans="1:13" x14ac:dyDescent="0.2">
      <c r="A526" s="38" t="s">
        <v>1035</v>
      </c>
      <c r="B526" s="38">
        <v>200181</v>
      </c>
      <c r="C526" s="38" t="s">
        <v>13</v>
      </c>
      <c r="D526" s="279">
        <v>250000</v>
      </c>
      <c r="E526" s="38">
        <v>101</v>
      </c>
      <c r="F526" s="40">
        <v>0.1</v>
      </c>
      <c r="G526" s="44">
        <v>35569</v>
      </c>
      <c r="H526" s="44">
        <v>39221</v>
      </c>
      <c r="I526" s="45">
        <v>10</v>
      </c>
      <c r="J526" s="45" t="s">
        <v>1716</v>
      </c>
      <c r="K526" s="39" t="s">
        <v>1716</v>
      </c>
      <c r="L526" s="39" t="s">
        <v>1014</v>
      </c>
      <c r="M526" s="38" t="str">
        <f t="shared" si="9"/>
        <v>Bon du Trésor</v>
      </c>
    </row>
    <row r="527" spans="1:13" x14ac:dyDescent="0.2">
      <c r="A527" s="38" t="s">
        <v>1035</v>
      </c>
      <c r="B527" s="38">
        <v>200182</v>
      </c>
      <c r="C527" s="38" t="s">
        <v>15</v>
      </c>
      <c r="D527" s="279">
        <v>250000</v>
      </c>
      <c r="E527" s="38">
        <v>101</v>
      </c>
      <c r="F527" s="40">
        <v>0.10249999999999999</v>
      </c>
      <c r="G527" s="44">
        <v>35569</v>
      </c>
      <c r="H527" s="44">
        <v>41048</v>
      </c>
      <c r="I527" s="45">
        <v>15</v>
      </c>
      <c r="J527" s="45" t="s">
        <v>1716</v>
      </c>
      <c r="K527" s="39" t="s">
        <v>1716</v>
      </c>
      <c r="L527" s="39" t="s">
        <v>1014</v>
      </c>
      <c r="M527" s="38" t="str">
        <f t="shared" si="9"/>
        <v>Bon du Trésor</v>
      </c>
    </row>
    <row r="528" spans="1:13" x14ac:dyDescent="0.2">
      <c r="A528" s="38" t="s">
        <v>1035</v>
      </c>
      <c r="B528" s="38">
        <v>200184</v>
      </c>
      <c r="C528" s="38" t="s">
        <v>16</v>
      </c>
      <c r="D528" s="279">
        <v>250000</v>
      </c>
      <c r="E528" s="38">
        <v>101</v>
      </c>
      <c r="F528" s="40">
        <v>9.5000000000000001E-2</v>
      </c>
      <c r="G528" s="44">
        <v>35576</v>
      </c>
      <c r="H528" s="44">
        <v>37402</v>
      </c>
      <c r="I528" s="45">
        <v>5</v>
      </c>
      <c r="J528" s="45" t="s">
        <v>1716</v>
      </c>
      <c r="K528" s="39" t="s">
        <v>1716</v>
      </c>
      <c r="L528" s="39" t="s">
        <v>1014</v>
      </c>
      <c r="M528" s="38" t="str">
        <f t="shared" si="9"/>
        <v>Bon du Trésor</v>
      </c>
    </row>
    <row r="529" spans="1:13" x14ac:dyDescent="0.2">
      <c r="A529" s="38" t="s">
        <v>1035</v>
      </c>
      <c r="B529" s="38">
        <v>200185</v>
      </c>
      <c r="C529" s="38" t="s">
        <v>1513</v>
      </c>
      <c r="D529" s="279">
        <v>250000</v>
      </c>
      <c r="E529" s="38">
        <v>101</v>
      </c>
      <c r="F529" s="40">
        <v>0.1</v>
      </c>
      <c r="G529" s="44">
        <v>35576</v>
      </c>
      <c r="H529" s="44">
        <v>39228</v>
      </c>
      <c r="I529" s="45">
        <v>10</v>
      </c>
      <c r="J529" s="45" t="s">
        <v>1716</v>
      </c>
      <c r="K529" s="39" t="s">
        <v>1716</v>
      </c>
      <c r="L529" s="39" t="s">
        <v>1014</v>
      </c>
      <c r="M529" s="38" t="str">
        <f t="shared" si="9"/>
        <v>Bon du Trésor</v>
      </c>
    </row>
    <row r="530" spans="1:13" x14ac:dyDescent="0.2">
      <c r="A530" s="38" t="s">
        <v>1035</v>
      </c>
      <c r="B530" s="38">
        <v>200186</v>
      </c>
      <c r="C530" s="38" t="s">
        <v>1515</v>
      </c>
      <c r="D530" s="279">
        <v>250000</v>
      </c>
      <c r="E530" s="38">
        <v>101</v>
      </c>
      <c r="F530" s="40">
        <v>0.10249999999999999</v>
      </c>
      <c r="G530" s="44">
        <v>35576</v>
      </c>
      <c r="H530" s="44">
        <v>41055</v>
      </c>
      <c r="I530" s="45">
        <v>15</v>
      </c>
      <c r="J530" s="45" t="s">
        <v>1716</v>
      </c>
      <c r="K530" s="39" t="s">
        <v>1716</v>
      </c>
      <c r="L530" s="39" t="s">
        <v>1014</v>
      </c>
      <c r="M530" s="38" t="str">
        <f t="shared" si="9"/>
        <v>Bon du Trésor</v>
      </c>
    </row>
    <row r="531" spans="1:13" x14ac:dyDescent="0.2">
      <c r="A531" s="38" t="s">
        <v>1035</v>
      </c>
      <c r="B531" s="38">
        <v>200187</v>
      </c>
      <c r="C531" s="38" t="s">
        <v>1012</v>
      </c>
      <c r="D531" s="279">
        <v>250000</v>
      </c>
      <c r="E531" s="38">
        <v>101</v>
      </c>
      <c r="F531" s="40">
        <v>9.5000000000000001E-2</v>
      </c>
      <c r="G531" s="44">
        <v>35583</v>
      </c>
      <c r="H531" s="44">
        <v>37409</v>
      </c>
      <c r="I531" s="45">
        <v>5</v>
      </c>
      <c r="J531" s="45" t="s">
        <v>1716</v>
      </c>
      <c r="K531" s="39" t="s">
        <v>1716</v>
      </c>
      <c r="L531" s="39" t="s">
        <v>1014</v>
      </c>
      <c r="M531" s="38" t="str">
        <f t="shared" si="9"/>
        <v>Bon du Trésor</v>
      </c>
    </row>
    <row r="532" spans="1:13" x14ac:dyDescent="0.2">
      <c r="A532" s="38" t="s">
        <v>1035</v>
      </c>
      <c r="B532" s="38">
        <v>200188</v>
      </c>
      <c r="C532" s="38" t="s">
        <v>1208</v>
      </c>
      <c r="D532" s="279">
        <v>250000</v>
      </c>
      <c r="E532" s="38">
        <v>101</v>
      </c>
      <c r="F532" s="40">
        <v>0.1</v>
      </c>
      <c r="G532" s="44">
        <v>35583</v>
      </c>
      <c r="H532" s="44">
        <v>39235</v>
      </c>
      <c r="I532" s="45">
        <v>10</v>
      </c>
      <c r="J532" s="45" t="s">
        <v>1716</v>
      </c>
      <c r="K532" s="39" t="s">
        <v>1716</v>
      </c>
      <c r="L532" s="39" t="s">
        <v>1014</v>
      </c>
      <c r="M532" s="38" t="str">
        <f t="shared" si="9"/>
        <v>Bon du Trésor</v>
      </c>
    </row>
    <row r="533" spans="1:13" x14ac:dyDescent="0.2">
      <c r="A533" s="38" t="s">
        <v>1035</v>
      </c>
      <c r="B533" s="38">
        <v>200189</v>
      </c>
      <c r="C533" s="38" t="s">
        <v>1150</v>
      </c>
      <c r="D533" s="279">
        <v>250000</v>
      </c>
      <c r="E533" s="38">
        <v>101</v>
      </c>
      <c r="F533" s="40">
        <v>0.10249999999999999</v>
      </c>
      <c r="G533" s="44">
        <v>35583</v>
      </c>
      <c r="H533" s="44">
        <v>41062</v>
      </c>
      <c r="I533" s="45">
        <v>15</v>
      </c>
      <c r="J533" s="45" t="s">
        <v>1716</v>
      </c>
      <c r="K533" s="39" t="s">
        <v>1716</v>
      </c>
      <c r="L533" s="39" t="s">
        <v>1014</v>
      </c>
      <c r="M533" s="38" t="str">
        <f t="shared" si="9"/>
        <v>Bon du Trésor</v>
      </c>
    </row>
    <row r="534" spans="1:13" x14ac:dyDescent="0.2">
      <c r="A534" s="38" t="s">
        <v>1035</v>
      </c>
      <c r="B534" s="38">
        <v>200190</v>
      </c>
      <c r="C534" s="38" t="s">
        <v>1151</v>
      </c>
      <c r="D534" s="279">
        <v>250000</v>
      </c>
      <c r="E534" s="38">
        <v>101</v>
      </c>
      <c r="F534" s="40">
        <v>0.09</v>
      </c>
      <c r="G534" s="44">
        <v>35611</v>
      </c>
      <c r="H534" s="44">
        <v>37437</v>
      </c>
      <c r="I534" s="45">
        <v>5</v>
      </c>
      <c r="J534" s="45" t="s">
        <v>1716</v>
      </c>
      <c r="K534" s="39" t="s">
        <v>1716</v>
      </c>
      <c r="L534" s="39" t="s">
        <v>1014</v>
      </c>
      <c r="M534" s="38" t="str">
        <f t="shared" si="9"/>
        <v>Bon du Trésor</v>
      </c>
    </row>
    <row r="535" spans="1:13" x14ac:dyDescent="0.2">
      <c r="A535" s="38" t="s">
        <v>1035</v>
      </c>
      <c r="B535" s="38">
        <v>200191</v>
      </c>
      <c r="C535" s="38" t="s">
        <v>1152</v>
      </c>
      <c r="D535" s="279">
        <v>250000</v>
      </c>
      <c r="E535" s="38">
        <v>101</v>
      </c>
      <c r="F535" s="40">
        <v>9.5000000000000001E-2</v>
      </c>
      <c r="G535" s="44">
        <v>35611</v>
      </c>
      <c r="H535" s="44">
        <v>39263</v>
      </c>
      <c r="I535" s="45">
        <v>10</v>
      </c>
      <c r="J535" s="45" t="s">
        <v>1716</v>
      </c>
      <c r="K535" s="39" t="s">
        <v>1716</v>
      </c>
      <c r="L535" s="39" t="s">
        <v>1014</v>
      </c>
      <c r="M535" s="38" t="str">
        <f t="shared" si="9"/>
        <v>Bon du Trésor</v>
      </c>
    </row>
    <row r="536" spans="1:13" x14ac:dyDescent="0.2">
      <c r="A536" s="38" t="s">
        <v>1035</v>
      </c>
      <c r="B536" s="38">
        <v>200193</v>
      </c>
      <c r="C536" s="38" t="s">
        <v>1153</v>
      </c>
      <c r="D536" s="279">
        <v>250000</v>
      </c>
      <c r="E536" s="38">
        <v>101</v>
      </c>
      <c r="F536" s="40">
        <v>9.5000000000000001E-2</v>
      </c>
      <c r="G536" s="44">
        <v>35618</v>
      </c>
      <c r="H536" s="44">
        <v>39270</v>
      </c>
      <c r="I536" s="45">
        <v>10</v>
      </c>
      <c r="J536" s="45" t="s">
        <v>1716</v>
      </c>
      <c r="K536" s="39" t="s">
        <v>1716</v>
      </c>
      <c r="L536" s="39" t="s">
        <v>1014</v>
      </c>
      <c r="M536" s="38" t="str">
        <f t="shared" si="9"/>
        <v>Bon du Trésor</v>
      </c>
    </row>
    <row r="537" spans="1:13" x14ac:dyDescent="0.2">
      <c r="A537" s="38" t="s">
        <v>1035</v>
      </c>
      <c r="B537" s="38">
        <v>200194</v>
      </c>
      <c r="C537" s="38" t="s">
        <v>1156</v>
      </c>
      <c r="D537" s="279">
        <v>250000</v>
      </c>
      <c r="E537" s="38">
        <v>101</v>
      </c>
      <c r="F537" s="40">
        <v>9.7500000000000003E-2</v>
      </c>
      <c r="G537" s="44">
        <v>35618</v>
      </c>
      <c r="H537" s="44">
        <v>41097</v>
      </c>
      <c r="I537" s="45">
        <v>15</v>
      </c>
      <c r="J537" s="45" t="s">
        <v>1716</v>
      </c>
      <c r="K537" s="39" t="s">
        <v>1716</v>
      </c>
      <c r="L537" s="39" t="s">
        <v>1014</v>
      </c>
      <c r="M537" s="38" t="str">
        <f t="shared" si="9"/>
        <v>Bon du Trésor</v>
      </c>
    </row>
    <row r="538" spans="1:13" x14ac:dyDescent="0.2">
      <c r="A538" s="38" t="s">
        <v>1035</v>
      </c>
      <c r="B538" s="38">
        <v>200195</v>
      </c>
      <c r="C538" s="38" t="s">
        <v>1157</v>
      </c>
      <c r="D538" s="279">
        <v>250000</v>
      </c>
      <c r="E538" s="38">
        <v>101</v>
      </c>
      <c r="F538" s="40">
        <v>0.09</v>
      </c>
      <c r="G538" s="44">
        <v>35639</v>
      </c>
      <c r="H538" s="44">
        <v>37465</v>
      </c>
      <c r="I538" s="45">
        <v>5</v>
      </c>
      <c r="J538" s="45" t="s">
        <v>1716</v>
      </c>
      <c r="K538" s="39" t="s">
        <v>1716</v>
      </c>
      <c r="L538" s="39" t="s">
        <v>1014</v>
      </c>
      <c r="M538" s="38" t="str">
        <f t="shared" si="9"/>
        <v>Bon du Trésor</v>
      </c>
    </row>
    <row r="539" spans="1:13" x14ac:dyDescent="0.2">
      <c r="A539" s="38" t="s">
        <v>1035</v>
      </c>
      <c r="B539" s="38">
        <v>200196</v>
      </c>
      <c r="C539" s="38" t="s">
        <v>1158</v>
      </c>
      <c r="D539" s="279">
        <v>250000</v>
      </c>
      <c r="E539" s="38">
        <v>101</v>
      </c>
      <c r="F539" s="40">
        <v>9.5000000000000001E-2</v>
      </c>
      <c r="G539" s="44">
        <v>35639</v>
      </c>
      <c r="H539" s="44">
        <v>39291</v>
      </c>
      <c r="I539" s="45">
        <v>10</v>
      </c>
      <c r="J539" s="45" t="s">
        <v>1716</v>
      </c>
      <c r="K539" s="39" t="s">
        <v>1716</v>
      </c>
      <c r="L539" s="39" t="s">
        <v>1014</v>
      </c>
      <c r="M539" s="38" t="str">
        <f t="shared" si="9"/>
        <v>Bon du Trésor</v>
      </c>
    </row>
    <row r="540" spans="1:13" x14ac:dyDescent="0.2">
      <c r="A540" s="38" t="s">
        <v>1035</v>
      </c>
      <c r="B540" s="38">
        <v>200198</v>
      </c>
      <c r="C540" s="38" t="s">
        <v>1629</v>
      </c>
      <c r="D540" s="279">
        <v>250000</v>
      </c>
      <c r="E540" s="38">
        <v>101</v>
      </c>
      <c r="F540" s="40">
        <v>0.09</v>
      </c>
      <c r="G540" s="44">
        <v>35646</v>
      </c>
      <c r="H540" s="44">
        <v>37472</v>
      </c>
      <c r="I540" s="45">
        <v>5</v>
      </c>
      <c r="J540" s="45" t="s">
        <v>1716</v>
      </c>
      <c r="K540" s="39" t="s">
        <v>1716</v>
      </c>
      <c r="L540" s="39" t="s">
        <v>1014</v>
      </c>
      <c r="M540" s="38" t="str">
        <f t="shared" si="9"/>
        <v>Bon du Trésor</v>
      </c>
    </row>
    <row r="541" spans="1:13" x14ac:dyDescent="0.2">
      <c r="A541" s="38" t="s">
        <v>1035</v>
      </c>
      <c r="B541" s="38">
        <v>200199</v>
      </c>
      <c r="C541" s="38" t="s">
        <v>1631</v>
      </c>
      <c r="D541" s="279">
        <v>250000</v>
      </c>
      <c r="E541" s="38">
        <v>101</v>
      </c>
      <c r="F541" s="40">
        <v>9.5000000000000001E-2</v>
      </c>
      <c r="G541" s="44">
        <v>35646</v>
      </c>
      <c r="H541" s="44">
        <v>39298</v>
      </c>
      <c r="I541" s="45">
        <v>10</v>
      </c>
      <c r="J541" s="45" t="s">
        <v>1716</v>
      </c>
      <c r="K541" s="39" t="s">
        <v>1716</v>
      </c>
      <c r="L541" s="39" t="s">
        <v>1014</v>
      </c>
      <c r="M541" s="38" t="str">
        <f t="shared" si="9"/>
        <v>Bon du Trésor</v>
      </c>
    </row>
    <row r="542" spans="1:13" x14ac:dyDescent="0.2">
      <c r="A542" s="38" t="s">
        <v>1035</v>
      </c>
      <c r="B542" s="38">
        <v>200200</v>
      </c>
      <c r="C542" s="38" t="s">
        <v>1186</v>
      </c>
      <c r="D542" s="279">
        <v>250000</v>
      </c>
      <c r="E542" s="38">
        <v>101</v>
      </c>
      <c r="F542" s="40">
        <v>0.09</v>
      </c>
      <c r="G542" s="44">
        <v>35653</v>
      </c>
      <c r="H542" s="44">
        <v>37479</v>
      </c>
      <c r="I542" s="45">
        <v>5</v>
      </c>
      <c r="J542" s="45" t="s">
        <v>1716</v>
      </c>
      <c r="K542" s="39" t="s">
        <v>1716</v>
      </c>
      <c r="L542" s="39" t="s">
        <v>1014</v>
      </c>
      <c r="M542" s="38" t="str">
        <f t="shared" si="9"/>
        <v>Bon du Trésor</v>
      </c>
    </row>
    <row r="543" spans="1:13" x14ac:dyDescent="0.2">
      <c r="A543" s="38" t="s">
        <v>1035</v>
      </c>
      <c r="B543" s="38">
        <v>200201</v>
      </c>
      <c r="C543" s="38" t="s">
        <v>1691</v>
      </c>
      <c r="D543" s="279">
        <v>250000</v>
      </c>
      <c r="E543" s="38">
        <v>101</v>
      </c>
      <c r="F543" s="40">
        <v>9.5000000000000001E-2</v>
      </c>
      <c r="G543" s="44">
        <v>35653</v>
      </c>
      <c r="H543" s="44">
        <v>39305</v>
      </c>
      <c r="I543" s="45">
        <v>10</v>
      </c>
      <c r="J543" s="45" t="s">
        <v>1716</v>
      </c>
      <c r="K543" s="39" t="s">
        <v>1716</v>
      </c>
      <c r="L543" s="39" t="s">
        <v>1014</v>
      </c>
      <c r="M543" s="38" t="str">
        <f t="shared" si="9"/>
        <v>Bon du Trésor</v>
      </c>
    </row>
    <row r="544" spans="1:13" x14ac:dyDescent="0.2">
      <c r="A544" s="38" t="s">
        <v>1035</v>
      </c>
      <c r="B544" s="38">
        <v>200202</v>
      </c>
      <c r="C544" s="38" t="s">
        <v>289</v>
      </c>
      <c r="D544" s="279">
        <v>250000</v>
      </c>
      <c r="E544" s="38">
        <v>101</v>
      </c>
      <c r="F544" s="40">
        <v>9.7500000000000003E-2</v>
      </c>
      <c r="G544" s="44">
        <v>35653</v>
      </c>
      <c r="H544" s="44">
        <v>41132</v>
      </c>
      <c r="I544" s="45">
        <v>15</v>
      </c>
      <c r="J544" s="45" t="s">
        <v>1716</v>
      </c>
      <c r="K544" s="39" t="s">
        <v>1716</v>
      </c>
      <c r="L544" s="39" t="s">
        <v>1014</v>
      </c>
      <c r="M544" s="38" t="str">
        <f t="shared" si="9"/>
        <v>Bon du Trésor</v>
      </c>
    </row>
    <row r="545" spans="1:13" x14ac:dyDescent="0.2">
      <c r="A545" s="38" t="s">
        <v>1035</v>
      </c>
      <c r="B545" s="38">
        <v>200203</v>
      </c>
      <c r="C545" s="38" t="s">
        <v>290</v>
      </c>
      <c r="D545" s="279">
        <v>250000</v>
      </c>
      <c r="E545" s="38">
        <v>101</v>
      </c>
      <c r="F545" s="40">
        <v>0.09</v>
      </c>
      <c r="G545" s="44">
        <v>35660</v>
      </c>
      <c r="H545" s="44">
        <v>37486</v>
      </c>
      <c r="I545" s="45">
        <v>5</v>
      </c>
      <c r="J545" s="45" t="s">
        <v>1716</v>
      </c>
      <c r="K545" s="39" t="s">
        <v>1716</v>
      </c>
      <c r="L545" s="39" t="s">
        <v>1014</v>
      </c>
      <c r="M545" s="38" t="str">
        <f t="shared" si="9"/>
        <v>Bon du Trésor</v>
      </c>
    </row>
    <row r="546" spans="1:13" x14ac:dyDescent="0.2">
      <c r="A546" s="38" t="s">
        <v>1035</v>
      </c>
      <c r="B546" s="38">
        <v>200204</v>
      </c>
      <c r="C546" s="38" t="s">
        <v>264</v>
      </c>
      <c r="D546" s="279">
        <v>250000</v>
      </c>
      <c r="E546" s="38">
        <v>101</v>
      </c>
      <c r="F546" s="40">
        <v>9.5000000000000001E-2</v>
      </c>
      <c r="G546" s="44">
        <v>35660</v>
      </c>
      <c r="H546" s="44">
        <v>39312</v>
      </c>
      <c r="I546" s="45">
        <v>10</v>
      </c>
      <c r="J546" s="45" t="s">
        <v>1716</v>
      </c>
      <c r="K546" s="39" t="s">
        <v>1716</v>
      </c>
      <c r="L546" s="39" t="s">
        <v>1014</v>
      </c>
      <c r="M546" s="38" t="str">
        <f t="shared" si="9"/>
        <v>Bon du Trésor</v>
      </c>
    </row>
    <row r="547" spans="1:13" x14ac:dyDescent="0.2">
      <c r="A547" s="38" t="s">
        <v>1035</v>
      </c>
      <c r="B547" s="38">
        <v>200205</v>
      </c>
      <c r="C547" s="38" t="s">
        <v>265</v>
      </c>
      <c r="D547" s="279">
        <v>250000</v>
      </c>
      <c r="E547" s="38">
        <v>101</v>
      </c>
      <c r="F547" s="40">
        <v>9.7500000000000003E-2</v>
      </c>
      <c r="G547" s="44">
        <v>35660</v>
      </c>
      <c r="H547" s="44">
        <v>41139</v>
      </c>
      <c r="I547" s="45">
        <v>15</v>
      </c>
      <c r="J547" s="45" t="s">
        <v>1716</v>
      </c>
      <c r="K547" s="39" t="s">
        <v>1716</v>
      </c>
      <c r="L547" s="39" t="s">
        <v>1014</v>
      </c>
      <c r="M547" s="38" t="str">
        <f t="shared" si="9"/>
        <v>Bon du Trésor</v>
      </c>
    </row>
    <row r="548" spans="1:13" x14ac:dyDescent="0.2">
      <c r="A548" s="38" t="s">
        <v>1035</v>
      </c>
      <c r="B548" s="38">
        <v>200206</v>
      </c>
      <c r="C548" s="38" t="s">
        <v>262</v>
      </c>
      <c r="D548" s="279">
        <v>250000</v>
      </c>
      <c r="E548" s="38">
        <v>101</v>
      </c>
      <c r="F548" s="40">
        <v>0.09</v>
      </c>
      <c r="G548" s="44">
        <v>35667</v>
      </c>
      <c r="H548" s="44">
        <v>37493</v>
      </c>
      <c r="I548" s="45">
        <v>5</v>
      </c>
      <c r="J548" s="45" t="s">
        <v>1716</v>
      </c>
      <c r="K548" s="39" t="s">
        <v>1716</v>
      </c>
      <c r="L548" s="39" t="s">
        <v>1014</v>
      </c>
      <c r="M548" s="38" t="str">
        <f t="shared" si="9"/>
        <v>Bon du Trésor</v>
      </c>
    </row>
    <row r="549" spans="1:13" x14ac:dyDescent="0.2">
      <c r="A549" s="38" t="s">
        <v>1035</v>
      </c>
      <c r="B549" s="38">
        <v>200208</v>
      </c>
      <c r="C549" s="38" t="s">
        <v>263</v>
      </c>
      <c r="D549" s="279">
        <v>250000</v>
      </c>
      <c r="E549" s="38">
        <v>101</v>
      </c>
      <c r="F549" s="40">
        <v>0.09</v>
      </c>
      <c r="G549" s="44">
        <v>35674</v>
      </c>
      <c r="H549" s="44">
        <v>37500</v>
      </c>
      <c r="I549" s="45">
        <v>5</v>
      </c>
      <c r="J549" s="45" t="s">
        <v>1716</v>
      </c>
      <c r="K549" s="39" t="s">
        <v>1716</v>
      </c>
      <c r="L549" s="39" t="s">
        <v>1014</v>
      </c>
      <c r="M549" s="38" t="str">
        <f t="shared" si="9"/>
        <v>Bon du Trésor</v>
      </c>
    </row>
    <row r="550" spans="1:13" x14ac:dyDescent="0.2">
      <c r="A550" s="38" t="s">
        <v>1035</v>
      </c>
      <c r="B550" s="38">
        <v>200209</v>
      </c>
      <c r="C550" s="38" t="s">
        <v>1482</v>
      </c>
      <c r="D550" s="279">
        <v>250000</v>
      </c>
      <c r="E550" s="38">
        <v>101</v>
      </c>
      <c r="F550" s="40">
        <v>9.5000000000000001E-2</v>
      </c>
      <c r="G550" s="44">
        <v>35674</v>
      </c>
      <c r="H550" s="44">
        <v>39326</v>
      </c>
      <c r="I550" s="45">
        <v>10</v>
      </c>
      <c r="J550" s="45" t="s">
        <v>1716</v>
      </c>
      <c r="K550" s="39" t="s">
        <v>1716</v>
      </c>
      <c r="L550" s="39" t="s">
        <v>1014</v>
      </c>
      <c r="M550" s="38" t="str">
        <f t="shared" si="9"/>
        <v>Bon du Trésor</v>
      </c>
    </row>
    <row r="551" spans="1:13" x14ac:dyDescent="0.2">
      <c r="A551" s="38" t="s">
        <v>1035</v>
      </c>
      <c r="B551" s="38">
        <v>200210</v>
      </c>
      <c r="C551" s="38" t="s">
        <v>1485</v>
      </c>
      <c r="D551" s="279">
        <v>250000</v>
      </c>
      <c r="E551" s="38">
        <v>101</v>
      </c>
      <c r="F551" s="40">
        <v>0.09</v>
      </c>
      <c r="G551" s="44">
        <v>35681</v>
      </c>
      <c r="H551" s="44">
        <v>37507</v>
      </c>
      <c r="I551" s="45">
        <v>5</v>
      </c>
      <c r="J551" s="45" t="s">
        <v>1716</v>
      </c>
      <c r="K551" s="39" t="s">
        <v>1716</v>
      </c>
      <c r="L551" s="39" t="s">
        <v>1014</v>
      </c>
      <c r="M551" s="38" t="str">
        <f t="shared" si="9"/>
        <v>Bon du Trésor</v>
      </c>
    </row>
    <row r="552" spans="1:13" x14ac:dyDescent="0.2">
      <c r="A552" s="38" t="s">
        <v>1035</v>
      </c>
      <c r="B552" s="38">
        <v>200211</v>
      </c>
      <c r="C552" s="38" t="s">
        <v>1486</v>
      </c>
      <c r="D552" s="279">
        <v>250000</v>
      </c>
      <c r="E552" s="38">
        <v>101</v>
      </c>
      <c r="F552" s="40">
        <v>9.5000000000000001E-2</v>
      </c>
      <c r="G552" s="44">
        <v>35681</v>
      </c>
      <c r="H552" s="44">
        <v>39333</v>
      </c>
      <c r="I552" s="45">
        <v>10</v>
      </c>
      <c r="J552" s="45" t="s">
        <v>1716</v>
      </c>
      <c r="K552" s="39" t="s">
        <v>1716</v>
      </c>
      <c r="L552" s="39" t="s">
        <v>1014</v>
      </c>
      <c r="M552" s="38" t="str">
        <f t="shared" si="9"/>
        <v>Bon du Trésor</v>
      </c>
    </row>
    <row r="553" spans="1:13" x14ac:dyDescent="0.2">
      <c r="A553" s="38" t="s">
        <v>1035</v>
      </c>
      <c r="B553" s="38">
        <v>200212</v>
      </c>
      <c r="C553" s="38" t="s">
        <v>1488</v>
      </c>
      <c r="D553" s="279">
        <v>250000</v>
      </c>
      <c r="E553" s="38">
        <v>101</v>
      </c>
      <c r="F553" s="40">
        <v>9.7500000000000003E-2</v>
      </c>
      <c r="G553" s="44">
        <v>35681</v>
      </c>
      <c r="H553" s="44">
        <v>41160</v>
      </c>
      <c r="I553" s="45">
        <v>15</v>
      </c>
      <c r="J553" s="45" t="s">
        <v>1716</v>
      </c>
      <c r="K553" s="39" t="s">
        <v>1716</v>
      </c>
      <c r="L553" s="39" t="s">
        <v>1014</v>
      </c>
      <c r="M553" s="38" t="str">
        <f t="shared" si="9"/>
        <v>Bon du Trésor</v>
      </c>
    </row>
    <row r="554" spans="1:13" x14ac:dyDescent="0.2">
      <c r="A554" s="38" t="s">
        <v>1035</v>
      </c>
      <c r="B554" s="38">
        <v>200213</v>
      </c>
      <c r="C554" s="38" t="s">
        <v>1465</v>
      </c>
      <c r="D554" s="279">
        <v>250000</v>
      </c>
      <c r="E554" s="38">
        <v>101</v>
      </c>
      <c r="F554" s="40">
        <v>0.09</v>
      </c>
      <c r="G554" s="44">
        <v>35688</v>
      </c>
      <c r="H554" s="44">
        <v>37514</v>
      </c>
      <c r="I554" s="45">
        <v>5</v>
      </c>
      <c r="J554" s="45" t="s">
        <v>1716</v>
      </c>
      <c r="K554" s="39" t="s">
        <v>1716</v>
      </c>
      <c r="L554" s="39" t="s">
        <v>1014</v>
      </c>
      <c r="M554" s="38" t="str">
        <f t="shared" si="9"/>
        <v>Bon du Trésor</v>
      </c>
    </row>
    <row r="555" spans="1:13" x14ac:dyDescent="0.2">
      <c r="A555" s="38" t="s">
        <v>1035</v>
      </c>
      <c r="B555" s="38">
        <v>200214</v>
      </c>
      <c r="C555" s="38" t="s">
        <v>1397</v>
      </c>
      <c r="D555" s="279">
        <v>250000</v>
      </c>
      <c r="E555" s="38">
        <v>101</v>
      </c>
      <c r="F555" s="40">
        <v>9.5000000000000001E-2</v>
      </c>
      <c r="G555" s="44">
        <v>35688</v>
      </c>
      <c r="H555" s="44">
        <v>39340</v>
      </c>
      <c r="I555" s="45">
        <v>10</v>
      </c>
      <c r="J555" s="45" t="s">
        <v>1716</v>
      </c>
      <c r="K555" s="39" t="s">
        <v>1716</v>
      </c>
      <c r="L555" s="39" t="s">
        <v>1014</v>
      </c>
      <c r="M555" s="38" t="str">
        <f t="shared" si="9"/>
        <v>Bon du Trésor</v>
      </c>
    </row>
    <row r="556" spans="1:13" x14ac:dyDescent="0.2">
      <c r="A556" s="38" t="s">
        <v>1035</v>
      </c>
      <c r="B556" s="38">
        <v>200215</v>
      </c>
      <c r="C556" s="38" t="s">
        <v>1398</v>
      </c>
      <c r="D556" s="279">
        <v>250000</v>
      </c>
      <c r="E556" s="38">
        <v>101</v>
      </c>
      <c r="F556" s="40">
        <v>9.7500000000000003E-2</v>
      </c>
      <c r="G556" s="44">
        <v>35688</v>
      </c>
      <c r="H556" s="44">
        <v>41167</v>
      </c>
      <c r="I556" s="45">
        <v>15</v>
      </c>
      <c r="J556" s="45" t="s">
        <v>1716</v>
      </c>
      <c r="K556" s="39" t="s">
        <v>1716</v>
      </c>
      <c r="L556" s="39" t="s">
        <v>1014</v>
      </c>
      <c r="M556" s="38" t="str">
        <f t="shared" si="9"/>
        <v>Bon du Trésor</v>
      </c>
    </row>
    <row r="557" spans="1:13" x14ac:dyDescent="0.2">
      <c r="A557" s="38" t="s">
        <v>1035</v>
      </c>
      <c r="B557" s="38">
        <v>200216</v>
      </c>
      <c r="C557" s="38" t="s">
        <v>765</v>
      </c>
      <c r="D557" s="279">
        <v>250000</v>
      </c>
      <c r="E557" s="38">
        <v>101</v>
      </c>
      <c r="F557" s="40">
        <v>0.09</v>
      </c>
      <c r="G557" s="44">
        <v>35695</v>
      </c>
      <c r="H557" s="44">
        <v>37521</v>
      </c>
      <c r="I557" s="45">
        <v>5</v>
      </c>
      <c r="J557" s="45" t="s">
        <v>1716</v>
      </c>
      <c r="K557" s="39" t="s">
        <v>1716</v>
      </c>
      <c r="L557" s="39" t="s">
        <v>1014</v>
      </c>
      <c r="M557" s="38" t="str">
        <f t="shared" si="9"/>
        <v>Bon du Trésor</v>
      </c>
    </row>
    <row r="558" spans="1:13" x14ac:dyDescent="0.2">
      <c r="A558" s="38" t="s">
        <v>1035</v>
      </c>
      <c r="B558" s="38">
        <v>200217</v>
      </c>
      <c r="C558" s="38" t="s">
        <v>766</v>
      </c>
      <c r="D558" s="279">
        <v>250000</v>
      </c>
      <c r="E558" s="38">
        <v>101</v>
      </c>
      <c r="F558" s="40">
        <v>9.5000000000000001E-2</v>
      </c>
      <c r="G558" s="44">
        <v>35695</v>
      </c>
      <c r="H558" s="44">
        <v>39347</v>
      </c>
      <c r="I558" s="45">
        <v>10</v>
      </c>
      <c r="J558" s="45" t="s">
        <v>1716</v>
      </c>
      <c r="K558" s="39" t="s">
        <v>1716</v>
      </c>
      <c r="L558" s="39" t="s">
        <v>1014</v>
      </c>
      <c r="M558" s="38" t="str">
        <f t="shared" si="9"/>
        <v>Bon du Trésor</v>
      </c>
    </row>
    <row r="559" spans="1:13" x14ac:dyDescent="0.2">
      <c r="A559" s="38" t="s">
        <v>1035</v>
      </c>
      <c r="B559" s="38">
        <v>200218</v>
      </c>
      <c r="C559" s="38" t="s">
        <v>767</v>
      </c>
      <c r="D559" s="279">
        <v>250000</v>
      </c>
      <c r="E559" s="38">
        <v>101</v>
      </c>
      <c r="F559" s="40">
        <v>9.7500000000000003E-2</v>
      </c>
      <c r="G559" s="44">
        <v>35695</v>
      </c>
      <c r="H559" s="44">
        <v>41174</v>
      </c>
      <c r="I559" s="45">
        <v>15</v>
      </c>
      <c r="J559" s="45" t="s">
        <v>1716</v>
      </c>
      <c r="K559" s="39" t="s">
        <v>1716</v>
      </c>
      <c r="L559" s="39" t="s">
        <v>1014</v>
      </c>
      <c r="M559" s="38" t="str">
        <f t="shared" si="9"/>
        <v>Bon du Trésor</v>
      </c>
    </row>
    <row r="560" spans="1:13" x14ac:dyDescent="0.2">
      <c r="A560" s="38" t="s">
        <v>1035</v>
      </c>
      <c r="B560" s="38">
        <v>200219</v>
      </c>
      <c r="C560" s="38" t="s">
        <v>768</v>
      </c>
      <c r="D560" s="279">
        <v>250000</v>
      </c>
      <c r="E560" s="38">
        <v>101</v>
      </c>
      <c r="F560" s="40">
        <v>0.09</v>
      </c>
      <c r="G560" s="44">
        <v>35702</v>
      </c>
      <c r="H560" s="44">
        <v>37528</v>
      </c>
      <c r="I560" s="45">
        <v>5</v>
      </c>
      <c r="J560" s="45" t="s">
        <v>1716</v>
      </c>
      <c r="K560" s="39" t="s">
        <v>1716</v>
      </c>
      <c r="L560" s="39" t="s">
        <v>1014</v>
      </c>
      <c r="M560" s="38" t="str">
        <f t="shared" si="9"/>
        <v>Bon du Trésor</v>
      </c>
    </row>
    <row r="561" spans="1:13" x14ac:dyDescent="0.2">
      <c r="A561" s="38" t="s">
        <v>1035</v>
      </c>
      <c r="B561" s="38">
        <v>200220</v>
      </c>
      <c r="C561" s="38" t="s">
        <v>1972</v>
      </c>
      <c r="D561" s="279">
        <v>250000</v>
      </c>
      <c r="E561" s="38">
        <v>101</v>
      </c>
      <c r="F561" s="40">
        <v>9.5000000000000001E-2</v>
      </c>
      <c r="G561" s="44">
        <v>35702</v>
      </c>
      <c r="H561" s="44">
        <v>39354</v>
      </c>
      <c r="I561" s="45">
        <v>10</v>
      </c>
      <c r="J561" s="45" t="s">
        <v>1716</v>
      </c>
      <c r="K561" s="39" t="s">
        <v>1716</v>
      </c>
      <c r="L561" s="39" t="s">
        <v>1014</v>
      </c>
      <c r="M561" s="38" t="str">
        <f t="shared" si="9"/>
        <v>Bon du Trésor</v>
      </c>
    </row>
    <row r="562" spans="1:13" x14ac:dyDescent="0.2">
      <c r="A562" s="38" t="s">
        <v>1035</v>
      </c>
      <c r="B562" s="38">
        <v>200221</v>
      </c>
      <c r="C562" s="38" t="s">
        <v>1973</v>
      </c>
      <c r="D562" s="279">
        <v>250000</v>
      </c>
      <c r="E562" s="38">
        <v>101</v>
      </c>
      <c r="F562" s="40">
        <v>0.09</v>
      </c>
      <c r="G562" s="44">
        <v>35709</v>
      </c>
      <c r="H562" s="44">
        <v>37535</v>
      </c>
      <c r="I562" s="45">
        <v>5</v>
      </c>
      <c r="J562" s="45" t="s">
        <v>1716</v>
      </c>
      <c r="K562" s="39" t="s">
        <v>1716</v>
      </c>
      <c r="L562" s="39" t="s">
        <v>1014</v>
      </c>
      <c r="M562" s="38" t="str">
        <f t="shared" si="9"/>
        <v>Bon du Trésor</v>
      </c>
    </row>
    <row r="563" spans="1:13" x14ac:dyDescent="0.2">
      <c r="A563" s="38" t="s">
        <v>1035</v>
      </c>
      <c r="B563" s="38">
        <v>200222</v>
      </c>
      <c r="C563" s="38" t="s">
        <v>1974</v>
      </c>
      <c r="D563" s="279">
        <v>250000</v>
      </c>
      <c r="E563" s="38">
        <v>101</v>
      </c>
      <c r="F563" s="40">
        <v>9.5000000000000001E-2</v>
      </c>
      <c r="G563" s="44">
        <v>35709</v>
      </c>
      <c r="H563" s="44">
        <v>39361</v>
      </c>
      <c r="I563" s="45">
        <v>10</v>
      </c>
      <c r="J563" s="45" t="s">
        <v>1716</v>
      </c>
      <c r="K563" s="39" t="s">
        <v>1716</v>
      </c>
      <c r="L563" s="39" t="s">
        <v>1014</v>
      </c>
      <c r="M563" s="38" t="str">
        <f t="shared" si="9"/>
        <v>Bon du Trésor</v>
      </c>
    </row>
    <row r="564" spans="1:13" x14ac:dyDescent="0.2">
      <c r="A564" s="38" t="s">
        <v>1035</v>
      </c>
      <c r="B564" s="38">
        <v>200223</v>
      </c>
      <c r="C564" s="38" t="s">
        <v>1975</v>
      </c>
      <c r="D564" s="279">
        <v>250000</v>
      </c>
      <c r="E564" s="38">
        <v>101</v>
      </c>
      <c r="F564" s="40">
        <v>9.7500000000000003E-2</v>
      </c>
      <c r="G564" s="44">
        <v>35709</v>
      </c>
      <c r="H564" s="44">
        <v>41188</v>
      </c>
      <c r="I564" s="45">
        <v>15</v>
      </c>
      <c r="J564" s="45" t="s">
        <v>1716</v>
      </c>
      <c r="K564" s="39" t="s">
        <v>1716</v>
      </c>
      <c r="L564" s="39" t="s">
        <v>1014</v>
      </c>
      <c r="M564" s="38" t="str">
        <f t="shared" si="9"/>
        <v>Bon du Trésor</v>
      </c>
    </row>
    <row r="565" spans="1:13" x14ac:dyDescent="0.2">
      <c r="A565" s="38" t="s">
        <v>1035</v>
      </c>
      <c r="B565" s="38">
        <v>200224</v>
      </c>
      <c r="C565" s="38" t="s">
        <v>1478</v>
      </c>
      <c r="D565" s="279">
        <v>250000</v>
      </c>
      <c r="E565" s="38">
        <v>101</v>
      </c>
      <c r="F565" s="40">
        <v>9.5000000000000001E-2</v>
      </c>
      <c r="G565" s="44">
        <v>35716</v>
      </c>
      <c r="H565" s="44">
        <v>39368</v>
      </c>
      <c r="I565" s="45">
        <v>10</v>
      </c>
      <c r="J565" s="45" t="s">
        <v>1716</v>
      </c>
      <c r="K565" s="39" t="s">
        <v>1716</v>
      </c>
      <c r="L565" s="39" t="s">
        <v>1014</v>
      </c>
      <c r="M565" s="38" t="str">
        <f t="shared" si="9"/>
        <v>Bon du Trésor</v>
      </c>
    </row>
    <row r="566" spans="1:13" x14ac:dyDescent="0.2">
      <c r="A566" s="38" t="s">
        <v>1035</v>
      </c>
      <c r="B566" s="38">
        <v>200225</v>
      </c>
      <c r="C566" s="38" t="s">
        <v>391</v>
      </c>
      <c r="D566" s="279">
        <v>250000</v>
      </c>
      <c r="E566" s="38">
        <v>101</v>
      </c>
      <c r="F566" s="40">
        <v>9.7500000000000003E-2</v>
      </c>
      <c r="G566" s="44">
        <v>35716</v>
      </c>
      <c r="H566" s="44">
        <v>41195</v>
      </c>
      <c r="I566" s="45">
        <v>15</v>
      </c>
      <c r="J566" s="45" t="s">
        <v>1716</v>
      </c>
      <c r="K566" s="39" t="s">
        <v>1716</v>
      </c>
      <c r="L566" s="39" t="s">
        <v>1014</v>
      </c>
      <c r="M566" s="38" t="str">
        <f t="shared" si="9"/>
        <v>Bon du Trésor</v>
      </c>
    </row>
    <row r="567" spans="1:13" x14ac:dyDescent="0.2">
      <c r="A567" s="38" t="s">
        <v>1035</v>
      </c>
      <c r="B567" s="38">
        <v>200226</v>
      </c>
      <c r="C567" s="38" t="s">
        <v>392</v>
      </c>
      <c r="D567" s="279">
        <v>250000</v>
      </c>
      <c r="E567" s="38">
        <v>101</v>
      </c>
      <c r="F567" s="40">
        <v>9.5000000000000001E-2</v>
      </c>
      <c r="G567" s="44">
        <v>35723</v>
      </c>
      <c r="H567" s="44">
        <v>39375</v>
      </c>
      <c r="I567" s="45">
        <v>10</v>
      </c>
      <c r="J567" s="45" t="s">
        <v>1716</v>
      </c>
      <c r="K567" s="39" t="s">
        <v>1716</v>
      </c>
      <c r="L567" s="39" t="s">
        <v>1014</v>
      </c>
      <c r="M567" s="38" t="str">
        <f t="shared" si="9"/>
        <v>Bon du Trésor</v>
      </c>
    </row>
    <row r="568" spans="1:13" x14ac:dyDescent="0.2">
      <c r="A568" s="38" t="s">
        <v>1035</v>
      </c>
      <c r="B568" s="38">
        <v>200227</v>
      </c>
      <c r="C568" s="38" t="s">
        <v>393</v>
      </c>
      <c r="D568" s="279">
        <v>250000</v>
      </c>
      <c r="E568" s="38">
        <v>101</v>
      </c>
      <c r="F568" s="40">
        <v>9.7500000000000003E-2</v>
      </c>
      <c r="G568" s="44">
        <v>35723</v>
      </c>
      <c r="H568" s="44">
        <v>41202</v>
      </c>
      <c r="I568" s="45">
        <v>15</v>
      </c>
      <c r="J568" s="45" t="s">
        <v>1716</v>
      </c>
      <c r="K568" s="39" t="s">
        <v>1716</v>
      </c>
      <c r="L568" s="39" t="s">
        <v>1014</v>
      </c>
      <c r="M568" s="38" t="str">
        <f t="shared" si="9"/>
        <v>Bon du Trésor</v>
      </c>
    </row>
    <row r="569" spans="1:13" x14ac:dyDescent="0.2">
      <c r="A569" s="38" t="s">
        <v>1035</v>
      </c>
      <c r="B569" s="38">
        <v>200228</v>
      </c>
      <c r="C569" s="38" t="s">
        <v>388</v>
      </c>
      <c r="D569" s="279">
        <v>250000</v>
      </c>
      <c r="E569" s="38">
        <v>101</v>
      </c>
      <c r="F569" s="40">
        <v>8.5000000000000006E-2</v>
      </c>
      <c r="G569" s="44">
        <v>35737</v>
      </c>
      <c r="H569" s="44">
        <v>37563</v>
      </c>
      <c r="I569" s="45">
        <v>5</v>
      </c>
      <c r="J569" s="45" t="s">
        <v>1716</v>
      </c>
      <c r="K569" s="39" t="s">
        <v>1716</v>
      </c>
      <c r="L569" s="39" t="s">
        <v>1014</v>
      </c>
      <c r="M569" s="38" t="str">
        <f t="shared" si="9"/>
        <v>Bon du Trésor</v>
      </c>
    </row>
    <row r="570" spans="1:13" x14ac:dyDescent="0.2">
      <c r="A570" s="38" t="s">
        <v>1035</v>
      </c>
      <c r="B570" s="38">
        <v>200230</v>
      </c>
      <c r="C570" s="38" t="s">
        <v>389</v>
      </c>
      <c r="D570" s="279">
        <v>250000</v>
      </c>
      <c r="E570" s="38">
        <v>101</v>
      </c>
      <c r="F570" s="40">
        <v>8.5000000000000006E-2</v>
      </c>
      <c r="G570" s="44">
        <v>35744</v>
      </c>
      <c r="H570" s="44">
        <v>37570</v>
      </c>
      <c r="I570" s="45">
        <v>5</v>
      </c>
      <c r="J570" s="45" t="s">
        <v>1716</v>
      </c>
      <c r="K570" s="39" t="s">
        <v>1716</v>
      </c>
      <c r="L570" s="39" t="s">
        <v>1014</v>
      </c>
      <c r="M570" s="38" t="str">
        <f t="shared" si="9"/>
        <v>Bon du Trésor</v>
      </c>
    </row>
    <row r="571" spans="1:13" x14ac:dyDescent="0.2">
      <c r="A571" s="38" t="s">
        <v>1035</v>
      </c>
      <c r="B571" s="38">
        <v>200231</v>
      </c>
      <c r="C571" s="38" t="s">
        <v>887</v>
      </c>
      <c r="D571" s="279">
        <v>250000</v>
      </c>
      <c r="E571" s="38">
        <v>101</v>
      </c>
      <c r="F571" s="40">
        <v>0.09</v>
      </c>
      <c r="G571" s="44">
        <v>35744</v>
      </c>
      <c r="H571" s="44">
        <v>39396</v>
      </c>
      <c r="I571" s="45">
        <v>10</v>
      </c>
      <c r="J571" s="45" t="s">
        <v>1716</v>
      </c>
      <c r="K571" s="39" t="s">
        <v>1716</v>
      </c>
      <c r="L571" s="39" t="s">
        <v>1014</v>
      </c>
      <c r="M571" s="38" t="str">
        <f t="shared" si="9"/>
        <v>Bon du Trésor</v>
      </c>
    </row>
    <row r="572" spans="1:13" x14ac:dyDescent="0.2">
      <c r="A572" s="38" t="s">
        <v>1035</v>
      </c>
      <c r="B572" s="38">
        <v>200233</v>
      </c>
      <c r="C572" s="38" t="s">
        <v>888</v>
      </c>
      <c r="D572" s="279">
        <v>250000</v>
      </c>
      <c r="E572" s="38">
        <v>101</v>
      </c>
      <c r="F572" s="40">
        <v>8.5000000000000006E-2</v>
      </c>
      <c r="G572" s="44">
        <v>35751</v>
      </c>
      <c r="H572" s="44">
        <v>37577</v>
      </c>
      <c r="I572" s="45">
        <v>5</v>
      </c>
      <c r="J572" s="45" t="s">
        <v>1716</v>
      </c>
      <c r="K572" s="39" t="s">
        <v>1716</v>
      </c>
      <c r="L572" s="39" t="s">
        <v>1014</v>
      </c>
      <c r="M572" s="38" t="str">
        <f t="shared" si="9"/>
        <v>Bon du Trésor</v>
      </c>
    </row>
    <row r="573" spans="1:13" x14ac:dyDescent="0.2">
      <c r="A573" s="38" t="s">
        <v>1035</v>
      </c>
      <c r="B573" s="38">
        <v>200234</v>
      </c>
      <c r="C573" s="38" t="s">
        <v>1285</v>
      </c>
      <c r="D573" s="279">
        <v>250000</v>
      </c>
      <c r="E573" s="38">
        <v>101</v>
      </c>
      <c r="F573" s="40">
        <v>0.09</v>
      </c>
      <c r="G573" s="44">
        <v>35751</v>
      </c>
      <c r="H573" s="44">
        <v>39403</v>
      </c>
      <c r="I573" s="45">
        <v>10</v>
      </c>
      <c r="J573" s="45" t="s">
        <v>1716</v>
      </c>
      <c r="K573" s="39" t="s">
        <v>1716</v>
      </c>
      <c r="L573" s="39" t="s">
        <v>1014</v>
      </c>
      <c r="M573" s="38" t="str">
        <f t="shared" si="9"/>
        <v>Bon du Trésor</v>
      </c>
    </row>
    <row r="574" spans="1:13" x14ac:dyDescent="0.2">
      <c r="A574" s="38" t="s">
        <v>1035</v>
      </c>
      <c r="B574" s="38">
        <v>200235</v>
      </c>
      <c r="C574" s="38" t="s">
        <v>1286</v>
      </c>
      <c r="D574" s="279">
        <v>250000</v>
      </c>
      <c r="E574" s="38">
        <v>101</v>
      </c>
      <c r="F574" s="40">
        <v>9.5000000000000001E-2</v>
      </c>
      <c r="G574" s="44">
        <v>35751</v>
      </c>
      <c r="H574" s="44">
        <v>41230</v>
      </c>
      <c r="I574" s="45">
        <v>15</v>
      </c>
      <c r="J574" s="45" t="s">
        <v>1716</v>
      </c>
      <c r="K574" s="39" t="s">
        <v>1716</v>
      </c>
      <c r="L574" s="39" t="s">
        <v>1014</v>
      </c>
      <c r="M574" s="38" t="str">
        <f t="shared" si="9"/>
        <v>Bon du Trésor</v>
      </c>
    </row>
    <row r="575" spans="1:13" x14ac:dyDescent="0.2">
      <c r="A575" s="38" t="s">
        <v>1035</v>
      </c>
      <c r="B575" s="38">
        <v>200236</v>
      </c>
      <c r="C575" s="38" t="s">
        <v>1287</v>
      </c>
      <c r="D575" s="279">
        <v>250000</v>
      </c>
      <c r="E575" s="38">
        <v>101</v>
      </c>
      <c r="F575" s="40">
        <v>8.5000000000000006E-2</v>
      </c>
      <c r="G575" s="44">
        <v>35758</v>
      </c>
      <c r="H575" s="44">
        <v>37584</v>
      </c>
      <c r="I575" s="45">
        <v>5</v>
      </c>
      <c r="J575" s="45" t="s">
        <v>1716</v>
      </c>
      <c r="K575" s="39" t="s">
        <v>1716</v>
      </c>
      <c r="L575" s="39" t="s">
        <v>1014</v>
      </c>
      <c r="M575" s="38" t="str">
        <f t="shared" si="9"/>
        <v>Bon du Trésor</v>
      </c>
    </row>
    <row r="576" spans="1:13" x14ac:dyDescent="0.2">
      <c r="A576" s="38" t="s">
        <v>1035</v>
      </c>
      <c r="B576" s="38">
        <v>200237</v>
      </c>
      <c r="C576" s="38" t="s">
        <v>1288</v>
      </c>
      <c r="D576" s="279">
        <v>250000</v>
      </c>
      <c r="E576" s="38">
        <v>101</v>
      </c>
      <c r="F576" s="40">
        <v>0.09</v>
      </c>
      <c r="G576" s="44">
        <v>35758</v>
      </c>
      <c r="H576" s="44">
        <v>39410</v>
      </c>
      <c r="I576" s="45">
        <v>10</v>
      </c>
      <c r="J576" s="45" t="s">
        <v>1716</v>
      </c>
      <c r="K576" s="39" t="s">
        <v>1716</v>
      </c>
      <c r="L576" s="39" t="s">
        <v>1014</v>
      </c>
      <c r="M576" s="38" t="str">
        <f t="shared" si="9"/>
        <v>Bon du Trésor</v>
      </c>
    </row>
    <row r="577" spans="1:13" x14ac:dyDescent="0.2">
      <c r="A577" s="38" t="s">
        <v>1035</v>
      </c>
      <c r="B577" s="38">
        <v>200238</v>
      </c>
      <c r="C577" s="38" t="s">
        <v>1289</v>
      </c>
      <c r="D577" s="279">
        <v>250000</v>
      </c>
      <c r="E577" s="38">
        <v>101</v>
      </c>
      <c r="F577" s="40">
        <v>9.5000000000000001E-2</v>
      </c>
      <c r="G577" s="44">
        <v>35758</v>
      </c>
      <c r="H577" s="44">
        <v>41237</v>
      </c>
      <c r="I577" s="45">
        <v>15</v>
      </c>
      <c r="J577" s="45" t="s">
        <v>1716</v>
      </c>
      <c r="K577" s="39" t="s">
        <v>1716</v>
      </c>
      <c r="L577" s="39" t="s">
        <v>1014</v>
      </c>
      <c r="M577" s="38" t="str">
        <f t="shared" si="9"/>
        <v>Bon du Trésor</v>
      </c>
    </row>
    <row r="578" spans="1:13" x14ac:dyDescent="0.2">
      <c r="A578" s="38" t="s">
        <v>1035</v>
      </c>
      <c r="B578" s="38">
        <v>200239</v>
      </c>
      <c r="C578" s="38" t="s">
        <v>1291</v>
      </c>
      <c r="D578" s="279">
        <v>250000</v>
      </c>
      <c r="E578" s="38">
        <v>101</v>
      </c>
      <c r="F578" s="40">
        <v>8.5000000000000006E-2</v>
      </c>
      <c r="G578" s="44">
        <v>35765</v>
      </c>
      <c r="H578" s="44">
        <v>37591</v>
      </c>
      <c r="I578" s="45">
        <v>5</v>
      </c>
      <c r="J578" s="45" t="s">
        <v>1716</v>
      </c>
      <c r="K578" s="39" t="s">
        <v>1716</v>
      </c>
      <c r="L578" s="39" t="s">
        <v>1014</v>
      </c>
      <c r="M578" s="38" t="str">
        <f t="shared" si="9"/>
        <v>Bon du Trésor</v>
      </c>
    </row>
    <row r="579" spans="1:13" x14ac:dyDescent="0.2">
      <c r="A579" s="38" t="s">
        <v>1035</v>
      </c>
      <c r="B579" s="38">
        <v>200240</v>
      </c>
      <c r="C579" s="38" t="s">
        <v>1496</v>
      </c>
      <c r="D579" s="279">
        <v>250000</v>
      </c>
      <c r="E579" s="38">
        <v>101</v>
      </c>
      <c r="F579" s="40">
        <v>0.09</v>
      </c>
      <c r="G579" s="44">
        <v>35765</v>
      </c>
      <c r="H579" s="44">
        <v>39417</v>
      </c>
      <c r="I579" s="45">
        <v>10</v>
      </c>
      <c r="J579" s="45" t="s">
        <v>1716</v>
      </c>
      <c r="K579" s="39" t="s">
        <v>1716</v>
      </c>
      <c r="L579" s="39" t="s">
        <v>1014</v>
      </c>
      <c r="M579" s="38" t="str">
        <f t="shared" ref="M579:M642" si="10">+A579</f>
        <v>Bon du Trésor</v>
      </c>
    </row>
    <row r="580" spans="1:13" x14ac:dyDescent="0.2">
      <c r="A580" s="38" t="s">
        <v>1035</v>
      </c>
      <c r="B580" s="38">
        <v>200242</v>
      </c>
      <c r="C580" s="38" t="s">
        <v>309</v>
      </c>
      <c r="D580" s="279">
        <v>250000</v>
      </c>
      <c r="E580" s="38">
        <v>101</v>
      </c>
      <c r="F580" s="40">
        <v>8.5000000000000006E-2</v>
      </c>
      <c r="G580" s="44">
        <v>35772</v>
      </c>
      <c r="H580" s="44">
        <v>37598</v>
      </c>
      <c r="I580" s="45">
        <v>5</v>
      </c>
      <c r="J580" s="45" t="s">
        <v>1716</v>
      </c>
      <c r="K580" s="39" t="s">
        <v>1716</v>
      </c>
      <c r="L580" s="39" t="s">
        <v>1014</v>
      </c>
      <c r="M580" s="38" t="str">
        <f t="shared" si="10"/>
        <v>Bon du Trésor</v>
      </c>
    </row>
    <row r="581" spans="1:13" x14ac:dyDescent="0.2">
      <c r="A581" s="38" t="s">
        <v>1035</v>
      </c>
      <c r="B581" s="38">
        <v>200243</v>
      </c>
      <c r="C581" s="38" t="s">
        <v>310</v>
      </c>
      <c r="D581" s="279">
        <v>250000</v>
      </c>
      <c r="E581" s="38">
        <v>101</v>
      </c>
      <c r="F581" s="40">
        <v>0.09</v>
      </c>
      <c r="G581" s="44">
        <v>35772</v>
      </c>
      <c r="H581" s="44">
        <v>39424</v>
      </c>
      <c r="I581" s="45">
        <v>10</v>
      </c>
      <c r="J581" s="45" t="s">
        <v>1716</v>
      </c>
      <c r="K581" s="39" t="s">
        <v>1716</v>
      </c>
      <c r="L581" s="39" t="s">
        <v>1014</v>
      </c>
      <c r="M581" s="38" t="str">
        <f t="shared" si="10"/>
        <v>Bon du Trésor</v>
      </c>
    </row>
    <row r="582" spans="1:13" x14ac:dyDescent="0.2">
      <c r="A582" s="38" t="s">
        <v>1035</v>
      </c>
      <c r="B582" s="38">
        <v>200244</v>
      </c>
      <c r="C582" s="38" t="s">
        <v>312</v>
      </c>
      <c r="D582" s="279">
        <v>250000</v>
      </c>
      <c r="E582" s="38">
        <v>101</v>
      </c>
      <c r="F582" s="40">
        <v>8.5000000000000006E-2</v>
      </c>
      <c r="G582" s="44">
        <v>35779</v>
      </c>
      <c r="H582" s="44">
        <v>37605</v>
      </c>
      <c r="I582" s="45">
        <v>5</v>
      </c>
      <c r="J582" s="45" t="s">
        <v>1716</v>
      </c>
      <c r="K582" s="39" t="s">
        <v>1716</v>
      </c>
      <c r="L582" s="39" t="s">
        <v>1014</v>
      </c>
      <c r="M582" s="38" t="str">
        <f t="shared" si="10"/>
        <v>Bon du Trésor</v>
      </c>
    </row>
    <row r="583" spans="1:13" x14ac:dyDescent="0.2">
      <c r="A583" s="38" t="s">
        <v>1035</v>
      </c>
      <c r="B583" s="38">
        <v>200245</v>
      </c>
      <c r="C583" s="38" t="s">
        <v>283</v>
      </c>
      <c r="D583" s="279">
        <v>250000</v>
      </c>
      <c r="E583" s="38">
        <v>101</v>
      </c>
      <c r="F583" s="40">
        <v>0.09</v>
      </c>
      <c r="G583" s="44">
        <v>35779</v>
      </c>
      <c r="H583" s="44">
        <v>39431</v>
      </c>
      <c r="I583" s="45">
        <v>10</v>
      </c>
      <c r="J583" s="45" t="s">
        <v>1716</v>
      </c>
      <c r="K583" s="39" t="s">
        <v>1716</v>
      </c>
      <c r="L583" s="39" t="s">
        <v>1014</v>
      </c>
      <c r="M583" s="38" t="str">
        <f t="shared" si="10"/>
        <v>Bon du Trésor</v>
      </c>
    </row>
    <row r="584" spans="1:13" x14ac:dyDescent="0.2">
      <c r="A584" s="38" t="s">
        <v>1035</v>
      </c>
      <c r="B584" s="38">
        <v>200246</v>
      </c>
      <c r="C584" s="38" t="s">
        <v>880</v>
      </c>
      <c r="D584" s="279">
        <v>250000</v>
      </c>
      <c r="E584" s="38">
        <v>101</v>
      </c>
      <c r="F584" s="40">
        <v>9.5000000000000001E-2</v>
      </c>
      <c r="G584" s="44">
        <v>35779</v>
      </c>
      <c r="H584" s="44">
        <v>41258</v>
      </c>
      <c r="I584" s="45">
        <v>15</v>
      </c>
      <c r="J584" s="45" t="s">
        <v>1716</v>
      </c>
      <c r="K584" s="39" t="s">
        <v>1716</v>
      </c>
      <c r="L584" s="39" t="s">
        <v>1014</v>
      </c>
      <c r="M584" s="38" t="str">
        <f t="shared" si="10"/>
        <v>Bon du Trésor</v>
      </c>
    </row>
    <row r="585" spans="1:13" x14ac:dyDescent="0.2">
      <c r="A585" s="38" t="s">
        <v>1035</v>
      </c>
      <c r="B585" s="38">
        <v>200247</v>
      </c>
      <c r="C585" s="38" t="s">
        <v>963</v>
      </c>
      <c r="D585" s="279">
        <v>250000</v>
      </c>
      <c r="E585" s="38">
        <v>101</v>
      </c>
      <c r="F585" s="40">
        <v>8.5000000000000006E-2</v>
      </c>
      <c r="G585" s="44">
        <v>35786</v>
      </c>
      <c r="H585" s="44">
        <v>37612</v>
      </c>
      <c r="I585" s="45">
        <v>5</v>
      </c>
      <c r="J585" s="45" t="s">
        <v>1716</v>
      </c>
      <c r="K585" s="39" t="s">
        <v>1716</v>
      </c>
      <c r="L585" s="39" t="s">
        <v>1014</v>
      </c>
      <c r="M585" s="38" t="str">
        <f t="shared" si="10"/>
        <v>Bon du Trésor</v>
      </c>
    </row>
    <row r="586" spans="1:13" x14ac:dyDescent="0.2">
      <c r="A586" s="38" t="s">
        <v>1035</v>
      </c>
      <c r="B586" s="38">
        <v>200248</v>
      </c>
      <c r="C586" s="38" t="s">
        <v>964</v>
      </c>
      <c r="D586" s="279">
        <v>250000</v>
      </c>
      <c r="E586" s="38">
        <v>101</v>
      </c>
      <c r="F586" s="40">
        <v>9.5000000000000001E-2</v>
      </c>
      <c r="G586" s="44">
        <v>35786</v>
      </c>
      <c r="H586" s="44">
        <v>41265</v>
      </c>
      <c r="I586" s="45">
        <v>15</v>
      </c>
      <c r="J586" s="45" t="s">
        <v>1716</v>
      </c>
      <c r="K586" s="39" t="s">
        <v>1716</v>
      </c>
      <c r="L586" s="39" t="s">
        <v>1014</v>
      </c>
      <c r="M586" s="38" t="str">
        <f t="shared" si="10"/>
        <v>Bon du Trésor</v>
      </c>
    </row>
    <row r="587" spans="1:13" x14ac:dyDescent="0.2">
      <c r="A587" s="38" t="s">
        <v>1035</v>
      </c>
      <c r="B587" s="38">
        <v>200249</v>
      </c>
      <c r="C587" s="38" t="s">
        <v>1347</v>
      </c>
      <c r="D587" s="279">
        <v>250000</v>
      </c>
      <c r="E587" s="38">
        <v>101</v>
      </c>
      <c r="F587" s="40">
        <v>0.09</v>
      </c>
      <c r="G587" s="44">
        <v>35793</v>
      </c>
      <c r="H587" s="44">
        <v>39445</v>
      </c>
      <c r="I587" s="45">
        <v>10</v>
      </c>
      <c r="J587" s="45" t="s">
        <v>1716</v>
      </c>
      <c r="K587" s="39" t="s">
        <v>1716</v>
      </c>
      <c r="L587" s="39" t="s">
        <v>1014</v>
      </c>
      <c r="M587" s="38" t="str">
        <f t="shared" si="10"/>
        <v>Bon du Trésor</v>
      </c>
    </row>
    <row r="588" spans="1:13" x14ac:dyDescent="0.2">
      <c r="A588" s="38" t="s">
        <v>1035</v>
      </c>
      <c r="B588" s="38">
        <v>200250</v>
      </c>
      <c r="C588" s="38" t="s">
        <v>1348</v>
      </c>
      <c r="D588" s="279">
        <v>250000</v>
      </c>
      <c r="E588" s="38">
        <v>101</v>
      </c>
      <c r="F588" s="40">
        <v>9.5000000000000001E-2</v>
      </c>
      <c r="G588" s="44">
        <v>35793</v>
      </c>
      <c r="H588" s="44">
        <v>41272</v>
      </c>
      <c r="I588" s="45">
        <v>15</v>
      </c>
      <c r="J588" s="45" t="s">
        <v>1716</v>
      </c>
      <c r="K588" s="39" t="s">
        <v>1716</v>
      </c>
      <c r="L588" s="39" t="s">
        <v>1014</v>
      </c>
      <c r="M588" s="38" t="str">
        <f t="shared" si="10"/>
        <v>Bon du Trésor</v>
      </c>
    </row>
    <row r="589" spans="1:13" x14ac:dyDescent="0.2">
      <c r="A589" s="38" t="s">
        <v>1035</v>
      </c>
      <c r="B589" s="38">
        <v>200251</v>
      </c>
      <c r="C589" s="38" t="s">
        <v>1349</v>
      </c>
      <c r="D589" s="279">
        <v>250000</v>
      </c>
      <c r="E589" s="38">
        <v>101</v>
      </c>
      <c r="F589" s="40">
        <v>8.900000000000001E-2</v>
      </c>
      <c r="G589" s="44">
        <v>35828</v>
      </c>
      <c r="H589" s="44">
        <v>39480</v>
      </c>
      <c r="I589" s="45">
        <v>10</v>
      </c>
      <c r="J589" s="45" t="s">
        <v>1716</v>
      </c>
      <c r="K589" s="39" t="s">
        <v>1716</v>
      </c>
      <c r="L589" s="39" t="s">
        <v>1014</v>
      </c>
      <c r="M589" s="38" t="str">
        <f t="shared" si="10"/>
        <v>Bon du Trésor</v>
      </c>
    </row>
    <row r="590" spans="1:13" x14ac:dyDescent="0.2">
      <c r="A590" s="38" t="s">
        <v>1035</v>
      </c>
      <c r="B590" s="38">
        <v>200252</v>
      </c>
      <c r="C590" s="38" t="s">
        <v>1545</v>
      </c>
      <c r="D590" s="279">
        <v>250000</v>
      </c>
      <c r="E590" s="38">
        <v>101</v>
      </c>
      <c r="F590" s="40">
        <v>9.1499999999999998E-2</v>
      </c>
      <c r="G590" s="44">
        <v>35870</v>
      </c>
      <c r="H590" s="44">
        <v>41349</v>
      </c>
      <c r="I590" s="45">
        <v>15</v>
      </c>
      <c r="J590" s="45" t="s">
        <v>1716</v>
      </c>
      <c r="K590" s="39" t="s">
        <v>1716</v>
      </c>
      <c r="L590" s="39" t="s">
        <v>1014</v>
      </c>
      <c r="M590" s="38" t="str">
        <f t="shared" si="10"/>
        <v>Bon du Trésor</v>
      </c>
    </row>
    <row r="591" spans="1:13" x14ac:dyDescent="0.2">
      <c r="A591" s="38" t="s">
        <v>1035</v>
      </c>
      <c r="B591" s="38">
        <v>200260</v>
      </c>
      <c r="C591" s="38" t="s">
        <v>1547</v>
      </c>
      <c r="D591" s="279">
        <v>250000</v>
      </c>
      <c r="E591" s="38">
        <v>101</v>
      </c>
      <c r="F591" s="40">
        <v>8.9499999999999996E-2</v>
      </c>
      <c r="G591" s="44">
        <v>35933</v>
      </c>
      <c r="H591" s="44">
        <v>41412</v>
      </c>
      <c r="I591" s="45">
        <v>15</v>
      </c>
      <c r="J591" s="45" t="s">
        <v>1716</v>
      </c>
      <c r="K591" s="39" t="s">
        <v>1716</v>
      </c>
      <c r="L591" s="39" t="s">
        <v>1014</v>
      </c>
      <c r="M591" s="38" t="str">
        <f t="shared" si="10"/>
        <v>Bon du Trésor</v>
      </c>
    </row>
    <row r="592" spans="1:13" x14ac:dyDescent="0.2">
      <c r="A592" s="38" t="s">
        <v>1035</v>
      </c>
      <c r="B592" s="38">
        <v>200261</v>
      </c>
      <c r="C592" s="38" t="s">
        <v>1548</v>
      </c>
      <c r="D592" s="279">
        <v>250000</v>
      </c>
      <c r="E592" s="38">
        <v>101</v>
      </c>
      <c r="F592" s="40">
        <v>0.09</v>
      </c>
      <c r="G592" s="44">
        <v>35933</v>
      </c>
      <c r="H592" s="44">
        <v>41412</v>
      </c>
      <c r="I592" s="45">
        <v>15</v>
      </c>
      <c r="J592" s="45" t="s">
        <v>1716</v>
      </c>
      <c r="K592" s="39" t="s">
        <v>1716</v>
      </c>
      <c r="L592" s="39" t="s">
        <v>1014</v>
      </c>
      <c r="M592" s="38" t="str">
        <f t="shared" si="10"/>
        <v>Bon du Trésor</v>
      </c>
    </row>
    <row r="593" spans="1:13" x14ac:dyDescent="0.2">
      <c r="A593" s="38" t="s">
        <v>1035</v>
      </c>
      <c r="B593" s="38">
        <v>200262</v>
      </c>
      <c r="C593" s="38" t="s">
        <v>1549</v>
      </c>
      <c r="D593" s="279">
        <v>250000</v>
      </c>
      <c r="E593" s="38">
        <v>101</v>
      </c>
      <c r="F593" s="40">
        <v>7.6999999999999999E-2</v>
      </c>
      <c r="G593" s="44">
        <v>35947</v>
      </c>
      <c r="H593" s="44">
        <v>37773</v>
      </c>
      <c r="I593" s="45">
        <v>5</v>
      </c>
      <c r="J593" s="45" t="s">
        <v>1716</v>
      </c>
      <c r="K593" s="39" t="s">
        <v>1716</v>
      </c>
      <c r="L593" s="39" t="s">
        <v>1014</v>
      </c>
      <c r="M593" s="38" t="str">
        <f t="shared" si="10"/>
        <v>Bon du Trésor</v>
      </c>
    </row>
    <row r="594" spans="1:13" x14ac:dyDescent="0.2">
      <c r="A594" s="38" t="s">
        <v>1035</v>
      </c>
      <c r="B594" s="38">
        <v>200265</v>
      </c>
      <c r="C594" s="38" t="s">
        <v>1550</v>
      </c>
      <c r="D594" s="279">
        <v>250000</v>
      </c>
      <c r="E594" s="38">
        <v>101</v>
      </c>
      <c r="F594" s="40">
        <v>7.4999999999999997E-2</v>
      </c>
      <c r="G594" s="44">
        <v>35982</v>
      </c>
      <c r="H594" s="44">
        <v>37808</v>
      </c>
      <c r="I594" s="45">
        <v>5</v>
      </c>
      <c r="J594" s="45" t="s">
        <v>1716</v>
      </c>
      <c r="K594" s="39" t="s">
        <v>1716</v>
      </c>
      <c r="L594" s="39" t="s">
        <v>1014</v>
      </c>
      <c r="M594" s="38" t="str">
        <f t="shared" si="10"/>
        <v>Bon du Trésor</v>
      </c>
    </row>
    <row r="595" spans="1:13" x14ac:dyDescent="0.2">
      <c r="A595" s="38" t="s">
        <v>1035</v>
      </c>
      <c r="B595" s="38">
        <v>200266</v>
      </c>
      <c r="C595" s="38" t="s">
        <v>1551</v>
      </c>
      <c r="D595" s="279">
        <v>250000</v>
      </c>
      <c r="E595" s="38">
        <v>101</v>
      </c>
      <c r="F595" s="40">
        <v>8.1000000000000003E-2</v>
      </c>
      <c r="G595" s="44">
        <v>36024</v>
      </c>
      <c r="H595" s="44">
        <v>39677</v>
      </c>
      <c r="I595" s="45">
        <v>10</v>
      </c>
      <c r="J595" s="45" t="s">
        <v>1716</v>
      </c>
      <c r="K595" s="39" t="s">
        <v>1716</v>
      </c>
      <c r="L595" s="39" t="s">
        <v>1014</v>
      </c>
      <c r="M595" s="38" t="str">
        <f t="shared" si="10"/>
        <v>Bon du Trésor</v>
      </c>
    </row>
    <row r="596" spans="1:13" x14ac:dyDescent="0.2">
      <c r="A596" s="38" t="s">
        <v>1035</v>
      </c>
      <c r="B596" s="38">
        <v>200269</v>
      </c>
      <c r="C596" s="38" t="s">
        <v>1552</v>
      </c>
      <c r="D596" s="279">
        <v>250000</v>
      </c>
      <c r="E596" s="38">
        <v>101</v>
      </c>
      <c r="F596" s="40">
        <v>7.4999999999999997E-2</v>
      </c>
      <c r="G596" s="44">
        <v>36038</v>
      </c>
      <c r="H596" s="44">
        <v>37864</v>
      </c>
      <c r="I596" s="45">
        <v>5</v>
      </c>
      <c r="J596" s="45" t="s">
        <v>1716</v>
      </c>
      <c r="K596" s="39" t="s">
        <v>1716</v>
      </c>
      <c r="L596" s="39" t="s">
        <v>1014</v>
      </c>
      <c r="M596" s="38" t="str">
        <f t="shared" si="10"/>
        <v>Bon du Trésor</v>
      </c>
    </row>
    <row r="597" spans="1:13" x14ac:dyDescent="0.2">
      <c r="A597" s="38" t="s">
        <v>1035</v>
      </c>
      <c r="B597" s="38">
        <v>200270</v>
      </c>
      <c r="C597" s="38" t="s">
        <v>1553</v>
      </c>
      <c r="D597" s="279">
        <v>250000</v>
      </c>
      <c r="E597" s="38">
        <v>101</v>
      </c>
      <c r="F597" s="40">
        <v>8.8499999999999995E-2</v>
      </c>
      <c r="G597" s="44">
        <v>36038</v>
      </c>
      <c r="H597" s="44">
        <v>41517</v>
      </c>
      <c r="I597" s="45">
        <v>15</v>
      </c>
      <c r="J597" s="45" t="s">
        <v>1716</v>
      </c>
      <c r="K597" s="39" t="s">
        <v>1716</v>
      </c>
      <c r="L597" s="39" t="s">
        <v>1014</v>
      </c>
      <c r="M597" s="38" t="str">
        <f t="shared" si="10"/>
        <v>Bon du Trésor</v>
      </c>
    </row>
    <row r="598" spans="1:13" x14ac:dyDescent="0.2">
      <c r="A598" s="38" t="s">
        <v>1035</v>
      </c>
      <c r="B598" s="38">
        <v>200275</v>
      </c>
      <c r="C598" s="38" t="s">
        <v>1554</v>
      </c>
      <c r="D598" s="279">
        <v>250000</v>
      </c>
      <c r="E598" s="38">
        <v>101</v>
      </c>
      <c r="F598" s="40">
        <v>7.4999999999999997E-2</v>
      </c>
      <c r="G598" s="44">
        <v>36143</v>
      </c>
      <c r="H598" s="44">
        <v>37969</v>
      </c>
      <c r="I598" s="45">
        <v>5</v>
      </c>
      <c r="J598" s="45" t="s">
        <v>1716</v>
      </c>
      <c r="K598" s="39" t="s">
        <v>1716</v>
      </c>
      <c r="L598" s="39" t="s">
        <v>1014</v>
      </c>
      <c r="M598" s="38" t="str">
        <f t="shared" si="10"/>
        <v>Bon du Trésor</v>
      </c>
    </row>
    <row r="599" spans="1:13" x14ac:dyDescent="0.2">
      <c r="A599" s="38" t="s">
        <v>1035</v>
      </c>
      <c r="B599" s="38">
        <v>200276</v>
      </c>
      <c r="C599" s="38" t="s">
        <v>1555</v>
      </c>
      <c r="D599" s="279">
        <v>250000</v>
      </c>
      <c r="E599" s="38">
        <v>101</v>
      </c>
      <c r="F599" s="40">
        <v>8.5000000000000006E-2</v>
      </c>
      <c r="G599" s="44">
        <v>36143</v>
      </c>
      <c r="H599" s="44">
        <v>41622</v>
      </c>
      <c r="I599" s="45">
        <v>15</v>
      </c>
      <c r="J599" s="45" t="s">
        <v>1716</v>
      </c>
      <c r="K599" s="39" t="s">
        <v>1716</v>
      </c>
      <c r="L599" s="39" t="s">
        <v>1014</v>
      </c>
      <c r="M599" s="38" t="str">
        <f t="shared" si="10"/>
        <v>Bon du Trésor</v>
      </c>
    </row>
    <row r="600" spans="1:13" x14ac:dyDescent="0.2">
      <c r="A600" s="38" t="s">
        <v>1035</v>
      </c>
      <c r="B600" s="38">
        <v>200278</v>
      </c>
      <c r="C600" s="38" t="s">
        <v>1557</v>
      </c>
      <c r="D600" s="279">
        <v>250000</v>
      </c>
      <c r="E600" s="38">
        <v>101</v>
      </c>
      <c r="F600" s="40">
        <v>7.4999999999999997E-2</v>
      </c>
      <c r="G600" s="44">
        <v>36164</v>
      </c>
      <c r="H600" s="44">
        <v>37990</v>
      </c>
      <c r="I600" s="45">
        <v>5</v>
      </c>
      <c r="J600" s="45" t="s">
        <v>1716</v>
      </c>
      <c r="K600" s="39" t="s">
        <v>1716</v>
      </c>
      <c r="L600" s="39" t="s">
        <v>1014</v>
      </c>
      <c r="M600" s="38" t="str">
        <f t="shared" si="10"/>
        <v>Bon du Trésor</v>
      </c>
    </row>
    <row r="601" spans="1:13" x14ac:dyDescent="0.2">
      <c r="A601" s="38" t="s">
        <v>1035</v>
      </c>
      <c r="B601" s="38">
        <v>200279</v>
      </c>
      <c r="C601" s="38" t="s">
        <v>895</v>
      </c>
      <c r="D601" s="279">
        <v>250000</v>
      </c>
      <c r="E601" s="38">
        <v>101</v>
      </c>
      <c r="F601" s="40">
        <v>8.5000000000000006E-2</v>
      </c>
      <c r="G601" s="44">
        <v>36164</v>
      </c>
      <c r="H601" s="44">
        <v>41643</v>
      </c>
      <c r="I601" s="45">
        <v>15</v>
      </c>
      <c r="J601" s="45" t="s">
        <v>1716</v>
      </c>
      <c r="K601" s="39" t="s">
        <v>1716</v>
      </c>
      <c r="L601" s="39" t="s">
        <v>1014</v>
      </c>
      <c r="M601" s="38" t="str">
        <f t="shared" si="10"/>
        <v>Bon du Trésor</v>
      </c>
    </row>
    <row r="602" spans="1:13" x14ac:dyDescent="0.2">
      <c r="A602" s="38" t="s">
        <v>1035</v>
      </c>
      <c r="B602" s="38">
        <v>200281</v>
      </c>
      <c r="C602" s="38" t="s">
        <v>380</v>
      </c>
      <c r="D602" s="279">
        <v>250000</v>
      </c>
      <c r="E602" s="38">
        <v>101</v>
      </c>
      <c r="F602" s="40">
        <v>0.08</v>
      </c>
      <c r="G602" s="44">
        <v>36178</v>
      </c>
      <c r="H602" s="44">
        <v>39831</v>
      </c>
      <c r="I602" s="45">
        <v>10</v>
      </c>
      <c r="J602" s="45" t="s">
        <v>1716</v>
      </c>
      <c r="K602" s="39" t="s">
        <v>1716</v>
      </c>
      <c r="L602" s="39" t="s">
        <v>1014</v>
      </c>
      <c r="M602" s="38" t="str">
        <f t="shared" si="10"/>
        <v>Bon du Trésor</v>
      </c>
    </row>
    <row r="603" spans="1:13" x14ac:dyDescent="0.2">
      <c r="A603" s="38" t="s">
        <v>1035</v>
      </c>
      <c r="B603" s="38">
        <v>200282</v>
      </c>
      <c r="C603" s="38" t="s">
        <v>1904</v>
      </c>
      <c r="D603" s="279">
        <v>250000</v>
      </c>
      <c r="E603" s="38">
        <v>101</v>
      </c>
      <c r="F603" s="40">
        <v>7.4999999999999997E-2</v>
      </c>
      <c r="G603" s="44">
        <v>36192</v>
      </c>
      <c r="H603" s="44">
        <v>38018</v>
      </c>
      <c r="I603" s="45">
        <v>5</v>
      </c>
      <c r="J603" s="45" t="s">
        <v>1716</v>
      </c>
      <c r="K603" s="39" t="s">
        <v>1716</v>
      </c>
      <c r="L603" s="39" t="s">
        <v>1014</v>
      </c>
      <c r="M603" s="38" t="str">
        <f t="shared" si="10"/>
        <v>Bon du Trésor</v>
      </c>
    </row>
    <row r="604" spans="1:13" x14ac:dyDescent="0.2">
      <c r="A604" s="38" t="s">
        <v>1035</v>
      </c>
      <c r="B604" s="38">
        <v>200284</v>
      </c>
      <c r="C604" s="38" t="s">
        <v>1906</v>
      </c>
      <c r="D604" s="279">
        <v>250000</v>
      </c>
      <c r="E604" s="38">
        <v>101</v>
      </c>
      <c r="F604" s="40">
        <v>7.85E-2</v>
      </c>
      <c r="G604" s="44">
        <v>36241</v>
      </c>
      <c r="H604" s="44">
        <v>39894</v>
      </c>
      <c r="I604" s="45">
        <v>10</v>
      </c>
      <c r="J604" s="45" t="s">
        <v>1716</v>
      </c>
      <c r="K604" s="39" t="s">
        <v>1716</v>
      </c>
      <c r="L604" s="39" t="s">
        <v>1014</v>
      </c>
      <c r="M604" s="38" t="str">
        <f t="shared" si="10"/>
        <v>Bon du Trésor</v>
      </c>
    </row>
    <row r="605" spans="1:13" x14ac:dyDescent="0.2">
      <c r="A605" s="38" t="s">
        <v>1035</v>
      </c>
      <c r="B605" s="38">
        <v>200286</v>
      </c>
      <c r="C605" s="38" t="s">
        <v>1907</v>
      </c>
      <c r="D605" s="279">
        <v>250000</v>
      </c>
      <c r="E605" s="38">
        <v>101</v>
      </c>
      <c r="F605" s="40">
        <v>7.2499999999999995E-2</v>
      </c>
      <c r="G605" s="44">
        <v>36255</v>
      </c>
      <c r="H605" s="44">
        <v>38082</v>
      </c>
      <c r="I605" s="45">
        <v>5</v>
      </c>
      <c r="J605" s="45" t="s">
        <v>1716</v>
      </c>
      <c r="K605" s="39" t="s">
        <v>1716</v>
      </c>
      <c r="L605" s="39" t="s">
        <v>1014</v>
      </c>
      <c r="M605" s="38" t="str">
        <f t="shared" si="10"/>
        <v>Bon du Trésor</v>
      </c>
    </row>
    <row r="606" spans="1:13" x14ac:dyDescent="0.2">
      <c r="A606" s="38" t="s">
        <v>1035</v>
      </c>
      <c r="B606" s="38">
        <v>200287</v>
      </c>
      <c r="C606" s="38" t="s">
        <v>1643</v>
      </c>
      <c r="D606" s="279">
        <v>250000</v>
      </c>
      <c r="E606" s="38">
        <v>101</v>
      </c>
      <c r="F606" s="40">
        <v>7.5999999999999998E-2</v>
      </c>
      <c r="G606" s="44">
        <v>36255</v>
      </c>
      <c r="H606" s="44">
        <v>39908</v>
      </c>
      <c r="I606" s="45">
        <v>10</v>
      </c>
      <c r="J606" s="45" t="s">
        <v>1716</v>
      </c>
      <c r="K606" s="39" t="s">
        <v>1716</v>
      </c>
      <c r="L606" s="39" t="s">
        <v>1014</v>
      </c>
      <c r="M606" s="38" t="str">
        <f t="shared" si="10"/>
        <v>Bon du Trésor</v>
      </c>
    </row>
    <row r="607" spans="1:13" x14ac:dyDescent="0.2">
      <c r="A607" s="38" t="s">
        <v>1035</v>
      </c>
      <c r="B607" s="38">
        <v>200288</v>
      </c>
      <c r="C607" s="38" t="s">
        <v>1644</v>
      </c>
      <c r="D607" s="279">
        <v>250000</v>
      </c>
      <c r="E607" s="38">
        <v>101</v>
      </c>
      <c r="F607" s="40">
        <v>0.08</v>
      </c>
      <c r="G607" s="44">
        <v>36255</v>
      </c>
      <c r="H607" s="44">
        <v>41734</v>
      </c>
      <c r="I607" s="45">
        <v>15</v>
      </c>
      <c r="J607" s="45" t="s">
        <v>1716</v>
      </c>
      <c r="K607" s="39" t="s">
        <v>1716</v>
      </c>
      <c r="L607" s="39" t="s">
        <v>1014</v>
      </c>
      <c r="M607" s="38" t="str">
        <f t="shared" si="10"/>
        <v>Bon du Trésor</v>
      </c>
    </row>
    <row r="608" spans="1:13" x14ac:dyDescent="0.2">
      <c r="A608" s="38" t="s">
        <v>1035</v>
      </c>
      <c r="B608" s="38">
        <v>200290</v>
      </c>
      <c r="C608" s="38" t="s">
        <v>1664</v>
      </c>
      <c r="D608" s="279">
        <v>250000</v>
      </c>
      <c r="E608" s="38">
        <v>101</v>
      </c>
      <c r="F608" s="40">
        <v>7.2499999999999995E-2</v>
      </c>
      <c r="G608" s="44">
        <v>36283</v>
      </c>
      <c r="H608" s="44">
        <v>38110</v>
      </c>
      <c r="I608" s="45">
        <v>5</v>
      </c>
      <c r="J608" s="45" t="s">
        <v>1716</v>
      </c>
      <c r="K608" s="39" t="s">
        <v>1716</v>
      </c>
      <c r="L608" s="39" t="s">
        <v>1014</v>
      </c>
      <c r="M608" s="38" t="str">
        <f t="shared" si="10"/>
        <v>Bon du Trésor</v>
      </c>
    </row>
    <row r="609" spans="1:13" x14ac:dyDescent="0.2">
      <c r="A609" s="38" t="s">
        <v>1035</v>
      </c>
      <c r="B609" s="38">
        <v>200299</v>
      </c>
      <c r="C609" s="38" t="s">
        <v>347</v>
      </c>
      <c r="D609" s="279">
        <v>250000</v>
      </c>
      <c r="E609" s="38">
        <v>101</v>
      </c>
      <c r="F609" s="40">
        <v>6.7299999999999999E-2</v>
      </c>
      <c r="G609" s="44">
        <v>36339</v>
      </c>
      <c r="H609" s="44">
        <v>38166</v>
      </c>
      <c r="I609" s="45">
        <v>5</v>
      </c>
      <c r="J609" s="45" t="s">
        <v>1716</v>
      </c>
      <c r="K609" s="39" t="s">
        <v>1716</v>
      </c>
      <c r="L609" s="39" t="s">
        <v>1014</v>
      </c>
      <c r="M609" s="38" t="str">
        <f t="shared" si="10"/>
        <v>Bon du Trésor</v>
      </c>
    </row>
    <row r="610" spans="1:13" x14ac:dyDescent="0.2">
      <c r="A610" s="38" t="s">
        <v>1035</v>
      </c>
      <c r="B610" s="38">
        <v>200300</v>
      </c>
      <c r="C610" s="38" t="s">
        <v>869</v>
      </c>
      <c r="D610" s="279">
        <v>250000</v>
      </c>
      <c r="E610" s="38">
        <v>101</v>
      </c>
      <c r="F610" s="40">
        <v>6.9900000000000004E-2</v>
      </c>
      <c r="G610" s="44">
        <v>36339</v>
      </c>
      <c r="H610" s="44">
        <v>39992</v>
      </c>
      <c r="I610" s="45">
        <v>10</v>
      </c>
      <c r="J610" s="45" t="s">
        <v>1716</v>
      </c>
      <c r="K610" s="39" t="s">
        <v>1716</v>
      </c>
      <c r="L610" s="39" t="s">
        <v>1014</v>
      </c>
      <c r="M610" s="38" t="str">
        <f t="shared" si="10"/>
        <v>Bon du Trésor</v>
      </c>
    </row>
    <row r="611" spans="1:13" x14ac:dyDescent="0.2">
      <c r="A611" s="38" t="s">
        <v>1035</v>
      </c>
      <c r="B611" s="38">
        <v>200301</v>
      </c>
      <c r="C611" s="38" t="s">
        <v>107</v>
      </c>
      <c r="D611" s="279">
        <v>250000</v>
      </c>
      <c r="E611" s="38">
        <v>101</v>
      </c>
      <c r="F611" s="40">
        <v>7.1500000000000008E-2</v>
      </c>
      <c r="G611" s="44">
        <v>36339</v>
      </c>
      <c r="H611" s="44">
        <v>41818</v>
      </c>
      <c r="I611" s="45">
        <v>15</v>
      </c>
      <c r="J611" s="45" t="s">
        <v>1716</v>
      </c>
      <c r="K611" s="39" t="s">
        <v>1716</v>
      </c>
      <c r="L611" s="39" t="s">
        <v>1014</v>
      </c>
      <c r="M611" s="38" t="str">
        <f t="shared" si="10"/>
        <v>Bon du Trésor</v>
      </c>
    </row>
    <row r="612" spans="1:13" x14ac:dyDescent="0.2">
      <c r="A612" s="38" t="s">
        <v>1035</v>
      </c>
      <c r="B612" s="38">
        <v>200306</v>
      </c>
      <c r="C612" s="38" t="s">
        <v>108</v>
      </c>
      <c r="D612" s="279">
        <v>250000</v>
      </c>
      <c r="E612" s="38">
        <v>101</v>
      </c>
      <c r="F612" s="40">
        <v>5.5E-2</v>
      </c>
      <c r="G612" s="44">
        <v>36451</v>
      </c>
      <c r="H612" s="44">
        <v>38278</v>
      </c>
      <c r="I612" s="45">
        <v>5</v>
      </c>
      <c r="J612" s="45" t="s">
        <v>1716</v>
      </c>
      <c r="K612" s="39" t="s">
        <v>1716</v>
      </c>
      <c r="L612" s="39" t="s">
        <v>1014</v>
      </c>
      <c r="M612" s="38" t="str">
        <f t="shared" si="10"/>
        <v>Bon du Trésor</v>
      </c>
    </row>
    <row r="613" spans="1:13" x14ac:dyDescent="0.2">
      <c r="A613" s="38" t="s">
        <v>1035</v>
      </c>
      <c r="B613" s="38">
        <v>200307</v>
      </c>
      <c r="C613" s="38" t="s">
        <v>720</v>
      </c>
      <c r="D613" s="279">
        <v>250000</v>
      </c>
      <c r="E613" s="38">
        <v>101</v>
      </c>
      <c r="F613" s="40">
        <v>5.7000000000000002E-2</v>
      </c>
      <c r="G613" s="44">
        <v>36451</v>
      </c>
      <c r="H613" s="44">
        <v>40104</v>
      </c>
      <c r="I613" s="45">
        <v>10</v>
      </c>
      <c r="J613" s="45" t="s">
        <v>1716</v>
      </c>
      <c r="K613" s="39" t="s">
        <v>1716</v>
      </c>
      <c r="L613" s="39" t="s">
        <v>1014</v>
      </c>
      <c r="M613" s="38" t="str">
        <f t="shared" si="10"/>
        <v>Bon du Trésor</v>
      </c>
    </row>
    <row r="614" spans="1:13" x14ac:dyDescent="0.2">
      <c r="A614" s="38" t="s">
        <v>1035</v>
      </c>
      <c r="B614" s="38">
        <v>200308</v>
      </c>
      <c r="C614" s="38" t="s">
        <v>721</v>
      </c>
      <c r="D614" s="279">
        <v>250000</v>
      </c>
      <c r="E614" s="38">
        <v>101</v>
      </c>
      <c r="F614" s="40">
        <v>5.9000000000000004E-2</v>
      </c>
      <c r="G614" s="44">
        <v>36451</v>
      </c>
      <c r="H614" s="44">
        <v>41930</v>
      </c>
      <c r="I614" s="45">
        <v>15</v>
      </c>
      <c r="J614" s="45" t="s">
        <v>1716</v>
      </c>
      <c r="K614" s="39" t="s">
        <v>1716</v>
      </c>
      <c r="L614" s="39" t="s">
        <v>1014</v>
      </c>
      <c r="M614" s="38" t="str">
        <f t="shared" si="10"/>
        <v>Bon du Trésor</v>
      </c>
    </row>
    <row r="615" spans="1:13" x14ac:dyDescent="0.2">
      <c r="A615" s="38" t="s">
        <v>1035</v>
      </c>
      <c r="B615" s="38">
        <v>200311</v>
      </c>
      <c r="C615" s="38" t="s">
        <v>723</v>
      </c>
      <c r="D615" s="279">
        <v>250000</v>
      </c>
      <c r="E615" s="38">
        <v>101</v>
      </c>
      <c r="F615" s="40">
        <v>5.6500000000000002E-2</v>
      </c>
      <c r="G615" s="44">
        <v>36465</v>
      </c>
      <c r="H615" s="44">
        <v>40118</v>
      </c>
      <c r="I615" s="45">
        <v>10</v>
      </c>
      <c r="J615" s="45" t="s">
        <v>1716</v>
      </c>
      <c r="K615" s="39" t="s">
        <v>1716</v>
      </c>
      <c r="L615" s="39" t="s">
        <v>1014</v>
      </c>
      <c r="M615" s="38" t="str">
        <f t="shared" si="10"/>
        <v>Bon du Trésor</v>
      </c>
    </row>
    <row r="616" spans="1:13" x14ac:dyDescent="0.2">
      <c r="A616" s="38" t="s">
        <v>1035</v>
      </c>
      <c r="B616" s="38">
        <v>200324</v>
      </c>
      <c r="C616" s="38" t="s">
        <v>861</v>
      </c>
      <c r="D616" s="279">
        <v>250000</v>
      </c>
      <c r="E616" s="38">
        <v>101</v>
      </c>
      <c r="F616" s="40">
        <v>5.1299999999999998E-2</v>
      </c>
      <c r="G616" s="44">
        <v>36514</v>
      </c>
      <c r="H616" s="44">
        <v>38341</v>
      </c>
      <c r="I616" s="45">
        <v>5</v>
      </c>
      <c r="J616" s="45" t="s">
        <v>1716</v>
      </c>
      <c r="K616" s="39" t="s">
        <v>1716</v>
      </c>
      <c r="L616" s="39" t="s">
        <v>1014</v>
      </c>
      <c r="M616" s="38" t="str">
        <f t="shared" si="10"/>
        <v>Bon du Trésor</v>
      </c>
    </row>
    <row r="617" spans="1:13" x14ac:dyDescent="0.2">
      <c r="A617" s="38" t="s">
        <v>1035</v>
      </c>
      <c r="B617" s="38">
        <v>200330</v>
      </c>
      <c r="C617" s="38" t="s">
        <v>272</v>
      </c>
      <c r="D617" s="279">
        <v>250000</v>
      </c>
      <c r="E617" s="38">
        <v>101</v>
      </c>
      <c r="F617" s="40">
        <v>5.2999999999999999E-2</v>
      </c>
      <c r="G617" s="44">
        <v>36528</v>
      </c>
      <c r="H617" s="44">
        <v>38355</v>
      </c>
      <c r="I617" s="45">
        <v>5</v>
      </c>
      <c r="J617" s="45" t="s">
        <v>1716</v>
      </c>
      <c r="K617" s="39" t="s">
        <v>1716</v>
      </c>
      <c r="L617" s="39" t="s">
        <v>1014</v>
      </c>
      <c r="M617" s="38" t="str">
        <f t="shared" si="10"/>
        <v>Bon du Trésor</v>
      </c>
    </row>
    <row r="618" spans="1:13" x14ac:dyDescent="0.2">
      <c r="A618" s="38" t="s">
        <v>1035</v>
      </c>
      <c r="B618" s="38">
        <v>200334</v>
      </c>
      <c r="C618" s="38" t="s">
        <v>273</v>
      </c>
      <c r="D618" s="279">
        <v>250000</v>
      </c>
      <c r="E618" s="38">
        <v>101</v>
      </c>
      <c r="F618" s="40">
        <v>5.5E-2</v>
      </c>
      <c r="G618" s="44">
        <v>36591</v>
      </c>
      <c r="H618" s="44">
        <v>38417</v>
      </c>
      <c r="I618" s="45">
        <v>5</v>
      </c>
      <c r="J618" s="45" t="s">
        <v>1716</v>
      </c>
      <c r="K618" s="39" t="s">
        <v>1716</v>
      </c>
      <c r="L618" s="39" t="s">
        <v>1014</v>
      </c>
      <c r="M618" s="38" t="str">
        <f t="shared" si="10"/>
        <v>Bon du Trésor</v>
      </c>
    </row>
    <row r="619" spans="1:13" x14ac:dyDescent="0.2">
      <c r="A619" s="38" t="s">
        <v>1035</v>
      </c>
      <c r="B619" s="38">
        <v>200335</v>
      </c>
      <c r="C619" s="38" t="s">
        <v>1343</v>
      </c>
      <c r="D619" s="279">
        <v>250000</v>
      </c>
      <c r="E619" s="38">
        <v>101</v>
      </c>
      <c r="F619" s="40">
        <v>6.25E-2</v>
      </c>
      <c r="G619" s="44">
        <v>36605</v>
      </c>
      <c r="H619" s="44">
        <v>42083</v>
      </c>
      <c r="I619" s="45">
        <v>15</v>
      </c>
      <c r="J619" s="45" t="s">
        <v>1716</v>
      </c>
      <c r="K619" s="39" t="s">
        <v>1716</v>
      </c>
      <c r="L619" s="39" t="s">
        <v>1014</v>
      </c>
      <c r="M619" s="38" t="str">
        <f t="shared" si="10"/>
        <v>Bon du Trésor</v>
      </c>
    </row>
    <row r="620" spans="1:13" x14ac:dyDescent="0.2">
      <c r="A620" s="38" t="s">
        <v>1035</v>
      </c>
      <c r="B620" s="38">
        <v>200338</v>
      </c>
      <c r="C620" s="38" t="s">
        <v>1344</v>
      </c>
      <c r="D620" s="279">
        <v>250000</v>
      </c>
      <c r="E620" s="38">
        <v>101</v>
      </c>
      <c r="F620" s="40">
        <v>5.5E-2</v>
      </c>
      <c r="G620" s="44">
        <v>36633</v>
      </c>
      <c r="H620" s="44">
        <v>38459</v>
      </c>
      <c r="I620" s="45">
        <v>5</v>
      </c>
      <c r="J620" s="45" t="s">
        <v>1716</v>
      </c>
      <c r="K620" s="39" t="s">
        <v>1716</v>
      </c>
      <c r="L620" s="39" t="s">
        <v>1014</v>
      </c>
      <c r="M620" s="38" t="str">
        <f t="shared" si="10"/>
        <v>Bon du Trésor</v>
      </c>
    </row>
    <row r="621" spans="1:13" x14ac:dyDescent="0.2">
      <c r="A621" s="38" t="s">
        <v>1035</v>
      </c>
      <c r="B621" s="38">
        <v>200339</v>
      </c>
      <c r="C621" s="38" t="s">
        <v>1345</v>
      </c>
      <c r="D621" s="279">
        <v>250000</v>
      </c>
      <c r="E621" s="38">
        <v>101</v>
      </c>
      <c r="F621" s="40">
        <v>5.7999999999999996E-2</v>
      </c>
      <c r="G621" s="44">
        <v>36648</v>
      </c>
      <c r="H621" s="44">
        <v>37378</v>
      </c>
      <c r="I621" s="45">
        <v>2</v>
      </c>
      <c r="J621" s="45" t="s">
        <v>1716</v>
      </c>
      <c r="K621" s="39" t="s">
        <v>1716</v>
      </c>
      <c r="L621" s="39" t="s">
        <v>1014</v>
      </c>
      <c r="M621" s="38" t="str">
        <f t="shared" si="10"/>
        <v>Bon du Trésor</v>
      </c>
    </row>
    <row r="622" spans="1:13" x14ac:dyDescent="0.2">
      <c r="A622" s="38" t="s">
        <v>1035</v>
      </c>
      <c r="B622" s="38">
        <v>200346</v>
      </c>
      <c r="C622" s="38" t="s">
        <v>1346</v>
      </c>
      <c r="D622" s="279">
        <v>250000</v>
      </c>
      <c r="E622" s="38">
        <v>101</v>
      </c>
      <c r="F622" s="40">
        <v>5.7500000000000002E-2</v>
      </c>
      <c r="G622" s="44">
        <v>36661</v>
      </c>
      <c r="H622" s="44">
        <v>37391</v>
      </c>
      <c r="I622" s="45">
        <v>2</v>
      </c>
      <c r="J622" s="45" t="s">
        <v>1716</v>
      </c>
      <c r="K622" s="39" t="s">
        <v>1716</v>
      </c>
      <c r="L622" s="39" t="s">
        <v>1014</v>
      </c>
      <c r="M622" s="38" t="str">
        <f t="shared" si="10"/>
        <v>Bon du Trésor</v>
      </c>
    </row>
    <row r="623" spans="1:13" x14ac:dyDescent="0.2">
      <c r="A623" s="38" t="s">
        <v>1035</v>
      </c>
      <c r="B623" s="38">
        <v>200349</v>
      </c>
      <c r="C623" s="38" t="s">
        <v>138</v>
      </c>
      <c r="D623" s="279">
        <v>250000</v>
      </c>
      <c r="E623" s="38">
        <v>101</v>
      </c>
      <c r="F623" s="40">
        <v>5.7999999999999996E-2</v>
      </c>
      <c r="G623" s="44">
        <v>36668</v>
      </c>
      <c r="H623" s="44">
        <v>37398</v>
      </c>
      <c r="I623" s="45">
        <v>2</v>
      </c>
      <c r="J623" s="45" t="s">
        <v>1716</v>
      </c>
      <c r="K623" s="39" t="s">
        <v>1716</v>
      </c>
      <c r="L623" s="39" t="s">
        <v>1014</v>
      </c>
      <c r="M623" s="38" t="str">
        <f t="shared" si="10"/>
        <v>Bon du Trésor</v>
      </c>
    </row>
    <row r="624" spans="1:13" x14ac:dyDescent="0.2">
      <c r="A624" s="38" t="s">
        <v>1035</v>
      </c>
      <c r="B624" s="38">
        <v>200353</v>
      </c>
      <c r="C624" s="38" t="s">
        <v>191</v>
      </c>
      <c r="D624" s="279">
        <v>250000</v>
      </c>
      <c r="E624" s="38">
        <v>101</v>
      </c>
      <c r="F624" s="40">
        <v>5.7999999999999996E-2</v>
      </c>
      <c r="G624" s="44">
        <v>36682</v>
      </c>
      <c r="H624" s="44">
        <v>37412</v>
      </c>
      <c r="I624" s="45">
        <v>2</v>
      </c>
      <c r="J624" s="45" t="s">
        <v>1716</v>
      </c>
      <c r="K624" s="39" t="s">
        <v>1716</v>
      </c>
      <c r="L624" s="39" t="s">
        <v>1014</v>
      </c>
      <c r="M624" s="38" t="str">
        <f t="shared" si="10"/>
        <v>Bon du Trésor</v>
      </c>
    </row>
    <row r="625" spans="1:13" x14ac:dyDescent="0.2">
      <c r="A625" s="38" t="s">
        <v>1035</v>
      </c>
      <c r="B625" s="38">
        <v>200354</v>
      </c>
      <c r="C625" s="38" t="s">
        <v>192</v>
      </c>
      <c r="D625" s="279">
        <v>250000</v>
      </c>
      <c r="E625" s="38">
        <v>101</v>
      </c>
      <c r="F625" s="40">
        <v>5.5E-2</v>
      </c>
      <c r="G625" s="44">
        <v>36682</v>
      </c>
      <c r="H625" s="44">
        <v>38508</v>
      </c>
      <c r="I625" s="45">
        <v>5</v>
      </c>
      <c r="J625" s="45" t="s">
        <v>1716</v>
      </c>
      <c r="K625" s="39" t="s">
        <v>1716</v>
      </c>
      <c r="L625" s="39" t="s">
        <v>1014</v>
      </c>
      <c r="M625" s="38" t="str">
        <f t="shared" si="10"/>
        <v>Bon du Trésor</v>
      </c>
    </row>
    <row r="626" spans="1:13" x14ac:dyDescent="0.2">
      <c r="A626" s="38" t="s">
        <v>1035</v>
      </c>
      <c r="B626" s="38">
        <v>200356</v>
      </c>
      <c r="C626" s="38" t="s">
        <v>193</v>
      </c>
      <c r="D626" s="279">
        <v>250000</v>
      </c>
      <c r="E626" s="38">
        <v>101</v>
      </c>
      <c r="F626" s="40">
        <v>5.7999999999999996E-2</v>
      </c>
      <c r="G626" s="44">
        <v>36696</v>
      </c>
      <c r="H626" s="44">
        <v>37426</v>
      </c>
      <c r="I626" s="45">
        <v>2</v>
      </c>
      <c r="J626" s="45" t="s">
        <v>1716</v>
      </c>
      <c r="K626" s="39" t="s">
        <v>1716</v>
      </c>
      <c r="L626" s="39" t="s">
        <v>1014</v>
      </c>
      <c r="M626" s="38" t="str">
        <f t="shared" si="10"/>
        <v>Bon du Trésor</v>
      </c>
    </row>
    <row r="627" spans="1:13" x14ac:dyDescent="0.2">
      <c r="A627" s="38" t="s">
        <v>1035</v>
      </c>
      <c r="B627" s="38">
        <v>200357</v>
      </c>
      <c r="C627" s="38" t="s">
        <v>195</v>
      </c>
      <c r="D627" s="279">
        <v>250000</v>
      </c>
      <c r="E627" s="38">
        <v>101</v>
      </c>
      <c r="F627" s="40">
        <v>5.8099999999999999E-2</v>
      </c>
      <c r="G627" s="44">
        <v>36696</v>
      </c>
      <c r="H627" s="44">
        <v>37426</v>
      </c>
      <c r="I627" s="45">
        <v>2</v>
      </c>
      <c r="J627" s="45" t="s">
        <v>1716</v>
      </c>
      <c r="K627" s="39" t="s">
        <v>1716</v>
      </c>
      <c r="L627" s="39" t="s">
        <v>1014</v>
      </c>
      <c r="M627" s="38" t="str">
        <f t="shared" si="10"/>
        <v>Bon du Trésor</v>
      </c>
    </row>
    <row r="628" spans="1:13" x14ac:dyDescent="0.2">
      <c r="A628" s="38" t="s">
        <v>1035</v>
      </c>
      <c r="B628" s="38">
        <v>200358</v>
      </c>
      <c r="C628" s="38" t="s">
        <v>198</v>
      </c>
      <c r="D628" s="279">
        <v>250000</v>
      </c>
      <c r="E628" s="38">
        <v>101</v>
      </c>
      <c r="F628" s="40">
        <v>5.8200000000000002E-2</v>
      </c>
      <c r="G628" s="44">
        <v>36696</v>
      </c>
      <c r="H628" s="44">
        <v>37426</v>
      </c>
      <c r="I628" s="45">
        <v>2</v>
      </c>
      <c r="J628" s="45" t="s">
        <v>1716</v>
      </c>
      <c r="K628" s="39" t="s">
        <v>1716</v>
      </c>
      <c r="L628" s="39" t="s">
        <v>1014</v>
      </c>
      <c r="M628" s="38" t="str">
        <f t="shared" si="10"/>
        <v>Bon du Trésor</v>
      </c>
    </row>
    <row r="629" spans="1:13" x14ac:dyDescent="0.2">
      <c r="A629" s="38" t="s">
        <v>1035</v>
      </c>
      <c r="B629" s="38">
        <v>200360</v>
      </c>
      <c r="C629" s="38" t="s">
        <v>2031</v>
      </c>
      <c r="D629" s="279">
        <v>250000</v>
      </c>
      <c r="E629" s="38">
        <v>101</v>
      </c>
      <c r="F629" s="40">
        <v>5.8299999999999998E-2</v>
      </c>
      <c r="G629" s="44">
        <v>36710</v>
      </c>
      <c r="H629" s="44">
        <v>37440</v>
      </c>
      <c r="I629" s="45">
        <v>2</v>
      </c>
      <c r="J629" s="45" t="s">
        <v>1716</v>
      </c>
      <c r="K629" s="39" t="s">
        <v>1716</v>
      </c>
      <c r="L629" s="39" t="s">
        <v>1014</v>
      </c>
      <c r="M629" s="38" t="str">
        <f t="shared" si="10"/>
        <v>Bon du Trésor</v>
      </c>
    </row>
    <row r="630" spans="1:13" x14ac:dyDescent="0.2">
      <c r="A630" s="38" t="s">
        <v>1035</v>
      </c>
      <c r="B630" s="38">
        <v>200361</v>
      </c>
      <c r="C630" s="38" t="s">
        <v>2032</v>
      </c>
      <c r="D630" s="279">
        <v>250000</v>
      </c>
      <c r="E630" s="38">
        <v>101</v>
      </c>
      <c r="F630" s="40">
        <v>5.8400000000000001E-2</v>
      </c>
      <c r="G630" s="44">
        <v>36710</v>
      </c>
      <c r="H630" s="44">
        <v>37440</v>
      </c>
      <c r="I630" s="45">
        <v>2</v>
      </c>
      <c r="J630" s="45" t="s">
        <v>1716</v>
      </c>
      <c r="K630" s="39" t="s">
        <v>1716</v>
      </c>
      <c r="L630" s="39" t="s">
        <v>1014</v>
      </c>
      <c r="M630" s="38" t="str">
        <f t="shared" si="10"/>
        <v>Bon du Trésor</v>
      </c>
    </row>
    <row r="631" spans="1:13" x14ac:dyDescent="0.2">
      <c r="A631" s="38" t="s">
        <v>1035</v>
      </c>
      <c r="B631" s="38">
        <v>200362</v>
      </c>
      <c r="C631" s="38" t="s">
        <v>1381</v>
      </c>
      <c r="D631" s="279">
        <v>250000</v>
      </c>
      <c r="E631" s="38">
        <v>101</v>
      </c>
      <c r="F631" s="40">
        <v>5.8499999999999996E-2</v>
      </c>
      <c r="G631" s="44">
        <v>36710</v>
      </c>
      <c r="H631" s="44">
        <v>37440</v>
      </c>
      <c r="I631" s="45">
        <v>2</v>
      </c>
      <c r="J631" s="45" t="s">
        <v>1716</v>
      </c>
      <c r="K631" s="39" t="s">
        <v>1716</v>
      </c>
      <c r="L631" s="39" t="s">
        <v>1014</v>
      </c>
      <c r="M631" s="38" t="str">
        <f t="shared" si="10"/>
        <v>Bon du Trésor</v>
      </c>
    </row>
    <row r="632" spans="1:13" x14ac:dyDescent="0.2">
      <c r="A632" s="38" t="s">
        <v>1035</v>
      </c>
      <c r="B632" s="38">
        <v>200363</v>
      </c>
      <c r="C632" s="38" t="s">
        <v>1382</v>
      </c>
      <c r="D632" s="279">
        <v>250000</v>
      </c>
      <c r="E632" s="38">
        <v>101</v>
      </c>
      <c r="F632" s="40">
        <v>6.25E-2</v>
      </c>
      <c r="G632" s="44">
        <v>36710</v>
      </c>
      <c r="H632" s="44">
        <v>40362</v>
      </c>
      <c r="I632" s="45">
        <v>10</v>
      </c>
      <c r="J632" s="45" t="s">
        <v>1716</v>
      </c>
      <c r="K632" s="39" t="s">
        <v>1716</v>
      </c>
      <c r="L632" s="39" t="s">
        <v>1014</v>
      </c>
      <c r="M632" s="38" t="str">
        <f t="shared" si="10"/>
        <v>Bon du Trésor</v>
      </c>
    </row>
    <row r="633" spans="1:13" x14ac:dyDescent="0.2">
      <c r="A633" s="38" t="s">
        <v>1035</v>
      </c>
      <c r="B633" s="38">
        <v>200364</v>
      </c>
      <c r="C633" s="38" t="s">
        <v>1383</v>
      </c>
      <c r="D633" s="279">
        <v>250000</v>
      </c>
      <c r="E633" s="38">
        <v>101</v>
      </c>
      <c r="F633" s="40">
        <v>5.8799999999999998E-2</v>
      </c>
      <c r="G633" s="44">
        <v>36717</v>
      </c>
      <c r="H633" s="44">
        <v>37447</v>
      </c>
      <c r="I633" s="45">
        <v>2</v>
      </c>
      <c r="J633" s="45" t="s">
        <v>1716</v>
      </c>
      <c r="K633" s="39" t="s">
        <v>1716</v>
      </c>
      <c r="L633" s="39" t="s">
        <v>1014</v>
      </c>
      <c r="M633" s="38" t="str">
        <f t="shared" si="10"/>
        <v>Bon du Trésor</v>
      </c>
    </row>
    <row r="634" spans="1:13" x14ac:dyDescent="0.2">
      <c r="A634" s="38" t="s">
        <v>1035</v>
      </c>
      <c r="B634" s="38">
        <v>200371</v>
      </c>
      <c r="C634" s="38" t="s">
        <v>906</v>
      </c>
      <c r="D634" s="279">
        <v>250000</v>
      </c>
      <c r="E634" s="38">
        <v>101</v>
      </c>
      <c r="F634" s="40">
        <v>5.9000000000000004E-2</v>
      </c>
      <c r="G634" s="44">
        <v>36731</v>
      </c>
      <c r="H634" s="44">
        <v>38557</v>
      </c>
      <c r="I634" s="45">
        <v>5</v>
      </c>
      <c r="J634" s="45" t="s">
        <v>1716</v>
      </c>
      <c r="K634" s="39" t="s">
        <v>1716</v>
      </c>
      <c r="L634" s="39" t="s">
        <v>1014</v>
      </c>
      <c r="M634" s="38" t="str">
        <f t="shared" si="10"/>
        <v>Bon du Trésor</v>
      </c>
    </row>
    <row r="635" spans="1:13" x14ac:dyDescent="0.2">
      <c r="A635" s="38" t="s">
        <v>1035</v>
      </c>
      <c r="B635" s="38">
        <v>200379</v>
      </c>
      <c r="C635" s="38" t="s">
        <v>849</v>
      </c>
      <c r="D635" s="279">
        <v>250000</v>
      </c>
      <c r="E635" s="38">
        <v>101</v>
      </c>
      <c r="F635" s="40">
        <v>5.5E-2</v>
      </c>
      <c r="G635" s="44">
        <v>36760</v>
      </c>
      <c r="H635" s="44">
        <v>37125</v>
      </c>
      <c r="I635" s="45">
        <v>52</v>
      </c>
      <c r="J635" s="45" t="s">
        <v>369</v>
      </c>
      <c r="K635" s="39" t="s">
        <v>1716</v>
      </c>
      <c r="L635" s="39" t="s">
        <v>1014</v>
      </c>
      <c r="M635" s="38" t="str">
        <f t="shared" si="10"/>
        <v>Bon du Trésor</v>
      </c>
    </row>
    <row r="636" spans="1:13" x14ac:dyDescent="0.2">
      <c r="A636" s="38" t="s">
        <v>1035</v>
      </c>
      <c r="B636" s="38">
        <v>200387</v>
      </c>
      <c r="C636" s="38" t="s">
        <v>2016</v>
      </c>
      <c r="D636" s="279">
        <v>250000</v>
      </c>
      <c r="E636" s="38">
        <v>101</v>
      </c>
      <c r="F636" s="40">
        <v>6.25E-2</v>
      </c>
      <c r="G636" s="44">
        <v>36787</v>
      </c>
      <c r="H636" s="44">
        <v>38613</v>
      </c>
      <c r="I636" s="45">
        <v>5</v>
      </c>
      <c r="J636" s="45" t="s">
        <v>1716</v>
      </c>
      <c r="K636" s="39" t="s">
        <v>1716</v>
      </c>
      <c r="L636" s="39" t="s">
        <v>1014</v>
      </c>
      <c r="M636" s="38" t="str">
        <f t="shared" si="10"/>
        <v>Bon du Trésor</v>
      </c>
    </row>
    <row r="637" spans="1:13" x14ac:dyDescent="0.2">
      <c r="A637" s="38" t="s">
        <v>1035</v>
      </c>
      <c r="B637" s="38">
        <v>200388</v>
      </c>
      <c r="C637" s="38" t="s">
        <v>2017</v>
      </c>
      <c r="D637" s="279">
        <v>250000</v>
      </c>
      <c r="E637" s="38">
        <v>101</v>
      </c>
      <c r="F637" s="40">
        <v>7.2499999999999995E-2</v>
      </c>
      <c r="G637" s="44">
        <v>36801</v>
      </c>
      <c r="H637" s="44">
        <v>44106</v>
      </c>
      <c r="I637" s="45">
        <v>20</v>
      </c>
      <c r="J637" s="45" t="s">
        <v>369</v>
      </c>
      <c r="K637" s="39" t="s">
        <v>1716</v>
      </c>
      <c r="L637" s="39" t="s">
        <v>1014</v>
      </c>
      <c r="M637" s="38" t="str">
        <f t="shared" si="10"/>
        <v>Bon du Trésor</v>
      </c>
    </row>
    <row r="638" spans="1:13" x14ac:dyDescent="0.2">
      <c r="A638" s="38" t="s">
        <v>1035</v>
      </c>
      <c r="B638" s="38">
        <v>200391</v>
      </c>
      <c r="C638" s="38" t="s">
        <v>2018</v>
      </c>
      <c r="D638" s="279">
        <v>250000</v>
      </c>
      <c r="E638" s="38">
        <v>101</v>
      </c>
      <c r="F638" s="40">
        <v>6.3E-2</v>
      </c>
      <c r="G638" s="44">
        <v>36815</v>
      </c>
      <c r="H638" s="44">
        <v>38641</v>
      </c>
      <c r="I638" s="45">
        <v>5</v>
      </c>
      <c r="J638" s="45" t="s">
        <v>1716</v>
      </c>
      <c r="K638" s="39" t="s">
        <v>1716</v>
      </c>
      <c r="L638" s="39" t="s">
        <v>1014</v>
      </c>
      <c r="M638" s="38" t="str">
        <f t="shared" si="10"/>
        <v>Bon du Trésor</v>
      </c>
    </row>
    <row r="639" spans="1:13" x14ac:dyDescent="0.2">
      <c r="A639" s="38" t="s">
        <v>1035</v>
      </c>
      <c r="B639" s="38">
        <v>200392</v>
      </c>
      <c r="C639" s="38" t="s">
        <v>2019</v>
      </c>
      <c r="D639" s="279">
        <v>250000</v>
      </c>
      <c r="E639" s="38">
        <v>101</v>
      </c>
      <c r="F639" s="40">
        <v>6.7000000000000004E-2</v>
      </c>
      <c r="G639" s="44">
        <v>36815</v>
      </c>
      <c r="H639" s="44">
        <v>40467</v>
      </c>
      <c r="I639" s="45">
        <v>10</v>
      </c>
      <c r="J639" s="45" t="s">
        <v>1716</v>
      </c>
      <c r="K639" s="39" t="s">
        <v>1716</v>
      </c>
      <c r="L639" s="39" t="s">
        <v>1014</v>
      </c>
      <c r="M639" s="38" t="str">
        <f t="shared" si="10"/>
        <v>Bon du Trésor</v>
      </c>
    </row>
    <row r="640" spans="1:13" x14ac:dyDescent="0.2">
      <c r="A640" s="38" t="s">
        <v>1035</v>
      </c>
      <c r="B640" s="38">
        <v>200394</v>
      </c>
      <c r="C640" s="38" t="s">
        <v>2020</v>
      </c>
      <c r="D640" s="279">
        <v>250000</v>
      </c>
      <c r="E640" s="38">
        <v>101</v>
      </c>
      <c r="F640" s="40">
        <v>6.3E-2</v>
      </c>
      <c r="G640" s="44">
        <v>36822</v>
      </c>
      <c r="H640" s="44">
        <v>38648</v>
      </c>
      <c r="I640" s="45">
        <v>5</v>
      </c>
      <c r="J640" s="45" t="s">
        <v>1716</v>
      </c>
      <c r="K640" s="39" t="s">
        <v>1716</v>
      </c>
      <c r="L640" s="39" t="s">
        <v>1014</v>
      </c>
      <c r="M640" s="38" t="str">
        <f t="shared" si="10"/>
        <v>Bon du Trésor</v>
      </c>
    </row>
    <row r="641" spans="1:13" x14ac:dyDescent="0.2">
      <c r="A641" s="38" t="s">
        <v>1035</v>
      </c>
      <c r="B641" s="38">
        <v>200396</v>
      </c>
      <c r="C641" s="38" t="s">
        <v>2021</v>
      </c>
      <c r="D641" s="279">
        <v>250000</v>
      </c>
      <c r="E641" s="38">
        <v>101</v>
      </c>
      <c r="F641" s="40">
        <v>5.7000000000000002E-2</v>
      </c>
      <c r="G641" s="44">
        <v>36837</v>
      </c>
      <c r="H641" s="44">
        <v>37202</v>
      </c>
      <c r="I641" s="45">
        <v>52</v>
      </c>
      <c r="J641" s="45" t="s">
        <v>369</v>
      </c>
      <c r="K641" s="39" t="s">
        <v>1716</v>
      </c>
      <c r="L641" s="39" t="s">
        <v>1014</v>
      </c>
      <c r="M641" s="38" t="str">
        <f t="shared" si="10"/>
        <v>Bon du Trésor</v>
      </c>
    </row>
    <row r="642" spans="1:13" x14ac:dyDescent="0.2">
      <c r="A642" s="38" t="s">
        <v>1035</v>
      </c>
      <c r="B642" s="38">
        <v>200397</v>
      </c>
      <c r="C642" s="38" t="s">
        <v>2024</v>
      </c>
      <c r="D642" s="279">
        <v>250000</v>
      </c>
      <c r="E642" s="38">
        <v>101</v>
      </c>
      <c r="F642" s="40">
        <v>6.7000000000000004E-2</v>
      </c>
      <c r="G642" s="44">
        <v>36837</v>
      </c>
      <c r="H642" s="44">
        <v>40489</v>
      </c>
      <c r="I642" s="45">
        <v>10</v>
      </c>
      <c r="J642" s="45" t="s">
        <v>1716</v>
      </c>
      <c r="K642" s="39" t="s">
        <v>1716</v>
      </c>
      <c r="L642" s="39" t="s">
        <v>1014</v>
      </c>
      <c r="M642" s="38" t="str">
        <f t="shared" si="10"/>
        <v>Bon du Trésor</v>
      </c>
    </row>
    <row r="643" spans="1:13" x14ac:dyDescent="0.2">
      <c r="A643" s="38" t="s">
        <v>1035</v>
      </c>
      <c r="B643" s="38">
        <v>200402</v>
      </c>
      <c r="C643" s="38" t="s">
        <v>2025</v>
      </c>
      <c r="D643" s="279">
        <v>250000</v>
      </c>
      <c r="E643" s="38">
        <v>101</v>
      </c>
      <c r="F643" s="40">
        <v>6.3E-2</v>
      </c>
      <c r="G643" s="44">
        <v>36850</v>
      </c>
      <c r="H643" s="44">
        <v>38676</v>
      </c>
      <c r="I643" s="45">
        <v>5</v>
      </c>
      <c r="J643" s="45" t="s">
        <v>1716</v>
      </c>
      <c r="K643" s="39" t="s">
        <v>1716</v>
      </c>
      <c r="L643" s="39" t="s">
        <v>1014</v>
      </c>
      <c r="M643" s="38" t="str">
        <f t="shared" ref="M643:M706" si="11">+A643</f>
        <v>Bon du Trésor</v>
      </c>
    </row>
    <row r="644" spans="1:13" x14ac:dyDescent="0.2">
      <c r="A644" s="38" t="s">
        <v>1035</v>
      </c>
      <c r="B644" s="38">
        <v>200405</v>
      </c>
      <c r="C644" s="38" t="s">
        <v>2026</v>
      </c>
      <c r="D644" s="279">
        <v>250000</v>
      </c>
      <c r="E644" s="38">
        <v>101</v>
      </c>
      <c r="F644" s="40">
        <v>5.7000000000000002E-2</v>
      </c>
      <c r="G644" s="44">
        <v>36857</v>
      </c>
      <c r="H644" s="44">
        <v>37221</v>
      </c>
      <c r="I644" s="45">
        <v>52</v>
      </c>
      <c r="J644" s="45" t="s">
        <v>369</v>
      </c>
      <c r="K644" s="39" t="s">
        <v>1716</v>
      </c>
      <c r="L644" s="39" t="s">
        <v>1014</v>
      </c>
      <c r="M644" s="38" t="str">
        <f t="shared" si="11"/>
        <v>Bon du Trésor</v>
      </c>
    </row>
    <row r="645" spans="1:13" x14ac:dyDescent="0.2">
      <c r="A645" s="38" t="s">
        <v>1035</v>
      </c>
      <c r="B645" s="38">
        <v>200410</v>
      </c>
      <c r="C645" s="38" t="s">
        <v>1315</v>
      </c>
      <c r="D645" s="279">
        <v>250000</v>
      </c>
      <c r="E645" s="38">
        <v>101</v>
      </c>
      <c r="F645" s="40">
        <v>6.7000000000000004E-2</v>
      </c>
      <c r="G645" s="44">
        <v>36871</v>
      </c>
      <c r="H645" s="44">
        <v>40523</v>
      </c>
      <c r="I645" s="45">
        <v>10</v>
      </c>
      <c r="J645" s="45" t="s">
        <v>1716</v>
      </c>
      <c r="K645" s="39" t="s">
        <v>1716</v>
      </c>
      <c r="L645" s="39" t="s">
        <v>1014</v>
      </c>
      <c r="M645" s="38" t="str">
        <f t="shared" si="11"/>
        <v>Bon du Trésor</v>
      </c>
    </row>
    <row r="646" spans="1:13" x14ac:dyDescent="0.2">
      <c r="A646" s="38" t="s">
        <v>1035</v>
      </c>
      <c r="B646" s="38">
        <v>200419</v>
      </c>
      <c r="C646" s="38" t="s">
        <v>1316</v>
      </c>
      <c r="D646" s="279">
        <v>250000</v>
      </c>
      <c r="E646" s="38">
        <v>101</v>
      </c>
      <c r="F646" s="40">
        <v>5.7999999999999996E-2</v>
      </c>
      <c r="G646" s="44">
        <v>36885</v>
      </c>
      <c r="H646" s="44">
        <v>37249</v>
      </c>
      <c r="I646" s="45">
        <v>52</v>
      </c>
      <c r="J646" s="45" t="s">
        <v>369</v>
      </c>
      <c r="K646" s="39" t="s">
        <v>1716</v>
      </c>
      <c r="L646" s="39" t="s">
        <v>1014</v>
      </c>
      <c r="M646" s="38" t="str">
        <f t="shared" si="11"/>
        <v>Bon du Trésor</v>
      </c>
    </row>
    <row r="647" spans="1:13" x14ac:dyDescent="0.2">
      <c r="A647" s="38" t="s">
        <v>1035</v>
      </c>
      <c r="B647" s="38">
        <v>200430</v>
      </c>
      <c r="C647" s="38" t="s">
        <v>953</v>
      </c>
      <c r="D647" s="279">
        <v>250000</v>
      </c>
      <c r="E647" s="38">
        <v>101</v>
      </c>
      <c r="F647" s="40">
        <v>5.7999999999999996E-2</v>
      </c>
      <c r="G647" s="44">
        <v>36893</v>
      </c>
      <c r="H647" s="44">
        <v>37258</v>
      </c>
      <c r="I647" s="45">
        <v>52</v>
      </c>
      <c r="J647" s="45" t="s">
        <v>369</v>
      </c>
      <c r="K647" s="39" t="s">
        <v>1716</v>
      </c>
      <c r="L647" s="39" t="s">
        <v>1014</v>
      </c>
      <c r="M647" s="38" t="str">
        <f t="shared" si="11"/>
        <v>Bon du Trésor</v>
      </c>
    </row>
    <row r="648" spans="1:13" x14ac:dyDescent="0.2">
      <c r="A648" s="38" t="s">
        <v>1035</v>
      </c>
      <c r="B648" s="38">
        <v>200431</v>
      </c>
      <c r="C648" s="38" t="s">
        <v>954</v>
      </c>
      <c r="D648" s="279">
        <v>250000</v>
      </c>
      <c r="E648" s="38">
        <v>101</v>
      </c>
      <c r="F648" s="40">
        <v>6.3E-2</v>
      </c>
      <c r="G648" s="44">
        <v>36893</v>
      </c>
      <c r="H648" s="44">
        <v>38719</v>
      </c>
      <c r="I648" s="45">
        <v>5</v>
      </c>
      <c r="J648" s="45" t="s">
        <v>1716</v>
      </c>
      <c r="K648" s="39" t="s">
        <v>1716</v>
      </c>
      <c r="L648" s="39" t="s">
        <v>1014</v>
      </c>
      <c r="M648" s="38" t="str">
        <f t="shared" si="11"/>
        <v>Bon du Trésor</v>
      </c>
    </row>
    <row r="649" spans="1:13" x14ac:dyDescent="0.2">
      <c r="A649" s="38" t="s">
        <v>1035</v>
      </c>
      <c r="B649" s="38">
        <v>200433</v>
      </c>
      <c r="C649" s="38" t="s">
        <v>955</v>
      </c>
      <c r="D649" s="279">
        <v>250000</v>
      </c>
      <c r="E649" s="38">
        <v>101</v>
      </c>
      <c r="F649" s="40">
        <v>6.0499999999999998E-2</v>
      </c>
      <c r="G649" s="44">
        <v>36906</v>
      </c>
      <c r="H649" s="44">
        <v>37088</v>
      </c>
      <c r="I649" s="45">
        <v>26</v>
      </c>
      <c r="J649" s="45" t="s">
        <v>369</v>
      </c>
      <c r="K649" s="39" t="s">
        <v>1716</v>
      </c>
      <c r="L649" s="39" t="s">
        <v>1014</v>
      </c>
      <c r="M649" s="38" t="str">
        <f t="shared" si="11"/>
        <v>Bon du Trésor</v>
      </c>
    </row>
    <row r="650" spans="1:13" x14ac:dyDescent="0.2">
      <c r="A650" s="38" t="s">
        <v>1035</v>
      </c>
      <c r="B650" s="38">
        <v>200434</v>
      </c>
      <c r="C650" s="38" t="s">
        <v>1332</v>
      </c>
      <c r="D650" s="279">
        <v>250000</v>
      </c>
      <c r="E650" s="38">
        <v>101</v>
      </c>
      <c r="F650" s="40">
        <v>5.7999999999999996E-2</v>
      </c>
      <c r="G650" s="44">
        <v>36906</v>
      </c>
      <c r="H650" s="44">
        <v>37270</v>
      </c>
      <c r="I650" s="45">
        <v>52</v>
      </c>
      <c r="J650" s="45" t="s">
        <v>369</v>
      </c>
      <c r="K650" s="39" t="s">
        <v>1716</v>
      </c>
      <c r="L650" s="39" t="s">
        <v>1014</v>
      </c>
      <c r="M650" s="38" t="str">
        <f t="shared" si="11"/>
        <v>Bon du Trésor</v>
      </c>
    </row>
    <row r="651" spans="1:13" x14ac:dyDescent="0.2">
      <c r="A651" s="38" t="s">
        <v>1035</v>
      </c>
      <c r="B651" s="38">
        <v>200435</v>
      </c>
      <c r="C651" s="38" t="s">
        <v>139</v>
      </c>
      <c r="D651" s="279">
        <v>250000</v>
      </c>
      <c r="E651" s="38">
        <v>101</v>
      </c>
      <c r="F651" s="40">
        <v>5.9500000000000004E-2</v>
      </c>
      <c r="G651" s="44">
        <v>36913</v>
      </c>
      <c r="H651" s="44">
        <v>37095</v>
      </c>
      <c r="I651" s="45">
        <v>26</v>
      </c>
      <c r="J651" s="45" t="s">
        <v>369</v>
      </c>
      <c r="K651" s="39" t="s">
        <v>1716</v>
      </c>
      <c r="L651" s="39" t="s">
        <v>1014</v>
      </c>
      <c r="M651" s="38" t="str">
        <f t="shared" si="11"/>
        <v>Bon du Trésor</v>
      </c>
    </row>
    <row r="652" spans="1:13" x14ac:dyDescent="0.2">
      <c r="A652" s="38" t="s">
        <v>1035</v>
      </c>
      <c r="B652" s="38">
        <v>200436</v>
      </c>
      <c r="C652" s="38" t="s">
        <v>140</v>
      </c>
      <c r="D652" s="279">
        <v>250000</v>
      </c>
      <c r="E652" s="38">
        <v>101</v>
      </c>
      <c r="F652" s="40">
        <v>0.06</v>
      </c>
      <c r="G652" s="44">
        <v>36913</v>
      </c>
      <c r="H652" s="44">
        <v>37095</v>
      </c>
      <c r="I652" s="45">
        <v>26</v>
      </c>
      <c r="J652" s="45" t="s">
        <v>369</v>
      </c>
      <c r="K652" s="39" t="s">
        <v>1716</v>
      </c>
      <c r="L652" s="39" t="s">
        <v>1014</v>
      </c>
      <c r="M652" s="38" t="str">
        <f t="shared" si="11"/>
        <v>Bon du Trésor</v>
      </c>
    </row>
    <row r="653" spans="1:13" x14ac:dyDescent="0.2">
      <c r="A653" s="38" t="s">
        <v>1035</v>
      </c>
      <c r="B653" s="38">
        <v>200437</v>
      </c>
      <c r="C653" s="38" t="s">
        <v>1370</v>
      </c>
      <c r="D653" s="279">
        <v>250000</v>
      </c>
      <c r="E653" s="38">
        <v>101</v>
      </c>
      <c r="F653" s="40">
        <v>6.0499999999999998E-2</v>
      </c>
      <c r="G653" s="44">
        <v>36913</v>
      </c>
      <c r="H653" s="44">
        <v>37095</v>
      </c>
      <c r="I653" s="45">
        <v>26</v>
      </c>
      <c r="J653" s="45" t="s">
        <v>369</v>
      </c>
      <c r="K653" s="39" t="s">
        <v>1716</v>
      </c>
      <c r="L653" s="39" t="s">
        <v>1014</v>
      </c>
      <c r="M653" s="38" t="str">
        <f t="shared" si="11"/>
        <v>Bon du Trésor</v>
      </c>
    </row>
    <row r="654" spans="1:13" x14ac:dyDescent="0.2">
      <c r="A654" s="38" t="s">
        <v>1035</v>
      </c>
      <c r="B654" s="38">
        <v>200438</v>
      </c>
      <c r="C654" s="38" t="s">
        <v>933</v>
      </c>
      <c r="D654" s="279">
        <v>250000</v>
      </c>
      <c r="E654" s="38">
        <v>101</v>
      </c>
      <c r="F654" s="40">
        <v>0.06</v>
      </c>
      <c r="G654" s="44">
        <v>36920</v>
      </c>
      <c r="H654" s="44">
        <v>37102</v>
      </c>
      <c r="I654" s="45">
        <v>26</v>
      </c>
      <c r="J654" s="45" t="s">
        <v>369</v>
      </c>
      <c r="K654" s="39" t="s">
        <v>1716</v>
      </c>
      <c r="L654" s="39" t="s">
        <v>1014</v>
      </c>
      <c r="M654" s="38" t="str">
        <f t="shared" si="11"/>
        <v>Bon du Trésor</v>
      </c>
    </row>
    <row r="655" spans="1:13" x14ac:dyDescent="0.2">
      <c r="A655" s="38" t="s">
        <v>1035</v>
      </c>
      <c r="B655" s="38">
        <v>200439</v>
      </c>
      <c r="C655" s="38" t="s">
        <v>1246</v>
      </c>
      <c r="D655" s="279">
        <v>250000</v>
      </c>
      <c r="E655" s="38">
        <v>101</v>
      </c>
      <c r="F655" s="40">
        <v>5.7999999999999996E-2</v>
      </c>
      <c r="G655" s="44">
        <v>36920</v>
      </c>
      <c r="H655" s="44">
        <v>37284</v>
      </c>
      <c r="I655" s="45">
        <v>52</v>
      </c>
      <c r="J655" s="45" t="s">
        <v>369</v>
      </c>
      <c r="K655" s="39" t="s">
        <v>1716</v>
      </c>
      <c r="L655" s="39" t="s">
        <v>1014</v>
      </c>
      <c r="M655" s="38" t="str">
        <f t="shared" si="11"/>
        <v>Bon du Trésor</v>
      </c>
    </row>
    <row r="656" spans="1:13" x14ac:dyDescent="0.2">
      <c r="A656" s="38" t="s">
        <v>1035</v>
      </c>
      <c r="B656" s="38">
        <v>200440</v>
      </c>
      <c r="C656" s="38" t="s">
        <v>1247</v>
      </c>
      <c r="D656" s="279">
        <v>250000</v>
      </c>
      <c r="E656" s="38">
        <v>101</v>
      </c>
      <c r="F656" s="40">
        <v>5.7999999999999996E-2</v>
      </c>
      <c r="G656" s="44">
        <v>36927</v>
      </c>
      <c r="H656" s="44">
        <v>37291</v>
      </c>
      <c r="I656" s="45">
        <v>52</v>
      </c>
      <c r="J656" s="45" t="s">
        <v>369</v>
      </c>
      <c r="K656" s="39" t="s">
        <v>1716</v>
      </c>
      <c r="L656" s="39" t="s">
        <v>1014</v>
      </c>
      <c r="M656" s="38" t="str">
        <f t="shared" si="11"/>
        <v>Bon du Trésor</v>
      </c>
    </row>
    <row r="657" spans="1:13" x14ac:dyDescent="0.2">
      <c r="A657" s="38" t="s">
        <v>1035</v>
      </c>
      <c r="B657" s="38">
        <v>200441</v>
      </c>
      <c r="C657" s="38" t="s">
        <v>1250</v>
      </c>
      <c r="D657" s="279">
        <v>250000</v>
      </c>
      <c r="E657" s="38">
        <v>101</v>
      </c>
      <c r="F657" s="40">
        <v>0.06</v>
      </c>
      <c r="G657" s="44">
        <v>36927</v>
      </c>
      <c r="H657" s="44">
        <v>37657</v>
      </c>
      <c r="I657" s="45">
        <v>2</v>
      </c>
      <c r="J657" s="45" t="s">
        <v>1716</v>
      </c>
      <c r="K657" s="39" t="s">
        <v>1716</v>
      </c>
      <c r="L657" s="39" t="s">
        <v>1014</v>
      </c>
      <c r="M657" s="38" t="str">
        <f t="shared" si="11"/>
        <v>Bon du Trésor</v>
      </c>
    </row>
    <row r="658" spans="1:13" x14ac:dyDescent="0.2">
      <c r="A658" s="38" t="s">
        <v>1035</v>
      </c>
      <c r="B658" s="38">
        <v>200442</v>
      </c>
      <c r="C658" s="38" t="s">
        <v>1253</v>
      </c>
      <c r="D658" s="279">
        <v>250000</v>
      </c>
      <c r="E658" s="38">
        <v>101</v>
      </c>
      <c r="F658" s="40">
        <v>6.3E-2</v>
      </c>
      <c r="G658" s="44">
        <v>36941</v>
      </c>
      <c r="H658" s="44">
        <v>38767</v>
      </c>
      <c r="I658" s="45">
        <v>5</v>
      </c>
      <c r="J658" s="45" t="s">
        <v>1716</v>
      </c>
      <c r="K658" s="39" t="s">
        <v>1716</v>
      </c>
      <c r="L658" s="39" t="s">
        <v>1014</v>
      </c>
      <c r="M658" s="38" t="str">
        <f t="shared" si="11"/>
        <v>Bon du Trésor</v>
      </c>
    </row>
    <row r="659" spans="1:13" x14ac:dyDescent="0.2">
      <c r="A659" s="38" t="s">
        <v>1035</v>
      </c>
      <c r="B659" s="38">
        <v>200443</v>
      </c>
      <c r="C659" s="38" t="s">
        <v>1254</v>
      </c>
      <c r="D659" s="279">
        <v>250000</v>
      </c>
      <c r="E659" s="38">
        <v>101</v>
      </c>
      <c r="F659" s="40">
        <v>5.7999999999999996E-2</v>
      </c>
      <c r="G659" s="44">
        <v>36948</v>
      </c>
      <c r="H659" s="44">
        <v>37130</v>
      </c>
      <c r="I659" s="45">
        <v>26</v>
      </c>
      <c r="J659" s="45" t="s">
        <v>369</v>
      </c>
      <c r="K659" s="39" t="s">
        <v>1716</v>
      </c>
      <c r="L659" s="39" t="s">
        <v>1014</v>
      </c>
      <c r="M659" s="38" t="str">
        <f t="shared" si="11"/>
        <v>Bon du Trésor</v>
      </c>
    </row>
    <row r="660" spans="1:13" x14ac:dyDescent="0.2">
      <c r="A660" s="38" t="s">
        <v>1035</v>
      </c>
      <c r="B660" s="38">
        <v>200445</v>
      </c>
      <c r="C660" s="38" t="s">
        <v>846</v>
      </c>
      <c r="D660" s="279">
        <v>250000</v>
      </c>
      <c r="E660" s="38">
        <v>101</v>
      </c>
      <c r="F660" s="40">
        <v>5.3499999999999999E-2</v>
      </c>
      <c r="G660" s="44">
        <v>36976</v>
      </c>
      <c r="H660" s="44">
        <v>37158</v>
      </c>
      <c r="I660" s="45">
        <v>26</v>
      </c>
      <c r="J660" s="45" t="s">
        <v>369</v>
      </c>
      <c r="K660" s="39" t="s">
        <v>1716</v>
      </c>
      <c r="L660" s="39" t="s">
        <v>1014</v>
      </c>
      <c r="M660" s="38" t="str">
        <f t="shared" si="11"/>
        <v>Bon du Trésor</v>
      </c>
    </row>
    <row r="661" spans="1:13" x14ac:dyDescent="0.2">
      <c r="A661" s="38" t="s">
        <v>1035</v>
      </c>
      <c r="B661" s="38">
        <v>200446</v>
      </c>
      <c r="C661" s="38" t="s">
        <v>170</v>
      </c>
      <c r="D661" s="279">
        <v>250000</v>
      </c>
      <c r="E661" s="38">
        <v>101</v>
      </c>
      <c r="F661" s="40">
        <v>6.0999999999999999E-2</v>
      </c>
      <c r="G661" s="44">
        <v>36983</v>
      </c>
      <c r="H661" s="44">
        <v>38809</v>
      </c>
      <c r="I661" s="45">
        <v>5</v>
      </c>
      <c r="J661" s="45" t="s">
        <v>1716</v>
      </c>
      <c r="K661" s="39" t="s">
        <v>1716</v>
      </c>
      <c r="L661" s="39" t="s">
        <v>1014</v>
      </c>
      <c r="M661" s="38" t="str">
        <f t="shared" si="11"/>
        <v>Bon du Trésor</v>
      </c>
    </row>
    <row r="662" spans="1:13" x14ac:dyDescent="0.2">
      <c r="A662" s="38" t="s">
        <v>1035</v>
      </c>
      <c r="B662" s="38">
        <v>200448</v>
      </c>
      <c r="C662" s="38" t="s">
        <v>171</v>
      </c>
      <c r="D662" s="279">
        <v>250000</v>
      </c>
      <c r="E662" s="38">
        <v>101</v>
      </c>
      <c r="F662" s="40">
        <v>5.0999999999999997E-2</v>
      </c>
      <c r="G662" s="44">
        <v>36990</v>
      </c>
      <c r="H662" s="44">
        <v>37172</v>
      </c>
      <c r="I662" s="45">
        <v>26</v>
      </c>
      <c r="J662" s="45" t="s">
        <v>369</v>
      </c>
      <c r="K662" s="39" t="s">
        <v>1716</v>
      </c>
      <c r="L662" s="39" t="s">
        <v>1014</v>
      </c>
      <c r="M662" s="38" t="str">
        <f t="shared" si="11"/>
        <v>Bon du Trésor</v>
      </c>
    </row>
    <row r="663" spans="1:13" x14ac:dyDescent="0.2">
      <c r="A663" s="38" t="s">
        <v>1035</v>
      </c>
      <c r="B663" s="38">
        <v>200449</v>
      </c>
      <c r="C663" s="38" t="s">
        <v>172</v>
      </c>
      <c r="D663" s="279">
        <v>250000</v>
      </c>
      <c r="E663" s="38">
        <v>101</v>
      </c>
      <c r="F663" s="40">
        <v>5.5E-2</v>
      </c>
      <c r="G663" s="44">
        <v>36990</v>
      </c>
      <c r="H663" s="44">
        <v>37354</v>
      </c>
      <c r="I663" s="45">
        <v>52</v>
      </c>
      <c r="J663" s="45" t="s">
        <v>369</v>
      </c>
      <c r="K663" s="39" t="s">
        <v>1716</v>
      </c>
      <c r="L663" s="39" t="s">
        <v>1014</v>
      </c>
      <c r="M663" s="38" t="str">
        <f t="shared" si="11"/>
        <v>Bon du Trésor</v>
      </c>
    </row>
    <row r="664" spans="1:13" x14ac:dyDescent="0.2">
      <c r="A664" s="38" t="s">
        <v>1035</v>
      </c>
      <c r="B664" s="38">
        <v>200450</v>
      </c>
      <c r="C664" s="38" t="s">
        <v>874</v>
      </c>
      <c r="D664" s="279">
        <v>250000</v>
      </c>
      <c r="E664" s="38">
        <v>101</v>
      </c>
      <c r="F664" s="40">
        <v>6.4500000000000002E-2</v>
      </c>
      <c r="G664" s="44">
        <v>36997</v>
      </c>
      <c r="H664" s="44">
        <v>40649</v>
      </c>
      <c r="I664" s="45">
        <v>10</v>
      </c>
      <c r="J664" s="45" t="s">
        <v>1716</v>
      </c>
      <c r="K664" s="39" t="s">
        <v>1716</v>
      </c>
      <c r="L664" s="39" t="s">
        <v>1014</v>
      </c>
      <c r="M664" s="38" t="str">
        <f t="shared" si="11"/>
        <v>Bon du Trésor</v>
      </c>
    </row>
    <row r="665" spans="1:13" x14ac:dyDescent="0.2">
      <c r="A665" s="38" t="s">
        <v>1035</v>
      </c>
      <c r="B665" s="38">
        <v>200451</v>
      </c>
      <c r="C665" s="38" t="s">
        <v>1822</v>
      </c>
      <c r="D665" s="279">
        <v>250000</v>
      </c>
      <c r="E665" s="38">
        <v>101</v>
      </c>
      <c r="F665" s="40">
        <v>4.8000000000000001E-2</v>
      </c>
      <c r="G665" s="44">
        <v>37004</v>
      </c>
      <c r="H665" s="44">
        <v>37095</v>
      </c>
      <c r="I665" s="45">
        <v>13</v>
      </c>
      <c r="J665" s="45" t="s">
        <v>369</v>
      </c>
      <c r="K665" s="39" t="s">
        <v>1716</v>
      </c>
      <c r="L665" s="39" t="s">
        <v>1014</v>
      </c>
      <c r="M665" s="38" t="str">
        <f t="shared" si="11"/>
        <v>Bon du Trésor</v>
      </c>
    </row>
    <row r="666" spans="1:13" x14ac:dyDescent="0.2">
      <c r="A666" s="38" t="s">
        <v>1035</v>
      </c>
      <c r="B666" s="38">
        <v>200452</v>
      </c>
      <c r="C666" s="38" t="s">
        <v>1823</v>
      </c>
      <c r="D666" s="279">
        <v>250000</v>
      </c>
      <c r="E666" s="38">
        <v>101</v>
      </c>
      <c r="F666" s="40">
        <v>4.9000000000000002E-2</v>
      </c>
      <c r="G666" s="44">
        <v>37004</v>
      </c>
      <c r="H666" s="44">
        <v>37186</v>
      </c>
      <c r="I666" s="45">
        <v>26</v>
      </c>
      <c r="J666" s="45" t="s">
        <v>369</v>
      </c>
      <c r="K666" s="39" t="s">
        <v>1716</v>
      </c>
      <c r="L666" s="39" t="s">
        <v>1014</v>
      </c>
      <c r="M666" s="38" t="str">
        <f t="shared" si="11"/>
        <v>Bon du Trésor</v>
      </c>
    </row>
    <row r="667" spans="1:13" x14ac:dyDescent="0.2">
      <c r="A667" s="38" t="s">
        <v>1035</v>
      </c>
      <c r="B667" s="38">
        <v>200453</v>
      </c>
      <c r="C667" s="38" t="s">
        <v>1824</v>
      </c>
      <c r="D667" s="279">
        <v>250000</v>
      </c>
      <c r="E667" s="38">
        <v>101</v>
      </c>
      <c r="F667" s="40">
        <v>4.7500000000000001E-2</v>
      </c>
      <c r="G667" s="44">
        <v>37018</v>
      </c>
      <c r="H667" s="44">
        <v>37109</v>
      </c>
      <c r="I667" s="45">
        <v>13</v>
      </c>
      <c r="J667" s="45" t="s">
        <v>369</v>
      </c>
      <c r="K667" s="39" t="s">
        <v>1716</v>
      </c>
      <c r="L667" s="39" t="s">
        <v>1014</v>
      </c>
      <c r="M667" s="38" t="str">
        <f t="shared" si="11"/>
        <v>Bon du Trésor</v>
      </c>
    </row>
    <row r="668" spans="1:13" x14ac:dyDescent="0.2">
      <c r="A668" s="38" t="s">
        <v>1035</v>
      </c>
      <c r="B668" s="38">
        <v>200454</v>
      </c>
      <c r="C668" s="38" t="s">
        <v>1825</v>
      </c>
      <c r="D668" s="279">
        <v>250000</v>
      </c>
      <c r="E668" s="38">
        <v>101</v>
      </c>
      <c r="F668" s="40">
        <v>4.8000000000000001E-2</v>
      </c>
      <c r="G668" s="44">
        <v>37018</v>
      </c>
      <c r="H668" s="44">
        <v>37200</v>
      </c>
      <c r="I668" s="45">
        <v>26</v>
      </c>
      <c r="J668" s="45" t="s">
        <v>369</v>
      </c>
      <c r="K668" s="39" t="s">
        <v>1716</v>
      </c>
      <c r="L668" s="39" t="s">
        <v>1014</v>
      </c>
      <c r="M668" s="38" t="str">
        <f t="shared" si="11"/>
        <v>Bon du Trésor</v>
      </c>
    </row>
    <row r="669" spans="1:13" x14ac:dyDescent="0.2">
      <c r="A669" s="38" t="s">
        <v>1035</v>
      </c>
      <c r="B669" s="38">
        <v>200455</v>
      </c>
      <c r="C669" s="38" t="s">
        <v>1827</v>
      </c>
      <c r="D669" s="279">
        <v>250000</v>
      </c>
      <c r="E669" s="38">
        <v>101</v>
      </c>
      <c r="F669" s="40">
        <v>5.8499999999999996E-2</v>
      </c>
      <c r="G669" s="44">
        <v>37025</v>
      </c>
      <c r="H669" s="44">
        <v>38851</v>
      </c>
      <c r="I669" s="45">
        <v>5</v>
      </c>
      <c r="J669" s="45" t="s">
        <v>1716</v>
      </c>
      <c r="K669" s="39" t="s">
        <v>1716</v>
      </c>
      <c r="L669" s="39" t="s">
        <v>1014</v>
      </c>
      <c r="M669" s="38" t="str">
        <f t="shared" si="11"/>
        <v>Bon du Trésor</v>
      </c>
    </row>
    <row r="670" spans="1:13" x14ac:dyDescent="0.2">
      <c r="A670" s="38" t="s">
        <v>1035</v>
      </c>
      <c r="B670" s="38">
        <v>200456</v>
      </c>
      <c r="C670" s="38" t="s">
        <v>413</v>
      </c>
      <c r="D670" s="279">
        <v>250000</v>
      </c>
      <c r="E670" s="38">
        <v>101</v>
      </c>
      <c r="F670" s="40">
        <v>4.7E-2</v>
      </c>
      <c r="G670" s="44">
        <v>37032</v>
      </c>
      <c r="H670" s="44">
        <v>37125</v>
      </c>
      <c r="I670" s="45">
        <v>13</v>
      </c>
      <c r="J670" s="45" t="s">
        <v>369</v>
      </c>
      <c r="K670" s="39" t="s">
        <v>1716</v>
      </c>
      <c r="L670" s="39" t="s">
        <v>1014</v>
      </c>
      <c r="M670" s="38" t="str">
        <f t="shared" si="11"/>
        <v>Bon du Trésor</v>
      </c>
    </row>
    <row r="671" spans="1:13" x14ac:dyDescent="0.2">
      <c r="A671" s="38" t="s">
        <v>1035</v>
      </c>
      <c r="B671" s="38">
        <v>200457</v>
      </c>
      <c r="C671" s="38" t="s">
        <v>414</v>
      </c>
      <c r="D671" s="279">
        <v>250000</v>
      </c>
      <c r="E671" s="38">
        <v>101</v>
      </c>
      <c r="F671" s="40">
        <v>4.7300000000000002E-2</v>
      </c>
      <c r="G671" s="44">
        <v>37032</v>
      </c>
      <c r="H671" s="44">
        <v>37125</v>
      </c>
      <c r="I671" s="45">
        <v>13</v>
      </c>
      <c r="J671" s="45" t="s">
        <v>369</v>
      </c>
      <c r="K671" s="39" t="s">
        <v>1716</v>
      </c>
      <c r="L671" s="39" t="s">
        <v>1014</v>
      </c>
      <c r="M671" s="38" t="str">
        <f t="shared" si="11"/>
        <v>Bon du Trésor</v>
      </c>
    </row>
    <row r="672" spans="1:13" x14ac:dyDescent="0.2">
      <c r="A672" s="38" t="s">
        <v>1035</v>
      </c>
      <c r="B672" s="38">
        <v>200458</v>
      </c>
      <c r="C672" s="38" t="s">
        <v>328</v>
      </c>
      <c r="D672" s="279">
        <v>250000</v>
      </c>
      <c r="E672" s="38">
        <v>101</v>
      </c>
      <c r="F672" s="40">
        <v>4.7500000000000001E-2</v>
      </c>
      <c r="G672" s="44">
        <v>37032</v>
      </c>
      <c r="H672" s="44">
        <v>37214</v>
      </c>
      <c r="I672" s="45">
        <v>26</v>
      </c>
      <c r="J672" s="45" t="s">
        <v>369</v>
      </c>
      <c r="K672" s="39" t="s">
        <v>1716</v>
      </c>
      <c r="L672" s="39" t="s">
        <v>1014</v>
      </c>
      <c r="M672" s="38" t="str">
        <f t="shared" si="11"/>
        <v>Bon du Trésor</v>
      </c>
    </row>
    <row r="673" spans="1:13" x14ac:dyDescent="0.2">
      <c r="A673" s="38" t="s">
        <v>1035</v>
      </c>
      <c r="B673" s="38">
        <v>200459</v>
      </c>
      <c r="C673" s="38" t="s">
        <v>329</v>
      </c>
      <c r="D673" s="279">
        <v>100000</v>
      </c>
      <c r="E673" s="38">
        <v>101</v>
      </c>
      <c r="F673" s="40">
        <v>4.6100000000000002E-2</v>
      </c>
      <c r="G673" s="44">
        <v>37039</v>
      </c>
      <c r="H673" s="44">
        <v>37130</v>
      </c>
      <c r="I673" s="45">
        <v>13</v>
      </c>
      <c r="J673" s="45" t="s">
        <v>369</v>
      </c>
      <c r="K673" s="39" t="s">
        <v>1716</v>
      </c>
      <c r="L673" s="39" t="s">
        <v>1014</v>
      </c>
      <c r="M673" s="38" t="str">
        <f t="shared" si="11"/>
        <v>Bon du Trésor</v>
      </c>
    </row>
    <row r="674" spans="1:13" x14ac:dyDescent="0.2">
      <c r="A674" s="38" t="s">
        <v>1035</v>
      </c>
      <c r="B674" s="38">
        <v>200460</v>
      </c>
      <c r="C674" s="38" t="s">
        <v>330</v>
      </c>
      <c r="D674" s="279">
        <v>100000</v>
      </c>
      <c r="E674" s="38">
        <v>101</v>
      </c>
      <c r="F674" s="40">
        <v>4.6300000000000001E-2</v>
      </c>
      <c r="G674" s="44">
        <v>37039</v>
      </c>
      <c r="H674" s="44">
        <v>37130</v>
      </c>
      <c r="I674" s="45">
        <v>13</v>
      </c>
      <c r="J674" s="45" t="s">
        <v>369</v>
      </c>
      <c r="K674" s="39" t="s">
        <v>1716</v>
      </c>
      <c r="L674" s="39" t="s">
        <v>1014</v>
      </c>
      <c r="M674" s="38" t="str">
        <f t="shared" si="11"/>
        <v>Bon du Trésor</v>
      </c>
    </row>
    <row r="675" spans="1:13" x14ac:dyDescent="0.2">
      <c r="A675" s="38" t="s">
        <v>1035</v>
      </c>
      <c r="B675" s="38">
        <v>200461</v>
      </c>
      <c r="C675" s="38" t="s">
        <v>331</v>
      </c>
      <c r="D675" s="279">
        <v>100000</v>
      </c>
      <c r="E675" s="38">
        <v>101</v>
      </c>
      <c r="F675" s="40">
        <v>4.6500000000000007E-2</v>
      </c>
      <c r="G675" s="44">
        <v>37039</v>
      </c>
      <c r="H675" s="44">
        <v>37130</v>
      </c>
      <c r="I675" s="45">
        <v>13</v>
      </c>
      <c r="J675" s="45" t="s">
        <v>369</v>
      </c>
      <c r="K675" s="39" t="s">
        <v>1716</v>
      </c>
      <c r="L675" s="39" t="s">
        <v>1014</v>
      </c>
      <c r="M675" s="38" t="str">
        <f t="shared" si="11"/>
        <v>Bon du Trésor</v>
      </c>
    </row>
    <row r="676" spans="1:13" x14ac:dyDescent="0.2">
      <c r="A676" s="38" t="s">
        <v>1035</v>
      </c>
      <c r="B676" s="38">
        <v>200462</v>
      </c>
      <c r="C676" s="38" t="s">
        <v>1848</v>
      </c>
      <c r="D676" s="279">
        <v>100000</v>
      </c>
      <c r="E676" s="38">
        <v>101</v>
      </c>
      <c r="F676" s="40">
        <v>4.6699999999999998E-2</v>
      </c>
      <c r="G676" s="44">
        <v>37039</v>
      </c>
      <c r="H676" s="44">
        <v>37130</v>
      </c>
      <c r="I676" s="45">
        <v>13</v>
      </c>
      <c r="J676" s="45" t="s">
        <v>369</v>
      </c>
      <c r="K676" s="39" t="s">
        <v>1716</v>
      </c>
      <c r="L676" s="39" t="s">
        <v>1014</v>
      </c>
      <c r="M676" s="38" t="str">
        <f t="shared" si="11"/>
        <v>Bon du Trésor</v>
      </c>
    </row>
    <row r="677" spans="1:13" x14ac:dyDescent="0.2">
      <c r="A677" s="38" t="s">
        <v>1035</v>
      </c>
      <c r="B677" s="38">
        <v>200463</v>
      </c>
      <c r="C677" s="38" t="s">
        <v>1850</v>
      </c>
      <c r="D677" s="279">
        <v>100000</v>
      </c>
      <c r="E677" s="38">
        <v>101</v>
      </c>
      <c r="F677" s="40">
        <v>4.6799999999999994E-2</v>
      </c>
      <c r="G677" s="44">
        <v>37039</v>
      </c>
      <c r="H677" s="44">
        <v>37130</v>
      </c>
      <c r="I677" s="45">
        <v>13</v>
      </c>
      <c r="J677" s="45" t="s">
        <v>369</v>
      </c>
      <c r="K677" s="39" t="s">
        <v>1716</v>
      </c>
      <c r="L677" s="39" t="s">
        <v>1014</v>
      </c>
      <c r="M677" s="38" t="str">
        <f t="shared" si="11"/>
        <v>Bon du Trésor</v>
      </c>
    </row>
    <row r="678" spans="1:13" x14ac:dyDescent="0.2">
      <c r="A678" s="38" t="s">
        <v>1035</v>
      </c>
      <c r="B678" s="38">
        <v>200464</v>
      </c>
      <c r="C678" s="38" t="s">
        <v>910</v>
      </c>
      <c r="D678" s="279">
        <v>100000</v>
      </c>
      <c r="E678" s="38">
        <v>101</v>
      </c>
      <c r="F678" s="40">
        <v>4.9500000000000002E-2</v>
      </c>
      <c r="G678" s="44">
        <v>37046</v>
      </c>
      <c r="H678" s="44">
        <v>37410</v>
      </c>
      <c r="I678" s="45">
        <v>52</v>
      </c>
      <c r="J678" s="45" t="s">
        <v>369</v>
      </c>
      <c r="K678" s="39" t="s">
        <v>1716</v>
      </c>
      <c r="L678" s="39" t="s">
        <v>1014</v>
      </c>
      <c r="M678" s="38" t="str">
        <f t="shared" si="11"/>
        <v>Bon du Trésor</v>
      </c>
    </row>
    <row r="679" spans="1:13" x14ac:dyDescent="0.2">
      <c r="A679" s="38" t="s">
        <v>1035</v>
      </c>
      <c r="B679" s="38">
        <v>200465</v>
      </c>
      <c r="C679" s="38" t="s">
        <v>1851</v>
      </c>
      <c r="D679" s="279">
        <v>100000</v>
      </c>
      <c r="E679" s="38">
        <v>101</v>
      </c>
      <c r="F679" s="40">
        <v>5.2000000000000005E-2</v>
      </c>
      <c r="G679" s="44">
        <v>37046</v>
      </c>
      <c r="H679" s="44">
        <v>37776</v>
      </c>
      <c r="I679" s="45">
        <v>2</v>
      </c>
      <c r="J679" s="45" t="s">
        <v>1716</v>
      </c>
      <c r="K679" s="39" t="s">
        <v>1716</v>
      </c>
      <c r="L679" s="39" t="s">
        <v>1014</v>
      </c>
      <c r="M679" s="38" t="str">
        <f t="shared" si="11"/>
        <v>Bon du Trésor</v>
      </c>
    </row>
    <row r="680" spans="1:13" x14ac:dyDescent="0.2">
      <c r="A680" s="38" t="s">
        <v>1035</v>
      </c>
      <c r="B680" s="38">
        <v>200466</v>
      </c>
      <c r="C680" s="38" t="s">
        <v>53</v>
      </c>
      <c r="D680" s="279">
        <v>100000</v>
      </c>
      <c r="E680" s="38">
        <v>101</v>
      </c>
      <c r="F680" s="40">
        <v>4.7E-2</v>
      </c>
      <c r="G680" s="44">
        <v>37053</v>
      </c>
      <c r="H680" s="44">
        <v>37235</v>
      </c>
      <c r="I680" s="45">
        <v>26</v>
      </c>
      <c r="J680" s="45" t="s">
        <v>369</v>
      </c>
      <c r="K680" s="39" t="s">
        <v>1716</v>
      </c>
      <c r="L680" s="39" t="s">
        <v>1014</v>
      </c>
      <c r="M680" s="38" t="str">
        <f t="shared" si="11"/>
        <v>Bon du Trésor</v>
      </c>
    </row>
    <row r="681" spans="1:13" x14ac:dyDescent="0.2">
      <c r="A681" s="38" t="s">
        <v>1035</v>
      </c>
      <c r="B681" s="38">
        <v>200467</v>
      </c>
      <c r="C681" s="38" t="s">
        <v>55</v>
      </c>
      <c r="D681" s="279">
        <v>100000</v>
      </c>
      <c r="E681" s="38">
        <v>101</v>
      </c>
      <c r="F681" s="40">
        <v>4.5999999999999999E-2</v>
      </c>
      <c r="G681" s="44">
        <v>37060</v>
      </c>
      <c r="H681" s="44">
        <v>37151</v>
      </c>
      <c r="I681" s="45">
        <v>13</v>
      </c>
      <c r="J681" s="45" t="s">
        <v>369</v>
      </c>
      <c r="K681" s="39" t="s">
        <v>1716</v>
      </c>
      <c r="L681" s="39" t="s">
        <v>1014</v>
      </c>
      <c r="M681" s="38" t="str">
        <f t="shared" si="11"/>
        <v>Bon du Trésor</v>
      </c>
    </row>
    <row r="682" spans="1:13" x14ac:dyDescent="0.2">
      <c r="A682" s="38" t="s">
        <v>1035</v>
      </c>
      <c r="B682" s="38">
        <v>200468</v>
      </c>
      <c r="C682" s="38" t="s">
        <v>56</v>
      </c>
      <c r="D682" s="279">
        <v>100000</v>
      </c>
      <c r="E682" s="38">
        <v>101</v>
      </c>
      <c r="F682" s="40">
        <v>4.7E-2</v>
      </c>
      <c r="G682" s="44">
        <v>37060</v>
      </c>
      <c r="H682" s="44">
        <v>37242</v>
      </c>
      <c r="I682" s="45">
        <v>26</v>
      </c>
      <c r="J682" s="45" t="s">
        <v>369</v>
      </c>
      <c r="K682" s="39" t="s">
        <v>1716</v>
      </c>
      <c r="L682" s="39" t="s">
        <v>1014</v>
      </c>
      <c r="M682" s="38" t="str">
        <f t="shared" si="11"/>
        <v>Bon du Trésor</v>
      </c>
    </row>
    <row r="683" spans="1:13" x14ac:dyDescent="0.2">
      <c r="A683" s="38" t="s">
        <v>1035</v>
      </c>
      <c r="B683" s="38">
        <v>200469</v>
      </c>
      <c r="C683" s="38" t="s">
        <v>57</v>
      </c>
      <c r="D683" s="279">
        <v>100000</v>
      </c>
      <c r="E683" s="38">
        <v>101</v>
      </c>
      <c r="F683" s="40">
        <v>4.4999999999999998E-2</v>
      </c>
      <c r="G683" s="44">
        <v>37067</v>
      </c>
      <c r="H683" s="44">
        <v>37158</v>
      </c>
      <c r="I683" s="45">
        <v>13</v>
      </c>
      <c r="J683" s="45" t="s">
        <v>369</v>
      </c>
      <c r="K683" s="39" t="s">
        <v>1716</v>
      </c>
      <c r="L683" s="39" t="s">
        <v>1014</v>
      </c>
      <c r="M683" s="38" t="str">
        <f t="shared" si="11"/>
        <v>Bon du Trésor</v>
      </c>
    </row>
    <row r="684" spans="1:13" x14ac:dyDescent="0.2">
      <c r="A684" s="38" t="s">
        <v>1035</v>
      </c>
      <c r="B684" s="38">
        <v>200470</v>
      </c>
      <c r="C684" s="38" t="s">
        <v>1338</v>
      </c>
      <c r="D684" s="279">
        <v>100000</v>
      </c>
      <c r="E684" s="38">
        <v>101</v>
      </c>
      <c r="F684" s="40">
        <v>4.5499999999999999E-2</v>
      </c>
      <c r="G684" s="44">
        <v>37067</v>
      </c>
      <c r="H684" s="44">
        <v>37158</v>
      </c>
      <c r="I684" s="45">
        <v>13</v>
      </c>
      <c r="J684" s="45" t="s">
        <v>369</v>
      </c>
      <c r="K684" s="39" t="s">
        <v>1716</v>
      </c>
      <c r="L684" s="39" t="s">
        <v>1014</v>
      </c>
      <c r="M684" s="38" t="str">
        <f t="shared" si="11"/>
        <v>Bon du Trésor</v>
      </c>
    </row>
    <row r="685" spans="1:13" x14ac:dyDescent="0.2">
      <c r="A685" s="38" t="s">
        <v>1035</v>
      </c>
      <c r="B685" s="38">
        <v>200471</v>
      </c>
      <c r="C685" s="38" t="s">
        <v>1339</v>
      </c>
      <c r="D685" s="279">
        <v>100000</v>
      </c>
      <c r="E685" s="38">
        <v>101</v>
      </c>
      <c r="F685" s="40">
        <v>4.58E-2</v>
      </c>
      <c r="G685" s="44">
        <v>37067</v>
      </c>
      <c r="H685" s="44">
        <v>37158</v>
      </c>
      <c r="I685" s="45">
        <v>13</v>
      </c>
      <c r="J685" s="45" t="s">
        <v>369</v>
      </c>
      <c r="K685" s="39" t="s">
        <v>1716</v>
      </c>
      <c r="L685" s="39" t="s">
        <v>1014</v>
      </c>
      <c r="M685" s="38" t="str">
        <f t="shared" si="11"/>
        <v>Bon du Trésor</v>
      </c>
    </row>
    <row r="686" spans="1:13" x14ac:dyDescent="0.2">
      <c r="A686" s="38" t="s">
        <v>1035</v>
      </c>
      <c r="B686" s="38">
        <v>200472</v>
      </c>
      <c r="C686" s="38" t="s">
        <v>1340</v>
      </c>
      <c r="D686" s="279">
        <v>100000</v>
      </c>
      <c r="E686" s="38">
        <v>101</v>
      </c>
      <c r="F686" s="40">
        <v>4.5899999999999996E-2</v>
      </c>
      <c r="G686" s="44">
        <v>37067</v>
      </c>
      <c r="H686" s="44">
        <v>37158</v>
      </c>
      <c r="I686" s="45">
        <v>13</v>
      </c>
      <c r="J686" s="45" t="s">
        <v>369</v>
      </c>
      <c r="K686" s="39" t="s">
        <v>1716</v>
      </c>
      <c r="L686" s="39" t="s">
        <v>1014</v>
      </c>
      <c r="M686" s="38" t="str">
        <f t="shared" si="11"/>
        <v>Bon du Trésor</v>
      </c>
    </row>
    <row r="687" spans="1:13" x14ac:dyDescent="0.2">
      <c r="A687" s="38" t="s">
        <v>1035</v>
      </c>
      <c r="B687" s="38">
        <v>200473</v>
      </c>
      <c r="C687" s="38" t="s">
        <v>1266</v>
      </c>
      <c r="D687" s="279">
        <v>100000</v>
      </c>
      <c r="E687" s="38">
        <v>101</v>
      </c>
      <c r="F687" s="40">
        <v>4.5700000000000005E-2</v>
      </c>
      <c r="G687" s="44">
        <v>37067</v>
      </c>
      <c r="H687" s="44">
        <v>37158</v>
      </c>
      <c r="I687" s="45">
        <v>13</v>
      </c>
      <c r="J687" s="45" t="s">
        <v>369</v>
      </c>
      <c r="K687" s="39" t="s">
        <v>1716</v>
      </c>
      <c r="L687" s="39" t="s">
        <v>1014</v>
      </c>
      <c r="M687" s="38" t="str">
        <f t="shared" si="11"/>
        <v>Bon du Trésor</v>
      </c>
    </row>
    <row r="688" spans="1:13" x14ac:dyDescent="0.2">
      <c r="A688" s="38" t="s">
        <v>1035</v>
      </c>
      <c r="B688" s="38">
        <v>200474</v>
      </c>
      <c r="C688" s="38" t="s">
        <v>124</v>
      </c>
      <c r="D688" s="279">
        <v>100000</v>
      </c>
      <c r="E688" s="38">
        <v>101</v>
      </c>
      <c r="F688" s="40">
        <v>4.6500000000000007E-2</v>
      </c>
      <c r="G688" s="44">
        <v>37067</v>
      </c>
      <c r="H688" s="44">
        <v>37249</v>
      </c>
      <c r="I688" s="45">
        <v>26</v>
      </c>
      <c r="J688" s="45" t="s">
        <v>369</v>
      </c>
      <c r="K688" s="39" t="s">
        <v>1716</v>
      </c>
      <c r="L688" s="39" t="s">
        <v>1014</v>
      </c>
      <c r="M688" s="38" t="str">
        <f t="shared" si="11"/>
        <v>Bon du Trésor</v>
      </c>
    </row>
    <row r="689" spans="1:13" x14ac:dyDescent="0.2">
      <c r="A689" s="38" t="s">
        <v>1035</v>
      </c>
      <c r="B689" s="38">
        <v>200475</v>
      </c>
      <c r="C689" s="38" t="s">
        <v>125</v>
      </c>
      <c r="D689" s="279">
        <v>100000</v>
      </c>
      <c r="E689" s="38">
        <v>101</v>
      </c>
      <c r="F689" s="40">
        <v>4.6799999999999994E-2</v>
      </c>
      <c r="G689" s="44">
        <v>37067</v>
      </c>
      <c r="H689" s="44">
        <v>37249</v>
      </c>
      <c r="I689" s="45">
        <v>26</v>
      </c>
      <c r="J689" s="45" t="s">
        <v>369</v>
      </c>
      <c r="K689" s="39" t="s">
        <v>1716</v>
      </c>
      <c r="L689" s="39" t="s">
        <v>1014</v>
      </c>
      <c r="M689" s="38" t="str">
        <f t="shared" si="11"/>
        <v>Bon du Trésor</v>
      </c>
    </row>
    <row r="690" spans="1:13" x14ac:dyDescent="0.2">
      <c r="A690" s="38" t="s">
        <v>1035</v>
      </c>
      <c r="B690" s="38">
        <v>200476</v>
      </c>
      <c r="C690" s="38" t="s">
        <v>1228</v>
      </c>
      <c r="D690" s="279">
        <v>100000</v>
      </c>
      <c r="E690" s="38">
        <v>101</v>
      </c>
      <c r="F690" s="40">
        <v>4.6900000000000004E-2</v>
      </c>
      <c r="G690" s="44">
        <v>37067</v>
      </c>
      <c r="H690" s="44">
        <v>37249</v>
      </c>
      <c r="I690" s="45">
        <v>26</v>
      </c>
      <c r="J690" s="45" t="s">
        <v>369</v>
      </c>
      <c r="K690" s="39" t="s">
        <v>1716</v>
      </c>
      <c r="L690" s="39" t="s">
        <v>1014</v>
      </c>
      <c r="M690" s="38" t="str">
        <f t="shared" si="11"/>
        <v>Bon du Trésor</v>
      </c>
    </row>
    <row r="691" spans="1:13" x14ac:dyDescent="0.2">
      <c r="A691" s="38" t="s">
        <v>1035</v>
      </c>
      <c r="B691" s="38">
        <v>200477</v>
      </c>
      <c r="C691" s="38" t="s">
        <v>1230</v>
      </c>
      <c r="D691" s="279">
        <v>100000</v>
      </c>
      <c r="E691" s="38">
        <v>101</v>
      </c>
      <c r="F691" s="40">
        <v>4.4999999999999998E-2</v>
      </c>
      <c r="G691" s="44">
        <v>37074</v>
      </c>
      <c r="H691" s="44">
        <v>37165</v>
      </c>
      <c r="I691" s="45">
        <v>13</v>
      </c>
      <c r="J691" s="45" t="s">
        <v>369</v>
      </c>
      <c r="K691" s="39" t="s">
        <v>1716</v>
      </c>
      <c r="L691" s="39" t="s">
        <v>1014</v>
      </c>
      <c r="M691" s="38" t="str">
        <f t="shared" si="11"/>
        <v>Bon du Trésor</v>
      </c>
    </row>
    <row r="692" spans="1:13" x14ac:dyDescent="0.2">
      <c r="A692" s="38" t="s">
        <v>1035</v>
      </c>
      <c r="B692" s="38">
        <v>200625</v>
      </c>
      <c r="C692" s="38" t="s">
        <v>1692</v>
      </c>
      <c r="D692" s="279">
        <v>100000</v>
      </c>
      <c r="E692" s="38">
        <v>101</v>
      </c>
      <c r="F692" s="40">
        <v>3.3500000000000002E-2</v>
      </c>
      <c r="G692" s="44">
        <v>37662</v>
      </c>
      <c r="H692" s="44">
        <f>+G692+91</f>
        <v>37753</v>
      </c>
      <c r="I692" s="45">
        <v>13</v>
      </c>
      <c r="J692" s="45" t="s">
        <v>369</v>
      </c>
      <c r="K692" s="39" t="s">
        <v>1716</v>
      </c>
      <c r="L692" s="39" t="s">
        <v>1014</v>
      </c>
      <c r="M692" s="38" t="str">
        <f t="shared" si="11"/>
        <v>Bon du Trésor</v>
      </c>
    </row>
    <row r="693" spans="1:13" x14ac:dyDescent="0.2">
      <c r="A693" s="38" t="s">
        <v>1035</v>
      </c>
      <c r="B693" s="38">
        <v>200478</v>
      </c>
      <c r="C693" s="38" t="s">
        <v>1231</v>
      </c>
      <c r="D693" s="279">
        <v>100000</v>
      </c>
      <c r="E693" s="38">
        <v>101</v>
      </c>
      <c r="F693" s="40">
        <v>4.6300000000000001E-2</v>
      </c>
      <c r="G693" s="44">
        <v>37074</v>
      </c>
      <c r="H693" s="44">
        <v>37256</v>
      </c>
      <c r="I693" s="45">
        <v>26</v>
      </c>
      <c r="J693" s="45" t="s">
        <v>369</v>
      </c>
      <c r="K693" s="39" t="s">
        <v>1716</v>
      </c>
      <c r="L693" s="39" t="s">
        <v>1014</v>
      </c>
      <c r="M693" s="38" t="str">
        <f t="shared" si="11"/>
        <v>Bon du Trésor</v>
      </c>
    </row>
    <row r="694" spans="1:13" x14ac:dyDescent="0.2">
      <c r="A694" s="38" t="s">
        <v>1035</v>
      </c>
      <c r="B694" s="38">
        <v>200479</v>
      </c>
      <c r="C694" s="38" t="s">
        <v>72</v>
      </c>
      <c r="D694" s="279">
        <v>100000</v>
      </c>
      <c r="E694" s="38">
        <v>101</v>
      </c>
      <c r="F694" s="40">
        <v>4.6399999999999997E-2</v>
      </c>
      <c r="G694" s="44">
        <v>37074</v>
      </c>
      <c r="H694" s="44">
        <v>37256</v>
      </c>
      <c r="I694" s="45">
        <v>26</v>
      </c>
      <c r="J694" s="45" t="s">
        <v>369</v>
      </c>
      <c r="K694" s="39" t="s">
        <v>1716</v>
      </c>
      <c r="L694" s="39" t="s">
        <v>1014</v>
      </c>
      <c r="M694" s="38" t="str">
        <f t="shared" si="11"/>
        <v>Bon du Trésor</v>
      </c>
    </row>
    <row r="695" spans="1:13" x14ac:dyDescent="0.2">
      <c r="A695" s="38" t="s">
        <v>1035</v>
      </c>
      <c r="B695" s="48">
        <v>200547</v>
      </c>
      <c r="C695" s="38" t="s">
        <v>406</v>
      </c>
      <c r="D695" s="279">
        <v>100000</v>
      </c>
      <c r="E695" s="38">
        <v>101</v>
      </c>
      <c r="F695" s="46">
        <v>4.2999999999999997E-2</v>
      </c>
      <c r="G695" s="44">
        <v>37263</v>
      </c>
      <c r="H695" s="44">
        <v>37445</v>
      </c>
      <c r="I695" s="47">
        <v>26</v>
      </c>
      <c r="J695" s="47" t="s">
        <v>369</v>
      </c>
      <c r="K695" s="39" t="s">
        <v>1716</v>
      </c>
      <c r="L695" s="39" t="s">
        <v>1014</v>
      </c>
      <c r="M695" s="38" t="str">
        <f t="shared" si="11"/>
        <v>Bon du Trésor</v>
      </c>
    </row>
    <row r="696" spans="1:13" x14ac:dyDescent="0.2">
      <c r="A696" s="38" t="s">
        <v>1035</v>
      </c>
      <c r="B696" s="38">
        <v>200480</v>
      </c>
      <c r="C696" s="38" t="s">
        <v>530</v>
      </c>
      <c r="D696" s="279">
        <v>100000</v>
      </c>
      <c r="E696" s="38">
        <v>101</v>
      </c>
      <c r="F696" s="40">
        <v>4.6500000000000007E-2</v>
      </c>
      <c r="G696" s="44">
        <v>37074</v>
      </c>
      <c r="H696" s="44">
        <v>37256</v>
      </c>
      <c r="I696" s="45">
        <v>26</v>
      </c>
      <c r="J696" s="45" t="s">
        <v>369</v>
      </c>
      <c r="K696" s="39" t="s">
        <v>1716</v>
      </c>
      <c r="L696" s="39" t="s">
        <v>1014</v>
      </c>
      <c r="M696" s="38" t="str">
        <f t="shared" si="11"/>
        <v>Bon du Trésor</v>
      </c>
    </row>
    <row r="697" spans="1:13" x14ac:dyDescent="0.2">
      <c r="A697" s="38" t="s">
        <v>1035</v>
      </c>
      <c r="B697" s="38">
        <v>200481</v>
      </c>
      <c r="C697" s="38" t="s">
        <v>531</v>
      </c>
      <c r="D697" s="279">
        <v>100000</v>
      </c>
      <c r="E697" s="38">
        <v>101</v>
      </c>
      <c r="F697" s="40">
        <v>4.9000000000000002E-2</v>
      </c>
      <c r="G697" s="44">
        <v>37074</v>
      </c>
      <c r="H697" s="44">
        <v>37438</v>
      </c>
      <c r="I697" s="45">
        <v>52</v>
      </c>
      <c r="J697" s="45" t="s">
        <v>369</v>
      </c>
      <c r="K697" s="39" t="s">
        <v>1716</v>
      </c>
      <c r="L697" s="39" t="s">
        <v>1014</v>
      </c>
      <c r="M697" s="38" t="str">
        <f t="shared" si="11"/>
        <v>Bon du Trésor</v>
      </c>
    </row>
    <row r="698" spans="1:13" x14ac:dyDescent="0.2">
      <c r="A698" s="38" t="s">
        <v>1035</v>
      </c>
      <c r="B698" s="38">
        <v>200482</v>
      </c>
      <c r="C698" s="38" t="s">
        <v>532</v>
      </c>
      <c r="D698" s="279">
        <v>100000</v>
      </c>
      <c r="E698" s="38">
        <v>101</v>
      </c>
      <c r="F698" s="40">
        <v>4.4400000000000002E-2</v>
      </c>
      <c r="G698" s="44">
        <v>37081</v>
      </c>
      <c r="H698" s="44">
        <v>37172</v>
      </c>
      <c r="I698" s="45">
        <v>13</v>
      </c>
      <c r="J698" s="45" t="s">
        <v>369</v>
      </c>
      <c r="K698" s="39" t="s">
        <v>1716</v>
      </c>
      <c r="L698" s="39" t="s">
        <v>1014</v>
      </c>
      <c r="M698" s="38" t="str">
        <f t="shared" si="11"/>
        <v>Bon du Trésor</v>
      </c>
    </row>
    <row r="699" spans="1:13" x14ac:dyDescent="0.2">
      <c r="A699" s="38" t="s">
        <v>1035</v>
      </c>
      <c r="B699" s="38">
        <v>200483</v>
      </c>
      <c r="C699" s="38" t="s">
        <v>533</v>
      </c>
      <c r="D699" s="279">
        <v>100000</v>
      </c>
      <c r="E699" s="38">
        <v>101</v>
      </c>
      <c r="F699" s="40">
        <v>4.5999999999999999E-2</v>
      </c>
      <c r="G699" s="44">
        <v>37081</v>
      </c>
      <c r="H699" s="44">
        <v>37263</v>
      </c>
      <c r="I699" s="45">
        <v>26</v>
      </c>
      <c r="J699" s="45" t="s">
        <v>369</v>
      </c>
      <c r="K699" s="39" t="s">
        <v>1716</v>
      </c>
      <c r="L699" s="39" t="s">
        <v>1014</v>
      </c>
      <c r="M699" s="38" t="str">
        <f t="shared" si="11"/>
        <v>Bon du Trésor</v>
      </c>
    </row>
    <row r="700" spans="1:13" x14ac:dyDescent="0.2">
      <c r="A700" s="38" t="s">
        <v>1035</v>
      </c>
      <c r="B700" s="38">
        <v>200489</v>
      </c>
      <c r="C700" s="38" t="s">
        <v>479</v>
      </c>
      <c r="D700" s="279">
        <v>100000</v>
      </c>
      <c r="E700" s="38">
        <v>101</v>
      </c>
      <c r="F700" s="40">
        <v>4.9000000000000002E-2</v>
      </c>
      <c r="G700" s="44">
        <v>37103</v>
      </c>
      <c r="H700" s="44">
        <f>+G700+364</f>
        <v>37467</v>
      </c>
      <c r="I700" s="45">
        <v>52</v>
      </c>
      <c r="J700" s="45" t="s">
        <v>369</v>
      </c>
      <c r="K700" s="39" t="s">
        <v>1716</v>
      </c>
      <c r="L700" s="39" t="s">
        <v>1014</v>
      </c>
      <c r="M700" s="38" t="str">
        <f t="shared" si="11"/>
        <v>Bon du Trésor</v>
      </c>
    </row>
    <row r="701" spans="1:13" x14ac:dyDescent="0.2">
      <c r="A701" s="38" t="s">
        <v>1035</v>
      </c>
      <c r="B701" s="38">
        <v>200498</v>
      </c>
      <c r="C701" s="38" t="s">
        <v>1928</v>
      </c>
      <c r="D701" s="279">
        <v>100000</v>
      </c>
      <c r="E701" s="38">
        <v>101</v>
      </c>
      <c r="F701" s="40">
        <v>4.9000000000000002E-2</v>
      </c>
      <c r="G701" s="44">
        <v>37151</v>
      </c>
      <c r="H701" s="44">
        <f>+G701+364</f>
        <v>37515</v>
      </c>
      <c r="I701" s="45">
        <v>52</v>
      </c>
      <c r="J701" s="45" t="s">
        <v>369</v>
      </c>
      <c r="K701" s="39" t="s">
        <v>1716</v>
      </c>
      <c r="L701" s="39" t="s">
        <v>1014</v>
      </c>
      <c r="M701" s="38" t="str">
        <f t="shared" si="11"/>
        <v>Bon du Trésor</v>
      </c>
    </row>
    <row r="702" spans="1:13" x14ac:dyDescent="0.2">
      <c r="A702" s="38" t="s">
        <v>1035</v>
      </c>
      <c r="B702" s="38">
        <v>200519</v>
      </c>
      <c r="C702" s="38" t="s">
        <v>404</v>
      </c>
      <c r="D702" s="279">
        <v>100000</v>
      </c>
      <c r="E702" s="38">
        <v>101</v>
      </c>
      <c r="F702" s="46">
        <v>4.9000000000000002E-2</v>
      </c>
      <c r="G702" s="44">
        <v>37179</v>
      </c>
      <c r="H702" s="44">
        <v>37361</v>
      </c>
      <c r="I702" s="47">
        <v>26</v>
      </c>
      <c r="J702" s="47" t="s">
        <v>369</v>
      </c>
      <c r="K702" s="39" t="s">
        <v>1716</v>
      </c>
      <c r="L702" s="39" t="s">
        <v>1014</v>
      </c>
      <c r="M702" s="38" t="str">
        <f t="shared" si="11"/>
        <v>Bon du Trésor</v>
      </c>
    </row>
    <row r="703" spans="1:13" x14ac:dyDescent="0.2">
      <c r="A703" s="38" t="s">
        <v>1035</v>
      </c>
      <c r="B703" s="38">
        <v>200520</v>
      </c>
      <c r="C703" s="38" t="s">
        <v>1788</v>
      </c>
      <c r="D703" s="279">
        <v>100000</v>
      </c>
      <c r="E703" s="38">
        <v>101</v>
      </c>
      <c r="F703" s="46">
        <v>0.05</v>
      </c>
      <c r="G703" s="44">
        <v>37179</v>
      </c>
      <c r="H703" s="44">
        <v>37543</v>
      </c>
      <c r="I703" s="47">
        <v>52</v>
      </c>
      <c r="J703" s="47" t="s">
        <v>369</v>
      </c>
      <c r="K703" s="39" t="s">
        <v>1716</v>
      </c>
      <c r="L703" s="39" t="s">
        <v>1014</v>
      </c>
      <c r="M703" s="38" t="str">
        <f t="shared" si="11"/>
        <v>Bon du Trésor</v>
      </c>
    </row>
    <row r="704" spans="1:13" x14ac:dyDescent="0.2">
      <c r="A704" s="38" t="s">
        <v>1035</v>
      </c>
      <c r="B704" s="38">
        <v>200534</v>
      </c>
      <c r="C704" s="38" t="s">
        <v>783</v>
      </c>
      <c r="D704" s="279">
        <v>100000</v>
      </c>
      <c r="E704" s="38">
        <v>101</v>
      </c>
      <c r="F704" s="46">
        <v>4.4999999999999998E-2</v>
      </c>
      <c r="G704" s="44">
        <v>37221</v>
      </c>
      <c r="H704" s="44">
        <f>+G704+182</f>
        <v>37403</v>
      </c>
      <c r="I704" s="47">
        <v>26</v>
      </c>
      <c r="J704" s="47" t="s">
        <v>369</v>
      </c>
      <c r="K704" s="39" t="s">
        <v>1716</v>
      </c>
      <c r="L704" s="39" t="s">
        <v>1014</v>
      </c>
      <c r="M704" s="38" t="str">
        <f t="shared" si="11"/>
        <v>Bon du Trésor</v>
      </c>
    </row>
    <row r="705" spans="1:13" x14ac:dyDescent="0.2">
      <c r="A705" s="38" t="s">
        <v>1035</v>
      </c>
      <c r="B705" s="38">
        <v>200538</v>
      </c>
      <c r="C705" s="38" t="s">
        <v>784</v>
      </c>
      <c r="D705" s="279">
        <v>100000</v>
      </c>
      <c r="E705" s="38">
        <v>101</v>
      </c>
      <c r="F705" s="46">
        <v>4.5499999999999999E-2</v>
      </c>
      <c r="G705" s="44">
        <v>37221</v>
      </c>
      <c r="H705" s="44">
        <f>+G705+182</f>
        <v>37403</v>
      </c>
      <c r="I705" s="47">
        <v>26</v>
      </c>
      <c r="J705" s="47" t="s">
        <v>369</v>
      </c>
      <c r="K705" s="39" t="s">
        <v>1716</v>
      </c>
      <c r="L705" s="39" t="s">
        <v>1014</v>
      </c>
      <c r="M705" s="38" t="str">
        <f t="shared" si="11"/>
        <v>Bon du Trésor</v>
      </c>
    </row>
    <row r="706" spans="1:13" x14ac:dyDescent="0.2">
      <c r="A706" s="38" t="s">
        <v>1035</v>
      </c>
      <c r="B706" s="38">
        <v>200539</v>
      </c>
      <c r="C706" s="38" t="s">
        <v>399</v>
      </c>
      <c r="D706" s="279">
        <v>100000</v>
      </c>
      <c r="E706" s="38">
        <v>101</v>
      </c>
      <c r="F706" s="46">
        <v>4.8000000000000001E-2</v>
      </c>
      <c r="G706" s="44">
        <v>37221</v>
      </c>
      <c r="H706" s="44">
        <f>+G706+364</f>
        <v>37585</v>
      </c>
      <c r="I706" s="47">
        <v>52</v>
      </c>
      <c r="J706" s="47" t="s">
        <v>369</v>
      </c>
      <c r="K706" s="39" t="s">
        <v>1716</v>
      </c>
      <c r="L706" s="39" t="s">
        <v>1014</v>
      </c>
      <c r="M706" s="38" t="str">
        <f t="shared" si="11"/>
        <v>Bon du Trésor</v>
      </c>
    </row>
    <row r="707" spans="1:13" x14ac:dyDescent="0.2">
      <c r="A707" s="38" t="s">
        <v>1035</v>
      </c>
      <c r="B707" s="38">
        <v>200540</v>
      </c>
      <c r="C707" s="38" t="s">
        <v>777</v>
      </c>
      <c r="D707" s="279">
        <v>100000</v>
      </c>
      <c r="E707" s="38">
        <v>101</v>
      </c>
      <c r="F707" s="46">
        <v>5.45E-2</v>
      </c>
      <c r="G707" s="44">
        <v>37228</v>
      </c>
      <c r="H707" s="44">
        <v>37958</v>
      </c>
      <c r="I707" s="47">
        <v>2</v>
      </c>
      <c r="J707" s="47" t="s">
        <v>1716</v>
      </c>
      <c r="K707" s="39" t="s">
        <v>1716</v>
      </c>
      <c r="L707" s="39" t="s">
        <v>1014</v>
      </c>
      <c r="M707" s="38" t="str">
        <f t="shared" ref="M707:M770" si="12">+A707</f>
        <v>Bon du Trésor</v>
      </c>
    </row>
    <row r="708" spans="1:13" x14ac:dyDescent="0.2">
      <c r="A708" s="38" t="s">
        <v>1035</v>
      </c>
      <c r="B708" s="38">
        <v>200542</v>
      </c>
      <c r="C708" s="38" t="s">
        <v>400</v>
      </c>
      <c r="D708" s="279">
        <v>100000</v>
      </c>
      <c r="E708" s="38">
        <v>101</v>
      </c>
      <c r="F708" s="46">
        <v>4.7E-2</v>
      </c>
      <c r="G708" s="44">
        <v>37235</v>
      </c>
      <c r="H708" s="44">
        <f>+G708+364</f>
        <v>37599</v>
      </c>
      <c r="I708" s="47">
        <v>52</v>
      </c>
      <c r="J708" s="47" t="s">
        <v>369</v>
      </c>
      <c r="K708" s="39" t="s">
        <v>1716</v>
      </c>
      <c r="L708" s="39" t="s">
        <v>1014</v>
      </c>
      <c r="M708" s="38" t="str">
        <f t="shared" si="12"/>
        <v>Bon du Trésor</v>
      </c>
    </row>
    <row r="709" spans="1:13" x14ac:dyDescent="0.2">
      <c r="A709" s="38" t="s">
        <v>1035</v>
      </c>
      <c r="B709" s="38">
        <v>200544</v>
      </c>
      <c r="C709" s="38" t="s">
        <v>403</v>
      </c>
      <c r="D709" s="279">
        <v>100000</v>
      </c>
      <c r="E709" s="38">
        <v>101</v>
      </c>
      <c r="F709" s="46">
        <v>6.2E-2</v>
      </c>
      <c r="G709" s="44">
        <v>37244</v>
      </c>
      <c r="H709" s="44">
        <v>39070</v>
      </c>
      <c r="I709" s="47">
        <v>5</v>
      </c>
      <c r="J709" s="47" t="s">
        <v>1716</v>
      </c>
      <c r="K709" s="39" t="s">
        <v>1716</v>
      </c>
      <c r="L709" s="39" t="s">
        <v>1014</v>
      </c>
      <c r="M709" s="38" t="str">
        <f t="shared" si="12"/>
        <v>Bon du Trésor</v>
      </c>
    </row>
    <row r="710" spans="1:13" x14ac:dyDescent="0.2">
      <c r="A710" s="38" t="s">
        <v>1035</v>
      </c>
      <c r="B710" s="38">
        <v>200545</v>
      </c>
      <c r="C710" s="38" t="s">
        <v>405</v>
      </c>
      <c r="D710" s="279">
        <v>100000</v>
      </c>
      <c r="E710" s="38">
        <v>101</v>
      </c>
      <c r="F710" s="46">
        <v>6.2E-2</v>
      </c>
      <c r="G710" s="44">
        <v>37256</v>
      </c>
      <c r="H710" s="44">
        <v>39082</v>
      </c>
      <c r="I710" s="47">
        <v>5</v>
      </c>
      <c r="J710" s="47" t="s">
        <v>1716</v>
      </c>
      <c r="K710" s="39" t="s">
        <v>1716</v>
      </c>
      <c r="L710" s="39" t="s">
        <v>1014</v>
      </c>
      <c r="M710" s="38" t="str">
        <f t="shared" si="12"/>
        <v>Bon du Trésor</v>
      </c>
    </row>
    <row r="711" spans="1:13" x14ac:dyDescent="0.2">
      <c r="A711" s="38" t="s">
        <v>1035</v>
      </c>
      <c r="B711" s="38">
        <v>200548</v>
      </c>
      <c r="C711" s="38" t="s">
        <v>25</v>
      </c>
      <c r="D711" s="279">
        <v>100000</v>
      </c>
      <c r="E711" s="38">
        <v>101</v>
      </c>
      <c r="F711" s="46">
        <v>5.2999999999999999E-2</v>
      </c>
      <c r="G711" s="44">
        <v>37270</v>
      </c>
      <c r="H711" s="44">
        <v>38000</v>
      </c>
      <c r="I711" s="47">
        <v>2</v>
      </c>
      <c r="J711" s="47" t="s">
        <v>1716</v>
      </c>
      <c r="K711" s="39" t="s">
        <v>1716</v>
      </c>
      <c r="L711" s="39" t="s">
        <v>1014</v>
      </c>
      <c r="M711" s="38" t="str">
        <f t="shared" si="12"/>
        <v>Bon du Trésor</v>
      </c>
    </row>
    <row r="712" spans="1:13" x14ac:dyDescent="0.2">
      <c r="A712" s="38" t="s">
        <v>1035</v>
      </c>
      <c r="B712" s="38">
        <v>200549</v>
      </c>
      <c r="C712" s="38" t="s">
        <v>26</v>
      </c>
      <c r="D712" s="279">
        <v>100000</v>
      </c>
      <c r="E712" s="38">
        <v>101</v>
      </c>
      <c r="F712" s="46">
        <v>6.2E-2</v>
      </c>
      <c r="G712" s="44">
        <v>37270</v>
      </c>
      <c r="H712" s="44">
        <v>39096</v>
      </c>
      <c r="I712" s="47">
        <v>5</v>
      </c>
      <c r="J712" s="47" t="s">
        <v>1716</v>
      </c>
      <c r="K712" s="39" t="s">
        <v>1716</v>
      </c>
      <c r="L712" s="39" t="s">
        <v>1014</v>
      </c>
      <c r="M712" s="38" t="str">
        <f t="shared" si="12"/>
        <v>Bon du Trésor</v>
      </c>
    </row>
    <row r="713" spans="1:13" x14ac:dyDescent="0.2">
      <c r="A713" s="38" t="s">
        <v>1035</v>
      </c>
      <c r="B713" s="48">
        <v>200541</v>
      </c>
      <c r="C713" s="38" t="s">
        <v>1920</v>
      </c>
      <c r="D713" s="279">
        <v>100000</v>
      </c>
      <c r="E713" s="38">
        <v>101</v>
      </c>
      <c r="F713" s="46">
        <v>6.2E-2</v>
      </c>
      <c r="G713" s="44">
        <v>37228</v>
      </c>
      <c r="H713" s="44">
        <v>39054</v>
      </c>
      <c r="I713" s="47">
        <v>5</v>
      </c>
      <c r="J713" s="47" t="s">
        <v>1716</v>
      </c>
      <c r="K713" s="39" t="s">
        <v>1716</v>
      </c>
      <c r="L713" s="39" t="s">
        <v>1014</v>
      </c>
      <c r="M713" s="38" t="str">
        <f t="shared" si="12"/>
        <v>Bon du Trésor</v>
      </c>
    </row>
    <row r="714" spans="1:13" x14ac:dyDescent="0.2">
      <c r="A714" s="38" t="s">
        <v>1035</v>
      </c>
      <c r="B714" s="48">
        <v>200543</v>
      </c>
      <c r="C714" s="38" t="s">
        <v>478</v>
      </c>
      <c r="D714" s="279">
        <v>100000</v>
      </c>
      <c r="E714" s="38">
        <v>101</v>
      </c>
      <c r="F714" s="46">
        <v>5.3499999999999999E-2</v>
      </c>
      <c r="G714" s="44">
        <v>37244</v>
      </c>
      <c r="H714" s="44">
        <v>37974</v>
      </c>
      <c r="I714" s="47">
        <v>2</v>
      </c>
      <c r="J714" s="47" t="s">
        <v>1716</v>
      </c>
      <c r="K714" s="39" t="s">
        <v>1716</v>
      </c>
      <c r="L714" s="39" t="s">
        <v>1014</v>
      </c>
      <c r="M714" s="38" t="str">
        <f t="shared" si="12"/>
        <v>Bon du Trésor</v>
      </c>
    </row>
    <row r="715" spans="1:13" x14ac:dyDescent="0.2">
      <c r="A715" s="38" t="s">
        <v>1035</v>
      </c>
      <c r="B715" s="48">
        <v>200553</v>
      </c>
      <c r="C715" s="38" t="s">
        <v>1927</v>
      </c>
      <c r="D715" s="279">
        <v>100000</v>
      </c>
      <c r="E715" s="38">
        <v>101</v>
      </c>
      <c r="F715" s="46">
        <v>6.2E-2</v>
      </c>
      <c r="G715" s="44">
        <v>37291</v>
      </c>
      <c r="H715" s="44">
        <v>39117</v>
      </c>
      <c r="I715" s="47">
        <v>5</v>
      </c>
      <c r="J715" s="47" t="s">
        <v>1716</v>
      </c>
      <c r="K715" s="39" t="s">
        <v>1716</v>
      </c>
      <c r="L715" s="39" t="s">
        <v>1014</v>
      </c>
      <c r="M715" s="38" t="str">
        <f t="shared" si="12"/>
        <v>Bon du Trésor</v>
      </c>
    </row>
    <row r="716" spans="1:13" x14ac:dyDescent="0.2">
      <c r="A716" s="38" t="s">
        <v>1035</v>
      </c>
      <c r="B716" s="48">
        <v>200555</v>
      </c>
      <c r="C716" s="38" t="s">
        <v>1917</v>
      </c>
      <c r="D716" s="279">
        <v>100000</v>
      </c>
      <c r="E716" s="38">
        <v>101</v>
      </c>
      <c r="F716" s="46">
        <v>4.5999999999999999E-2</v>
      </c>
      <c r="G716" s="44">
        <v>37298</v>
      </c>
      <c r="H716" s="44">
        <v>37662</v>
      </c>
      <c r="I716" s="47">
        <v>52</v>
      </c>
      <c r="J716" s="47" t="s">
        <v>369</v>
      </c>
      <c r="K716" s="39" t="s">
        <v>1716</v>
      </c>
      <c r="L716" s="39" t="s">
        <v>1014</v>
      </c>
      <c r="M716" s="38" t="str">
        <f t="shared" si="12"/>
        <v>Bon du Trésor</v>
      </c>
    </row>
    <row r="717" spans="1:13" x14ac:dyDescent="0.2">
      <c r="A717" s="38" t="s">
        <v>1035</v>
      </c>
      <c r="B717" s="48">
        <v>200557</v>
      </c>
      <c r="C717" s="38" t="s">
        <v>982</v>
      </c>
      <c r="D717" s="279">
        <v>100000</v>
      </c>
      <c r="E717" s="38">
        <v>101</v>
      </c>
      <c r="F717" s="46">
        <v>6.7000000000000004E-2</v>
      </c>
      <c r="G717" s="44">
        <v>37305</v>
      </c>
      <c r="H717" s="44">
        <v>40957</v>
      </c>
      <c r="I717" s="47">
        <v>10</v>
      </c>
      <c r="J717" s="47" t="s">
        <v>1716</v>
      </c>
      <c r="K717" s="39" t="s">
        <v>1716</v>
      </c>
      <c r="L717" s="39" t="s">
        <v>1014</v>
      </c>
      <c r="M717" s="38" t="str">
        <f t="shared" si="12"/>
        <v>Bon du Trésor</v>
      </c>
    </row>
    <row r="718" spans="1:13" x14ac:dyDescent="0.2">
      <c r="A718" s="38" t="s">
        <v>1035</v>
      </c>
      <c r="B718" s="48">
        <v>200556</v>
      </c>
      <c r="C718" s="38" t="s">
        <v>617</v>
      </c>
      <c r="D718" s="279">
        <v>100000</v>
      </c>
      <c r="E718" s="38">
        <v>101</v>
      </c>
      <c r="F718" s="46">
        <v>5.2499999999999998E-2</v>
      </c>
      <c r="G718" s="44">
        <v>37305</v>
      </c>
      <c r="H718" s="44">
        <v>38035</v>
      </c>
      <c r="I718" s="47">
        <v>2</v>
      </c>
      <c r="J718" s="47" t="s">
        <v>1716</v>
      </c>
      <c r="K718" s="39" t="s">
        <v>1716</v>
      </c>
      <c r="L718" s="39" t="s">
        <v>1014</v>
      </c>
      <c r="M718" s="38" t="str">
        <f t="shared" si="12"/>
        <v>Bon du Trésor</v>
      </c>
    </row>
    <row r="719" spans="1:13" x14ac:dyDescent="0.2">
      <c r="A719" s="38" t="s">
        <v>1035</v>
      </c>
      <c r="B719" s="48">
        <v>200589</v>
      </c>
      <c r="C719" s="38" t="s">
        <v>1501</v>
      </c>
      <c r="D719" s="279">
        <v>100000</v>
      </c>
      <c r="E719" s="38">
        <v>101</v>
      </c>
      <c r="F719" s="46">
        <v>2.9000000000000001E-2</v>
      </c>
      <c r="G719" s="44">
        <v>37550</v>
      </c>
      <c r="H719" s="44">
        <f>+G719+364</f>
        <v>37914</v>
      </c>
      <c r="I719" s="47">
        <v>52</v>
      </c>
      <c r="J719" s="47" t="s">
        <v>369</v>
      </c>
      <c r="K719" s="39" t="s">
        <v>1716</v>
      </c>
      <c r="L719" s="39" t="s">
        <v>1014</v>
      </c>
      <c r="M719" s="38" t="str">
        <f t="shared" si="12"/>
        <v>Bon du Trésor</v>
      </c>
    </row>
    <row r="720" spans="1:13" x14ac:dyDescent="0.2">
      <c r="A720" s="38" t="s">
        <v>1035</v>
      </c>
      <c r="B720" s="48">
        <v>200630</v>
      </c>
      <c r="C720" s="38" t="s">
        <v>1693</v>
      </c>
      <c r="D720" s="279">
        <v>100000</v>
      </c>
      <c r="E720" s="38">
        <v>101</v>
      </c>
      <c r="F720" s="46">
        <v>3.3500000000000002E-2</v>
      </c>
      <c r="G720" s="44">
        <v>37669</v>
      </c>
      <c r="H720" s="44">
        <f>+G720+91</f>
        <v>37760</v>
      </c>
      <c r="I720" s="47">
        <v>13</v>
      </c>
      <c r="J720" s="47" t="s">
        <v>369</v>
      </c>
      <c r="K720" s="39" t="s">
        <v>1716</v>
      </c>
      <c r="L720" s="39" t="s">
        <v>1014</v>
      </c>
      <c r="M720" s="38" t="str">
        <f t="shared" si="12"/>
        <v>Bon du Trésor</v>
      </c>
    </row>
    <row r="721" spans="1:13" x14ac:dyDescent="0.2">
      <c r="A721" s="38" t="s">
        <v>1035</v>
      </c>
      <c r="B721" s="48">
        <v>200632</v>
      </c>
      <c r="C721" s="38" t="s">
        <v>1694</v>
      </c>
      <c r="D721" s="279">
        <v>100000</v>
      </c>
      <c r="E721" s="38">
        <v>101</v>
      </c>
      <c r="F721" s="46">
        <v>3.4500000000000003E-2</v>
      </c>
      <c r="G721" s="44">
        <v>37669</v>
      </c>
      <c r="H721" s="44">
        <f>+G721+182</f>
        <v>37851</v>
      </c>
      <c r="I721" s="47">
        <v>26</v>
      </c>
      <c r="J721" s="47" t="s">
        <v>369</v>
      </c>
      <c r="K721" s="39" t="s">
        <v>1716</v>
      </c>
      <c r="L721" s="39" t="s">
        <v>1014</v>
      </c>
      <c r="M721" s="38" t="str">
        <f t="shared" si="12"/>
        <v>Bon du Trésor</v>
      </c>
    </row>
    <row r="722" spans="1:13" x14ac:dyDescent="0.2">
      <c r="A722" s="38" t="s">
        <v>1035</v>
      </c>
      <c r="B722" s="48">
        <v>200633</v>
      </c>
      <c r="C722" s="38" t="s">
        <v>1698</v>
      </c>
      <c r="D722" s="279">
        <v>100000</v>
      </c>
      <c r="E722" s="38">
        <v>101</v>
      </c>
      <c r="F722" s="46">
        <v>3.5000000000000003E-2</v>
      </c>
      <c r="G722" s="44">
        <v>37669</v>
      </c>
      <c r="H722" s="44">
        <f>+G722+182</f>
        <v>37851</v>
      </c>
      <c r="I722" s="47">
        <v>26</v>
      </c>
      <c r="J722" s="47" t="s">
        <v>369</v>
      </c>
      <c r="K722" s="39" t="s">
        <v>1716</v>
      </c>
      <c r="L722" s="39" t="s">
        <v>1014</v>
      </c>
      <c r="M722" s="38" t="str">
        <f t="shared" si="12"/>
        <v>Bon du Trésor</v>
      </c>
    </row>
    <row r="723" spans="1:13" x14ac:dyDescent="0.2">
      <c r="A723" s="38" t="s">
        <v>1035</v>
      </c>
      <c r="B723" s="48">
        <v>200634</v>
      </c>
      <c r="C723" s="38" t="s">
        <v>1699</v>
      </c>
      <c r="D723" s="279">
        <v>100000</v>
      </c>
      <c r="E723" s="38">
        <v>101</v>
      </c>
      <c r="F723" s="46">
        <v>4.1500000000000002E-2</v>
      </c>
      <c r="G723" s="44">
        <v>37669</v>
      </c>
      <c r="H723" s="44">
        <v>38400</v>
      </c>
      <c r="I723" s="47">
        <v>2</v>
      </c>
      <c r="J723" s="47" t="s">
        <v>1716</v>
      </c>
      <c r="K723" s="39" t="s">
        <v>1716</v>
      </c>
      <c r="L723" s="39" t="s">
        <v>1014</v>
      </c>
      <c r="M723" s="38" t="str">
        <f t="shared" si="12"/>
        <v>Bon du Trésor</v>
      </c>
    </row>
    <row r="724" spans="1:13" x14ac:dyDescent="0.2">
      <c r="A724" s="38" t="s">
        <v>1035</v>
      </c>
      <c r="B724" s="48">
        <v>200629</v>
      </c>
      <c r="C724" s="38" t="s">
        <v>1700</v>
      </c>
      <c r="D724" s="279">
        <v>100000</v>
      </c>
      <c r="E724" s="38">
        <v>101</v>
      </c>
      <c r="F724" s="46">
        <v>3.7499999999999999E-2</v>
      </c>
      <c r="G724" s="44">
        <v>37662</v>
      </c>
      <c r="H724" s="44">
        <f>+G724+364</f>
        <v>38026</v>
      </c>
      <c r="I724" s="47">
        <v>52</v>
      </c>
      <c r="J724" s="47" t="s">
        <v>369</v>
      </c>
      <c r="K724" s="39" t="s">
        <v>1716</v>
      </c>
      <c r="L724" s="39" t="s">
        <v>1014</v>
      </c>
      <c r="M724" s="38" t="str">
        <f t="shared" si="12"/>
        <v>Bon du Trésor</v>
      </c>
    </row>
    <row r="725" spans="1:13" x14ac:dyDescent="0.2">
      <c r="A725" s="38" t="s">
        <v>1035</v>
      </c>
      <c r="B725" s="48">
        <v>200558</v>
      </c>
      <c r="C725" s="38" t="s">
        <v>778</v>
      </c>
      <c r="D725" s="279">
        <v>100000</v>
      </c>
      <c r="E725" s="38">
        <v>101</v>
      </c>
      <c r="F725" s="46">
        <v>5.1999999999999998E-2</v>
      </c>
      <c r="G725" s="44">
        <v>37319</v>
      </c>
      <c r="H725" s="44">
        <v>38050</v>
      </c>
      <c r="I725" s="47">
        <v>2</v>
      </c>
      <c r="J725" s="47" t="s">
        <v>1716</v>
      </c>
      <c r="K725" s="39" t="s">
        <v>1716</v>
      </c>
      <c r="L725" s="39" t="s">
        <v>1014</v>
      </c>
      <c r="M725" s="38" t="str">
        <f t="shared" si="12"/>
        <v>Bon du Trésor</v>
      </c>
    </row>
    <row r="726" spans="1:13" x14ac:dyDescent="0.2">
      <c r="A726" s="38" t="s">
        <v>1035</v>
      </c>
      <c r="B726" s="38">
        <v>200503</v>
      </c>
      <c r="C726" s="38" t="s">
        <v>961</v>
      </c>
      <c r="D726" s="279">
        <v>100000</v>
      </c>
      <c r="E726" s="38">
        <v>101</v>
      </c>
      <c r="F726" s="40">
        <v>4.5999999999999999E-2</v>
      </c>
      <c r="G726" s="44">
        <v>37165</v>
      </c>
      <c r="H726" s="44">
        <v>37256</v>
      </c>
      <c r="I726" s="45">
        <v>13</v>
      </c>
      <c r="J726" s="45" t="s">
        <v>369</v>
      </c>
      <c r="K726" s="39" t="s">
        <v>1716</v>
      </c>
      <c r="L726" s="39" t="s">
        <v>1014</v>
      </c>
      <c r="M726" s="38" t="str">
        <f t="shared" si="12"/>
        <v>Bon du Trésor</v>
      </c>
    </row>
    <row r="727" spans="1:13" x14ac:dyDescent="0.2">
      <c r="A727" s="38" t="s">
        <v>1035</v>
      </c>
      <c r="B727" s="38">
        <v>200497</v>
      </c>
      <c r="C727" s="38" t="s">
        <v>962</v>
      </c>
      <c r="D727" s="279">
        <v>100000</v>
      </c>
      <c r="E727" s="38">
        <v>101</v>
      </c>
      <c r="F727" s="40">
        <v>4.8500000000000001E-2</v>
      </c>
      <c r="G727" s="44">
        <v>37151</v>
      </c>
      <c r="H727" s="44">
        <v>37333</v>
      </c>
      <c r="I727" s="45">
        <v>26</v>
      </c>
      <c r="J727" s="45" t="s">
        <v>369</v>
      </c>
      <c r="K727" s="39" t="s">
        <v>1716</v>
      </c>
      <c r="L727" s="39" t="s">
        <v>1014</v>
      </c>
      <c r="M727" s="38" t="str">
        <f t="shared" si="12"/>
        <v>Bon du Trésor</v>
      </c>
    </row>
    <row r="728" spans="1:13" x14ac:dyDescent="0.2">
      <c r="A728" s="38" t="s">
        <v>1035</v>
      </c>
      <c r="B728" s="38">
        <v>200511</v>
      </c>
      <c r="C728" s="38" t="s">
        <v>396</v>
      </c>
      <c r="D728" s="279">
        <v>100000</v>
      </c>
      <c r="E728" s="38">
        <v>101</v>
      </c>
      <c r="F728" s="40">
        <v>4.5999999999999999E-2</v>
      </c>
      <c r="G728" s="44">
        <v>37172</v>
      </c>
      <c r="H728" s="44">
        <v>37263</v>
      </c>
      <c r="I728" s="45">
        <v>13</v>
      </c>
      <c r="J728" s="45" t="s">
        <v>369</v>
      </c>
      <c r="K728" s="39" t="s">
        <v>1716</v>
      </c>
      <c r="L728" s="39" t="s">
        <v>1014</v>
      </c>
      <c r="M728" s="38" t="str">
        <f t="shared" si="12"/>
        <v>Bon du Trésor</v>
      </c>
    </row>
    <row r="729" spans="1:13" x14ac:dyDescent="0.2">
      <c r="A729" s="38" t="s">
        <v>1035</v>
      </c>
      <c r="B729" s="38">
        <v>200517</v>
      </c>
      <c r="C729" s="38" t="s">
        <v>1375</v>
      </c>
      <c r="D729" s="279">
        <v>100000</v>
      </c>
      <c r="E729" s="38">
        <v>101</v>
      </c>
      <c r="F729" s="40">
        <v>4.9000000000000002E-2</v>
      </c>
      <c r="G729" s="44">
        <v>37172</v>
      </c>
      <c r="H729" s="44">
        <v>37354</v>
      </c>
      <c r="I729" s="45">
        <v>26</v>
      </c>
      <c r="J729" s="45" t="s">
        <v>369</v>
      </c>
      <c r="K729" s="39" t="s">
        <v>1716</v>
      </c>
      <c r="L729" s="39" t="s">
        <v>1014</v>
      </c>
      <c r="M729" s="38" t="str">
        <f t="shared" si="12"/>
        <v>Bon du Trésor</v>
      </c>
    </row>
    <row r="730" spans="1:13" x14ac:dyDescent="0.2">
      <c r="A730" s="38" t="s">
        <v>1035</v>
      </c>
      <c r="B730" s="38">
        <v>200570</v>
      </c>
      <c r="C730" s="38" t="s">
        <v>1196</v>
      </c>
      <c r="D730" s="279">
        <v>100000</v>
      </c>
      <c r="E730" s="38">
        <v>101</v>
      </c>
      <c r="F730" s="40">
        <v>3.1699999999999999E-2</v>
      </c>
      <c r="G730" s="44">
        <v>37452</v>
      </c>
      <c r="H730" s="44">
        <v>37634</v>
      </c>
      <c r="I730" s="45">
        <v>26</v>
      </c>
      <c r="J730" s="45" t="s">
        <v>369</v>
      </c>
      <c r="K730" s="39" t="s">
        <v>1716</v>
      </c>
      <c r="L730" s="39" t="s">
        <v>1014</v>
      </c>
      <c r="M730" s="38" t="str">
        <f t="shared" si="12"/>
        <v>Bon du Trésor</v>
      </c>
    </row>
    <row r="731" spans="1:13" x14ac:dyDescent="0.2">
      <c r="A731" s="38" t="s">
        <v>1035</v>
      </c>
      <c r="B731" s="38">
        <v>200506</v>
      </c>
      <c r="C731" s="38" t="s">
        <v>1376</v>
      </c>
      <c r="D731" s="279">
        <v>100000</v>
      </c>
      <c r="E731" s="38">
        <v>101</v>
      </c>
      <c r="F731" s="40">
        <v>4.9000000000000002E-2</v>
      </c>
      <c r="G731" s="44">
        <v>37165</v>
      </c>
      <c r="H731" s="44">
        <v>37347</v>
      </c>
      <c r="I731" s="45">
        <v>26</v>
      </c>
      <c r="J731" s="45" t="s">
        <v>369</v>
      </c>
      <c r="K731" s="39" t="s">
        <v>1716</v>
      </c>
      <c r="L731" s="39" t="s">
        <v>1014</v>
      </c>
      <c r="M731" s="38" t="str">
        <f t="shared" si="12"/>
        <v>Bon du Trésor</v>
      </c>
    </row>
    <row r="732" spans="1:13" x14ac:dyDescent="0.2">
      <c r="A732" s="38" t="s">
        <v>1035</v>
      </c>
      <c r="B732" s="38">
        <v>200552</v>
      </c>
      <c r="C732" s="38" t="s">
        <v>1929</v>
      </c>
      <c r="D732" s="279">
        <v>100000</v>
      </c>
      <c r="E732" s="38">
        <v>101</v>
      </c>
      <c r="F732" s="40">
        <v>5.2999999999999999E-2</v>
      </c>
      <c r="G732" s="44">
        <v>37291</v>
      </c>
      <c r="H732" s="44">
        <v>38021</v>
      </c>
      <c r="I732" s="45">
        <v>2</v>
      </c>
      <c r="J732" s="45" t="s">
        <v>1716</v>
      </c>
      <c r="K732" s="39" t="s">
        <v>1716</v>
      </c>
      <c r="L732" s="39" t="s">
        <v>1014</v>
      </c>
      <c r="M732" s="38" t="str">
        <f t="shared" si="12"/>
        <v>Bon du Trésor</v>
      </c>
    </row>
    <row r="733" spans="1:13" x14ac:dyDescent="0.2">
      <c r="A733" s="38" t="s">
        <v>1035</v>
      </c>
      <c r="B733" s="38">
        <v>200554</v>
      </c>
      <c r="C733" s="38" t="s">
        <v>707</v>
      </c>
      <c r="D733" s="279">
        <v>100000</v>
      </c>
      <c r="E733" s="38">
        <v>101</v>
      </c>
      <c r="F733" s="40">
        <v>7.0999999999999994E-2</v>
      </c>
      <c r="G733" s="44">
        <v>37291</v>
      </c>
      <c r="H733" s="44">
        <v>42770</v>
      </c>
      <c r="I733" s="45">
        <v>15</v>
      </c>
      <c r="J733" s="45" t="s">
        <v>1716</v>
      </c>
      <c r="K733" s="39" t="s">
        <v>1716</v>
      </c>
      <c r="L733" s="39" t="s">
        <v>1716</v>
      </c>
      <c r="M733" s="38" t="str">
        <f t="shared" si="12"/>
        <v>Bon du Trésor</v>
      </c>
    </row>
    <row r="734" spans="1:13" x14ac:dyDescent="0.2">
      <c r="A734" s="38" t="s">
        <v>1035</v>
      </c>
      <c r="B734" s="38">
        <v>200559</v>
      </c>
      <c r="C734" s="38" t="s">
        <v>1925</v>
      </c>
      <c r="D734" s="279">
        <v>100000</v>
      </c>
      <c r="E734" s="38">
        <v>101</v>
      </c>
      <c r="F734" s="40">
        <v>6.0999999999999999E-2</v>
      </c>
      <c r="G734" s="44">
        <v>37319</v>
      </c>
      <c r="H734" s="44">
        <v>39145</v>
      </c>
      <c r="I734" s="45">
        <v>5</v>
      </c>
      <c r="J734" s="45" t="s">
        <v>1716</v>
      </c>
      <c r="K734" s="39" t="s">
        <v>1716</v>
      </c>
      <c r="L734" s="39" t="s">
        <v>1014</v>
      </c>
      <c r="M734" s="38" t="str">
        <f t="shared" si="12"/>
        <v>Bon du Trésor</v>
      </c>
    </row>
    <row r="735" spans="1:13" x14ac:dyDescent="0.2">
      <c r="A735" s="38" t="s">
        <v>1035</v>
      </c>
      <c r="B735" s="38">
        <v>200560</v>
      </c>
      <c r="C735" s="38" t="s">
        <v>1410</v>
      </c>
      <c r="D735" s="279">
        <v>100000</v>
      </c>
      <c r="E735" s="38">
        <v>101</v>
      </c>
      <c r="F735" s="40">
        <v>5.0999999999999997E-2</v>
      </c>
      <c r="G735" s="44">
        <v>37347</v>
      </c>
      <c r="H735" s="44">
        <v>38078</v>
      </c>
      <c r="I735" s="45">
        <v>2</v>
      </c>
      <c r="J735" s="45" t="s">
        <v>1716</v>
      </c>
      <c r="K735" s="39" t="s">
        <v>1716</v>
      </c>
      <c r="L735" s="39" t="s">
        <v>1014</v>
      </c>
      <c r="M735" s="38" t="str">
        <f t="shared" si="12"/>
        <v>Bon du Trésor</v>
      </c>
    </row>
    <row r="736" spans="1:13" x14ac:dyDescent="0.2">
      <c r="A736" s="38" t="s">
        <v>1035</v>
      </c>
      <c r="B736" s="38">
        <v>200563</v>
      </c>
      <c r="C736" s="38" t="s">
        <v>1709</v>
      </c>
      <c r="D736" s="279">
        <v>100000</v>
      </c>
      <c r="E736" s="38">
        <v>101</v>
      </c>
      <c r="F736" s="40">
        <v>0.06</v>
      </c>
      <c r="G736" s="44">
        <v>37361</v>
      </c>
      <c r="H736" s="44">
        <v>39187</v>
      </c>
      <c r="I736" s="45">
        <v>5</v>
      </c>
      <c r="J736" s="45" t="s">
        <v>1716</v>
      </c>
      <c r="K736" s="39" t="s">
        <v>1716</v>
      </c>
      <c r="L736" s="39" t="s">
        <v>1014</v>
      </c>
      <c r="M736" s="38" t="str">
        <f t="shared" si="12"/>
        <v>Bon du Trésor</v>
      </c>
    </row>
    <row r="737" spans="1:13" x14ac:dyDescent="0.2">
      <c r="A737" s="38" t="s">
        <v>1035</v>
      </c>
      <c r="B737" s="38">
        <v>200564</v>
      </c>
      <c r="C737" s="38" t="s">
        <v>1424</v>
      </c>
      <c r="D737" s="279">
        <v>100000</v>
      </c>
      <c r="E737" s="38">
        <v>101</v>
      </c>
      <c r="F737" s="40">
        <v>0.04</v>
      </c>
      <c r="G737" s="44">
        <v>37375</v>
      </c>
      <c r="H737" s="44">
        <v>37739</v>
      </c>
      <c r="I737" s="45">
        <v>52</v>
      </c>
      <c r="J737" s="45" t="s">
        <v>369</v>
      </c>
      <c r="K737" s="39" t="s">
        <v>1716</v>
      </c>
      <c r="L737" s="39" t="s">
        <v>1014</v>
      </c>
      <c r="M737" s="38" t="str">
        <f t="shared" si="12"/>
        <v>Bon du Trésor</v>
      </c>
    </row>
    <row r="738" spans="1:13" x14ac:dyDescent="0.2">
      <c r="A738" s="38" t="s">
        <v>1035</v>
      </c>
      <c r="B738" s="38">
        <v>200565</v>
      </c>
      <c r="C738" s="38" t="s">
        <v>1369</v>
      </c>
      <c r="D738" s="279">
        <v>100000</v>
      </c>
      <c r="E738" s="38">
        <v>101</v>
      </c>
      <c r="F738" s="46">
        <v>5.8500000000000003E-2</v>
      </c>
      <c r="G738" s="44">
        <v>37410</v>
      </c>
      <c r="H738" s="44">
        <v>39236</v>
      </c>
      <c r="I738" s="47">
        <v>5</v>
      </c>
      <c r="J738" s="47" t="s">
        <v>1716</v>
      </c>
      <c r="K738" s="39" t="s">
        <v>1716</v>
      </c>
      <c r="L738" s="39" t="s">
        <v>1014</v>
      </c>
      <c r="M738" s="38" t="str">
        <f t="shared" si="12"/>
        <v>Bon du Trésor</v>
      </c>
    </row>
    <row r="739" spans="1:13" x14ac:dyDescent="0.2">
      <c r="A739" s="38" t="s">
        <v>1035</v>
      </c>
      <c r="B739" s="38">
        <v>200530</v>
      </c>
      <c r="C739" s="38" t="s">
        <v>257</v>
      </c>
      <c r="D739" s="279">
        <v>100000</v>
      </c>
      <c r="E739" s="38">
        <v>101</v>
      </c>
      <c r="F739" s="46">
        <v>0.05</v>
      </c>
      <c r="G739" s="44">
        <v>37200</v>
      </c>
      <c r="H739" s="44">
        <v>37564</v>
      </c>
      <c r="I739" s="47">
        <v>52</v>
      </c>
      <c r="J739" s="47" t="s">
        <v>369</v>
      </c>
      <c r="K739" s="39" t="s">
        <v>1716</v>
      </c>
      <c r="L739" s="39" t="s">
        <v>1014</v>
      </c>
      <c r="M739" s="38" t="str">
        <f t="shared" si="12"/>
        <v>Bon du Trésor</v>
      </c>
    </row>
    <row r="740" spans="1:13" x14ac:dyDescent="0.2">
      <c r="A740" s="38" t="s">
        <v>1035</v>
      </c>
      <c r="B740" s="38">
        <v>200569</v>
      </c>
      <c r="C740" s="38" t="s">
        <v>356</v>
      </c>
      <c r="D740" s="279">
        <v>100000</v>
      </c>
      <c r="E740" s="38">
        <v>101</v>
      </c>
      <c r="F740" s="46">
        <v>5.6000000000000001E-2</v>
      </c>
      <c r="G740" s="44">
        <v>37438</v>
      </c>
      <c r="H740" s="44">
        <v>39264</v>
      </c>
      <c r="I740" s="47">
        <v>5</v>
      </c>
      <c r="J740" s="47" t="s">
        <v>1716</v>
      </c>
      <c r="K740" s="39" t="s">
        <v>1716</v>
      </c>
      <c r="L740" s="39" t="s">
        <v>1014</v>
      </c>
      <c r="M740" s="38" t="str">
        <f t="shared" si="12"/>
        <v>Bon du Trésor</v>
      </c>
    </row>
    <row r="741" spans="1:13" x14ac:dyDescent="0.2">
      <c r="A741" s="38" t="s">
        <v>1035</v>
      </c>
      <c r="B741" s="38">
        <v>200581</v>
      </c>
      <c r="C741" s="38" t="s">
        <v>1238</v>
      </c>
      <c r="D741" s="279">
        <v>100000</v>
      </c>
      <c r="E741" s="38">
        <v>101</v>
      </c>
      <c r="F741" s="46">
        <v>6.4000000000000001E-2</v>
      </c>
      <c r="G741" s="44">
        <v>37487</v>
      </c>
      <c r="H741" s="44">
        <v>41140</v>
      </c>
      <c r="I741" s="47">
        <v>10</v>
      </c>
      <c r="J741" s="47" t="s">
        <v>1716</v>
      </c>
      <c r="K741" s="39" t="s">
        <v>1716</v>
      </c>
      <c r="L741" s="39" t="s">
        <v>1014</v>
      </c>
      <c r="M741" s="38" t="str">
        <f t="shared" si="12"/>
        <v>Bon du Trésor</v>
      </c>
    </row>
    <row r="742" spans="1:13" x14ac:dyDescent="0.2">
      <c r="A742" s="38" t="s">
        <v>1035</v>
      </c>
      <c r="B742" s="38">
        <v>200591</v>
      </c>
      <c r="C742" s="38" t="s">
        <v>926</v>
      </c>
      <c r="D742" s="279">
        <v>100000</v>
      </c>
      <c r="E742" s="38">
        <v>101</v>
      </c>
      <c r="F742" s="46">
        <v>2.5000000000000001E-2</v>
      </c>
      <c r="G742" s="44">
        <v>37571</v>
      </c>
      <c r="H742" s="44">
        <f>+G742+91</f>
        <v>37662</v>
      </c>
      <c r="I742" s="47">
        <v>13</v>
      </c>
      <c r="J742" s="47" t="s">
        <v>369</v>
      </c>
      <c r="K742" s="39" t="s">
        <v>1716</v>
      </c>
      <c r="L742" s="39" t="s">
        <v>1014</v>
      </c>
      <c r="M742" s="38" t="str">
        <f t="shared" si="12"/>
        <v>Bon du Trésor</v>
      </c>
    </row>
    <row r="743" spans="1:13" x14ac:dyDescent="0.2">
      <c r="A743" s="38" t="s">
        <v>1035</v>
      </c>
      <c r="B743" s="38">
        <v>200603</v>
      </c>
      <c r="C743" s="38" t="s">
        <v>946</v>
      </c>
      <c r="D743" s="279">
        <v>100000</v>
      </c>
      <c r="E743" s="38">
        <v>101</v>
      </c>
      <c r="F743" s="46">
        <v>2.4500000000000001E-2</v>
      </c>
      <c r="G743" s="44">
        <v>37613</v>
      </c>
      <c r="H743" s="44">
        <f>+G743+91</f>
        <v>37704</v>
      </c>
      <c r="I743" s="47">
        <v>13</v>
      </c>
      <c r="J743" s="47" t="s">
        <v>369</v>
      </c>
      <c r="K743" s="39" t="s">
        <v>1716</v>
      </c>
      <c r="L743" s="39" t="s">
        <v>1014</v>
      </c>
      <c r="M743" s="38" t="str">
        <f t="shared" si="12"/>
        <v>Bon du Trésor</v>
      </c>
    </row>
    <row r="744" spans="1:13" x14ac:dyDescent="0.2">
      <c r="A744" s="38" t="s">
        <v>1035</v>
      </c>
      <c r="B744" s="38">
        <v>200609</v>
      </c>
      <c r="C744" s="38" t="s">
        <v>666</v>
      </c>
      <c r="D744" s="279">
        <v>100000</v>
      </c>
      <c r="E744" s="38">
        <v>101</v>
      </c>
      <c r="F744" s="46">
        <v>2.5999999999999999E-2</v>
      </c>
      <c r="G744" s="44">
        <v>37613</v>
      </c>
      <c r="H744" s="44">
        <f>+G744+182</f>
        <v>37795</v>
      </c>
      <c r="I744" s="47">
        <v>26</v>
      </c>
      <c r="J744" s="47" t="s">
        <v>369</v>
      </c>
      <c r="K744" s="39" t="s">
        <v>1716</v>
      </c>
      <c r="L744" s="39" t="s">
        <v>1014</v>
      </c>
      <c r="M744" s="38" t="str">
        <f t="shared" si="12"/>
        <v>Bon du Trésor</v>
      </c>
    </row>
    <row r="745" spans="1:13" x14ac:dyDescent="0.2">
      <c r="A745" s="38" t="s">
        <v>1035</v>
      </c>
      <c r="B745" s="38">
        <v>140011</v>
      </c>
      <c r="C745" s="38" t="s">
        <v>357</v>
      </c>
      <c r="D745" s="279">
        <v>100000</v>
      </c>
      <c r="E745" s="38">
        <v>101</v>
      </c>
      <c r="F745" s="46">
        <v>3.7999999999999999E-2</v>
      </c>
      <c r="G745" s="44">
        <v>37468</v>
      </c>
      <c r="H745" s="44">
        <f>+G745+91</f>
        <v>37559</v>
      </c>
      <c r="I745" s="47">
        <v>13</v>
      </c>
      <c r="J745" s="47" t="s">
        <v>369</v>
      </c>
      <c r="K745" s="39" t="s">
        <v>1716</v>
      </c>
      <c r="L745" s="39" t="s">
        <v>1014</v>
      </c>
      <c r="M745" s="38" t="str">
        <f t="shared" si="12"/>
        <v>Bon du Trésor</v>
      </c>
    </row>
    <row r="746" spans="1:13" x14ac:dyDescent="0.2">
      <c r="A746" s="38" t="s">
        <v>1035</v>
      </c>
      <c r="B746" s="38">
        <v>200584</v>
      </c>
      <c r="C746" s="38" t="s">
        <v>284</v>
      </c>
      <c r="D746" s="279">
        <v>100000</v>
      </c>
      <c r="E746" s="38">
        <v>101</v>
      </c>
      <c r="F746" s="46">
        <v>3.04E-2</v>
      </c>
      <c r="G746" s="44">
        <v>37501</v>
      </c>
      <c r="H746" s="44">
        <f>+G746+182</f>
        <v>37683</v>
      </c>
      <c r="I746" s="47">
        <v>26</v>
      </c>
      <c r="J746" s="47" t="s">
        <v>369</v>
      </c>
      <c r="K746" s="39" t="s">
        <v>1716</v>
      </c>
      <c r="L746" s="39" t="s">
        <v>1014</v>
      </c>
      <c r="M746" s="38" t="str">
        <f t="shared" si="12"/>
        <v>Bon du Trésor</v>
      </c>
    </row>
    <row r="747" spans="1:13" x14ac:dyDescent="0.2">
      <c r="A747" s="38" t="s">
        <v>1035</v>
      </c>
      <c r="B747" s="38">
        <v>200587</v>
      </c>
      <c r="C747" s="38" t="s">
        <v>1214</v>
      </c>
      <c r="D747" s="279">
        <v>100000</v>
      </c>
      <c r="E747" s="38">
        <v>101</v>
      </c>
      <c r="F747" s="46">
        <v>3.04E-2</v>
      </c>
      <c r="G747" s="44">
        <v>37508</v>
      </c>
      <c r="H747" s="44">
        <f>+G747+182</f>
        <v>37690</v>
      </c>
      <c r="I747" s="47">
        <v>26</v>
      </c>
      <c r="J747" s="47" t="s">
        <v>369</v>
      </c>
      <c r="K747" s="39" t="s">
        <v>1716</v>
      </c>
      <c r="L747" s="39" t="s">
        <v>1014</v>
      </c>
      <c r="M747" s="38" t="str">
        <f t="shared" si="12"/>
        <v>Bon du Trésor</v>
      </c>
    </row>
    <row r="748" spans="1:13" x14ac:dyDescent="0.2">
      <c r="A748" s="38" t="s">
        <v>1035</v>
      </c>
      <c r="B748" s="38">
        <v>200651</v>
      </c>
      <c r="C748" s="38" t="s">
        <v>185</v>
      </c>
      <c r="D748" s="279">
        <v>100000</v>
      </c>
      <c r="E748" s="38">
        <v>101</v>
      </c>
      <c r="F748" s="46">
        <v>3.4500000000000003E-2</v>
      </c>
      <c r="G748" s="44">
        <v>37725</v>
      </c>
      <c r="H748" s="44">
        <f>+G748+91</f>
        <v>37816</v>
      </c>
      <c r="I748" s="47">
        <v>13</v>
      </c>
      <c r="J748" s="47" t="s">
        <v>369</v>
      </c>
      <c r="K748" s="39" t="s">
        <v>1716</v>
      </c>
      <c r="L748" s="39" t="s">
        <v>1014</v>
      </c>
      <c r="M748" s="38" t="str">
        <f t="shared" si="12"/>
        <v>Bon du Trésor</v>
      </c>
    </row>
    <row r="749" spans="1:13" x14ac:dyDescent="0.2">
      <c r="A749" s="38" t="s">
        <v>1035</v>
      </c>
      <c r="B749" s="38">
        <v>200652</v>
      </c>
      <c r="C749" s="38" t="s">
        <v>18</v>
      </c>
      <c r="D749" s="279">
        <v>100000</v>
      </c>
      <c r="E749" s="38">
        <v>101</v>
      </c>
      <c r="F749" s="46">
        <v>3.7499999999999999E-2</v>
      </c>
      <c r="G749" s="44">
        <v>37725</v>
      </c>
      <c r="H749" s="44">
        <f>+G749+182</f>
        <v>37907</v>
      </c>
      <c r="I749" s="47">
        <v>26</v>
      </c>
      <c r="J749" s="47" t="s">
        <v>369</v>
      </c>
      <c r="K749" s="39" t="s">
        <v>1716</v>
      </c>
      <c r="L749" s="39" t="s">
        <v>1014</v>
      </c>
      <c r="M749" s="38" t="str">
        <f t="shared" si="12"/>
        <v>Bon du Trésor</v>
      </c>
    </row>
    <row r="750" spans="1:13" x14ac:dyDescent="0.2">
      <c r="A750" s="38" t="s">
        <v>1035</v>
      </c>
      <c r="B750" s="38">
        <v>200654</v>
      </c>
      <c r="C750" s="38" t="s">
        <v>446</v>
      </c>
      <c r="D750" s="279">
        <v>100000</v>
      </c>
      <c r="E750" s="38">
        <v>101</v>
      </c>
      <c r="F750" s="46">
        <v>4.2000000000000003E-2</v>
      </c>
      <c r="G750" s="44">
        <v>37725</v>
      </c>
      <c r="H750" s="44">
        <f>+G750+364</f>
        <v>38089</v>
      </c>
      <c r="I750" s="47">
        <v>52</v>
      </c>
      <c r="J750" s="47" t="s">
        <v>369</v>
      </c>
      <c r="K750" s="39" t="s">
        <v>1716</v>
      </c>
      <c r="L750" s="39" t="s">
        <v>1014</v>
      </c>
      <c r="M750" s="38" t="str">
        <f t="shared" si="12"/>
        <v>Bon du Trésor</v>
      </c>
    </row>
    <row r="751" spans="1:13" x14ac:dyDescent="0.2">
      <c r="A751" s="38" t="s">
        <v>1035</v>
      </c>
      <c r="B751" s="38">
        <v>200624</v>
      </c>
      <c r="C751" s="38" t="s">
        <v>627</v>
      </c>
      <c r="D751" s="279">
        <v>100000</v>
      </c>
      <c r="E751" s="38">
        <v>101</v>
      </c>
      <c r="F751" s="46">
        <v>4.9500000000000002E-2</v>
      </c>
      <c r="G751" s="44">
        <v>37655</v>
      </c>
      <c r="H751" s="44">
        <v>39481</v>
      </c>
      <c r="I751" s="47">
        <v>5</v>
      </c>
      <c r="J751" s="47" t="s">
        <v>1716</v>
      </c>
      <c r="K751" s="39" t="s">
        <v>1716</v>
      </c>
      <c r="L751" s="39" t="s">
        <v>1014</v>
      </c>
      <c r="M751" s="38" t="str">
        <f t="shared" si="12"/>
        <v>Bon du Trésor</v>
      </c>
    </row>
    <row r="752" spans="1:13" x14ac:dyDescent="0.2">
      <c r="A752" s="38" t="s">
        <v>1035</v>
      </c>
      <c r="B752" s="38">
        <v>200533</v>
      </c>
      <c r="C752" s="38" t="s">
        <v>629</v>
      </c>
      <c r="D752" s="279">
        <v>100000</v>
      </c>
      <c r="E752" s="38">
        <v>101</v>
      </c>
      <c r="F752" s="46">
        <v>6.2E-2</v>
      </c>
      <c r="G752" s="44">
        <v>37214</v>
      </c>
      <c r="H752" s="44">
        <v>39040</v>
      </c>
      <c r="I752" s="47">
        <v>5</v>
      </c>
      <c r="J752" s="47" t="s">
        <v>1716</v>
      </c>
      <c r="K752" s="39" t="s">
        <v>1716</v>
      </c>
      <c r="L752" s="39" t="s">
        <v>1014</v>
      </c>
      <c r="M752" s="38" t="str">
        <f t="shared" si="12"/>
        <v>Bon du Trésor</v>
      </c>
    </row>
    <row r="753" spans="1:13" x14ac:dyDescent="0.2">
      <c r="A753" s="38" t="s">
        <v>1035</v>
      </c>
      <c r="B753" s="38">
        <v>200663</v>
      </c>
      <c r="C753" s="38" t="s">
        <v>34</v>
      </c>
      <c r="D753" s="279">
        <v>100000</v>
      </c>
      <c r="E753" s="38">
        <v>101</v>
      </c>
      <c r="F753" s="46">
        <v>3.85E-2</v>
      </c>
      <c r="G753" s="44">
        <v>37753</v>
      </c>
      <c r="H753" s="44">
        <f>+G753+364</f>
        <v>38117</v>
      </c>
      <c r="I753" s="47">
        <v>52</v>
      </c>
      <c r="J753" s="47" t="s">
        <v>369</v>
      </c>
      <c r="K753" s="39" t="s">
        <v>1716</v>
      </c>
      <c r="L753" s="39" t="s">
        <v>1014</v>
      </c>
      <c r="M753" s="38" t="str">
        <f t="shared" si="12"/>
        <v>Bon du Trésor</v>
      </c>
    </row>
    <row r="754" spans="1:13" x14ac:dyDescent="0.2">
      <c r="A754" s="38" t="s">
        <v>1035</v>
      </c>
      <c r="B754" s="38">
        <v>200615</v>
      </c>
      <c r="C754" s="38" t="s">
        <v>35</v>
      </c>
      <c r="D754" s="279">
        <v>100000</v>
      </c>
      <c r="E754" s="38">
        <v>101</v>
      </c>
      <c r="F754" s="46">
        <v>5.8999999999999997E-2</v>
      </c>
      <c r="G754" s="44">
        <v>37627</v>
      </c>
      <c r="H754" s="44">
        <v>41280</v>
      </c>
      <c r="I754" s="47">
        <v>10</v>
      </c>
      <c r="J754" s="47" t="s">
        <v>1716</v>
      </c>
      <c r="K754" s="39" t="s">
        <v>1716</v>
      </c>
      <c r="L754" s="39" t="s">
        <v>1014</v>
      </c>
      <c r="M754" s="38" t="str">
        <f t="shared" si="12"/>
        <v>Bon du Trésor</v>
      </c>
    </row>
    <row r="755" spans="1:13" x14ac:dyDescent="0.2">
      <c r="A755" s="38" t="s">
        <v>1035</v>
      </c>
      <c r="B755" s="38">
        <v>200580</v>
      </c>
      <c r="C755" s="38" t="s">
        <v>38</v>
      </c>
      <c r="D755" s="279">
        <v>100000</v>
      </c>
      <c r="E755" s="38">
        <v>101</v>
      </c>
      <c r="F755" s="46">
        <v>5.5E-2</v>
      </c>
      <c r="G755" s="44">
        <v>37487</v>
      </c>
      <c r="H755" s="44">
        <v>39313</v>
      </c>
      <c r="I755" s="47">
        <v>5</v>
      </c>
      <c r="J755" s="47" t="s">
        <v>1716</v>
      </c>
      <c r="K755" s="39" t="s">
        <v>1716</v>
      </c>
      <c r="L755" s="39" t="s">
        <v>1014</v>
      </c>
      <c r="M755" s="38" t="str">
        <f t="shared" si="12"/>
        <v>Bon du Trésor</v>
      </c>
    </row>
    <row r="756" spans="1:13" x14ac:dyDescent="0.2">
      <c r="A756" s="38" t="s">
        <v>1035</v>
      </c>
      <c r="B756" s="38">
        <v>200568</v>
      </c>
      <c r="C756" s="38" t="s">
        <v>1239</v>
      </c>
      <c r="D756" s="279">
        <v>100000</v>
      </c>
      <c r="E756" s="38">
        <v>101</v>
      </c>
      <c r="F756" s="46">
        <v>4.4499999999999998E-2</v>
      </c>
      <c r="G756" s="44">
        <v>37438</v>
      </c>
      <c r="H756" s="44">
        <v>38169</v>
      </c>
      <c r="I756" s="47">
        <v>2</v>
      </c>
      <c r="J756" s="47" t="s">
        <v>1716</v>
      </c>
      <c r="K756" s="39" t="s">
        <v>1716</v>
      </c>
      <c r="L756" s="39" t="s">
        <v>1014</v>
      </c>
      <c r="M756" s="38" t="str">
        <f t="shared" si="12"/>
        <v>Bon du Trésor</v>
      </c>
    </row>
    <row r="757" spans="1:13" x14ac:dyDescent="0.2">
      <c r="A757" s="38" t="s">
        <v>1035</v>
      </c>
      <c r="B757" s="38">
        <v>200667</v>
      </c>
      <c r="C757" s="38" t="s">
        <v>1112</v>
      </c>
      <c r="D757" s="279">
        <v>100000</v>
      </c>
      <c r="E757" s="38">
        <v>101</v>
      </c>
      <c r="F757" s="46">
        <v>4.8000000000000001E-2</v>
      </c>
      <c r="G757" s="44">
        <v>37788</v>
      </c>
      <c r="H757" s="44">
        <v>39615</v>
      </c>
      <c r="I757" s="47">
        <v>5</v>
      </c>
      <c r="J757" s="47" t="s">
        <v>1716</v>
      </c>
      <c r="K757" s="39" t="s">
        <v>1716</v>
      </c>
      <c r="L757" s="39" t="s">
        <v>1014</v>
      </c>
      <c r="M757" s="38" t="str">
        <f t="shared" si="12"/>
        <v>Bon du Trésor</v>
      </c>
    </row>
    <row r="758" spans="1:13" x14ac:dyDescent="0.2">
      <c r="A758" s="38" t="s">
        <v>1035</v>
      </c>
      <c r="B758" s="38">
        <v>200588</v>
      </c>
      <c r="C758" s="38" t="s">
        <v>1330</v>
      </c>
      <c r="D758" s="279">
        <v>100000</v>
      </c>
      <c r="E758" s="38">
        <v>101</v>
      </c>
      <c r="F758" s="46">
        <v>6.9000000000000006E-2</v>
      </c>
      <c r="G758" s="44">
        <v>37543</v>
      </c>
      <c r="H758" s="44">
        <v>43022</v>
      </c>
      <c r="I758" s="47">
        <v>15</v>
      </c>
      <c r="J758" s="47" t="s">
        <v>1716</v>
      </c>
      <c r="K758" s="39" t="s">
        <v>1716</v>
      </c>
      <c r="L758" s="39" t="s">
        <v>1014</v>
      </c>
      <c r="M758" s="38" t="str">
        <f t="shared" si="12"/>
        <v>Bon du Trésor</v>
      </c>
    </row>
    <row r="759" spans="1:13" x14ac:dyDescent="0.2">
      <c r="A759" s="38" t="s">
        <v>581</v>
      </c>
      <c r="B759" s="38">
        <v>400034</v>
      </c>
      <c r="C759" s="38" t="s">
        <v>1921</v>
      </c>
      <c r="D759" s="279">
        <v>5000</v>
      </c>
      <c r="E759" s="38">
        <v>101</v>
      </c>
      <c r="F759" s="40">
        <v>0.1</v>
      </c>
      <c r="G759" s="44">
        <v>35342</v>
      </c>
      <c r="H759" s="44">
        <v>37168</v>
      </c>
      <c r="I759" s="45">
        <v>5</v>
      </c>
      <c r="J759" s="45" t="s">
        <v>1716</v>
      </c>
      <c r="K759" s="39" t="s">
        <v>1716</v>
      </c>
      <c r="L759" s="39" t="s">
        <v>1014</v>
      </c>
      <c r="M759" s="38" t="str">
        <f t="shared" si="12"/>
        <v>Emprunt national</v>
      </c>
    </row>
    <row r="760" spans="1:13" x14ac:dyDescent="0.2">
      <c r="A760" s="38" t="s">
        <v>581</v>
      </c>
      <c r="B760" s="38">
        <v>400035</v>
      </c>
      <c r="C760" s="38" t="s">
        <v>1922</v>
      </c>
      <c r="D760" s="279">
        <v>50000</v>
      </c>
      <c r="E760" s="38">
        <v>101</v>
      </c>
      <c r="F760" s="40">
        <v>0.1</v>
      </c>
      <c r="G760" s="44">
        <v>35342</v>
      </c>
      <c r="H760" s="44">
        <v>37168</v>
      </c>
      <c r="I760" s="45">
        <v>5</v>
      </c>
      <c r="J760" s="45" t="s">
        <v>1716</v>
      </c>
      <c r="K760" s="39" t="s">
        <v>1716</v>
      </c>
      <c r="L760" s="39" t="s">
        <v>1014</v>
      </c>
      <c r="M760" s="38" t="str">
        <f t="shared" si="12"/>
        <v>Emprunt national</v>
      </c>
    </row>
    <row r="761" spans="1:13" x14ac:dyDescent="0.2">
      <c r="A761" s="38" t="s">
        <v>581</v>
      </c>
      <c r="B761" s="38">
        <v>400038</v>
      </c>
      <c r="C761" s="38" t="s">
        <v>1924</v>
      </c>
      <c r="D761" s="279">
        <v>5000</v>
      </c>
      <c r="E761" s="38">
        <v>101</v>
      </c>
      <c r="F761" s="40">
        <v>0.1</v>
      </c>
      <c r="G761" s="44">
        <v>35430</v>
      </c>
      <c r="H761" s="44">
        <v>37256</v>
      </c>
      <c r="I761" s="45">
        <v>5</v>
      </c>
      <c r="J761" s="45" t="s">
        <v>1716</v>
      </c>
      <c r="K761" s="39" t="s">
        <v>1716</v>
      </c>
      <c r="L761" s="39" t="s">
        <v>1014</v>
      </c>
      <c r="M761" s="38" t="str">
        <f t="shared" si="12"/>
        <v>Emprunt national</v>
      </c>
    </row>
    <row r="762" spans="1:13" x14ac:dyDescent="0.2">
      <c r="A762" s="38" t="s">
        <v>581</v>
      </c>
      <c r="B762" s="38">
        <v>400039</v>
      </c>
      <c r="C762" s="38" t="s">
        <v>1777</v>
      </c>
      <c r="D762" s="279">
        <v>50000</v>
      </c>
      <c r="E762" s="38">
        <v>101</v>
      </c>
      <c r="F762" s="40">
        <v>0.1</v>
      </c>
      <c r="G762" s="44">
        <v>35430</v>
      </c>
      <c r="H762" s="44">
        <v>37256</v>
      </c>
      <c r="I762" s="45">
        <v>5</v>
      </c>
      <c r="J762" s="45" t="s">
        <v>1716</v>
      </c>
      <c r="K762" s="39" t="s">
        <v>1716</v>
      </c>
      <c r="L762" s="39" t="s">
        <v>1014</v>
      </c>
      <c r="M762" s="38" t="str">
        <f t="shared" si="12"/>
        <v>Emprunt national</v>
      </c>
    </row>
    <row r="763" spans="1:13" x14ac:dyDescent="0.2">
      <c r="A763" s="38" t="s">
        <v>581</v>
      </c>
      <c r="B763" s="38">
        <v>400042</v>
      </c>
      <c r="C763" s="38" t="s">
        <v>2011</v>
      </c>
      <c r="D763" s="279">
        <v>5000</v>
      </c>
      <c r="E763" s="38">
        <v>101</v>
      </c>
      <c r="F763" s="40">
        <v>9.5000000000000001E-2</v>
      </c>
      <c r="G763" s="44">
        <v>35520</v>
      </c>
      <c r="H763" s="44">
        <v>37346</v>
      </c>
      <c r="I763" s="45">
        <v>5</v>
      </c>
      <c r="J763" s="45" t="s">
        <v>1716</v>
      </c>
      <c r="K763" s="39" t="s">
        <v>1716</v>
      </c>
      <c r="L763" s="39" t="s">
        <v>1014</v>
      </c>
      <c r="M763" s="38" t="str">
        <f t="shared" si="12"/>
        <v>Emprunt national</v>
      </c>
    </row>
    <row r="764" spans="1:13" x14ac:dyDescent="0.2">
      <c r="A764" s="38" t="s">
        <v>581</v>
      </c>
      <c r="B764" s="38">
        <v>400043</v>
      </c>
      <c r="C764" s="38" t="s">
        <v>249</v>
      </c>
      <c r="D764" s="279">
        <v>50000</v>
      </c>
      <c r="E764" s="38">
        <v>101</v>
      </c>
      <c r="F764" s="40">
        <v>9.5000000000000001E-2</v>
      </c>
      <c r="G764" s="44">
        <v>35520</v>
      </c>
      <c r="H764" s="44">
        <v>37346</v>
      </c>
      <c r="I764" s="45">
        <v>5</v>
      </c>
      <c r="J764" s="45" t="s">
        <v>1716</v>
      </c>
      <c r="K764" s="39" t="s">
        <v>1716</v>
      </c>
      <c r="L764" s="39" t="s">
        <v>1014</v>
      </c>
      <c r="M764" s="38" t="str">
        <f t="shared" si="12"/>
        <v>Emprunt national</v>
      </c>
    </row>
    <row r="765" spans="1:13" x14ac:dyDescent="0.2">
      <c r="A765" s="38" t="s">
        <v>581</v>
      </c>
      <c r="B765" s="38">
        <v>400046</v>
      </c>
      <c r="C765" s="38" t="s">
        <v>250</v>
      </c>
      <c r="D765" s="279">
        <v>5000</v>
      </c>
      <c r="E765" s="38">
        <v>101</v>
      </c>
      <c r="F765" s="40">
        <v>0.09</v>
      </c>
      <c r="G765" s="44">
        <v>35615</v>
      </c>
      <c r="H765" s="44">
        <v>37441</v>
      </c>
      <c r="I765" s="45">
        <v>5</v>
      </c>
      <c r="J765" s="45" t="s">
        <v>1716</v>
      </c>
      <c r="K765" s="39" t="s">
        <v>1716</v>
      </c>
      <c r="L765" s="39" t="s">
        <v>1014</v>
      </c>
      <c r="M765" s="38" t="str">
        <f t="shared" si="12"/>
        <v>Emprunt national</v>
      </c>
    </row>
    <row r="766" spans="1:13" x14ac:dyDescent="0.2">
      <c r="A766" s="38" t="s">
        <v>581</v>
      </c>
      <c r="B766" s="38">
        <v>400047</v>
      </c>
      <c r="C766" s="38" t="s">
        <v>252</v>
      </c>
      <c r="D766" s="279">
        <v>50000</v>
      </c>
      <c r="E766" s="38">
        <v>101</v>
      </c>
      <c r="F766" s="40">
        <v>0.09</v>
      </c>
      <c r="G766" s="44">
        <v>35615</v>
      </c>
      <c r="H766" s="44">
        <v>37441</v>
      </c>
      <c r="I766" s="45">
        <v>5</v>
      </c>
      <c r="J766" s="45" t="s">
        <v>1716</v>
      </c>
      <c r="K766" s="39" t="s">
        <v>1716</v>
      </c>
      <c r="L766" s="39" t="s">
        <v>1014</v>
      </c>
      <c r="M766" s="38" t="str">
        <f t="shared" si="12"/>
        <v>Emprunt national</v>
      </c>
    </row>
    <row r="767" spans="1:13" x14ac:dyDescent="0.2">
      <c r="A767" s="38" t="s">
        <v>581</v>
      </c>
      <c r="B767" s="38">
        <v>400052</v>
      </c>
      <c r="C767" s="38" t="s">
        <v>253</v>
      </c>
      <c r="D767" s="279">
        <v>5000</v>
      </c>
      <c r="E767" s="38">
        <v>101</v>
      </c>
      <c r="F767" s="40">
        <v>0.09</v>
      </c>
      <c r="G767" s="44">
        <v>35702</v>
      </c>
      <c r="H767" s="44">
        <v>37528</v>
      </c>
      <c r="I767" s="45">
        <v>5</v>
      </c>
      <c r="J767" s="45" t="s">
        <v>1716</v>
      </c>
      <c r="K767" s="39" t="s">
        <v>1716</v>
      </c>
      <c r="L767" s="39" t="s">
        <v>1014</v>
      </c>
      <c r="M767" s="38" t="str">
        <f t="shared" si="12"/>
        <v>Emprunt national</v>
      </c>
    </row>
    <row r="768" spans="1:13" x14ac:dyDescent="0.2">
      <c r="A768" s="38" t="s">
        <v>581</v>
      </c>
      <c r="B768" s="38">
        <v>400053</v>
      </c>
      <c r="C768" s="38" t="s">
        <v>254</v>
      </c>
      <c r="D768" s="279">
        <v>50000</v>
      </c>
      <c r="E768" s="38">
        <v>101</v>
      </c>
      <c r="F768" s="40">
        <v>0.09</v>
      </c>
      <c r="G768" s="44">
        <v>35702</v>
      </c>
      <c r="H768" s="44">
        <v>37528</v>
      </c>
      <c r="I768" s="45">
        <v>5</v>
      </c>
      <c r="J768" s="45" t="s">
        <v>1716</v>
      </c>
      <c r="K768" s="39" t="s">
        <v>1716</v>
      </c>
      <c r="L768" s="39" t="s">
        <v>1014</v>
      </c>
      <c r="M768" s="38" t="str">
        <f t="shared" si="12"/>
        <v>Emprunt national</v>
      </c>
    </row>
    <row r="769" spans="1:14" x14ac:dyDescent="0.2">
      <c r="A769" s="38" t="s">
        <v>581</v>
      </c>
      <c r="B769" s="38">
        <v>400058</v>
      </c>
      <c r="C769" s="38" t="s">
        <v>255</v>
      </c>
      <c r="D769" s="279">
        <v>5000</v>
      </c>
      <c r="E769" s="38">
        <v>101</v>
      </c>
      <c r="F769" s="40">
        <v>8.5000000000000006E-2</v>
      </c>
      <c r="G769" s="44">
        <v>35800</v>
      </c>
      <c r="H769" s="44">
        <v>37626</v>
      </c>
      <c r="I769" s="45">
        <v>5</v>
      </c>
      <c r="J769" s="45" t="s">
        <v>1716</v>
      </c>
      <c r="K769" s="39" t="s">
        <v>1716</v>
      </c>
      <c r="L769" s="39" t="s">
        <v>1014</v>
      </c>
      <c r="M769" s="38" t="str">
        <f t="shared" si="12"/>
        <v>Emprunt national</v>
      </c>
    </row>
    <row r="770" spans="1:14" x14ac:dyDescent="0.2">
      <c r="A770" s="38" t="s">
        <v>581</v>
      </c>
      <c r="B770" s="38">
        <v>400059</v>
      </c>
      <c r="C770" s="38" t="s">
        <v>256</v>
      </c>
      <c r="D770" s="279">
        <v>50000</v>
      </c>
      <c r="E770" s="38">
        <v>101</v>
      </c>
      <c r="F770" s="40">
        <v>8.5000000000000006E-2</v>
      </c>
      <c r="G770" s="44">
        <v>35800</v>
      </c>
      <c r="H770" s="44">
        <v>37626</v>
      </c>
      <c r="I770" s="45">
        <v>5</v>
      </c>
      <c r="J770" s="45" t="s">
        <v>1716</v>
      </c>
      <c r="K770" s="39" t="s">
        <v>1716</v>
      </c>
      <c r="L770" s="39" t="s">
        <v>1014</v>
      </c>
      <c r="M770" s="38" t="str">
        <f t="shared" si="12"/>
        <v>Emprunt national</v>
      </c>
    </row>
    <row r="771" spans="1:14" x14ac:dyDescent="0.2">
      <c r="A771" s="38" t="s">
        <v>581</v>
      </c>
      <c r="B771" s="38">
        <v>400064</v>
      </c>
      <c r="C771" s="38" t="s">
        <v>1172</v>
      </c>
      <c r="D771" s="279">
        <v>5000</v>
      </c>
      <c r="E771" s="38">
        <v>101</v>
      </c>
      <c r="F771" s="40">
        <v>0.08</v>
      </c>
      <c r="G771" s="44">
        <v>35887</v>
      </c>
      <c r="H771" s="44">
        <v>37713</v>
      </c>
      <c r="I771" s="45">
        <v>5</v>
      </c>
      <c r="J771" s="45" t="s">
        <v>1716</v>
      </c>
      <c r="K771" s="39" t="s">
        <v>1716</v>
      </c>
      <c r="L771" s="39" t="s">
        <v>1014</v>
      </c>
      <c r="M771" s="38" t="str">
        <f t="shared" ref="M771:M834" si="13">+A771</f>
        <v>Emprunt national</v>
      </c>
    </row>
    <row r="772" spans="1:14" x14ac:dyDescent="0.2">
      <c r="A772" s="38" t="s">
        <v>581</v>
      </c>
      <c r="B772" s="38">
        <v>400065</v>
      </c>
      <c r="C772" s="38" t="s">
        <v>1173</v>
      </c>
      <c r="D772" s="279">
        <v>50000</v>
      </c>
      <c r="E772" s="38">
        <v>101</v>
      </c>
      <c r="F772" s="40">
        <v>0.08</v>
      </c>
      <c r="G772" s="44">
        <v>35887</v>
      </c>
      <c r="H772" s="44">
        <v>37713</v>
      </c>
      <c r="I772" s="45">
        <v>5</v>
      </c>
      <c r="J772" s="45" t="s">
        <v>1716</v>
      </c>
      <c r="K772" s="39" t="s">
        <v>1716</v>
      </c>
      <c r="L772" s="39" t="s">
        <v>1014</v>
      </c>
      <c r="M772" s="38" t="str">
        <f t="shared" si="13"/>
        <v>Emprunt national</v>
      </c>
    </row>
    <row r="773" spans="1:14" x14ac:dyDescent="0.2">
      <c r="A773" s="38" t="s">
        <v>581</v>
      </c>
      <c r="B773" s="38">
        <v>400068</v>
      </c>
      <c r="C773" s="38" t="s">
        <v>782</v>
      </c>
      <c r="D773" s="279">
        <v>50000</v>
      </c>
      <c r="E773" s="38">
        <v>101</v>
      </c>
      <c r="F773" s="46">
        <v>7.4999999999999997E-2</v>
      </c>
      <c r="G773" s="44">
        <v>35976</v>
      </c>
      <c r="H773" s="44">
        <v>37802</v>
      </c>
      <c r="I773" s="47">
        <v>5</v>
      </c>
      <c r="J773" s="47" t="s">
        <v>1716</v>
      </c>
      <c r="K773" s="39" t="s">
        <v>1716</v>
      </c>
      <c r="L773" s="39" t="s">
        <v>1014</v>
      </c>
      <c r="M773" s="38" t="str">
        <f t="shared" si="13"/>
        <v>Emprunt national</v>
      </c>
    </row>
    <row r="774" spans="1:14" x14ac:dyDescent="0.2">
      <c r="A774" s="38" t="s">
        <v>581</v>
      </c>
      <c r="B774" s="38">
        <v>400070</v>
      </c>
      <c r="C774" s="38" t="s">
        <v>1174</v>
      </c>
      <c r="D774" s="279">
        <v>5000</v>
      </c>
      <c r="E774" s="38">
        <v>101</v>
      </c>
      <c r="F774" s="40">
        <v>7.2499999999999995E-2</v>
      </c>
      <c r="G774" s="44">
        <v>36159</v>
      </c>
      <c r="H774" s="44">
        <v>37255</v>
      </c>
      <c r="I774" s="45">
        <v>3</v>
      </c>
      <c r="J774" s="45" t="s">
        <v>1716</v>
      </c>
      <c r="K774" s="39" t="s">
        <v>1716</v>
      </c>
      <c r="L774" s="39" t="s">
        <v>1014</v>
      </c>
      <c r="M774" s="38" t="str">
        <f t="shared" si="13"/>
        <v>Emprunt national</v>
      </c>
    </row>
    <row r="775" spans="1:14" x14ac:dyDescent="0.2">
      <c r="A775" s="38" t="s">
        <v>581</v>
      </c>
      <c r="B775" s="38">
        <v>400071</v>
      </c>
      <c r="C775" s="38" t="s">
        <v>1037</v>
      </c>
      <c r="D775" s="279">
        <v>5000</v>
      </c>
      <c r="E775" s="38">
        <v>101</v>
      </c>
      <c r="F775" s="40">
        <v>7.4999999999999997E-2</v>
      </c>
      <c r="G775" s="44">
        <v>36159</v>
      </c>
      <c r="H775" s="44">
        <v>37985</v>
      </c>
      <c r="I775" s="45">
        <v>5</v>
      </c>
      <c r="J775" s="45" t="s">
        <v>1716</v>
      </c>
      <c r="K775" s="39" t="s">
        <v>1716</v>
      </c>
      <c r="L775" s="39" t="s">
        <v>1014</v>
      </c>
      <c r="M775" s="38" t="str">
        <f t="shared" si="13"/>
        <v>Emprunt national</v>
      </c>
    </row>
    <row r="776" spans="1:14" x14ac:dyDescent="0.2">
      <c r="A776" s="38" t="s">
        <v>581</v>
      </c>
      <c r="B776" s="38">
        <v>400073</v>
      </c>
      <c r="C776" s="38" t="s">
        <v>1687</v>
      </c>
      <c r="D776" s="279">
        <v>5000</v>
      </c>
      <c r="E776" s="38">
        <v>101</v>
      </c>
      <c r="F776" s="40">
        <v>7.0000000000000007E-2</v>
      </c>
      <c r="G776" s="44">
        <v>36256</v>
      </c>
      <c r="H776" s="44">
        <v>37352</v>
      </c>
      <c r="I776" s="45">
        <v>3</v>
      </c>
      <c r="J776" s="45" t="s">
        <v>1716</v>
      </c>
      <c r="K776" s="39" t="s">
        <v>1716</v>
      </c>
      <c r="L776" s="39" t="s">
        <v>1014</v>
      </c>
      <c r="M776" s="38" t="str">
        <f t="shared" si="13"/>
        <v>Emprunt national</v>
      </c>
    </row>
    <row r="777" spans="1:14" x14ac:dyDescent="0.2">
      <c r="A777" s="38" t="s">
        <v>581</v>
      </c>
      <c r="B777" s="38">
        <v>400074</v>
      </c>
      <c r="C777" s="38" t="s">
        <v>535</v>
      </c>
      <c r="D777" s="279">
        <v>5000</v>
      </c>
      <c r="E777" s="38">
        <v>101</v>
      </c>
      <c r="F777" s="40">
        <v>7.2499999999999995E-2</v>
      </c>
      <c r="G777" s="44">
        <v>36256</v>
      </c>
      <c r="H777" s="44">
        <v>38083</v>
      </c>
      <c r="I777" s="45">
        <v>5</v>
      </c>
      <c r="J777" s="45" t="s">
        <v>1716</v>
      </c>
      <c r="K777" s="39" t="s">
        <v>1716</v>
      </c>
      <c r="L777" s="39" t="s">
        <v>1014</v>
      </c>
      <c r="M777" s="38" t="str">
        <f t="shared" si="13"/>
        <v>Emprunt national</v>
      </c>
    </row>
    <row r="778" spans="1:14" x14ac:dyDescent="0.2">
      <c r="A778" s="38" t="s">
        <v>1512</v>
      </c>
      <c r="B778" s="38">
        <v>829536</v>
      </c>
      <c r="C778" s="38" t="s">
        <v>958</v>
      </c>
      <c r="D778" s="279">
        <v>10000</v>
      </c>
      <c r="E778" s="38">
        <v>2014</v>
      </c>
      <c r="F778" s="40">
        <v>0.11</v>
      </c>
      <c r="G778" s="44">
        <v>32808</v>
      </c>
      <c r="H778" s="44">
        <v>38287</v>
      </c>
      <c r="I778" s="45">
        <v>15</v>
      </c>
      <c r="J778" s="45" t="s">
        <v>1716</v>
      </c>
      <c r="K778" s="39" t="s">
        <v>1716</v>
      </c>
      <c r="L778" s="39" t="s">
        <v>1014</v>
      </c>
      <c r="M778" s="38" t="str">
        <f t="shared" si="13"/>
        <v>Obligation ordinaire</v>
      </c>
    </row>
    <row r="779" spans="1:14" x14ac:dyDescent="0.2">
      <c r="A779" s="38" t="s">
        <v>1512</v>
      </c>
      <c r="B779" s="38">
        <v>868700</v>
      </c>
      <c r="C779" s="38" t="s">
        <v>960</v>
      </c>
      <c r="D779" s="279">
        <v>10000</v>
      </c>
      <c r="E779" s="38">
        <v>126</v>
      </c>
      <c r="F779" s="40">
        <v>0.11</v>
      </c>
      <c r="G779" s="44">
        <v>33102</v>
      </c>
      <c r="H779" s="44">
        <v>38581</v>
      </c>
      <c r="I779" s="45">
        <v>15</v>
      </c>
      <c r="J779" s="45" t="s">
        <v>1716</v>
      </c>
      <c r="K779" s="39" t="s">
        <v>1716</v>
      </c>
      <c r="L779" s="39" t="s">
        <v>1014</v>
      </c>
      <c r="M779" s="38" t="str">
        <f t="shared" si="13"/>
        <v>Obligation ordinaire</v>
      </c>
    </row>
    <row r="780" spans="1:14" x14ac:dyDescent="0.2">
      <c r="A780" s="38" t="s">
        <v>1512</v>
      </c>
      <c r="B780" s="38">
        <v>9002</v>
      </c>
      <c r="C780" s="38" t="s">
        <v>776</v>
      </c>
      <c r="D780" s="279">
        <v>100000</v>
      </c>
      <c r="F780" s="40">
        <v>6.7000000000000004E-2</v>
      </c>
      <c r="G780" s="44">
        <v>37103</v>
      </c>
      <c r="H780" s="44">
        <v>38929</v>
      </c>
      <c r="I780" s="45">
        <v>5</v>
      </c>
      <c r="J780" s="45" t="s">
        <v>1716</v>
      </c>
      <c r="K780" s="39" t="s">
        <v>1716</v>
      </c>
      <c r="L780" s="39" t="s">
        <v>1014</v>
      </c>
      <c r="M780" s="38" t="str">
        <f t="shared" si="13"/>
        <v>Obligation ordinaire</v>
      </c>
    </row>
    <row r="781" spans="1:14" x14ac:dyDescent="0.2">
      <c r="A781" s="38" t="s">
        <v>1512</v>
      </c>
      <c r="B781" s="38">
        <v>9008</v>
      </c>
      <c r="C781" s="38" t="s">
        <v>718</v>
      </c>
      <c r="D781" s="279">
        <v>100000</v>
      </c>
      <c r="F781" s="40">
        <v>6.3500000000000001E-2</v>
      </c>
      <c r="G781" s="44">
        <v>37435</v>
      </c>
      <c r="H781" s="44">
        <v>39261</v>
      </c>
      <c r="I781" s="45">
        <v>5</v>
      </c>
      <c r="J781" s="45" t="s">
        <v>1716</v>
      </c>
      <c r="K781" s="39" t="s">
        <v>1716</v>
      </c>
      <c r="L781" s="39" t="s">
        <v>1014</v>
      </c>
      <c r="M781" s="38" t="str">
        <f t="shared" si="13"/>
        <v>Obligation ordinaire</v>
      </c>
    </row>
    <row r="782" spans="1:14" x14ac:dyDescent="0.2">
      <c r="A782" s="38" t="s">
        <v>1512</v>
      </c>
      <c r="B782" s="38">
        <v>9019</v>
      </c>
      <c r="C782" s="38" t="s">
        <v>1955</v>
      </c>
      <c r="D782" s="279">
        <v>100000</v>
      </c>
      <c r="F782" s="40">
        <v>5.8999999999999997E-2</v>
      </c>
      <c r="G782" s="44">
        <v>37734</v>
      </c>
      <c r="H782" s="44">
        <v>39561</v>
      </c>
      <c r="I782" s="45">
        <v>5</v>
      </c>
      <c r="J782" s="45" t="s">
        <v>1716</v>
      </c>
      <c r="K782" s="39" t="s">
        <v>1716</v>
      </c>
      <c r="L782" s="39" t="s">
        <v>1014</v>
      </c>
      <c r="M782" s="38" t="str">
        <f t="shared" si="13"/>
        <v>Obligation ordinaire</v>
      </c>
    </row>
    <row r="783" spans="1:14" x14ac:dyDescent="0.2">
      <c r="A783" s="38" t="s">
        <v>1512</v>
      </c>
      <c r="B783" s="38">
        <v>9020</v>
      </c>
      <c r="C783" s="38" t="s">
        <v>95</v>
      </c>
      <c r="D783" s="279">
        <v>150000</v>
      </c>
      <c r="F783" s="40">
        <v>6.0999999999999999E-2</v>
      </c>
      <c r="G783" s="44">
        <v>37767</v>
      </c>
      <c r="H783" s="44">
        <v>43246</v>
      </c>
      <c r="I783" s="45">
        <v>15</v>
      </c>
      <c r="J783" s="45" t="s">
        <v>1716</v>
      </c>
      <c r="K783" s="39" t="s">
        <v>1716</v>
      </c>
      <c r="L783" s="39" t="s">
        <v>1014</v>
      </c>
      <c r="M783" s="38" t="str">
        <f t="shared" si="13"/>
        <v>Obligation ordinaire</v>
      </c>
    </row>
    <row r="784" spans="1:14" s="53" customFormat="1" x14ac:dyDescent="0.2">
      <c r="A784" s="38" t="s">
        <v>1512</v>
      </c>
      <c r="B784" s="38">
        <v>9004</v>
      </c>
      <c r="C784" s="38" t="s">
        <v>844</v>
      </c>
      <c r="D784" s="279">
        <v>150000</v>
      </c>
      <c r="E784" s="38"/>
      <c r="F784" s="40">
        <v>6.9500000000000006E-2</v>
      </c>
      <c r="G784" s="44">
        <v>37404</v>
      </c>
      <c r="H784" s="44">
        <v>42883</v>
      </c>
      <c r="I784" s="45">
        <v>15</v>
      </c>
      <c r="J784" s="45" t="s">
        <v>1716</v>
      </c>
      <c r="K784" s="39" t="s">
        <v>1716</v>
      </c>
      <c r="L784" s="39" t="s">
        <v>1716</v>
      </c>
      <c r="M784" s="38" t="str">
        <f t="shared" si="13"/>
        <v>Obligation ordinaire</v>
      </c>
      <c r="N784" s="277"/>
    </row>
    <row r="785" spans="1:14" s="53" customFormat="1" x14ac:dyDescent="0.2">
      <c r="A785" s="38" t="s">
        <v>1512</v>
      </c>
      <c r="B785" s="38">
        <v>2074</v>
      </c>
      <c r="C785" s="38" t="s">
        <v>845</v>
      </c>
      <c r="D785" s="279">
        <v>150000</v>
      </c>
      <c r="E785" s="38"/>
      <c r="F785" s="40">
        <v>6.2E-2</v>
      </c>
      <c r="G785" s="44">
        <v>37732</v>
      </c>
      <c r="H785" s="44">
        <v>43211</v>
      </c>
      <c r="I785" s="45">
        <v>15</v>
      </c>
      <c r="J785" s="45" t="s">
        <v>1716</v>
      </c>
      <c r="K785" s="39" t="s">
        <v>1716</v>
      </c>
      <c r="L785" s="39" t="s">
        <v>1624</v>
      </c>
      <c r="M785" s="38" t="str">
        <f t="shared" si="13"/>
        <v>Obligation ordinaire</v>
      </c>
      <c r="N785" s="277"/>
    </row>
    <row r="786" spans="1:14" s="53" customFormat="1" x14ac:dyDescent="0.2">
      <c r="A786" s="38" t="s">
        <v>1015</v>
      </c>
      <c r="B786" s="38">
        <v>100290</v>
      </c>
      <c r="C786" s="38" t="s">
        <v>852</v>
      </c>
      <c r="D786" s="279">
        <v>100000</v>
      </c>
      <c r="E786" s="38"/>
      <c r="F786" s="40">
        <v>5.6000000000000001E-2</v>
      </c>
      <c r="G786" s="44">
        <v>37635</v>
      </c>
      <c r="H786" s="44">
        <v>39461</v>
      </c>
      <c r="I786" s="45">
        <v>5</v>
      </c>
      <c r="J786" s="45" t="s">
        <v>1716</v>
      </c>
      <c r="K786" s="39" t="s">
        <v>1716</v>
      </c>
      <c r="L786" s="39" t="s">
        <v>1014</v>
      </c>
      <c r="M786" s="38" t="str">
        <f t="shared" si="13"/>
        <v>Bon de société de financement</v>
      </c>
      <c r="N786" s="277"/>
    </row>
    <row r="787" spans="1:14" s="53" customFormat="1" x14ac:dyDescent="0.2">
      <c r="A787" s="38" t="s">
        <v>1035</v>
      </c>
      <c r="B787" s="38">
        <v>200614</v>
      </c>
      <c r="C787" s="38" t="s">
        <v>1430</v>
      </c>
      <c r="D787" s="279">
        <v>100000</v>
      </c>
      <c r="E787" s="38"/>
      <c r="F787" s="40">
        <v>4.8500000000000001E-2</v>
      </c>
      <c r="G787" s="44">
        <v>37627</v>
      </c>
      <c r="H787" s="44">
        <v>39453</v>
      </c>
      <c r="I787" s="45">
        <v>5</v>
      </c>
      <c r="J787" s="45" t="s">
        <v>1716</v>
      </c>
      <c r="K787" s="39" t="s">
        <v>1716</v>
      </c>
      <c r="L787" s="39" t="s">
        <v>1014</v>
      </c>
      <c r="M787" s="38" t="str">
        <f t="shared" si="13"/>
        <v>Bon du Trésor</v>
      </c>
      <c r="N787" s="277"/>
    </row>
    <row r="788" spans="1:14" s="53" customFormat="1" x14ac:dyDescent="0.2">
      <c r="A788" s="38" t="s">
        <v>1035</v>
      </c>
      <c r="B788" s="38">
        <v>200664</v>
      </c>
      <c r="C788" s="38" t="s">
        <v>1433</v>
      </c>
      <c r="D788" s="279">
        <v>100000</v>
      </c>
      <c r="E788" s="38"/>
      <c r="F788" s="40">
        <v>5.8000000000000003E-2</v>
      </c>
      <c r="G788" s="44">
        <v>37774</v>
      </c>
      <c r="H788" s="44">
        <v>41427</v>
      </c>
      <c r="I788" s="45">
        <v>10</v>
      </c>
      <c r="J788" s="45" t="s">
        <v>1716</v>
      </c>
      <c r="K788" s="39" t="s">
        <v>1716</v>
      </c>
      <c r="L788" s="39" t="s">
        <v>1014</v>
      </c>
      <c r="M788" s="38" t="str">
        <f t="shared" si="13"/>
        <v>Bon du Trésor</v>
      </c>
      <c r="N788" s="277"/>
    </row>
    <row r="789" spans="1:14" s="53" customFormat="1" x14ac:dyDescent="0.2">
      <c r="A789" s="38" t="s">
        <v>1035</v>
      </c>
      <c r="B789" s="38">
        <v>200668</v>
      </c>
      <c r="C789" s="38" t="s">
        <v>1434</v>
      </c>
      <c r="D789" s="279">
        <v>100000</v>
      </c>
      <c r="E789" s="38"/>
      <c r="F789" s="40">
        <v>6.2E-2</v>
      </c>
      <c r="G789" s="44">
        <v>37788</v>
      </c>
      <c r="H789" s="44">
        <v>43267</v>
      </c>
      <c r="I789" s="45">
        <v>15</v>
      </c>
      <c r="J789" s="45" t="s">
        <v>1716</v>
      </c>
      <c r="K789" s="39" t="s">
        <v>1716</v>
      </c>
      <c r="L789" s="39" t="s">
        <v>1014</v>
      </c>
      <c r="M789" s="38" t="str">
        <f t="shared" si="13"/>
        <v>Bon du Trésor</v>
      </c>
      <c r="N789" s="277"/>
    </row>
    <row r="790" spans="1:14" s="53" customFormat="1" x14ac:dyDescent="0.2">
      <c r="A790" s="38" t="s">
        <v>1512</v>
      </c>
      <c r="B790" s="38">
        <v>9018</v>
      </c>
      <c r="C790" s="38" t="s">
        <v>1435</v>
      </c>
      <c r="D790" s="279">
        <v>100000</v>
      </c>
      <c r="E790" s="38"/>
      <c r="F790" s="40">
        <v>4.1099999999999998E-2</v>
      </c>
      <c r="G790" s="44">
        <v>37697</v>
      </c>
      <c r="H790" s="44">
        <v>38063</v>
      </c>
      <c r="I790" s="45">
        <v>1</v>
      </c>
      <c r="J790" s="45" t="s">
        <v>1716</v>
      </c>
      <c r="K790" s="39" t="s">
        <v>1716</v>
      </c>
      <c r="L790" s="39" t="s">
        <v>1014</v>
      </c>
      <c r="M790" s="38" t="str">
        <f t="shared" si="13"/>
        <v>Obligation ordinaire</v>
      </c>
      <c r="N790" s="277"/>
    </row>
    <row r="791" spans="1:14" s="53" customFormat="1" x14ac:dyDescent="0.2">
      <c r="A791" s="38" t="s">
        <v>1035</v>
      </c>
      <c r="B791" s="38">
        <v>200676</v>
      </c>
      <c r="C791" s="38" t="s">
        <v>1436</v>
      </c>
      <c r="D791" s="279">
        <v>100000</v>
      </c>
      <c r="E791" s="38"/>
      <c r="F791" s="40">
        <v>4.3499999999999997E-2</v>
      </c>
      <c r="G791" s="44">
        <v>37900</v>
      </c>
      <c r="H791" s="44">
        <v>39727</v>
      </c>
      <c r="I791" s="45">
        <v>5</v>
      </c>
      <c r="J791" s="45" t="s">
        <v>1716</v>
      </c>
      <c r="K791" s="39" t="s">
        <v>1716</v>
      </c>
      <c r="L791" s="39" t="s">
        <v>1014</v>
      </c>
      <c r="M791" s="38" t="str">
        <f t="shared" si="13"/>
        <v>Bon du Trésor</v>
      </c>
      <c r="N791" s="277"/>
    </row>
    <row r="792" spans="1:14" s="53" customFormat="1" x14ac:dyDescent="0.2">
      <c r="A792" s="38" t="s">
        <v>1512</v>
      </c>
      <c r="B792" s="38">
        <v>9041</v>
      </c>
      <c r="C792" s="38" t="s">
        <v>2004</v>
      </c>
      <c r="D792" s="279">
        <v>150000</v>
      </c>
      <c r="E792" s="38"/>
      <c r="F792" s="40">
        <v>5.5500000000000001E-2</v>
      </c>
      <c r="G792" s="44">
        <v>38137</v>
      </c>
      <c r="H792" s="44">
        <v>43615</v>
      </c>
      <c r="I792" s="45">
        <v>15</v>
      </c>
      <c r="J792" s="45" t="s">
        <v>1716</v>
      </c>
      <c r="K792" s="39" t="s">
        <v>1716</v>
      </c>
      <c r="L792" s="39" t="s">
        <v>1716</v>
      </c>
      <c r="M792" s="38" t="str">
        <f t="shared" si="13"/>
        <v>Obligation ordinaire</v>
      </c>
      <c r="N792" s="277"/>
    </row>
    <row r="793" spans="1:14" s="53" customFormat="1" x14ac:dyDescent="0.2">
      <c r="A793" s="38" t="s">
        <v>1035</v>
      </c>
      <c r="B793" s="38">
        <v>200586</v>
      </c>
      <c r="C793" s="55" t="s">
        <v>1725</v>
      </c>
      <c r="D793" s="279">
        <v>100000</v>
      </c>
      <c r="E793" s="38"/>
      <c r="F793" s="40">
        <v>4.2999999999999997E-2</v>
      </c>
      <c r="G793" s="44">
        <v>37501</v>
      </c>
      <c r="H793" s="44">
        <v>38232</v>
      </c>
      <c r="I793" s="45">
        <v>2</v>
      </c>
      <c r="J793" s="45" t="s">
        <v>1716</v>
      </c>
      <c r="K793" s="39" t="s">
        <v>1716</v>
      </c>
      <c r="L793" s="39" t="s">
        <v>1014</v>
      </c>
      <c r="M793" s="38" t="str">
        <f t="shared" si="13"/>
        <v>Bon du Trésor</v>
      </c>
      <c r="N793" s="277"/>
    </row>
    <row r="794" spans="1:14" s="53" customFormat="1" x14ac:dyDescent="0.2">
      <c r="A794" s="38" t="s">
        <v>1035</v>
      </c>
      <c r="B794" s="38">
        <v>200613</v>
      </c>
      <c r="C794" s="55" t="s">
        <v>1726</v>
      </c>
      <c r="D794" s="279">
        <v>100000</v>
      </c>
      <c r="E794" s="38"/>
      <c r="F794" s="40">
        <v>3.95E-2</v>
      </c>
      <c r="G794" s="44">
        <v>37627</v>
      </c>
      <c r="H794" s="44">
        <v>38358</v>
      </c>
      <c r="I794" s="45">
        <v>2</v>
      </c>
      <c r="J794" s="45" t="s">
        <v>1716</v>
      </c>
      <c r="K794" s="39" t="s">
        <v>1716</v>
      </c>
      <c r="L794" s="39" t="s">
        <v>1014</v>
      </c>
      <c r="M794" s="38" t="str">
        <f t="shared" si="13"/>
        <v>Bon du Trésor</v>
      </c>
      <c r="N794" s="277"/>
    </row>
    <row r="795" spans="1:14" x14ac:dyDescent="0.2">
      <c r="A795" s="38" t="s">
        <v>1035</v>
      </c>
      <c r="B795" s="38">
        <v>200638</v>
      </c>
      <c r="C795" s="55" t="s">
        <v>213</v>
      </c>
      <c r="D795" s="279">
        <v>100000</v>
      </c>
      <c r="F795" s="40">
        <v>0.04</v>
      </c>
      <c r="G795" s="44">
        <v>37683</v>
      </c>
      <c r="H795" s="44">
        <v>38047</v>
      </c>
      <c r="I795" s="39">
        <v>52</v>
      </c>
      <c r="J795" s="45" t="s">
        <v>369</v>
      </c>
      <c r="K795" s="39" t="s">
        <v>1716</v>
      </c>
      <c r="L795" s="39" t="s">
        <v>1014</v>
      </c>
      <c r="M795" s="38" t="str">
        <f t="shared" si="13"/>
        <v>Bon du Trésor</v>
      </c>
    </row>
    <row r="796" spans="1:14" x14ac:dyDescent="0.2">
      <c r="A796" s="38" t="s">
        <v>1035</v>
      </c>
      <c r="B796" s="38">
        <v>200649</v>
      </c>
      <c r="C796" s="55" t="s">
        <v>214</v>
      </c>
      <c r="D796" s="279">
        <v>100000</v>
      </c>
      <c r="F796" s="40">
        <v>4.2999999999999997E-2</v>
      </c>
      <c r="G796" s="44">
        <v>37711</v>
      </c>
      <c r="H796" s="44">
        <v>38075</v>
      </c>
      <c r="I796" s="39">
        <v>52</v>
      </c>
      <c r="J796" s="45" t="s">
        <v>369</v>
      </c>
      <c r="K796" s="39" t="s">
        <v>1716</v>
      </c>
      <c r="L796" s="39" t="s">
        <v>1014</v>
      </c>
      <c r="M796" s="38" t="str">
        <f t="shared" si="13"/>
        <v>Bon du Trésor</v>
      </c>
    </row>
    <row r="797" spans="1:14" x14ac:dyDescent="0.2">
      <c r="A797" s="38" t="s">
        <v>1035</v>
      </c>
      <c r="B797" s="38">
        <v>200672</v>
      </c>
      <c r="C797" s="55" t="s">
        <v>215</v>
      </c>
      <c r="D797" s="279">
        <v>100000</v>
      </c>
      <c r="F797" s="40">
        <v>3.15E-2</v>
      </c>
      <c r="G797" s="44">
        <v>37844</v>
      </c>
      <c r="H797" s="44">
        <v>38208</v>
      </c>
      <c r="I797" s="39">
        <v>52</v>
      </c>
      <c r="J797" s="45" t="s">
        <v>369</v>
      </c>
      <c r="K797" s="39" t="s">
        <v>1716</v>
      </c>
      <c r="L797" s="39" t="s">
        <v>1014</v>
      </c>
      <c r="M797" s="38" t="str">
        <f t="shared" si="13"/>
        <v>Bon du Trésor</v>
      </c>
    </row>
    <row r="798" spans="1:14" x14ac:dyDescent="0.2">
      <c r="A798" s="38" t="s">
        <v>1035</v>
      </c>
      <c r="B798" s="38">
        <v>200679</v>
      </c>
      <c r="C798" s="55" t="s">
        <v>222</v>
      </c>
      <c r="D798" s="279">
        <v>100000</v>
      </c>
      <c r="F798" s="40">
        <v>3.5000000000000003E-2</v>
      </c>
      <c r="G798" s="44">
        <v>37935</v>
      </c>
      <c r="H798" s="44">
        <v>38117</v>
      </c>
      <c r="I798" s="39">
        <v>26</v>
      </c>
      <c r="J798" s="45" t="s">
        <v>369</v>
      </c>
      <c r="K798" s="39" t="s">
        <v>1716</v>
      </c>
      <c r="L798" s="39" t="s">
        <v>1014</v>
      </c>
      <c r="M798" s="38" t="str">
        <f t="shared" si="13"/>
        <v>Bon du Trésor</v>
      </c>
    </row>
    <row r="799" spans="1:14" x14ac:dyDescent="0.2">
      <c r="A799" s="38" t="s">
        <v>1035</v>
      </c>
      <c r="B799" s="38">
        <v>200681</v>
      </c>
      <c r="C799" s="55" t="s">
        <v>223</v>
      </c>
      <c r="D799" s="279">
        <v>100000</v>
      </c>
      <c r="F799" s="40">
        <v>3.5000000000000003E-2</v>
      </c>
      <c r="G799" s="44">
        <v>37949</v>
      </c>
      <c r="H799" s="44">
        <v>38131</v>
      </c>
      <c r="I799" s="39">
        <v>26</v>
      </c>
      <c r="J799" s="45" t="s">
        <v>369</v>
      </c>
      <c r="K799" s="39" t="s">
        <v>1716</v>
      </c>
      <c r="L799" s="39" t="s">
        <v>1014</v>
      </c>
      <c r="M799" s="38" t="str">
        <f t="shared" si="13"/>
        <v>Bon du Trésor</v>
      </c>
    </row>
    <row r="800" spans="1:14" x14ac:dyDescent="0.2">
      <c r="A800" s="38" t="s">
        <v>1035</v>
      </c>
      <c r="B800" s="38">
        <v>200682</v>
      </c>
      <c r="C800" s="55" t="s">
        <v>587</v>
      </c>
      <c r="D800" s="279">
        <v>100000</v>
      </c>
      <c r="F800" s="40">
        <v>3.6999999999999998E-2</v>
      </c>
      <c r="G800" s="44">
        <v>37949</v>
      </c>
      <c r="H800" s="44">
        <v>38313</v>
      </c>
      <c r="I800" s="39">
        <v>52</v>
      </c>
      <c r="J800" s="45" t="s">
        <v>369</v>
      </c>
      <c r="K800" s="39" t="s">
        <v>1716</v>
      </c>
      <c r="L800" s="39" t="s">
        <v>1014</v>
      </c>
      <c r="M800" s="38" t="str">
        <f t="shared" si="13"/>
        <v>Bon du Trésor</v>
      </c>
    </row>
    <row r="801" spans="1:13" x14ac:dyDescent="0.2">
      <c r="A801" s="38" t="s">
        <v>1035</v>
      </c>
      <c r="B801" s="38">
        <v>200686</v>
      </c>
      <c r="C801" s="55" t="s">
        <v>588</v>
      </c>
      <c r="D801" s="279">
        <v>100000</v>
      </c>
      <c r="F801" s="40">
        <v>3.5000000000000003E-2</v>
      </c>
      <c r="G801" s="44">
        <v>37963</v>
      </c>
      <c r="H801" s="44">
        <v>38145</v>
      </c>
      <c r="I801" s="39">
        <v>26</v>
      </c>
      <c r="J801" s="45" t="s">
        <v>369</v>
      </c>
      <c r="K801" s="39" t="s">
        <v>1716</v>
      </c>
      <c r="L801" s="39" t="s">
        <v>1014</v>
      </c>
      <c r="M801" s="38" t="str">
        <f t="shared" si="13"/>
        <v>Bon du Trésor</v>
      </c>
    </row>
    <row r="802" spans="1:13" x14ac:dyDescent="0.2">
      <c r="A802" s="38" t="s">
        <v>1035</v>
      </c>
      <c r="B802" s="38">
        <v>200689</v>
      </c>
      <c r="C802" s="55" t="s">
        <v>60</v>
      </c>
      <c r="D802" s="279">
        <v>100000</v>
      </c>
      <c r="F802" s="40">
        <v>3.5000000000000003E-2</v>
      </c>
      <c r="G802" s="44">
        <v>37977</v>
      </c>
      <c r="H802" s="44">
        <v>38159</v>
      </c>
      <c r="I802" s="39">
        <v>26</v>
      </c>
      <c r="J802" s="45" t="s">
        <v>369</v>
      </c>
      <c r="K802" s="39" t="s">
        <v>1716</v>
      </c>
      <c r="L802" s="39" t="s">
        <v>1014</v>
      </c>
      <c r="M802" s="38" t="str">
        <f t="shared" si="13"/>
        <v>Bon du Trésor</v>
      </c>
    </row>
    <row r="803" spans="1:13" x14ac:dyDescent="0.2">
      <c r="A803" s="38" t="s">
        <v>1035</v>
      </c>
      <c r="B803" s="38">
        <v>200507</v>
      </c>
      <c r="C803" s="55" t="s">
        <v>62</v>
      </c>
      <c r="D803" s="279">
        <v>100000</v>
      </c>
      <c r="F803" s="40">
        <v>6.2E-2</v>
      </c>
      <c r="G803" s="44">
        <v>37165</v>
      </c>
      <c r="H803" s="44">
        <v>38991</v>
      </c>
      <c r="I803" s="39">
        <v>5</v>
      </c>
      <c r="J803" s="45" t="s">
        <v>1716</v>
      </c>
      <c r="K803" s="39" t="s">
        <v>1716</v>
      </c>
      <c r="L803" s="39" t="s">
        <v>1014</v>
      </c>
      <c r="M803" s="38" t="str">
        <f t="shared" si="13"/>
        <v>Bon du Trésor</v>
      </c>
    </row>
    <row r="804" spans="1:13" x14ac:dyDescent="0.2">
      <c r="A804" s="38" t="s">
        <v>1035</v>
      </c>
      <c r="B804" s="38">
        <v>200590</v>
      </c>
      <c r="C804" s="55" t="s">
        <v>881</v>
      </c>
      <c r="D804" s="279">
        <v>100000</v>
      </c>
      <c r="F804" s="40">
        <v>0.05</v>
      </c>
      <c r="G804" s="44">
        <v>37564</v>
      </c>
      <c r="H804" s="44">
        <v>39390</v>
      </c>
      <c r="I804" s="39">
        <v>5</v>
      </c>
      <c r="J804" s="45" t="s">
        <v>1716</v>
      </c>
      <c r="K804" s="39" t="s">
        <v>1716</v>
      </c>
      <c r="L804" s="39" t="s">
        <v>1014</v>
      </c>
      <c r="M804" s="38" t="str">
        <f t="shared" si="13"/>
        <v>Bon du Trésor</v>
      </c>
    </row>
    <row r="805" spans="1:13" x14ac:dyDescent="0.2">
      <c r="A805" s="38" t="s">
        <v>1035</v>
      </c>
      <c r="B805" s="38">
        <v>200671</v>
      </c>
      <c r="C805" s="55" t="s">
        <v>63</v>
      </c>
      <c r="D805" s="279">
        <v>100000</v>
      </c>
      <c r="F805" s="40">
        <v>3.4500000000000003E-2</v>
      </c>
      <c r="G805" s="44">
        <v>37837</v>
      </c>
      <c r="H805" s="44">
        <v>38568</v>
      </c>
      <c r="I805" s="39">
        <v>2</v>
      </c>
      <c r="J805" s="45" t="s">
        <v>1716</v>
      </c>
      <c r="K805" s="39" t="s">
        <v>1716</v>
      </c>
      <c r="L805" s="39" t="s">
        <v>1014</v>
      </c>
      <c r="M805" s="38" t="str">
        <f t="shared" si="13"/>
        <v>Bon du Trésor</v>
      </c>
    </row>
    <row r="806" spans="1:13" x14ac:dyDescent="0.2">
      <c r="A806" s="38" t="s">
        <v>1035</v>
      </c>
      <c r="B806" s="38">
        <v>200688</v>
      </c>
      <c r="C806" s="55" t="s">
        <v>64</v>
      </c>
      <c r="D806" s="279">
        <v>100000</v>
      </c>
      <c r="F806" s="40">
        <v>4.9000000000000002E-2</v>
      </c>
      <c r="G806" s="44">
        <v>37970</v>
      </c>
      <c r="H806" s="44">
        <v>39797</v>
      </c>
      <c r="I806" s="39">
        <v>5</v>
      </c>
      <c r="J806" s="45" t="s">
        <v>1716</v>
      </c>
      <c r="K806" s="39" t="s">
        <v>1716</v>
      </c>
      <c r="L806" s="39" t="s">
        <v>1014</v>
      </c>
      <c r="M806" s="38" t="str">
        <f t="shared" si="13"/>
        <v>Bon du Trésor</v>
      </c>
    </row>
    <row r="807" spans="1:13" x14ac:dyDescent="0.2">
      <c r="A807" s="38" t="s">
        <v>1035</v>
      </c>
      <c r="B807" s="38">
        <v>200693</v>
      </c>
      <c r="C807" s="55" t="s">
        <v>65</v>
      </c>
      <c r="D807" s="279">
        <v>100000</v>
      </c>
      <c r="F807" s="40">
        <v>4.7E-2</v>
      </c>
      <c r="G807" s="44">
        <v>38005</v>
      </c>
      <c r="H807" s="44">
        <v>39832</v>
      </c>
      <c r="I807" s="39">
        <v>5</v>
      </c>
      <c r="J807" s="45" t="s">
        <v>1716</v>
      </c>
      <c r="K807" s="39" t="s">
        <v>1716</v>
      </c>
      <c r="L807" s="39" t="s">
        <v>1014</v>
      </c>
      <c r="M807" s="38" t="str">
        <f t="shared" si="13"/>
        <v>Bon du Trésor</v>
      </c>
    </row>
    <row r="808" spans="1:13" x14ac:dyDescent="0.2">
      <c r="A808" s="38" t="s">
        <v>1035</v>
      </c>
      <c r="B808" s="38">
        <v>300000</v>
      </c>
      <c r="C808" s="55" t="s">
        <v>205</v>
      </c>
      <c r="D808" s="279">
        <v>100000</v>
      </c>
      <c r="F808" s="40">
        <v>0.05</v>
      </c>
      <c r="G808" s="44">
        <v>37564</v>
      </c>
      <c r="H808" s="44">
        <v>39390</v>
      </c>
      <c r="I808" s="39">
        <v>5</v>
      </c>
      <c r="J808" s="45" t="s">
        <v>1716</v>
      </c>
      <c r="K808" s="39" t="s">
        <v>1716</v>
      </c>
      <c r="L808" s="39" t="s">
        <v>1014</v>
      </c>
      <c r="M808" s="38" t="str">
        <f t="shared" si="13"/>
        <v>Bon du Trésor</v>
      </c>
    </row>
    <row r="809" spans="1:13" x14ac:dyDescent="0.2">
      <c r="A809" s="38" t="s">
        <v>1035</v>
      </c>
      <c r="B809" s="38">
        <v>200597</v>
      </c>
      <c r="C809" s="55" t="s">
        <v>208</v>
      </c>
      <c r="D809" s="279">
        <v>100000</v>
      </c>
      <c r="F809" s="40">
        <v>5.8500000000000003E-2</v>
      </c>
      <c r="G809" s="44">
        <v>37592</v>
      </c>
      <c r="H809" s="44">
        <v>41245</v>
      </c>
      <c r="I809" s="39">
        <v>10</v>
      </c>
      <c r="J809" s="45" t="s">
        <v>1716</v>
      </c>
      <c r="K809" s="39" t="s">
        <v>1716</v>
      </c>
      <c r="L809" s="39" t="s">
        <v>1014</v>
      </c>
      <c r="M809" s="38" t="str">
        <f t="shared" si="13"/>
        <v>Bon du Trésor</v>
      </c>
    </row>
    <row r="810" spans="1:13" x14ac:dyDescent="0.2">
      <c r="A810" s="38" t="s">
        <v>1512</v>
      </c>
      <c r="B810" s="38">
        <v>2099</v>
      </c>
      <c r="C810" s="55" t="s">
        <v>383</v>
      </c>
      <c r="D810" s="279">
        <v>135</v>
      </c>
      <c r="E810" s="38">
        <v>0</v>
      </c>
      <c r="F810" s="40">
        <v>4.4999999999999998E-2</v>
      </c>
      <c r="G810" s="44">
        <v>37978</v>
      </c>
      <c r="H810" s="44">
        <v>39013</v>
      </c>
      <c r="I810" s="39">
        <v>2.8333333333333335</v>
      </c>
      <c r="J810" s="45" t="s">
        <v>1716</v>
      </c>
      <c r="K810" s="39" t="s">
        <v>1716</v>
      </c>
      <c r="L810" s="39" t="s">
        <v>1014</v>
      </c>
      <c r="M810" s="38" t="str">
        <f t="shared" si="13"/>
        <v>Obligation ordinaire</v>
      </c>
    </row>
    <row r="811" spans="1:13" x14ac:dyDescent="0.2">
      <c r="A811" s="38" t="s">
        <v>1035</v>
      </c>
      <c r="B811" s="38">
        <v>200616</v>
      </c>
      <c r="C811" s="55" t="s">
        <v>1539</v>
      </c>
      <c r="D811" s="279">
        <v>100000</v>
      </c>
      <c r="E811" s="38">
        <v>101</v>
      </c>
      <c r="F811" s="40">
        <v>0.03</v>
      </c>
      <c r="G811" s="44">
        <v>37641</v>
      </c>
      <c r="H811" s="44">
        <v>38005</v>
      </c>
      <c r="I811" s="39">
        <v>52</v>
      </c>
      <c r="J811" s="45" t="s">
        <v>369</v>
      </c>
      <c r="K811" s="39" t="s">
        <v>1716</v>
      </c>
      <c r="L811" s="39" t="s">
        <v>1014</v>
      </c>
      <c r="M811" s="38" t="str">
        <f t="shared" si="13"/>
        <v>Bon du Trésor</v>
      </c>
    </row>
    <row r="812" spans="1:13" x14ac:dyDescent="0.2">
      <c r="A812" s="38" t="s">
        <v>1035</v>
      </c>
      <c r="B812" s="38">
        <v>200680</v>
      </c>
      <c r="C812" s="55" t="s">
        <v>1544</v>
      </c>
      <c r="D812" s="279">
        <v>100000</v>
      </c>
      <c r="E812" s="38">
        <v>101</v>
      </c>
      <c r="F812" s="40">
        <v>3.5000000000000003E-2</v>
      </c>
      <c r="G812" s="44">
        <v>37942</v>
      </c>
      <c r="H812" s="44">
        <v>38124</v>
      </c>
      <c r="I812" s="39">
        <v>26</v>
      </c>
      <c r="J812" s="45" t="s">
        <v>369</v>
      </c>
      <c r="K812" s="39" t="s">
        <v>1716</v>
      </c>
      <c r="L812" s="39" t="s">
        <v>1014</v>
      </c>
      <c r="M812" s="38" t="str">
        <f t="shared" si="13"/>
        <v>Bon du Trésor</v>
      </c>
    </row>
    <row r="813" spans="1:13" x14ac:dyDescent="0.2">
      <c r="A813" s="38" t="s">
        <v>1035</v>
      </c>
      <c r="B813" s="38">
        <v>200683</v>
      </c>
      <c r="C813" s="55" t="s">
        <v>871</v>
      </c>
      <c r="D813" s="279">
        <v>100000</v>
      </c>
      <c r="E813" s="38">
        <v>101</v>
      </c>
      <c r="F813" s="40">
        <v>3.3500000000000002E-2</v>
      </c>
      <c r="G813" s="44">
        <v>37956</v>
      </c>
      <c r="H813" s="44">
        <v>38047</v>
      </c>
      <c r="I813" s="39">
        <v>13</v>
      </c>
      <c r="J813" s="45" t="s">
        <v>369</v>
      </c>
      <c r="K813" s="39" t="s">
        <v>1716</v>
      </c>
      <c r="L813" s="39" t="s">
        <v>1014</v>
      </c>
      <c r="M813" s="38" t="str">
        <f t="shared" si="13"/>
        <v>Bon du Trésor</v>
      </c>
    </row>
    <row r="814" spans="1:13" x14ac:dyDescent="0.2">
      <c r="A814" s="38" t="s">
        <v>1035</v>
      </c>
      <c r="B814" s="38">
        <v>200684</v>
      </c>
      <c r="C814" s="55" t="s">
        <v>872</v>
      </c>
      <c r="D814" s="279">
        <v>100000</v>
      </c>
      <c r="E814" s="38">
        <v>101</v>
      </c>
      <c r="F814" s="40">
        <v>3.5000000000000003E-2</v>
      </c>
      <c r="G814" s="44">
        <v>37956</v>
      </c>
      <c r="H814" s="44">
        <v>38138</v>
      </c>
      <c r="I814" s="39">
        <v>26</v>
      </c>
      <c r="J814" s="45" t="s">
        <v>369</v>
      </c>
      <c r="K814" s="39" t="s">
        <v>1716</v>
      </c>
      <c r="L814" s="39" t="s">
        <v>1014</v>
      </c>
      <c r="M814" s="38" t="str">
        <f t="shared" si="13"/>
        <v>Bon du Trésor</v>
      </c>
    </row>
    <row r="815" spans="1:13" x14ac:dyDescent="0.2">
      <c r="A815" s="38" t="s">
        <v>1035</v>
      </c>
      <c r="B815" s="38">
        <v>200685</v>
      </c>
      <c r="C815" s="55" t="s">
        <v>1580</v>
      </c>
      <c r="D815" s="279">
        <v>100000</v>
      </c>
      <c r="E815" s="38">
        <v>101</v>
      </c>
      <c r="F815" s="40">
        <v>3.3500000000000002E-2</v>
      </c>
      <c r="G815" s="44">
        <v>37963</v>
      </c>
      <c r="H815" s="44">
        <v>38054</v>
      </c>
      <c r="I815" s="39">
        <v>13</v>
      </c>
      <c r="J815" s="45" t="s">
        <v>369</v>
      </c>
      <c r="K815" s="39" t="s">
        <v>1716</v>
      </c>
      <c r="L815" s="39" t="s">
        <v>1014</v>
      </c>
      <c r="M815" s="38" t="str">
        <f t="shared" si="13"/>
        <v>Bon du Trésor</v>
      </c>
    </row>
    <row r="816" spans="1:13" x14ac:dyDescent="0.2">
      <c r="A816" s="38" t="s">
        <v>1035</v>
      </c>
      <c r="B816" s="38">
        <v>200687</v>
      </c>
      <c r="C816" s="55" t="s">
        <v>1581</v>
      </c>
      <c r="D816" s="279">
        <v>100000</v>
      </c>
      <c r="E816" s="38">
        <v>101</v>
      </c>
      <c r="F816" s="40">
        <v>3.5000000000000003E-2</v>
      </c>
      <c r="G816" s="44">
        <v>37970</v>
      </c>
      <c r="H816" s="44">
        <v>38152</v>
      </c>
      <c r="I816" s="39">
        <v>26</v>
      </c>
      <c r="J816" s="45" t="s">
        <v>369</v>
      </c>
      <c r="K816" s="39" t="s">
        <v>1716</v>
      </c>
      <c r="L816" s="39" t="s">
        <v>1014</v>
      </c>
      <c r="M816" s="38" t="str">
        <f t="shared" si="13"/>
        <v>Bon du Trésor</v>
      </c>
    </row>
    <row r="817" spans="1:14" x14ac:dyDescent="0.2">
      <c r="A817" s="38" t="s">
        <v>1035</v>
      </c>
      <c r="B817" s="38">
        <v>200690</v>
      </c>
      <c r="C817" s="55" t="s">
        <v>2034</v>
      </c>
      <c r="D817" s="279">
        <v>100000</v>
      </c>
      <c r="E817" s="38">
        <v>101</v>
      </c>
      <c r="F817" s="40">
        <v>3.5000000000000003E-2</v>
      </c>
      <c r="G817" s="44">
        <v>37984</v>
      </c>
      <c r="H817" s="44">
        <v>38166</v>
      </c>
      <c r="I817" s="39">
        <v>26</v>
      </c>
      <c r="J817" s="45" t="s">
        <v>369</v>
      </c>
      <c r="K817" s="39" t="s">
        <v>1716</v>
      </c>
      <c r="L817" s="39" t="s">
        <v>1014</v>
      </c>
      <c r="M817" s="38" t="str">
        <f t="shared" si="13"/>
        <v>Bon du Trésor</v>
      </c>
    </row>
    <row r="818" spans="1:14" s="108" customFormat="1" x14ac:dyDescent="0.2">
      <c r="A818" s="237" t="s">
        <v>1512</v>
      </c>
      <c r="B818" s="237">
        <v>2100</v>
      </c>
      <c r="C818" s="238" t="s">
        <v>2023</v>
      </c>
      <c r="D818" s="580">
        <v>100000</v>
      </c>
      <c r="E818" s="237">
        <v>0</v>
      </c>
      <c r="F818" s="239">
        <v>4.5100000000000001E-2</v>
      </c>
      <c r="G818" s="240">
        <v>39447</v>
      </c>
      <c r="H818" s="240">
        <v>39813</v>
      </c>
      <c r="I818" s="241">
        <v>5</v>
      </c>
      <c r="J818" s="242" t="s">
        <v>1716</v>
      </c>
      <c r="K818" s="241" t="s">
        <v>1716</v>
      </c>
      <c r="L818" s="241" t="s">
        <v>1014</v>
      </c>
      <c r="M818" s="237" t="str">
        <f t="shared" si="13"/>
        <v>Obligation ordinaire</v>
      </c>
      <c r="N818" s="237"/>
    </row>
    <row r="819" spans="1:14" x14ac:dyDescent="0.2">
      <c r="A819" s="38" t="s">
        <v>1035</v>
      </c>
      <c r="B819" s="38">
        <v>200695</v>
      </c>
      <c r="C819" s="55" t="s">
        <v>1218</v>
      </c>
      <c r="D819" s="279">
        <v>100000</v>
      </c>
      <c r="E819" s="38">
        <v>101</v>
      </c>
      <c r="F819" s="40">
        <v>5.8500000000000003E-2</v>
      </c>
      <c r="G819" s="44">
        <v>38020</v>
      </c>
      <c r="H819" s="44">
        <v>43499</v>
      </c>
      <c r="I819" s="39">
        <v>15</v>
      </c>
      <c r="J819" s="45" t="s">
        <v>1716</v>
      </c>
      <c r="K819" s="39" t="s">
        <v>1716</v>
      </c>
      <c r="L819" s="39" t="s">
        <v>1014</v>
      </c>
      <c r="M819" s="38" t="str">
        <f t="shared" si="13"/>
        <v>Bon du Trésor</v>
      </c>
    </row>
    <row r="820" spans="1:14" x14ac:dyDescent="0.2">
      <c r="A820" s="38" t="s">
        <v>1035</v>
      </c>
      <c r="B820" s="38">
        <v>200697</v>
      </c>
      <c r="C820" s="55" t="s">
        <v>1147</v>
      </c>
      <c r="D820" s="279">
        <v>100000</v>
      </c>
      <c r="E820" s="38">
        <v>101</v>
      </c>
      <c r="F820" s="40">
        <v>4.5999999999999999E-2</v>
      </c>
      <c r="G820" s="44">
        <v>38062</v>
      </c>
      <c r="H820" s="44">
        <v>39888</v>
      </c>
      <c r="I820" s="39">
        <v>5</v>
      </c>
      <c r="J820" s="45" t="s">
        <v>1716</v>
      </c>
      <c r="K820" s="39" t="s">
        <v>1716</v>
      </c>
      <c r="L820" s="39" t="s">
        <v>1014</v>
      </c>
      <c r="M820" s="38" t="str">
        <f t="shared" si="13"/>
        <v>Bon du Trésor</v>
      </c>
    </row>
    <row r="821" spans="1:14" x14ac:dyDescent="0.2">
      <c r="A821" s="38" t="s">
        <v>1713</v>
      </c>
      <c r="B821" s="38">
        <v>140044</v>
      </c>
      <c r="C821" s="38" t="s">
        <v>1115</v>
      </c>
      <c r="D821" s="279">
        <v>100000</v>
      </c>
      <c r="F821" s="40">
        <v>3.4000000000000002E-2</v>
      </c>
      <c r="G821" s="44">
        <v>38034</v>
      </c>
      <c r="H821" s="44">
        <v>38124</v>
      </c>
      <c r="I821" s="45">
        <v>13</v>
      </c>
      <c r="J821" s="45" t="s">
        <v>369</v>
      </c>
      <c r="K821" s="39" t="s">
        <v>1716</v>
      </c>
      <c r="L821" s="39" t="s">
        <v>1014</v>
      </c>
      <c r="M821" s="38" t="str">
        <f t="shared" si="13"/>
        <v>Billet de trésorerie</v>
      </c>
    </row>
    <row r="822" spans="1:14" x14ac:dyDescent="0.2">
      <c r="A822" s="38" t="s">
        <v>1035</v>
      </c>
      <c r="B822" s="38">
        <v>200699</v>
      </c>
      <c r="C822" s="55" t="s">
        <v>667</v>
      </c>
      <c r="D822" s="279">
        <v>100000</v>
      </c>
      <c r="E822" s="38">
        <v>101</v>
      </c>
      <c r="F822" s="40">
        <v>3.04E-2</v>
      </c>
      <c r="G822" s="44">
        <v>38040</v>
      </c>
      <c r="H822" s="44">
        <f>+G822+91</f>
        <v>38131</v>
      </c>
      <c r="I822" s="39">
        <v>13</v>
      </c>
      <c r="J822" s="45" t="s">
        <v>369</v>
      </c>
      <c r="K822" s="39" t="s">
        <v>1716</v>
      </c>
      <c r="L822" s="39" t="s">
        <v>1014</v>
      </c>
      <c r="M822" s="38" t="str">
        <f t="shared" si="13"/>
        <v>Bon du Trésor</v>
      </c>
    </row>
    <row r="823" spans="1:14" x14ac:dyDescent="0.2">
      <c r="A823" s="38" t="s">
        <v>1035</v>
      </c>
      <c r="B823" s="38">
        <v>200700</v>
      </c>
      <c r="C823" s="55" t="s">
        <v>668</v>
      </c>
      <c r="D823" s="279">
        <v>100000</v>
      </c>
      <c r="E823" s="38">
        <v>101</v>
      </c>
      <c r="F823" s="40">
        <v>3.4000000000000002E-2</v>
      </c>
      <c r="G823" s="44">
        <v>38067</v>
      </c>
      <c r="H823" s="44">
        <v>38432</v>
      </c>
      <c r="I823" s="39">
        <v>52</v>
      </c>
      <c r="J823" s="45" t="s">
        <v>369</v>
      </c>
      <c r="K823" s="39" t="s">
        <v>1716</v>
      </c>
      <c r="L823" s="39" t="s">
        <v>1014</v>
      </c>
      <c r="M823" s="38" t="str">
        <f t="shared" si="13"/>
        <v>Bon du Trésor</v>
      </c>
    </row>
    <row r="824" spans="1:14" x14ac:dyDescent="0.2">
      <c r="A824" s="38" t="s">
        <v>1035</v>
      </c>
      <c r="B824" s="38">
        <v>200694</v>
      </c>
      <c r="C824" s="55" t="s">
        <v>903</v>
      </c>
      <c r="D824" s="279">
        <v>100000</v>
      </c>
      <c r="E824" s="38">
        <v>101</v>
      </c>
      <c r="F824" s="40">
        <v>4.7E-2</v>
      </c>
      <c r="G824" s="44">
        <v>38020</v>
      </c>
      <c r="H824" s="44">
        <v>39847</v>
      </c>
      <c r="I824" s="39">
        <v>5</v>
      </c>
      <c r="J824" s="45" t="s">
        <v>1716</v>
      </c>
      <c r="K824" s="39" t="s">
        <v>1716</v>
      </c>
      <c r="L824" s="39" t="s">
        <v>1014</v>
      </c>
      <c r="M824" s="38" t="str">
        <f t="shared" si="13"/>
        <v>Bon du Trésor</v>
      </c>
    </row>
    <row r="825" spans="1:14" x14ac:dyDescent="0.2">
      <c r="A825" s="38" t="s">
        <v>1035</v>
      </c>
      <c r="B825" s="38">
        <v>200701</v>
      </c>
      <c r="C825" s="55" t="s">
        <v>1757</v>
      </c>
      <c r="D825" s="279">
        <v>100000</v>
      </c>
      <c r="F825" s="40">
        <v>3.6999999999999998E-2</v>
      </c>
      <c r="G825" s="44">
        <v>38047</v>
      </c>
      <c r="H825" s="44">
        <v>38777</v>
      </c>
      <c r="I825" s="39">
        <v>2</v>
      </c>
      <c r="J825" s="45" t="s">
        <v>1716</v>
      </c>
      <c r="K825" s="39" t="s">
        <v>1716</v>
      </c>
      <c r="L825" s="39" t="s">
        <v>1014</v>
      </c>
      <c r="M825" s="38" t="str">
        <f t="shared" si="13"/>
        <v>Bon du Trésor</v>
      </c>
    </row>
    <row r="826" spans="1:14" x14ac:dyDescent="0.2">
      <c r="A826" s="38" t="s">
        <v>1512</v>
      </c>
      <c r="B826" s="38">
        <v>9043</v>
      </c>
      <c r="C826" s="55" t="s">
        <v>1483</v>
      </c>
      <c r="D826" s="279">
        <v>100000</v>
      </c>
      <c r="F826" s="40">
        <v>5.1999999999999998E-2</v>
      </c>
      <c r="G826" s="44">
        <v>38048</v>
      </c>
      <c r="H826" s="44">
        <v>39874</v>
      </c>
      <c r="I826" s="39">
        <v>5</v>
      </c>
      <c r="J826" s="45" t="s">
        <v>1716</v>
      </c>
      <c r="K826" s="39" t="s">
        <v>1716</v>
      </c>
      <c r="L826" s="39" t="s">
        <v>1716</v>
      </c>
      <c r="M826" s="38" t="str">
        <f t="shared" si="13"/>
        <v>Obligation ordinaire</v>
      </c>
    </row>
    <row r="827" spans="1:14" x14ac:dyDescent="0.2">
      <c r="A827" s="38" t="s">
        <v>1512</v>
      </c>
      <c r="B827" s="38">
        <v>2102</v>
      </c>
      <c r="C827" s="55" t="s">
        <v>86</v>
      </c>
      <c r="D827" s="279">
        <v>100000</v>
      </c>
      <c r="F827" s="40">
        <v>6.7699999999999996E-2</v>
      </c>
      <c r="G827" s="44">
        <v>38061</v>
      </c>
      <c r="H827" s="44">
        <v>43539</v>
      </c>
      <c r="I827" s="39">
        <v>15</v>
      </c>
      <c r="J827" s="45" t="s">
        <v>1716</v>
      </c>
      <c r="K827" s="39" t="s">
        <v>1716</v>
      </c>
      <c r="L827" s="39" t="s">
        <v>1716</v>
      </c>
      <c r="M827" s="38" t="str">
        <f t="shared" si="13"/>
        <v>Obligation ordinaire</v>
      </c>
    </row>
    <row r="828" spans="1:14" x14ac:dyDescent="0.2">
      <c r="A828" s="38" t="s">
        <v>1035</v>
      </c>
      <c r="B828" s="38">
        <v>200706</v>
      </c>
      <c r="C828" s="55" t="s">
        <v>1724</v>
      </c>
      <c r="D828" s="279">
        <v>100000</v>
      </c>
      <c r="E828" s="38">
        <v>101</v>
      </c>
      <c r="F828" s="40">
        <v>4.4999999999999998E-2</v>
      </c>
      <c r="G828" s="44">
        <v>38111</v>
      </c>
      <c r="H828" s="44">
        <v>39937</v>
      </c>
      <c r="I828" s="39">
        <v>5</v>
      </c>
      <c r="J828" s="45" t="s">
        <v>1716</v>
      </c>
      <c r="K828" s="39" t="s">
        <v>1716</v>
      </c>
      <c r="L828" s="39" t="s">
        <v>1014</v>
      </c>
      <c r="M828" s="38" t="str">
        <f t="shared" si="13"/>
        <v>Bon du Trésor</v>
      </c>
    </row>
    <row r="829" spans="1:14" x14ac:dyDescent="0.2">
      <c r="A829" s="38" t="s">
        <v>1035</v>
      </c>
      <c r="B829" s="38">
        <v>200707</v>
      </c>
      <c r="C829" s="55" t="s">
        <v>58</v>
      </c>
      <c r="D829" s="279">
        <v>100000</v>
      </c>
      <c r="E829" s="38">
        <v>101</v>
      </c>
      <c r="F829" s="40">
        <v>5.1999999999999998E-2</v>
      </c>
      <c r="G829" s="44">
        <v>38082</v>
      </c>
      <c r="H829" s="44">
        <v>41734</v>
      </c>
      <c r="I829" s="39">
        <v>10</v>
      </c>
      <c r="J829" s="45" t="s">
        <v>1716</v>
      </c>
      <c r="K829" s="39" t="s">
        <v>1716</v>
      </c>
      <c r="L829" s="39" t="s">
        <v>1014</v>
      </c>
      <c r="M829" s="38" t="str">
        <f t="shared" si="13"/>
        <v>Bon du Trésor</v>
      </c>
    </row>
    <row r="830" spans="1:14" x14ac:dyDescent="0.2">
      <c r="A830" s="38" t="s">
        <v>1713</v>
      </c>
      <c r="B830" s="38">
        <v>140050</v>
      </c>
      <c r="C830" s="38" t="s">
        <v>59</v>
      </c>
      <c r="D830" s="279">
        <v>100000</v>
      </c>
      <c r="F830" s="40">
        <v>3.4500000000000003E-2</v>
      </c>
      <c r="G830" s="44">
        <v>38082</v>
      </c>
      <c r="H830" s="44">
        <v>38447</v>
      </c>
      <c r="I830" s="45">
        <v>1</v>
      </c>
      <c r="J830" s="45" t="s">
        <v>1716</v>
      </c>
      <c r="K830" s="39" t="s">
        <v>1716</v>
      </c>
      <c r="L830" s="39" t="s">
        <v>1014</v>
      </c>
      <c r="M830" s="38" t="str">
        <f t="shared" si="13"/>
        <v>Billet de trésorerie</v>
      </c>
    </row>
    <row r="831" spans="1:14" x14ac:dyDescent="0.2">
      <c r="A831" s="38" t="s">
        <v>1035</v>
      </c>
      <c r="B831" s="38">
        <v>200692</v>
      </c>
      <c r="C831" s="55" t="s">
        <v>1748</v>
      </c>
      <c r="D831" s="279">
        <v>100000</v>
      </c>
      <c r="E831" s="38">
        <v>101</v>
      </c>
      <c r="F831" s="40">
        <v>3.5999999999999997E-2</v>
      </c>
      <c r="G831" s="44">
        <v>38005</v>
      </c>
      <c r="H831" s="44">
        <v>38475</v>
      </c>
      <c r="I831" s="39">
        <v>52</v>
      </c>
      <c r="J831" s="45" t="s">
        <v>369</v>
      </c>
      <c r="K831" s="39" t="s">
        <v>1716</v>
      </c>
      <c r="L831" s="39" t="s">
        <v>1014</v>
      </c>
      <c r="M831" s="38" t="str">
        <f t="shared" si="13"/>
        <v>Bon du Trésor</v>
      </c>
    </row>
    <row r="832" spans="1:14" x14ac:dyDescent="0.2">
      <c r="A832" s="38" t="s">
        <v>1035</v>
      </c>
      <c r="B832" s="38">
        <v>200708</v>
      </c>
      <c r="C832" s="55" t="s">
        <v>1372</v>
      </c>
      <c r="D832" s="279">
        <v>100000</v>
      </c>
      <c r="E832" s="38">
        <v>101</v>
      </c>
      <c r="F832" s="40">
        <v>5.8000000000000003E-2</v>
      </c>
      <c r="G832" s="44">
        <v>38082</v>
      </c>
      <c r="H832" s="44">
        <v>43560</v>
      </c>
      <c r="I832" s="39">
        <v>15</v>
      </c>
      <c r="J832" s="45" t="s">
        <v>1716</v>
      </c>
      <c r="K832" s="39" t="s">
        <v>1716</v>
      </c>
      <c r="L832" s="39" t="s">
        <v>1014</v>
      </c>
      <c r="M832" s="38" t="str">
        <f t="shared" si="13"/>
        <v>Bon du Trésor</v>
      </c>
    </row>
    <row r="833" spans="1:14" x14ac:dyDescent="0.2">
      <c r="A833" s="38" t="s">
        <v>1713</v>
      </c>
      <c r="B833" s="38">
        <v>140057</v>
      </c>
      <c r="C833" s="38" t="s">
        <v>567</v>
      </c>
      <c r="D833" s="279">
        <v>100000</v>
      </c>
      <c r="F833" s="40">
        <v>3.3000000000000002E-2</v>
      </c>
      <c r="G833" s="44">
        <v>38124</v>
      </c>
      <c r="H833" s="44">
        <v>38488</v>
      </c>
      <c r="I833" s="45">
        <v>52</v>
      </c>
      <c r="J833" s="45" t="s">
        <v>369</v>
      </c>
      <c r="K833" s="39" t="s">
        <v>1716</v>
      </c>
      <c r="L833" s="39" t="s">
        <v>1014</v>
      </c>
      <c r="M833" s="38" t="str">
        <f t="shared" si="13"/>
        <v>Billet de trésorerie</v>
      </c>
    </row>
    <row r="834" spans="1:14" x14ac:dyDescent="0.2">
      <c r="A834" s="38" t="s">
        <v>1035</v>
      </c>
      <c r="B834" s="38">
        <v>200713</v>
      </c>
      <c r="C834" s="55" t="s">
        <v>803</v>
      </c>
      <c r="D834" s="279">
        <v>100000</v>
      </c>
      <c r="E834" s="38">
        <v>101</v>
      </c>
      <c r="F834" s="40">
        <v>4.2999999999999997E-2</v>
      </c>
      <c r="G834" s="44">
        <v>38188</v>
      </c>
      <c r="H834" s="44">
        <v>40014</v>
      </c>
      <c r="I834" s="39">
        <v>5</v>
      </c>
      <c r="J834" s="45" t="s">
        <v>1716</v>
      </c>
      <c r="K834" s="39" t="s">
        <v>1716</v>
      </c>
      <c r="L834" s="39" t="s">
        <v>1014</v>
      </c>
      <c r="M834" s="38" t="str">
        <f t="shared" si="13"/>
        <v>Bon du Trésor</v>
      </c>
    </row>
    <row r="835" spans="1:14" x14ac:dyDescent="0.2">
      <c r="A835" s="38" t="s">
        <v>1035</v>
      </c>
      <c r="B835" s="38">
        <v>200714</v>
      </c>
      <c r="C835" s="55" t="s">
        <v>154</v>
      </c>
      <c r="D835" s="279">
        <v>100000</v>
      </c>
      <c r="E835" s="38">
        <v>101</v>
      </c>
      <c r="F835" s="40">
        <v>5.1499999999999997E-2</v>
      </c>
      <c r="G835" s="44">
        <v>38152</v>
      </c>
      <c r="H835" s="44">
        <v>41804</v>
      </c>
      <c r="I835" s="39">
        <v>10</v>
      </c>
      <c r="J835" s="45" t="s">
        <v>1716</v>
      </c>
      <c r="K835" s="39" t="s">
        <v>1716</v>
      </c>
      <c r="L835" s="39" t="s">
        <v>1014</v>
      </c>
      <c r="M835" s="38" t="str">
        <f t="shared" ref="M835:M857" si="14">+A835</f>
        <v>Bon du Trésor</v>
      </c>
    </row>
    <row r="836" spans="1:14" x14ac:dyDescent="0.2">
      <c r="A836" s="38" t="s">
        <v>1512</v>
      </c>
      <c r="B836" s="38">
        <v>9044</v>
      </c>
      <c r="C836" s="38" t="s">
        <v>141</v>
      </c>
      <c r="D836" s="279">
        <v>150000</v>
      </c>
      <c r="E836" s="38">
        <v>2014</v>
      </c>
      <c r="F836" s="40">
        <v>5.3199999999999997E-2</v>
      </c>
      <c r="G836" s="44">
        <v>38149</v>
      </c>
      <c r="H836" s="44">
        <v>43627</v>
      </c>
      <c r="I836" s="45">
        <v>15</v>
      </c>
      <c r="J836" s="45" t="s">
        <v>1716</v>
      </c>
      <c r="K836" s="39" t="s">
        <v>1716</v>
      </c>
      <c r="L836" s="39" t="s">
        <v>1716</v>
      </c>
      <c r="M836" s="38" t="str">
        <f t="shared" si="14"/>
        <v>Obligation ordinaire</v>
      </c>
    </row>
    <row r="837" spans="1:14" s="53" customFormat="1" x14ac:dyDescent="0.2">
      <c r="A837" s="38" t="s">
        <v>1015</v>
      </c>
      <c r="B837" s="38">
        <v>100381</v>
      </c>
      <c r="C837" s="38" t="s">
        <v>1212</v>
      </c>
      <c r="D837" s="279">
        <v>100000</v>
      </c>
      <c r="E837" s="38"/>
      <c r="F837" s="40">
        <v>4.8000000000000001E-2</v>
      </c>
      <c r="G837" s="44">
        <v>38168</v>
      </c>
      <c r="H837" s="44">
        <v>39629</v>
      </c>
      <c r="I837" s="45">
        <v>4</v>
      </c>
      <c r="J837" s="45" t="s">
        <v>1716</v>
      </c>
      <c r="K837" s="39" t="s">
        <v>1716</v>
      </c>
      <c r="L837" s="39" t="s">
        <v>1014</v>
      </c>
      <c r="M837" s="38" t="str">
        <f t="shared" si="14"/>
        <v>Bon de société de financement</v>
      </c>
      <c r="N837" s="277"/>
    </row>
    <row r="838" spans="1:14" x14ac:dyDescent="0.2">
      <c r="A838" s="38" t="s">
        <v>1713</v>
      </c>
      <c r="B838" s="38">
        <v>140068</v>
      </c>
      <c r="C838" s="38" t="s">
        <v>1991</v>
      </c>
      <c r="D838" s="279">
        <v>100000</v>
      </c>
      <c r="F838" s="40">
        <v>2.7E-2</v>
      </c>
      <c r="G838" s="44">
        <v>38170</v>
      </c>
      <c r="H838" s="44">
        <v>38293</v>
      </c>
      <c r="I838" s="45">
        <v>17</v>
      </c>
      <c r="J838" s="45" t="s">
        <v>369</v>
      </c>
      <c r="K838" s="39" t="s">
        <v>1716</v>
      </c>
      <c r="L838" s="39" t="s">
        <v>1014</v>
      </c>
      <c r="M838" s="38" t="str">
        <f t="shared" si="14"/>
        <v>Billet de trésorerie</v>
      </c>
    </row>
    <row r="839" spans="1:14" x14ac:dyDescent="0.2">
      <c r="A839" s="38" t="s">
        <v>1035</v>
      </c>
      <c r="B839" s="38">
        <v>200702</v>
      </c>
      <c r="C839" s="55" t="s">
        <v>798</v>
      </c>
      <c r="D839" s="279">
        <v>100000</v>
      </c>
      <c r="E839" s="38">
        <v>101</v>
      </c>
      <c r="F839" s="40">
        <v>4.5499999999999999E-2</v>
      </c>
      <c r="G839" s="44">
        <v>38097</v>
      </c>
      <c r="H839" s="44">
        <v>39923</v>
      </c>
      <c r="I839" s="39">
        <v>5</v>
      </c>
      <c r="J839" s="45" t="s">
        <v>1716</v>
      </c>
      <c r="K839" s="39" t="s">
        <v>1716</v>
      </c>
      <c r="L839" s="39" t="s">
        <v>1014</v>
      </c>
      <c r="M839" s="38" t="str">
        <f t="shared" si="14"/>
        <v>Bon du Trésor</v>
      </c>
    </row>
    <row r="840" spans="1:14" x14ac:dyDescent="0.2">
      <c r="A840" s="38" t="s">
        <v>1035</v>
      </c>
      <c r="B840" s="38">
        <v>200719</v>
      </c>
      <c r="C840" s="55" t="s">
        <v>2030</v>
      </c>
      <c r="D840" s="279">
        <v>100000</v>
      </c>
      <c r="E840" s="38">
        <v>101</v>
      </c>
      <c r="F840" s="40">
        <v>4.9500000000000002E-2</v>
      </c>
      <c r="G840" s="44">
        <v>38201</v>
      </c>
      <c r="H840" s="44">
        <v>41853</v>
      </c>
      <c r="I840" s="39">
        <v>10</v>
      </c>
      <c r="J840" s="45" t="s">
        <v>1716</v>
      </c>
      <c r="K840" s="39" t="s">
        <v>1716</v>
      </c>
      <c r="L840" s="39" t="s">
        <v>1014</v>
      </c>
      <c r="M840" s="38" t="str">
        <f t="shared" si="14"/>
        <v>Bon du Trésor</v>
      </c>
    </row>
    <row r="841" spans="1:14" x14ac:dyDescent="0.2">
      <c r="A841" s="38" t="s">
        <v>1512</v>
      </c>
      <c r="B841" s="38">
        <v>2105</v>
      </c>
      <c r="C841" s="38" t="s">
        <v>1310</v>
      </c>
      <c r="D841" s="279">
        <v>100000</v>
      </c>
      <c r="F841" s="40">
        <v>5.4600000000000003E-2</v>
      </c>
      <c r="G841" s="44">
        <v>38202</v>
      </c>
      <c r="H841" s="44">
        <v>40758</v>
      </c>
      <c r="I841" s="45">
        <v>7</v>
      </c>
      <c r="J841" s="45" t="s">
        <v>1716</v>
      </c>
      <c r="K841" s="39" t="s">
        <v>1716</v>
      </c>
      <c r="L841" s="39" t="s">
        <v>1716</v>
      </c>
      <c r="M841" s="38" t="str">
        <f t="shared" si="14"/>
        <v>Obligation ordinaire</v>
      </c>
    </row>
    <row r="842" spans="1:14" x14ac:dyDescent="0.2">
      <c r="A842" s="38" t="s">
        <v>1035</v>
      </c>
      <c r="B842" s="38">
        <v>200720</v>
      </c>
      <c r="C842" s="55" t="s">
        <v>810</v>
      </c>
      <c r="D842" s="279">
        <v>100000</v>
      </c>
      <c r="E842" s="38">
        <v>101</v>
      </c>
      <c r="F842" s="40">
        <v>5.6000000000000001E-2</v>
      </c>
      <c r="G842" s="44">
        <v>38201</v>
      </c>
      <c r="H842" s="44">
        <v>43679</v>
      </c>
      <c r="I842" s="39">
        <v>15</v>
      </c>
      <c r="J842" s="45" t="s">
        <v>1716</v>
      </c>
      <c r="K842" s="39" t="s">
        <v>1716</v>
      </c>
      <c r="L842" s="39" t="s">
        <v>1014</v>
      </c>
      <c r="M842" s="38" t="str">
        <f t="shared" si="14"/>
        <v>Bon du Trésor</v>
      </c>
    </row>
    <row r="843" spans="1:14" x14ac:dyDescent="0.2">
      <c r="A843" s="38" t="s">
        <v>1035</v>
      </c>
      <c r="B843" s="38">
        <v>200709</v>
      </c>
      <c r="C843" s="55" t="s">
        <v>1659</v>
      </c>
      <c r="D843" s="279">
        <v>100000</v>
      </c>
      <c r="E843" s="38">
        <v>101</v>
      </c>
      <c r="F843" s="40">
        <v>6.0999999999999999E-2</v>
      </c>
      <c r="G843" s="44">
        <v>38082</v>
      </c>
      <c r="H843" s="44">
        <v>45387</v>
      </c>
      <c r="I843" s="39">
        <v>20</v>
      </c>
      <c r="J843" s="45" t="s">
        <v>1716</v>
      </c>
      <c r="K843" s="39" t="s">
        <v>1716</v>
      </c>
      <c r="L843" s="39" t="s">
        <v>1014</v>
      </c>
      <c r="M843" s="38" t="str">
        <f t="shared" si="14"/>
        <v>Bon du Trésor</v>
      </c>
    </row>
    <row r="844" spans="1:14" x14ac:dyDescent="0.2">
      <c r="A844" s="38" t="s">
        <v>1512</v>
      </c>
      <c r="B844" s="38">
        <v>9046</v>
      </c>
      <c r="C844" s="55" t="s">
        <v>838</v>
      </c>
      <c r="D844" s="279">
        <v>100000</v>
      </c>
      <c r="F844" s="40">
        <v>4.5999999999999999E-2</v>
      </c>
      <c r="G844" s="44">
        <v>38293</v>
      </c>
      <c r="H844" s="44">
        <v>40119</v>
      </c>
      <c r="I844" s="39">
        <v>5</v>
      </c>
      <c r="J844" s="45" t="s">
        <v>1716</v>
      </c>
      <c r="K844" s="39" t="s">
        <v>1716</v>
      </c>
      <c r="L844" s="39" t="s">
        <v>1716</v>
      </c>
      <c r="M844" s="38" t="str">
        <f t="shared" si="14"/>
        <v>Obligation ordinaire</v>
      </c>
    </row>
    <row r="845" spans="1:14" x14ac:dyDescent="0.2">
      <c r="A845" s="38" t="s">
        <v>1035</v>
      </c>
      <c r="B845" s="38">
        <v>200732</v>
      </c>
      <c r="C845" s="55" t="s">
        <v>1543</v>
      </c>
      <c r="D845" s="279">
        <v>100000</v>
      </c>
      <c r="E845" s="38">
        <v>101</v>
      </c>
      <c r="F845" s="40">
        <v>5.5E-2</v>
      </c>
      <c r="G845" s="44">
        <v>38278</v>
      </c>
      <c r="H845" s="44">
        <v>43756</v>
      </c>
      <c r="I845" s="39">
        <v>15</v>
      </c>
      <c r="J845" s="45" t="s">
        <v>1716</v>
      </c>
      <c r="K845" s="39" t="s">
        <v>1716</v>
      </c>
      <c r="L845" s="39" t="s">
        <v>1014</v>
      </c>
      <c r="M845" s="38" t="str">
        <f t="shared" si="14"/>
        <v>Bon du Trésor</v>
      </c>
    </row>
    <row r="846" spans="1:14" x14ac:dyDescent="0.2">
      <c r="A846" s="38" t="s">
        <v>1512</v>
      </c>
      <c r="B846" s="38">
        <v>2106</v>
      </c>
      <c r="C846" s="55" t="s">
        <v>1542</v>
      </c>
      <c r="D846" s="279">
        <v>100000</v>
      </c>
      <c r="F846" s="40">
        <v>5.0099999999999999E-2</v>
      </c>
      <c r="G846" s="44">
        <v>38314</v>
      </c>
      <c r="H846" s="44">
        <v>40140</v>
      </c>
      <c r="I846" s="39">
        <v>5</v>
      </c>
      <c r="J846" s="45" t="s">
        <v>1716</v>
      </c>
      <c r="K846" s="39" t="s">
        <v>1716</v>
      </c>
      <c r="L846" s="39" t="s">
        <v>1716</v>
      </c>
      <c r="M846" s="38" t="str">
        <f t="shared" si="14"/>
        <v>Obligation ordinaire</v>
      </c>
    </row>
    <row r="847" spans="1:14" x14ac:dyDescent="0.2">
      <c r="A847" s="38" t="s">
        <v>1035</v>
      </c>
      <c r="B847" s="38">
        <v>200725</v>
      </c>
      <c r="C847" s="55" t="s">
        <v>1575</v>
      </c>
      <c r="D847" s="279">
        <v>100000</v>
      </c>
      <c r="E847" s="38">
        <v>101</v>
      </c>
      <c r="F847" s="40">
        <v>2.7E-2</v>
      </c>
      <c r="G847" s="44">
        <v>38249</v>
      </c>
      <c r="H847" s="44">
        <v>38614</v>
      </c>
      <c r="I847" s="39">
        <v>52</v>
      </c>
      <c r="J847" s="45" t="s">
        <v>369</v>
      </c>
      <c r="K847" s="39" t="s">
        <v>1716</v>
      </c>
      <c r="L847" s="39" t="s">
        <v>1014</v>
      </c>
      <c r="M847" s="38" t="str">
        <f t="shared" si="14"/>
        <v>Bon du Trésor</v>
      </c>
    </row>
    <row r="848" spans="1:14" x14ac:dyDescent="0.2">
      <c r="A848" s="38" t="s">
        <v>1512</v>
      </c>
      <c r="B848" s="38">
        <v>2107</v>
      </c>
      <c r="C848" s="55" t="s">
        <v>1576</v>
      </c>
      <c r="D848" s="279">
        <v>100000</v>
      </c>
      <c r="F848" s="40">
        <v>4.65E-2</v>
      </c>
      <c r="G848" s="44">
        <v>38331</v>
      </c>
      <c r="H848" s="44">
        <v>40157</v>
      </c>
      <c r="I848" s="39">
        <v>5</v>
      </c>
      <c r="J848" s="45" t="s">
        <v>1716</v>
      </c>
      <c r="K848" s="39" t="s">
        <v>1716</v>
      </c>
      <c r="L848" s="39" t="s">
        <v>1014</v>
      </c>
      <c r="M848" s="38" t="str">
        <f t="shared" si="14"/>
        <v>Obligation ordinaire</v>
      </c>
    </row>
    <row r="849" spans="1:14" x14ac:dyDescent="0.2">
      <c r="A849" s="38" t="s">
        <v>1713</v>
      </c>
      <c r="B849" s="38">
        <v>140091</v>
      </c>
      <c r="C849" s="38" t="s">
        <v>757</v>
      </c>
      <c r="D849" s="279">
        <v>100000</v>
      </c>
      <c r="F849" s="40">
        <v>3.15E-2</v>
      </c>
      <c r="G849" s="44">
        <v>38338</v>
      </c>
      <c r="H849" s="44">
        <v>38520</v>
      </c>
      <c r="I849" s="45">
        <v>26</v>
      </c>
      <c r="J849" s="45" t="s">
        <v>369</v>
      </c>
      <c r="K849" s="39" t="s">
        <v>1716</v>
      </c>
      <c r="L849" s="39" t="s">
        <v>1014</v>
      </c>
      <c r="M849" s="38" t="str">
        <f t="shared" si="14"/>
        <v>Billet de trésorerie</v>
      </c>
    </row>
    <row r="850" spans="1:14" x14ac:dyDescent="0.2">
      <c r="A850" s="38" t="s">
        <v>1713</v>
      </c>
      <c r="B850" s="38">
        <v>140093</v>
      </c>
      <c r="C850" s="38" t="s">
        <v>1384</v>
      </c>
      <c r="D850" s="279">
        <v>100000</v>
      </c>
      <c r="F850" s="40">
        <v>2.8500000000000001E-2</v>
      </c>
      <c r="G850" s="44">
        <v>38352</v>
      </c>
      <c r="H850" s="44">
        <v>38442</v>
      </c>
      <c r="I850" s="45">
        <v>13</v>
      </c>
      <c r="J850" s="45" t="s">
        <v>369</v>
      </c>
      <c r="K850" s="39" t="s">
        <v>1716</v>
      </c>
      <c r="L850" s="39" t="s">
        <v>1014</v>
      </c>
      <c r="M850" s="38" t="str">
        <f t="shared" si="14"/>
        <v>Billet de trésorerie</v>
      </c>
    </row>
    <row r="851" spans="1:14" s="53" customFormat="1" x14ac:dyDescent="0.2">
      <c r="A851" s="38" t="s">
        <v>1015</v>
      </c>
      <c r="B851" s="38">
        <v>100396</v>
      </c>
      <c r="C851" s="38" t="s">
        <v>1645</v>
      </c>
      <c r="D851" s="279">
        <v>100000</v>
      </c>
      <c r="E851" s="38"/>
      <c r="F851" s="40">
        <v>4.4999999999999998E-2</v>
      </c>
      <c r="G851" s="44">
        <v>38378</v>
      </c>
      <c r="H851" s="44">
        <v>39473</v>
      </c>
      <c r="I851" s="45">
        <v>3</v>
      </c>
      <c r="J851" s="45" t="s">
        <v>1716</v>
      </c>
      <c r="K851" s="39" t="s">
        <v>1716</v>
      </c>
      <c r="L851" s="39" t="s">
        <v>1014</v>
      </c>
      <c r="M851" s="38" t="str">
        <f t="shared" si="14"/>
        <v>Bon de société de financement</v>
      </c>
      <c r="N851" s="277"/>
    </row>
    <row r="852" spans="1:14" x14ac:dyDescent="0.2">
      <c r="A852" s="38" t="s">
        <v>1035</v>
      </c>
      <c r="B852" s="38">
        <v>200731</v>
      </c>
      <c r="C852" s="55" t="s">
        <v>614</v>
      </c>
      <c r="D852" s="279">
        <v>100000</v>
      </c>
      <c r="E852" s="38">
        <v>101</v>
      </c>
      <c r="F852" s="40">
        <v>0.04</v>
      </c>
      <c r="G852" s="44">
        <v>38278</v>
      </c>
      <c r="H852" s="44">
        <v>40104</v>
      </c>
      <c r="I852" s="39">
        <v>5</v>
      </c>
      <c r="J852" s="45" t="s">
        <v>1716</v>
      </c>
      <c r="K852" s="39" t="s">
        <v>1716</v>
      </c>
      <c r="L852" s="39" t="s">
        <v>1014</v>
      </c>
      <c r="M852" s="38" t="str">
        <f t="shared" si="14"/>
        <v>Bon du Trésor</v>
      </c>
    </row>
    <row r="853" spans="1:14" x14ac:dyDescent="0.2">
      <c r="A853" s="38" t="s">
        <v>1035</v>
      </c>
      <c r="B853" s="38">
        <v>200747</v>
      </c>
      <c r="C853" s="55" t="s">
        <v>1558</v>
      </c>
      <c r="D853" s="279">
        <v>100000</v>
      </c>
      <c r="E853" s="38">
        <v>101</v>
      </c>
      <c r="F853" s="40">
        <v>2.3400000000000001E-2</v>
      </c>
      <c r="G853" s="44">
        <v>38383</v>
      </c>
      <c r="H853" s="44">
        <v>38474</v>
      </c>
      <c r="I853" s="39">
        <v>13</v>
      </c>
      <c r="J853" s="45" t="s">
        <v>369</v>
      </c>
      <c r="K853" s="39" t="s">
        <v>1716</v>
      </c>
      <c r="L853" s="39" t="s">
        <v>1014</v>
      </c>
      <c r="M853" s="38" t="str">
        <f t="shared" si="14"/>
        <v>Bon du Trésor</v>
      </c>
    </row>
    <row r="854" spans="1:14" x14ac:dyDescent="0.2">
      <c r="A854" s="38" t="s">
        <v>1035</v>
      </c>
      <c r="B854" s="38">
        <v>200748</v>
      </c>
      <c r="C854" s="55" t="s">
        <v>1560</v>
      </c>
      <c r="D854" s="279">
        <v>100000</v>
      </c>
      <c r="E854" s="38">
        <v>101</v>
      </c>
      <c r="F854" s="40">
        <v>2.4E-2</v>
      </c>
      <c r="G854" s="44">
        <v>38383</v>
      </c>
      <c r="H854" s="44">
        <v>38565</v>
      </c>
      <c r="I854" s="39">
        <v>26</v>
      </c>
      <c r="J854" s="45" t="s">
        <v>369</v>
      </c>
      <c r="K854" s="39" t="s">
        <v>1716</v>
      </c>
      <c r="L854" s="39" t="s">
        <v>1014</v>
      </c>
      <c r="M854" s="38" t="str">
        <f t="shared" si="14"/>
        <v>Bon du Trésor</v>
      </c>
    </row>
    <row r="855" spans="1:14" x14ac:dyDescent="0.2">
      <c r="A855" s="38" t="s">
        <v>1035</v>
      </c>
      <c r="B855" s="38">
        <v>200746</v>
      </c>
      <c r="C855" s="55" t="s">
        <v>1563</v>
      </c>
      <c r="D855" s="279">
        <v>100000</v>
      </c>
      <c r="E855" s="38">
        <v>101</v>
      </c>
      <c r="F855" s="40">
        <v>2.9000000000000001E-2</v>
      </c>
      <c r="G855" s="44">
        <v>38474</v>
      </c>
      <c r="H855" s="44">
        <v>38839</v>
      </c>
      <c r="I855" s="39">
        <v>52</v>
      </c>
      <c r="J855" s="45" t="s">
        <v>369</v>
      </c>
      <c r="K855" s="39" t="s">
        <v>1716</v>
      </c>
      <c r="L855" s="39" t="s">
        <v>1014</v>
      </c>
      <c r="M855" s="38" t="str">
        <f t="shared" si="14"/>
        <v>Bon du Trésor</v>
      </c>
    </row>
    <row r="856" spans="1:14" x14ac:dyDescent="0.2">
      <c r="A856" s="38" t="s">
        <v>1512</v>
      </c>
      <c r="B856" s="38">
        <v>2109</v>
      </c>
      <c r="C856" s="38" t="s">
        <v>1540</v>
      </c>
      <c r="D856" s="279">
        <v>100000</v>
      </c>
      <c r="F856" s="40">
        <v>4.5400000000000003E-2</v>
      </c>
      <c r="G856" s="44">
        <v>38391</v>
      </c>
      <c r="H856" s="44">
        <v>40947</v>
      </c>
      <c r="I856" s="45">
        <v>7</v>
      </c>
      <c r="J856" s="45" t="s">
        <v>1716</v>
      </c>
      <c r="K856" s="39" t="s">
        <v>1716</v>
      </c>
      <c r="L856" s="39" t="s">
        <v>1014</v>
      </c>
      <c r="M856" s="38" t="str">
        <f t="shared" si="14"/>
        <v>Obligation ordinaire</v>
      </c>
    </row>
    <row r="857" spans="1:14" x14ac:dyDescent="0.2">
      <c r="A857" s="38" t="s">
        <v>1035</v>
      </c>
      <c r="B857" s="38">
        <v>200749</v>
      </c>
      <c r="C857" s="55" t="s">
        <v>780</v>
      </c>
      <c r="D857" s="279">
        <v>100000</v>
      </c>
      <c r="E857" s="38">
        <v>101</v>
      </c>
      <c r="F857" s="40">
        <v>4.9000000000000002E-2</v>
      </c>
      <c r="G857" s="44">
        <v>38383</v>
      </c>
      <c r="H857" s="44">
        <v>42035</v>
      </c>
      <c r="I857" s="39">
        <v>10</v>
      </c>
      <c r="J857" s="45" t="s">
        <v>1716</v>
      </c>
      <c r="K857" s="39" t="s">
        <v>1716</v>
      </c>
      <c r="L857" s="39" t="s">
        <v>1014</v>
      </c>
      <c r="M857" s="38" t="str">
        <f t="shared" si="14"/>
        <v>Bon du Trésor</v>
      </c>
    </row>
    <row r="858" spans="1:14" x14ac:dyDescent="0.2">
      <c r="A858" s="38" t="s">
        <v>1035</v>
      </c>
      <c r="B858" s="38">
        <v>200751</v>
      </c>
      <c r="C858" s="55" t="s">
        <v>1489</v>
      </c>
      <c r="D858" s="279">
        <v>100000</v>
      </c>
      <c r="E858" s="38">
        <v>101</v>
      </c>
      <c r="F858" s="40">
        <v>0.06</v>
      </c>
      <c r="G858" s="44">
        <v>38411</v>
      </c>
      <c r="H858" s="44">
        <v>45716</v>
      </c>
      <c r="I858" s="39">
        <v>20</v>
      </c>
      <c r="J858" s="45" t="s">
        <v>1716</v>
      </c>
      <c r="K858" s="39" t="s">
        <v>1716</v>
      </c>
      <c r="L858" s="39" t="s">
        <v>1014</v>
      </c>
      <c r="M858" s="38" t="str">
        <f t="shared" ref="M858:M867" si="15">+A858</f>
        <v>Bon du Trésor</v>
      </c>
    </row>
    <row r="859" spans="1:14" x14ac:dyDescent="0.2">
      <c r="A859" s="38" t="s">
        <v>1035</v>
      </c>
      <c r="B859" s="38">
        <v>200750</v>
      </c>
      <c r="C859" s="55" t="s">
        <v>1249</v>
      </c>
      <c r="D859" s="279">
        <v>100000</v>
      </c>
      <c r="E859" s="38">
        <v>101</v>
      </c>
      <c r="F859" s="40">
        <v>5.5E-2</v>
      </c>
      <c r="G859" s="44">
        <v>38411</v>
      </c>
      <c r="H859" s="44">
        <v>43889</v>
      </c>
      <c r="I859" s="39">
        <v>15</v>
      </c>
      <c r="J859" s="45" t="s">
        <v>1716</v>
      </c>
      <c r="K859" s="39" t="s">
        <v>1716</v>
      </c>
      <c r="L859" s="39" t="s">
        <v>1014</v>
      </c>
      <c r="M859" s="38" t="str">
        <f t="shared" si="15"/>
        <v>Bon du Trésor</v>
      </c>
    </row>
    <row r="860" spans="1:14" x14ac:dyDescent="0.2">
      <c r="A860" s="38" t="s">
        <v>1512</v>
      </c>
      <c r="B860" s="38">
        <v>9014</v>
      </c>
      <c r="C860" s="55" t="s">
        <v>1954</v>
      </c>
      <c r="D860" s="279">
        <v>100000</v>
      </c>
      <c r="F860" s="40">
        <v>4.99E-2</v>
      </c>
      <c r="G860" s="44">
        <v>37593</v>
      </c>
      <c r="H860" s="44">
        <v>38689</v>
      </c>
      <c r="I860" s="39">
        <v>3</v>
      </c>
      <c r="J860" s="45" t="s">
        <v>1716</v>
      </c>
      <c r="K860" s="39" t="s">
        <v>1716</v>
      </c>
      <c r="L860" s="39" t="s">
        <v>1014</v>
      </c>
      <c r="M860" s="38" t="str">
        <f t="shared" si="15"/>
        <v>Obligation ordinaire</v>
      </c>
    </row>
    <row r="861" spans="1:14" x14ac:dyDescent="0.2">
      <c r="A861" s="38" t="s">
        <v>1512</v>
      </c>
      <c r="B861" s="38">
        <v>2108</v>
      </c>
      <c r="C861" s="55" t="s">
        <v>759</v>
      </c>
      <c r="D861" s="279">
        <v>100000</v>
      </c>
      <c r="F861" s="40">
        <v>5.5399999999999998E-2</v>
      </c>
      <c r="G861" s="44">
        <v>38351</v>
      </c>
      <c r="H861" s="44">
        <v>40177</v>
      </c>
      <c r="I861" s="39">
        <v>5</v>
      </c>
      <c r="J861" s="45" t="s">
        <v>1716</v>
      </c>
      <c r="K861" s="39" t="s">
        <v>1716</v>
      </c>
      <c r="L861" s="39" t="s">
        <v>1014</v>
      </c>
      <c r="M861" s="38" t="str">
        <f t="shared" si="15"/>
        <v>Obligation ordinaire</v>
      </c>
    </row>
    <row r="862" spans="1:14" s="53" customFormat="1" x14ac:dyDescent="0.2">
      <c r="A862" s="38" t="s">
        <v>1512</v>
      </c>
      <c r="B862" s="38">
        <v>9005</v>
      </c>
      <c r="C862" s="38" t="s">
        <v>259</v>
      </c>
      <c r="D862" s="279">
        <v>150000</v>
      </c>
      <c r="E862" s="38"/>
      <c r="F862" s="40">
        <v>6.4500000000000002E-2</v>
      </c>
      <c r="G862" s="44">
        <v>37404</v>
      </c>
      <c r="H862" s="44">
        <v>42883</v>
      </c>
      <c r="I862" s="45">
        <v>15</v>
      </c>
      <c r="J862" s="45" t="s">
        <v>1716</v>
      </c>
      <c r="K862" s="39" t="s">
        <v>1716</v>
      </c>
      <c r="L862" s="39" t="s">
        <v>1716</v>
      </c>
      <c r="M862" s="38" t="str">
        <f t="shared" si="15"/>
        <v>Obligation ordinaire</v>
      </c>
      <c r="N862" s="277"/>
    </row>
    <row r="863" spans="1:14" s="53" customFormat="1" x14ac:dyDescent="0.2">
      <c r="A863" s="38" t="s">
        <v>1015</v>
      </c>
      <c r="B863" s="38">
        <v>100298</v>
      </c>
      <c r="C863" s="38" t="s">
        <v>1294</v>
      </c>
      <c r="D863" s="279">
        <v>100000</v>
      </c>
      <c r="E863" s="38"/>
      <c r="F863" s="40">
        <v>4.6199999999999998E-2</v>
      </c>
      <c r="G863" s="44">
        <v>37778</v>
      </c>
      <c r="H863" s="44">
        <v>38874</v>
      </c>
      <c r="I863" s="45">
        <v>3</v>
      </c>
      <c r="J863" s="45" t="s">
        <v>1716</v>
      </c>
      <c r="K863" s="39" t="s">
        <v>1716</v>
      </c>
      <c r="L863" s="39" t="s">
        <v>1014</v>
      </c>
      <c r="M863" s="38" t="str">
        <f t="shared" si="15"/>
        <v>Bon de société de financement</v>
      </c>
      <c r="N863" s="277"/>
    </row>
    <row r="864" spans="1:14" x14ac:dyDescent="0.2">
      <c r="A864" s="38" t="s">
        <v>1713</v>
      </c>
      <c r="B864" s="38">
        <v>140107</v>
      </c>
      <c r="C864" s="38" t="s">
        <v>1000</v>
      </c>
      <c r="D864" s="279">
        <v>100000</v>
      </c>
      <c r="F864" s="40">
        <v>2.75E-2</v>
      </c>
      <c r="G864" s="41">
        <v>38446</v>
      </c>
      <c r="H864" s="41">
        <v>38629</v>
      </c>
      <c r="I864" s="45">
        <v>26</v>
      </c>
      <c r="J864" s="45" t="s">
        <v>369</v>
      </c>
      <c r="K864" s="39" t="s">
        <v>1716</v>
      </c>
      <c r="L864" s="39" t="s">
        <v>1014</v>
      </c>
      <c r="M864" s="38" t="str">
        <f t="shared" si="15"/>
        <v>Billet de trésorerie</v>
      </c>
    </row>
    <row r="865" spans="1:95" x14ac:dyDescent="0.2">
      <c r="A865" s="38" t="s">
        <v>1035</v>
      </c>
      <c r="B865" s="38">
        <v>200743</v>
      </c>
      <c r="C865" s="55" t="s">
        <v>1658</v>
      </c>
      <c r="D865" s="279">
        <v>100000</v>
      </c>
      <c r="E865" s="38">
        <v>101</v>
      </c>
      <c r="F865" s="40">
        <v>2.6499999999999999E-2</v>
      </c>
      <c r="G865" s="44">
        <v>38320</v>
      </c>
      <c r="H865" s="44">
        <v>38684</v>
      </c>
      <c r="I865" s="39">
        <v>52</v>
      </c>
      <c r="J865" s="45" t="s">
        <v>369</v>
      </c>
      <c r="K865" s="39" t="s">
        <v>1716</v>
      </c>
      <c r="L865" s="39" t="s">
        <v>1014</v>
      </c>
      <c r="M865" s="38" t="str">
        <f t="shared" si="15"/>
        <v>Bon du Trésor</v>
      </c>
    </row>
    <row r="866" spans="1:95" x14ac:dyDescent="0.2">
      <c r="A866" s="38" t="s">
        <v>1035</v>
      </c>
      <c r="B866" s="38">
        <v>200723</v>
      </c>
      <c r="C866" s="55" t="s">
        <v>1710</v>
      </c>
      <c r="D866" s="279">
        <v>100000</v>
      </c>
      <c r="E866" s="38">
        <v>101</v>
      </c>
      <c r="F866" s="40">
        <v>2.6499999999999999E-2</v>
      </c>
      <c r="G866" s="44">
        <v>38222</v>
      </c>
      <c r="H866" s="44">
        <f>+G866+364</f>
        <v>38586</v>
      </c>
      <c r="I866" s="39">
        <v>52</v>
      </c>
      <c r="J866" s="45" t="s">
        <v>369</v>
      </c>
      <c r="K866" s="39" t="s">
        <v>1716</v>
      </c>
      <c r="L866" s="39" t="s">
        <v>1014</v>
      </c>
      <c r="M866" s="38" t="str">
        <f t="shared" si="15"/>
        <v>Bon du Trésor</v>
      </c>
    </row>
    <row r="867" spans="1:95" x14ac:dyDescent="0.2">
      <c r="A867" s="38" t="s">
        <v>1035</v>
      </c>
      <c r="B867" s="38">
        <v>200744</v>
      </c>
      <c r="C867" s="55" t="s">
        <v>1085</v>
      </c>
      <c r="D867" s="279">
        <v>100000</v>
      </c>
      <c r="E867" s="38">
        <v>101</v>
      </c>
      <c r="F867" s="40">
        <v>2.7E-2</v>
      </c>
      <c r="G867" s="44">
        <v>38334</v>
      </c>
      <c r="H867" s="44">
        <f>+G867+364</f>
        <v>38698</v>
      </c>
      <c r="I867" s="39">
        <v>52</v>
      </c>
      <c r="J867" s="45" t="s">
        <v>369</v>
      </c>
      <c r="K867" s="39" t="s">
        <v>1716</v>
      </c>
      <c r="L867" s="39" t="s">
        <v>1014</v>
      </c>
      <c r="M867" s="38" t="str">
        <f t="shared" si="15"/>
        <v>Bon du Trésor</v>
      </c>
    </row>
    <row r="868" spans="1:95" x14ac:dyDescent="0.2">
      <c r="A868" s="38" t="s">
        <v>1713</v>
      </c>
      <c r="B868" s="38">
        <v>140112</v>
      </c>
      <c r="C868" s="38" t="s">
        <v>1429</v>
      </c>
      <c r="D868" s="279">
        <v>100000</v>
      </c>
      <c r="F868" s="40">
        <v>3.1E-2</v>
      </c>
      <c r="G868" s="41">
        <v>38488</v>
      </c>
      <c r="H868" s="41">
        <v>38852</v>
      </c>
      <c r="I868" s="39">
        <v>52</v>
      </c>
      <c r="J868" s="45" t="s">
        <v>369</v>
      </c>
      <c r="K868" s="39" t="s">
        <v>1716</v>
      </c>
      <c r="L868" s="39" t="s">
        <v>1014</v>
      </c>
      <c r="M868" s="38" t="str">
        <f>+A868</f>
        <v>Billet de trésorerie</v>
      </c>
    </row>
    <row r="869" spans="1:95" s="108" customFormat="1" x14ac:dyDescent="0.2">
      <c r="A869" s="38" t="s">
        <v>1512</v>
      </c>
      <c r="B869" s="38">
        <v>9007</v>
      </c>
      <c r="C869" s="38" t="s">
        <v>1468</v>
      </c>
      <c r="D869" s="279">
        <v>100000</v>
      </c>
      <c r="E869" s="38">
        <v>0</v>
      </c>
      <c r="F869" s="40">
        <v>7.4999999999999997E-2</v>
      </c>
      <c r="G869" s="41">
        <v>37420</v>
      </c>
      <c r="H869" s="41">
        <v>38516</v>
      </c>
      <c r="I869" s="39">
        <v>3</v>
      </c>
      <c r="J869" s="39" t="s">
        <v>1716</v>
      </c>
      <c r="K869" s="39" t="s">
        <v>1716</v>
      </c>
      <c r="L869" s="39" t="s">
        <v>1014</v>
      </c>
      <c r="M869" s="38" t="str">
        <f t="shared" ref="M869:M910" si="16">+A869</f>
        <v>Obligation ordinaire</v>
      </c>
      <c r="N869" s="38"/>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c r="BP869" s="2"/>
      <c r="BQ869" s="2"/>
      <c r="BR869" s="2"/>
      <c r="BS869" s="2"/>
      <c r="BT869" s="2"/>
      <c r="BU869" s="2"/>
      <c r="BV869" s="2"/>
      <c r="BW869" s="2"/>
      <c r="BX869" s="2"/>
      <c r="BY869" s="2"/>
      <c r="BZ869" s="2"/>
      <c r="CA869" s="2"/>
      <c r="CB869" s="2"/>
      <c r="CC869" s="2"/>
      <c r="CD869" s="2"/>
      <c r="CE869" s="2"/>
      <c r="CF869" s="2"/>
      <c r="CG869" s="2"/>
      <c r="CH869" s="2"/>
      <c r="CI869" s="2"/>
      <c r="CJ869" s="2"/>
      <c r="CK869" s="2"/>
      <c r="CL869" s="2"/>
      <c r="CM869" s="2"/>
      <c r="CN869" s="2"/>
      <c r="CO869" s="2"/>
      <c r="CP869" s="2"/>
      <c r="CQ869" s="2"/>
    </row>
    <row r="870" spans="1:95" s="108" customFormat="1" x14ac:dyDescent="0.2">
      <c r="A870" s="38" t="s">
        <v>1512</v>
      </c>
      <c r="B870" s="38">
        <v>9009</v>
      </c>
      <c r="C870" s="38" t="s">
        <v>1951</v>
      </c>
      <c r="D870" s="279">
        <v>100000</v>
      </c>
      <c r="E870" s="38">
        <v>3042</v>
      </c>
      <c r="F870" s="40">
        <v>6.2E-2</v>
      </c>
      <c r="G870" s="41">
        <v>37448</v>
      </c>
      <c r="H870" s="41">
        <v>38544</v>
      </c>
      <c r="I870" s="39">
        <v>3</v>
      </c>
      <c r="J870" s="39" t="s">
        <v>1716</v>
      </c>
      <c r="K870" s="39" t="s">
        <v>1716</v>
      </c>
      <c r="L870" s="39" t="s">
        <v>1014</v>
      </c>
      <c r="M870" s="38" t="str">
        <f t="shared" si="16"/>
        <v>Obligation ordinaire</v>
      </c>
      <c r="N870" s="38"/>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c r="BP870" s="2"/>
      <c r="BQ870" s="2"/>
      <c r="BR870" s="2"/>
      <c r="BS870" s="2"/>
      <c r="BT870" s="2"/>
      <c r="BU870" s="2"/>
      <c r="BV870" s="2"/>
      <c r="BW870" s="2"/>
      <c r="BX870" s="2"/>
      <c r="BY870" s="2"/>
      <c r="BZ870" s="2"/>
      <c r="CA870" s="2"/>
      <c r="CB870" s="2"/>
      <c r="CC870" s="2"/>
      <c r="CD870" s="2"/>
      <c r="CE870" s="2"/>
      <c r="CF870" s="2"/>
      <c r="CG870" s="2"/>
      <c r="CH870" s="2"/>
      <c r="CI870" s="2"/>
      <c r="CJ870" s="2"/>
      <c r="CK870" s="2"/>
      <c r="CL870" s="2"/>
      <c r="CM870" s="2"/>
      <c r="CN870" s="2"/>
      <c r="CO870" s="2"/>
      <c r="CP870" s="2"/>
      <c r="CQ870" s="2"/>
    </row>
    <row r="871" spans="1:95" s="108" customFormat="1" x14ac:dyDescent="0.2">
      <c r="A871" s="38" t="s">
        <v>1512</v>
      </c>
      <c r="B871" s="38">
        <v>9010</v>
      </c>
      <c r="C871" s="38" t="s">
        <v>1952</v>
      </c>
      <c r="D871" s="279">
        <v>100000</v>
      </c>
      <c r="E871" s="38">
        <v>3044</v>
      </c>
      <c r="F871" s="40">
        <v>6.2E-2</v>
      </c>
      <c r="G871" s="41">
        <v>37448</v>
      </c>
      <c r="H871" s="41">
        <v>38544</v>
      </c>
      <c r="I871" s="39">
        <v>3</v>
      </c>
      <c r="J871" s="39" t="s">
        <v>1716</v>
      </c>
      <c r="K871" s="39" t="s">
        <v>1716</v>
      </c>
      <c r="L871" s="39" t="s">
        <v>1014</v>
      </c>
      <c r="M871" s="38" t="str">
        <f t="shared" si="16"/>
        <v>Obligation ordinaire</v>
      </c>
      <c r="N871" s="38"/>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c r="BP871" s="2"/>
      <c r="BQ871" s="2"/>
      <c r="BR871" s="2"/>
      <c r="BS871" s="2"/>
      <c r="BT871" s="2"/>
      <c r="BU871" s="2"/>
      <c r="BV871" s="2"/>
      <c r="BW871" s="2"/>
      <c r="BX871" s="2"/>
      <c r="BY871" s="2"/>
      <c r="BZ871" s="2"/>
      <c r="CA871" s="2"/>
      <c r="CB871" s="2"/>
      <c r="CC871" s="2"/>
      <c r="CD871" s="2"/>
      <c r="CE871" s="2"/>
      <c r="CF871" s="2"/>
      <c r="CG871" s="2"/>
      <c r="CH871" s="2"/>
      <c r="CI871" s="2"/>
      <c r="CJ871" s="2"/>
      <c r="CK871" s="2"/>
      <c r="CL871" s="2"/>
      <c r="CM871" s="2"/>
      <c r="CN871" s="2"/>
      <c r="CO871" s="2"/>
      <c r="CP871" s="2"/>
      <c r="CQ871" s="2"/>
    </row>
    <row r="872" spans="1:95" s="108" customFormat="1" x14ac:dyDescent="0.2">
      <c r="A872" s="38" t="s">
        <v>1512</v>
      </c>
      <c r="B872" s="38">
        <v>9013</v>
      </c>
      <c r="C872" s="38" t="s">
        <v>375</v>
      </c>
      <c r="D872" s="279">
        <v>100000</v>
      </c>
      <c r="E872" s="38">
        <v>0</v>
      </c>
      <c r="F872" s="40">
        <v>4.5999999999999999E-2</v>
      </c>
      <c r="G872" s="41">
        <v>37593</v>
      </c>
      <c r="H872" s="41">
        <v>38689</v>
      </c>
      <c r="I872" s="39">
        <v>3</v>
      </c>
      <c r="J872" s="39" t="s">
        <v>1716</v>
      </c>
      <c r="K872" s="39" t="s">
        <v>1716</v>
      </c>
      <c r="L872" s="39" t="s">
        <v>1014</v>
      </c>
      <c r="M872" s="38" t="str">
        <f t="shared" si="16"/>
        <v>Obligation ordinaire</v>
      </c>
      <c r="N872" s="38"/>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c r="BP872" s="2"/>
      <c r="BQ872" s="2"/>
      <c r="BR872" s="2"/>
      <c r="BS872" s="2"/>
      <c r="BT872" s="2"/>
      <c r="BU872" s="2"/>
      <c r="BV872" s="2"/>
      <c r="BW872" s="2"/>
      <c r="BX872" s="2"/>
      <c r="BY872" s="2"/>
      <c r="BZ872" s="2"/>
      <c r="CA872" s="2"/>
      <c r="CB872" s="2"/>
      <c r="CC872" s="2"/>
      <c r="CD872" s="2"/>
      <c r="CE872" s="2"/>
      <c r="CF872" s="2"/>
      <c r="CG872" s="2"/>
      <c r="CH872" s="2"/>
      <c r="CI872" s="2"/>
      <c r="CJ872" s="2"/>
      <c r="CK872" s="2"/>
      <c r="CL872" s="2"/>
      <c r="CM872" s="2"/>
      <c r="CN872" s="2"/>
      <c r="CO872" s="2"/>
      <c r="CP872" s="2"/>
      <c r="CQ872" s="2"/>
    </row>
    <row r="873" spans="1:95" s="108" customFormat="1" x14ac:dyDescent="0.2">
      <c r="A873" s="38" t="s">
        <v>1015</v>
      </c>
      <c r="B873" s="38">
        <v>100252</v>
      </c>
      <c r="C873" s="38" t="s">
        <v>376</v>
      </c>
      <c r="D873" s="279">
        <v>100000</v>
      </c>
      <c r="E873" s="38">
        <v>0</v>
      </c>
      <c r="F873" s="40">
        <v>7.0999999999999994E-2</v>
      </c>
      <c r="G873" s="41">
        <v>37302</v>
      </c>
      <c r="H873" s="41">
        <v>38763</v>
      </c>
      <c r="I873" s="39">
        <v>4</v>
      </c>
      <c r="J873" s="39" t="s">
        <v>1716</v>
      </c>
      <c r="K873" s="39" t="s">
        <v>1716</v>
      </c>
      <c r="L873" s="39" t="s">
        <v>1014</v>
      </c>
      <c r="M873" s="38" t="str">
        <f t="shared" si="16"/>
        <v>Bon de société de financement</v>
      </c>
      <c r="N873" s="38"/>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c r="BP873" s="2"/>
      <c r="BQ873" s="2"/>
      <c r="BR873" s="2"/>
      <c r="BS873" s="2"/>
      <c r="BT873" s="2"/>
      <c r="BU873" s="2"/>
      <c r="BV873" s="2"/>
      <c r="BW873" s="2"/>
      <c r="BX873" s="2"/>
      <c r="BY873" s="2"/>
      <c r="BZ873" s="2"/>
      <c r="CA873" s="2"/>
      <c r="CB873" s="2"/>
      <c r="CC873" s="2"/>
      <c r="CD873" s="2"/>
      <c r="CE873" s="2"/>
      <c r="CF873" s="2"/>
      <c r="CG873" s="2"/>
      <c r="CH873" s="2"/>
      <c r="CI873" s="2"/>
      <c r="CJ873" s="2"/>
      <c r="CK873" s="2"/>
      <c r="CL873" s="2"/>
      <c r="CM873" s="2"/>
      <c r="CN873" s="2"/>
      <c r="CO873" s="2"/>
      <c r="CP873" s="2"/>
      <c r="CQ873" s="2"/>
    </row>
    <row r="874" spans="1:95" s="108" customFormat="1" x14ac:dyDescent="0.2">
      <c r="A874" s="38" t="s">
        <v>1015</v>
      </c>
      <c r="B874" s="38">
        <v>100280</v>
      </c>
      <c r="C874" s="38" t="s">
        <v>498</v>
      </c>
      <c r="D874" s="279">
        <v>100000</v>
      </c>
      <c r="E874" s="38">
        <v>0</v>
      </c>
      <c r="F874" s="40">
        <v>5.9500000000000004E-2</v>
      </c>
      <c r="G874" s="41">
        <v>37516</v>
      </c>
      <c r="H874" s="41">
        <v>38612</v>
      </c>
      <c r="I874" s="39">
        <v>3</v>
      </c>
      <c r="J874" s="39" t="s">
        <v>1716</v>
      </c>
      <c r="K874" s="39" t="s">
        <v>1716</v>
      </c>
      <c r="L874" s="39" t="s">
        <v>1014</v>
      </c>
      <c r="M874" s="38" t="str">
        <f t="shared" si="16"/>
        <v>Bon de société de financement</v>
      </c>
      <c r="N874" s="38"/>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c r="BP874" s="2"/>
      <c r="BQ874" s="2"/>
      <c r="BR874" s="2"/>
      <c r="BS874" s="2"/>
      <c r="BT874" s="2"/>
      <c r="BU874" s="2"/>
      <c r="BV874" s="2"/>
      <c r="BW874" s="2"/>
      <c r="BX874" s="2"/>
      <c r="BY874" s="2"/>
      <c r="BZ874" s="2"/>
      <c r="CA874" s="2"/>
      <c r="CB874" s="2"/>
      <c r="CC874" s="2"/>
      <c r="CD874" s="2"/>
      <c r="CE874" s="2"/>
      <c r="CF874" s="2"/>
      <c r="CG874" s="2"/>
      <c r="CH874" s="2"/>
      <c r="CI874" s="2"/>
      <c r="CJ874" s="2"/>
      <c r="CK874" s="2"/>
      <c r="CL874" s="2"/>
      <c r="CM874" s="2"/>
      <c r="CN874" s="2"/>
      <c r="CO874" s="2"/>
      <c r="CP874" s="2"/>
      <c r="CQ874" s="2"/>
    </row>
    <row r="875" spans="1:95" s="108" customFormat="1" x14ac:dyDescent="0.2">
      <c r="A875" s="38" t="s">
        <v>1015</v>
      </c>
      <c r="B875" s="38">
        <v>100283</v>
      </c>
      <c r="C875" s="38" t="s">
        <v>332</v>
      </c>
      <c r="D875" s="279">
        <v>100000</v>
      </c>
      <c r="E875" s="38">
        <v>0</v>
      </c>
      <c r="F875" s="40">
        <v>5.9000000000000004E-2</v>
      </c>
      <c r="G875" s="41">
        <v>37526</v>
      </c>
      <c r="H875" s="41">
        <v>38622</v>
      </c>
      <c r="I875" s="39">
        <v>3</v>
      </c>
      <c r="J875" s="39" t="s">
        <v>1716</v>
      </c>
      <c r="K875" s="39" t="s">
        <v>1716</v>
      </c>
      <c r="L875" s="39" t="s">
        <v>1014</v>
      </c>
      <c r="M875" s="38" t="str">
        <f t="shared" si="16"/>
        <v>Bon de société de financement</v>
      </c>
      <c r="N875" s="38"/>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c r="BP875" s="2"/>
      <c r="BQ875" s="2"/>
      <c r="BR875" s="2"/>
      <c r="BS875" s="2"/>
      <c r="BT875" s="2"/>
      <c r="BU875" s="2"/>
      <c r="BV875" s="2"/>
      <c r="BW875" s="2"/>
      <c r="BX875" s="2"/>
      <c r="BY875" s="2"/>
      <c r="BZ875" s="2"/>
      <c r="CA875" s="2"/>
      <c r="CB875" s="2"/>
      <c r="CC875" s="2"/>
      <c r="CD875" s="2"/>
      <c r="CE875" s="2"/>
      <c r="CF875" s="2"/>
      <c r="CG875" s="2"/>
      <c r="CH875" s="2"/>
      <c r="CI875" s="2"/>
      <c r="CJ875" s="2"/>
      <c r="CK875" s="2"/>
      <c r="CL875" s="2"/>
      <c r="CM875" s="2"/>
      <c r="CN875" s="2"/>
      <c r="CO875" s="2"/>
      <c r="CP875" s="2"/>
      <c r="CQ875" s="2"/>
    </row>
    <row r="876" spans="1:95" s="108" customFormat="1" x14ac:dyDescent="0.2">
      <c r="A876" s="38" t="s">
        <v>1015</v>
      </c>
      <c r="B876" s="38">
        <v>100382</v>
      </c>
      <c r="C876" s="38" t="s">
        <v>1516</v>
      </c>
      <c r="D876" s="279">
        <v>100000</v>
      </c>
      <c r="E876" s="38">
        <v>0</v>
      </c>
      <c r="F876" s="40">
        <v>4.2500000000000003E-2</v>
      </c>
      <c r="G876" s="41">
        <v>38177</v>
      </c>
      <c r="H876" s="41">
        <v>39272</v>
      </c>
      <c r="I876" s="39">
        <v>3</v>
      </c>
      <c r="J876" s="39" t="s">
        <v>1716</v>
      </c>
      <c r="K876" s="39" t="s">
        <v>1716</v>
      </c>
      <c r="L876" s="39" t="s">
        <v>1014</v>
      </c>
      <c r="M876" s="38" t="str">
        <f t="shared" si="16"/>
        <v>Bon de société de financement</v>
      </c>
      <c r="N876" s="38"/>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c r="BP876" s="2"/>
      <c r="BQ876" s="2"/>
      <c r="BR876" s="2"/>
      <c r="BS876" s="2"/>
      <c r="BT876" s="2"/>
      <c r="BU876" s="2"/>
      <c r="BV876" s="2"/>
      <c r="BW876" s="2"/>
      <c r="BX876" s="2"/>
      <c r="BY876" s="2"/>
      <c r="BZ876" s="2"/>
      <c r="CA876" s="2"/>
      <c r="CB876" s="2"/>
      <c r="CC876" s="2"/>
      <c r="CD876" s="2"/>
      <c r="CE876" s="2"/>
      <c r="CF876" s="2"/>
      <c r="CG876" s="2"/>
      <c r="CH876" s="2"/>
      <c r="CI876" s="2"/>
      <c r="CJ876" s="2"/>
      <c r="CK876" s="2"/>
      <c r="CL876" s="2"/>
      <c r="CM876" s="2"/>
      <c r="CN876" s="2"/>
      <c r="CO876" s="2"/>
      <c r="CP876" s="2"/>
      <c r="CQ876" s="2"/>
    </row>
    <row r="877" spans="1:95" s="108" customFormat="1" x14ac:dyDescent="0.2">
      <c r="A877" s="38" t="s">
        <v>1015</v>
      </c>
      <c r="B877" s="38">
        <v>100383</v>
      </c>
      <c r="C877" s="38" t="s">
        <v>1517</v>
      </c>
      <c r="D877" s="279">
        <v>100000</v>
      </c>
      <c r="E877" s="38">
        <v>0</v>
      </c>
      <c r="F877" s="40">
        <v>4.4999999999999998E-2</v>
      </c>
      <c r="G877" s="41">
        <v>38184</v>
      </c>
      <c r="H877" s="41">
        <v>39279</v>
      </c>
      <c r="I877" s="39">
        <v>3</v>
      </c>
      <c r="J877" s="39" t="s">
        <v>1716</v>
      </c>
      <c r="K877" s="39" t="s">
        <v>1716</v>
      </c>
      <c r="L877" s="39" t="s">
        <v>1014</v>
      </c>
      <c r="M877" s="38" t="str">
        <f t="shared" si="16"/>
        <v>Bon de société de financement</v>
      </c>
      <c r="N877" s="38"/>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c r="BP877" s="2"/>
      <c r="BQ877" s="2"/>
      <c r="BR877" s="2"/>
      <c r="BS877" s="2"/>
      <c r="BT877" s="2"/>
      <c r="BU877" s="2"/>
      <c r="BV877" s="2"/>
      <c r="BW877" s="2"/>
      <c r="BX877" s="2"/>
      <c r="BY877" s="2"/>
      <c r="BZ877" s="2"/>
      <c r="CA877" s="2"/>
      <c r="CB877" s="2"/>
      <c r="CC877" s="2"/>
      <c r="CD877" s="2"/>
      <c r="CE877" s="2"/>
      <c r="CF877" s="2"/>
      <c r="CG877" s="2"/>
      <c r="CH877" s="2"/>
      <c r="CI877" s="2"/>
      <c r="CJ877" s="2"/>
      <c r="CK877" s="2"/>
      <c r="CL877" s="2"/>
      <c r="CM877" s="2"/>
      <c r="CN877" s="2"/>
      <c r="CO877" s="2"/>
      <c r="CP877" s="2"/>
      <c r="CQ877" s="2"/>
    </row>
    <row r="878" spans="1:95" s="108" customFormat="1" x14ac:dyDescent="0.2">
      <c r="A878" s="38" t="s">
        <v>1015</v>
      </c>
      <c r="B878" s="38">
        <v>100402</v>
      </c>
      <c r="C878" s="38" t="s">
        <v>1519</v>
      </c>
      <c r="D878" s="279">
        <v>100000</v>
      </c>
      <c r="E878" s="38">
        <v>0</v>
      </c>
      <c r="F878" s="40">
        <v>4.6500000000000007E-2</v>
      </c>
      <c r="G878" s="41">
        <v>38408</v>
      </c>
      <c r="H878" s="41">
        <v>39869</v>
      </c>
      <c r="I878" s="39">
        <v>4</v>
      </c>
      <c r="J878" s="39" t="s">
        <v>1716</v>
      </c>
      <c r="K878" s="39" t="s">
        <v>1716</v>
      </c>
      <c r="L878" s="39" t="s">
        <v>1014</v>
      </c>
      <c r="M878" s="38" t="str">
        <f t="shared" si="16"/>
        <v>Bon de société de financement</v>
      </c>
      <c r="N878" s="38"/>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c r="BP878" s="2"/>
      <c r="BQ878" s="2"/>
      <c r="BR878" s="2"/>
      <c r="BS878" s="2"/>
      <c r="BT878" s="2"/>
      <c r="BU878" s="2"/>
      <c r="BV878" s="2"/>
      <c r="BW878" s="2"/>
      <c r="BX878" s="2"/>
      <c r="BY878" s="2"/>
      <c r="BZ878" s="2"/>
      <c r="CA878" s="2"/>
      <c r="CB878" s="2"/>
      <c r="CC878" s="2"/>
      <c r="CD878" s="2"/>
      <c r="CE878" s="2"/>
      <c r="CF878" s="2"/>
      <c r="CG878" s="2"/>
      <c r="CH878" s="2"/>
      <c r="CI878" s="2"/>
      <c r="CJ878" s="2"/>
      <c r="CK878" s="2"/>
      <c r="CL878" s="2"/>
      <c r="CM878" s="2"/>
      <c r="CN878" s="2"/>
      <c r="CO878" s="2"/>
      <c r="CP878" s="2"/>
      <c r="CQ878" s="2"/>
    </row>
    <row r="879" spans="1:95" s="108" customFormat="1" x14ac:dyDescent="0.2">
      <c r="A879" s="38" t="s">
        <v>557</v>
      </c>
      <c r="B879" s="38">
        <v>150289</v>
      </c>
      <c r="C879" s="38" t="s">
        <v>1520</v>
      </c>
      <c r="D879" s="279">
        <v>100000</v>
      </c>
      <c r="E879" s="38">
        <v>126</v>
      </c>
      <c r="F879" s="40">
        <v>5.7999999999999996E-2</v>
      </c>
      <c r="G879" s="41">
        <v>37817</v>
      </c>
      <c r="H879" s="41">
        <v>40374</v>
      </c>
      <c r="I879" s="39">
        <v>7</v>
      </c>
      <c r="J879" s="39" t="s">
        <v>1716</v>
      </c>
      <c r="K879" s="39" t="s">
        <v>1716</v>
      </c>
      <c r="L879" s="39" t="s">
        <v>1014</v>
      </c>
      <c r="M879" s="38" t="str">
        <f t="shared" si="16"/>
        <v>Certificat de dépôt</v>
      </c>
      <c r="N879" s="38"/>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c r="BP879" s="2"/>
      <c r="BQ879" s="2"/>
      <c r="BR879" s="2"/>
      <c r="BS879" s="2"/>
      <c r="BT879" s="2"/>
      <c r="BU879" s="2"/>
      <c r="BV879" s="2"/>
      <c r="BW879" s="2"/>
      <c r="BX879" s="2"/>
      <c r="BY879" s="2"/>
      <c r="BZ879" s="2"/>
      <c r="CA879" s="2"/>
      <c r="CB879" s="2"/>
      <c r="CC879" s="2"/>
      <c r="CD879" s="2"/>
      <c r="CE879" s="2"/>
      <c r="CF879" s="2"/>
      <c r="CG879" s="2"/>
      <c r="CH879" s="2"/>
      <c r="CI879" s="2"/>
      <c r="CJ879" s="2"/>
      <c r="CK879" s="2"/>
      <c r="CL879" s="2"/>
      <c r="CM879" s="2"/>
      <c r="CN879" s="2"/>
      <c r="CO879" s="2"/>
      <c r="CP879" s="2"/>
      <c r="CQ879" s="2"/>
    </row>
    <row r="880" spans="1:95" s="108" customFormat="1" x14ac:dyDescent="0.2">
      <c r="A880" s="38" t="s">
        <v>1531</v>
      </c>
      <c r="B880" s="38">
        <v>792066</v>
      </c>
      <c r="C880" s="38" t="s">
        <v>858</v>
      </c>
      <c r="D880" s="279">
        <v>150000</v>
      </c>
      <c r="E880" s="38">
        <v>101</v>
      </c>
      <c r="F880" s="40">
        <v>0.11</v>
      </c>
      <c r="G880" s="41">
        <v>33081</v>
      </c>
      <c r="H880" s="41">
        <v>38560</v>
      </c>
      <c r="I880" s="39">
        <v>15</v>
      </c>
      <c r="J880" s="39" t="s">
        <v>1716</v>
      </c>
      <c r="K880" s="39" t="s">
        <v>1716</v>
      </c>
      <c r="L880" s="39" t="s">
        <v>1716</v>
      </c>
      <c r="M880" s="38" t="str">
        <f t="shared" si="16"/>
        <v>Emprunt Maroc</v>
      </c>
      <c r="N880" s="38"/>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c r="BP880" s="2"/>
      <c r="BQ880" s="2"/>
      <c r="BR880" s="2"/>
      <c r="BS880" s="2"/>
      <c r="BT880" s="2"/>
      <c r="BU880" s="2"/>
      <c r="BV880" s="2"/>
      <c r="BW880" s="2"/>
      <c r="BX880" s="2"/>
      <c r="BY880" s="2"/>
      <c r="BZ880" s="2"/>
      <c r="CA880" s="2"/>
      <c r="CB880" s="2"/>
      <c r="CC880" s="2"/>
      <c r="CD880" s="2"/>
      <c r="CE880" s="2"/>
      <c r="CF880" s="2"/>
      <c r="CG880" s="2"/>
      <c r="CH880" s="2"/>
      <c r="CI880" s="2"/>
      <c r="CJ880" s="2"/>
      <c r="CK880" s="2"/>
      <c r="CL880" s="2"/>
      <c r="CM880" s="2"/>
      <c r="CN880" s="2"/>
      <c r="CO880" s="2"/>
      <c r="CP880" s="2"/>
      <c r="CQ880" s="2"/>
    </row>
    <row r="881" spans="1:95" s="108" customFormat="1" x14ac:dyDescent="0.2">
      <c r="A881" s="38" t="s">
        <v>1531</v>
      </c>
      <c r="B881" s="38">
        <v>792069</v>
      </c>
      <c r="C881" s="38" t="s">
        <v>860</v>
      </c>
      <c r="D881" s="279">
        <v>150000</v>
      </c>
      <c r="E881" s="38">
        <v>101</v>
      </c>
      <c r="F881" s="40">
        <v>0.11</v>
      </c>
      <c r="G881" s="41">
        <v>33121</v>
      </c>
      <c r="H881" s="41">
        <v>38600</v>
      </c>
      <c r="I881" s="39">
        <v>15</v>
      </c>
      <c r="J881" s="39" t="s">
        <v>1716</v>
      </c>
      <c r="K881" s="39" t="s">
        <v>1716</v>
      </c>
      <c r="L881" s="39" t="s">
        <v>1716</v>
      </c>
      <c r="M881" s="38" t="str">
        <f t="shared" si="16"/>
        <v>Emprunt Maroc</v>
      </c>
      <c r="N881" s="38"/>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c r="AX881" s="2"/>
      <c r="AY881" s="2"/>
      <c r="AZ881" s="2"/>
      <c r="BA881" s="2"/>
      <c r="BB881" s="2"/>
      <c r="BC881" s="2"/>
      <c r="BD881" s="2"/>
      <c r="BE881" s="2"/>
      <c r="BF881" s="2"/>
      <c r="BG881" s="2"/>
      <c r="BH881" s="2"/>
      <c r="BI881" s="2"/>
      <c r="BJ881" s="2"/>
      <c r="BK881" s="2"/>
      <c r="BL881" s="2"/>
      <c r="BM881" s="2"/>
      <c r="BN881" s="2"/>
      <c r="BO881" s="2"/>
      <c r="BP881" s="2"/>
      <c r="BQ881" s="2"/>
      <c r="BR881" s="2"/>
      <c r="BS881" s="2"/>
      <c r="BT881" s="2"/>
      <c r="BU881" s="2"/>
      <c r="BV881" s="2"/>
      <c r="BW881" s="2"/>
      <c r="BX881" s="2"/>
      <c r="BY881" s="2"/>
      <c r="BZ881" s="2"/>
      <c r="CA881" s="2"/>
      <c r="CB881" s="2"/>
      <c r="CC881" s="2"/>
      <c r="CD881" s="2"/>
      <c r="CE881" s="2"/>
      <c r="CF881" s="2"/>
      <c r="CG881" s="2"/>
      <c r="CH881" s="2"/>
      <c r="CI881" s="2"/>
      <c r="CJ881" s="2"/>
      <c r="CK881" s="2"/>
      <c r="CL881" s="2"/>
      <c r="CM881" s="2"/>
      <c r="CN881" s="2"/>
      <c r="CO881" s="2"/>
      <c r="CP881" s="2"/>
      <c r="CQ881" s="2"/>
    </row>
    <row r="882" spans="1:95" s="108" customFormat="1" x14ac:dyDescent="0.2">
      <c r="A882" s="38" t="s">
        <v>1531</v>
      </c>
      <c r="B882" s="38">
        <v>792071</v>
      </c>
      <c r="C882" s="38" t="s">
        <v>234</v>
      </c>
      <c r="D882" s="279">
        <v>150000</v>
      </c>
      <c r="E882" s="38">
        <v>101</v>
      </c>
      <c r="F882" s="40">
        <v>0.11</v>
      </c>
      <c r="G882" s="41">
        <v>33238</v>
      </c>
      <c r="H882" s="41">
        <v>38717</v>
      </c>
      <c r="I882" s="39">
        <v>15</v>
      </c>
      <c r="J882" s="39" t="s">
        <v>1716</v>
      </c>
      <c r="K882" s="39" t="s">
        <v>1716</v>
      </c>
      <c r="L882" s="39" t="s">
        <v>1716</v>
      </c>
      <c r="M882" s="38" t="str">
        <f t="shared" si="16"/>
        <v>Emprunt Maroc</v>
      </c>
      <c r="N882" s="38"/>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c r="AX882" s="2"/>
      <c r="AY882" s="2"/>
      <c r="AZ882" s="2"/>
      <c r="BA882" s="2"/>
      <c r="BB882" s="2"/>
      <c r="BC882" s="2"/>
      <c r="BD882" s="2"/>
      <c r="BE882" s="2"/>
      <c r="BF882" s="2"/>
      <c r="BG882" s="2"/>
      <c r="BH882" s="2"/>
      <c r="BI882" s="2"/>
      <c r="BJ882" s="2"/>
      <c r="BK882" s="2"/>
      <c r="BL882" s="2"/>
      <c r="BM882" s="2"/>
      <c r="BN882" s="2"/>
      <c r="BO882" s="2"/>
      <c r="BP882" s="2"/>
      <c r="BQ882" s="2"/>
      <c r="BR882" s="2"/>
      <c r="BS882" s="2"/>
      <c r="BT882" s="2"/>
      <c r="BU882" s="2"/>
      <c r="BV882" s="2"/>
      <c r="BW882" s="2"/>
      <c r="BX882" s="2"/>
      <c r="BY882" s="2"/>
      <c r="BZ882" s="2"/>
      <c r="CA882" s="2"/>
      <c r="CB882" s="2"/>
      <c r="CC882" s="2"/>
      <c r="CD882" s="2"/>
      <c r="CE882" s="2"/>
      <c r="CF882" s="2"/>
      <c r="CG882" s="2"/>
      <c r="CH882" s="2"/>
      <c r="CI882" s="2"/>
      <c r="CJ882" s="2"/>
      <c r="CK882" s="2"/>
      <c r="CL882" s="2"/>
      <c r="CM882" s="2"/>
      <c r="CN882" s="2"/>
      <c r="CO882" s="2"/>
      <c r="CP882" s="2"/>
      <c r="CQ882" s="2"/>
    </row>
    <row r="883" spans="1:95" s="108" customFormat="1" x14ac:dyDescent="0.2">
      <c r="A883" s="38" t="s">
        <v>1531</v>
      </c>
      <c r="B883" s="38">
        <v>792078</v>
      </c>
      <c r="C883" s="38" t="s">
        <v>235</v>
      </c>
      <c r="D883" s="279">
        <v>150000</v>
      </c>
      <c r="E883" s="38">
        <v>101</v>
      </c>
      <c r="F883" s="40">
        <v>0.11</v>
      </c>
      <c r="G883" s="41">
        <v>33273</v>
      </c>
      <c r="H883" s="41">
        <v>38752</v>
      </c>
      <c r="I883" s="39">
        <v>15</v>
      </c>
      <c r="J883" s="39" t="s">
        <v>1716</v>
      </c>
      <c r="K883" s="39" t="s">
        <v>1716</v>
      </c>
      <c r="L883" s="39" t="s">
        <v>1716</v>
      </c>
      <c r="M883" s="38" t="str">
        <f t="shared" si="16"/>
        <v>Emprunt Maroc</v>
      </c>
      <c r="N883" s="38"/>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c r="BP883" s="2"/>
      <c r="BQ883" s="2"/>
      <c r="BR883" s="2"/>
      <c r="BS883" s="2"/>
      <c r="BT883" s="2"/>
      <c r="BU883" s="2"/>
      <c r="BV883" s="2"/>
      <c r="BW883" s="2"/>
      <c r="BX883" s="2"/>
      <c r="BY883" s="2"/>
      <c r="BZ883" s="2"/>
      <c r="CA883" s="2"/>
      <c r="CB883" s="2"/>
      <c r="CC883" s="2"/>
      <c r="CD883" s="2"/>
      <c r="CE883" s="2"/>
      <c r="CF883" s="2"/>
      <c r="CG883" s="2"/>
      <c r="CH883" s="2"/>
      <c r="CI883" s="2"/>
      <c r="CJ883" s="2"/>
      <c r="CK883" s="2"/>
      <c r="CL883" s="2"/>
      <c r="CM883" s="2"/>
      <c r="CN883" s="2"/>
      <c r="CO883" s="2"/>
      <c r="CP883" s="2"/>
      <c r="CQ883" s="2"/>
    </row>
    <row r="884" spans="1:95" s="108" customFormat="1" x14ac:dyDescent="0.2">
      <c r="A884" s="38" t="s">
        <v>1531</v>
      </c>
      <c r="B884" s="38">
        <v>792080</v>
      </c>
      <c r="C884" s="38" t="s">
        <v>236</v>
      </c>
      <c r="D884" s="279">
        <v>150000</v>
      </c>
      <c r="E884" s="38">
        <v>101</v>
      </c>
      <c r="F884" s="40">
        <v>0.12</v>
      </c>
      <c r="G884" s="41">
        <v>33603</v>
      </c>
      <c r="H884" s="41">
        <v>39082</v>
      </c>
      <c r="I884" s="39">
        <v>15</v>
      </c>
      <c r="J884" s="39" t="s">
        <v>1716</v>
      </c>
      <c r="K884" s="39" t="s">
        <v>1716</v>
      </c>
      <c r="L884" s="39" t="s">
        <v>1716</v>
      </c>
      <c r="M884" s="38" t="str">
        <f t="shared" si="16"/>
        <v>Emprunt Maroc</v>
      </c>
      <c r="N884" s="38"/>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c r="BP884" s="2"/>
      <c r="BQ884" s="2"/>
      <c r="BR884" s="2"/>
      <c r="BS884" s="2"/>
      <c r="BT884" s="2"/>
      <c r="BU884" s="2"/>
      <c r="BV884" s="2"/>
      <c r="BW884" s="2"/>
      <c r="BX884" s="2"/>
      <c r="BY884" s="2"/>
      <c r="BZ884" s="2"/>
      <c r="CA884" s="2"/>
      <c r="CB884" s="2"/>
      <c r="CC884" s="2"/>
      <c r="CD884" s="2"/>
      <c r="CE884" s="2"/>
      <c r="CF884" s="2"/>
      <c r="CG884" s="2"/>
      <c r="CH884" s="2"/>
      <c r="CI884" s="2"/>
      <c r="CJ884" s="2"/>
      <c r="CK884" s="2"/>
      <c r="CL884" s="2"/>
      <c r="CM884" s="2"/>
      <c r="CN884" s="2"/>
      <c r="CO884" s="2"/>
      <c r="CP884" s="2"/>
      <c r="CQ884" s="2"/>
    </row>
    <row r="885" spans="1:95" s="108" customFormat="1" x14ac:dyDescent="0.2">
      <c r="A885" s="38" t="s">
        <v>1531</v>
      </c>
      <c r="B885" s="38">
        <v>792088</v>
      </c>
      <c r="C885" s="38" t="s">
        <v>237</v>
      </c>
      <c r="D885" s="279">
        <v>150000</v>
      </c>
      <c r="E885" s="38">
        <v>101</v>
      </c>
      <c r="F885" s="40">
        <v>0.1275</v>
      </c>
      <c r="G885" s="41">
        <v>33893</v>
      </c>
      <c r="H885" s="41">
        <v>39371</v>
      </c>
      <c r="I885" s="39">
        <v>15</v>
      </c>
      <c r="J885" s="39" t="s">
        <v>1716</v>
      </c>
      <c r="K885" s="39" t="s">
        <v>1716</v>
      </c>
      <c r="L885" s="39" t="s">
        <v>1716</v>
      </c>
      <c r="M885" s="38" t="str">
        <f t="shared" si="16"/>
        <v>Emprunt Maroc</v>
      </c>
      <c r="N885" s="38"/>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c r="BP885" s="2"/>
      <c r="BQ885" s="2"/>
      <c r="BR885" s="2"/>
      <c r="BS885" s="2"/>
      <c r="BT885" s="2"/>
      <c r="BU885" s="2"/>
      <c r="BV885" s="2"/>
      <c r="BW885" s="2"/>
      <c r="BX885" s="2"/>
      <c r="BY885" s="2"/>
      <c r="BZ885" s="2"/>
      <c r="CA885" s="2"/>
      <c r="CB885" s="2"/>
      <c r="CC885" s="2"/>
      <c r="CD885" s="2"/>
      <c r="CE885" s="2"/>
      <c r="CF885" s="2"/>
      <c r="CG885" s="2"/>
      <c r="CH885" s="2"/>
      <c r="CI885" s="2"/>
      <c r="CJ885" s="2"/>
      <c r="CK885" s="2"/>
      <c r="CL885" s="2"/>
      <c r="CM885" s="2"/>
      <c r="CN885" s="2"/>
      <c r="CO885" s="2"/>
      <c r="CP885" s="2"/>
      <c r="CQ885" s="2"/>
    </row>
    <row r="886" spans="1:95" s="108" customFormat="1" x14ac:dyDescent="0.2">
      <c r="A886" s="38" t="s">
        <v>1531</v>
      </c>
      <c r="B886" s="38">
        <v>792090</v>
      </c>
      <c r="C886" s="38" t="s">
        <v>238</v>
      </c>
      <c r="D886" s="279">
        <v>150000</v>
      </c>
      <c r="E886" s="38">
        <v>101</v>
      </c>
      <c r="F886" s="40">
        <v>0.1275</v>
      </c>
      <c r="G886" s="41">
        <v>33927</v>
      </c>
      <c r="H886" s="41">
        <v>39405</v>
      </c>
      <c r="I886" s="39">
        <v>15</v>
      </c>
      <c r="J886" s="39" t="s">
        <v>1716</v>
      </c>
      <c r="K886" s="39" t="s">
        <v>1716</v>
      </c>
      <c r="L886" s="39" t="s">
        <v>1716</v>
      </c>
      <c r="M886" s="38" t="str">
        <f t="shared" si="16"/>
        <v>Emprunt Maroc</v>
      </c>
      <c r="N886" s="38"/>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c r="BO886" s="2"/>
      <c r="BP886" s="2"/>
      <c r="BQ886" s="2"/>
      <c r="BR886" s="2"/>
      <c r="BS886" s="2"/>
      <c r="BT886" s="2"/>
      <c r="BU886" s="2"/>
      <c r="BV886" s="2"/>
      <c r="BW886" s="2"/>
      <c r="BX886" s="2"/>
      <c r="BY886" s="2"/>
      <c r="BZ886" s="2"/>
      <c r="CA886" s="2"/>
      <c r="CB886" s="2"/>
      <c r="CC886" s="2"/>
      <c r="CD886" s="2"/>
      <c r="CE886" s="2"/>
      <c r="CF886" s="2"/>
      <c r="CG886" s="2"/>
      <c r="CH886" s="2"/>
      <c r="CI886" s="2"/>
      <c r="CJ886" s="2"/>
      <c r="CK886" s="2"/>
      <c r="CL886" s="2"/>
      <c r="CM886" s="2"/>
      <c r="CN886" s="2"/>
      <c r="CO886" s="2"/>
      <c r="CP886" s="2"/>
      <c r="CQ886" s="2"/>
    </row>
    <row r="887" spans="1:95" s="108" customFormat="1" x14ac:dyDescent="0.2">
      <c r="A887" s="38" t="s">
        <v>1531</v>
      </c>
      <c r="B887" s="38">
        <v>792091</v>
      </c>
      <c r="C887" s="38" t="s">
        <v>1409</v>
      </c>
      <c r="D887" s="279">
        <v>100000</v>
      </c>
      <c r="E887" s="38">
        <v>101</v>
      </c>
      <c r="F887" s="40">
        <v>0.1275</v>
      </c>
      <c r="G887" s="41">
        <v>33942</v>
      </c>
      <c r="H887" s="41">
        <v>39420</v>
      </c>
      <c r="I887" s="39">
        <v>15</v>
      </c>
      <c r="J887" s="39" t="s">
        <v>1716</v>
      </c>
      <c r="K887" s="39" t="s">
        <v>1716</v>
      </c>
      <c r="L887" s="39" t="s">
        <v>1716</v>
      </c>
      <c r="M887" s="38" t="str">
        <f t="shared" si="16"/>
        <v>Emprunt Maroc</v>
      </c>
      <c r="N887" s="38"/>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c r="BO887" s="2"/>
      <c r="BP887" s="2"/>
      <c r="BQ887" s="2"/>
      <c r="BR887" s="2"/>
      <c r="BS887" s="2"/>
      <c r="BT887" s="2"/>
      <c r="BU887" s="2"/>
      <c r="BV887" s="2"/>
      <c r="BW887" s="2"/>
      <c r="BX887" s="2"/>
      <c r="BY887" s="2"/>
      <c r="BZ887" s="2"/>
      <c r="CA887" s="2"/>
      <c r="CB887" s="2"/>
      <c r="CC887" s="2"/>
      <c r="CD887" s="2"/>
      <c r="CE887" s="2"/>
      <c r="CF887" s="2"/>
      <c r="CG887" s="2"/>
      <c r="CH887" s="2"/>
      <c r="CI887" s="2"/>
      <c r="CJ887" s="2"/>
      <c r="CK887" s="2"/>
      <c r="CL887" s="2"/>
      <c r="CM887" s="2"/>
      <c r="CN887" s="2"/>
      <c r="CO887" s="2"/>
      <c r="CP887" s="2"/>
      <c r="CQ887" s="2"/>
    </row>
    <row r="888" spans="1:95" s="108" customFormat="1" x14ac:dyDescent="0.2">
      <c r="A888" s="38" t="s">
        <v>1531</v>
      </c>
      <c r="B888" s="38">
        <v>792096</v>
      </c>
      <c r="C888" s="38" t="s">
        <v>1458</v>
      </c>
      <c r="D888" s="279">
        <v>150000</v>
      </c>
      <c r="E888" s="38">
        <v>101</v>
      </c>
      <c r="F888" s="40">
        <v>0.1275</v>
      </c>
      <c r="G888" s="41">
        <v>34050</v>
      </c>
      <c r="H888" s="41">
        <v>39529</v>
      </c>
      <c r="I888" s="39">
        <v>15</v>
      </c>
      <c r="J888" s="39" t="s">
        <v>1716</v>
      </c>
      <c r="K888" s="39" t="s">
        <v>1716</v>
      </c>
      <c r="L888" s="39" t="s">
        <v>1716</v>
      </c>
      <c r="M888" s="38" t="str">
        <f t="shared" si="16"/>
        <v>Emprunt Maroc</v>
      </c>
      <c r="N888" s="38"/>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c r="BO888" s="2"/>
      <c r="BP888" s="2"/>
      <c r="BQ888" s="2"/>
      <c r="BR888" s="2"/>
      <c r="BS888" s="2"/>
      <c r="BT888" s="2"/>
      <c r="BU888" s="2"/>
      <c r="BV888" s="2"/>
      <c r="BW888" s="2"/>
      <c r="BX888" s="2"/>
      <c r="BY888" s="2"/>
      <c r="BZ888" s="2"/>
      <c r="CA888" s="2"/>
      <c r="CB888" s="2"/>
      <c r="CC888" s="2"/>
      <c r="CD888" s="2"/>
      <c r="CE888" s="2"/>
      <c r="CF888" s="2"/>
      <c r="CG888" s="2"/>
      <c r="CH888" s="2"/>
      <c r="CI888" s="2"/>
      <c r="CJ888" s="2"/>
      <c r="CK888" s="2"/>
      <c r="CL888" s="2"/>
      <c r="CM888" s="2"/>
      <c r="CN888" s="2"/>
      <c r="CO888" s="2"/>
      <c r="CP888" s="2"/>
      <c r="CQ888" s="2"/>
    </row>
    <row r="889" spans="1:95" s="108" customFormat="1" x14ac:dyDescent="0.2">
      <c r="A889" s="38" t="s">
        <v>1531</v>
      </c>
      <c r="B889" s="38">
        <v>792099</v>
      </c>
      <c r="C889" s="38" t="s">
        <v>1411</v>
      </c>
      <c r="D889" s="279">
        <v>150000</v>
      </c>
      <c r="E889" s="38">
        <v>101</v>
      </c>
      <c r="F889" s="40">
        <v>0.1275</v>
      </c>
      <c r="G889" s="41">
        <v>34085</v>
      </c>
      <c r="H889" s="41">
        <v>39564</v>
      </c>
      <c r="I889" s="39">
        <v>15</v>
      </c>
      <c r="J889" s="39" t="s">
        <v>1716</v>
      </c>
      <c r="K889" s="39" t="s">
        <v>1716</v>
      </c>
      <c r="L889" s="39" t="s">
        <v>1716</v>
      </c>
      <c r="M889" s="38" t="str">
        <f t="shared" si="16"/>
        <v>Emprunt Maroc</v>
      </c>
      <c r="N889" s="38"/>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c r="BP889" s="2"/>
      <c r="BQ889" s="2"/>
      <c r="BR889" s="2"/>
      <c r="BS889" s="2"/>
      <c r="BT889" s="2"/>
      <c r="BU889" s="2"/>
      <c r="BV889" s="2"/>
      <c r="BW889" s="2"/>
      <c r="BX889" s="2"/>
      <c r="BY889" s="2"/>
      <c r="BZ889" s="2"/>
      <c r="CA889" s="2"/>
      <c r="CB889" s="2"/>
      <c r="CC889" s="2"/>
      <c r="CD889" s="2"/>
      <c r="CE889" s="2"/>
      <c r="CF889" s="2"/>
      <c r="CG889" s="2"/>
      <c r="CH889" s="2"/>
      <c r="CI889" s="2"/>
      <c r="CJ889" s="2"/>
      <c r="CK889" s="2"/>
      <c r="CL889" s="2"/>
      <c r="CM889" s="2"/>
      <c r="CN889" s="2"/>
      <c r="CO889" s="2"/>
      <c r="CP889" s="2"/>
      <c r="CQ889" s="2"/>
    </row>
    <row r="890" spans="1:95" s="108" customFormat="1" x14ac:dyDescent="0.2">
      <c r="A890" s="38" t="s">
        <v>1531</v>
      </c>
      <c r="B890" s="38">
        <v>792103</v>
      </c>
      <c r="C890" s="38" t="s">
        <v>1412</v>
      </c>
      <c r="D890" s="279">
        <v>150000</v>
      </c>
      <c r="E890" s="38">
        <v>101</v>
      </c>
      <c r="F890" s="40">
        <v>0.1275</v>
      </c>
      <c r="G890" s="41">
        <v>34117</v>
      </c>
      <c r="H890" s="41">
        <v>39596</v>
      </c>
      <c r="I890" s="39">
        <v>15</v>
      </c>
      <c r="J890" s="39" t="s">
        <v>1716</v>
      </c>
      <c r="K890" s="39" t="s">
        <v>1716</v>
      </c>
      <c r="L890" s="39" t="s">
        <v>1716</v>
      </c>
      <c r="M890" s="38" t="str">
        <f t="shared" si="16"/>
        <v>Emprunt Maroc</v>
      </c>
      <c r="N890" s="38"/>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c r="BP890" s="2"/>
      <c r="BQ890" s="2"/>
      <c r="BR890" s="2"/>
      <c r="BS890" s="2"/>
      <c r="BT890" s="2"/>
      <c r="BU890" s="2"/>
      <c r="BV890" s="2"/>
      <c r="BW890" s="2"/>
      <c r="BX890" s="2"/>
      <c r="BY890" s="2"/>
      <c r="BZ890" s="2"/>
      <c r="CA890" s="2"/>
      <c r="CB890" s="2"/>
      <c r="CC890" s="2"/>
      <c r="CD890" s="2"/>
      <c r="CE890" s="2"/>
      <c r="CF890" s="2"/>
      <c r="CG890" s="2"/>
      <c r="CH890" s="2"/>
      <c r="CI890" s="2"/>
      <c r="CJ890" s="2"/>
      <c r="CK890" s="2"/>
      <c r="CL890" s="2"/>
      <c r="CM890" s="2"/>
      <c r="CN890" s="2"/>
      <c r="CO890" s="2"/>
      <c r="CP890" s="2"/>
      <c r="CQ890" s="2"/>
    </row>
    <row r="891" spans="1:95" s="108" customFormat="1" x14ac:dyDescent="0.2">
      <c r="A891" s="38" t="s">
        <v>1531</v>
      </c>
      <c r="B891" s="38">
        <v>792109</v>
      </c>
      <c r="C891" s="38" t="s">
        <v>1413</v>
      </c>
      <c r="D891" s="279">
        <v>200000</v>
      </c>
      <c r="E891" s="38">
        <v>101</v>
      </c>
      <c r="F891" s="40">
        <v>0.1275</v>
      </c>
      <c r="G891" s="41">
        <v>34242</v>
      </c>
      <c r="H891" s="41">
        <v>39721</v>
      </c>
      <c r="I891" s="39">
        <v>15</v>
      </c>
      <c r="J891" s="39" t="s">
        <v>1716</v>
      </c>
      <c r="K891" s="39" t="s">
        <v>1716</v>
      </c>
      <c r="L891" s="39" t="s">
        <v>1716</v>
      </c>
      <c r="M891" s="38" t="str">
        <f t="shared" si="16"/>
        <v>Emprunt Maroc</v>
      </c>
      <c r="N891" s="38"/>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c r="BP891" s="2"/>
      <c r="BQ891" s="2"/>
      <c r="BR891" s="2"/>
      <c r="BS891" s="2"/>
      <c r="BT891" s="2"/>
      <c r="BU891" s="2"/>
      <c r="BV891" s="2"/>
      <c r="BW891" s="2"/>
      <c r="BX891" s="2"/>
      <c r="BY891" s="2"/>
      <c r="BZ891" s="2"/>
      <c r="CA891" s="2"/>
      <c r="CB891" s="2"/>
      <c r="CC891" s="2"/>
      <c r="CD891" s="2"/>
      <c r="CE891" s="2"/>
      <c r="CF891" s="2"/>
      <c r="CG891" s="2"/>
      <c r="CH891" s="2"/>
      <c r="CI891" s="2"/>
      <c r="CJ891" s="2"/>
      <c r="CK891" s="2"/>
      <c r="CL891" s="2"/>
      <c r="CM891" s="2"/>
      <c r="CN891" s="2"/>
      <c r="CO891" s="2"/>
      <c r="CP891" s="2"/>
      <c r="CQ891" s="2"/>
    </row>
    <row r="892" spans="1:95" s="108" customFormat="1" x14ac:dyDescent="0.2">
      <c r="A892" s="38" t="s">
        <v>1531</v>
      </c>
      <c r="B892" s="38">
        <v>792111</v>
      </c>
      <c r="C892" s="38" t="s">
        <v>1414</v>
      </c>
      <c r="D892" s="279">
        <v>150000</v>
      </c>
      <c r="E892" s="38">
        <v>101</v>
      </c>
      <c r="F892" s="40">
        <v>0.1275</v>
      </c>
      <c r="G892" s="41">
        <v>34271</v>
      </c>
      <c r="H892" s="41">
        <v>39750</v>
      </c>
      <c r="I892" s="39">
        <v>15</v>
      </c>
      <c r="J892" s="39" t="s">
        <v>1716</v>
      </c>
      <c r="K892" s="39" t="s">
        <v>1716</v>
      </c>
      <c r="L892" s="39" t="s">
        <v>1716</v>
      </c>
      <c r="M892" s="38" t="str">
        <f t="shared" si="16"/>
        <v>Emprunt Maroc</v>
      </c>
      <c r="N892" s="38"/>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c r="BP892" s="2"/>
      <c r="BQ892" s="2"/>
      <c r="BR892" s="2"/>
      <c r="BS892" s="2"/>
      <c r="BT892" s="2"/>
      <c r="BU892" s="2"/>
      <c r="BV892" s="2"/>
      <c r="BW892" s="2"/>
      <c r="BX892" s="2"/>
      <c r="BY892" s="2"/>
      <c r="BZ892" s="2"/>
      <c r="CA892" s="2"/>
      <c r="CB892" s="2"/>
      <c r="CC892" s="2"/>
      <c r="CD892" s="2"/>
      <c r="CE892" s="2"/>
      <c r="CF892" s="2"/>
      <c r="CG892" s="2"/>
      <c r="CH892" s="2"/>
      <c r="CI892" s="2"/>
      <c r="CJ892" s="2"/>
      <c r="CK892" s="2"/>
      <c r="CL892" s="2"/>
      <c r="CM892" s="2"/>
      <c r="CN892" s="2"/>
      <c r="CO892" s="2"/>
      <c r="CP892" s="2"/>
      <c r="CQ892" s="2"/>
    </row>
    <row r="893" spans="1:95" s="108" customFormat="1" x14ac:dyDescent="0.2">
      <c r="A893" s="38" t="s">
        <v>1531</v>
      </c>
      <c r="B893" s="38">
        <v>792114</v>
      </c>
      <c r="C893" s="38" t="s">
        <v>1415</v>
      </c>
      <c r="D893" s="279">
        <v>200000</v>
      </c>
      <c r="E893" s="38">
        <v>101</v>
      </c>
      <c r="F893" s="40">
        <v>0.1275</v>
      </c>
      <c r="G893" s="41">
        <v>34327</v>
      </c>
      <c r="H893" s="41">
        <v>39806</v>
      </c>
      <c r="I893" s="39">
        <v>15</v>
      </c>
      <c r="J893" s="39" t="s">
        <v>1716</v>
      </c>
      <c r="K893" s="39" t="s">
        <v>1716</v>
      </c>
      <c r="L893" s="39" t="s">
        <v>1716</v>
      </c>
      <c r="M893" s="38" t="str">
        <f t="shared" si="16"/>
        <v>Emprunt Maroc</v>
      </c>
      <c r="N893" s="38"/>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c r="BO893" s="2"/>
      <c r="BP893" s="2"/>
      <c r="BQ893" s="2"/>
      <c r="BR893" s="2"/>
      <c r="BS893" s="2"/>
      <c r="BT893" s="2"/>
      <c r="BU893" s="2"/>
      <c r="BV893" s="2"/>
      <c r="BW893" s="2"/>
      <c r="BX893" s="2"/>
      <c r="BY893" s="2"/>
      <c r="BZ893" s="2"/>
      <c r="CA893" s="2"/>
      <c r="CB893" s="2"/>
      <c r="CC893" s="2"/>
      <c r="CD893" s="2"/>
      <c r="CE893" s="2"/>
      <c r="CF893" s="2"/>
      <c r="CG893" s="2"/>
      <c r="CH893" s="2"/>
      <c r="CI893" s="2"/>
      <c r="CJ893" s="2"/>
      <c r="CK893" s="2"/>
      <c r="CL893" s="2"/>
      <c r="CM893" s="2"/>
      <c r="CN893" s="2"/>
      <c r="CO893" s="2"/>
      <c r="CP893" s="2"/>
      <c r="CQ893" s="2"/>
    </row>
    <row r="894" spans="1:95" s="108" customFormat="1" x14ac:dyDescent="0.2">
      <c r="A894" s="38" t="s">
        <v>1531</v>
      </c>
      <c r="B894" s="38">
        <v>792119</v>
      </c>
      <c r="C894" s="38" t="s">
        <v>1416</v>
      </c>
      <c r="D894" s="279">
        <v>200000</v>
      </c>
      <c r="E894" s="38">
        <v>101</v>
      </c>
      <c r="F894" s="40">
        <v>0.1275</v>
      </c>
      <c r="G894" s="41">
        <v>34291</v>
      </c>
      <c r="H894" s="41">
        <v>39770</v>
      </c>
      <c r="I894" s="39">
        <v>15</v>
      </c>
      <c r="J894" s="39" t="s">
        <v>1716</v>
      </c>
      <c r="K894" s="39" t="s">
        <v>1716</v>
      </c>
      <c r="L894" s="39" t="s">
        <v>1716</v>
      </c>
      <c r="M894" s="38" t="str">
        <f t="shared" si="16"/>
        <v>Emprunt Maroc</v>
      </c>
      <c r="N894" s="38"/>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c r="BP894" s="2"/>
      <c r="BQ894" s="2"/>
      <c r="BR894" s="2"/>
      <c r="BS894" s="2"/>
      <c r="BT894" s="2"/>
      <c r="BU894" s="2"/>
      <c r="BV894" s="2"/>
      <c r="BW894" s="2"/>
      <c r="BX894" s="2"/>
      <c r="BY894" s="2"/>
      <c r="BZ894" s="2"/>
      <c r="CA894" s="2"/>
      <c r="CB894" s="2"/>
      <c r="CC894" s="2"/>
      <c r="CD894" s="2"/>
      <c r="CE894" s="2"/>
      <c r="CF894" s="2"/>
      <c r="CG894" s="2"/>
      <c r="CH894" s="2"/>
      <c r="CI894" s="2"/>
      <c r="CJ894" s="2"/>
      <c r="CK894" s="2"/>
      <c r="CL894" s="2"/>
      <c r="CM894" s="2"/>
      <c r="CN894" s="2"/>
      <c r="CO894" s="2"/>
      <c r="CP894" s="2"/>
      <c r="CQ894" s="2"/>
    </row>
    <row r="895" spans="1:95" s="108" customFormat="1" x14ac:dyDescent="0.2">
      <c r="A895" s="38" t="s">
        <v>1531</v>
      </c>
      <c r="B895" s="38">
        <v>792127</v>
      </c>
      <c r="C895" s="38" t="s">
        <v>297</v>
      </c>
      <c r="D895" s="279">
        <v>150000</v>
      </c>
      <c r="E895" s="38">
        <v>101</v>
      </c>
      <c r="F895" s="40">
        <v>0.11</v>
      </c>
      <c r="G895" s="41">
        <v>34669</v>
      </c>
      <c r="H895" s="41">
        <v>40148</v>
      </c>
      <c r="I895" s="39">
        <v>15</v>
      </c>
      <c r="J895" s="39" t="s">
        <v>1716</v>
      </c>
      <c r="K895" s="39" t="s">
        <v>1716</v>
      </c>
      <c r="L895" s="39" t="s">
        <v>1716</v>
      </c>
      <c r="M895" s="38" t="str">
        <f t="shared" si="16"/>
        <v>Emprunt Maroc</v>
      </c>
      <c r="N895" s="38"/>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c r="BO895" s="2"/>
      <c r="BP895" s="2"/>
      <c r="BQ895" s="2"/>
      <c r="BR895" s="2"/>
      <c r="BS895" s="2"/>
      <c r="BT895" s="2"/>
      <c r="BU895" s="2"/>
      <c r="BV895" s="2"/>
      <c r="BW895" s="2"/>
      <c r="BX895" s="2"/>
      <c r="BY895" s="2"/>
      <c r="BZ895" s="2"/>
      <c r="CA895" s="2"/>
      <c r="CB895" s="2"/>
      <c r="CC895" s="2"/>
      <c r="CD895" s="2"/>
      <c r="CE895" s="2"/>
      <c r="CF895" s="2"/>
      <c r="CG895" s="2"/>
      <c r="CH895" s="2"/>
      <c r="CI895" s="2"/>
      <c r="CJ895" s="2"/>
      <c r="CK895" s="2"/>
      <c r="CL895" s="2"/>
      <c r="CM895" s="2"/>
      <c r="CN895" s="2"/>
      <c r="CO895" s="2"/>
      <c r="CP895" s="2"/>
      <c r="CQ895" s="2"/>
    </row>
    <row r="896" spans="1:95" s="108" customFormat="1" x14ac:dyDescent="0.2">
      <c r="A896" s="38" t="s">
        <v>1531</v>
      </c>
      <c r="B896" s="38">
        <v>792128</v>
      </c>
      <c r="C896" s="38" t="s">
        <v>298</v>
      </c>
      <c r="D896" s="279">
        <v>150000</v>
      </c>
      <c r="E896" s="38">
        <v>101</v>
      </c>
      <c r="F896" s="40">
        <v>0.11</v>
      </c>
      <c r="G896" s="41">
        <v>34571</v>
      </c>
      <c r="H896" s="41">
        <v>40050</v>
      </c>
      <c r="I896" s="39">
        <v>15</v>
      </c>
      <c r="J896" s="39" t="s">
        <v>1716</v>
      </c>
      <c r="K896" s="39" t="s">
        <v>1716</v>
      </c>
      <c r="L896" s="39" t="s">
        <v>1716</v>
      </c>
      <c r="M896" s="38" t="str">
        <f t="shared" si="16"/>
        <v>Emprunt Maroc</v>
      </c>
      <c r="N896" s="38"/>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c r="BP896" s="2"/>
      <c r="BQ896" s="2"/>
      <c r="BR896" s="2"/>
      <c r="BS896" s="2"/>
      <c r="BT896" s="2"/>
      <c r="BU896" s="2"/>
      <c r="BV896" s="2"/>
      <c r="BW896" s="2"/>
      <c r="BX896" s="2"/>
      <c r="BY896" s="2"/>
      <c r="BZ896" s="2"/>
      <c r="CA896" s="2"/>
      <c r="CB896" s="2"/>
      <c r="CC896" s="2"/>
      <c r="CD896" s="2"/>
      <c r="CE896" s="2"/>
      <c r="CF896" s="2"/>
      <c r="CG896" s="2"/>
      <c r="CH896" s="2"/>
      <c r="CI896" s="2"/>
      <c r="CJ896" s="2"/>
      <c r="CK896" s="2"/>
      <c r="CL896" s="2"/>
      <c r="CM896" s="2"/>
      <c r="CN896" s="2"/>
      <c r="CO896" s="2"/>
      <c r="CP896" s="2"/>
      <c r="CQ896" s="2"/>
    </row>
    <row r="897" spans="1:95" s="108" customFormat="1" x14ac:dyDescent="0.2">
      <c r="A897" s="38" t="s">
        <v>1531</v>
      </c>
      <c r="B897" s="38">
        <v>792152</v>
      </c>
      <c r="C897" s="38" t="s">
        <v>820</v>
      </c>
      <c r="D897" s="279">
        <v>150000</v>
      </c>
      <c r="E897" s="38">
        <v>101</v>
      </c>
      <c r="F897" s="40">
        <v>0.105</v>
      </c>
      <c r="G897" s="41">
        <v>34908</v>
      </c>
      <c r="H897" s="41">
        <v>40387</v>
      </c>
      <c r="I897" s="39">
        <v>15</v>
      </c>
      <c r="J897" s="39" t="s">
        <v>1716</v>
      </c>
      <c r="K897" s="39" t="s">
        <v>1716</v>
      </c>
      <c r="L897" s="39" t="s">
        <v>1716</v>
      </c>
      <c r="M897" s="38" t="str">
        <f t="shared" si="16"/>
        <v>Emprunt Maroc</v>
      </c>
      <c r="N897" s="38"/>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c r="AX897" s="2"/>
      <c r="AY897" s="2"/>
      <c r="AZ897" s="2"/>
      <c r="BA897" s="2"/>
      <c r="BB897" s="2"/>
      <c r="BC897" s="2"/>
      <c r="BD897" s="2"/>
      <c r="BE897" s="2"/>
      <c r="BF897" s="2"/>
      <c r="BG897" s="2"/>
      <c r="BH897" s="2"/>
      <c r="BI897" s="2"/>
      <c r="BJ897" s="2"/>
      <c r="BK897" s="2"/>
      <c r="BL897" s="2"/>
      <c r="BM897" s="2"/>
      <c r="BN897" s="2"/>
      <c r="BO897" s="2"/>
      <c r="BP897" s="2"/>
      <c r="BQ897" s="2"/>
      <c r="BR897" s="2"/>
      <c r="BS897" s="2"/>
      <c r="BT897" s="2"/>
      <c r="BU897" s="2"/>
      <c r="BV897" s="2"/>
      <c r="BW897" s="2"/>
      <c r="BX897" s="2"/>
      <c r="BY897" s="2"/>
      <c r="BZ897" s="2"/>
      <c r="CA897" s="2"/>
      <c r="CB897" s="2"/>
      <c r="CC897" s="2"/>
      <c r="CD897" s="2"/>
      <c r="CE897" s="2"/>
      <c r="CF897" s="2"/>
      <c r="CG897" s="2"/>
      <c r="CH897" s="2"/>
      <c r="CI897" s="2"/>
      <c r="CJ897" s="2"/>
      <c r="CK897" s="2"/>
      <c r="CL897" s="2"/>
      <c r="CM897" s="2"/>
      <c r="CN897" s="2"/>
      <c r="CO897" s="2"/>
      <c r="CP897" s="2"/>
      <c r="CQ897" s="2"/>
    </row>
    <row r="898" spans="1:95" s="108" customFormat="1" x14ac:dyDescent="0.2">
      <c r="A898" s="38" t="s">
        <v>1531</v>
      </c>
      <c r="B898" s="38">
        <v>792154</v>
      </c>
      <c r="C898" s="38" t="s">
        <v>821</v>
      </c>
      <c r="D898" s="279">
        <v>100000</v>
      </c>
      <c r="E898" s="38">
        <v>101</v>
      </c>
      <c r="F898" s="40">
        <v>0.105</v>
      </c>
      <c r="G898" s="41">
        <v>34941</v>
      </c>
      <c r="H898" s="41">
        <v>40420</v>
      </c>
      <c r="I898" s="39">
        <v>15</v>
      </c>
      <c r="J898" s="39" t="s">
        <v>1716</v>
      </c>
      <c r="K898" s="39" t="s">
        <v>1716</v>
      </c>
      <c r="L898" s="39" t="s">
        <v>1716</v>
      </c>
      <c r="M898" s="38" t="str">
        <f t="shared" si="16"/>
        <v>Emprunt Maroc</v>
      </c>
      <c r="N898" s="38"/>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c r="BP898" s="2"/>
      <c r="BQ898" s="2"/>
      <c r="BR898" s="2"/>
      <c r="BS898" s="2"/>
      <c r="BT898" s="2"/>
      <c r="BU898" s="2"/>
      <c r="BV898" s="2"/>
      <c r="BW898" s="2"/>
      <c r="BX898" s="2"/>
      <c r="BY898" s="2"/>
      <c r="BZ898" s="2"/>
      <c r="CA898" s="2"/>
      <c r="CB898" s="2"/>
      <c r="CC898" s="2"/>
      <c r="CD898" s="2"/>
      <c r="CE898" s="2"/>
      <c r="CF898" s="2"/>
      <c r="CG898" s="2"/>
      <c r="CH898" s="2"/>
      <c r="CI898" s="2"/>
      <c r="CJ898" s="2"/>
      <c r="CK898" s="2"/>
      <c r="CL898" s="2"/>
      <c r="CM898" s="2"/>
      <c r="CN898" s="2"/>
      <c r="CO898" s="2"/>
      <c r="CP898" s="2"/>
      <c r="CQ898" s="2"/>
    </row>
    <row r="899" spans="1:95" s="108" customFormat="1" x14ac:dyDescent="0.2">
      <c r="A899" s="38" t="s">
        <v>1531</v>
      </c>
      <c r="B899" s="38">
        <v>792159</v>
      </c>
      <c r="C899" s="38" t="s">
        <v>822</v>
      </c>
      <c r="D899" s="279">
        <v>150000</v>
      </c>
      <c r="E899" s="38">
        <v>101</v>
      </c>
      <c r="F899" s="40">
        <v>0.105</v>
      </c>
      <c r="G899" s="41">
        <v>34971</v>
      </c>
      <c r="H899" s="41">
        <v>40450</v>
      </c>
      <c r="I899" s="39">
        <v>15</v>
      </c>
      <c r="J899" s="39" t="s">
        <v>1716</v>
      </c>
      <c r="K899" s="39" t="s">
        <v>1716</v>
      </c>
      <c r="L899" s="39" t="s">
        <v>1716</v>
      </c>
      <c r="M899" s="38" t="str">
        <f t="shared" si="16"/>
        <v>Emprunt Maroc</v>
      </c>
      <c r="N899" s="38"/>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c r="BP899" s="2"/>
      <c r="BQ899" s="2"/>
      <c r="BR899" s="2"/>
      <c r="BS899" s="2"/>
      <c r="BT899" s="2"/>
      <c r="BU899" s="2"/>
      <c r="BV899" s="2"/>
      <c r="BW899" s="2"/>
      <c r="BX899" s="2"/>
      <c r="BY899" s="2"/>
      <c r="BZ899" s="2"/>
      <c r="CA899" s="2"/>
      <c r="CB899" s="2"/>
      <c r="CC899" s="2"/>
      <c r="CD899" s="2"/>
      <c r="CE899" s="2"/>
      <c r="CF899" s="2"/>
      <c r="CG899" s="2"/>
      <c r="CH899" s="2"/>
      <c r="CI899" s="2"/>
      <c r="CJ899" s="2"/>
      <c r="CK899" s="2"/>
      <c r="CL899" s="2"/>
      <c r="CM899" s="2"/>
      <c r="CN899" s="2"/>
      <c r="CO899" s="2"/>
      <c r="CP899" s="2"/>
      <c r="CQ899" s="2"/>
    </row>
    <row r="900" spans="1:95" s="108" customFormat="1" x14ac:dyDescent="0.2">
      <c r="A900" s="38" t="s">
        <v>1531</v>
      </c>
      <c r="B900" s="38">
        <v>792225</v>
      </c>
      <c r="C900" s="38" t="s">
        <v>1262</v>
      </c>
      <c r="D900" s="279">
        <v>150000</v>
      </c>
      <c r="E900" s="38">
        <v>101</v>
      </c>
      <c r="F900" s="40">
        <v>0.1275</v>
      </c>
      <c r="G900" s="41">
        <v>34148</v>
      </c>
      <c r="H900" s="41">
        <v>39627</v>
      </c>
      <c r="I900" s="39">
        <v>15</v>
      </c>
      <c r="J900" s="39" t="s">
        <v>1716</v>
      </c>
      <c r="K900" s="39" t="s">
        <v>1716</v>
      </c>
      <c r="L900" s="39" t="s">
        <v>1716</v>
      </c>
      <c r="M900" s="38" t="str">
        <f t="shared" si="16"/>
        <v>Emprunt Maroc</v>
      </c>
      <c r="N900" s="38"/>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c r="BO900" s="2"/>
      <c r="BP900" s="2"/>
      <c r="BQ900" s="2"/>
      <c r="BR900" s="2"/>
      <c r="BS900" s="2"/>
      <c r="BT900" s="2"/>
      <c r="BU900" s="2"/>
      <c r="BV900" s="2"/>
      <c r="BW900" s="2"/>
      <c r="BX900" s="2"/>
      <c r="BY900" s="2"/>
      <c r="BZ900" s="2"/>
      <c r="CA900" s="2"/>
      <c r="CB900" s="2"/>
      <c r="CC900" s="2"/>
      <c r="CD900" s="2"/>
      <c r="CE900" s="2"/>
      <c r="CF900" s="2"/>
      <c r="CG900" s="2"/>
      <c r="CH900" s="2"/>
      <c r="CI900" s="2"/>
      <c r="CJ900" s="2"/>
      <c r="CK900" s="2"/>
      <c r="CL900" s="2"/>
      <c r="CM900" s="2"/>
      <c r="CN900" s="2"/>
      <c r="CO900" s="2"/>
      <c r="CP900" s="2"/>
      <c r="CQ900" s="2"/>
    </row>
    <row r="901" spans="1:95" s="108" customFormat="1" x14ac:dyDescent="0.2">
      <c r="A901" s="38" t="s">
        <v>1531</v>
      </c>
      <c r="B901" s="38">
        <v>792237</v>
      </c>
      <c r="C901" s="38" t="s">
        <v>1263</v>
      </c>
      <c r="D901" s="279">
        <v>150000</v>
      </c>
      <c r="E901" s="38">
        <v>101</v>
      </c>
      <c r="F901" s="40">
        <v>0.115</v>
      </c>
      <c r="G901" s="41">
        <v>33504</v>
      </c>
      <c r="H901" s="41">
        <v>38983</v>
      </c>
      <c r="I901" s="39">
        <v>15</v>
      </c>
      <c r="J901" s="39" t="s">
        <v>1716</v>
      </c>
      <c r="K901" s="39" t="s">
        <v>1716</v>
      </c>
      <c r="L901" s="39" t="s">
        <v>1716</v>
      </c>
      <c r="M901" s="38" t="str">
        <f t="shared" si="16"/>
        <v>Emprunt Maroc</v>
      </c>
      <c r="N901" s="38"/>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c r="BO901" s="2"/>
      <c r="BP901" s="2"/>
      <c r="BQ901" s="2"/>
      <c r="BR901" s="2"/>
      <c r="BS901" s="2"/>
      <c r="BT901" s="2"/>
      <c r="BU901" s="2"/>
      <c r="BV901" s="2"/>
      <c r="BW901" s="2"/>
      <c r="BX901" s="2"/>
      <c r="BY901" s="2"/>
      <c r="BZ901" s="2"/>
      <c r="CA901" s="2"/>
      <c r="CB901" s="2"/>
      <c r="CC901" s="2"/>
      <c r="CD901" s="2"/>
      <c r="CE901" s="2"/>
      <c r="CF901" s="2"/>
      <c r="CG901" s="2"/>
      <c r="CH901" s="2"/>
      <c r="CI901" s="2"/>
      <c r="CJ901" s="2"/>
      <c r="CK901" s="2"/>
      <c r="CL901" s="2"/>
      <c r="CM901" s="2"/>
      <c r="CN901" s="2"/>
      <c r="CO901" s="2"/>
      <c r="CP901" s="2"/>
      <c r="CQ901" s="2"/>
    </row>
    <row r="902" spans="1:95" s="108" customFormat="1" x14ac:dyDescent="0.2">
      <c r="A902" s="38" t="s">
        <v>1015</v>
      </c>
      <c r="B902" s="38">
        <v>100286</v>
      </c>
      <c r="C902" s="38" t="s">
        <v>1521</v>
      </c>
      <c r="D902" s="279">
        <v>100000</v>
      </c>
      <c r="E902" s="38">
        <v>0</v>
      </c>
      <c r="F902" s="40">
        <v>5.9000000000000004E-2</v>
      </c>
      <c r="G902" s="41">
        <v>37559</v>
      </c>
      <c r="H902" s="41">
        <v>39020</v>
      </c>
      <c r="I902" s="39">
        <f>+YEAR(H902)-YEAR(G902)</f>
        <v>4</v>
      </c>
      <c r="J902" s="39" t="s">
        <v>1716</v>
      </c>
      <c r="K902" s="39" t="s">
        <v>1716</v>
      </c>
      <c r="L902" s="39" t="s">
        <v>1014</v>
      </c>
      <c r="M902" s="38" t="str">
        <f t="shared" si="16"/>
        <v>Bon de société de financement</v>
      </c>
      <c r="N902" s="38"/>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c r="AX902" s="2"/>
      <c r="AY902" s="2"/>
      <c r="AZ902" s="2"/>
      <c r="BA902" s="2"/>
      <c r="BB902" s="2"/>
      <c r="BC902" s="2"/>
      <c r="BD902" s="2"/>
      <c r="BE902" s="2"/>
      <c r="BF902" s="2"/>
      <c r="BG902" s="2"/>
      <c r="BH902" s="2"/>
      <c r="BI902" s="2"/>
      <c r="BJ902" s="2"/>
      <c r="BK902" s="2"/>
      <c r="BL902" s="2"/>
      <c r="BM902" s="2"/>
      <c r="BN902" s="2"/>
      <c r="BO902" s="2"/>
      <c r="BP902" s="2"/>
      <c r="BQ902" s="2"/>
      <c r="BR902" s="2"/>
      <c r="BS902" s="2"/>
      <c r="BT902" s="2"/>
      <c r="BU902" s="2"/>
      <c r="BV902" s="2"/>
      <c r="BW902" s="2"/>
      <c r="BX902" s="2"/>
      <c r="BY902" s="2"/>
      <c r="BZ902" s="2"/>
      <c r="CA902" s="2"/>
      <c r="CB902" s="2"/>
      <c r="CC902" s="2"/>
      <c r="CD902" s="2"/>
      <c r="CE902" s="2"/>
      <c r="CF902" s="2"/>
      <c r="CG902" s="2"/>
      <c r="CH902" s="2"/>
      <c r="CI902" s="2"/>
      <c r="CJ902" s="2"/>
      <c r="CK902" s="2"/>
      <c r="CL902" s="2"/>
      <c r="CM902" s="2"/>
      <c r="CN902" s="2"/>
      <c r="CO902" s="2"/>
      <c r="CP902" s="2"/>
      <c r="CQ902" s="2"/>
    </row>
    <row r="903" spans="1:95" s="108" customFormat="1" x14ac:dyDescent="0.2">
      <c r="A903" s="38" t="s">
        <v>1015</v>
      </c>
      <c r="B903" s="38">
        <v>100267</v>
      </c>
      <c r="C903" s="38" t="s">
        <v>1522</v>
      </c>
      <c r="D903" s="279">
        <v>100000</v>
      </c>
      <c r="E903" s="38">
        <v>3043</v>
      </c>
      <c r="F903" s="40">
        <v>6.7000000000000004E-2</v>
      </c>
      <c r="G903" s="41">
        <v>37413</v>
      </c>
      <c r="H903" s="41">
        <v>38509</v>
      </c>
      <c r="I903" s="39">
        <f t="shared" ref="I903:I908" si="17">+YEAR(H903)-YEAR(G903)</f>
        <v>3</v>
      </c>
      <c r="J903" s="39" t="s">
        <v>1716</v>
      </c>
      <c r="K903" s="39" t="s">
        <v>1716</v>
      </c>
      <c r="L903" s="39" t="s">
        <v>1014</v>
      </c>
      <c r="M903" s="38" t="str">
        <f t="shared" si="16"/>
        <v>Bon de société de financement</v>
      </c>
      <c r="N903" s="38"/>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c r="BO903" s="2"/>
      <c r="BP903" s="2"/>
      <c r="BQ903" s="2"/>
      <c r="BR903" s="2"/>
      <c r="BS903" s="2"/>
      <c r="BT903" s="2"/>
      <c r="BU903" s="2"/>
      <c r="BV903" s="2"/>
      <c r="BW903" s="2"/>
      <c r="BX903" s="2"/>
      <c r="BY903" s="2"/>
      <c r="BZ903" s="2"/>
      <c r="CA903" s="2"/>
      <c r="CB903" s="2"/>
      <c r="CC903" s="2"/>
      <c r="CD903" s="2"/>
      <c r="CE903" s="2"/>
      <c r="CF903" s="2"/>
      <c r="CG903" s="2"/>
      <c r="CH903" s="2"/>
      <c r="CI903" s="2"/>
      <c r="CJ903" s="2"/>
      <c r="CK903" s="2"/>
      <c r="CL903" s="2"/>
      <c r="CM903" s="2"/>
      <c r="CN903" s="2"/>
      <c r="CO903" s="2"/>
      <c r="CP903" s="2"/>
      <c r="CQ903" s="2"/>
    </row>
    <row r="904" spans="1:95" s="108" customFormat="1" x14ac:dyDescent="0.2">
      <c r="A904" s="38" t="s">
        <v>1523</v>
      </c>
      <c r="B904" s="38">
        <v>5000</v>
      </c>
      <c r="C904" s="38" t="s">
        <v>1524</v>
      </c>
      <c r="D904" s="279">
        <v>100000</v>
      </c>
      <c r="E904" s="38">
        <v>4003</v>
      </c>
      <c r="F904" s="40">
        <v>6.2199999999999998E-2</v>
      </c>
      <c r="G904" s="41">
        <v>37358</v>
      </c>
      <c r="H904" s="41">
        <v>39825</v>
      </c>
      <c r="I904" s="39">
        <f t="shared" si="17"/>
        <v>7</v>
      </c>
      <c r="J904" s="39" t="s">
        <v>1716</v>
      </c>
      <c r="K904" s="39" t="s">
        <v>1525</v>
      </c>
      <c r="L904" s="39" t="s">
        <v>1014</v>
      </c>
      <c r="M904" s="38" t="str">
        <f t="shared" si="16"/>
        <v>FPCT</v>
      </c>
      <c r="N904" s="38"/>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c r="BO904" s="2"/>
      <c r="BP904" s="2"/>
      <c r="BQ904" s="2"/>
      <c r="BR904" s="2"/>
      <c r="BS904" s="2"/>
      <c r="BT904" s="2"/>
      <c r="BU904" s="2"/>
      <c r="BV904" s="2"/>
      <c r="BW904" s="2"/>
      <c r="BX904" s="2"/>
      <c r="BY904" s="2"/>
      <c r="BZ904" s="2"/>
      <c r="CA904" s="2"/>
      <c r="CB904" s="2"/>
      <c r="CC904" s="2"/>
      <c r="CD904" s="2"/>
      <c r="CE904" s="2"/>
      <c r="CF904" s="2"/>
      <c r="CG904" s="2"/>
      <c r="CH904" s="2"/>
      <c r="CI904" s="2"/>
      <c r="CJ904" s="2"/>
      <c r="CK904" s="2"/>
      <c r="CL904" s="2"/>
      <c r="CM904" s="2"/>
      <c r="CN904" s="2"/>
      <c r="CO904" s="2"/>
      <c r="CP904" s="2"/>
      <c r="CQ904" s="2"/>
    </row>
    <row r="905" spans="1:95" s="108" customFormat="1" x14ac:dyDescent="0.2">
      <c r="A905" s="38" t="s">
        <v>1523</v>
      </c>
      <c r="B905" s="38">
        <v>5001</v>
      </c>
      <c r="C905" s="38" t="s">
        <v>1526</v>
      </c>
      <c r="D905" s="279">
        <v>100000</v>
      </c>
      <c r="E905" s="38">
        <v>4003</v>
      </c>
      <c r="F905" s="40">
        <v>7.3200000000000001E-2</v>
      </c>
      <c r="G905" s="41">
        <v>37358</v>
      </c>
      <c r="H905" s="41">
        <v>43112</v>
      </c>
      <c r="I905" s="39">
        <f t="shared" si="17"/>
        <v>16</v>
      </c>
      <c r="J905" s="39" t="s">
        <v>1716</v>
      </c>
      <c r="K905" s="39" t="s">
        <v>1525</v>
      </c>
      <c r="L905" s="39" t="s">
        <v>1014</v>
      </c>
      <c r="M905" s="38" t="str">
        <f t="shared" si="16"/>
        <v>FPCT</v>
      </c>
      <c r="N905" s="38"/>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c r="BO905" s="2"/>
      <c r="BP905" s="2"/>
      <c r="BQ905" s="2"/>
      <c r="BR905" s="2"/>
      <c r="BS905" s="2"/>
      <c r="BT905" s="2"/>
      <c r="BU905" s="2"/>
      <c r="BV905" s="2"/>
      <c r="BW905" s="2"/>
      <c r="BX905" s="2"/>
      <c r="BY905" s="2"/>
      <c r="BZ905" s="2"/>
      <c r="CA905" s="2"/>
      <c r="CB905" s="2"/>
      <c r="CC905" s="2"/>
      <c r="CD905" s="2"/>
      <c r="CE905" s="2"/>
      <c r="CF905" s="2"/>
      <c r="CG905" s="2"/>
      <c r="CH905" s="2"/>
      <c r="CI905" s="2"/>
      <c r="CJ905" s="2"/>
      <c r="CK905" s="2"/>
      <c r="CL905" s="2"/>
      <c r="CM905" s="2"/>
      <c r="CN905" s="2"/>
      <c r="CO905" s="2"/>
      <c r="CP905" s="2"/>
      <c r="CQ905" s="2"/>
    </row>
    <row r="906" spans="1:95" s="108" customFormat="1" x14ac:dyDescent="0.2">
      <c r="A906" s="38" t="s">
        <v>1523</v>
      </c>
      <c r="B906" s="38">
        <v>5004</v>
      </c>
      <c r="C906" s="38" t="s">
        <v>1527</v>
      </c>
      <c r="D906" s="279">
        <v>100000</v>
      </c>
      <c r="E906" s="38">
        <v>4008</v>
      </c>
      <c r="F906" s="40">
        <v>5.1100000000000007E-2</v>
      </c>
      <c r="G906" s="41">
        <v>37784</v>
      </c>
      <c r="H906" s="41">
        <v>39794</v>
      </c>
      <c r="I906" s="39">
        <f t="shared" si="17"/>
        <v>5</v>
      </c>
      <c r="J906" s="39" t="s">
        <v>1716</v>
      </c>
      <c r="K906" s="39" t="s">
        <v>1525</v>
      </c>
      <c r="L906" s="39" t="s">
        <v>1014</v>
      </c>
      <c r="M906" s="38" t="str">
        <f t="shared" si="16"/>
        <v>FPCT</v>
      </c>
      <c r="N906" s="38"/>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c r="AX906" s="2"/>
      <c r="AY906" s="2"/>
      <c r="AZ906" s="2"/>
      <c r="BA906" s="2"/>
      <c r="BB906" s="2"/>
      <c r="BC906" s="2"/>
      <c r="BD906" s="2"/>
      <c r="BE906" s="2"/>
      <c r="BF906" s="2"/>
      <c r="BG906" s="2"/>
      <c r="BH906" s="2"/>
      <c r="BI906" s="2"/>
      <c r="BJ906" s="2"/>
      <c r="BK906" s="2"/>
      <c r="BL906" s="2"/>
      <c r="BM906" s="2"/>
      <c r="BN906" s="2"/>
      <c r="BO906" s="2"/>
      <c r="BP906" s="2"/>
      <c r="BQ906" s="2"/>
      <c r="BR906" s="2"/>
      <c r="BS906" s="2"/>
      <c r="BT906" s="2"/>
      <c r="BU906" s="2"/>
      <c r="BV906" s="2"/>
      <c r="BW906" s="2"/>
      <c r="BX906" s="2"/>
      <c r="BY906" s="2"/>
      <c r="BZ906" s="2"/>
      <c r="CA906" s="2"/>
      <c r="CB906" s="2"/>
      <c r="CC906" s="2"/>
      <c r="CD906" s="2"/>
      <c r="CE906" s="2"/>
      <c r="CF906" s="2"/>
      <c r="CG906" s="2"/>
      <c r="CH906" s="2"/>
      <c r="CI906" s="2"/>
      <c r="CJ906" s="2"/>
      <c r="CK906" s="2"/>
      <c r="CL906" s="2"/>
      <c r="CM906" s="2"/>
      <c r="CN906" s="2"/>
      <c r="CO906" s="2"/>
      <c r="CP906" s="2"/>
      <c r="CQ906" s="2"/>
    </row>
    <row r="907" spans="1:95" s="108" customFormat="1" x14ac:dyDescent="0.2">
      <c r="A907" s="38" t="s">
        <v>1523</v>
      </c>
      <c r="B907" s="38">
        <v>5005</v>
      </c>
      <c r="C907" s="38" t="s">
        <v>1528</v>
      </c>
      <c r="D907" s="279">
        <v>100000</v>
      </c>
      <c r="E907" s="38">
        <v>4008</v>
      </c>
      <c r="F907" s="40">
        <v>6.3899999999999998E-2</v>
      </c>
      <c r="G907" s="41">
        <v>37784</v>
      </c>
      <c r="H907" s="41">
        <v>43720</v>
      </c>
      <c r="I907" s="39">
        <f t="shared" si="17"/>
        <v>16</v>
      </c>
      <c r="J907" s="39" t="s">
        <v>1716</v>
      </c>
      <c r="K907" s="39" t="s">
        <v>1525</v>
      </c>
      <c r="L907" s="39" t="s">
        <v>1014</v>
      </c>
      <c r="M907" s="38" t="str">
        <f t="shared" si="16"/>
        <v>FPCT</v>
      </c>
      <c r="N907" s="38"/>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c r="AX907" s="2"/>
      <c r="AY907" s="2"/>
      <c r="AZ907" s="2"/>
      <c r="BA907" s="2"/>
      <c r="BB907" s="2"/>
      <c r="BC907" s="2"/>
      <c r="BD907" s="2"/>
      <c r="BE907" s="2"/>
      <c r="BF907" s="2"/>
      <c r="BG907" s="2"/>
      <c r="BH907" s="2"/>
      <c r="BI907" s="2"/>
      <c r="BJ907" s="2"/>
      <c r="BK907" s="2"/>
      <c r="BL907" s="2"/>
      <c r="BM907" s="2"/>
      <c r="BN907" s="2"/>
      <c r="BO907" s="2"/>
      <c r="BP907" s="2"/>
      <c r="BQ907" s="2"/>
      <c r="BR907" s="2"/>
      <c r="BS907" s="2"/>
      <c r="BT907" s="2"/>
      <c r="BU907" s="2"/>
      <c r="BV907" s="2"/>
      <c r="BW907" s="2"/>
      <c r="BX907" s="2"/>
      <c r="BY907" s="2"/>
      <c r="BZ907" s="2"/>
      <c r="CA907" s="2"/>
      <c r="CB907" s="2"/>
      <c r="CC907" s="2"/>
      <c r="CD907" s="2"/>
      <c r="CE907" s="2"/>
      <c r="CF907" s="2"/>
      <c r="CG907" s="2"/>
      <c r="CH907" s="2"/>
      <c r="CI907" s="2"/>
      <c r="CJ907" s="2"/>
      <c r="CK907" s="2"/>
      <c r="CL907" s="2"/>
      <c r="CM907" s="2"/>
      <c r="CN907" s="2"/>
      <c r="CO907" s="2"/>
      <c r="CP907" s="2"/>
      <c r="CQ907" s="2"/>
    </row>
    <row r="908" spans="1:95" s="108" customFormat="1" x14ac:dyDescent="0.2">
      <c r="A908" s="38" t="s">
        <v>1015</v>
      </c>
      <c r="B908" s="38">
        <v>100296</v>
      </c>
      <c r="C908" s="38" t="s">
        <v>1530</v>
      </c>
      <c r="D908" s="279">
        <v>100000</v>
      </c>
      <c r="E908" s="38">
        <v>0</v>
      </c>
      <c r="F908" s="40">
        <v>6.0899999999999996E-2</v>
      </c>
      <c r="G908" s="41">
        <v>37763</v>
      </c>
      <c r="H908" s="41">
        <v>38859</v>
      </c>
      <c r="I908" s="39">
        <f t="shared" si="17"/>
        <v>3</v>
      </c>
      <c r="J908" s="39" t="s">
        <v>1716</v>
      </c>
      <c r="K908" s="39" t="s">
        <v>1716</v>
      </c>
      <c r="L908" s="39" t="s">
        <v>1014</v>
      </c>
      <c r="M908" s="38" t="str">
        <f t="shared" si="16"/>
        <v>Bon de société de financement</v>
      </c>
      <c r="N908" s="38"/>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c r="AX908" s="2"/>
      <c r="AY908" s="2"/>
      <c r="AZ908" s="2"/>
      <c r="BA908" s="2"/>
      <c r="BB908" s="2"/>
      <c r="BC908" s="2"/>
      <c r="BD908" s="2"/>
      <c r="BE908" s="2"/>
      <c r="BF908" s="2"/>
      <c r="BG908" s="2"/>
      <c r="BH908" s="2"/>
      <c r="BI908" s="2"/>
      <c r="BJ908" s="2"/>
      <c r="BK908" s="2"/>
      <c r="BL908" s="2"/>
      <c r="BM908" s="2"/>
      <c r="BN908" s="2"/>
      <c r="BO908" s="2"/>
      <c r="BP908" s="2"/>
      <c r="BQ908" s="2"/>
      <c r="BR908" s="2"/>
      <c r="BS908" s="2"/>
      <c r="BT908" s="2"/>
      <c r="BU908" s="2"/>
      <c r="BV908" s="2"/>
      <c r="BW908" s="2"/>
      <c r="BX908" s="2"/>
      <c r="BY908" s="2"/>
      <c r="BZ908" s="2"/>
      <c r="CA908" s="2"/>
      <c r="CB908" s="2"/>
      <c r="CC908" s="2"/>
      <c r="CD908" s="2"/>
      <c r="CE908" s="2"/>
      <c r="CF908" s="2"/>
      <c r="CG908" s="2"/>
      <c r="CH908" s="2"/>
      <c r="CI908" s="2"/>
      <c r="CJ908" s="2"/>
      <c r="CK908" s="2"/>
      <c r="CL908" s="2"/>
      <c r="CM908" s="2"/>
      <c r="CN908" s="2"/>
      <c r="CO908" s="2"/>
      <c r="CP908" s="2"/>
      <c r="CQ908" s="2"/>
    </row>
    <row r="909" spans="1:95" x14ac:dyDescent="0.2">
      <c r="A909" s="38" t="s">
        <v>1512</v>
      </c>
      <c r="B909" s="38">
        <v>2103</v>
      </c>
      <c r="C909" s="55" t="s">
        <v>774</v>
      </c>
      <c r="D909" s="279">
        <v>100000</v>
      </c>
      <c r="F909" s="40">
        <v>6.9500000000000006E-2</v>
      </c>
      <c r="G909" s="41">
        <v>38061</v>
      </c>
      <c r="H909" s="41">
        <v>43539</v>
      </c>
      <c r="I909" s="39">
        <v>15</v>
      </c>
      <c r="J909" s="45" t="s">
        <v>1716</v>
      </c>
      <c r="K909" s="39" t="s">
        <v>1716</v>
      </c>
      <c r="L909" s="39" t="s">
        <v>1716</v>
      </c>
      <c r="M909" s="38" t="str">
        <f t="shared" si="16"/>
        <v>Obligation ordinaire</v>
      </c>
    </row>
    <row r="910" spans="1:95" x14ac:dyDescent="0.2">
      <c r="A910" s="38" t="s">
        <v>1035</v>
      </c>
      <c r="B910" s="38">
        <v>200752</v>
      </c>
      <c r="C910" s="55" t="s">
        <v>1367</v>
      </c>
      <c r="D910" s="279">
        <v>100000</v>
      </c>
      <c r="E910" s="38">
        <v>101</v>
      </c>
      <c r="F910" s="40">
        <v>2.7E-2</v>
      </c>
      <c r="G910" s="41">
        <v>38447</v>
      </c>
      <c r="H910" s="41">
        <v>38873</v>
      </c>
      <c r="I910" s="39">
        <v>52</v>
      </c>
      <c r="J910" s="39" t="s">
        <v>369</v>
      </c>
      <c r="K910" s="39" t="s">
        <v>1716</v>
      </c>
      <c r="L910" s="39" t="s">
        <v>1014</v>
      </c>
      <c r="M910" s="38" t="str">
        <f t="shared" si="16"/>
        <v>Bon du Trésor</v>
      </c>
    </row>
    <row r="911" spans="1:95" x14ac:dyDescent="0.2">
      <c r="A911" s="38" t="s">
        <v>1035</v>
      </c>
      <c r="B911" s="38">
        <v>200756</v>
      </c>
      <c r="C911" s="55" t="s">
        <v>27</v>
      </c>
      <c r="D911" s="279">
        <v>100000</v>
      </c>
      <c r="E911" s="38">
        <v>101</v>
      </c>
      <c r="F911" s="40">
        <v>4.7500000000000001E-2</v>
      </c>
      <c r="G911" s="41">
        <v>38523</v>
      </c>
      <c r="H911" s="41">
        <v>42175</v>
      </c>
      <c r="I911" s="39">
        <v>10</v>
      </c>
      <c r="J911" s="45" t="s">
        <v>1716</v>
      </c>
      <c r="K911" s="39" t="s">
        <v>1716</v>
      </c>
      <c r="L911" s="39" t="s">
        <v>1014</v>
      </c>
      <c r="M911" s="38" t="str">
        <f t="shared" ref="M911:M916" si="18">+A911</f>
        <v>Bon du Trésor</v>
      </c>
    </row>
    <row r="912" spans="1:95" x14ac:dyDescent="0.2">
      <c r="A912" s="38" t="s">
        <v>1035</v>
      </c>
      <c r="B912" s="38">
        <v>200755</v>
      </c>
      <c r="C912" s="55" t="s">
        <v>1797</v>
      </c>
      <c r="D912" s="279">
        <v>100000</v>
      </c>
      <c r="E912" s="38">
        <v>101</v>
      </c>
      <c r="F912" s="40">
        <v>5.2999999999999999E-2</v>
      </c>
      <c r="G912" s="41">
        <v>38509</v>
      </c>
      <c r="H912" s="41">
        <v>43988</v>
      </c>
      <c r="I912" s="39">
        <v>15</v>
      </c>
      <c r="J912" s="45" t="s">
        <v>1716</v>
      </c>
      <c r="K912" s="39" t="s">
        <v>1716</v>
      </c>
      <c r="L912" s="39" t="s">
        <v>1014</v>
      </c>
      <c r="M912" s="38" t="str">
        <f t="shared" si="18"/>
        <v>Bon du Trésor</v>
      </c>
    </row>
    <row r="913" spans="1:13" x14ac:dyDescent="0.2">
      <c r="A913" s="38" t="s">
        <v>1035</v>
      </c>
      <c r="B913" s="38">
        <v>200753</v>
      </c>
      <c r="C913" s="55" t="s">
        <v>1637</v>
      </c>
      <c r="D913" s="279">
        <v>100000</v>
      </c>
      <c r="E913" s="38">
        <v>101</v>
      </c>
      <c r="F913" s="40">
        <v>4.7500000000000001E-2</v>
      </c>
      <c r="G913" s="41">
        <v>38474</v>
      </c>
      <c r="H913" s="41">
        <v>42126</v>
      </c>
      <c r="I913" s="39">
        <v>10</v>
      </c>
      <c r="J913" s="45" t="s">
        <v>1716</v>
      </c>
      <c r="K913" s="39" t="s">
        <v>1716</v>
      </c>
      <c r="L913" s="39" t="s">
        <v>1014</v>
      </c>
      <c r="M913" s="38" t="str">
        <f t="shared" si="18"/>
        <v>Bon du Trésor</v>
      </c>
    </row>
    <row r="914" spans="1:13" x14ac:dyDescent="0.2">
      <c r="A914" s="38" t="s">
        <v>1035</v>
      </c>
      <c r="B914" s="38">
        <v>200762</v>
      </c>
      <c r="C914" s="55" t="s">
        <v>1953</v>
      </c>
      <c r="D914" s="279">
        <v>100000</v>
      </c>
      <c r="E914" s="38">
        <v>101</v>
      </c>
      <c r="F914" s="40">
        <v>5.2999999999999999E-2</v>
      </c>
      <c r="G914" s="41">
        <v>38600</v>
      </c>
      <c r="H914" s="41">
        <v>44079</v>
      </c>
      <c r="I914" s="39">
        <v>15</v>
      </c>
      <c r="J914" s="45" t="s">
        <v>1716</v>
      </c>
      <c r="K914" s="39" t="s">
        <v>1716</v>
      </c>
      <c r="L914" s="39" t="s">
        <v>1014</v>
      </c>
      <c r="M914" s="38" t="str">
        <f t="shared" si="18"/>
        <v>Bon du Trésor</v>
      </c>
    </row>
    <row r="915" spans="1:13" x14ac:dyDescent="0.2">
      <c r="A915" s="38" t="s">
        <v>1035</v>
      </c>
      <c r="B915" s="38">
        <v>200763</v>
      </c>
      <c r="C915" s="38" t="s">
        <v>129</v>
      </c>
      <c r="D915" s="279">
        <v>100000</v>
      </c>
      <c r="E915" s="38">
        <v>101</v>
      </c>
      <c r="F915" s="46">
        <v>0.03</v>
      </c>
      <c r="G915" s="41">
        <v>38607</v>
      </c>
      <c r="H915" s="41">
        <f>+G915+364</f>
        <v>38971</v>
      </c>
      <c r="I915" s="47">
        <v>52</v>
      </c>
      <c r="J915" s="47" t="s">
        <v>369</v>
      </c>
      <c r="K915" s="39" t="s">
        <v>1716</v>
      </c>
      <c r="L915" s="39" t="s">
        <v>1014</v>
      </c>
      <c r="M915" s="38" t="str">
        <f t="shared" si="18"/>
        <v>Bon du Trésor</v>
      </c>
    </row>
    <row r="916" spans="1:13" x14ac:dyDescent="0.2">
      <c r="A916" s="38" t="s">
        <v>1512</v>
      </c>
      <c r="B916" s="38">
        <v>2111</v>
      </c>
      <c r="C916" s="55" t="s">
        <v>489</v>
      </c>
      <c r="D916" s="279">
        <v>100000</v>
      </c>
      <c r="F916" s="40">
        <v>4.9200000000000001E-2</v>
      </c>
      <c r="G916" s="41">
        <v>38608</v>
      </c>
      <c r="H916" s="41">
        <v>40434</v>
      </c>
      <c r="I916" s="39">
        <v>5</v>
      </c>
      <c r="J916" s="45" t="s">
        <v>1716</v>
      </c>
      <c r="K916" s="39" t="s">
        <v>1716</v>
      </c>
      <c r="L916" s="39" t="s">
        <v>1014</v>
      </c>
      <c r="M916" s="38" t="str">
        <f t="shared" si="18"/>
        <v>Obligation ordinaire</v>
      </c>
    </row>
    <row r="917" spans="1:13" x14ac:dyDescent="0.2">
      <c r="A917" s="38" t="s">
        <v>1512</v>
      </c>
      <c r="B917" s="38">
        <v>9049</v>
      </c>
      <c r="C917" s="55" t="s">
        <v>1326</v>
      </c>
      <c r="D917" s="279">
        <v>100000</v>
      </c>
      <c r="F917" s="40">
        <v>4.9200000000000001E-2</v>
      </c>
      <c r="G917" s="41">
        <v>38611</v>
      </c>
      <c r="H917" s="41">
        <v>40437</v>
      </c>
      <c r="I917" s="39">
        <v>5</v>
      </c>
      <c r="J917" s="45" t="s">
        <v>1716</v>
      </c>
      <c r="K917" s="39" t="s">
        <v>1716</v>
      </c>
      <c r="L917" s="39" t="s">
        <v>1014</v>
      </c>
      <c r="M917" s="38" t="str">
        <f t="shared" ref="M917:M925" si="19">+A917</f>
        <v>Obligation ordinaire</v>
      </c>
    </row>
    <row r="918" spans="1:13" x14ac:dyDescent="0.2">
      <c r="A918" s="38" t="s">
        <v>1713</v>
      </c>
      <c r="B918" s="38">
        <v>140124</v>
      </c>
      <c r="C918" s="38" t="s">
        <v>1327</v>
      </c>
      <c r="D918" s="279">
        <v>100000</v>
      </c>
      <c r="F918" s="40">
        <v>3.3000000000000002E-2</v>
      </c>
      <c r="G918" s="41">
        <v>38611</v>
      </c>
      <c r="H918" s="41">
        <f>+G918+182</f>
        <v>38793</v>
      </c>
      <c r="I918" s="39">
        <v>26</v>
      </c>
      <c r="J918" s="45" t="s">
        <v>369</v>
      </c>
      <c r="K918" s="39" t="s">
        <v>1716</v>
      </c>
      <c r="L918" s="39" t="s">
        <v>1014</v>
      </c>
      <c r="M918" s="38" t="str">
        <f t="shared" si="19"/>
        <v>Billet de trésorerie</v>
      </c>
    </row>
    <row r="919" spans="1:13" x14ac:dyDescent="0.2">
      <c r="A919" s="38" t="s">
        <v>1035</v>
      </c>
      <c r="B919" s="38">
        <v>200761</v>
      </c>
      <c r="C919" s="55" t="s">
        <v>426</v>
      </c>
      <c r="D919" s="279">
        <v>100000</v>
      </c>
      <c r="E919" s="38">
        <v>101</v>
      </c>
      <c r="F919" s="40">
        <v>4.7500000000000001E-2</v>
      </c>
      <c r="G919" s="41">
        <v>38600</v>
      </c>
      <c r="H919" s="41">
        <v>42252</v>
      </c>
      <c r="I919" s="39">
        <v>10</v>
      </c>
      <c r="J919" s="45" t="s">
        <v>1716</v>
      </c>
      <c r="K919" s="39" t="s">
        <v>1716</v>
      </c>
      <c r="L919" s="39" t="s">
        <v>1014</v>
      </c>
      <c r="M919" s="38" t="str">
        <f t="shared" si="19"/>
        <v>Bon du Trésor</v>
      </c>
    </row>
    <row r="920" spans="1:13" x14ac:dyDescent="0.2">
      <c r="A920" s="38" t="s">
        <v>1713</v>
      </c>
      <c r="B920" s="38">
        <v>140127</v>
      </c>
      <c r="C920" s="38" t="s">
        <v>1601</v>
      </c>
      <c r="D920" s="279">
        <v>100000</v>
      </c>
      <c r="F920" s="40">
        <v>3.4500000000000003E-2</v>
      </c>
      <c r="G920" s="41">
        <v>38629</v>
      </c>
      <c r="H920" s="41">
        <v>38994</v>
      </c>
      <c r="I920" s="39">
        <v>1</v>
      </c>
      <c r="J920" s="45" t="s">
        <v>1716</v>
      </c>
      <c r="K920" s="39" t="s">
        <v>1716</v>
      </c>
      <c r="L920" s="39" t="s">
        <v>1014</v>
      </c>
      <c r="M920" s="38" t="str">
        <f t="shared" si="19"/>
        <v>Billet de trésorerie</v>
      </c>
    </row>
    <row r="921" spans="1:13" x14ac:dyDescent="0.2">
      <c r="A921" s="38" t="s">
        <v>1713</v>
      </c>
      <c r="B921" s="38">
        <v>140128</v>
      </c>
      <c r="C921" s="38" t="s">
        <v>1197</v>
      </c>
      <c r="D921" s="279">
        <v>100000</v>
      </c>
      <c r="F921" s="40">
        <v>0.03</v>
      </c>
      <c r="G921" s="41">
        <v>38632</v>
      </c>
      <c r="H921" s="41">
        <v>38814</v>
      </c>
      <c r="I921" s="39">
        <v>26</v>
      </c>
      <c r="J921" s="45" t="s">
        <v>369</v>
      </c>
      <c r="K921" s="39" t="s">
        <v>1716</v>
      </c>
      <c r="L921" s="39" t="s">
        <v>1014</v>
      </c>
      <c r="M921" s="38" t="str">
        <f t="shared" si="19"/>
        <v>Billet de trésorerie</v>
      </c>
    </row>
    <row r="922" spans="1:13" x14ac:dyDescent="0.2">
      <c r="A922" s="38" t="s">
        <v>1035</v>
      </c>
      <c r="B922" s="38">
        <v>200754</v>
      </c>
      <c r="C922" s="55" t="s">
        <v>1198</v>
      </c>
      <c r="D922" s="279">
        <v>100000</v>
      </c>
      <c r="E922" s="38">
        <v>101</v>
      </c>
      <c r="F922" s="40">
        <v>3.95E-2</v>
      </c>
      <c r="G922" s="41">
        <v>38488</v>
      </c>
      <c r="H922" s="41">
        <v>40314</v>
      </c>
      <c r="I922" s="39">
        <v>5</v>
      </c>
      <c r="J922" s="45" t="s">
        <v>1716</v>
      </c>
      <c r="K922" s="39" t="s">
        <v>1716</v>
      </c>
      <c r="L922" s="39" t="s">
        <v>1014</v>
      </c>
      <c r="M922" s="38" t="str">
        <f t="shared" si="19"/>
        <v>Bon du Trésor</v>
      </c>
    </row>
    <row r="923" spans="1:13" x14ac:dyDescent="0.2">
      <c r="A923" s="38" t="s">
        <v>1035</v>
      </c>
      <c r="B923" s="38">
        <v>200745</v>
      </c>
      <c r="C923" s="55" t="s">
        <v>0</v>
      </c>
      <c r="D923" s="279">
        <v>100000</v>
      </c>
      <c r="E923" s="38">
        <v>101</v>
      </c>
      <c r="F923" s="40">
        <v>3.0499999999999999E-2</v>
      </c>
      <c r="G923" s="44">
        <v>38402</v>
      </c>
      <c r="H923" s="44">
        <v>39132</v>
      </c>
      <c r="I923" s="39">
        <v>2</v>
      </c>
      <c r="J923" s="45" t="s">
        <v>1716</v>
      </c>
      <c r="K923" s="39" t="s">
        <v>1716</v>
      </c>
      <c r="L923" s="39" t="s">
        <v>1014</v>
      </c>
      <c r="M923" s="38" t="str">
        <f t="shared" si="19"/>
        <v>Bon du Trésor</v>
      </c>
    </row>
    <row r="924" spans="1:13" x14ac:dyDescent="0.2">
      <c r="A924" s="38" t="s">
        <v>1035</v>
      </c>
      <c r="B924" s="38">
        <v>200757</v>
      </c>
      <c r="C924" s="55" t="s">
        <v>1</v>
      </c>
      <c r="D924" s="279">
        <v>100000</v>
      </c>
      <c r="E924" s="38">
        <v>101</v>
      </c>
      <c r="F924" s="40">
        <v>3.95E-2</v>
      </c>
      <c r="G924" s="44">
        <v>38615</v>
      </c>
      <c r="H924" s="44">
        <v>40441</v>
      </c>
      <c r="I924" s="39">
        <v>5</v>
      </c>
      <c r="J924" s="45" t="s">
        <v>1716</v>
      </c>
      <c r="K924" s="39" t="s">
        <v>1716</v>
      </c>
      <c r="L924" s="39" t="s">
        <v>1014</v>
      </c>
      <c r="M924" s="38" t="str">
        <f t="shared" si="19"/>
        <v>Bon du Trésor</v>
      </c>
    </row>
    <row r="925" spans="1:13" x14ac:dyDescent="0.2">
      <c r="A925" s="38" t="s">
        <v>1035</v>
      </c>
      <c r="B925" s="38">
        <v>200766</v>
      </c>
      <c r="C925" s="55" t="s">
        <v>1466</v>
      </c>
      <c r="D925" s="279">
        <v>100000</v>
      </c>
      <c r="E925" s="38">
        <v>101</v>
      </c>
      <c r="F925" s="40">
        <v>5.3499999999999999E-2</v>
      </c>
      <c r="G925" s="41">
        <v>38642</v>
      </c>
      <c r="H925" s="41">
        <v>44121</v>
      </c>
      <c r="I925" s="39">
        <v>15</v>
      </c>
      <c r="J925" s="45" t="s">
        <v>1716</v>
      </c>
      <c r="K925" s="39" t="s">
        <v>1716</v>
      </c>
      <c r="L925" s="39" t="s">
        <v>1014</v>
      </c>
      <c r="M925" s="38" t="str">
        <f t="shared" si="19"/>
        <v>Bon du Trésor</v>
      </c>
    </row>
    <row r="926" spans="1:13" x14ac:dyDescent="0.2">
      <c r="A926" s="38" t="s">
        <v>1035</v>
      </c>
      <c r="B926" s="38">
        <v>200764</v>
      </c>
      <c r="C926" s="55" t="s">
        <v>1185</v>
      </c>
      <c r="D926" s="279">
        <v>100000</v>
      </c>
      <c r="E926" s="38">
        <v>101</v>
      </c>
      <c r="F926" s="40">
        <v>5.9499999999999997E-2</v>
      </c>
      <c r="G926" s="41">
        <v>38628</v>
      </c>
      <c r="H926" s="41">
        <v>45933</v>
      </c>
      <c r="I926" s="39">
        <v>20</v>
      </c>
      <c r="J926" s="45" t="s">
        <v>1716</v>
      </c>
      <c r="K926" s="39" t="s">
        <v>1716</v>
      </c>
      <c r="L926" s="39" t="s">
        <v>1014</v>
      </c>
      <c r="M926" s="38" t="str">
        <f t="shared" ref="M926:M934" si="20">+A926</f>
        <v>Bon du Trésor</v>
      </c>
    </row>
    <row r="927" spans="1:13" x14ac:dyDescent="0.2">
      <c r="A927" s="38" t="s">
        <v>1035</v>
      </c>
      <c r="B927" s="38">
        <v>200767</v>
      </c>
      <c r="C927" s="55" t="s">
        <v>453</v>
      </c>
      <c r="D927" s="279">
        <v>100000</v>
      </c>
      <c r="E927" s="38">
        <v>101</v>
      </c>
      <c r="F927" s="40">
        <v>4.7500000000000001E-2</v>
      </c>
      <c r="G927" s="41">
        <v>38656</v>
      </c>
      <c r="H927" s="41">
        <v>42308</v>
      </c>
      <c r="I927" s="39">
        <v>10</v>
      </c>
      <c r="J927" s="45" t="s">
        <v>1716</v>
      </c>
      <c r="K927" s="39" t="s">
        <v>1716</v>
      </c>
      <c r="L927" s="39" t="s">
        <v>1014</v>
      </c>
      <c r="M927" s="38" t="str">
        <f t="shared" si="20"/>
        <v>Bon du Trésor</v>
      </c>
    </row>
    <row r="928" spans="1:13" x14ac:dyDescent="0.2">
      <c r="A928" s="38" t="s">
        <v>557</v>
      </c>
      <c r="B928" s="38">
        <v>150295</v>
      </c>
      <c r="C928" s="55" t="s">
        <v>991</v>
      </c>
      <c r="D928" s="279">
        <v>100000</v>
      </c>
      <c r="F928" s="40">
        <v>4.1000000000000002E-2</v>
      </c>
      <c r="G928" s="41">
        <v>38689</v>
      </c>
      <c r="H928" s="41">
        <v>39785</v>
      </c>
      <c r="I928" s="39">
        <v>3</v>
      </c>
      <c r="J928" s="45" t="s">
        <v>1716</v>
      </c>
      <c r="K928" s="39" t="s">
        <v>1716</v>
      </c>
      <c r="L928" s="39" t="s">
        <v>1014</v>
      </c>
      <c r="M928" s="38" t="str">
        <f t="shared" si="20"/>
        <v>Certificat de dépôt</v>
      </c>
    </row>
    <row r="929" spans="1:13" x14ac:dyDescent="0.2">
      <c r="A929" s="38" t="s">
        <v>1512</v>
      </c>
      <c r="B929" s="38">
        <v>9051</v>
      </c>
      <c r="C929" s="55" t="s">
        <v>196</v>
      </c>
      <c r="D929" s="279">
        <v>100000</v>
      </c>
      <c r="F929" s="40">
        <v>4.1000000000000002E-2</v>
      </c>
      <c r="G929" s="41">
        <v>39056</v>
      </c>
      <c r="H929" s="41">
        <v>40517</v>
      </c>
      <c r="I929" s="39">
        <v>5</v>
      </c>
      <c r="J929" s="45" t="s">
        <v>1716</v>
      </c>
      <c r="K929" s="39" t="s">
        <v>1716</v>
      </c>
      <c r="L929" s="39" t="s">
        <v>1014</v>
      </c>
      <c r="M929" s="38" t="str">
        <f t="shared" si="20"/>
        <v>Obligation ordinaire</v>
      </c>
    </row>
    <row r="930" spans="1:13" x14ac:dyDescent="0.2">
      <c r="A930" s="38" t="s">
        <v>1035</v>
      </c>
      <c r="B930" s="38">
        <v>200768</v>
      </c>
      <c r="C930" s="55" t="s">
        <v>992</v>
      </c>
      <c r="D930" s="279">
        <v>100000</v>
      </c>
      <c r="E930" s="38">
        <v>101</v>
      </c>
      <c r="F930" s="40">
        <v>4.7500000000000001E-2</v>
      </c>
      <c r="G930" s="41">
        <v>38670</v>
      </c>
      <c r="H930" s="41">
        <v>42322</v>
      </c>
      <c r="I930" s="39">
        <v>10</v>
      </c>
      <c r="J930" s="45" t="s">
        <v>1716</v>
      </c>
      <c r="K930" s="39" t="s">
        <v>1716</v>
      </c>
      <c r="L930" s="39" t="s">
        <v>1014</v>
      </c>
      <c r="M930" s="38" t="str">
        <f t="shared" si="20"/>
        <v>Bon du Trésor</v>
      </c>
    </row>
    <row r="931" spans="1:13" x14ac:dyDescent="0.2">
      <c r="A931" s="38" t="s">
        <v>1035</v>
      </c>
      <c r="B931" s="38">
        <v>200772</v>
      </c>
      <c r="C931" s="55" t="s">
        <v>162</v>
      </c>
      <c r="D931" s="279">
        <v>100000</v>
      </c>
      <c r="E931" s="38">
        <v>101</v>
      </c>
      <c r="F931" s="40">
        <v>5.2999999999999999E-2</v>
      </c>
      <c r="G931" s="41">
        <v>38698</v>
      </c>
      <c r="H931" s="41">
        <v>44177</v>
      </c>
      <c r="I931" s="39">
        <v>15</v>
      </c>
      <c r="J931" s="45" t="s">
        <v>1716</v>
      </c>
      <c r="K931" s="39" t="s">
        <v>1716</v>
      </c>
      <c r="L931" s="39" t="s">
        <v>1014</v>
      </c>
      <c r="M931" s="38" t="str">
        <f t="shared" si="20"/>
        <v>Bon du Trésor</v>
      </c>
    </row>
    <row r="932" spans="1:13" x14ac:dyDescent="0.2">
      <c r="A932" s="38" t="s">
        <v>1035</v>
      </c>
      <c r="B932" s="38">
        <v>200770</v>
      </c>
      <c r="C932" s="55" t="s">
        <v>1443</v>
      </c>
      <c r="D932" s="279">
        <v>100000</v>
      </c>
      <c r="E932" s="38">
        <v>101</v>
      </c>
      <c r="F932" s="40">
        <v>3.2500000000000001E-2</v>
      </c>
      <c r="G932" s="41">
        <v>38698</v>
      </c>
      <c r="H932" s="41">
        <v>39524</v>
      </c>
      <c r="I932" s="39">
        <v>2</v>
      </c>
      <c r="J932" s="45" t="s">
        <v>1716</v>
      </c>
      <c r="K932" s="39" t="s">
        <v>1716</v>
      </c>
      <c r="L932" s="39" t="s">
        <v>1014</v>
      </c>
      <c r="M932" s="38" t="str">
        <f t="shared" si="20"/>
        <v>Bon du Trésor</v>
      </c>
    </row>
    <row r="933" spans="1:13" x14ac:dyDescent="0.2">
      <c r="A933" s="38" t="s">
        <v>1713</v>
      </c>
      <c r="B933" s="38">
        <v>140133</v>
      </c>
      <c r="C933" s="38" t="s">
        <v>959</v>
      </c>
      <c r="D933" s="279">
        <v>100000</v>
      </c>
      <c r="F933" s="40">
        <v>3.3000000000000002E-2</v>
      </c>
      <c r="G933" s="41">
        <v>38702</v>
      </c>
      <c r="H933" s="41">
        <v>38792</v>
      </c>
      <c r="I933" s="39">
        <v>13</v>
      </c>
      <c r="J933" s="45" t="s">
        <v>369</v>
      </c>
      <c r="K933" s="39" t="s">
        <v>1716</v>
      </c>
      <c r="L933" s="39" t="s">
        <v>1014</v>
      </c>
      <c r="M933" s="38" t="str">
        <f t="shared" si="20"/>
        <v>Billet de trésorerie</v>
      </c>
    </row>
    <row r="934" spans="1:13" x14ac:dyDescent="0.2">
      <c r="A934" s="38" t="s">
        <v>1512</v>
      </c>
      <c r="B934" s="38">
        <v>9052</v>
      </c>
      <c r="C934" s="55" t="s">
        <v>186</v>
      </c>
      <c r="D934" s="279">
        <v>100000</v>
      </c>
      <c r="F934" s="40">
        <v>5.6399999999999999E-2</v>
      </c>
      <c r="G934" s="41">
        <v>38709</v>
      </c>
      <c r="H934" s="41">
        <v>41266</v>
      </c>
      <c r="I934" s="39">
        <v>7</v>
      </c>
      <c r="J934" s="45" t="s">
        <v>1716</v>
      </c>
      <c r="K934" s="39" t="s">
        <v>1716</v>
      </c>
      <c r="L934" s="39" t="s">
        <v>1014</v>
      </c>
      <c r="M934" s="38" t="str">
        <f t="shared" si="20"/>
        <v>Obligation ordinaire</v>
      </c>
    </row>
    <row r="935" spans="1:13" x14ac:dyDescent="0.2">
      <c r="A935" s="38" t="s">
        <v>1035</v>
      </c>
      <c r="B935" s="38">
        <v>200769</v>
      </c>
      <c r="C935" s="55" t="s">
        <v>1487</v>
      </c>
      <c r="D935" s="279">
        <v>100000</v>
      </c>
      <c r="E935" s="38">
        <v>101</v>
      </c>
      <c r="F935" s="40">
        <v>5.2999999999999999E-2</v>
      </c>
      <c r="G935" s="41">
        <v>38670</v>
      </c>
      <c r="H935" s="41">
        <v>44149</v>
      </c>
      <c r="I935" s="39">
        <v>15</v>
      </c>
      <c r="J935" s="45" t="s">
        <v>1716</v>
      </c>
      <c r="K935" s="39" t="s">
        <v>1716</v>
      </c>
      <c r="L935" s="39" t="s">
        <v>1014</v>
      </c>
      <c r="M935" s="38" t="str">
        <f>+A935</f>
        <v>Bon du Trésor</v>
      </c>
    </row>
    <row r="936" spans="1:13" x14ac:dyDescent="0.2">
      <c r="A936" s="38" t="s">
        <v>1035</v>
      </c>
      <c r="B936" s="38">
        <v>200773</v>
      </c>
      <c r="C936" s="55" t="s">
        <v>163</v>
      </c>
      <c r="D936" s="279">
        <v>100000</v>
      </c>
      <c r="E936" s="38">
        <v>101</v>
      </c>
      <c r="F936" s="40">
        <v>5.2999999999999999E-2</v>
      </c>
      <c r="G936" s="41">
        <v>38719</v>
      </c>
      <c r="H936" s="41">
        <v>44198</v>
      </c>
      <c r="I936" s="39">
        <v>15</v>
      </c>
      <c r="J936" s="45" t="s">
        <v>1716</v>
      </c>
      <c r="K936" s="39" t="s">
        <v>1716</v>
      </c>
      <c r="L936" s="39" t="s">
        <v>1014</v>
      </c>
      <c r="M936" s="38" t="str">
        <f>+A936</f>
        <v>Bon du Trésor</v>
      </c>
    </row>
    <row r="937" spans="1:13" x14ac:dyDescent="0.2">
      <c r="A937" s="38" t="s">
        <v>1015</v>
      </c>
      <c r="B937" s="38">
        <v>100418</v>
      </c>
      <c r="C937" s="55" t="s">
        <v>564</v>
      </c>
      <c r="D937" s="279">
        <v>100000</v>
      </c>
      <c r="F937" s="40">
        <v>4.48E-2</v>
      </c>
      <c r="G937" s="41">
        <v>38750</v>
      </c>
      <c r="H937" s="41">
        <v>40211</v>
      </c>
      <c r="I937" s="39">
        <v>4</v>
      </c>
      <c r="J937" s="45" t="s">
        <v>1716</v>
      </c>
      <c r="K937" s="39" t="s">
        <v>1716</v>
      </c>
      <c r="L937" s="39" t="s">
        <v>1014</v>
      </c>
      <c r="M937" s="38" t="str">
        <f>+A937</f>
        <v>Bon de société de financement</v>
      </c>
    </row>
    <row r="938" spans="1:13" x14ac:dyDescent="0.2">
      <c r="A938" s="38" t="s">
        <v>1035</v>
      </c>
      <c r="B938" s="38">
        <v>200777</v>
      </c>
      <c r="C938" s="55" t="s">
        <v>1514</v>
      </c>
      <c r="D938" s="279">
        <v>100000</v>
      </c>
      <c r="E938" s="38">
        <v>101</v>
      </c>
      <c r="F938" s="40">
        <v>3.0499999999999999E-2</v>
      </c>
      <c r="G938" s="41">
        <v>38761</v>
      </c>
      <c r="H938" s="41">
        <v>39125</v>
      </c>
      <c r="I938" s="39">
        <v>52</v>
      </c>
      <c r="J938" s="45" t="s">
        <v>369</v>
      </c>
      <c r="K938" s="39" t="s">
        <v>1716</v>
      </c>
      <c r="L938" s="39" t="s">
        <v>1014</v>
      </c>
      <c r="M938" s="38" t="str">
        <f>A938</f>
        <v>Bon du Trésor</v>
      </c>
    </row>
    <row r="939" spans="1:13" x14ac:dyDescent="0.2">
      <c r="A939" s="38" t="s">
        <v>1035</v>
      </c>
      <c r="B939" s="38">
        <v>200775</v>
      </c>
      <c r="C939" s="55" t="s">
        <v>212</v>
      </c>
      <c r="D939" s="279">
        <v>100000</v>
      </c>
      <c r="E939" s="38">
        <v>101</v>
      </c>
      <c r="F939" s="40">
        <v>4.7E-2</v>
      </c>
      <c r="G939" s="41">
        <v>38747</v>
      </c>
      <c r="H939" s="41">
        <v>42399</v>
      </c>
      <c r="I939" s="39">
        <v>10</v>
      </c>
      <c r="J939" s="45" t="s">
        <v>1716</v>
      </c>
      <c r="K939" s="39" t="s">
        <v>1716</v>
      </c>
      <c r="L939" s="39" t="s">
        <v>1014</v>
      </c>
      <c r="M939" s="38" t="str">
        <f>A939</f>
        <v>Bon du Trésor</v>
      </c>
    </row>
    <row r="940" spans="1:13" x14ac:dyDescent="0.2">
      <c r="A940" s="38" t="s">
        <v>1035</v>
      </c>
      <c r="B940" s="38">
        <v>200771</v>
      </c>
      <c r="C940" s="55" t="s">
        <v>1314</v>
      </c>
      <c r="D940" s="279">
        <v>100000</v>
      </c>
      <c r="E940" s="38">
        <v>101</v>
      </c>
      <c r="F940" s="40">
        <v>3.95E-2</v>
      </c>
      <c r="G940" s="41">
        <v>38734</v>
      </c>
      <c r="H940" s="41">
        <v>40560</v>
      </c>
      <c r="I940" s="39">
        <v>5</v>
      </c>
      <c r="J940" s="45" t="s">
        <v>1716</v>
      </c>
      <c r="K940" s="39" t="s">
        <v>1716</v>
      </c>
      <c r="L940" s="39" t="s">
        <v>1014</v>
      </c>
      <c r="M940" s="38" t="str">
        <f>A940</f>
        <v>Bon du Trésor</v>
      </c>
    </row>
    <row r="941" spans="1:13" x14ac:dyDescent="0.2">
      <c r="A941" s="38" t="s">
        <v>1035</v>
      </c>
      <c r="B941" s="38">
        <v>200779</v>
      </c>
      <c r="C941" s="55" t="s">
        <v>1371</v>
      </c>
      <c r="D941" s="279">
        <v>100000</v>
      </c>
      <c r="E941" s="38">
        <v>101</v>
      </c>
      <c r="F941" s="40">
        <v>3.9E-2</v>
      </c>
      <c r="G941" s="41">
        <v>38782</v>
      </c>
      <c r="H941" s="41">
        <v>40608</v>
      </c>
      <c r="I941" s="39">
        <v>5</v>
      </c>
      <c r="J941" s="45" t="s">
        <v>1716</v>
      </c>
      <c r="K941" s="39" t="s">
        <v>1716</v>
      </c>
      <c r="L941" s="39" t="s">
        <v>1014</v>
      </c>
      <c r="M941" s="38" t="str">
        <f>A941</f>
        <v>Bon du Trésor</v>
      </c>
    </row>
    <row r="942" spans="1:13" x14ac:dyDescent="0.2">
      <c r="A942" s="38" t="s">
        <v>1713</v>
      </c>
      <c r="B942" s="38">
        <v>140141</v>
      </c>
      <c r="C942" s="55" t="s">
        <v>1497</v>
      </c>
      <c r="D942" s="279">
        <v>100000</v>
      </c>
      <c r="E942" s="38">
        <v>0</v>
      </c>
      <c r="F942" s="40">
        <f>3.75%</f>
        <v>3.7499999999999999E-2</v>
      </c>
      <c r="G942" s="41">
        <v>38792</v>
      </c>
      <c r="H942" s="41">
        <v>39157</v>
      </c>
      <c r="I942" s="39">
        <v>1</v>
      </c>
      <c r="J942" s="45" t="s">
        <v>1716</v>
      </c>
      <c r="K942" s="39" t="s">
        <v>1716</v>
      </c>
      <c r="L942" s="39" t="s">
        <v>1014</v>
      </c>
      <c r="M942" s="38" t="str">
        <f>+A942</f>
        <v>Billet de trésorerie</v>
      </c>
    </row>
    <row r="943" spans="1:13" x14ac:dyDescent="0.2">
      <c r="A943" s="38" t="s">
        <v>1713</v>
      </c>
      <c r="B943" s="38">
        <v>140142</v>
      </c>
      <c r="C943" s="55" t="s">
        <v>1498</v>
      </c>
      <c r="D943" s="279">
        <v>100000</v>
      </c>
      <c r="E943" s="38">
        <v>0</v>
      </c>
      <c r="F943" s="40">
        <v>3.3000000000000002E-2</v>
      </c>
      <c r="G943" s="41">
        <v>38793</v>
      </c>
      <c r="H943" s="41">
        <v>38978</v>
      </c>
      <c r="I943" s="39">
        <v>26</v>
      </c>
      <c r="J943" s="45" t="s">
        <v>369</v>
      </c>
      <c r="K943" s="39" t="s">
        <v>1716</v>
      </c>
      <c r="L943" s="39" t="s">
        <v>1014</v>
      </c>
      <c r="M943" s="38" t="str">
        <f>+A943</f>
        <v>Billet de trésorerie</v>
      </c>
    </row>
    <row r="944" spans="1:13" x14ac:dyDescent="0.2">
      <c r="A944" s="38" t="s">
        <v>557</v>
      </c>
      <c r="B944" s="38">
        <v>150301</v>
      </c>
      <c r="C944" s="55" t="s">
        <v>898</v>
      </c>
      <c r="D944" s="279">
        <v>100000</v>
      </c>
      <c r="F944" s="40">
        <v>0.04</v>
      </c>
      <c r="G944" s="41">
        <v>38803</v>
      </c>
      <c r="H944" s="41">
        <v>39899</v>
      </c>
      <c r="I944" s="39">
        <v>3</v>
      </c>
      <c r="J944" s="45" t="s">
        <v>1716</v>
      </c>
      <c r="K944" s="39" t="s">
        <v>1716</v>
      </c>
      <c r="L944" s="39" t="s">
        <v>1014</v>
      </c>
      <c r="M944" s="38" t="str">
        <f>+A944</f>
        <v>Certificat de dépôt</v>
      </c>
    </row>
    <row r="945" spans="1:14" x14ac:dyDescent="0.2">
      <c r="A945" s="38" t="s">
        <v>1512</v>
      </c>
      <c r="B945" s="38">
        <v>2114</v>
      </c>
      <c r="C945" s="55" t="s">
        <v>1590</v>
      </c>
      <c r="D945" s="279">
        <v>100000</v>
      </c>
      <c r="F945" s="40">
        <v>5.45E-2</v>
      </c>
      <c r="G945" s="41">
        <v>38807</v>
      </c>
      <c r="H945" s="41">
        <v>42460</v>
      </c>
      <c r="I945" s="39">
        <v>10</v>
      </c>
      <c r="J945" s="45" t="s">
        <v>1716</v>
      </c>
      <c r="K945" s="39" t="s">
        <v>1716</v>
      </c>
      <c r="L945" s="39" t="s">
        <v>1014</v>
      </c>
      <c r="M945" s="38" t="str">
        <f>+A945</f>
        <v>Obligation ordinaire</v>
      </c>
    </row>
    <row r="946" spans="1:14" x14ac:dyDescent="0.2">
      <c r="A946" s="38" t="s">
        <v>1035</v>
      </c>
      <c r="B946" s="38">
        <v>200774</v>
      </c>
      <c r="C946" s="55" t="s">
        <v>899</v>
      </c>
      <c r="D946" s="279">
        <v>100000</v>
      </c>
      <c r="E946" s="38">
        <v>0</v>
      </c>
      <c r="F946" s="40">
        <v>5.9499999999999997E-2</v>
      </c>
      <c r="G946" s="41">
        <v>38719</v>
      </c>
      <c r="H946" s="41">
        <v>46024</v>
      </c>
      <c r="I946" s="39">
        <v>20</v>
      </c>
      <c r="J946" s="45" t="s">
        <v>1716</v>
      </c>
      <c r="K946" s="39" t="s">
        <v>1716</v>
      </c>
      <c r="L946" s="39" t="s">
        <v>1014</v>
      </c>
      <c r="M946" s="38" t="str">
        <f>M940</f>
        <v>Bon du Trésor</v>
      </c>
    </row>
    <row r="947" spans="1:14" x14ac:dyDescent="0.2">
      <c r="A947" s="38" t="s">
        <v>1035</v>
      </c>
      <c r="B947" s="38">
        <v>200776</v>
      </c>
      <c r="C947" s="55" t="s">
        <v>1586</v>
      </c>
      <c r="D947" s="279">
        <v>100000</v>
      </c>
      <c r="E947" s="38">
        <v>0</v>
      </c>
      <c r="F947" s="40">
        <v>5.2499999999999998E-2</v>
      </c>
      <c r="G947" s="41">
        <v>38747</v>
      </c>
      <c r="H947" s="41">
        <v>44226</v>
      </c>
      <c r="I947" s="39">
        <v>15</v>
      </c>
      <c r="J947" s="45" t="s">
        <v>1716</v>
      </c>
      <c r="K947" s="39" t="s">
        <v>1716</v>
      </c>
      <c r="L947" s="39" t="s">
        <v>1014</v>
      </c>
      <c r="M947" s="38" t="str">
        <f>M941</f>
        <v>Bon du Trésor</v>
      </c>
    </row>
    <row r="948" spans="1:14" s="220" customFormat="1" x14ac:dyDescent="0.2">
      <c r="A948" s="214" t="s">
        <v>557</v>
      </c>
      <c r="B948" s="214">
        <v>150302</v>
      </c>
      <c r="C948" s="215" t="s">
        <v>1606</v>
      </c>
      <c r="D948" s="337">
        <v>100000</v>
      </c>
      <c r="E948" s="214"/>
      <c r="F948" s="216">
        <v>3.5000000000000003E-2</v>
      </c>
      <c r="G948" s="217">
        <v>38828</v>
      </c>
      <c r="H948" s="217">
        <v>39192</v>
      </c>
      <c r="I948" s="218">
        <v>52</v>
      </c>
      <c r="J948" s="219" t="s">
        <v>369</v>
      </c>
      <c r="K948" s="218" t="s">
        <v>1716</v>
      </c>
      <c r="L948" s="218" t="s">
        <v>1014</v>
      </c>
      <c r="M948" s="214" t="str">
        <f>+A948</f>
        <v>Certificat de dépôt</v>
      </c>
      <c r="N948" s="214"/>
    </row>
    <row r="949" spans="1:14" s="220" customFormat="1" x14ac:dyDescent="0.2">
      <c r="A949" s="214" t="s">
        <v>557</v>
      </c>
      <c r="B949" s="214">
        <v>150303</v>
      </c>
      <c r="C949" s="215" t="s">
        <v>1607</v>
      </c>
      <c r="D949" s="337">
        <v>100000</v>
      </c>
      <c r="E949" s="214"/>
      <c r="F949" s="216">
        <v>0.04</v>
      </c>
      <c r="G949" s="217">
        <v>38828</v>
      </c>
      <c r="H949" s="217">
        <v>39924</v>
      </c>
      <c r="I949" s="218">
        <v>3</v>
      </c>
      <c r="J949" s="219" t="s">
        <v>1716</v>
      </c>
      <c r="K949" s="218" t="s">
        <v>1716</v>
      </c>
      <c r="L949" s="218" t="s">
        <v>1014</v>
      </c>
      <c r="M949" s="214" t="str">
        <f>+A949</f>
        <v>Certificat de dépôt</v>
      </c>
      <c r="N949" s="214"/>
    </row>
    <row r="950" spans="1:14" s="220" customFormat="1" x14ac:dyDescent="0.2">
      <c r="A950" s="214" t="s">
        <v>557</v>
      </c>
      <c r="B950" s="214">
        <v>150304</v>
      </c>
      <c r="C950" s="215" t="s">
        <v>360</v>
      </c>
      <c r="D950" s="337">
        <v>100000</v>
      </c>
      <c r="E950" s="214"/>
      <c r="F950" s="216">
        <v>4.3999999999999997E-2</v>
      </c>
      <c r="G950" s="217">
        <v>38828</v>
      </c>
      <c r="H950" s="217">
        <v>40654</v>
      </c>
      <c r="I950" s="218">
        <v>5</v>
      </c>
      <c r="J950" s="219" t="s">
        <v>1716</v>
      </c>
      <c r="K950" s="218" t="s">
        <v>1716</v>
      </c>
      <c r="L950" s="218" t="s">
        <v>1014</v>
      </c>
      <c r="M950" s="214" t="str">
        <f>+A950</f>
        <v>Certificat de dépôt</v>
      </c>
      <c r="N950" s="214"/>
    </row>
    <row r="951" spans="1:14" x14ac:dyDescent="0.2">
      <c r="A951" s="38" t="s">
        <v>1035</v>
      </c>
      <c r="B951" s="38">
        <v>200780</v>
      </c>
      <c r="C951" s="55" t="s">
        <v>687</v>
      </c>
      <c r="D951" s="279">
        <v>100000</v>
      </c>
      <c r="E951" s="38">
        <v>101</v>
      </c>
      <c r="F951" s="40">
        <v>4.4499999999999998E-2</v>
      </c>
      <c r="G951" s="41">
        <v>38782</v>
      </c>
      <c r="H951" s="41">
        <v>42435</v>
      </c>
      <c r="I951" s="39">
        <v>10</v>
      </c>
      <c r="J951" s="45" t="s">
        <v>1716</v>
      </c>
      <c r="K951" s="39" t="s">
        <v>1716</v>
      </c>
      <c r="L951" s="39" t="s">
        <v>1014</v>
      </c>
      <c r="M951" s="38" t="str">
        <f>A951</f>
        <v>Bon du Trésor</v>
      </c>
    </row>
    <row r="952" spans="1:14" s="220" customFormat="1" x14ac:dyDescent="0.2">
      <c r="A952" s="214" t="s">
        <v>557</v>
      </c>
      <c r="B952" s="214">
        <v>150305</v>
      </c>
      <c r="C952" s="215" t="s">
        <v>1561</v>
      </c>
      <c r="D952" s="337">
        <v>100000</v>
      </c>
      <c r="E952" s="214"/>
      <c r="F952" s="216">
        <v>4.2999999999999997E-2</v>
      </c>
      <c r="G952" s="217">
        <v>38853</v>
      </c>
      <c r="H952" s="217">
        <v>40679</v>
      </c>
      <c r="I952" s="218">
        <v>5</v>
      </c>
      <c r="J952" s="219" t="s">
        <v>1716</v>
      </c>
      <c r="K952" s="218" t="s">
        <v>1716</v>
      </c>
      <c r="L952" s="218" t="s">
        <v>1014</v>
      </c>
      <c r="M952" s="214" t="str">
        <f>+A952</f>
        <v>Certificat de dépôt</v>
      </c>
      <c r="N952" s="214"/>
    </row>
    <row r="953" spans="1:14" s="220" customFormat="1" x14ac:dyDescent="0.2">
      <c r="A953" s="214" t="s">
        <v>557</v>
      </c>
      <c r="B953" s="214">
        <v>150306</v>
      </c>
      <c r="C953" s="215" t="s">
        <v>1562</v>
      </c>
      <c r="D953" s="337">
        <v>100000</v>
      </c>
      <c r="E953" s="214"/>
      <c r="F953" s="216">
        <v>3.4000000000000002E-2</v>
      </c>
      <c r="G953" s="217">
        <v>38863</v>
      </c>
      <c r="H953" s="217">
        <v>39227</v>
      </c>
      <c r="I953" s="218">
        <v>52</v>
      </c>
      <c r="J953" s="219" t="s">
        <v>369</v>
      </c>
      <c r="K953" s="218" t="s">
        <v>1716</v>
      </c>
      <c r="L953" s="218" t="s">
        <v>1014</v>
      </c>
      <c r="M953" s="214" t="str">
        <f>+A953</f>
        <v>Certificat de dépôt</v>
      </c>
      <c r="N953" s="214"/>
    </row>
    <row r="954" spans="1:14" x14ac:dyDescent="0.2">
      <c r="A954" s="38" t="s">
        <v>1035</v>
      </c>
      <c r="B954" s="38">
        <v>200792</v>
      </c>
      <c r="C954" s="55" t="s">
        <v>883</v>
      </c>
      <c r="D954" s="279">
        <v>100000</v>
      </c>
      <c r="E954" s="38">
        <v>0</v>
      </c>
      <c r="F954" s="40">
        <v>5.1499999999999997E-2</v>
      </c>
      <c r="G954" s="41">
        <v>38873</v>
      </c>
      <c r="H954" s="41">
        <v>46178</v>
      </c>
      <c r="I954" s="39">
        <v>20</v>
      </c>
      <c r="J954" s="45" t="s">
        <v>1716</v>
      </c>
      <c r="K954" s="39" t="s">
        <v>1716</v>
      </c>
      <c r="L954" s="39" t="s">
        <v>1014</v>
      </c>
      <c r="M954" s="38" t="str">
        <f>M947</f>
        <v>Bon du Trésor</v>
      </c>
    </row>
    <row r="955" spans="1:14" s="220" customFormat="1" x14ac:dyDescent="0.2">
      <c r="A955" s="214" t="s">
        <v>557</v>
      </c>
      <c r="B955" s="214">
        <v>150307</v>
      </c>
      <c r="C955" s="215" t="s">
        <v>948</v>
      </c>
      <c r="D955" s="337">
        <v>100000</v>
      </c>
      <c r="E955" s="214"/>
      <c r="F955" s="216">
        <v>3.3000000000000002E-2</v>
      </c>
      <c r="G955" s="217">
        <v>38895</v>
      </c>
      <c r="H955" s="217">
        <f>+G955+364</f>
        <v>39259</v>
      </c>
      <c r="I955" s="218">
        <v>52</v>
      </c>
      <c r="J955" s="219" t="s">
        <v>369</v>
      </c>
      <c r="K955" s="218" t="s">
        <v>1716</v>
      </c>
      <c r="L955" s="218" t="s">
        <v>1014</v>
      </c>
      <c r="M955" s="214" t="str">
        <f>+A955</f>
        <v>Certificat de dépôt</v>
      </c>
      <c r="N955" s="214"/>
    </row>
    <row r="956" spans="1:14" s="220" customFormat="1" x14ac:dyDescent="0.2">
      <c r="A956" s="214" t="s">
        <v>557</v>
      </c>
      <c r="B956" s="214">
        <v>150309</v>
      </c>
      <c r="C956" s="215" t="s">
        <v>949</v>
      </c>
      <c r="D956" s="337">
        <v>100000</v>
      </c>
      <c r="E956" s="214"/>
      <c r="F956" s="216">
        <v>3.7999999999999999E-2</v>
      </c>
      <c r="G956" s="217">
        <v>38895</v>
      </c>
      <c r="H956" s="217">
        <v>39991</v>
      </c>
      <c r="I956" s="218">
        <v>3</v>
      </c>
      <c r="J956" s="219" t="s">
        <v>1716</v>
      </c>
      <c r="K956" s="218" t="s">
        <v>1716</v>
      </c>
      <c r="L956" s="218" t="s">
        <v>1014</v>
      </c>
      <c r="M956" s="214" t="str">
        <f>+A956</f>
        <v>Certificat de dépôt</v>
      </c>
      <c r="N956" s="214"/>
    </row>
    <row r="957" spans="1:14" x14ac:dyDescent="0.2">
      <c r="A957" s="38" t="s">
        <v>1035</v>
      </c>
      <c r="B957" s="38">
        <v>200787</v>
      </c>
      <c r="C957" s="55" t="s">
        <v>377</v>
      </c>
      <c r="D957" s="279">
        <v>100000</v>
      </c>
      <c r="E957" s="38">
        <v>101</v>
      </c>
      <c r="F957" s="40">
        <v>3.0499999999999999E-2</v>
      </c>
      <c r="G957" s="41">
        <v>38852</v>
      </c>
      <c r="H957" s="41">
        <v>39216</v>
      </c>
      <c r="I957" s="39">
        <v>52</v>
      </c>
      <c r="J957" s="45" t="s">
        <v>369</v>
      </c>
      <c r="K957" s="39" t="s">
        <v>1716</v>
      </c>
      <c r="L957" s="39" t="s">
        <v>1014</v>
      </c>
      <c r="M957" s="38" t="str">
        <f>A957</f>
        <v>Bon du Trésor</v>
      </c>
    </row>
    <row r="958" spans="1:14" x14ac:dyDescent="0.2">
      <c r="A958" s="38" t="s">
        <v>557</v>
      </c>
      <c r="B958" s="38">
        <v>150298</v>
      </c>
      <c r="C958" s="55" t="s">
        <v>314</v>
      </c>
      <c r="D958" s="279">
        <v>100000</v>
      </c>
      <c r="F958" s="40">
        <v>0.04</v>
      </c>
      <c r="G958" s="41">
        <v>38782</v>
      </c>
      <c r="H958" s="41">
        <v>39878</v>
      </c>
      <c r="I958" s="39">
        <v>3</v>
      </c>
      <c r="J958" s="45" t="s">
        <v>1716</v>
      </c>
      <c r="K958" s="39" t="s">
        <v>1716</v>
      </c>
      <c r="L958" s="39" t="s">
        <v>1014</v>
      </c>
      <c r="M958" s="38" t="str">
        <f t="shared" ref="M958:M963" si="21">+A958</f>
        <v>Certificat de dépôt</v>
      </c>
    </row>
    <row r="959" spans="1:14" x14ac:dyDescent="0.2">
      <c r="A959" s="38" t="s">
        <v>1512</v>
      </c>
      <c r="B959" s="38">
        <v>2115</v>
      </c>
      <c r="C959" s="55" t="s">
        <v>341</v>
      </c>
      <c r="D959" s="279">
        <v>100000</v>
      </c>
      <c r="F959" s="40">
        <v>4.2700000000000002E-2</v>
      </c>
      <c r="G959" s="41">
        <v>38923</v>
      </c>
      <c r="H959" s="41">
        <v>40749</v>
      </c>
      <c r="I959" s="39">
        <v>5</v>
      </c>
      <c r="J959" s="45" t="s">
        <v>1716</v>
      </c>
      <c r="K959" s="39" t="s">
        <v>1716</v>
      </c>
      <c r="L959" s="39" t="s">
        <v>1014</v>
      </c>
      <c r="M959" s="38" t="str">
        <f t="shared" si="21"/>
        <v>Obligation ordinaire</v>
      </c>
    </row>
    <row r="960" spans="1:14" x14ac:dyDescent="0.2">
      <c r="A960" s="38" t="s">
        <v>1713</v>
      </c>
      <c r="B960" s="38">
        <v>140154</v>
      </c>
      <c r="C960" s="55" t="s">
        <v>1736</v>
      </c>
      <c r="D960" s="279">
        <v>100000</v>
      </c>
      <c r="E960" s="38">
        <v>0</v>
      </c>
      <c r="F960" s="40">
        <v>3.6400000000000002E-2</v>
      </c>
      <c r="G960" s="41">
        <v>38926</v>
      </c>
      <c r="H960" s="41">
        <v>39111</v>
      </c>
      <c r="I960" s="39">
        <v>26</v>
      </c>
      <c r="J960" s="45" t="s">
        <v>369</v>
      </c>
      <c r="K960" s="39" t="s">
        <v>1716</v>
      </c>
      <c r="L960" s="39" t="s">
        <v>1014</v>
      </c>
      <c r="M960" s="38" t="str">
        <f t="shared" si="21"/>
        <v>Billet de trésorerie</v>
      </c>
    </row>
    <row r="961" spans="1:14" s="220" customFormat="1" x14ac:dyDescent="0.2">
      <c r="A961" s="214" t="s">
        <v>557</v>
      </c>
      <c r="B961" s="214">
        <v>150313</v>
      </c>
      <c r="C961" s="215" t="s">
        <v>1939</v>
      </c>
      <c r="D961" s="337">
        <v>100000</v>
      </c>
      <c r="E961" s="214"/>
      <c r="F961" s="216">
        <v>4.0500000000000001E-2</v>
      </c>
      <c r="G961" s="217">
        <v>38944</v>
      </c>
      <c r="H961" s="217">
        <v>40770</v>
      </c>
      <c r="I961" s="218">
        <v>5</v>
      </c>
      <c r="J961" s="219" t="s">
        <v>1716</v>
      </c>
      <c r="K961" s="218" t="s">
        <v>1716</v>
      </c>
      <c r="L961" s="218" t="s">
        <v>1014</v>
      </c>
      <c r="M961" s="214" t="str">
        <f t="shared" si="21"/>
        <v>Certificat de dépôt</v>
      </c>
      <c r="N961" s="214"/>
    </row>
    <row r="962" spans="1:14" s="220" customFormat="1" x14ac:dyDescent="0.2">
      <c r="A962" s="214" t="s">
        <v>557</v>
      </c>
      <c r="B962" s="214">
        <v>150314</v>
      </c>
      <c r="C962" s="215" t="s">
        <v>340</v>
      </c>
      <c r="D962" s="337">
        <v>100000</v>
      </c>
      <c r="E962" s="214"/>
      <c r="F962" s="216">
        <v>3.3000000000000002E-2</v>
      </c>
      <c r="G962" s="217">
        <v>38972</v>
      </c>
      <c r="H962" s="217">
        <v>39336</v>
      </c>
      <c r="I962" s="218">
        <v>52</v>
      </c>
      <c r="J962" s="219" t="s">
        <v>369</v>
      </c>
      <c r="K962" s="218" t="s">
        <v>1716</v>
      </c>
      <c r="L962" s="218" t="s">
        <v>1014</v>
      </c>
      <c r="M962" s="214" t="str">
        <f t="shared" si="21"/>
        <v>Certificat de dépôt</v>
      </c>
      <c r="N962" s="214"/>
    </row>
    <row r="963" spans="1:14" s="220" customFormat="1" x14ac:dyDescent="0.2">
      <c r="A963" s="214" t="s">
        <v>557</v>
      </c>
      <c r="B963" s="214">
        <v>150315</v>
      </c>
      <c r="C963" s="215" t="s">
        <v>337</v>
      </c>
      <c r="D963" s="337">
        <v>100000</v>
      </c>
      <c r="E963" s="214"/>
      <c r="F963" s="216">
        <v>4.0500000000000001E-2</v>
      </c>
      <c r="G963" s="217">
        <v>38972</v>
      </c>
      <c r="H963" s="217">
        <v>40798</v>
      </c>
      <c r="I963" s="218">
        <v>5</v>
      </c>
      <c r="J963" s="219" t="s">
        <v>1716</v>
      </c>
      <c r="K963" s="218" t="s">
        <v>1716</v>
      </c>
      <c r="L963" s="218" t="s">
        <v>1014</v>
      </c>
      <c r="M963" s="214" t="str">
        <f t="shared" si="21"/>
        <v>Certificat de dépôt</v>
      </c>
      <c r="N963" s="214"/>
    </row>
    <row r="964" spans="1:14" x14ac:dyDescent="0.2">
      <c r="A964" s="38" t="s">
        <v>1035</v>
      </c>
      <c r="B964" s="38">
        <v>200105</v>
      </c>
      <c r="C964" s="55" t="s">
        <v>1950</v>
      </c>
      <c r="D964" s="279">
        <v>250000</v>
      </c>
      <c r="E964" s="38">
        <v>101</v>
      </c>
      <c r="F964" s="40">
        <v>0.10249999999999999</v>
      </c>
      <c r="G964" s="41">
        <v>35345</v>
      </c>
      <c r="H964" s="41">
        <v>38997</v>
      </c>
      <c r="I964" s="39">
        <v>10</v>
      </c>
      <c r="J964" s="45" t="s">
        <v>1716</v>
      </c>
      <c r="K964" s="39" t="s">
        <v>1716</v>
      </c>
      <c r="L964" s="39" t="s">
        <v>1014</v>
      </c>
      <c r="M964" s="38" t="str">
        <f>M958</f>
        <v>Certificat de dépôt</v>
      </c>
    </row>
    <row r="965" spans="1:14" x14ac:dyDescent="0.2">
      <c r="A965" s="38" t="s">
        <v>1713</v>
      </c>
      <c r="B965" s="38">
        <v>140158</v>
      </c>
      <c r="C965" s="55" t="s">
        <v>508</v>
      </c>
      <c r="D965" s="279">
        <v>100000</v>
      </c>
      <c r="E965" s="38">
        <v>0</v>
      </c>
      <c r="F965" s="40">
        <v>0.03</v>
      </c>
      <c r="G965" s="41">
        <v>38978</v>
      </c>
      <c r="H965" s="41">
        <v>38997</v>
      </c>
      <c r="I965" s="39">
        <v>3</v>
      </c>
      <c r="J965" s="45" t="s">
        <v>369</v>
      </c>
      <c r="K965" s="39" t="s">
        <v>1716</v>
      </c>
      <c r="L965" s="39" t="s">
        <v>1014</v>
      </c>
      <c r="M965" s="38" t="str">
        <f>+A965</f>
        <v>Billet de trésorerie</v>
      </c>
    </row>
    <row r="966" spans="1:14" x14ac:dyDescent="0.2">
      <c r="A966" s="38" t="s">
        <v>1713</v>
      </c>
      <c r="B966" s="38">
        <v>140161</v>
      </c>
      <c r="C966" s="55" t="s">
        <v>1311</v>
      </c>
      <c r="D966" s="279">
        <v>100000</v>
      </c>
      <c r="E966" s="38">
        <v>0</v>
      </c>
      <c r="F966" s="40">
        <v>3.2500000000000001E-2</v>
      </c>
      <c r="G966" s="41">
        <v>39000</v>
      </c>
      <c r="H966" s="41">
        <v>39365</v>
      </c>
      <c r="I966" s="39">
        <v>1</v>
      </c>
      <c r="J966" s="45" t="s">
        <v>1716</v>
      </c>
      <c r="K966" s="39" t="s">
        <v>1716</v>
      </c>
      <c r="L966" s="39" t="s">
        <v>1014</v>
      </c>
      <c r="M966" s="38" t="str">
        <f>+A966</f>
        <v>Billet de trésorerie</v>
      </c>
    </row>
    <row r="967" spans="1:14" x14ac:dyDescent="0.2">
      <c r="A967" s="38" t="s">
        <v>1035</v>
      </c>
      <c r="B967" s="38">
        <v>200793</v>
      </c>
      <c r="C967" s="55" t="s">
        <v>1536</v>
      </c>
      <c r="D967" s="279">
        <v>100000</v>
      </c>
      <c r="E967" s="38">
        <v>101</v>
      </c>
      <c r="F967" s="40">
        <v>2.7300000000000001E-2</v>
      </c>
      <c r="G967" s="44">
        <v>38999</v>
      </c>
      <c r="H967" s="44">
        <f>+G967+182</f>
        <v>39181</v>
      </c>
      <c r="I967" s="39">
        <v>26</v>
      </c>
      <c r="J967" s="45" t="s">
        <v>369</v>
      </c>
      <c r="K967" s="39" t="s">
        <v>1716</v>
      </c>
      <c r="L967" s="39" t="s">
        <v>1014</v>
      </c>
      <c r="M967" s="38" t="str">
        <f>+A967</f>
        <v>Bon du Trésor</v>
      </c>
    </row>
    <row r="968" spans="1:14" x14ac:dyDescent="0.2">
      <c r="A968" s="38" t="s">
        <v>1035</v>
      </c>
      <c r="B968" s="38">
        <v>200802</v>
      </c>
      <c r="C968" s="55" t="s">
        <v>179</v>
      </c>
      <c r="D968" s="279">
        <v>100000</v>
      </c>
      <c r="E968" s="38">
        <v>101</v>
      </c>
      <c r="F968" s="40">
        <v>4.4999999999999998E-2</v>
      </c>
      <c r="G968" s="41">
        <v>39055</v>
      </c>
      <c r="H968" s="41">
        <v>50013</v>
      </c>
      <c r="I968" s="39">
        <v>30</v>
      </c>
      <c r="J968" s="45" t="s">
        <v>1716</v>
      </c>
      <c r="K968" s="39" t="s">
        <v>1716</v>
      </c>
      <c r="L968" s="39" t="s">
        <v>1014</v>
      </c>
      <c r="M968" s="38" t="str">
        <f>A968</f>
        <v>Bon du Trésor</v>
      </c>
    </row>
    <row r="969" spans="1:14" s="271" customFormat="1" x14ac:dyDescent="0.2">
      <c r="A969" s="267" t="s">
        <v>1512</v>
      </c>
      <c r="B969" s="267">
        <v>9054</v>
      </c>
      <c r="C969" s="274" t="s">
        <v>379</v>
      </c>
      <c r="D969" s="581">
        <v>100000</v>
      </c>
      <c r="E969" s="267"/>
      <c r="F969" s="268">
        <v>5.21E-2</v>
      </c>
      <c r="G969" s="269">
        <v>40888</v>
      </c>
      <c r="H969" s="269">
        <v>41254</v>
      </c>
      <c r="I969" s="270">
        <v>52</v>
      </c>
      <c r="J969" s="275" t="s">
        <v>369</v>
      </c>
      <c r="K969" s="270" t="s">
        <v>1716</v>
      </c>
      <c r="L969" s="270" t="s">
        <v>1014</v>
      </c>
      <c r="M969" s="267" t="str">
        <f>+A969</f>
        <v>Obligation ordinaire</v>
      </c>
      <c r="N969" s="267"/>
    </row>
    <row r="970" spans="1:14" x14ac:dyDescent="0.2">
      <c r="A970" s="38" t="s">
        <v>1512</v>
      </c>
      <c r="B970" s="38">
        <v>9055</v>
      </c>
      <c r="C970" s="55" t="s">
        <v>913</v>
      </c>
      <c r="D970" s="279">
        <v>100000</v>
      </c>
      <c r="F970" s="40">
        <v>3.6999999999999998E-2</v>
      </c>
      <c r="G970" s="41">
        <v>39071</v>
      </c>
      <c r="H970" s="41">
        <v>44550</v>
      </c>
      <c r="I970" s="39">
        <v>15</v>
      </c>
      <c r="J970" s="45" t="s">
        <v>1716</v>
      </c>
      <c r="K970" s="39" t="s">
        <v>1716</v>
      </c>
      <c r="L970" s="39" t="s">
        <v>1014</v>
      </c>
      <c r="M970" s="38" t="str">
        <f>+A970</f>
        <v>Obligation ordinaire</v>
      </c>
    </row>
    <row r="971" spans="1:14" x14ac:dyDescent="0.2">
      <c r="A971" s="38" t="s">
        <v>1512</v>
      </c>
      <c r="B971" s="38">
        <v>9056</v>
      </c>
      <c r="C971" s="55" t="s">
        <v>128</v>
      </c>
      <c r="D971" s="279">
        <v>100000</v>
      </c>
      <c r="F971" s="40">
        <v>4.1500000000000002E-2</v>
      </c>
      <c r="G971" s="41">
        <v>39071</v>
      </c>
      <c r="H971" s="41">
        <v>44550</v>
      </c>
      <c r="I971" s="39">
        <v>15</v>
      </c>
      <c r="J971" s="45" t="s">
        <v>1716</v>
      </c>
      <c r="K971" s="39" t="s">
        <v>1716</v>
      </c>
      <c r="L971" s="39" t="s">
        <v>1014</v>
      </c>
      <c r="M971" s="38" t="str">
        <f>+A971</f>
        <v>Obligation ordinaire</v>
      </c>
    </row>
    <row r="972" spans="1:14" x14ac:dyDescent="0.2">
      <c r="A972" s="38" t="s">
        <v>1035</v>
      </c>
      <c r="B972" s="38">
        <v>200806</v>
      </c>
      <c r="C972" s="55" t="s">
        <v>983</v>
      </c>
      <c r="D972" s="279">
        <v>100000</v>
      </c>
      <c r="E972" s="38">
        <v>101</v>
      </c>
      <c r="F972" s="40">
        <v>2.8000000000000001E-2</v>
      </c>
      <c r="G972" s="41">
        <v>39186</v>
      </c>
      <c r="H972" s="41">
        <v>39552</v>
      </c>
      <c r="I972" s="39">
        <v>52</v>
      </c>
      <c r="J972" s="45" t="s">
        <v>369</v>
      </c>
      <c r="K972" s="39" t="s">
        <v>1716</v>
      </c>
      <c r="L972" s="39" t="s">
        <v>1014</v>
      </c>
      <c r="M972" s="38" t="str">
        <f>A972</f>
        <v>Bon du Trésor</v>
      </c>
    </row>
    <row r="973" spans="1:14" x14ac:dyDescent="0.2">
      <c r="A973" s="38" t="s">
        <v>1035</v>
      </c>
      <c r="B973" s="38">
        <v>200812</v>
      </c>
      <c r="C973" s="55" t="s">
        <v>1614</v>
      </c>
      <c r="D973" s="279">
        <v>100000</v>
      </c>
      <c r="E973" s="38">
        <v>0</v>
      </c>
      <c r="F973" s="40">
        <v>3.6499999999999998E-2</v>
      </c>
      <c r="G973" s="41">
        <v>39118</v>
      </c>
      <c r="H973" s="41">
        <v>44597</v>
      </c>
      <c r="I973" s="39">
        <v>15</v>
      </c>
      <c r="J973" s="45" t="s">
        <v>1716</v>
      </c>
      <c r="K973" s="39" t="s">
        <v>1716</v>
      </c>
      <c r="L973" s="39" t="s">
        <v>1014</v>
      </c>
      <c r="M973" s="38" t="str">
        <f>M967</f>
        <v>Bon du Trésor</v>
      </c>
    </row>
    <row r="974" spans="1:14" x14ac:dyDescent="0.2">
      <c r="A974" s="38" t="s">
        <v>1713</v>
      </c>
      <c r="B974" s="38">
        <v>140170</v>
      </c>
      <c r="C974" s="55" t="s">
        <v>1510</v>
      </c>
      <c r="D974" s="279">
        <v>100000</v>
      </c>
      <c r="E974" s="38">
        <v>0</v>
      </c>
      <c r="F974" s="40">
        <v>3.1E-2</v>
      </c>
      <c r="G974" s="41">
        <v>39125</v>
      </c>
      <c r="H974" s="41">
        <v>39153</v>
      </c>
      <c r="I974" s="39">
        <v>4</v>
      </c>
      <c r="J974" s="45" t="s">
        <v>369</v>
      </c>
      <c r="K974" s="39" t="s">
        <v>1716</v>
      </c>
      <c r="L974" s="39" t="s">
        <v>1014</v>
      </c>
      <c r="M974" s="38" t="str">
        <f>M943</f>
        <v>Billet de trésorerie</v>
      </c>
    </row>
    <row r="975" spans="1:14" x14ac:dyDescent="0.2">
      <c r="A975" s="38" t="s">
        <v>1035</v>
      </c>
      <c r="B975" s="38">
        <v>200803</v>
      </c>
      <c r="C975" s="55" t="s">
        <v>865</v>
      </c>
      <c r="D975" s="279">
        <v>100000</v>
      </c>
      <c r="E975" s="38">
        <v>101</v>
      </c>
      <c r="F975" s="40">
        <v>2.5700000000000001E-2</v>
      </c>
      <c r="G975" s="44">
        <v>39062</v>
      </c>
      <c r="H975" s="44">
        <f>+G975+182</f>
        <v>39244</v>
      </c>
      <c r="I975" s="39">
        <v>26</v>
      </c>
      <c r="J975" s="45" t="s">
        <v>369</v>
      </c>
      <c r="K975" s="39" t="s">
        <v>1716</v>
      </c>
      <c r="L975" s="39" t="s">
        <v>1014</v>
      </c>
      <c r="M975" s="38" t="str">
        <f t="shared" ref="M975:M980" si="22">+A975</f>
        <v>Bon du Trésor</v>
      </c>
    </row>
    <row r="976" spans="1:14" x14ac:dyDescent="0.2">
      <c r="A976" s="38" t="s">
        <v>1035</v>
      </c>
      <c r="B976" s="38">
        <v>200796</v>
      </c>
      <c r="C976" s="55" t="s">
        <v>866</v>
      </c>
      <c r="D976" s="279">
        <v>100000</v>
      </c>
      <c r="E976" s="38">
        <v>101</v>
      </c>
      <c r="F976" s="40">
        <v>2.5999999999999999E-2</v>
      </c>
      <c r="G976" s="44">
        <v>39034</v>
      </c>
      <c r="H976" s="44">
        <f>+G976+182</f>
        <v>39216</v>
      </c>
      <c r="I976" s="39">
        <v>26</v>
      </c>
      <c r="J976" s="45" t="s">
        <v>369</v>
      </c>
      <c r="K976" s="39" t="s">
        <v>1716</v>
      </c>
      <c r="L976" s="39" t="s">
        <v>1014</v>
      </c>
      <c r="M976" s="38" t="str">
        <f t="shared" si="22"/>
        <v>Bon du Trésor</v>
      </c>
    </row>
    <row r="977" spans="1:14" x14ac:dyDescent="0.2">
      <c r="A977" s="38" t="s">
        <v>1035</v>
      </c>
      <c r="B977" s="38">
        <v>200801</v>
      </c>
      <c r="C977" s="55" t="s">
        <v>867</v>
      </c>
      <c r="D977" s="279">
        <v>100000</v>
      </c>
      <c r="E977" s="38">
        <v>101</v>
      </c>
      <c r="F977" s="40">
        <v>2.5999999999999999E-2</v>
      </c>
      <c r="G977" s="44">
        <v>39048</v>
      </c>
      <c r="H977" s="44">
        <f>+G977+182</f>
        <v>39230</v>
      </c>
      <c r="I977" s="39">
        <v>26</v>
      </c>
      <c r="J977" s="45" t="s">
        <v>369</v>
      </c>
      <c r="K977" s="39" t="s">
        <v>1716</v>
      </c>
      <c r="L977" s="39" t="s">
        <v>1014</v>
      </c>
      <c r="M977" s="38" t="str">
        <f t="shared" si="22"/>
        <v>Bon du Trésor</v>
      </c>
    </row>
    <row r="978" spans="1:14" x14ac:dyDescent="0.2">
      <c r="A978" s="38" t="s">
        <v>1512</v>
      </c>
      <c r="B978" s="38">
        <v>2118</v>
      </c>
      <c r="C978" s="55" t="s">
        <v>1120</v>
      </c>
      <c r="D978" s="279">
        <v>100000</v>
      </c>
      <c r="F978" s="40">
        <v>3.85E-2</v>
      </c>
      <c r="G978" s="41">
        <v>39140</v>
      </c>
      <c r="H978" s="41">
        <v>41697</v>
      </c>
      <c r="I978" s="39">
        <v>7</v>
      </c>
      <c r="J978" s="45" t="s">
        <v>1716</v>
      </c>
      <c r="K978" s="39" t="s">
        <v>1716</v>
      </c>
      <c r="L978" s="39" t="s">
        <v>1014</v>
      </c>
      <c r="M978" s="38" t="str">
        <f t="shared" si="22"/>
        <v>Obligation ordinaire</v>
      </c>
    </row>
    <row r="979" spans="1:14" x14ac:dyDescent="0.2">
      <c r="A979" s="38" t="s">
        <v>1512</v>
      </c>
      <c r="B979" s="38">
        <v>9057</v>
      </c>
      <c r="C979" s="55" t="s">
        <v>187</v>
      </c>
      <c r="D979" s="279">
        <v>100000</v>
      </c>
      <c r="F979" s="40">
        <v>3.85E-2</v>
      </c>
      <c r="G979" s="41">
        <v>39140</v>
      </c>
      <c r="H979" s="41">
        <v>41697</v>
      </c>
      <c r="I979" s="39">
        <v>7</v>
      </c>
      <c r="J979" s="45" t="s">
        <v>1716</v>
      </c>
      <c r="K979" s="39" t="s">
        <v>1716</v>
      </c>
      <c r="L979" s="39" t="s">
        <v>1014</v>
      </c>
      <c r="M979" s="38" t="str">
        <f t="shared" si="22"/>
        <v>Obligation ordinaire</v>
      </c>
    </row>
    <row r="980" spans="1:14" x14ac:dyDescent="0.2">
      <c r="A980" s="38" t="s">
        <v>1713</v>
      </c>
      <c r="B980" s="38">
        <v>140173</v>
      </c>
      <c r="C980" s="55" t="s">
        <v>2</v>
      </c>
      <c r="D980" s="279">
        <v>100000</v>
      </c>
      <c r="E980" s="38">
        <v>0</v>
      </c>
      <c r="F980" s="40">
        <v>3.4000000000000002E-2</v>
      </c>
      <c r="G980" s="41">
        <v>39157</v>
      </c>
      <c r="H980" s="41">
        <v>39521</v>
      </c>
      <c r="I980" s="39">
        <v>52</v>
      </c>
      <c r="J980" s="45" t="s">
        <v>369</v>
      </c>
      <c r="K980" s="39" t="s">
        <v>1716</v>
      </c>
      <c r="L980" s="39" t="s">
        <v>1014</v>
      </c>
      <c r="M980" s="38" t="str">
        <f t="shared" si="22"/>
        <v>Billet de trésorerie</v>
      </c>
    </row>
    <row r="981" spans="1:14" x14ac:dyDescent="0.2">
      <c r="A981" s="38" t="s">
        <v>1035</v>
      </c>
      <c r="B981" s="38">
        <v>200188</v>
      </c>
      <c r="C981" s="55" t="s">
        <v>1208</v>
      </c>
      <c r="D981" s="279">
        <v>250000</v>
      </c>
      <c r="E981" s="38">
        <v>0</v>
      </c>
      <c r="F981" s="40">
        <v>0.1</v>
      </c>
      <c r="G981" s="41">
        <v>35583</v>
      </c>
      <c r="H981" s="41">
        <v>39235</v>
      </c>
      <c r="I981" s="39">
        <v>10</v>
      </c>
      <c r="J981" s="45" t="s">
        <v>1716</v>
      </c>
      <c r="K981" s="39" t="s">
        <v>1716</v>
      </c>
      <c r="L981" s="39" t="s">
        <v>1014</v>
      </c>
      <c r="M981" s="38" t="str">
        <f t="shared" ref="M981:M987" si="23">M973</f>
        <v>Bon du Trésor</v>
      </c>
    </row>
    <row r="982" spans="1:14" x14ac:dyDescent="0.2">
      <c r="A982" s="38" t="s">
        <v>1035</v>
      </c>
      <c r="B982" s="38">
        <v>200807</v>
      </c>
      <c r="C982" s="55" t="s">
        <v>1471</v>
      </c>
      <c r="D982" s="279">
        <v>100000</v>
      </c>
      <c r="E982" s="38">
        <v>0</v>
      </c>
      <c r="F982" s="40">
        <v>2.9000000000000001E-2</v>
      </c>
      <c r="G982" s="41">
        <v>39157</v>
      </c>
      <c r="H982" s="41">
        <v>39888</v>
      </c>
      <c r="I982" s="39">
        <v>2</v>
      </c>
      <c r="J982" s="45" t="s">
        <v>1716</v>
      </c>
      <c r="K982" s="39" t="s">
        <v>1716</v>
      </c>
      <c r="L982" s="39" t="s">
        <v>1014</v>
      </c>
      <c r="M982" s="38" t="str">
        <f t="shared" si="23"/>
        <v>Billet de trésorerie</v>
      </c>
    </row>
    <row r="983" spans="1:14" x14ac:dyDescent="0.2">
      <c r="A983" s="38" t="s">
        <v>1035</v>
      </c>
      <c r="B983" s="38">
        <v>200811</v>
      </c>
      <c r="C983" s="55" t="s">
        <v>643</v>
      </c>
      <c r="D983" s="279">
        <v>100000</v>
      </c>
      <c r="E983" s="38">
        <v>0</v>
      </c>
      <c r="F983" s="40">
        <v>3.4000000000000002E-2</v>
      </c>
      <c r="G983" s="41">
        <v>39097</v>
      </c>
      <c r="H983" s="41">
        <v>42750</v>
      </c>
      <c r="I983" s="39">
        <v>10</v>
      </c>
      <c r="J983" s="45" t="s">
        <v>1716</v>
      </c>
      <c r="K983" s="39" t="s">
        <v>1716</v>
      </c>
      <c r="L983" s="39" t="s">
        <v>1014</v>
      </c>
      <c r="M983" s="38" t="str">
        <f t="shared" si="23"/>
        <v>Bon du Trésor</v>
      </c>
    </row>
    <row r="984" spans="1:14" x14ac:dyDescent="0.2">
      <c r="A984" s="38" t="s">
        <v>1035</v>
      </c>
      <c r="B984" s="38">
        <v>200815</v>
      </c>
      <c r="C984" s="55" t="s">
        <v>644</v>
      </c>
      <c r="D984" s="279">
        <v>100000</v>
      </c>
      <c r="E984" s="38">
        <v>0</v>
      </c>
      <c r="F984" s="40">
        <v>3.15E-2</v>
      </c>
      <c r="G984" s="41">
        <v>39132</v>
      </c>
      <c r="H984" s="41">
        <v>40987</v>
      </c>
      <c r="I984" s="39">
        <v>5</v>
      </c>
      <c r="J984" s="45" t="s">
        <v>1716</v>
      </c>
      <c r="K984" s="39" t="s">
        <v>1716</v>
      </c>
      <c r="L984" s="39" t="s">
        <v>1014</v>
      </c>
      <c r="M984" s="38" t="str">
        <f t="shared" si="23"/>
        <v>Bon du Trésor</v>
      </c>
    </row>
    <row r="985" spans="1:14" x14ac:dyDescent="0.2">
      <c r="A985" s="38" t="s">
        <v>1035</v>
      </c>
      <c r="B985" s="38">
        <v>200814</v>
      </c>
      <c r="C985" s="55" t="s">
        <v>645</v>
      </c>
      <c r="D985" s="279">
        <v>100000</v>
      </c>
      <c r="E985" s="38">
        <v>0</v>
      </c>
      <c r="F985" s="40">
        <v>2.9000000000000001E-2</v>
      </c>
      <c r="G985" s="41">
        <v>39125</v>
      </c>
      <c r="H985" s="41">
        <v>39587</v>
      </c>
      <c r="I985" s="39">
        <v>52</v>
      </c>
      <c r="J985" s="45" t="s">
        <v>369</v>
      </c>
      <c r="K985" s="39" t="s">
        <v>1716</v>
      </c>
      <c r="L985" s="39" t="s">
        <v>1014</v>
      </c>
      <c r="M985" s="38" t="str">
        <f t="shared" si="23"/>
        <v>Bon du Trésor</v>
      </c>
    </row>
    <row r="986" spans="1:14" x14ac:dyDescent="0.2">
      <c r="A986" s="38" t="s">
        <v>1035</v>
      </c>
      <c r="B986" s="38">
        <v>200813</v>
      </c>
      <c r="C986" s="55" t="s">
        <v>1559</v>
      </c>
      <c r="D986" s="279">
        <v>100000</v>
      </c>
      <c r="E986" s="38">
        <v>0</v>
      </c>
      <c r="F986" s="40">
        <v>2.8500000000000001E-2</v>
      </c>
      <c r="G986" s="41">
        <v>39125</v>
      </c>
      <c r="H986" s="41">
        <f>+G986+26*7</f>
        <v>39307</v>
      </c>
      <c r="I986" s="39">
        <v>26</v>
      </c>
      <c r="J986" s="45" t="s">
        <v>369</v>
      </c>
      <c r="K986" s="39" t="s">
        <v>1716</v>
      </c>
      <c r="L986" s="39" t="s">
        <v>1014</v>
      </c>
      <c r="M986" s="38" t="str">
        <f t="shared" si="23"/>
        <v>Obligation ordinaire</v>
      </c>
    </row>
    <row r="987" spans="1:14" x14ac:dyDescent="0.2">
      <c r="A987" s="38" t="s">
        <v>1035</v>
      </c>
      <c r="B987" s="38">
        <v>200816</v>
      </c>
      <c r="C987" s="55" t="s">
        <v>1229</v>
      </c>
      <c r="D987" s="279">
        <v>100000</v>
      </c>
      <c r="E987" s="38">
        <v>0</v>
      </c>
      <c r="F987" s="40">
        <v>2.9000000000000001E-2</v>
      </c>
      <c r="G987" s="41">
        <v>39207</v>
      </c>
      <c r="H987" s="41">
        <v>39573</v>
      </c>
      <c r="I987" s="39">
        <v>52</v>
      </c>
      <c r="J987" s="45" t="s">
        <v>369</v>
      </c>
      <c r="K987" s="39" t="s">
        <v>1716</v>
      </c>
      <c r="L987" s="39" t="s">
        <v>1014</v>
      </c>
      <c r="M987" s="38" t="str">
        <f t="shared" si="23"/>
        <v>Obligation ordinaire</v>
      </c>
    </row>
    <row r="988" spans="1:14" x14ac:dyDescent="0.2">
      <c r="A988" s="38" t="s">
        <v>557</v>
      </c>
      <c r="B988" s="38">
        <v>150329</v>
      </c>
      <c r="C988" s="55" t="s">
        <v>444</v>
      </c>
      <c r="D988" s="279">
        <v>100000</v>
      </c>
      <c r="F988" s="40">
        <v>3.5000000000000003E-2</v>
      </c>
      <c r="G988" s="41">
        <v>39234</v>
      </c>
      <c r="H988" s="41">
        <v>39419</v>
      </c>
      <c r="I988" s="39">
        <v>26</v>
      </c>
      <c r="J988" s="45" t="s">
        <v>369</v>
      </c>
      <c r="K988" s="39" t="s">
        <v>1716</v>
      </c>
      <c r="L988" s="39" t="s">
        <v>1014</v>
      </c>
      <c r="M988" s="38" t="str">
        <f>+A988</f>
        <v>Certificat de dépôt</v>
      </c>
    </row>
    <row r="989" spans="1:14" s="220" customFormat="1" x14ac:dyDescent="0.2">
      <c r="A989" s="214" t="s">
        <v>557</v>
      </c>
      <c r="B989" s="214">
        <v>150330</v>
      </c>
      <c r="C989" s="215" t="s">
        <v>1909</v>
      </c>
      <c r="D989" s="337">
        <v>100000</v>
      </c>
      <c r="E989" s="214"/>
      <c r="F989" s="216">
        <v>3.5000000000000003E-2</v>
      </c>
      <c r="G989" s="217">
        <v>39251</v>
      </c>
      <c r="H989" s="217">
        <f>+G989+13*7</f>
        <v>39342</v>
      </c>
      <c r="I989" s="218">
        <v>13</v>
      </c>
      <c r="J989" s="219" t="s">
        <v>369</v>
      </c>
      <c r="K989" s="218" t="s">
        <v>1716</v>
      </c>
      <c r="L989" s="218" t="s">
        <v>1014</v>
      </c>
      <c r="M989" s="214" t="str">
        <f>+A989</f>
        <v>Certificat de dépôt</v>
      </c>
      <c r="N989" s="214"/>
    </row>
    <row r="990" spans="1:14" s="220" customFormat="1" x14ac:dyDescent="0.2">
      <c r="A990" s="214" t="s">
        <v>557</v>
      </c>
      <c r="B990" s="214">
        <v>150333</v>
      </c>
      <c r="C990" s="215" t="s">
        <v>1910</v>
      </c>
      <c r="D990" s="337">
        <v>100000</v>
      </c>
      <c r="E990" s="214"/>
      <c r="F990" s="216">
        <v>3.4500000000000003E-2</v>
      </c>
      <c r="G990" s="217">
        <v>39251</v>
      </c>
      <c r="H990" s="217">
        <f>+G990+13*7</f>
        <v>39342</v>
      </c>
      <c r="I990" s="218">
        <v>13</v>
      </c>
      <c r="J990" s="219" t="s">
        <v>369</v>
      </c>
      <c r="K990" s="218" t="s">
        <v>1716</v>
      </c>
      <c r="L990" s="218" t="s">
        <v>1014</v>
      </c>
      <c r="M990" s="214" t="str">
        <f>+A990</f>
        <v>Certificat de dépôt</v>
      </c>
      <c r="N990" s="214"/>
    </row>
    <row r="991" spans="1:14" s="220" customFormat="1" x14ac:dyDescent="0.2">
      <c r="A991" s="214" t="s">
        <v>557</v>
      </c>
      <c r="B991" s="214">
        <v>150291</v>
      </c>
      <c r="C991" s="215" t="s">
        <v>1337</v>
      </c>
      <c r="D991" s="337">
        <v>100000</v>
      </c>
      <c r="E991" s="214"/>
      <c r="F991" s="216">
        <v>4.5999999999999999E-2</v>
      </c>
      <c r="G991" s="217">
        <v>38299</v>
      </c>
      <c r="H991" s="217">
        <v>40125</v>
      </c>
      <c r="I991" s="218">
        <v>5</v>
      </c>
      <c r="J991" s="219" t="s">
        <v>1716</v>
      </c>
      <c r="K991" s="218" t="s">
        <v>1716</v>
      </c>
      <c r="L991" s="218" t="s">
        <v>1014</v>
      </c>
      <c r="M991" s="214" t="str">
        <f>+A991</f>
        <v>Certificat de dépôt</v>
      </c>
      <c r="N991" s="214"/>
    </row>
    <row r="992" spans="1:14" x14ac:dyDescent="0.2">
      <c r="A992" s="38" t="s">
        <v>1035</v>
      </c>
      <c r="B992" s="38">
        <v>200817</v>
      </c>
      <c r="C992" s="55" t="s">
        <v>1994</v>
      </c>
      <c r="D992" s="279">
        <v>100000</v>
      </c>
      <c r="E992" s="38">
        <v>0</v>
      </c>
      <c r="F992" s="40">
        <v>3.3000000000000002E-2</v>
      </c>
      <c r="G992" s="41">
        <v>39237</v>
      </c>
      <c r="H992" s="41">
        <v>39328</v>
      </c>
      <c r="I992" s="39">
        <v>13</v>
      </c>
      <c r="J992" s="45" t="s">
        <v>369</v>
      </c>
      <c r="K992" s="39" t="s">
        <v>1716</v>
      </c>
      <c r="L992" s="39" t="s">
        <v>1014</v>
      </c>
      <c r="M992" s="38" t="str">
        <f>M984</f>
        <v>Bon du Trésor</v>
      </c>
    </row>
    <row r="993" spans="1:14" s="220" customFormat="1" x14ac:dyDescent="0.2">
      <c r="A993" s="214" t="s">
        <v>557</v>
      </c>
      <c r="B993" s="214">
        <v>150336</v>
      </c>
      <c r="C993" s="215" t="s">
        <v>338</v>
      </c>
      <c r="D993" s="337">
        <v>100000</v>
      </c>
      <c r="E993" s="214"/>
      <c r="F993" s="216">
        <v>3.5000000000000003E-2</v>
      </c>
      <c r="G993" s="217">
        <v>39259</v>
      </c>
      <c r="H993" s="217">
        <v>39350</v>
      </c>
      <c r="I993" s="218">
        <v>13</v>
      </c>
      <c r="J993" s="219" t="s">
        <v>369</v>
      </c>
      <c r="K993" s="218" t="s">
        <v>1716</v>
      </c>
      <c r="L993" s="218" t="s">
        <v>1014</v>
      </c>
      <c r="M993" s="214" t="str">
        <f t="shared" ref="M993:M998" si="24">+A993</f>
        <v>Certificat de dépôt</v>
      </c>
      <c r="N993" s="214"/>
    </row>
    <row r="994" spans="1:14" s="220" customFormat="1" x14ac:dyDescent="0.2">
      <c r="A994" s="214" t="s">
        <v>557</v>
      </c>
      <c r="B994" s="214">
        <v>150337</v>
      </c>
      <c r="C994" s="215" t="s">
        <v>339</v>
      </c>
      <c r="D994" s="337">
        <v>100000</v>
      </c>
      <c r="E994" s="214"/>
      <c r="F994" s="216">
        <v>3.5499999999999997E-2</v>
      </c>
      <c r="G994" s="217">
        <v>39259</v>
      </c>
      <c r="H994" s="217">
        <f>G994+182</f>
        <v>39441</v>
      </c>
      <c r="I994" s="218">
        <v>26</v>
      </c>
      <c r="J994" s="219" t="s">
        <v>369</v>
      </c>
      <c r="K994" s="218" t="s">
        <v>1716</v>
      </c>
      <c r="L994" s="218" t="s">
        <v>1014</v>
      </c>
      <c r="M994" s="214" t="str">
        <f t="shared" si="24"/>
        <v>Certificat de dépôt</v>
      </c>
      <c r="N994" s="214"/>
    </row>
    <row r="995" spans="1:14" s="220" customFormat="1" x14ac:dyDescent="0.2">
      <c r="A995" s="214" t="s">
        <v>557</v>
      </c>
      <c r="B995" s="214">
        <v>150339</v>
      </c>
      <c r="C995" s="215" t="s">
        <v>779</v>
      </c>
      <c r="D995" s="337">
        <v>100000</v>
      </c>
      <c r="E995" s="214"/>
      <c r="F995" s="216">
        <v>3.5000000000000003E-2</v>
      </c>
      <c r="G995" s="217">
        <v>39261</v>
      </c>
      <c r="H995" s="217">
        <v>39352</v>
      </c>
      <c r="I995" s="218">
        <v>13</v>
      </c>
      <c r="J995" s="219" t="s">
        <v>369</v>
      </c>
      <c r="K995" s="218" t="s">
        <v>1716</v>
      </c>
      <c r="L995" s="218" t="s">
        <v>1014</v>
      </c>
      <c r="M995" s="214" t="str">
        <f t="shared" si="24"/>
        <v>Certificat de dépôt</v>
      </c>
      <c r="N995" s="214"/>
    </row>
    <row r="996" spans="1:14" x14ac:dyDescent="0.2">
      <c r="A996" s="38" t="s">
        <v>1512</v>
      </c>
      <c r="B996" s="38">
        <v>9061</v>
      </c>
      <c r="C996" s="55" t="s">
        <v>868</v>
      </c>
      <c r="D996" s="279">
        <v>100000</v>
      </c>
      <c r="F996" s="40">
        <v>4.3499999999999997E-2</v>
      </c>
      <c r="G996" s="41">
        <v>39261</v>
      </c>
      <c r="H996" s="41">
        <v>39993</v>
      </c>
      <c r="I996" s="39">
        <v>2</v>
      </c>
      <c r="J996" s="45" t="s">
        <v>1716</v>
      </c>
      <c r="K996" s="39" t="s">
        <v>1716</v>
      </c>
      <c r="L996" s="39" t="s">
        <v>1014</v>
      </c>
      <c r="M996" s="38" t="str">
        <f t="shared" si="24"/>
        <v>Obligation ordinaire</v>
      </c>
    </row>
    <row r="997" spans="1:14" x14ac:dyDescent="0.2">
      <c r="A997" s="38" t="s">
        <v>1512</v>
      </c>
      <c r="B997" s="38">
        <v>9062</v>
      </c>
      <c r="C997" s="55" t="s">
        <v>1029</v>
      </c>
      <c r="D997" s="279">
        <v>100000</v>
      </c>
      <c r="F997" s="40">
        <v>4.7E-2</v>
      </c>
      <c r="G997" s="41">
        <v>39283</v>
      </c>
      <c r="H997" s="41">
        <v>42936</v>
      </c>
      <c r="I997" s="39">
        <v>10</v>
      </c>
      <c r="J997" s="45" t="s">
        <v>1716</v>
      </c>
      <c r="K997" s="39" t="s">
        <v>1716</v>
      </c>
      <c r="L997" s="39" t="s">
        <v>1014</v>
      </c>
      <c r="M997" s="38" t="str">
        <f t="shared" si="24"/>
        <v>Obligation ordinaire</v>
      </c>
    </row>
    <row r="998" spans="1:14" s="220" customFormat="1" x14ac:dyDescent="0.2">
      <c r="A998" s="214" t="s">
        <v>557</v>
      </c>
      <c r="B998" s="214">
        <v>150340</v>
      </c>
      <c r="C998" s="215" t="s">
        <v>1518</v>
      </c>
      <c r="D998" s="337">
        <v>100000</v>
      </c>
      <c r="E998" s="214"/>
      <c r="F998" s="216">
        <v>3.7999999999999999E-2</v>
      </c>
      <c r="G998" s="217">
        <v>39282</v>
      </c>
      <c r="H998" s="217">
        <f>G998+364</f>
        <v>39646</v>
      </c>
      <c r="I998" s="218">
        <v>52</v>
      </c>
      <c r="J998" s="219" t="s">
        <v>369</v>
      </c>
      <c r="K998" s="218" t="s">
        <v>1716</v>
      </c>
      <c r="L998" s="218" t="s">
        <v>1014</v>
      </c>
      <c r="M998" s="214" t="str">
        <f t="shared" si="24"/>
        <v>Certificat de dépôt</v>
      </c>
      <c r="N998" s="214"/>
    </row>
    <row r="999" spans="1:14" x14ac:dyDescent="0.2">
      <c r="A999" s="38" t="s">
        <v>1512</v>
      </c>
      <c r="B999" s="38">
        <v>2119</v>
      </c>
      <c r="C999" s="55" t="s">
        <v>1029</v>
      </c>
      <c r="D999" s="279">
        <v>100000</v>
      </c>
      <c r="F999" s="40">
        <v>4.7E-2</v>
      </c>
      <c r="G999" s="41">
        <v>39283</v>
      </c>
      <c r="H999" s="41">
        <v>42936</v>
      </c>
      <c r="I999" s="39">
        <v>10</v>
      </c>
      <c r="J999" s="45" t="s">
        <v>1716</v>
      </c>
      <c r="K999" s="39" t="s">
        <v>1716</v>
      </c>
      <c r="L999" s="39" t="s">
        <v>1014</v>
      </c>
      <c r="M999" s="38" t="str">
        <f>+A999</f>
        <v>Obligation ordinaire</v>
      </c>
    </row>
    <row r="1000" spans="1:14" x14ac:dyDescent="0.2">
      <c r="A1000" s="38" t="s">
        <v>1713</v>
      </c>
      <c r="B1000" s="38">
        <v>140185</v>
      </c>
      <c r="C1000" s="55" t="s">
        <v>1366</v>
      </c>
      <c r="D1000" s="279">
        <v>100000</v>
      </c>
      <c r="E1000" s="38">
        <v>0</v>
      </c>
      <c r="F1000" s="40">
        <v>3.5999999999999997E-2</v>
      </c>
      <c r="G1000" s="41">
        <v>39282</v>
      </c>
      <c r="H1000" s="41">
        <f>+G1000+182</f>
        <v>39464</v>
      </c>
      <c r="I1000" s="39">
        <v>26</v>
      </c>
      <c r="J1000" s="45" t="s">
        <v>369</v>
      </c>
      <c r="K1000" s="39" t="s">
        <v>1716</v>
      </c>
      <c r="L1000" s="39" t="s">
        <v>1014</v>
      </c>
      <c r="M1000" s="38" t="str">
        <f>+A1000</f>
        <v>Billet de trésorerie</v>
      </c>
    </row>
    <row r="1001" spans="1:14" x14ac:dyDescent="0.2">
      <c r="A1001" s="38" t="s">
        <v>1713</v>
      </c>
      <c r="B1001" s="38">
        <v>140186</v>
      </c>
      <c r="C1001" s="55" t="s">
        <v>951</v>
      </c>
      <c r="D1001" s="279">
        <v>100000</v>
      </c>
      <c r="F1001" s="40">
        <v>3.9E-2</v>
      </c>
      <c r="G1001" s="41">
        <v>39297</v>
      </c>
      <c r="H1001" s="41">
        <v>39358</v>
      </c>
      <c r="I1001" s="39">
        <v>8</v>
      </c>
      <c r="J1001" s="45" t="s">
        <v>369</v>
      </c>
      <c r="K1001" s="39" t="s">
        <v>1716</v>
      </c>
      <c r="L1001" s="39" t="s">
        <v>1014</v>
      </c>
      <c r="M1001" s="38" t="str">
        <f>M1000</f>
        <v>Billet de trésorerie</v>
      </c>
    </row>
    <row r="1002" spans="1:14" x14ac:dyDescent="0.2">
      <c r="A1002" s="38" t="s">
        <v>557</v>
      </c>
      <c r="B1002" s="38">
        <v>150342</v>
      </c>
      <c r="C1002" s="55" t="s">
        <v>620</v>
      </c>
      <c r="D1002" s="279">
        <v>100000</v>
      </c>
      <c r="F1002" s="40">
        <v>3.5499999999999997E-2</v>
      </c>
      <c r="G1002" s="41">
        <v>39300</v>
      </c>
      <c r="H1002" s="41">
        <v>39482</v>
      </c>
      <c r="I1002" s="39">
        <v>26</v>
      </c>
      <c r="J1002" s="45" t="s">
        <v>369</v>
      </c>
      <c r="K1002" s="39" t="s">
        <v>1716</v>
      </c>
      <c r="L1002" s="39" t="s">
        <v>1014</v>
      </c>
      <c r="M1002" s="38" t="str">
        <f>M995</f>
        <v>Certificat de dépôt</v>
      </c>
    </row>
    <row r="1003" spans="1:14" x14ac:dyDescent="0.2">
      <c r="A1003" s="38" t="s">
        <v>557</v>
      </c>
      <c r="B1003" s="38">
        <v>150344</v>
      </c>
      <c r="C1003" s="55" t="s">
        <v>1626</v>
      </c>
      <c r="D1003" s="279">
        <v>100000</v>
      </c>
      <c r="F1003" s="40">
        <v>3.5499999999999997E-2</v>
      </c>
      <c r="G1003" s="41">
        <v>39301</v>
      </c>
      <c r="H1003" s="41">
        <v>39483</v>
      </c>
      <c r="I1003" s="39">
        <v>26</v>
      </c>
      <c r="J1003" s="45" t="s">
        <v>369</v>
      </c>
      <c r="K1003" s="39" t="s">
        <v>1716</v>
      </c>
      <c r="L1003" s="39" t="s">
        <v>1014</v>
      </c>
      <c r="M1003" s="38" t="s">
        <v>557</v>
      </c>
    </row>
    <row r="1004" spans="1:14" x14ac:dyDescent="0.2">
      <c r="A1004" s="38" t="s">
        <v>1035</v>
      </c>
      <c r="B1004" s="38">
        <v>200807</v>
      </c>
      <c r="C1004" s="55" t="s">
        <v>1905</v>
      </c>
      <c r="D1004" s="279">
        <v>100000</v>
      </c>
      <c r="E1004" s="38">
        <v>101</v>
      </c>
      <c r="F1004" s="40">
        <v>3.1E-2</v>
      </c>
      <c r="G1004" s="41">
        <v>39328</v>
      </c>
      <c r="H1004" s="41">
        <v>40070</v>
      </c>
      <c r="I1004" s="39">
        <v>2</v>
      </c>
      <c r="J1004" s="45" t="s">
        <v>1716</v>
      </c>
      <c r="K1004" s="39" t="s">
        <v>1716</v>
      </c>
      <c r="L1004" s="39" t="s">
        <v>1014</v>
      </c>
      <c r="M1004" s="38" t="str">
        <f>+A1004</f>
        <v>Bon du Trésor</v>
      </c>
    </row>
    <row r="1005" spans="1:14" x14ac:dyDescent="0.2">
      <c r="A1005" s="38" t="s">
        <v>557</v>
      </c>
      <c r="B1005" s="38">
        <v>150349</v>
      </c>
      <c r="C1005" s="55" t="s">
        <v>748</v>
      </c>
      <c r="D1005" s="279">
        <v>100000</v>
      </c>
      <c r="F1005" s="40">
        <v>3.5999999999999997E-2</v>
      </c>
      <c r="G1005" s="41">
        <v>39342</v>
      </c>
      <c r="H1005" s="41">
        <v>39433</v>
      </c>
      <c r="I1005" s="39">
        <v>13</v>
      </c>
      <c r="J1005" s="45" t="s">
        <v>369</v>
      </c>
      <c r="K1005" s="39" t="s">
        <v>1716</v>
      </c>
      <c r="L1005" s="39" t="s">
        <v>1014</v>
      </c>
      <c r="M1005" s="38" t="s">
        <v>557</v>
      </c>
    </row>
    <row r="1006" spans="1:14" x14ac:dyDescent="0.2">
      <c r="A1006" s="38" t="s">
        <v>557</v>
      </c>
      <c r="B1006" s="38">
        <v>150350</v>
      </c>
      <c r="C1006" s="55" t="s">
        <v>1187</v>
      </c>
      <c r="D1006" s="279">
        <v>100000</v>
      </c>
      <c r="F1006" s="40">
        <v>3.6499999999999998E-2</v>
      </c>
      <c r="G1006" s="41">
        <v>39345</v>
      </c>
      <c r="H1006" s="41">
        <v>39527</v>
      </c>
      <c r="I1006" s="39">
        <v>26</v>
      </c>
      <c r="J1006" s="45" t="s">
        <v>369</v>
      </c>
      <c r="K1006" s="39" t="s">
        <v>1716</v>
      </c>
      <c r="L1006" s="39" t="s">
        <v>1014</v>
      </c>
      <c r="M1006" s="38" t="s">
        <v>557</v>
      </c>
    </row>
    <row r="1007" spans="1:14" x14ac:dyDescent="0.2">
      <c r="A1007" s="38" t="s">
        <v>1512</v>
      </c>
      <c r="B1007" s="38">
        <v>2</v>
      </c>
      <c r="C1007" s="55" t="s">
        <v>2003</v>
      </c>
      <c r="D1007" s="279">
        <v>100000</v>
      </c>
      <c r="F1007" s="40">
        <v>5.0999999999999997E-2</v>
      </c>
      <c r="G1007" s="41">
        <v>39364</v>
      </c>
      <c r="H1007" s="41">
        <v>43017</v>
      </c>
      <c r="I1007" s="39">
        <v>10</v>
      </c>
      <c r="J1007" s="45" t="s">
        <v>1716</v>
      </c>
      <c r="K1007" s="39" t="s">
        <v>1716</v>
      </c>
      <c r="L1007" s="39" t="s">
        <v>1014</v>
      </c>
      <c r="M1007" s="38" t="str">
        <f>+A1007</f>
        <v>Obligation ordinaire</v>
      </c>
    </row>
    <row r="1008" spans="1:14" x14ac:dyDescent="0.2">
      <c r="A1008" s="38" t="s">
        <v>557</v>
      </c>
      <c r="B1008" s="38">
        <v>150356</v>
      </c>
      <c r="C1008" s="55" t="s">
        <v>1184</v>
      </c>
      <c r="D1008" s="279">
        <v>100000</v>
      </c>
      <c r="F1008" s="40">
        <v>3.6999999999999998E-2</v>
      </c>
      <c r="G1008" s="41">
        <v>39357</v>
      </c>
      <c r="H1008" s="41">
        <v>39539</v>
      </c>
      <c r="I1008" s="39">
        <v>26</v>
      </c>
      <c r="J1008" s="45" t="s">
        <v>369</v>
      </c>
      <c r="K1008" s="39" t="s">
        <v>1716</v>
      </c>
      <c r="L1008" s="39" t="s">
        <v>1014</v>
      </c>
      <c r="M1008" s="38" t="str">
        <f>M1005</f>
        <v>Certificat de dépôt</v>
      </c>
    </row>
    <row r="1009" spans="1:13" x14ac:dyDescent="0.2">
      <c r="A1009" s="38" t="s">
        <v>1035</v>
      </c>
      <c r="B1009" s="38">
        <v>200830</v>
      </c>
      <c r="C1009" s="55" t="s">
        <v>50</v>
      </c>
      <c r="D1009" s="279">
        <v>100000</v>
      </c>
      <c r="E1009" s="38">
        <v>0</v>
      </c>
      <c r="F1009" s="40">
        <v>0.03</v>
      </c>
      <c r="G1009" s="41">
        <v>39335</v>
      </c>
      <c r="H1009" s="41">
        <f>+G1009+364</f>
        <v>39699</v>
      </c>
      <c r="I1009" s="39">
        <v>52</v>
      </c>
      <c r="J1009" s="45" t="s">
        <v>369</v>
      </c>
      <c r="K1009" s="39" t="s">
        <v>1716</v>
      </c>
      <c r="L1009" s="39" t="s">
        <v>1014</v>
      </c>
      <c r="M1009" s="38" t="str">
        <f>+M1004</f>
        <v>Bon du Trésor</v>
      </c>
    </row>
    <row r="1010" spans="1:13" x14ac:dyDescent="0.2">
      <c r="A1010" s="38" t="s">
        <v>557</v>
      </c>
      <c r="B1010" s="38">
        <v>150358</v>
      </c>
      <c r="C1010" s="55" t="s">
        <v>1879</v>
      </c>
      <c r="D1010" s="279">
        <v>100000</v>
      </c>
      <c r="F1010" s="40">
        <v>3.6999999999999998E-2</v>
      </c>
      <c r="G1010" s="41">
        <v>39371</v>
      </c>
      <c r="H1010" s="41">
        <v>39462</v>
      </c>
      <c r="I1010" s="39">
        <v>13</v>
      </c>
      <c r="J1010" s="45" t="s">
        <v>369</v>
      </c>
      <c r="K1010" s="39" t="s">
        <v>1716</v>
      </c>
      <c r="L1010" s="39" t="s">
        <v>1014</v>
      </c>
      <c r="M1010" s="38" t="s">
        <v>557</v>
      </c>
    </row>
    <row r="1011" spans="1:13" x14ac:dyDescent="0.2">
      <c r="A1011" s="38" t="s">
        <v>557</v>
      </c>
      <c r="B1011" s="38">
        <v>150359</v>
      </c>
      <c r="C1011" s="55" t="s">
        <v>993</v>
      </c>
      <c r="D1011" s="279">
        <v>100000</v>
      </c>
      <c r="F1011" s="40">
        <v>3.7999999999999999E-2</v>
      </c>
      <c r="G1011" s="41">
        <v>39371</v>
      </c>
      <c r="H1011" s="41">
        <v>39553</v>
      </c>
      <c r="I1011" s="39">
        <v>26</v>
      </c>
      <c r="J1011" s="45" t="s">
        <v>369</v>
      </c>
      <c r="K1011" s="39" t="s">
        <v>1716</v>
      </c>
      <c r="L1011" s="39" t="s">
        <v>1014</v>
      </c>
      <c r="M1011" s="38" t="s">
        <v>557</v>
      </c>
    </row>
    <row r="1012" spans="1:13" x14ac:dyDescent="0.2">
      <c r="A1012" s="38" t="s">
        <v>557</v>
      </c>
      <c r="B1012" s="38">
        <v>150360</v>
      </c>
      <c r="C1012" s="55" t="s">
        <v>994</v>
      </c>
      <c r="D1012" s="279">
        <v>100000</v>
      </c>
      <c r="F1012" s="40">
        <v>3.9E-2</v>
      </c>
      <c r="G1012" s="41">
        <v>39371</v>
      </c>
      <c r="H1012" s="41">
        <v>39735</v>
      </c>
      <c r="I1012" s="39">
        <v>52</v>
      </c>
      <c r="J1012" s="45" t="s">
        <v>369</v>
      </c>
      <c r="K1012" s="39" t="s">
        <v>1716</v>
      </c>
      <c r="L1012" s="39" t="s">
        <v>1014</v>
      </c>
      <c r="M1012" s="38" t="s">
        <v>557</v>
      </c>
    </row>
    <row r="1013" spans="1:13" x14ac:dyDescent="0.2">
      <c r="A1013" s="38" t="s">
        <v>557</v>
      </c>
      <c r="B1013" s="38">
        <v>150364</v>
      </c>
      <c r="C1013" s="55" t="s">
        <v>202</v>
      </c>
      <c r="D1013" s="279">
        <v>100000</v>
      </c>
      <c r="F1013" s="40">
        <v>4.2000000000000003E-2</v>
      </c>
      <c r="G1013" s="41">
        <v>39402</v>
      </c>
      <c r="H1013" s="41">
        <v>39440</v>
      </c>
      <c r="I1013" s="39">
        <v>5</v>
      </c>
      <c r="J1013" s="45" t="s">
        <v>369</v>
      </c>
      <c r="K1013" s="39" t="s">
        <v>1716</v>
      </c>
      <c r="L1013" s="39" t="s">
        <v>1014</v>
      </c>
      <c r="M1013" s="38" t="s">
        <v>557</v>
      </c>
    </row>
    <row r="1014" spans="1:13" x14ac:dyDescent="0.2">
      <c r="A1014" s="38" t="s">
        <v>1512</v>
      </c>
      <c r="B1014" s="38">
        <v>9063</v>
      </c>
      <c r="C1014" s="55" t="s">
        <v>854</v>
      </c>
      <c r="D1014" s="279">
        <v>100000</v>
      </c>
      <c r="F1014" s="40">
        <v>5.0999999999999997E-2</v>
      </c>
      <c r="G1014" s="41">
        <v>39412</v>
      </c>
      <c r="H1014" s="41">
        <v>43065</v>
      </c>
      <c r="I1014" s="39">
        <v>10</v>
      </c>
      <c r="J1014" s="45" t="s">
        <v>1716</v>
      </c>
      <c r="K1014" s="39" t="s">
        <v>1716</v>
      </c>
      <c r="L1014" s="39" t="s">
        <v>1014</v>
      </c>
      <c r="M1014" s="38" t="str">
        <f>+A1014</f>
        <v>Obligation ordinaire</v>
      </c>
    </row>
    <row r="1015" spans="1:13" x14ac:dyDescent="0.2">
      <c r="A1015" s="38" t="s">
        <v>1512</v>
      </c>
      <c r="B1015" s="38">
        <v>2120</v>
      </c>
      <c r="C1015" s="55" t="s">
        <v>855</v>
      </c>
      <c r="D1015" s="279">
        <v>100000</v>
      </c>
      <c r="F1015" s="40">
        <v>5.0999999999999997E-2</v>
      </c>
      <c r="G1015" s="41">
        <v>39412</v>
      </c>
      <c r="H1015" s="41">
        <v>43065</v>
      </c>
      <c r="I1015" s="39">
        <v>10</v>
      </c>
      <c r="J1015" s="45" t="s">
        <v>1716</v>
      </c>
      <c r="K1015" s="39" t="s">
        <v>1716</v>
      </c>
      <c r="L1015" s="39" t="s">
        <v>1014</v>
      </c>
      <c r="M1015" s="38" t="str">
        <f>+A1015</f>
        <v>Obligation ordinaire</v>
      </c>
    </row>
    <row r="1016" spans="1:13" x14ac:dyDescent="0.2">
      <c r="A1016" s="38" t="s">
        <v>557</v>
      </c>
      <c r="B1016" s="38">
        <v>150367</v>
      </c>
      <c r="C1016" s="55" t="s">
        <v>856</v>
      </c>
      <c r="D1016" s="279">
        <v>100000</v>
      </c>
      <c r="F1016" s="40">
        <v>4.2000000000000003E-2</v>
      </c>
      <c r="G1016" s="41">
        <v>39412</v>
      </c>
      <c r="H1016" s="41">
        <v>39505</v>
      </c>
      <c r="I1016" s="39">
        <v>13</v>
      </c>
      <c r="J1016" s="45" t="s">
        <v>369</v>
      </c>
      <c r="K1016" s="39" t="s">
        <v>1716</v>
      </c>
      <c r="L1016" s="39" t="s">
        <v>1014</v>
      </c>
      <c r="M1016" s="38" t="str">
        <f>+A1016</f>
        <v>Certificat de dépôt</v>
      </c>
    </row>
    <row r="1017" spans="1:13" x14ac:dyDescent="0.2">
      <c r="A1017" s="38" t="s">
        <v>557</v>
      </c>
      <c r="B1017" s="38">
        <v>150369</v>
      </c>
      <c r="C1017" s="55" t="s">
        <v>194</v>
      </c>
      <c r="D1017" s="279">
        <v>100000</v>
      </c>
      <c r="F1017" s="40">
        <v>4.2000000000000003E-2</v>
      </c>
      <c r="G1017" s="41">
        <v>39419</v>
      </c>
      <c r="H1017" s="41">
        <v>39510</v>
      </c>
      <c r="I1017" s="39">
        <v>13</v>
      </c>
      <c r="J1017" s="45" t="s">
        <v>369</v>
      </c>
      <c r="K1017" s="39" t="s">
        <v>1716</v>
      </c>
      <c r="L1017" s="39" t="s">
        <v>1014</v>
      </c>
      <c r="M1017" s="38" t="str">
        <f>+A1017</f>
        <v>Certificat de dépôt</v>
      </c>
    </row>
    <row r="1018" spans="1:13" x14ac:dyDescent="0.2">
      <c r="A1018" s="38" t="s">
        <v>1035</v>
      </c>
      <c r="B1018" s="38">
        <v>200838</v>
      </c>
      <c r="C1018" s="55" t="s">
        <v>397</v>
      </c>
      <c r="D1018" s="279">
        <v>100000</v>
      </c>
      <c r="E1018" s="38">
        <v>101</v>
      </c>
      <c r="F1018" s="40">
        <v>3.95E-2</v>
      </c>
      <c r="G1018" s="41">
        <v>39433</v>
      </c>
      <c r="H1018" s="41">
        <v>39524</v>
      </c>
      <c r="I1018" s="39">
        <v>13</v>
      </c>
      <c r="J1018" s="45" t="s">
        <v>369</v>
      </c>
      <c r="K1018" s="39" t="s">
        <v>1716</v>
      </c>
      <c r="L1018" s="39" t="s">
        <v>1014</v>
      </c>
      <c r="M1018" s="38" t="str">
        <f>M1009</f>
        <v>Bon du Trésor</v>
      </c>
    </row>
    <row r="1019" spans="1:13" x14ac:dyDescent="0.2">
      <c r="A1019" s="38" t="s">
        <v>1035</v>
      </c>
      <c r="B1019" s="38">
        <v>200844</v>
      </c>
      <c r="C1019" s="55" t="s">
        <v>166</v>
      </c>
      <c r="D1019" s="279">
        <v>100000</v>
      </c>
      <c r="E1019" s="38">
        <v>101</v>
      </c>
      <c r="F1019" s="40">
        <v>3.9E-2</v>
      </c>
      <c r="G1019" s="41">
        <v>39440</v>
      </c>
      <c r="H1019" s="41">
        <v>39622</v>
      </c>
      <c r="I1019" s="39">
        <v>26</v>
      </c>
      <c r="J1019" s="45" t="s">
        <v>369</v>
      </c>
      <c r="K1019" s="39" t="s">
        <v>1716</v>
      </c>
      <c r="L1019" s="39" t="s">
        <v>1014</v>
      </c>
      <c r="M1019" s="38" t="str">
        <f>M1010</f>
        <v>Certificat de dépôt</v>
      </c>
    </row>
    <row r="1020" spans="1:13" x14ac:dyDescent="0.2">
      <c r="A1020" s="38" t="s">
        <v>1035</v>
      </c>
      <c r="B1020" s="38">
        <v>200841</v>
      </c>
      <c r="C1020" s="55" t="s">
        <v>1957</v>
      </c>
      <c r="D1020" s="279">
        <v>100000</v>
      </c>
      <c r="E1020" s="38">
        <v>101</v>
      </c>
      <c r="F1020" s="40">
        <v>3.8399999999999997E-2</v>
      </c>
      <c r="G1020" s="41">
        <v>39440</v>
      </c>
      <c r="H1020" s="41">
        <v>39531</v>
      </c>
      <c r="I1020" s="39">
        <v>13</v>
      </c>
      <c r="J1020" s="45" t="s">
        <v>369</v>
      </c>
      <c r="K1020" s="39" t="s">
        <v>1716</v>
      </c>
      <c r="L1020" s="39" t="s">
        <v>1014</v>
      </c>
      <c r="M1020" s="38" t="str">
        <f>M1011</f>
        <v>Certificat de dépôt</v>
      </c>
    </row>
    <row r="1021" spans="1:13" x14ac:dyDescent="0.2">
      <c r="A1021" s="38" t="s">
        <v>1512</v>
      </c>
      <c r="B1021" s="38">
        <v>9064</v>
      </c>
      <c r="C1021" s="55" t="s">
        <v>71</v>
      </c>
      <c r="D1021" s="279">
        <v>100000</v>
      </c>
      <c r="F1021" s="40">
        <v>0.04</v>
      </c>
      <c r="G1021" s="41">
        <v>39447</v>
      </c>
      <c r="H1021" s="41">
        <v>42369</v>
      </c>
      <c r="I1021" s="39">
        <v>8</v>
      </c>
      <c r="J1021" s="45" t="s">
        <v>1716</v>
      </c>
      <c r="K1021" s="39" t="s">
        <v>1716</v>
      </c>
      <c r="L1021" s="39" t="s">
        <v>1014</v>
      </c>
      <c r="M1021" s="38" t="str">
        <f>+A1021</f>
        <v>Obligation ordinaire</v>
      </c>
    </row>
    <row r="1022" spans="1:13" x14ac:dyDescent="0.2">
      <c r="A1022" s="38" t="s">
        <v>1035</v>
      </c>
      <c r="B1022" s="38">
        <v>200833</v>
      </c>
      <c r="C1022" s="55" t="s">
        <v>1592</v>
      </c>
      <c r="D1022" s="279">
        <v>100000</v>
      </c>
      <c r="E1022" s="38">
        <v>101</v>
      </c>
      <c r="F1022" s="40">
        <v>3.4000000000000002E-2</v>
      </c>
      <c r="G1022" s="41">
        <v>39403</v>
      </c>
      <c r="H1022" s="41">
        <v>39769</v>
      </c>
      <c r="I1022" s="39">
        <v>52</v>
      </c>
      <c r="J1022" s="45" t="s">
        <v>369</v>
      </c>
      <c r="K1022" s="39" t="s">
        <v>1716</v>
      </c>
      <c r="L1022" s="39" t="s">
        <v>1014</v>
      </c>
      <c r="M1022" s="38" t="str">
        <f>M1018</f>
        <v>Bon du Trésor</v>
      </c>
    </row>
    <row r="1023" spans="1:13" x14ac:dyDescent="0.2">
      <c r="A1023" s="38" t="s">
        <v>1035</v>
      </c>
      <c r="B1023" s="38">
        <v>200829</v>
      </c>
      <c r="C1023" s="55" t="s">
        <v>945</v>
      </c>
      <c r="D1023" s="279">
        <v>100000</v>
      </c>
      <c r="E1023" s="38">
        <v>101</v>
      </c>
      <c r="F1023" s="40">
        <v>3.1E-2</v>
      </c>
      <c r="G1023" s="41">
        <v>39339</v>
      </c>
      <c r="H1023" s="41">
        <v>40070</v>
      </c>
      <c r="I1023" s="39">
        <v>2</v>
      </c>
      <c r="J1023" s="45" t="s">
        <v>1716</v>
      </c>
      <c r="K1023" s="39" t="s">
        <v>1716</v>
      </c>
      <c r="L1023" s="39" t="s">
        <v>1014</v>
      </c>
      <c r="M1023" s="38" t="str">
        <f>M1022</f>
        <v>Bon du Trésor</v>
      </c>
    </row>
    <row r="1024" spans="1:13" x14ac:dyDescent="0.2">
      <c r="A1024" s="38" t="s">
        <v>1035</v>
      </c>
      <c r="B1024" s="38">
        <v>200850</v>
      </c>
      <c r="C1024" s="55" t="s">
        <v>751</v>
      </c>
      <c r="D1024" s="279">
        <v>100000</v>
      </c>
      <c r="E1024" s="38">
        <v>101</v>
      </c>
      <c r="F1024" s="40">
        <v>3.6999999999999998E-2</v>
      </c>
      <c r="G1024" s="41">
        <v>39454</v>
      </c>
      <c r="H1024" s="41">
        <v>39545</v>
      </c>
      <c r="I1024" s="39">
        <v>13</v>
      </c>
      <c r="J1024" s="45" t="s">
        <v>369</v>
      </c>
      <c r="K1024" s="39" t="s">
        <v>1716</v>
      </c>
      <c r="L1024" s="39" t="s">
        <v>1014</v>
      </c>
      <c r="M1024" s="38" t="str">
        <f>M1023</f>
        <v>Bon du Trésor</v>
      </c>
    </row>
    <row r="1025" spans="1:14" x14ac:dyDescent="0.2">
      <c r="A1025" s="38" t="s">
        <v>1035</v>
      </c>
      <c r="B1025" s="38">
        <v>200857</v>
      </c>
      <c r="C1025" s="55" t="s">
        <v>211</v>
      </c>
      <c r="D1025" s="279">
        <v>100000</v>
      </c>
      <c r="E1025" s="38">
        <v>101</v>
      </c>
      <c r="F1025" s="40">
        <v>3.5400000000000001E-2</v>
      </c>
      <c r="G1025" s="41">
        <v>39475</v>
      </c>
      <c r="H1025" s="41">
        <v>39566</v>
      </c>
      <c r="I1025" s="39">
        <v>13</v>
      </c>
      <c r="J1025" s="45" t="s">
        <v>369</v>
      </c>
      <c r="K1025" s="39" t="s">
        <v>1716</v>
      </c>
      <c r="L1025" s="39" t="s">
        <v>1014</v>
      </c>
      <c r="M1025" s="38" t="str">
        <f>M1024</f>
        <v>Bon du Trésor</v>
      </c>
    </row>
    <row r="1026" spans="1:14" x14ac:dyDescent="0.2">
      <c r="A1026" s="38" t="s">
        <v>557</v>
      </c>
      <c r="B1026" s="38">
        <v>150351</v>
      </c>
      <c r="C1026" s="55" t="s">
        <v>1444</v>
      </c>
      <c r="D1026" s="279">
        <v>100000</v>
      </c>
      <c r="F1026" s="40">
        <v>3.7999999999999999E-2</v>
      </c>
      <c r="G1026" s="41">
        <v>39345</v>
      </c>
      <c r="H1026" s="41">
        <v>39709</v>
      </c>
      <c r="I1026" s="39">
        <v>52</v>
      </c>
      <c r="J1026" s="45" t="s">
        <v>369</v>
      </c>
      <c r="K1026" s="39" t="s">
        <v>1716</v>
      </c>
      <c r="L1026" s="39" t="s">
        <v>1014</v>
      </c>
      <c r="M1026" s="38" t="str">
        <f>M1023</f>
        <v>Bon du Trésor</v>
      </c>
    </row>
    <row r="1027" spans="1:14" s="108" customFormat="1" x14ac:dyDescent="0.2">
      <c r="A1027" s="237" t="s">
        <v>1512</v>
      </c>
      <c r="B1027" s="237">
        <v>9065</v>
      </c>
      <c r="C1027" s="238" t="s">
        <v>1365</v>
      </c>
      <c r="D1027" s="580">
        <v>100000</v>
      </c>
      <c r="E1027" s="237">
        <v>0</v>
      </c>
      <c r="F1027" s="239">
        <v>3.0599999999999999E-2</v>
      </c>
      <c r="G1027" s="240">
        <v>42792</v>
      </c>
      <c r="H1027" s="240">
        <v>43157</v>
      </c>
      <c r="I1027" s="241">
        <v>52</v>
      </c>
      <c r="J1027" s="45" t="s">
        <v>369</v>
      </c>
      <c r="K1027" s="241" t="s">
        <v>1716</v>
      </c>
      <c r="L1027" s="241" t="s">
        <v>1014</v>
      </c>
      <c r="M1027" s="237" t="str">
        <f>+A1027</f>
        <v>Obligation ordinaire</v>
      </c>
      <c r="N1027" s="237"/>
    </row>
    <row r="1028" spans="1:14" x14ac:dyDescent="0.2">
      <c r="A1028" s="38" t="s">
        <v>557</v>
      </c>
      <c r="B1028" s="38">
        <v>150396</v>
      </c>
      <c r="C1028" s="55" t="s">
        <v>1071</v>
      </c>
      <c r="D1028" s="279">
        <v>100000</v>
      </c>
      <c r="F1028" s="40">
        <v>4.2500000000000003E-2</v>
      </c>
      <c r="G1028" s="41">
        <v>39506</v>
      </c>
      <c r="H1028" s="41">
        <v>40237</v>
      </c>
      <c r="I1028" s="39">
        <v>2</v>
      </c>
      <c r="J1028" s="45" t="s">
        <v>1716</v>
      </c>
      <c r="K1028" s="39" t="s">
        <v>1716</v>
      </c>
      <c r="L1028" s="39" t="s">
        <v>1014</v>
      </c>
      <c r="M1028" s="38" t="s">
        <v>557</v>
      </c>
    </row>
    <row r="1029" spans="1:14" x14ac:dyDescent="0.2">
      <c r="A1029" s="38" t="s">
        <v>557</v>
      </c>
      <c r="B1029" s="38">
        <v>150394</v>
      </c>
      <c r="C1029" s="55" t="s">
        <v>483</v>
      </c>
      <c r="D1029" s="279">
        <v>100000</v>
      </c>
      <c r="F1029" s="40">
        <v>3.95E-2</v>
      </c>
      <c r="G1029" s="41">
        <v>39506</v>
      </c>
      <c r="H1029" s="41">
        <v>39870</v>
      </c>
      <c r="I1029" s="39">
        <v>52</v>
      </c>
      <c r="J1029" s="45" t="s">
        <v>369</v>
      </c>
      <c r="K1029" s="39" t="s">
        <v>1716</v>
      </c>
      <c r="L1029" s="39" t="s">
        <v>1014</v>
      </c>
      <c r="M1029" s="38" t="str">
        <f>M1028</f>
        <v>Certificat de dépôt</v>
      </c>
    </row>
    <row r="1030" spans="1:14" x14ac:dyDescent="0.2">
      <c r="A1030" s="38" t="s">
        <v>557</v>
      </c>
      <c r="B1030" s="38">
        <v>150404</v>
      </c>
      <c r="C1030" s="55" t="s">
        <v>1567</v>
      </c>
      <c r="D1030" s="279">
        <v>100000</v>
      </c>
      <c r="F1030" s="40">
        <v>4.2000000000000003E-2</v>
      </c>
      <c r="G1030" s="41">
        <v>39526</v>
      </c>
      <c r="H1030" s="41">
        <v>40256</v>
      </c>
      <c r="I1030" s="39">
        <v>2</v>
      </c>
      <c r="J1030" s="45" t="s">
        <v>1716</v>
      </c>
      <c r="K1030" s="39" t="s">
        <v>1716</v>
      </c>
      <c r="L1030" s="39" t="s">
        <v>1014</v>
      </c>
      <c r="M1030" s="38" t="str">
        <f>M1029</f>
        <v>Certificat de dépôt</v>
      </c>
    </row>
    <row r="1031" spans="1:14" x14ac:dyDescent="0.2">
      <c r="A1031" s="38" t="s">
        <v>1035</v>
      </c>
      <c r="B1031" s="38">
        <v>200852</v>
      </c>
      <c r="C1031" s="55" t="s">
        <v>722</v>
      </c>
      <c r="D1031" s="279">
        <v>100000</v>
      </c>
      <c r="E1031" s="38">
        <v>101</v>
      </c>
      <c r="F1031" s="40">
        <v>3.78E-2</v>
      </c>
      <c r="G1031" s="41">
        <v>39454</v>
      </c>
      <c r="H1031" s="41">
        <v>39636</v>
      </c>
      <c r="I1031" s="39">
        <v>26</v>
      </c>
      <c r="J1031" s="45" t="s">
        <v>369</v>
      </c>
      <c r="K1031" s="39" t="s">
        <v>1716</v>
      </c>
      <c r="L1031" s="39" t="s">
        <v>1014</v>
      </c>
      <c r="M1031" s="38" t="str">
        <f>M1022</f>
        <v>Bon du Trésor</v>
      </c>
    </row>
    <row r="1032" spans="1:14" x14ac:dyDescent="0.2">
      <c r="A1032" s="38" t="s">
        <v>1035</v>
      </c>
      <c r="B1032" s="38">
        <v>200845</v>
      </c>
      <c r="C1032" s="55" t="s">
        <v>496</v>
      </c>
      <c r="D1032" s="279">
        <v>100000</v>
      </c>
      <c r="E1032" s="38">
        <v>101</v>
      </c>
      <c r="F1032" s="40">
        <v>3.4500000000000003E-2</v>
      </c>
      <c r="G1032" s="41">
        <v>39440</v>
      </c>
      <c r="H1032" s="41">
        <v>39860</v>
      </c>
      <c r="I1032" s="39">
        <v>52</v>
      </c>
      <c r="J1032" s="45" t="s">
        <v>369</v>
      </c>
      <c r="K1032" s="39" t="s">
        <v>1716</v>
      </c>
      <c r="L1032" s="39" t="s">
        <v>1014</v>
      </c>
      <c r="M1032" s="38" t="str">
        <f>M1023</f>
        <v>Bon du Trésor</v>
      </c>
    </row>
    <row r="1033" spans="1:14" x14ac:dyDescent="0.2">
      <c r="A1033" s="38" t="s">
        <v>557</v>
      </c>
      <c r="B1033" s="38">
        <v>150407</v>
      </c>
      <c r="C1033" s="55" t="s">
        <v>497</v>
      </c>
      <c r="D1033" s="279">
        <v>100000</v>
      </c>
      <c r="F1033" s="40">
        <v>3.7999999999999999E-2</v>
      </c>
      <c r="G1033" s="41">
        <v>39539</v>
      </c>
      <c r="H1033" s="41">
        <v>39721</v>
      </c>
      <c r="I1033" s="39">
        <v>26</v>
      </c>
      <c r="J1033" s="45" t="s">
        <v>369</v>
      </c>
      <c r="K1033" s="39" t="s">
        <v>1716</v>
      </c>
      <c r="L1033" s="39" t="s">
        <v>1014</v>
      </c>
      <c r="M1033" s="38" t="str">
        <f>M1032</f>
        <v>Bon du Trésor</v>
      </c>
    </row>
    <row r="1034" spans="1:14" x14ac:dyDescent="0.2">
      <c r="A1034" s="38" t="s">
        <v>1035</v>
      </c>
      <c r="B1034" s="38">
        <v>200861</v>
      </c>
      <c r="C1034" s="55" t="s">
        <v>89</v>
      </c>
      <c r="D1034" s="279">
        <v>100000</v>
      </c>
      <c r="E1034" s="38">
        <v>101</v>
      </c>
      <c r="F1034" s="40">
        <v>3.4500000000000003E-2</v>
      </c>
      <c r="G1034" s="41">
        <v>39482</v>
      </c>
      <c r="H1034" s="41">
        <v>39951</v>
      </c>
      <c r="I1034" s="39">
        <v>52</v>
      </c>
      <c r="J1034" s="45" t="s">
        <v>369</v>
      </c>
      <c r="K1034" s="39" t="s">
        <v>1716</v>
      </c>
      <c r="L1034" s="39" t="s">
        <v>1014</v>
      </c>
      <c r="M1034" s="38" t="str">
        <f>M1025</f>
        <v>Bon du Trésor</v>
      </c>
    </row>
    <row r="1035" spans="1:14" x14ac:dyDescent="0.2">
      <c r="A1035" s="38" t="s">
        <v>557</v>
      </c>
      <c r="B1035" s="38">
        <v>150422</v>
      </c>
      <c r="C1035" s="55" t="s">
        <v>17</v>
      </c>
      <c r="D1035" s="279">
        <v>100000</v>
      </c>
      <c r="F1035" s="40">
        <v>3.85E-2</v>
      </c>
      <c r="G1035" s="41">
        <v>39568</v>
      </c>
      <c r="H1035" s="41">
        <v>39750</v>
      </c>
      <c r="I1035" s="39">
        <v>26</v>
      </c>
      <c r="J1035" s="45" t="s">
        <v>369</v>
      </c>
      <c r="K1035" s="39" t="s">
        <v>1716</v>
      </c>
      <c r="L1035" s="39" t="s">
        <v>1014</v>
      </c>
      <c r="M1035" s="38" t="str">
        <f>+A1035</f>
        <v>Certificat de dépôt</v>
      </c>
    </row>
    <row r="1036" spans="1:14" x14ac:dyDescent="0.2">
      <c r="A1036" s="38" t="s">
        <v>557</v>
      </c>
      <c r="B1036" s="38">
        <v>150424</v>
      </c>
      <c r="C1036" s="55" t="s">
        <v>146</v>
      </c>
      <c r="D1036" s="279">
        <v>100000</v>
      </c>
      <c r="F1036" s="40">
        <v>4.2500000000000003E-2</v>
      </c>
      <c r="G1036" s="41">
        <v>39577</v>
      </c>
      <c r="H1036" s="41">
        <v>40307</v>
      </c>
      <c r="I1036" s="39">
        <v>2</v>
      </c>
      <c r="J1036" s="45" t="s">
        <v>1716</v>
      </c>
      <c r="K1036" s="39" t="s">
        <v>1716</v>
      </c>
      <c r="L1036" s="39" t="s">
        <v>1014</v>
      </c>
      <c r="M1036" s="38" t="str">
        <f>M1035</f>
        <v>Certificat de dépôt</v>
      </c>
    </row>
    <row r="1037" spans="1:14" x14ac:dyDescent="0.2">
      <c r="A1037" s="38" t="s">
        <v>557</v>
      </c>
      <c r="B1037" s="38">
        <v>150426</v>
      </c>
      <c r="C1037" s="55" t="s">
        <v>94</v>
      </c>
      <c r="D1037" s="279">
        <v>100000</v>
      </c>
      <c r="F1037" s="40">
        <v>4.2500000000000003E-2</v>
      </c>
      <c r="G1037" s="41">
        <v>39582</v>
      </c>
      <c r="H1037" s="41">
        <v>40312</v>
      </c>
      <c r="I1037" s="39">
        <v>2</v>
      </c>
      <c r="J1037" s="45" t="s">
        <v>1716</v>
      </c>
      <c r="K1037" s="39" t="s">
        <v>1716</v>
      </c>
      <c r="L1037" s="39" t="s">
        <v>1014</v>
      </c>
      <c r="M1037" s="38" t="str">
        <f t="shared" ref="M1037:M1042" si="25">+A1037</f>
        <v>Certificat de dépôt</v>
      </c>
    </row>
    <row r="1038" spans="1:14" x14ac:dyDescent="0.2">
      <c r="A1038" s="38" t="s">
        <v>557</v>
      </c>
      <c r="B1038" s="38">
        <v>150429</v>
      </c>
      <c r="C1038" s="55" t="s">
        <v>1455</v>
      </c>
      <c r="D1038" s="279">
        <v>100000</v>
      </c>
      <c r="F1038" s="40">
        <v>4.2500000000000003E-2</v>
      </c>
      <c r="G1038" s="41">
        <v>39591</v>
      </c>
      <c r="H1038" s="41">
        <v>40321</v>
      </c>
      <c r="I1038" s="39">
        <v>2</v>
      </c>
      <c r="J1038" s="45" t="s">
        <v>1716</v>
      </c>
      <c r="K1038" s="39" t="s">
        <v>1716</v>
      </c>
      <c r="L1038" s="39" t="s">
        <v>1014</v>
      </c>
      <c r="M1038" s="38" t="str">
        <f t="shared" si="25"/>
        <v>Certificat de dépôt</v>
      </c>
    </row>
    <row r="1039" spans="1:14" x14ac:dyDescent="0.2">
      <c r="A1039" s="38" t="s">
        <v>557</v>
      </c>
      <c r="B1039" s="38">
        <v>150430</v>
      </c>
      <c r="C1039" s="55" t="s">
        <v>1057</v>
      </c>
      <c r="D1039" s="279">
        <v>100000</v>
      </c>
      <c r="F1039" s="40">
        <v>4.2000000000000003E-2</v>
      </c>
      <c r="G1039" s="41">
        <v>39591</v>
      </c>
      <c r="H1039" s="41">
        <v>40321</v>
      </c>
      <c r="I1039" s="39">
        <v>2</v>
      </c>
      <c r="J1039" s="45" t="s">
        <v>1716</v>
      </c>
      <c r="K1039" s="39" t="s">
        <v>1716</v>
      </c>
      <c r="L1039" s="39" t="s">
        <v>1014</v>
      </c>
      <c r="M1039" s="38" t="str">
        <f t="shared" si="25"/>
        <v>Certificat de dépôt</v>
      </c>
    </row>
    <row r="1040" spans="1:14" x14ac:dyDescent="0.2">
      <c r="A1040" s="38" t="s">
        <v>557</v>
      </c>
      <c r="B1040" s="38">
        <v>150431</v>
      </c>
      <c r="C1040" s="55" t="s">
        <v>1537</v>
      </c>
      <c r="D1040" s="279">
        <v>100000</v>
      </c>
      <c r="F1040" s="40">
        <v>4.2500000000000003E-2</v>
      </c>
      <c r="G1040" s="41">
        <v>39594</v>
      </c>
      <c r="H1040" s="41">
        <v>40324</v>
      </c>
      <c r="I1040" s="39">
        <v>2</v>
      </c>
      <c r="J1040" s="45" t="s">
        <v>1716</v>
      </c>
      <c r="K1040" s="39" t="s">
        <v>1716</v>
      </c>
      <c r="L1040" s="39" t="s">
        <v>1014</v>
      </c>
      <c r="M1040" s="38" t="str">
        <f t="shared" si="25"/>
        <v>Certificat de dépôt</v>
      </c>
    </row>
    <row r="1041" spans="1:13" x14ac:dyDescent="0.2">
      <c r="A1041" s="38" t="s">
        <v>557</v>
      </c>
      <c r="B1041" s="38">
        <v>150432</v>
      </c>
      <c r="C1041" s="55" t="s">
        <v>1401</v>
      </c>
      <c r="D1041" s="279">
        <v>100000</v>
      </c>
      <c r="F1041" s="40">
        <v>4.2500000000000003E-2</v>
      </c>
      <c r="G1041" s="41">
        <v>39595</v>
      </c>
      <c r="H1041" s="41">
        <v>40325</v>
      </c>
      <c r="I1041" s="39">
        <v>2</v>
      </c>
      <c r="J1041" s="45" t="s">
        <v>1716</v>
      </c>
      <c r="K1041" s="39" t="s">
        <v>1716</v>
      </c>
      <c r="L1041" s="39" t="s">
        <v>1014</v>
      </c>
      <c r="M1041" s="38" t="str">
        <f t="shared" si="25"/>
        <v>Certificat de dépôt</v>
      </c>
    </row>
    <row r="1042" spans="1:13" x14ac:dyDescent="0.2">
      <c r="A1042" s="38" t="s">
        <v>557</v>
      </c>
      <c r="B1042" s="38">
        <v>150434</v>
      </c>
      <c r="C1042" s="55" t="s">
        <v>1122</v>
      </c>
      <c r="D1042" s="279">
        <v>100000</v>
      </c>
      <c r="F1042" s="40">
        <v>3.95E-2</v>
      </c>
      <c r="G1042" s="41">
        <v>39597</v>
      </c>
      <c r="H1042" s="41">
        <v>39961</v>
      </c>
      <c r="I1042" s="39">
        <v>52</v>
      </c>
      <c r="J1042" s="45" t="s">
        <v>369</v>
      </c>
      <c r="K1042" s="39" t="s">
        <v>1716</v>
      </c>
      <c r="L1042" s="39" t="s">
        <v>1014</v>
      </c>
      <c r="M1042" s="38" t="str">
        <f t="shared" si="25"/>
        <v>Certificat de dépôt</v>
      </c>
    </row>
    <row r="1043" spans="1:13" x14ac:dyDescent="0.2">
      <c r="A1043" s="38" t="s">
        <v>1035</v>
      </c>
      <c r="B1043" s="38">
        <v>200875</v>
      </c>
      <c r="C1043" s="55" t="s">
        <v>1368</v>
      </c>
      <c r="D1043" s="279">
        <v>100000</v>
      </c>
      <c r="F1043" s="40">
        <v>3.4000000000000002E-2</v>
      </c>
      <c r="G1043" s="41">
        <v>39615</v>
      </c>
      <c r="H1043" s="41">
        <v>39706</v>
      </c>
      <c r="I1043" s="39">
        <v>13</v>
      </c>
      <c r="J1043" s="45" t="s">
        <v>369</v>
      </c>
      <c r="K1043" s="39" t="s">
        <v>1716</v>
      </c>
      <c r="L1043" s="39" t="s">
        <v>1014</v>
      </c>
      <c r="M1043" s="38" t="str">
        <f t="shared" ref="M1043:M1050" si="26">+A1043</f>
        <v>Bon du Trésor</v>
      </c>
    </row>
    <row r="1044" spans="1:13" x14ac:dyDescent="0.2">
      <c r="A1044" s="38" t="s">
        <v>557</v>
      </c>
      <c r="B1044" s="38">
        <v>150436</v>
      </c>
      <c r="C1044" s="55" t="s">
        <v>161</v>
      </c>
      <c r="D1044" s="279">
        <v>100000</v>
      </c>
      <c r="F1044" s="40">
        <v>4.2500000000000003E-2</v>
      </c>
      <c r="G1044" s="41">
        <v>39622</v>
      </c>
      <c r="H1044" s="41">
        <v>40352</v>
      </c>
      <c r="I1044" s="39">
        <v>2</v>
      </c>
      <c r="J1044" s="45" t="s">
        <v>1716</v>
      </c>
      <c r="K1044" s="39" t="s">
        <v>1716</v>
      </c>
      <c r="L1044" s="39" t="s">
        <v>1014</v>
      </c>
      <c r="M1044" s="38" t="str">
        <f t="shared" si="26"/>
        <v>Certificat de dépôt</v>
      </c>
    </row>
    <row r="1045" spans="1:13" x14ac:dyDescent="0.2">
      <c r="A1045" s="38" t="s">
        <v>557</v>
      </c>
      <c r="B1045" s="38">
        <v>150437</v>
      </c>
      <c r="C1045" s="55" t="s">
        <v>1625</v>
      </c>
      <c r="D1045" s="279">
        <v>100000</v>
      </c>
      <c r="F1045" s="40">
        <v>4.2500000000000003E-2</v>
      </c>
      <c r="G1045" s="41">
        <v>39623</v>
      </c>
      <c r="H1045" s="41">
        <v>40353</v>
      </c>
      <c r="I1045" s="39">
        <v>2</v>
      </c>
      <c r="J1045" s="45" t="s">
        <v>1716</v>
      </c>
      <c r="K1045" s="39" t="s">
        <v>1716</v>
      </c>
      <c r="L1045" s="39" t="s">
        <v>1014</v>
      </c>
      <c r="M1045" s="38" t="str">
        <f t="shared" si="26"/>
        <v>Certificat de dépôt</v>
      </c>
    </row>
    <row r="1046" spans="1:13" x14ac:dyDescent="0.2">
      <c r="A1046" s="38" t="s">
        <v>1035</v>
      </c>
      <c r="B1046" s="38">
        <v>200877</v>
      </c>
      <c r="C1046" s="55" t="s">
        <v>1036</v>
      </c>
      <c r="D1046" s="279">
        <v>100000</v>
      </c>
      <c r="F1046" s="40">
        <v>3.39E-2</v>
      </c>
      <c r="G1046" s="41">
        <v>39629</v>
      </c>
      <c r="H1046" s="41">
        <v>39720</v>
      </c>
      <c r="I1046" s="39">
        <v>13</v>
      </c>
      <c r="J1046" s="45" t="s">
        <v>369</v>
      </c>
      <c r="K1046" s="39" t="s">
        <v>1716</v>
      </c>
      <c r="L1046" s="39" t="s">
        <v>1014</v>
      </c>
      <c r="M1046" s="38" t="str">
        <f t="shared" si="26"/>
        <v>Bon du Trésor</v>
      </c>
    </row>
    <row r="1047" spans="1:13" x14ac:dyDescent="0.2">
      <c r="A1047" s="38" t="s">
        <v>1035</v>
      </c>
      <c r="B1047" s="38">
        <v>200878</v>
      </c>
      <c r="C1047" s="55" t="s">
        <v>418</v>
      </c>
      <c r="D1047" s="279">
        <v>100000</v>
      </c>
      <c r="F1047" s="40">
        <v>3.4000000000000002E-2</v>
      </c>
      <c r="G1047" s="41">
        <v>39629</v>
      </c>
      <c r="H1047" s="41">
        <v>39720</v>
      </c>
      <c r="I1047" s="39">
        <v>13</v>
      </c>
      <c r="J1047" s="45" t="s">
        <v>369</v>
      </c>
      <c r="K1047" s="39" t="s">
        <v>1716</v>
      </c>
      <c r="L1047" s="39" t="s">
        <v>1014</v>
      </c>
      <c r="M1047" s="38" t="str">
        <f t="shared" si="26"/>
        <v>Bon du Trésor</v>
      </c>
    </row>
    <row r="1048" spans="1:13" x14ac:dyDescent="0.2">
      <c r="A1048" s="38" t="s">
        <v>1035</v>
      </c>
      <c r="B1048" s="38">
        <v>200868</v>
      </c>
      <c r="C1048" s="55" t="s">
        <v>24</v>
      </c>
      <c r="D1048" s="279">
        <v>100000</v>
      </c>
      <c r="F1048" s="40">
        <v>3.4000000000000002E-2</v>
      </c>
      <c r="G1048" s="41">
        <v>39594</v>
      </c>
      <c r="H1048" s="41">
        <v>39685</v>
      </c>
      <c r="I1048" s="39">
        <v>13</v>
      </c>
      <c r="J1048" s="45" t="s">
        <v>369</v>
      </c>
      <c r="K1048" s="39" t="s">
        <v>1716</v>
      </c>
      <c r="L1048" s="39" t="s">
        <v>1014</v>
      </c>
      <c r="M1048" s="38" t="str">
        <f t="shared" si="26"/>
        <v>Bon du Trésor</v>
      </c>
    </row>
    <row r="1049" spans="1:13" x14ac:dyDescent="0.2">
      <c r="A1049" s="38" t="s">
        <v>1713</v>
      </c>
      <c r="B1049" s="38">
        <v>140212</v>
      </c>
      <c r="C1049" s="55" t="s">
        <v>417</v>
      </c>
      <c r="D1049" s="279">
        <v>100000</v>
      </c>
      <c r="F1049" s="40">
        <v>3.95E-2</v>
      </c>
      <c r="G1049" s="41">
        <v>39645</v>
      </c>
      <c r="H1049" s="41">
        <v>39737</v>
      </c>
      <c r="I1049" s="39">
        <v>13</v>
      </c>
      <c r="J1049" s="45" t="s">
        <v>369</v>
      </c>
      <c r="K1049" s="39" t="s">
        <v>1716</v>
      </c>
      <c r="L1049" s="39" t="s">
        <v>1014</v>
      </c>
      <c r="M1049" s="38" t="s">
        <v>1713</v>
      </c>
    </row>
    <row r="1050" spans="1:13" x14ac:dyDescent="0.2">
      <c r="A1050" s="38" t="s">
        <v>1035</v>
      </c>
      <c r="B1050" s="38">
        <v>200868</v>
      </c>
      <c r="C1050" s="55" t="s">
        <v>996</v>
      </c>
      <c r="D1050" s="279">
        <v>100000</v>
      </c>
      <c r="F1050" s="40">
        <v>3.4000000000000002E-2</v>
      </c>
      <c r="G1050" s="41">
        <v>39594</v>
      </c>
      <c r="H1050" s="41">
        <v>39685</v>
      </c>
      <c r="I1050" s="39">
        <v>13</v>
      </c>
      <c r="J1050" s="45" t="s">
        <v>369</v>
      </c>
      <c r="K1050" s="39" t="s">
        <v>1716</v>
      </c>
      <c r="L1050" s="39" t="s">
        <v>1014</v>
      </c>
      <c r="M1050" s="38" t="str">
        <f t="shared" si="26"/>
        <v>Bon du Trésor</v>
      </c>
    </row>
    <row r="1051" spans="1:13" x14ac:dyDescent="0.2">
      <c r="A1051" s="38" t="s">
        <v>1713</v>
      </c>
      <c r="B1051" s="38">
        <v>140214</v>
      </c>
      <c r="C1051" s="55" t="s">
        <v>1155</v>
      </c>
      <c r="D1051" s="279">
        <v>100000</v>
      </c>
      <c r="F1051" s="40">
        <v>4.1500000000000002E-2</v>
      </c>
      <c r="G1051" s="41">
        <v>39654</v>
      </c>
      <c r="H1051" s="41">
        <v>40018</v>
      </c>
      <c r="I1051" s="39">
        <v>52</v>
      </c>
      <c r="J1051" s="45" t="s">
        <v>369</v>
      </c>
      <c r="K1051" s="39" t="s">
        <v>1716</v>
      </c>
      <c r="L1051" s="39" t="s">
        <v>1014</v>
      </c>
      <c r="M1051" s="38" t="s">
        <v>1713</v>
      </c>
    </row>
    <row r="1052" spans="1:13" x14ac:dyDescent="0.2">
      <c r="A1052" s="38" t="s">
        <v>557</v>
      </c>
      <c r="B1052" s="38">
        <v>150443</v>
      </c>
      <c r="C1052" s="55" t="s">
        <v>1774</v>
      </c>
      <c r="D1052" s="279">
        <v>100000</v>
      </c>
      <c r="F1052" s="40">
        <v>3.7999999999999999E-2</v>
      </c>
      <c r="G1052" s="41">
        <v>39671</v>
      </c>
      <c r="H1052" s="41">
        <v>39763</v>
      </c>
      <c r="I1052" s="39">
        <v>13</v>
      </c>
      <c r="J1052" s="45" t="s">
        <v>369</v>
      </c>
      <c r="K1052" s="39" t="s">
        <v>1716</v>
      </c>
      <c r="L1052" s="39" t="s">
        <v>1014</v>
      </c>
      <c r="M1052" s="38" t="str">
        <f>+A1052</f>
        <v>Certificat de dépôt</v>
      </c>
    </row>
    <row r="1053" spans="1:13" x14ac:dyDescent="0.2">
      <c r="A1053" s="237" t="s">
        <v>1512</v>
      </c>
      <c r="B1053" s="250">
        <v>9068</v>
      </c>
      <c r="C1053" s="55" t="s">
        <v>811</v>
      </c>
      <c r="D1053" s="279">
        <v>100000</v>
      </c>
      <c r="F1053" s="40">
        <v>4.1500000000000002E-2</v>
      </c>
      <c r="G1053" s="41">
        <v>39675</v>
      </c>
      <c r="H1053" s="41">
        <v>40040</v>
      </c>
      <c r="I1053" s="39">
        <v>52</v>
      </c>
      <c r="J1053" s="45" t="s">
        <v>369</v>
      </c>
      <c r="K1053" s="39" t="s">
        <v>1716</v>
      </c>
      <c r="L1053" s="39" t="s">
        <v>1014</v>
      </c>
      <c r="M1053" s="38" t="s">
        <v>1512</v>
      </c>
    </row>
    <row r="1054" spans="1:13" x14ac:dyDescent="0.2">
      <c r="A1054" s="38" t="s">
        <v>1713</v>
      </c>
      <c r="B1054" s="38">
        <v>140215</v>
      </c>
      <c r="C1054" s="55" t="s">
        <v>813</v>
      </c>
      <c r="D1054" s="279">
        <v>100000</v>
      </c>
      <c r="F1054" s="40">
        <v>3.85E-2</v>
      </c>
      <c r="G1054" s="41">
        <v>39675</v>
      </c>
      <c r="H1054" s="41">
        <v>39706</v>
      </c>
      <c r="I1054" s="39">
        <v>13</v>
      </c>
      <c r="J1054" s="45" t="s">
        <v>369</v>
      </c>
      <c r="K1054" s="39" t="s">
        <v>1716</v>
      </c>
      <c r="L1054" s="39" t="s">
        <v>1014</v>
      </c>
      <c r="M1054" s="38" t="s">
        <v>1713</v>
      </c>
    </row>
    <row r="1055" spans="1:13" x14ac:dyDescent="0.2">
      <c r="A1055" s="38" t="s">
        <v>1713</v>
      </c>
      <c r="B1055" s="38">
        <v>140216</v>
      </c>
      <c r="C1055" s="55" t="s">
        <v>1284</v>
      </c>
      <c r="D1055" s="279">
        <v>100000</v>
      </c>
      <c r="F1055" s="40">
        <v>3.85E-2</v>
      </c>
      <c r="G1055" s="41">
        <v>39675</v>
      </c>
      <c r="H1055" s="41">
        <v>39706</v>
      </c>
      <c r="I1055" s="39">
        <v>13</v>
      </c>
      <c r="J1055" s="45" t="s">
        <v>369</v>
      </c>
      <c r="K1055" s="39" t="s">
        <v>1716</v>
      </c>
      <c r="L1055" s="39" t="s">
        <v>1014</v>
      </c>
      <c r="M1055" s="38" t="s">
        <v>1713</v>
      </c>
    </row>
    <row r="1056" spans="1:13" x14ac:dyDescent="0.2">
      <c r="A1056" s="38" t="s">
        <v>557</v>
      </c>
      <c r="B1056" s="38">
        <v>150445</v>
      </c>
      <c r="C1056" s="55" t="s">
        <v>1072</v>
      </c>
      <c r="D1056" s="279">
        <v>100000</v>
      </c>
      <c r="F1056" s="40">
        <v>3.95E-2</v>
      </c>
      <c r="G1056" s="41">
        <v>39692</v>
      </c>
      <c r="H1056" s="41">
        <v>39874</v>
      </c>
      <c r="I1056" s="39">
        <v>26</v>
      </c>
      <c r="J1056" s="45" t="s">
        <v>369</v>
      </c>
      <c r="K1056" s="39" t="s">
        <v>1716</v>
      </c>
      <c r="L1056" s="39" t="s">
        <v>1014</v>
      </c>
      <c r="M1056" s="38" t="str">
        <f>+A1056</f>
        <v>Certificat de dépôt</v>
      </c>
    </row>
    <row r="1057" spans="1:14" x14ac:dyDescent="0.2">
      <c r="A1057" s="38" t="s">
        <v>557</v>
      </c>
      <c r="B1057" s="38">
        <v>150449</v>
      </c>
      <c r="C1057" s="55" t="s">
        <v>1073</v>
      </c>
      <c r="D1057" s="279">
        <v>100000</v>
      </c>
      <c r="F1057" s="40">
        <v>3.7999999999999999E-2</v>
      </c>
      <c r="G1057" s="41">
        <v>39701</v>
      </c>
      <c r="H1057" s="41">
        <v>39794</v>
      </c>
      <c r="I1057" s="39">
        <v>13</v>
      </c>
      <c r="J1057" s="45" t="s">
        <v>369</v>
      </c>
      <c r="K1057" s="39" t="s">
        <v>1716</v>
      </c>
      <c r="L1057" s="39" t="s">
        <v>1014</v>
      </c>
      <c r="M1057" s="38" t="str">
        <f>+A1057</f>
        <v>Certificat de dépôt</v>
      </c>
    </row>
    <row r="1058" spans="1:14" x14ac:dyDescent="0.2">
      <c r="A1058" s="38" t="s">
        <v>1713</v>
      </c>
      <c r="B1058" s="38">
        <v>140218</v>
      </c>
      <c r="C1058" s="55" t="s">
        <v>1727</v>
      </c>
      <c r="D1058" s="279">
        <v>100000</v>
      </c>
      <c r="F1058" s="40">
        <v>0.04</v>
      </c>
      <c r="G1058" s="41">
        <v>39703</v>
      </c>
      <c r="H1058" s="41">
        <v>39884</v>
      </c>
      <c r="I1058" s="39">
        <v>26</v>
      </c>
      <c r="J1058" s="45" t="s">
        <v>369</v>
      </c>
      <c r="K1058" s="39" t="s">
        <v>1716</v>
      </c>
      <c r="L1058" s="39" t="s">
        <v>1014</v>
      </c>
      <c r="M1058" s="38" t="s">
        <v>1713</v>
      </c>
    </row>
    <row r="1059" spans="1:14" x14ac:dyDescent="0.2">
      <c r="A1059" s="38" t="s">
        <v>1713</v>
      </c>
      <c r="B1059" s="38">
        <v>140219</v>
      </c>
      <c r="C1059" s="55" t="s">
        <v>1728</v>
      </c>
      <c r="D1059" s="279">
        <v>100000</v>
      </c>
      <c r="F1059" s="40">
        <v>3.85E-2</v>
      </c>
      <c r="G1059" s="41">
        <v>39706</v>
      </c>
      <c r="H1059" s="41">
        <v>39752</v>
      </c>
      <c r="I1059" s="39">
        <v>13</v>
      </c>
      <c r="J1059" s="45" t="s">
        <v>369</v>
      </c>
      <c r="K1059" s="39" t="s">
        <v>1716</v>
      </c>
      <c r="L1059" s="39" t="s">
        <v>1014</v>
      </c>
      <c r="M1059" s="38" t="s">
        <v>1713</v>
      </c>
    </row>
    <row r="1060" spans="1:14" x14ac:dyDescent="0.2">
      <c r="A1060" s="38" t="s">
        <v>1713</v>
      </c>
      <c r="B1060" s="38">
        <v>140220</v>
      </c>
      <c r="C1060" s="55" t="s">
        <v>482</v>
      </c>
      <c r="D1060" s="279">
        <v>100000</v>
      </c>
      <c r="F1060" s="40">
        <v>3.85E-2</v>
      </c>
      <c r="G1060" s="41">
        <v>39706</v>
      </c>
      <c r="H1060" s="41">
        <v>39752</v>
      </c>
      <c r="I1060" s="39">
        <v>13</v>
      </c>
      <c r="J1060" s="45" t="s">
        <v>369</v>
      </c>
      <c r="K1060" s="39" t="s">
        <v>1716</v>
      </c>
      <c r="L1060" s="39" t="s">
        <v>1014</v>
      </c>
      <c r="M1060" s="38" t="s">
        <v>1713</v>
      </c>
    </row>
    <row r="1061" spans="1:14" s="108" customFormat="1" x14ac:dyDescent="0.2">
      <c r="A1061" s="237" t="s">
        <v>1512</v>
      </c>
      <c r="B1061" s="237">
        <v>9070</v>
      </c>
      <c r="C1061" s="238" t="s">
        <v>859</v>
      </c>
      <c r="D1061" s="580">
        <v>100000</v>
      </c>
      <c r="E1061" s="237">
        <v>0</v>
      </c>
      <c r="F1061" s="239">
        <v>3.6299999999999999E-2</v>
      </c>
      <c r="G1061" s="240">
        <v>41197</v>
      </c>
      <c r="H1061" s="240">
        <v>41562</v>
      </c>
      <c r="I1061" s="241">
        <v>10</v>
      </c>
      <c r="J1061" s="242" t="s">
        <v>1716</v>
      </c>
      <c r="K1061" s="241" t="s">
        <v>1716</v>
      </c>
      <c r="L1061" s="241" t="s">
        <v>1014</v>
      </c>
      <c r="M1061" s="237" t="str">
        <f>+A1061</f>
        <v>Obligation ordinaire</v>
      </c>
      <c r="N1061" s="237"/>
    </row>
    <row r="1062" spans="1:14" x14ac:dyDescent="0.2">
      <c r="A1062" s="38" t="s">
        <v>1713</v>
      </c>
      <c r="B1062" s="38">
        <v>140224</v>
      </c>
      <c r="C1062" s="55" t="s">
        <v>28</v>
      </c>
      <c r="D1062" s="279">
        <v>100000</v>
      </c>
      <c r="F1062" s="40">
        <v>0.04</v>
      </c>
      <c r="G1062" s="41">
        <v>39737</v>
      </c>
      <c r="H1062" s="41">
        <v>39776</v>
      </c>
      <c r="I1062" s="39">
        <v>13</v>
      </c>
      <c r="J1062" s="45" t="s">
        <v>369</v>
      </c>
      <c r="K1062" s="39" t="s">
        <v>1716</v>
      </c>
      <c r="L1062" s="39" t="s">
        <v>1014</v>
      </c>
      <c r="M1062" s="38" t="s">
        <v>1713</v>
      </c>
    </row>
    <row r="1063" spans="1:14" s="108" customFormat="1" x14ac:dyDescent="0.2">
      <c r="A1063" s="237" t="s">
        <v>1512</v>
      </c>
      <c r="B1063" s="237">
        <v>9071</v>
      </c>
      <c r="C1063" s="238" t="s">
        <v>628</v>
      </c>
      <c r="D1063" s="580">
        <v>100000</v>
      </c>
      <c r="E1063" s="237">
        <v>0</v>
      </c>
      <c r="F1063" s="239">
        <v>4.8300000000000003E-2</v>
      </c>
      <c r="G1063" s="240">
        <v>41204</v>
      </c>
      <c r="H1063" s="240">
        <v>41569</v>
      </c>
      <c r="I1063" s="241">
        <v>10</v>
      </c>
      <c r="J1063" s="242" t="s">
        <v>1716</v>
      </c>
      <c r="K1063" s="241" t="s">
        <v>1716</v>
      </c>
      <c r="L1063" s="241" t="s">
        <v>1014</v>
      </c>
      <c r="M1063" s="237" t="str">
        <f>+A1063</f>
        <v>Obligation ordinaire</v>
      </c>
      <c r="N1063" s="237"/>
    </row>
    <row r="1064" spans="1:14" x14ac:dyDescent="0.2">
      <c r="A1064" s="38" t="s">
        <v>1035</v>
      </c>
      <c r="B1064" s="38">
        <v>200882</v>
      </c>
      <c r="C1064" s="55" t="s">
        <v>1149</v>
      </c>
      <c r="D1064" s="279">
        <v>100000</v>
      </c>
      <c r="F1064" s="40">
        <v>3.5499999999999997E-2</v>
      </c>
      <c r="G1064" s="41">
        <v>39768</v>
      </c>
      <c r="H1064" s="41">
        <v>40133</v>
      </c>
      <c r="I1064" s="39">
        <v>52</v>
      </c>
      <c r="J1064" s="45" t="s">
        <v>369</v>
      </c>
      <c r="K1064" s="39" t="s">
        <v>1716</v>
      </c>
      <c r="L1064" s="39" t="s">
        <v>1014</v>
      </c>
      <c r="M1064" s="38" t="str">
        <f>+A1064</f>
        <v>Bon du Trésor</v>
      </c>
    </row>
    <row r="1065" spans="1:14" x14ac:dyDescent="0.2">
      <c r="A1065" s="38" t="s">
        <v>557</v>
      </c>
      <c r="B1065" s="38">
        <v>150471</v>
      </c>
      <c r="C1065" s="55" t="s">
        <v>847</v>
      </c>
      <c r="D1065" s="279">
        <v>100000</v>
      </c>
      <c r="F1065" s="40">
        <v>4.3499999999999997E-2</v>
      </c>
      <c r="G1065" s="41">
        <v>39748</v>
      </c>
      <c r="H1065" s="41">
        <v>40112</v>
      </c>
      <c r="I1065" s="39">
        <v>52</v>
      </c>
      <c r="J1065" s="45" t="s">
        <v>369</v>
      </c>
      <c r="K1065" s="39" t="s">
        <v>1716</v>
      </c>
      <c r="L1065" s="39" t="s">
        <v>1014</v>
      </c>
      <c r="M1065" s="38" t="str">
        <f>+A1065</f>
        <v>Certificat de dépôt</v>
      </c>
    </row>
    <row r="1066" spans="1:14" x14ac:dyDescent="0.2">
      <c r="A1066" s="38" t="s">
        <v>557</v>
      </c>
      <c r="B1066" s="38">
        <v>150473</v>
      </c>
      <c r="C1066" s="55" t="s">
        <v>1690</v>
      </c>
      <c r="D1066" s="279">
        <v>100000</v>
      </c>
      <c r="F1066" s="40">
        <v>4.1000000000000002E-2</v>
      </c>
      <c r="G1066" s="41">
        <v>39750</v>
      </c>
      <c r="H1066" s="41">
        <v>39846</v>
      </c>
      <c r="I1066" s="39">
        <v>13</v>
      </c>
      <c r="J1066" s="45" t="s">
        <v>369</v>
      </c>
      <c r="K1066" s="39" t="s">
        <v>1716</v>
      </c>
      <c r="L1066" s="39" t="s">
        <v>1014</v>
      </c>
      <c r="M1066" s="38" t="str">
        <f>+A1066</f>
        <v>Certificat de dépôt</v>
      </c>
    </row>
    <row r="1067" spans="1:14" x14ac:dyDescent="0.2">
      <c r="A1067" s="38" t="s">
        <v>557</v>
      </c>
      <c r="B1067" s="38">
        <v>150474</v>
      </c>
      <c r="C1067" s="55" t="s">
        <v>512</v>
      </c>
      <c r="D1067" s="279">
        <v>100000</v>
      </c>
      <c r="F1067" s="40">
        <v>4.2000000000000003E-2</v>
      </c>
      <c r="G1067" s="41">
        <v>39750</v>
      </c>
      <c r="H1067" s="41">
        <v>39937</v>
      </c>
      <c r="I1067" s="39">
        <v>26</v>
      </c>
      <c r="J1067" s="45" t="s">
        <v>369</v>
      </c>
      <c r="K1067" s="39" t="s">
        <v>1716</v>
      </c>
      <c r="L1067" s="39" t="s">
        <v>1014</v>
      </c>
      <c r="M1067" s="38" t="str">
        <f>+A1067</f>
        <v>Certificat de dépôt</v>
      </c>
    </row>
    <row r="1068" spans="1:14" x14ac:dyDescent="0.2">
      <c r="A1068" s="38" t="s">
        <v>1713</v>
      </c>
      <c r="B1068" s="38">
        <v>140227</v>
      </c>
      <c r="C1068" s="55" t="s">
        <v>485</v>
      </c>
      <c r="D1068" s="279">
        <v>100000</v>
      </c>
      <c r="F1068" s="40">
        <v>4.0500000000000001E-2</v>
      </c>
      <c r="G1068" s="41">
        <v>39752</v>
      </c>
      <c r="H1068" s="41">
        <v>39790</v>
      </c>
      <c r="I1068" s="39">
        <v>13</v>
      </c>
      <c r="J1068" s="45" t="s">
        <v>369</v>
      </c>
      <c r="K1068" s="39" t="s">
        <v>1716</v>
      </c>
      <c r="L1068" s="39" t="s">
        <v>1014</v>
      </c>
      <c r="M1068" s="38" t="s">
        <v>1713</v>
      </c>
    </row>
    <row r="1069" spans="1:14" x14ac:dyDescent="0.2">
      <c r="A1069" s="38" t="s">
        <v>1713</v>
      </c>
      <c r="B1069" s="38">
        <v>140228</v>
      </c>
      <c r="C1069" s="55" t="s">
        <v>486</v>
      </c>
      <c r="D1069" s="279">
        <v>100000</v>
      </c>
      <c r="F1069" s="40">
        <v>4.1000000000000002E-2</v>
      </c>
      <c r="G1069" s="41">
        <v>39752</v>
      </c>
      <c r="H1069" s="41">
        <v>39813</v>
      </c>
      <c r="I1069" s="39">
        <v>13</v>
      </c>
      <c r="J1069" s="45" t="s">
        <v>369</v>
      </c>
      <c r="K1069" s="39" t="s">
        <v>1716</v>
      </c>
      <c r="L1069" s="39" t="s">
        <v>1014</v>
      </c>
      <c r="M1069" s="38" t="s">
        <v>1713</v>
      </c>
    </row>
    <row r="1070" spans="1:14" x14ac:dyDescent="0.2">
      <c r="A1070" s="38" t="s">
        <v>557</v>
      </c>
      <c r="B1070" s="38">
        <v>150475</v>
      </c>
      <c r="C1070" s="55" t="s">
        <v>1923</v>
      </c>
      <c r="D1070" s="279">
        <v>100000</v>
      </c>
      <c r="F1070" s="40">
        <v>4.1000000000000002E-2</v>
      </c>
      <c r="G1070" s="41">
        <v>39763</v>
      </c>
      <c r="H1070" s="41">
        <v>39854</v>
      </c>
      <c r="I1070" s="39">
        <v>13</v>
      </c>
      <c r="J1070" s="45" t="s">
        <v>369</v>
      </c>
      <c r="K1070" s="39" t="s">
        <v>1716</v>
      </c>
      <c r="L1070" s="39" t="s">
        <v>1014</v>
      </c>
      <c r="M1070" s="38" t="str">
        <f>+A1070</f>
        <v>Certificat de dépôt</v>
      </c>
    </row>
    <row r="1071" spans="1:14" x14ac:dyDescent="0.2">
      <c r="A1071" s="38" t="s">
        <v>557</v>
      </c>
      <c r="B1071" s="38">
        <v>150476</v>
      </c>
      <c r="C1071" s="55" t="s">
        <v>965</v>
      </c>
      <c r="D1071" s="279">
        <v>100000</v>
      </c>
      <c r="F1071" s="40">
        <v>4.3999999999999997E-2</v>
      </c>
      <c r="G1071" s="41">
        <v>39764</v>
      </c>
      <c r="H1071" s="41">
        <v>40128</v>
      </c>
      <c r="I1071" s="39">
        <v>52</v>
      </c>
      <c r="J1071" s="45" t="s">
        <v>369</v>
      </c>
      <c r="K1071" s="39" t="s">
        <v>1716</v>
      </c>
      <c r="L1071" s="39" t="s">
        <v>1014</v>
      </c>
      <c r="M1071" s="38" t="str">
        <f>+A1071</f>
        <v>Certificat de dépôt</v>
      </c>
    </row>
    <row r="1072" spans="1:14" x14ac:dyDescent="0.2">
      <c r="A1072" s="38" t="s">
        <v>1713</v>
      </c>
      <c r="B1072" s="38">
        <v>140229</v>
      </c>
      <c r="C1072" s="55" t="s">
        <v>386</v>
      </c>
      <c r="D1072" s="279">
        <v>100000</v>
      </c>
      <c r="F1072" s="40">
        <v>4.5499999999999999E-2</v>
      </c>
      <c r="G1072" s="41">
        <v>39776</v>
      </c>
      <c r="H1072" s="41">
        <v>40140</v>
      </c>
      <c r="I1072" s="39">
        <v>52</v>
      </c>
      <c r="J1072" s="45" t="s">
        <v>369</v>
      </c>
      <c r="K1072" s="39" t="s">
        <v>1716</v>
      </c>
      <c r="L1072" s="39" t="s">
        <v>1014</v>
      </c>
      <c r="M1072" s="38" t="s">
        <v>1713</v>
      </c>
    </row>
    <row r="1073" spans="1:95" x14ac:dyDescent="0.2">
      <c r="A1073" s="38" t="s">
        <v>1713</v>
      </c>
      <c r="B1073" s="38">
        <v>140230</v>
      </c>
      <c r="C1073" s="55" t="s">
        <v>387</v>
      </c>
      <c r="D1073" s="279">
        <v>100000</v>
      </c>
      <c r="F1073" s="40">
        <v>4.5499999999999999E-2</v>
      </c>
      <c r="G1073" s="41">
        <v>39776</v>
      </c>
      <c r="H1073" s="41">
        <v>40140</v>
      </c>
      <c r="I1073" s="39">
        <v>52</v>
      </c>
      <c r="J1073" s="45" t="s">
        <v>369</v>
      </c>
      <c r="K1073" s="39" t="s">
        <v>1716</v>
      </c>
      <c r="L1073" s="39" t="s">
        <v>1014</v>
      </c>
      <c r="M1073" s="38" t="s">
        <v>1713</v>
      </c>
    </row>
    <row r="1074" spans="1:95" x14ac:dyDescent="0.2">
      <c r="A1074" s="38" t="s">
        <v>557</v>
      </c>
      <c r="B1074" s="38">
        <v>150478</v>
      </c>
      <c r="C1074" s="55" t="s">
        <v>1002</v>
      </c>
      <c r="D1074" s="279">
        <v>100000</v>
      </c>
      <c r="F1074" s="40">
        <v>4.2000000000000003E-2</v>
      </c>
      <c r="G1074" s="41">
        <v>39777</v>
      </c>
      <c r="H1074" s="41">
        <v>39868</v>
      </c>
      <c r="I1074" s="39">
        <v>13</v>
      </c>
      <c r="J1074" s="45" t="s">
        <v>369</v>
      </c>
      <c r="K1074" s="39" t="s">
        <v>1716</v>
      </c>
      <c r="L1074" s="39" t="s">
        <v>1014</v>
      </c>
      <c r="M1074" s="38" t="str">
        <f t="shared" ref="M1074:M1079" si="27">+A1074</f>
        <v>Certificat de dépôt</v>
      </c>
    </row>
    <row r="1075" spans="1:95" x14ac:dyDescent="0.2">
      <c r="A1075" s="38" t="s">
        <v>557</v>
      </c>
      <c r="B1075" s="38">
        <v>150479</v>
      </c>
      <c r="C1075" s="55" t="s">
        <v>927</v>
      </c>
      <c r="D1075" s="279">
        <v>100000</v>
      </c>
      <c r="F1075" s="40">
        <v>4.2999999999999997E-2</v>
      </c>
      <c r="G1075" s="41">
        <v>39777</v>
      </c>
      <c r="H1075" s="41">
        <v>39959</v>
      </c>
      <c r="I1075" s="39">
        <v>26</v>
      </c>
      <c r="J1075" s="45" t="s">
        <v>369</v>
      </c>
      <c r="K1075" s="39" t="s">
        <v>1716</v>
      </c>
      <c r="L1075" s="39" t="s">
        <v>1014</v>
      </c>
      <c r="M1075" s="38" t="str">
        <f t="shared" si="27"/>
        <v>Certificat de dépôt</v>
      </c>
    </row>
    <row r="1076" spans="1:95" s="108" customFormat="1" x14ac:dyDescent="0.2">
      <c r="A1076" s="237" t="s">
        <v>1512</v>
      </c>
      <c r="B1076" s="237">
        <v>9072</v>
      </c>
      <c r="C1076" s="238" t="s">
        <v>447</v>
      </c>
      <c r="D1076" s="580">
        <v>100000</v>
      </c>
      <c r="E1076" s="237">
        <v>0</v>
      </c>
      <c r="F1076" s="239">
        <v>5.1999999999999998E-2</v>
      </c>
      <c r="G1076" s="240">
        <v>39784</v>
      </c>
      <c r="H1076" s="240">
        <v>41610</v>
      </c>
      <c r="I1076" s="241">
        <v>5</v>
      </c>
      <c r="J1076" s="242" t="s">
        <v>1716</v>
      </c>
      <c r="K1076" s="241" t="s">
        <v>1716</v>
      </c>
      <c r="L1076" s="241" t="s">
        <v>1014</v>
      </c>
      <c r="M1076" s="237" t="str">
        <f t="shared" si="27"/>
        <v>Obligation ordinaire</v>
      </c>
      <c r="N1076" s="237"/>
    </row>
    <row r="1077" spans="1:95" s="108" customFormat="1" x14ac:dyDescent="0.2">
      <c r="A1077" s="237" t="s">
        <v>1512</v>
      </c>
      <c r="B1077" s="237">
        <v>9073</v>
      </c>
      <c r="C1077" s="238" t="s">
        <v>197</v>
      </c>
      <c r="D1077" s="580">
        <v>100000</v>
      </c>
      <c r="E1077" s="237">
        <v>0</v>
      </c>
      <c r="F1077" s="239">
        <v>4.9099999999999998E-2</v>
      </c>
      <c r="G1077" s="240">
        <v>39787</v>
      </c>
      <c r="H1077" s="240">
        <v>43439</v>
      </c>
      <c r="I1077" s="241">
        <v>5</v>
      </c>
      <c r="J1077" s="242" t="s">
        <v>1716</v>
      </c>
      <c r="K1077" s="241" t="s">
        <v>1716</v>
      </c>
      <c r="L1077" s="241" t="s">
        <v>1014</v>
      </c>
      <c r="M1077" s="237" t="str">
        <f t="shared" si="27"/>
        <v>Obligation ordinaire</v>
      </c>
      <c r="N1077" s="237"/>
    </row>
    <row r="1078" spans="1:95" x14ac:dyDescent="0.2">
      <c r="A1078" s="38" t="s">
        <v>1035</v>
      </c>
      <c r="B1078" s="38">
        <v>200891</v>
      </c>
      <c r="C1078" s="55" t="s">
        <v>1912</v>
      </c>
      <c r="D1078" s="279">
        <v>100000</v>
      </c>
      <c r="F1078" s="40">
        <v>3.85E-2</v>
      </c>
      <c r="G1078" s="41">
        <v>39922</v>
      </c>
      <c r="H1078" s="41">
        <v>40287</v>
      </c>
      <c r="I1078" s="39">
        <v>52</v>
      </c>
      <c r="J1078" s="45" t="s">
        <v>369</v>
      </c>
      <c r="K1078" s="39" t="s">
        <v>1716</v>
      </c>
      <c r="L1078" s="39" t="s">
        <v>1014</v>
      </c>
      <c r="M1078" s="38" t="str">
        <f t="shared" si="27"/>
        <v>Bon du Trésor</v>
      </c>
    </row>
    <row r="1079" spans="1:95" x14ac:dyDescent="0.2">
      <c r="A1079" s="38" t="s">
        <v>557</v>
      </c>
      <c r="B1079" s="38">
        <v>150482</v>
      </c>
      <c r="C1079" s="55" t="s">
        <v>1227</v>
      </c>
      <c r="D1079" s="279">
        <v>100000</v>
      </c>
      <c r="F1079" s="40">
        <v>4.2999999999999997E-2</v>
      </c>
      <c r="G1079" s="41">
        <v>39798</v>
      </c>
      <c r="H1079" s="41">
        <v>39980</v>
      </c>
      <c r="I1079" s="39">
        <v>26</v>
      </c>
      <c r="J1079" s="45" t="s">
        <v>369</v>
      </c>
      <c r="K1079" s="39" t="s">
        <v>1716</v>
      </c>
      <c r="L1079" s="39" t="s">
        <v>1014</v>
      </c>
      <c r="M1079" s="38" t="str">
        <f t="shared" si="27"/>
        <v>Certificat de dépôt</v>
      </c>
    </row>
    <row r="1080" spans="1:95" x14ac:dyDescent="0.2">
      <c r="A1080" s="38" t="s">
        <v>1035</v>
      </c>
      <c r="B1080" s="38">
        <v>200895</v>
      </c>
      <c r="C1080" s="55" t="s">
        <v>1630</v>
      </c>
      <c r="D1080" s="279">
        <v>100000</v>
      </c>
      <c r="F1080" s="40">
        <v>3.85E-2</v>
      </c>
      <c r="G1080" s="41">
        <v>39585</v>
      </c>
      <c r="H1080" s="41">
        <v>40315</v>
      </c>
      <c r="I1080" s="39">
        <v>52</v>
      </c>
      <c r="J1080" s="45" t="s">
        <v>369</v>
      </c>
      <c r="K1080" s="39" t="s">
        <v>1716</v>
      </c>
      <c r="L1080" s="39" t="s">
        <v>1014</v>
      </c>
      <c r="M1080" s="38" t="str">
        <f>+A1080</f>
        <v>Bon du Trésor</v>
      </c>
    </row>
    <row r="1081" spans="1:95" x14ac:dyDescent="0.2">
      <c r="A1081" s="38" t="s">
        <v>557</v>
      </c>
      <c r="B1081" s="38">
        <v>150484</v>
      </c>
      <c r="C1081" s="55" t="s">
        <v>1732</v>
      </c>
      <c r="D1081" s="279">
        <v>100000</v>
      </c>
      <c r="F1081" s="40">
        <v>4.7E-2</v>
      </c>
      <c r="G1081" s="41">
        <v>39801</v>
      </c>
      <c r="H1081" s="41">
        <v>40531</v>
      </c>
      <c r="I1081" s="39">
        <v>2</v>
      </c>
      <c r="J1081" s="45" t="s">
        <v>1716</v>
      </c>
      <c r="K1081" s="39" t="s">
        <v>1716</v>
      </c>
      <c r="L1081" s="39" t="s">
        <v>1014</v>
      </c>
      <c r="M1081" s="38" t="s">
        <v>557</v>
      </c>
    </row>
    <row r="1082" spans="1:95" x14ac:dyDescent="0.2">
      <c r="A1082" s="38" t="s">
        <v>557</v>
      </c>
      <c r="B1082" s="38">
        <v>150464</v>
      </c>
      <c r="C1082" s="55" t="s">
        <v>1078</v>
      </c>
      <c r="D1082" s="279">
        <v>100000</v>
      </c>
      <c r="F1082" s="40">
        <v>4.2500000000000003E-2</v>
      </c>
      <c r="G1082" s="41">
        <v>39742</v>
      </c>
      <c r="H1082" s="41">
        <v>39839</v>
      </c>
      <c r="I1082" s="39">
        <v>13</v>
      </c>
      <c r="J1082" s="45" t="s">
        <v>369</v>
      </c>
      <c r="K1082" s="39" t="s">
        <v>1716</v>
      </c>
      <c r="L1082" s="39" t="s">
        <v>1014</v>
      </c>
      <c r="M1082" s="38" t="s">
        <v>557</v>
      </c>
    </row>
    <row r="1083" spans="1:95" s="108" customFormat="1" x14ac:dyDescent="0.2">
      <c r="A1083" s="38" t="s">
        <v>1523</v>
      </c>
      <c r="B1083" s="38">
        <v>5008</v>
      </c>
      <c r="C1083" s="38" t="s">
        <v>2022</v>
      </c>
      <c r="D1083" s="279">
        <v>100000</v>
      </c>
      <c r="E1083" s="38">
        <v>4008</v>
      </c>
      <c r="F1083" s="40">
        <v>4.8300000000000003E-2</v>
      </c>
      <c r="G1083" s="41">
        <v>39804</v>
      </c>
      <c r="H1083" s="41">
        <v>43996</v>
      </c>
      <c r="I1083" s="39">
        <f>+YEAR(H1083)-YEAR(G1083)</f>
        <v>12</v>
      </c>
      <c r="J1083" s="39" t="s">
        <v>1716</v>
      </c>
      <c r="K1083" s="39" t="s">
        <v>1525</v>
      </c>
      <c r="L1083" s="39" t="s">
        <v>1014</v>
      </c>
      <c r="M1083" s="38" t="str">
        <f t="shared" ref="M1083:M1090" si="28">+A1083</f>
        <v>FPCT</v>
      </c>
      <c r="N1083" s="38"/>
      <c r="O1083" s="2"/>
      <c r="P1083" s="2"/>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2"/>
      <c r="AW1083" s="2"/>
      <c r="AX1083" s="2"/>
      <c r="AY1083" s="2"/>
      <c r="AZ1083" s="2"/>
      <c r="BA1083" s="2"/>
      <c r="BB1083" s="2"/>
      <c r="BC1083" s="2"/>
      <c r="BD1083" s="2"/>
      <c r="BE1083" s="2"/>
      <c r="BF1083" s="2"/>
      <c r="BG1083" s="2"/>
      <c r="BH1083" s="2"/>
      <c r="BI1083" s="2"/>
      <c r="BJ1083" s="2"/>
      <c r="BK1083" s="2"/>
      <c r="BL1083" s="2"/>
      <c r="BM1083" s="2"/>
      <c r="BN1083" s="2"/>
      <c r="BO1083" s="2"/>
      <c r="BP1083" s="2"/>
      <c r="BQ1083" s="2"/>
      <c r="BR1083" s="2"/>
      <c r="BS1083" s="2"/>
      <c r="BT1083" s="2"/>
      <c r="BU1083" s="2"/>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row>
    <row r="1084" spans="1:95" s="108" customFormat="1" x14ac:dyDescent="0.2">
      <c r="A1084" s="237" t="s">
        <v>1512</v>
      </c>
      <c r="B1084" s="237">
        <v>9075</v>
      </c>
      <c r="C1084" s="238" t="s">
        <v>1880</v>
      </c>
      <c r="D1084" s="580">
        <v>100000</v>
      </c>
      <c r="E1084" s="237"/>
      <c r="F1084" s="239">
        <v>5.6000000000000001E-2</v>
      </c>
      <c r="G1084" s="240">
        <v>39808</v>
      </c>
      <c r="H1084" s="240">
        <v>43460</v>
      </c>
      <c r="I1084" s="241">
        <v>10</v>
      </c>
      <c r="J1084" s="242" t="s">
        <v>1716</v>
      </c>
      <c r="K1084" s="241" t="s">
        <v>1716</v>
      </c>
      <c r="L1084" s="241" t="s">
        <v>1014</v>
      </c>
      <c r="M1084" s="237" t="str">
        <f t="shared" si="28"/>
        <v>Obligation ordinaire</v>
      </c>
      <c r="N1084" s="237"/>
    </row>
    <row r="1085" spans="1:95" s="108" customFormat="1" x14ac:dyDescent="0.2">
      <c r="A1085" s="237" t="s">
        <v>1512</v>
      </c>
      <c r="B1085" s="237">
        <v>9076</v>
      </c>
      <c r="C1085" s="238" t="s">
        <v>1884</v>
      </c>
      <c r="D1085" s="580">
        <v>100000</v>
      </c>
      <c r="E1085" s="237"/>
      <c r="F1085" s="239">
        <v>4.4999999999999998E-2</v>
      </c>
      <c r="G1085" s="240">
        <v>39808</v>
      </c>
      <c r="H1085" s="240">
        <v>43460</v>
      </c>
      <c r="I1085" s="241">
        <v>10</v>
      </c>
      <c r="J1085" s="242" t="s">
        <v>1716</v>
      </c>
      <c r="K1085" s="241" t="s">
        <v>1716</v>
      </c>
      <c r="L1085" s="241" t="s">
        <v>1014</v>
      </c>
      <c r="M1085" s="237" t="str">
        <f t="shared" si="28"/>
        <v>Obligation ordinaire</v>
      </c>
      <c r="N1085" s="237"/>
    </row>
    <row r="1086" spans="1:95" s="108" customFormat="1" x14ac:dyDescent="0.2">
      <c r="A1086" s="237" t="s">
        <v>1512</v>
      </c>
      <c r="B1086" s="237">
        <v>9079</v>
      </c>
      <c r="C1086" s="238" t="s">
        <v>1022</v>
      </c>
      <c r="D1086" s="580">
        <v>100000</v>
      </c>
      <c r="E1086" s="237"/>
      <c r="F1086" s="239">
        <v>5.8999999999999997E-2</v>
      </c>
      <c r="G1086" s="240">
        <v>39813</v>
      </c>
      <c r="H1086" s="240">
        <v>42369</v>
      </c>
      <c r="I1086" s="241">
        <v>7</v>
      </c>
      <c r="J1086" s="242" t="s">
        <v>1716</v>
      </c>
      <c r="K1086" s="241" t="s">
        <v>1716</v>
      </c>
      <c r="L1086" s="241" t="s">
        <v>1014</v>
      </c>
      <c r="M1086" s="237" t="str">
        <f t="shared" si="28"/>
        <v>Obligation ordinaire</v>
      </c>
      <c r="N1086" s="237"/>
    </row>
    <row r="1087" spans="1:95" s="108" customFormat="1" x14ac:dyDescent="0.2">
      <c r="A1087" s="237" t="s">
        <v>1512</v>
      </c>
      <c r="B1087" s="237">
        <v>9080</v>
      </c>
      <c r="C1087" s="238" t="s">
        <v>450</v>
      </c>
      <c r="D1087" s="580">
        <v>100000</v>
      </c>
      <c r="E1087" s="237"/>
      <c r="F1087" s="239">
        <v>5.1999999999999998E-2</v>
      </c>
      <c r="G1087" s="240">
        <v>39813</v>
      </c>
      <c r="H1087" s="240">
        <v>41639</v>
      </c>
      <c r="I1087" s="241">
        <v>5</v>
      </c>
      <c r="J1087" s="242" t="s">
        <v>1716</v>
      </c>
      <c r="K1087" s="241" t="s">
        <v>1716</v>
      </c>
      <c r="L1087" s="241" t="s">
        <v>1014</v>
      </c>
      <c r="M1087" s="237" t="str">
        <f t="shared" si="28"/>
        <v>Obligation ordinaire</v>
      </c>
      <c r="N1087" s="237"/>
    </row>
    <row r="1088" spans="1:95" s="108" customFormat="1" x14ac:dyDescent="0.2">
      <c r="A1088" s="237" t="s">
        <v>1512</v>
      </c>
      <c r="B1088" s="237">
        <v>9081</v>
      </c>
      <c r="C1088" s="238" t="s">
        <v>1399</v>
      </c>
      <c r="D1088" s="580">
        <v>100000</v>
      </c>
      <c r="E1088" s="237"/>
      <c r="F1088" s="239">
        <v>5.1999999999999998E-2</v>
      </c>
      <c r="G1088" s="240">
        <v>39813</v>
      </c>
      <c r="H1088" s="240">
        <v>41639</v>
      </c>
      <c r="I1088" s="241">
        <v>5</v>
      </c>
      <c r="J1088" s="242" t="s">
        <v>1716</v>
      </c>
      <c r="K1088" s="241" t="s">
        <v>1716</v>
      </c>
      <c r="L1088" s="241" t="s">
        <v>1014</v>
      </c>
      <c r="M1088" s="237" t="str">
        <f t="shared" si="28"/>
        <v>Obligation ordinaire</v>
      </c>
      <c r="N1088" s="237"/>
    </row>
    <row r="1089" spans="1:14" x14ac:dyDescent="0.2">
      <c r="A1089" s="38" t="s">
        <v>1035</v>
      </c>
      <c r="B1089" s="38">
        <v>200888</v>
      </c>
      <c r="C1089" s="55" t="s">
        <v>151</v>
      </c>
      <c r="D1089" s="279">
        <v>100000</v>
      </c>
      <c r="F1089" s="40">
        <v>3.9E-2</v>
      </c>
      <c r="G1089" s="41">
        <v>39831</v>
      </c>
      <c r="H1089" s="41">
        <v>40196</v>
      </c>
      <c r="I1089" s="39">
        <v>52</v>
      </c>
      <c r="J1089" s="45" t="s">
        <v>369</v>
      </c>
      <c r="K1089" s="39" t="s">
        <v>1716</v>
      </c>
      <c r="L1089" s="39" t="s">
        <v>1014</v>
      </c>
      <c r="M1089" s="38" t="str">
        <f t="shared" si="28"/>
        <v>Bon du Trésor</v>
      </c>
    </row>
    <row r="1090" spans="1:14" x14ac:dyDescent="0.2">
      <c r="A1090" s="38" t="s">
        <v>1035</v>
      </c>
      <c r="B1090" s="38">
        <v>200890</v>
      </c>
      <c r="C1090" s="55" t="s">
        <v>1863</v>
      </c>
      <c r="D1090" s="279">
        <v>100000</v>
      </c>
      <c r="F1090" s="40">
        <v>3.9E-2</v>
      </c>
      <c r="G1090" s="41">
        <v>39887</v>
      </c>
      <c r="H1090" s="41">
        <v>40252</v>
      </c>
      <c r="I1090" s="39">
        <v>52</v>
      </c>
      <c r="J1090" s="45" t="s">
        <v>369</v>
      </c>
      <c r="K1090" s="39" t="s">
        <v>1716</v>
      </c>
      <c r="L1090" s="39" t="s">
        <v>1014</v>
      </c>
      <c r="M1090" s="38" t="str">
        <f t="shared" si="28"/>
        <v>Bon du Trésor</v>
      </c>
    </row>
    <row r="1091" spans="1:14" x14ac:dyDescent="0.2">
      <c r="A1091" s="38" t="s">
        <v>1035</v>
      </c>
      <c r="B1091" s="38">
        <v>200908</v>
      </c>
      <c r="C1091" s="38" t="s">
        <v>1989</v>
      </c>
      <c r="D1091" s="279">
        <v>100000</v>
      </c>
      <c r="F1091" s="40">
        <v>3.9E-2</v>
      </c>
      <c r="G1091" s="41">
        <v>39858</v>
      </c>
      <c r="H1091" s="41">
        <v>40588</v>
      </c>
      <c r="I1091" s="39">
        <v>2</v>
      </c>
      <c r="J1091" s="45" t="s">
        <v>1716</v>
      </c>
      <c r="K1091" s="39" t="s">
        <v>1716</v>
      </c>
      <c r="L1091" s="39" t="s">
        <v>1014</v>
      </c>
      <c r="M1091" s="38" t="str">
        <f>+A1091</f>
        <v>Bon du Trésor</v>
      </c>
    </row>
    <row r="1092" spans="1:14" x14ac:dyDescent="0.2">
      <c r="A1092" s="38" t="s">
        <v>1035</v>
      </c>
      <c r="B1092" s="38">
        <v>200915</v>
      </c>
      <c r="C1092" s="55" t="s">
        <v>499</v>
      </c>
      <c r="D1092" s="279">
        <v>100000</v>
      </c>
      <c r="F1092" s="40">
        <v>3.6799999999999999E-2</v>
      </c>
      <c r="G1092" s="41">
        <v>39839</v>
      </c>
      <c r="H1092" s="41">
        <v>40021</v>
      </c>
      <c r="I1092" s="39">
        <v>26</v>
      </c>
      <c r="J1092" s="45" t="s">
        <v>369</v>
      </c>
      <c r="K1092" s="39" t="s">
        <v>1716</v>
      </c>
      <c r="L1092" s="39" t="s">
        <v>1014</v>
      </c>
      <c r="M1092" s="38" t="str">
        <f>+A1092</f>
        <v>Bon du Trésor</v>
      </c>
    </row>
    <row r="1093" spans="1:14" x14ac:dyDescent="0.2">
      <c r="A1093" s="38" t="s">
        <v>1035</v>
      </c>
      <c r="B1093" s="38">
        <v>200916</v>
      </c>
      <c r="C1093" s="38" t="s">
        <v>500</v>
      </c>
      <c r="D1093" s="279">
        <v>100000</v>
      </c>
      <c r="F1093" s="40">
        <v>3.85E-2</v>
      </c>
      <c r="G1093" s="41">
        <v>39985</v>
      </c>
      <c r="H1093" s="41">
        <v>40350</v>
      </c>
      <c r="I1093" s="39">
        <v>52</v>
      </c>
      <c r="J1093" s="45" t="s">
        <v>369</v>
      </c>
      <c r="K1093" s="39" t="s">
        <v>1716</v>
      </c>
      <c r="L1093" s="39" t="s">
        <v>1014</v>
      </c>
      <c r="M1093" s="38" t="str">
        <f>+A1093</f>
        <v>Bon du Trésor</v>
      </c>
    </row>
    <row r="1094" spans="1:14" x14ac:dyDescent="0.2">
      <c r="A1094" s="38" t="s">
        <v>557</v>
      </c>
      <c r="B1094" s="38">
        <v>150487</v>
      </c>
      <c r="C1094" s="55" t="s">
        <v>501</v>
      </c>
      <c r="D1094" s="279">
        <v>100000</v>
      </c>
      <c r="F1094" s="40">
        <v>4.3499999999999997E-2</v>
      </c>
      <c r="G1094" s="41">
        <v>39839</v>
      </c>
      <c r="H1094" s="41">
        <v>40203</v>
      </c>
      <c r="I1094" s="39">
        <v>52</v>
      </c>
      <c r="J1094" s="45" t="s">
        <v>369</v>
      </c>
      <c r="K1094" s="39" t="s">
        <v>1716</v>
      </c>
      <c r="L1094" s="39" t="s">
        <v>1014</v>
      </c>
      <c r="M1094" s="38" t="s">
        <v>557</v>
      </c>
    </row>
    <row r="1095" spans="1:14" x14ac:dyDescent="0.2">
      <c r="A1095" s="38" t="s">
        <v>557</v>
      </c>
      <c r="B1095" s="38">
        <v>150488</v>
      </c>
      <c r="C1095" s="55" t="s">
        <v>1778</v>
      </c>
      <c r="D1095" s="279">
        <v>100000</v>
      </c>
      <c r="F1095" s="40">
        <v>4.5499999999999999E-2</v>
      </c>
      <c r="G1095" s="41">
        <v>39839</v>
      </c>
      <c r="H1095" s="41">
        <v>40569</v>
      </c>
      <c r="I1095" s="39">
        <v>2</v>
      </c>
      <c r="J1095" s="45" t="s">
        <v>1716</v>
      </c>
      <c r="K1095" s="39" t="s">
        <v>1716</v>
      </c>
      <c r="L1095" s="39" t="s">
        <v>1014</v>
      </c>
      <c r="M1095" s="38" t="s">
        <v>557</v>
      </c>
    </row>
    <row r="1096" spans="1:14" s="108" customFormat="1" x14ac:dyDescent="0.2">
      <c r="A1096" s="237" t="s">
        <v>1512</v>
      </c>
      <c r="B1096" s="237">
        <v>9082</v>
      </c>
      <c r="C1096" s="238" t="s">
        <v>560</v>
      </c>
      <c r="D1096" s="580">
        <v>100000</v>
      </c>
      <c r="E1096" s="237"/>
      <c r="F1096" s="239">
        <v>4.7E-2</v>
      </c>
      <c r="G1096" s="240">
        <v>39856</v>
      </c>
      <c r="H1096" s="240">
        <v>43508</v>
      </c>
      <c r="I1096" s="241">
        <v>10</v>
      </c>
      <c r="J1096" s="242" t="s">
        <v>1716</v>
      </c>
      <c r="K1096" s="241" t="s">
        <v>1716</v>
      </c>
      <c r="L1096" s="241" t="s">
        <v>1014</v>
      </c>
      <c r="M1096" s="237" t="str">
        <f>+A1096</f>
        <v>Obligation ordinaire</v>
      </c>
      <c r="N1096" s="237"/>
    </row>
    <row r="1097" spans="1:14" x14ac:dyDescent="0.2">
      <c r="A1097" s="38" t="s">
        <v>557</v>
      </c>
      <c r="B1097" s="38">
        <v>150500</v>
      </c>
      <c r="C1097" s="55" t="s">
        <v>239</v>
      </c>
      <c r="D1097" s="279">
        <v>100000</v>
      </c>
      <c r="F1097" s="40">
        <v>4.5499999999999999E-2</v>
      </c>
      <c r="G1097" s="41">
        <v>39860</v>
      </c>
      <c r="H1097" s="41">
        <v>40590</v>
      </c>
      <c r="I1097" s="39">
        <v>2</v>
      </c>
      <c r="J1097" s="45" t="s">
        <v>1716</v>
      </c>
      <c r="K1097" s="39" t="s">
        <v>1716</v>
      </c>
      <c r="L1097" s="39" t="s">
        <v>1014</v>
      </c>
      <c r="M1097" s="38" t="s">
        <v>557</v>
      </c>
    </row>
    <row r="1098" spans="1:14" x14ac:dyDescent="0.2">
      <c r="A1098" s="38" t="s">
        <v>557</v>
      </c>
      <c r="B1098" s="38">
        <v>150497</v>
      </c>
      <c r="C1098" s="55" t="s">
        <v>1113</v>
      </c>
      <c r="D1098" s="279">
        <v>100000</v>
      </c>
      <c r="F1098" s="40">
        <v>4.2000000000000003E-2</v>
      </c>
      <c r="G1098" s="41">
        <v>39847</v>
      </c>
      <c r="H1098" s="41">
        <v>40211</v>
      </c>
      <c r="I1098" s="39">
        <v>52</v>
      </c>
      <c r="J1098" s="45" t="s">
        <v>369</v>
      </c>
      <c r="K1098" s="39" t="s">
        <v>1716</v>
      </c>
      <c r="L1098" s="39" t="s">
        <v>1014</v>
      </c>
      <c r="M1098" s="38" t="s">
        <v>557</v>
      </c>
    </row>
    <row r="1099" spans="1:14" x14ac:dyDescent="0.2">
      <c r="A1099" s="38" t="s">
        <v>1035</v>
      </c>
      <c r="B1099" s="38">
        <v>200921</v>
      </c>
      <c r="C1099" s="38" t="s">
        <v>1506</v>
      </c>
      <c r="D1099" s="279">
        <v>100000</v>
      </c>
      <c r="F1099" s="40">
        <v>3.7999999999999999E-2</v>
      </c>
      <c r="G1099" s="41">
        <v>39881</v>
      </c>
      <c r="H1099" s="41">
        <v>40371</v>
      </c>
      <c r="I1099" s="39">
        <v>52</v>
      </c>
      <c r="J1099" s="45" t="s">
        <v>369</v>
      </c>
      <c r="K1099" s="39" t="s">
        <v>1716</v>
      </c>
      <c r="L1099" s="39" t="s">
        <v>1014</v>
      </c>
      <c r="M1099" s="38" t="str">
        <f>+A1099</f>
        <v>Bon du Trésor</v>
      </c>
    </row>
    <row r="1100" spans="1:14" x14ac:dyDescent="0.2">
      <c r="A1100" s="38" t="s">
        <v>1035</v>
      </c>
      <c r="B1100" s="38">
        <v>200892</v>
      </c>
      <c r="C1100" s="38" t="s">
        <v>1833</v>
      </c>
      <c r="D1100" s="279">
        <v>100000</v>
      </c>
      <c r="F1100" s="40">
        <v>0.04</v>
      </c>
      <c r="G1100" s="41">
        <v>39783</v>
      </c>
      <c r="H1100" s="41">
        <v>41609</v>
      </c>
      <c r="I1100" s="39">
        <v>5</v>
      </c>
      <c r="J1100" s="45" t="s">
        <v>1716</v>
      </c>
      <c r="K1100" s="39" t="s">
        <v>1716</v>
      </c>
      <c r="L1100" s="39" t="s">
        <v>1014</v>
      </c>
      <c r="M1100" s="38" t="str">
        <f>+A1100</f>
        <v>Bon du Trésor</v>
      </c>
    </row>
    <row r="1101" spans="1:14" x14ac:dyDescent="0.2">
      <c r="A1101" s="38" t="s">
        <v>557</v>
      </c>
      <c r="B1101" s="38">
        <v>150502</v>
      </c>
      <c r="C1101" s="55" t="s">
        <v>1688</v>
      </c>
      <c r="D1101" s="279">
        <v>100000</v>
      </c>
      <c r="F1101" s="40">
        <v>4.1500000000000002E-2</v>
      </c>
      <c r="G1101" s="41">
        <v>39888</v>
      </c>
      <c r="H1101" s="41">
        <v>40437</v>
      </c>
      <c r="I1101" s="39">
        <v>1.5</v>
      </c>
      <c r="J1101" s="45" t="s">
        <v>1716</v>
      </c>
      <c r="K1101" s="39" t="s">
        <v>1716</v>
      </c>
      <c r="L1101" s="39" t="s">
        <v>1014</v>
      </c>
      <c r="M1101" s="38" t="s">
        <v>557</v>
      </c>
    </row>
    <row r="1102" spans="1:14" x14ac:dyDescent="0.2">
      <c r="A1102" s="38" t="s">
        <v>557</v>
      </c>
      <c r="B1102" s="38">
        <v>150503</v>
      </c>
      <c r="C1102" s="55" t="s">
        <v>113</v>
      </c>
      <c r="D1102" s="279">
        <v>100000</v>
      </c>
      <c r="F1102" s="40">
        <v>4.2000000000000003E-2</v>
      </c>
      <c r="G1102" s="41">
        <v>39888</v>
      </c>
      <c r="H1102" s="41">
        <v>40618</v>
      </c>
      <c r="I1102" s="39">
        <v>2</v>
      </c>
      <c r="J1102" s="45" t="s">
        <v>1716</v>
      </c>
      <c r="K1102" s="39" t="s">
        <v>1716</v>
      </c>
      <c r="L1102" s="39" t="s">
        <v>1014</v>
      </c>
      <c r="M1102" s="38" t="s">
        <v>557</v>
      </c>
    </row>
    <row r="1103" spans="1:14" x14ac:dyDescent="0.2">
      <c r="A1103" s="38" t="s">
        <v>557</v>
      </c>
      <c r="B1103" s="38">
        <v>150504</v>
      </c>
      <c r="C1103" s="55" t="s">
        <v>534</v>
      </c>
      <c r="D1103" s="279">
        <v>100000</v>
      </c>
      <c r="F1103" s="40">
        <v>4.0500000000000001E-2</v>
      </c>
      <c r="G1103" s="41">
        <v>39888</v>
      </c>
      <c r="H1103" s="41">
        <v>40345</v>
      </c>
      <c r="I1103" s="39">
        <v>1.25</v>
      </c>
      <c r="J1103" s="45" t="s">
        <v>1716</v>
      </c>
      <c r="K1103" s="39" t="s">
        <v>1716</v>
      </c>
      <c r="L1103" s="39" t="s">
        <v>1014</v>
      </c>
      <c r="M1103" s="38" t="s">
        <v>557</v>
      </c>
    </row>
    <row r="1104" spans="1:14" x14ac:dyDescent="0.2">
      <c r="A1104" s="38" t="s">
        <v>1035</v>
      </c>
      <c r="B1104" s="38">
        <v>200896</v>
      </c>
      <c r="C1104" s="55" t="s">
        <v>823</v>
      </c>
      <c r="D1104" s="279">
        <v>100000</v>
      </c>
      <c r="F1104" s="40">
        <v>3.7400000000000003E-2</v>
      </c>
      <c r="G1104" s="41">
        <v>39804</v>
      </c>
      <c r="H1104" s="41">
        <v>39986</v>
      </c>
      <c r="I1104" s="39">
        <v>26</v>
      </c>
      <c r="J1104" s="45" t="s">
        <v>369</v>
      </c>
      <c r="K1104" s="39" t="s">
        <v>1716</v>
      </c>
      <c r="L1104" s="39" t="s">
        <v>1014</v>
      </c>
      <c r="M1104" s="38" t="str">
        <f t="shared" ref="M1104:M1109" si="29">+A1104</f>
        <v>Bon du Trésor</v>
      </c>
    </row>
    <row r="1105" spans="1:14" x14ac:dyDescent="0.2">
      <c r="A1105" s="38" t="s">
        <v>1035</v>
      </c>
      <c r="B1105" s="38">
        <v>200898</v>
      </c>
      <c r="C1105" s="55" t="s">
        <v>824</v>
      </c>
      <c r="D1105" s="279">
        <v>100000</v>
      </c>
      <c r="F1105" s="40">
        <v>3.85E-2</v>
      </c>
      <c r="G1105" s="41">
        <v>39804</v>
      </c>
      <c r="H1105" s="41">
        <v>40168</v>
      </c>
      <c r="I1105" s="39">
        <v>52</v>
      </c>
      <c r="J1105" s="45" t="s">
        <v>369</v>
      </c>
      <c r="K1105" s="39" t="s">
        <v>1716</v>
      </c>
      <c r="L1105" s="39" t="s">
        <v>1014</v>
      </c>
      <c r="M1105" s="38" t="str">
        <f t="shared" si="29"/>
        <v>Bon du Trésor</v>
      </c>
    </row>
    <row r="1106" spans="1:14" x14ac:dyDescent="0.2">
      <c r="A1106" s="38" t="s">
        <v>1035</v>
      </c>
      <c r="B1106" s="38">
        <v>200919</v>
      </c>
      <c r="C1106" s="55" t="s">
        <v>738</v>
      </c>
      <c r="D1106" s="279">
        <v>100000</v>
      </c>
      <c r="F1106" s="40">
        <v>3.6700000000000003E-2</v>
      </c>
      <c r="G1106" s="41">
        <v>39853</v>
      </c>
      <c r="H1106" s="41">
        <v>40035</v>
      </c>
      <c r="I1106" s="39">
        <v>26</v>
      </c>
      <c r="J1106" s="45" t="s">
        <v>369</v>
      </c>
      <c r="K1106" s="39" t="s">
        <v>1716</v>
      </c>
      <c r="L1106" s="39" t="s">
        <v>1014</v>
      </c>
      <c r="M1106" s="38" t="str">
        <f t="shared" si="29"/>
        <v>Bon du Trésor</v>
      </c>
    </row>
    <row r="1107" spans="1:14" x14ac:dyDescent="0.2">
      <c r="A1107" s="38" t="s">
        <v>1035</v>
      </c>
      <c r="B1107" s="38">
        <v>200907</v>
      </c>
      <c r="C1107" s="55" t="s">
        <v>738</v>
      </c>
      <c r="D1107" s="279">
        <v>100000</v>
      </c>
      <c r="F1107" s="40">
        <v>3.6999999999999998E-2</v>
      </c>
      <c r="G1107" s="41">
        <v>39832</v>
      </c>
      <c r="H1107" s="41">
        <v>40014</v>
      </c>
      <c r="I1107" s="39">
        <v>26</v>
      </c>
      <c r="J1107" s="45" t="s">
        <v>369</v>
      </c>
      <c r="K1107" s="39" t="s">
        <v>1716</v>
      </c>
      <c r="L1107" s="39" t="s">
        <v>1014</v>
      </c>
      <c r="M1107" s="38" t="str">
        <f t="shared" si="29"/>
        <v>Bon du Trésor</v>
      </c>
    </row>
    <row r="1108" spans="1:14" x14ac:dyDescent="0.2">
      <c r="A1108" s="38" t="s">
        <v>1035</v>
      </c>
      <c r="B1108" s="38">
        <v>200906</v>
      </c>
      <c r="C1108" s="55" t="s">
        <v>739</v>
      </c>
      <c r="D1108" s="279">
        <v>100000</v>
      </c>
      <c r="F1108" s="40">
        <v>3.85E-2</v>
      </c>
      <c r="G1108" s="41">
        <v>39978</v>
      </c>
      <c r="H1108" s="41">
        <v>40343</v>
      </c>
      <c r="I1108" s="39">
        <v>52</v>
      </c>
      <c r="J1108" s="45" t="s">
        <v>369</v>
      </c>
      <c r="K1108" s="39" t="s">
        <v>1716</v>
      </c>
      <c r="L1108" s="39" t="s">
        <v>1014</v>
      </c>
      <c r="M1108" s="38" t="str">
        <f t="shared" si="29"/>
        <v>Bon du Trésor</v>
      </c>
    </row>
    <row r="1109" spans="1:14" s="108" customFormat="1" x14ac:dyDescent="0.2">
      <c r="A1109" s="237" t="s">
        <v>1512</v>
      </c>
      <c r="B1109" s="237">
        <v>9085</v>
      </c>
      <c r="C1109" s="238" t="s">
        <v>857</v>
      </c>
      <c r="D1109" s="580">
        <v>100000</v>
      </c>
      <c r="E1109" s="237"/>
      <c r="F1109" s="239">
        <v>0.05</v>
      </c>
      <c r="G1109" s="257">
        <v>39912</v>
      </c>
      <c r="H1109" s="257">
        <v>42469</v>
      </c>
      <c r="I1109" s="241">
        <v>10</v>
      </c>
      <c r="J1109" s="242" t="s">
        <v>1716</v>
      </c>
      <c r="K1109" s="241" t="s">
        <v>1716</v>
      </c>
      <c r="L1109" s="241" t="s">
        <v>1014</v>
      </c>
      <c r="M1109" s="237" t="str">
        <f t="shared" si="29"/>
        <v>Obligation ordinaire</v>
      </c>
      <c r="N1109" s="237"/>
    </row>
    <row r="1110" spans="1:14" x14ac:dyDescent="0.2">
      <c r="A1110" s="38" t="s">
        <v>557</v>
      </c>
      <c r="B1110" s="38">
        <v>150506</v>
      </c>
      <c r="C1110" s="55" t="s">
        <v>1055</v>
      </c>
      <c r="D1110" s="279">
        <v>100000</v>
      </c>
      <c r="F1110" s="40">
        <v>3.7499999999999999E-2</v>
      </c>
      <c r="G1110" s="41">
        <v>39927</v>
      </c>
      <c r="H1110" s="41">
        <v>40109</v>
      </c>
      <c r="I1110" s="39">
        <v>26</v>
      </c>
      <c r="J1110" s="45" t="s">
        <v>288</v>
      </c>
      <c r="K1110" s="39" t="s">
        <v>1716</v>
      </c>
      <c r="L1110" s="39" t="s">
        <v>1014</v>
      </c>
      <c r="M1110" s="38" t="s">
        <v>557</v>
      </c>
    </row>
    <row r="1111" spans="1:14" x14ac:dyDescent="0.2">
      <c r="A1111" s="38" t="s">
        <v>557</v>
      </c>
      <c r="B1111" s="38">
        <v>150512</v>
      </c>
      <c r="C1111" s="55" t="s">
        <v>1556</v>
      </c>
      <c r="D1111" s="279">
        <v>100000</v>
      </c>
      <c r="F1111" s="40">
        <v>4.0500000000000001E-2</v>
      </c>
      <c r="G1111" s="41">
        <v>39937</v>
      </c>
      <c r="H1111" s="41">
        <v>40667</v>
      </c>
      <c r="I1111" s="39">
        <v>2</v>
      </c>
      <c r="J1111" s="45" t="s">
        <v>1716</v>
      </c>
      <c r="K1111" s="39" t="s">
        <v>1716</v>
      </c>
      <c r="L1111" s="39" t="s">
        <v>1014</v>
      </c>
      <c r="M1111" s="38" t="s">
        <v>557</v>
      </c>
    </row>
    <row r="1112" spans="1:14" x14ac:dyDescent="0.2">
      <c r="A1112" s="38" t="s">
        <v>557</v>
      </c>
      <c r="B1112" s="38">
        <v>150433</v>
      </c>
      <c r="C1112" s="55" t="s">
        <v>1431</v>
      </c>
      <c r="D1112" s="279">
        <v>100000</v>
      </c>
      <c r="F1112" s="40">
        <v>4.2500000000000003E-2</v>
      </c>
      <c r="G1112" s="41">
        <v>39596</v>
      </c>
      <c r="H1112" s="41">
        <v>40331</v>
      </c>
      <c r="I1112" s="39">
        <v>2</v>
      </c>
      <c r="J1112" s="45" t="s">
        <v>1716</v>
      </c>
      <c r="K1112" s="39" t="s">
        <v>1716</v>
      </c>
      <c r="L1112" s="39" t="s">
        <v>1014</v>
      </c>
      <c r="M1112" s="38" t="s">
        <v>557</v>
      </c>
    </row>
    <row r="1113" spans="1:14" x14ac:dyDescent="0.2">
      <c r="A1113" s="38" t="s">
        <v>1035</v>
      </c>
      <c r="B1113" s="38">
        <v>200932</v>
      </c>
      <c r="C1113" s="55" t="s">
        <v>790</v>
      </c>
      <c r="D1113" s="279">
        <v>100000</v>
      </c>
      <c r="F1113" s="40">
        <v>3.27E-2</v>
      </c>
      <c r="G1113" s="41">
        <v>39944</v>
      </c>
      <c r="H1113" s="41">
        <v>40035</v>
      </c>
      <c r="I1113" s="39">
        <v>13</v>
      </c>
      <c r="J1113" s="45" t="s">
        <v>369</v>
      </c>
      <c r="K1113" s="39" t="s">
        <v>1716</v>
      </c>
      <c r="L1113" s="39" t="s">
        <v>1014</v>
      </c>
      <c r="M1113" s="38" t="s">
        <v>1035</v>
      </c>
    </row>
    <row r="1114" spans="1:14" x14ac:dyDescent="0.2">
      <c r="A1114" s="38" t="s">
        <v>1015</v>
      </c>
      <c r="B1114" s="38">
        <v>100449</v>
      </c>
      <c r="C1114" s="55" t="s">
        <v>1408</v>
      </c>
      <c r="D1114" s="279">
        <v>100000</v>
      </c>
      <c r="F1114" s="40">
        <v>4.7500000000000001E-2</v>
      </c>
      <c r="G1114" s="41">
        <v>39945</v>
      </c>
      <c r="H1114" s="41">
        <v>41041</v>
      </c>
      <c r="I1114" s="39">
        <v>3</v>
      </c>
      <c r="J1114" s="45" t="s">
        <v>1716</v>
      </c>
      <c r="K1114" s="39" t="s">
        <v>1716</v>
      </c>
      <c r="L1114" s="39" t="s">
        <v>1014</v>
      </c>
      <c r="M1114" s="38" t="str">
        <f>A1114</f>
        <v>Bon de société de financement</v>
      </c>
    </row>
    <row r="1115" spans="1:14" x14ac:dyDescent="0.2">
      <c r="A1115" s="38" t="s">
        <v>1035</v>
      </c>
      <c r="B1115" s="38">
        <v>200933</v>
      </c>
      <c r="C1115" s="55" t="s">
        <v>407</v>
      </c>
      <c r="D1115" s="279">
        <v>100000</v>
      </c>
      <c r="F1115" s="40">
        <v>3.7999999999999999E-2</v>
      </c>
      <c r="G1115" s="41">
        <v>39951</v>
      </c>
      <c r="H1115" s="41">
        <v>41777</v>
      </c>
      <c r="I1115" s="39">
        <v>5</v>
      </c>
      <c r="J1115" s="45" t="s">
        <v>1716</v>
      </c>
      <c r="K1115" s="39" t="s">
        <v>1716</v>
      </c>
      <c r="L1115" s="39" t="s">
        <v>1014</v>
      </c>
      <c r="M1115" s="38" t="str">
        <f>A1115</f>
        <v>Bon du Trésor</v>
      </c>
    </row>
    <row r="1116" spans="1:14" x14ac:dyDescent="0.2">
      <c r="A1116" s="38" t="s">
        <v>557</v>
      </c>
      <c r="B1116" s="38">
        <v>150514</v>
      </c>
      <c r="C1116" s="55" t="s">
        <v>1165</v>
      </c>
      <c r="D1116" s="279">
        <v>100000</v>
      </c>
      <c r="F1116" s="40">
        <v>3.85E-2</v>
      </c>
      <c r="G1116" s="41">
        <v>39954</v>
      </c>
      <c r="H1116" s="41">
        <v>40318</v>
      </c>
      <c r="I1116" s="39">
        <v>52</v>
      </c>
      <c r="J1116" s="45" t="s">
        <v>369</v>
      </c>
      <c r="K1116" s="39" t="s">
        <v>1716</v>
      </c>
      <c r="L1116" s="39" t="s">
        <v>1014</v>
      </c>
      <c r="M1116" s="38" t="s">
        <v>557</v>
      </c>
    </row>
    <row r="1117" spans="1:14" x14ac:dyDescent="0.2">
      <c r="A1117" s="38" t="s">
        <v>557</v>
      </c>
      <c r="B1117" s="38">
        <v>150517</v>
      </c>
      <c r="C1117" s="55" t="s">
        <v>734</v>
      </c>
      <c r="D1117" s="279">
        <v>100000</v>
      </c>
      <c r="F1117" s="40">
        <v>3.4500000000000003E-2</v>
      </c>
      <c r="G1117" s="41">
        <v>39967</v>
      </c>
      <c r="H1117" s="41">
        <v>40059</v>
      </c>
      <c r="I1117" s="39">
        <v>13</v>
      </c>
      <c r="J1117" s="45" t="s">
        <v>369</v>
      </c>
      <c r="K1117" s="39" t="s">
        <v>1716</v>
      </c>
      <c r="L1117" s="39" t="s">
        <v>1014</v>
      </c>
      <c r="M1117" s="38" t="s">
        <v>557</v>
      </c>
    </row>
    <row r="1118" spans="1:14" s="108" customFormat="1" x14ac:dyDescent="0.2">
      <c r="A1118" s="237" t="s">
        <v>1512</v>
      </c>
      <c r="B1118" s="237">
        <v>9087</v>
      </c>
      <c r="C1118" s="238" t="s">
        <v>2434</v>
      </c>
      <c r="D1118" s="580">
        <v>100000</v>
      </c>
      <c r="E1118" s="237"/>
      <c r="F1118" s="239">
        <v>3.3700000000000001E-2</v>
      </c>
      <c r="G1118" s="240">
        <v>39967</v>
      </c>
      <c r="H1118" s="240">
        <v>47272</v>
      </c>
      <c r="I1118" s="241">
        <v>20</v>
      </c>
      <c r="J1118" s="242" t="s">
        <v>1716</v>
      </c>
      <c r="K1118" s="241" t="s">
        <v>1716</v>
      </c>
      <c r="L1118" s="241" t="s">
        <v>1014</v>
      </c>
      <c r="M1118" s="237" t="str">
        <f>+A1118</f>
        <v>Obligation ordinaire</v>
      </c>
      <c r="N1118" s="237"/>
    </row>
    <row r="1119" spans="1:14" x14ac:dyDescent="0.2">
      <c r="A1119" s="38" t="s">
        <v>557</v>
      </c>
      <c r="B1119" s="38">
        <v>150522</v>
      </c>
      <c r="C1119" s="55" t="s">
        <v>1948</v>
      </c>
      <c r="D1119" s="279">
        <v>100000</v>
      </c>
      <c r="F1119" s="40">
        <v>3.4500000000000003E-2</v>
      </c>
      <c r="G1119" s="41">
        <v>39973</v>
      </c>
      <c r="H1119" s="41">
        <v>39988</v>
      </c>
      <c r="I1119" s="39">
        <v>13</v>
      </c>
      <c r="J1119" s="45" t="s">
        <v>369</v>
      </c>
      <c r="K1119" s="39" t="s">
        <v>1716</v>
      </c>
      <c r="L1119" s="39" t="s">
        <v>1014</v>
      </c>
      <c r="M1119" s="38" t="s">
        <v>557</v>
      </c>
    </row>
    <row r="1120" spans="1:14" x14ac:dyDescent="0.2">
      <c r="A1120" s="38" t="s">
        <v>557</v>
      </c>
      <c r="B1120" s="38">
        <v>150525</v>
      </c>
      <c r="C1120" s="55" t="s">
        <v>484</v>
      </c>
      <c r="D1120" s="279">
        <v>100000</v>
      </c>
      <c r="F1120" s="40">
        <v>3.4000000000000002E-2</v>
      </c>
      <c r="G1120" s="41">
        <v>39993</v>
      </c>
      <c r="H1120" s="41">
        <v>40028</v>
      </c>
      <c r="I1120" s="39">
        <v>13</v>
      </c>
      <c r="J1120" s="45" t="s">
        <v>369</v>
      </c>
      <c r="K1120" s="39" t="s">
        <v>1716</v>
      </c>
      <c r="L1120" s="39" t="s">
        <v>1014</v>
      </c>
      <c r="M1120" s="38" t="s">
        <v>557</v>
      </c>
    </row>
    <row r="1121" spans="1:14" x14ac:dyDescent="0.2">
      <c r="A1121" s="38" t="s">
        <v>1512</v>
      </c>
      <c r="B1121" s="38">
        <v>9088</v>
      </c>
      <c r="C1121" s="55" t="s">
        <v>1877</v>
      </c>
      <c r="D1121" s="279">
        <v>100000</v>
      </c>
      <c r="F1121" s="40">
        <v>0.05</v>
      </c>
      <c r="G1121" s="41">
        <v>39993</v>
      </c>
      <c r="H1121" s="41">
        <v>43645</v>
      </c>
      <c r="I1121" s="39">
        <v>10</v>
      </c>
      <c r="J1121" s="45" t="s">
        <v>1716</v>
      </c>
      <c r="K1121" s="39" t="s">
        <v>1716</v>
      </c>
      <c r="L1121" s="39" t="s">
        <v>1014</v>
      </c>
      <c r="M1121" s="237" t="str">
        <f>+A1121</f>
        <v>Obligation ordinaire</v>
      </c>
    </row>
    <row r="1122" spans="1:14" x14ac:dyDescent="0.2">
      <c r="A1122" s="38" t="s">
        <v>557</v>
      </c>
      <c r="B1122" s="38">
        <v>150518</v>
      </c>
      <c r="C1122" s="55" t="s">
        <v>1668</v>
      </c>
      <c r="D1122" s="279">
        <v>100000</v>
      </c>
      <c r="F1122" s="40">
        <v>3.85E-2</v>
      </c>
      <c r="G1122" s="41">
        <v>39973</v>
      </c>
      <c r="H1122" s="41">
        <v>40337</v>
      </c>
      <c r="I1122" s="39">
        <v>52</v>
      </c>
      <c r="J1122" s="45" t="s">
        <v>369</v>
      </c>
      <c r="K1122" s="39" t="s">
        <v>1716</v>
      </c>
      <c r="L1122" s="39" t="s">
        <v>1014</v>
      </c>
      <c r="M1122" s="38" t="s">
        <v>557</v>
      </c>
    </row>
    <row r="1123" spans="1:14" x14ac:dyDescent="0.2">
      <c r="A1123" s="38" t="s">
        <v>1035</v>
      </c>
      <c r="B1123" s="38">
        <v>200934</v>
      </c>
      <c r="C1123" s="55" t="s">
        <v>408</v>
      </c>
      <c r="D1123" s="279">
        <v>100000</v>
      </c>
      <c r="F1123" s="40">
        <v>3.2599999999999997E-2</v>
      </c>
      <c r="G1123" s="41">
        <v>39958</v>
      </c>
      <c r="H1123" s="41">
        <v>40049</v>
      </c>
      <c r="I1123" s="39">
        <v>13</v>
      </c>
      <c r="J1123" s="45" t="s">
        <v>369</v>
      </c>
      <c r="K1123" s="39" t="s">
        <v>1716</v>
      </c>
      <c r="L1123" s="39" t="s">
        <v>1014</v>
      </c>
      <c r="M1123" s="38" t="str">
        <f>A1123</f>
        <v>Bon du Trésor</v>
      </c>
    </row>
    <row r="1124" spans="1:14" x14ac:dyDescent="0.2">
      <c r="A1124" s="38" t="s">
        <v>1035</v>
      </c>
      <c r="B1124" s="38">
        <v>200925</v>
      </c>
      <c r="C1124" s="55" t="s">
        <v>409</v>
      </c>
      <c r="D1124" s="279">
        <v>100000</v>
      </c>
      <c r="F1124" s="40">
        <v>3.9E-2</v>
      </c>
      <c r="G1124" s="41">
        <v>39907</v>
      </c>
      <c r="H1124" s="41">
        <v>40637</v>
      </c>
      <c r="I1124" s="39">
        <v>2</v>
      </c>
      <c r="J1124" s="45" t="s">
        <v>1716</v>
      </c>
      <c r="K1124" s="39" t="s">
        <v>1716</v>
      </c>
      <c r="L1124" s="39" t="s">
        <v>1014</v>
      </c>
      <c r="M1124" s="38" t="str">
        <f>A1124</f>
        <v>Bon du Trésor</v>
      </c>
    </row>
    <row r="1125" spans="1:14" x14ac:dyDescent="0.2">
      <c r="A1125" s="38" t="s">
        <v>1015</v>
      </c>
      <c r="B1125" s="38">
        <v>100454</v>
      </c>
      <c r="C1125" s="55" t="s">
        <v>1971</v>
      </c>
      <c r="D1125" s="279">
        <v>100000</v>
      </c>
      <c r="F1125" s="40">
        <v>4.1500000000000002E-2</v>
      </c>
      <c r="G1125" s="41">
        <v>39995</v>
      </c>
      <c r="H1125" s="41">
        <v>40725</v>
      </c>
      <c r="I1125" s="39">
        <v>2</v>
      </c>
      <c r="J1125" s="45" t="s">
        <v>1716</v>
      </c>
      <c r="K1125" s="39" t="s">
        <v>1716</v>
      </c>
      <c r="L1125" s="39" t="s">
        <v>1014</v>
      </c>
      <c r="M1125" s="38" t="str">
        <f>A1125</f>
        <v>Bon de société de financement</v>
      </c>
    </row>
    <row r="1126" spans="1:14" x14ac:dyDescent="0.2">
      <c r="A1126" s="38" t="s">
        <v>557</v>
      </c>
      <c r="B1126" s="38">
        <v>150455</v>
      </c>
      <c r="C1126" s="55" t="s">
        <v>66</v>
      </c>
      <c r="D1126" s="279">
        <v>100000</v>
      </c>
      <c r="F1126" s="40">
        <v>4.3499999999999997E-2</v>
      </c>
      <c r="G1126" s="41">
        <v>39720</v>
      </c>
      <c r="H1126" s="41">
        <v>40084</v>
      </c>
      <c r="I1126" s="39">
        <v>52</v>
      </c>
      <c r="J1126" s="45" t="s">
        <v>369</v>
      </c>
      <c r="K1126" s="39" t="s">
        <v>1716</v>
      </c>
      <c r="L1126" s="39" t="s">
        <v>1014</v>
      </c>
      <c r="M1126" s="38" t="s">
        <v>557</v>
      </c>
    </row>
    <row r="1127" spans="1:14" x14ac:dyDescent="0.2">
      <c r="A1127" s="38" t="s">
        <v>557</v>
      </c>
      <c r="B1127" s="38">
        <v>150528</v>
      </c>
      <c r="C1127" s="55" t="s">
        <v>1807</v>
      </c>
      <c r="D1127" s="279">
        <v>100000</v>
      </c>
      <c r="F1127" s="40">
        <v>3.6499999999999998E-2</v>
      </c>
      <c r="G1127" s="41">
        <v>40000</v>
      </c>
      <c r="H1127" s="41">
        <v>40182</v>
      </c>
      <c r="I1127" s="39">
        <v>26</v>
      </c>
      <c r="J1127" s="45" t="s">
        <v>369</v>
      </c>
      <c r="K1127" s="39" t="s">
        <v>1716</v>
      </c>
      <c r="L1127" s="39" t="s">
        <v>1014</v>
      </c>
      <c r="M1127" s="38" t="s">
        <v>557</v>
      </c>
    </row>
    <row r="1128" spans="1:14" x14ac:dyDescent="0.2">
      <c r="A1128" s="38" t="s">
        <v>557</v>
      </c>
      <c r="B1128" s="38">
        <v>150496</v>
      </c>
      <c r="C1128" s="55" t="s">
        <v>1582</v>
      </c>
      <c r="D1128" s="279">
        <v>100000</v>
      </c>
      <c r="F1128" s="40">
        <v>4.4999999999999998E-2</v>
      </c>
      <c r="G1128" s="41">
        <v>39847</v>
      </c>
      <c r="H1128" s="41">
        <v>40577</v>
      </c>
      <c r="I1128" s="39">
        <v>2</v>
      </c>
      <c r="J1128" s="45" t="s">
        <v>1716</v>
      </c>
      <c r="K1128" s="39" t="s">
        <v>1716</v>
      </c>
      <c r="L1128" s="39" t="s">
        <v>1014</v>
      </c>
      <c r="M1128" s="38" t="s">
        <v>557</v>
      </c>
    </row>
    <row r="1129" spans="1:14" x14ac:dyDescent="0.2">
      <c r="A1129" s="38" t="s">
        <v>557</v>
      </c>
      <c r="B1129" s="38">
        <v>150450</v>
      </c>
      <c r="C1129" s="55" t="s">
        <v>1237</v>
      </c>
      <c r="D1129" s="279">
        <v>100000</v>
      </c>
      <c r="F1129" s="40">
        <v>4.1000000000000002E-2</v>
      </c>
      <c r="G1129" s="41">
        <v>39701</v>
      </c>
      <c r="H1129" s="41">
        <v>40065</v>
      </c>
      <c r="I1129" s="39">
        <v>52</v>
      </c>
      <c r="J1129" s="45" t="s">
        <v>369</v>
      </c>
      <c r="K1129" s="39" t="s">
        <v>1716</v>
      </c>
      <c r="L1129" s="39" t="s">
        <v>1014</v>
      </c>
      <c r="M1129" s="38" t="s">
        <v>557</v>
      </c>
    </row>
    <row r="1130" spans="1:14" x14ac:dyDescent="0.2">
      <c r="A1130" s="38" t="s">
        <v>557</v>
      </c>
      <c r="B1130" s="38">
        <v>100458</v>
      </c>
      <c r="C1130" s="55" t="s">
        <v>1236</v>
      </c>
      <c r="D1130" s="279">
        <v>100000</v>
      </c>
      <c r="F1130" s="40">
        <v>4.2000000000000003E-2</v>
      </c>
      <c r="G1130" s="41">
        <v>40025</v>
      </c>
      <c r="H1130" s="41">
        <v>40755</v>
      </c>
      <c r="I1130" s="39">
        <v>2</v>
      </c>
      <c r="J1130" s="45" t="s">
        <v>1716</v>
      </c>
      <c r="K1130" s="39" t="s">
        <v>1716</v>
      </c>
      <c r="L1130" s="39" t="s">
        <v>1014</v>
      </c>
      <c r="M1130" s="38" t="s">
        <v>557</v>
      </c>
    </row>
    <row r="1131" spans="1:14" s="108" customFormat="1" x14ac:dyDescent="0.2">
      <c r="A1131" s="237" t="s">
        <v>1512</v>
      </c>
      <c r="B1131" s="237">
        <v>9092</v>
      </c>
      <c r="C1131" s="238" t="s">
        <v>694</v>
      </c>
      <c r="D1131" s="580">
        <v>100000</v>
      </c>
      <c r="E1131" s="237"/>
      <c r="F1131" s="239">
        <v>5.0999999999999997E-2</v>
      </c>
      <c r="G1131" s="257">
        <v>40035</v>
      </c>
      <c r="H1131" s="257">
        <v>43687</v>
      </c>
      <c r="I1131" s="241">
        <v>10</v>
      </c>
      <c r="J1131" s="242" t="s">
        <v>1716</v>
      </c>
      <c r="K1131" s="241" t="s">
        <v>1716</v>
      </c>
      <c r="L1131" s="241" t="s">
        <v>1014</v>
      </c>
      <c r="M1131" s="237" t="str">
        <f>+A1131</f>
        <v>Obligation ordinaire</v>
      </c>
      <c r="N1131" s="237"/>
    </row>
    <row r="1132" spans="1:14" s="108" customFormat="1" x14ac:dyDescent="0.2">
      <c r="A1132" s="237" t="s">
        <v>1512</v>
      </c>
      <c r="B1132" s="237">
        <v>9093</v>
      </c>
      <c r="C1132" s="238" t="s">
        <v>1341</v>
      </c>
      <c r="D1132" s="580">
        <v>100000</v>
      </c>
      <c r="E1132" s="237"/>
      <c r="F1132" s="239">
        <v>4.5499999999999999E-2</v>
      </c>
      <c r="G1132" s="257">
        <v>40038</v>
      </c>
      <c r="H1132" s="257">
        <v>40403</v>
      </c>
      <c r="I1132" s="241">
        <v>52</v>
      </c>
      <c r="J1132" s="242" t="s">
        <v>369</v>
      </c>
      <c r="K1132" s="241" t="s">
        <v>1716</v>
      </c>
      <c r="L1132" s="241" t="s">
        <v>1014</v>
      </c>
      <c r="M1132" s="237" t="str">
        <f>+A1132</f>
        <v>Obligation ordinaire</v>
      </c>
      <c r="N1132" s="237"/>
    </row>
    <row r="1133" spans="1:14" x14ac:dyDescent="0.2">
      <c r="A1133" s="38" t="s">
        <v>557</v>
      </c>
      <c r="B1133" s="38">
        <v>150529</v>
      </c>
      <c r="C1133" s="55" t="s">
        <v>1908</v>
      </c>
      <c r="D1133" s="279">
        <v>100000</v>
      </c>
      <c r="F1133" s="40">
        <v>3.4000000000000002E-2</v>
      </c>
      <c r="G1133" s="41">
        <v>40063</v>
      </c>
      <c r="H1133" s="41">
        <v>40154</v>
      </c>
      <c r="I1133" s="39">
        <v>13</v>
      </c>
      <c r="J1133" s="45" t="s">
        <v>369</v>
      </c>
      <c r="K1133" s="39" t="s">
        <v>1716</v>
      </c>
      <c r="L1133" s="39" t="s">
        <v>1014</v>
      </c>
      <c r="M1133" s="38" t="s">
        <v>557</v>
      </c>
    </row>
    <row r="1134" spans="1:14" x14ac:dyDescent="0.2">
      <c r="A1134" s="38" t="s">
        <v>1069</v>
      </c>
      <c r="B1134" s="38">
        <v>15000</v>
      </c>
      <c r="C1134" s="55" t="s">
        <v>1068</v>
      </c>
      <c r="D1134" s="279">
        <v>1000</v>
      </c>
      <c r="F1134" s="40">
        <v>4.3999999999999997E-2</v>
      </c>
      <c r="G1134" s="41">
        <v>40066</v>
      </c>
      <c r="H1134" s="41">
        <v>41892</v>
      </c>
      <c r="I1134" s="39">
        <v>5</v>
      </c>
      <c r="J1134" s="45" t="s">
        <v>1716</v>
      </c>
      <c r="K1134" s="39" t="s">
        <v>1716</v>
      </c>
      <c r="L1134" s="39" t="s">
        <v>1014</v>
      </c>
      <c r="M1134" s="38" t="s">
        <v>1512</v>
      </c>
    </row>
    <row r="1135" spans="1:14" x14ac:dyDescent="0.2">
      <c r="A1135" s="38" t="s">
        <v>1015</v>
      </c>
      <c r="B1135" s="38">
        <v>100466</v>
      </c>
      <c r="C1135" s="55" t="s">
        <v>1702</v>
      </c>
      <c r="D1135" s="279">
        <v>100000</v>
      </c>
      <c r="F1135" s="40">
        <v>4.2000000000000003E-2</v>
      </c>
      <c r="G1135" s="41">
        <v>40073</v>
      </c>
      <c r="H1135" s="41">
        <v>40802</v>
      </c>
      <c r="I1135" s="39">
        <v>2</v>
      </c>
      <c r="J1135" s="45" t="s">
        <v>1716</v>
      </c>
      <c r="K1135" s="39" t="s">
        <v>1716</v>
      </c>
      <c r="L1135" s="39" t="s">
        <v>1014</v>
      </c>
      <c r="M1135" s="38" t="str">
        <f>M1125</f>
        <v>Bon de société de financement</v>
      </c>
    </row>
    <row r="1136" spans="1:14" x14ac:dyDescent="0.2">
      <c r="A1136" s="250" t="s">
        <v>1035</v>
      </c>
      <c r="B1136" s="38">
        <v>200920</v>
      </c>
      <c r="C1136" s="55" t="s">
        <v>540</v>
      </c>
      <c r="D1136" s="279">
        <v>100000</v>
      </c>
      <c r="F1136" s="40">
        <v>3.7999999999999999E-2</v>
      </c>
      <c r="G1136" s="41">
        <v>40013</v>
      </c>
      <c r="H1136" s="41">
        <v>40378</v>
      </c>
      <c r="I1136" s="39">
        <v>52</v>
      </c>
      <c r="J1136" s="45" t="s">
        <v>369</v>
      </c>
      <c r="K1136" s="39" t="s">
        <v>1716</v>
      </c>
      <c r="L1136" s="39" t="s">
        <v>1014</v>
      </c>
      <c r="M1136" s="38" t="str">
        <f t="shared" ref="M1136:M1141" si="30">A1136</f>
        <v>Bon du Trésor</v>
      </c>
    </row>
    <row r="1137" spans="1:13" x14ac:dyDescent="0.2">
      <c r="A1137" s="38" t="s">
        <v>1035</v>
      </c>
      <c r="B1137" s="38">
        <v>200939</v>
      </c>
      <c r="C1137" s="55" t="s">
        <v>462</v>
      </c>
      <c r="D1137" s="279">
        <v>100000</v>
      </c>
      <c r="F1137" s="40">
        <v>3.2899999999999999E-2</v>
      </c>
      <c r="G1137" s="41">
        <v>40007</v>
      </c>
      <c r="H1137" s="41">
        <v>40189</v>
      </c>
      <c r="I1137" s="39">
        <v>26</v>
      </c>
      <c r="J1137" s="45" t="s">
        <v>369</v>
      </c>
      <c r="K1137" s="39" t="s">
        <v>1716</v>
      </c>
      <c r="L1137" s="39" t="s">
        <v>1014</v>
      </c>
      <c r="M1137" s="38" t="str">
        <f t="shared" si="30"/>
        <v>Bon du Trésor</v>
      </c>
    </row>
    <row r="1138" spans="1:13" x14ac:dyDescent="0.2">
      <c r="A1138" s="38" t="s">
        <v>1035</v>
      </c>
      <c r="B1138" s="38">
        <v>200937</v>
      </c>
      <c r="C1138" s="55" t="s">
        <v>1032</v>
      </c>
      <c r="D1138" s="279">
        <v>100000</v>
      </c>
      <c r="F1138" s="40">
        <v>3.4000000000000002E-2</v>
      </c>
      <c r="G1138" s="41">
        <v>40041</v>
      </c>
      <c r="H1138" s="41">
        <v>40406</v>
      </c>
      <c r="I1138" s="39">
        <v>52</v>
      </c>
      <c r="J1138" s="45" t="s">
        <v>369</v>
      </c>
      <c r="K1138" s="39" t="s">
        <v>1716</v>
      </c>
      <c r="L1138" s="39" t="s">
        <v>1014</v>
      </c>
      <c r="M1138" s="38" t="str">
        <f t="shared" si="30"/>
        <v>Bon du Trésor</v>
      </c>
    </row>
    <row r="1139" spans="1:13" x14ac:dyDescent="0.2">
      <c r="A1139" s="38" t="s">
        <v>1035</v>
      </c>
      <c r="B1139" s="38">
        <v>200951</v>
      </c>
      <c r="C1139" s="55" t="s">
        <v>1091</v>
      </c>
      <c r="D1139" s="279">
        <v>100000</v>
      </c>
      <c r="F1139" s="40">
        <v>3.4000000000000002E-2</v>
      </c>
      <c r="G1139" s="41">
        <v>40069</v>
      </c>
      <c r="H1139" s="41">
        <v>40434</v>
      </c>
      <c r="I1139" s="39">
        <v>52</v>
      </c>
      <c r="J1139" s="45" t="s">
        <v>369</v>
      </c>
      <c r="K1139" s="39" t="s">
        <v>1716</v>
      </c>
      <c r="L1139" s="39" t="s">
        <v>1014</v>
      </c>
      <c r="M1139" s="38" t="str">
        <f t="shared" si="30"/>
        <v>Bon du Trésor</v>
      </c>
    </row>
    <row r="1140" spans="1:13" x14ac:dyDescent="0.2">
      <c r="A1140" s="38" t="s">
        <v>1035</v>
      </c>
      <c r="B1140" s="38">
        <v>200940</v>
      </c>
      <c r="C1140" s="55" t="s">
        <v>1594</v>
      </c>
      <c r="D1140" s="279">
        <v>100000</v>
      </c>
      <c r="F1140" s="40">
        <v>3.4000000000000002E-2</v>
      </c>
      <c r="G1140" s="41">
        <v>40090</v>
      </c>
      <c r="H1140" s="41">
        <v>40455</v>
      </c>
      <c r="I1140" s="39">
        <v>52</v>
      </c>
      <c r="J1140" s="45" t="s">
        <v>369</v>
      </c>
      <c r="K1140" s="39" t="s">
        <v>1716</v>
      </c>
      <c r="L1140" s="39" t="s">
        <v>1014</v>
      </c>
      <c r="M1140" s="38" t="str">
        <f t="shared" si="30"/>
        <v>Bon du Trésor</v>
      </c>
    </row>
    <row r="1141" spans="1:13" x14ac:dyDescent="0.2">
      <c r="A1141" s="38" t="s">
        <v>1035</v>
      </c>
      <c r="B1141" s="38">
        <v>200943</v>
      </c>
      <c r="C1141" s="55" t="s">
        <v>1763</v>
      </c>
      <c r="D1141" s="279">
        <v>100000</v>
      </c>
      <c r="F1141" s="40">
        <v>3.4000000000000002E-2</v>
      </c>
      <c r="G1141" s="41">
        <v>40132</v>
      </c>
      <c r="H1141" s="41">
        <v>40497</v>
      </c>
      <c r="I1141" s="39">
        <v>52</v>
      </c>
      <c r="J1141" s="45" t="s">
        <v>369</v>
      </c>
      <c r="K1141" s="39" t="s">
        <v>1716</v>
      </c>
      <c r="L1141" s="39" t="s">
        <v>1014</v>
      </c>
      <c r="M1141" s="38" t="str">
        <f t="shared" si="30"/>
        <v>Bon du Trésor</v>
      </c>
    </row>
    <row r="1142" spans="1:13" x14ac:dyDescent="0.2">
      <c r="A1142" s="38" t="s">
        <v>557</v>
      </c>
      <c r="B1142" s="38">
        <v>150510</v>
      </c>
      <c r="C1142" s="55" t="s">
        <v>29</v>
      </c>
      <c r="D1142" s="279">
        <v>100000</v>
      </c>
      <c r="F1142" s="40">
        <v>3.5499999999999997E-2</v>
      </c>
      <c r="G1142" s="41">
        <v>39931</v>
      </c>
      <c r="H1142" s="41">
        <v>40114</v>
      </c>
      <c r="I1142" s="39">
        <v>52</v>
      </c>
      <c r="J1142" s="45" t="s">
        <v>369</v>
      </c>
      <c r="K1142" s="39" t="s">
        <v>1716</v>
      </c>
      <c r="L1142" s="39" t="s">
        <v>1014</v>
      </c>
      <c r="M1142" s="38" t="str">
        <f>A1142</f>
        <v>Certificat de dépôt</v>
      </c>
    </row>
    <row r="1143" spans="1:13" x14ac:dyDescent="0.2">
      <c r="A1143" s="38" t="s">
        <v>1713</v>
      </c>
      <c r="B1143" s="38">
        <v>140235</v>
      </c>
      <c r="C1143" s="55" t="s">
        <v>1598</v>
      </c>
      <c r="D1143" s="279">
        <v>100000</v>
      </c>
      <c r="F1143" s="40">
        <v>4.24E-2</v>
      </c>
      <c r="G1143" s="41">
        <v>39839</v>
      </c>
      <c r="H1143" s="41">
        <v>40203</v>
      </c>
      <c r="I1143" s="39">
        <v>52</v>
      </c>
      <c r="J1143" s="45" t="s">
        <v>369</v>
      </c>
      <c r="K1143" s="39" t="s">
        <v>1716</v>
      </c>
      <c r="L1143" s="39" t="s">
        <v>1014</v>
      </c>
      <c r="M1143" s="38" t="s">
        <v>1713</v>
      </c>
    </row>
    <row r="1144" spans="1:13" x14ac:dyDescent="0.2">
      <c r="A1144" s="38" t="s">
        <v>557</v>
      </c>
      <c r="B1144" s="38">
        <v>150545</v>
      </c>
      <c r="C1144" s="55" t="s">
        <v>93</v>
      </c>
      <c r="D1144" s="279">
        <v>100000</v>
      </c>
      <c r="F1144" s="40">
        <v>3.5999999999999997E-2</v>
      </c>
      <c r="G1144" s="41">
        <v>40113</v>
      </c>
      <c r="H1144" s="41">
        <v>40295</v>
      </c>
      <c r="I1144" s="39">
        <v>26</v>
      </c>
      <c r="J1144" s="45" t="s">
        <v>369</v>
      </c>
      <c r="K1144" s="39" t="s">
        <v>1716</v>
      </c>
      <c r="L1144" s="39" t="s">
        <v>1014</v>
      </c>
      <c r="M1144" s="38" t="str">
        <f t="shared" ref="M1144:M1149" si="31">A1144</f>
        <v>Certificat de dépôt</v>
      </c>
    </row>
    <row r="1145" spans="1:13" x14ac:dyDescent="0.2">
      <c r="A1145" s="38" t="s">
        <v>1035</v>
      </c>
      <c r="B1145" s="38">
        <v>200956</v>
      </c>
      <c r="C1145" s="55" t="s">
        <v>88</v>
      </c>
      <c r="D1145" s="279">
        <v>100000</v>
      </c>
      <c r="F1145" s="40">
        <v>3.3500000000000002E-2</v>
      </c>
      <c r="G1145" s="41">
        <v>40112</v>
      </c>
      <c r="H1145" s="41">
        <v>40476</v>
      </c>
      <c r="I1145" s="39">
        <v>52</v>
      </c>
      <c r="J1145" s="45" t="s">
        <v>369</v>
      </c>
      <c r="K1145" s="39" t="s">
        <v>1716</v>
      </c>
      <c r="L1145" s="39" t="s">
        <v>1014</v>
      </c>
      <c r="M1145" s="38" t="str">
        <f t="shared" si="31"/>
        <v>Bon du Trésor</v>
      </c>
    </row>
    <row r="1146" spans="1:13" x14ac:dyDescent="0.2">
      <c r="A1146" s="38" t="s">
        <v>1035</v>
      </c>
      <c r="B1146" s="38">
        <v>200963</v>
      </c>
      <c r="C1146" s="55" t="s">
        <v>445</v>
      </c>
      <c r="D1146" s="279">
        <v>100000</v>
      </c>
      <c r="F1146" s="40">
        <v>3.7999999999999999E-2</v>
      </c>
      <c r="G1146" s="41">
        <v>40133</v>
      </c>
      <c r="H1146" s="41">
        <v>41959</v>
      </c>
      <c r="I1146" s="39">
        <v>5</v>
      </c>
      <c r="J1146" s="45" t="s">
        <v>1716</v>
      </c>
      <c r="K1146" s="39" t="s">
        <v>1716</v>
      </c>
      <c r="L1146" s="39" t="s">
        <v>1014</v>
      </c>
      <c r="M1146" s="38" t="str">
        <f t="shared" si="31"/>
        <v>Bon du Trésor</v>
      </c>
    </row>
    <row r="1147" spans="1:13" x14ac:dyDescent="0.2">
      <c r="A1147" s="38" t="s">
        <v>1035</v>
      </c>
      <c r="B1147" s="38">
        <v>200938</v>
      </c>
      <c r="C1147" s="55" t="s">
        <v>70</v>
      </c>
      <c r="D1147" s="279">
        <v>100000</v>
      </c>
      <c r="F1147" s="40">
        <v>3.3000000000000002E-2</v>
      </c>
      <c r="G1147" s="41">
        <v>40000</v>
      </c>
      <c r="H1147" s="41">
        <v>40182</v>
      </c>
      <c r="I1147" s="39">
        <v>26</v>
      </c>
      <c r="J1147" s="45" t="s">
        <v>369</v>
      </c>
      <c r="K1147" s="39" t="s">
        <v>1716</v>
      </c>
      <c r="L1147" s="39" t="s">
        <v>1014</v>
      </c>
      <c r="M1147" s="38" t="str">
        <f t="shared" si="31"/>
        <v>Bon du Trésor</v>
      </c>
    </row>
    <row r="1148" spans="1:13" x14ac:dyDescent="0.2">
      <c r="A1148" s="38" t="s">
        <v>557</v>
      </c>
      <c r="B1148" s="38">
        <v>150550</v>
      </c>
      <c r="C1148" s="55" t="s">
        <v>1290</v>
      </c>
      <c r="D1148" s="279">
        <v>100000</v>
      </c>
      <c r="F1148" s="40">
        <v>3.4500000000000003E-2</v>
      </c>
      <c r="G1148" s="41">
        <v>40144</v>
      </c>
      <c r="H1148" s="41">
        <v>40190</v>
      </c>
      <c r="I1148" s="39">
        <f>13</f>
        <v>13</v>
      </c>
      <c r="J1148" s="45" t="s">
        <v>369</v>
      </c>
      <c r="K1148" s="39" t="s">
        <v>1716</v>
      </c>
      <c r="L1148" s="39" t="s">
        <v>1014</v>
      </c>
      <c r="M1148" s="38" t="str">
        <f t="shared" si="31"/>
        <v>Certificat de dépôt</v>
      </c>
    </row>
    <row r="1149" spans="1:13" x14ac:dyDescent="0.2">
      <c r="A1149" s="38" t="s">
        <v>1035</v>
      </c>
      <c r="B1149" s="38">
        <v>200962</v>
      </c>
      <c r="C1149" s="55" t="s">
        <v>670</v>
      </c>
      <c r="D1149" s="279">
        <v>100000</v>
      </c>
      <c r="F1149" s="40">
        <v>3.4000000000000002E-2</v>
      </c>
      <c r="G1149" s="41">
        <v>40133</v>
      </c>
      <c r="H1149" s="41">
        <v>40504</v>
      </c>
      <c r="I1149" s="258">
        <v>1.02</v>
      </c>
      <c r="J1149" s="45" t="s">
        <v>1716</v>
      </c>
      <c r="K1149" s="39" t="s">
        <v>1716</v>
      </c>
      <c r="L1149" s="39" t="s">
        <v>1014</v>
      </c>
      <c r="M1149" s="38" t="str">
        <f t="shared" si="31"/>
        <v>Bon du Trésor</v>
      </c>
    </row>
    <row r="1150" spans="1:13" x14ac:dyDescent="0.2">
      <c r="A1150" s="38" t="s">
        <v>1035</v>
      </c>
      <c r="B1150" s="38">
        <v>200942</v>
      </c>
      <c r="C1150" s="55" t="s">
        <v>1031</v>
      </c>
      <c r="D1150" s="279">
        <v>100000</v>
      </c>
      <c r="F1150" s="40">
        <v>3.27E-2</v>
      </c>
      <c r="G1150" s="41">
        <v>40014</v>
      </c>
      <c r="H1150" s="41">
        <v>40196</v>
      </c>
      <c r="I1150" s="258">
        <v>26</v>
      </c>
      <c r="J1150" s="45" t="s">
        <v>369</v>
      </c>
      <c r="K1150" s="39" t="s">
        <v>1716</v>
      </c>
      <c r="L1150" s="39" t="s">
        <v>1014</v>
      </c>
      <c r="M1150" s="38" t="str">
        <f>A1150</f>
        <v>Bon du Trésor</v>
      </c>
    </row>
    <row r="1151" spans="1:13" x14ac:dyDescent="0.2">
      <c r="A1151" s="38" t="s">
        <v>557</v>
      </c>
      <c r="B1151" s="38">
        <v>150421</v>
      </c>
      <c r="C1151" s="55" t="s">
        <v>1445</v>
      </c>
      <c r="D1151" s="279">
        <v>100000</v>
      </c>
      <c r="F1151" s="40">
        <v>4.2000000000000003E-2</v>
      </c>
      <c r="G1151" s="41">
        <v>39567</v>
      </c>
      <c r="H1151" s="41">
        <v>40297</v>
      </c>
      <c r="I1151" s="39">
        <v>2</v>
      </c>
      <c r="J1151" s="45" t="s">
        <v>1716</v>
      </c>
      <c r="K1151" s="39" t="s">
        <v>1716</v>
      </c>
      <c r="L1151" s="39" t="s">
        <v>1014</v>
      </c>
      <c r="M1151" s="38" t="str">
        <f>A1151</f>
        <v>Certificat de dépôt</v>
      </c>
    </row>
    <row r="1152" spans="1:13" x14ac:dyDescent="0.2">
      <c r="A1152" s="38" t="s">
        <v>557</v>
      </c>
      <c r="B1152" s="38">
        <v>150423</v>
      </c>
      <c r="C1152" s="55" t="s">
        <v>1446</v>
      </c>
      <c r="D1152" s="279">
        <v>100000</v>
      </c>
      <c r="F1152" s="40">
        <v>4.2000000000000003E-2</v>
      </c>
      <c r="G1152" s="41">
        <v>39576</v>
      </c>
      <c r="H1152" s="41">
        <v>40306</v>
      </c>
      <c r="I1152" s="39">
        <v>2</v>
      </c>
      <c r="J1152" s="45" t="s">
        <v>1716</v>
      </c>
      <c r="K1152" s="39" t="s">
        <v>1716</v>
      </c>
      <c r="L1152" s="39" t="s">
        <v>1014</v>
      </c>
      <c r="M1152" s="38" t="str">
        <f>A1152</f>
        <v>Certificat de dépôt</v>
      </c>
    </row>
    <row r="1153" spans="1:14" x14ac:dyDescent="0.2">
      <c r="A1153" s="38" t="s">
        <v>557</v>
      </c>
      <c r="B1153" s="38">
        <v>150557</v>
      </c>
      <c r="C1153" s="55" t="s">
        <v>914</v>
      </c>
      <c r="D1153" s="279">
        <v>100000</v>
      </c>
      <c r="F1153" s="40">
        <v>0.05</v>
      </c>
      <c r="G1153" s="41">
        <v>41624</v>
      </c>
      <c r="H1153" s="41">
        <v>41989</v>
      </c>
      <c r="I1153" s="39">
        <v>52</v>
      </c>
      <c r="J1153" s="45" t="s">
        <v>369</v>
      </c>
      <c r="K1153" s="39" t="s">
        <v>1716</v>
      </c>
      <c r="L1153" s="39" t="s">
        <v>1014</v>
      </c>
      <c r="M1153" s="38" t="str">
        <f>A1153</f>
        <v>Certificat de dépôt</v>
      </c>
    </row>
    <row r="1154" spans="1:14" x14ac:dyDescent="0.2">
      <c r="A1154" s="38" t="s">
        <v>1713</v>
      </c>
      <c r="B1154" s="38">
        <v>140255</v>
      </c>
      <c r="C1154" s="55" t="s">
        <v>1121</v>
      </c>
      <c r="D1154" s="279">
        <v>100000</v>
      </c>
      <c r="F1154" s="40">
        <v>3.95E-2</v>
      </c>
      <c r="G1154" s="41">
        <v>40168</v>
      </c>
      <c r="H1154" s="41">
        <v>40532</v>
      </c>
      <c r="I1154" s="39">
        <v>52</v>
      </c>
      <c r="J1154" s="45" t="s">
        <v>1716</v>
      </c>
      <c r="K1154" s="39" t="s">
        <v>1716</v>
      </c>
      <c r="L1154" s="39" t="s">
        <v>1014</v>
      </c>
      <c r="M1154" s="38" t="s">
        <v>1713</v>
      </c>
    </row>
    <row r="1155" spans="1:14" x14ac:dyDescent="0.2">
      <c r="A1155" s="38" t="s">
        <v>1035</v>
      </c>
      <c r="B1155" s="38">
        <v>200957</v>
      </c>
      <c r="C1155" s="55" t="s">
        <v>147</v>
      </c>
      <c r="D1155" s="279">
        <v>100000</v>
      </c>
      <c r="F1155" s="40">
        <v>3.5000000000000003E-2</v>
      </c>
      <c r="G1155" s="41">
        <v>40119</v>
      </c>
      <c r="H1155" s="41">
        <v>40849</v>
      </c>
      <c r="I1155" s="258">
        <v>2</v>
      </c>
      <c r="J1155" s="45" t="s">
        <v>1716</v>
      </c>
      <c r="K1155" s="39" t="s">
        <v>1716</v>
      </c>
      <c r="L1155" s="39" t="s">
        <v>1014</v>
      </c>
      <c r="M1155" s="38" t="str">
        <f>A1155</f>
        <v>Bon du Trésor</v>
      </c>
    </row>
    <row r="1156" spans="1:14" x14ac:dyDescent="0.2">
      <c r="A1156" s="38" t="s">
        <v>1069</v>
      </c>
      <c r="B1156" s="38">
        <v>9097</v>
      </c>
      <c r="C1156" s="55" t="s">
        <v>1167</v>
      </c>
      <c r="D1156" s="279">
        <v>100000</v>
      </c>
      <c r="F1156" s="40">
        <v>4.7600000000000003E-2</v>
      </c>
      <c r="G1156" s="41">
        <v>40176</v>
      </c>
      <c r="H1156" s="41">
        <v>42733</v>
      </c>
      <c r="I1156" s="258">
        <v>7</v>
      </c>
      <c r="J1156" s="45" t="s">
        <v>1716</v>
      </c>
      <c r="K1156" s="39" t="s">
        <v>1716</v>
      </c>
      <c r="L1156" s="39" t="s">
        <v>1014</v>
      </c>
      <c r="M1156" s="38" t="str">
        <f>A1156</f>
        <v>obligation ordinaire</v>
      </c>
    </row>
    <row r="1157" spans="1:14" s="263" customFormat="1" x14ac:dyDescent="0.2">
      <c r="A1157" s="259" t="s">
        <v>1069</v>
      </c>
      <c r="B1157" s="259">
        <v>9098</v>
      </c>
      <c r="C1157" s="326" t="s">
        <v>1776</v>
      </c>
      <c r="D1157" s="582">
        <v>100000</v>
      </c>
      <c r="E1157" s="259"/>
      <c r="F1157" s="260">
        <v>4.0500000000000001E-2</v>
      </c>
      <c r="G1157" s="261">
        <v>40176</v>
      </c>
      <c r="H1157" s="261">
        <v>42733</v>
      </c>
      <c r="I1157" s="327">
        <v>7</v>
      </c>
      <c r="J1157" s="328" t="s">
        <v>1716</v>
      </c>
      <c r="K1157" s="262" t="s">
        <v>1716</v>
      </c>
      <c r="L1157" s="262" t="s">
        <v>1014</v>
      </c>
      <c r="M1157" s="259" t="str">
        <f>A1157</f>
        <v>obligation ordinaire</v>
      </c>
      <c r="N1157" s="259"/>
    </row>
    <row r="1158" spans="1:14" x14ac:dyDescent="0.2">
      <c r="A1158" s="38" t="s">
        <v>557</v>
      </c>
      <c r="B1158" s="38">
        <v>150559</v>
      </c>
      <c r="C1158" s="55" t="s">
        <v>1168</v>
      </c>
      <c r="D1158" s="279">
        <v>100000</v>
      </c>
      <c r="F1158" s="40">
        <v>3.6999999999999998E-2</v>
      </c>
      <c r="G1158" s="41">
        <v>40177</v>
      </c>
      <c r="H1158" s="41">
        <v>40269</v>
      </c>
      <c r="I1158" s="39">
        <v>13</v>
      </c>
      <c r="J1158" s="45" t="s">
        <v>369</v>
      </c>
      <c r="K1158" s="39" t="s">
        <v>1716</v>
      </c>
      <c r="L1158" s="39" t="s">
        <v>1014</v>
      </c>
      <c r="M1158" s="38" t="str">
        <f>A1158</f>
        <v>Certificat de dépôt</v>
      </c>
    </row>
    <row r="1159" spans="1:14" x14ac:dyDescent="0.2">
      <c r="A1159" s="38" t="s">
        <v>557</v>
      </c>
      <c r="B1159" s="38">
        <v>100476</v>
      </c>
      <c r="C1159" s="55" t="s">
        <v>434</v>
      </c>
      <c r="D1159" s="279">
        <v>100000</v>
      </c>
      <c r="F1159" s="40">
        <v>4.2500000000000003E-2</v>
      </c>
      <c r="G1159" s="41">
        <v>40177</v>
      </c>
      <c r="H1159" s="41">
        <v>40907</v>
      </c>
      <c r="I1159" s="39">
        <v>2</v>
      </c>
      <c r="J1159" s="45" t="s">
        <v>1716</v>
      </c>
      <c r="K1159" s="39" t="s">
        <v>1716</v>
      </c>
      <c r="L1159" s="39" t="s">
        <v>1014</v>
      </c>
      <c r="M1159" s="38" t="str">
        <f>A1159</f>
        <v>Certificat de dépôt</v>
      </c>
    </row>
    <row r="1160" spans="1:14" x14ac:dyDescent="0.2">
      <c r="A1160" s="38" t="s">
        <v>557</v>
      </c>
      <c r="B1160" s="38">
        <v>150495</v>
      </c>
      <c r="C1160" s="55" t="s">
        <v>1296</v>
      </c>
      <c r="D1160" s="279">
        <v>100000</v>
      </c>
      <c r="F1160" s="40">
        <v>4.3499999999999997E-2</v>
      </c>
      <c r="G1160" s="41">
        <v>39847</v>
      </c>
      <c r="H1160" s="41">
        <v>40211</v>
      </c>
      <c r="I1160" s="39">
        <v>52</v>
      </c>
      <c r="J1160" s="45" t="s">
        <v>369</v>
      </c>
      <c r="K1160" s="39" t="s">
        <v>1716</v>
      </c>
      <c r="L1160" s="39" t="s">
        <v>1014</v>
      </c>
      <c r="M1160" s="38" t="s">
        <v>557</v>
      </c>
    </row>
    <row r="1161" spans="1:14" x14ac:dyDescent="0.2">
      <c r="A1161" s="38" t="s">
        <v>557</v>
      </c>
      <c r="B1161" s="38">
        <v>150491</v>
      </c>
      <c r="C1161" s="55" t="s">
        <v>123</v>
      </c>
      <c r="D1161" s="279">
        <v>100000</v>
      </c>
      <c r="F1161" s="40">
        <v>4.2000000000000003E-2</v>
      </c>
      <c r="G1161" s="41">
        <v>39843</v>
      </c>
      <c r="H1161" s="41">
        <v>40207</v>
      </c>
      <c r="I1161" s="39">
        <v>52</v>
      </c>
      <c r="J1161" s="45" t="s">
        <v>369</v>
      </c>
      <c r="K1161" s="39" t="s">
        <v>1716</v>
      </c>
      <c r="L1161" s="39" t="s">
        <v>1014</v>
      </c>
      <c r="M1161" s="38" t="s">
        <v>557</v>
      </c>
    </row>
    <row r="1162" spans="1:14" x14ac:dyDescent="0.2">
      <c r="A1162" s="38" t="s">
        <v>557</v>
      </c>
      <c r="B1162" s="38">
        <v>150561</v>
      </c>
      <c r="C1162" s="55" t="s">
        <v>1248</v>
      </c>
      <c r="D1162" s="279">
        <v>100000</v>
      </c>
      <c r="F1162" s="40">
        <v>3.6999999999999998E-2</v>
      </c>
      <c r="G1162" s="41">
        <v>40182</v>
      </c>
      <c r="H1162" s="41">
        <v>40282</v>
      </c>
      <c r="I1162" s="39">
        <v>13</v>
      </c>
      <c r="J1162" s="45" t="s">
        <v>369</v>
      </c>
      <c r="K1162" s="39" t="s">
        <v>1716</v>
      </c>
      <c r="L1162" s="39" t="s">
        <v>1014</v>
      </c>
      <c r="M1162" s="38" t="s">
        <v>557</v>
      </c>
    </row>
    <row r="1163" spans="1:14" x14ac:dyDescent="0.2">
      <c r="A1163" s="38" t="s">
        <v>557</v>
      </c>
      <c r="B1163" s="38">
        <v>150568</v>
      </c>
      <c r="C1163" s="55" t="s">
        <v>769</v>
      </c>
      <c r="D1163" s="279">
        <v>100000</v>
      </c>
      <c r="F1163" s="40">
        <v>0.04</v>
      </c>
      <c r="G1163" s="41">
        <v>40191</v>
      </c>
      <c r="H1163" s="41">
        <v>40616</v>
      </c>
      <c r="I1163" s="39">
        <v>52</v>
      </c>
      <c r="J1163" s="45" t="s">
        <v>369</v>
      </c>
      <c r="K1163" s="39" t="s">
        <v>1716</v>
      </c>
      <c r="L1163" s="39" t="s">
        <v>1014</v>
      </c>
      <c r="M1163" s="38" t="s">
        <v>557</v>
      </c>
    </row>
    <row r="1164" spans="1:14" x14ac:dyDescent="0.2">
      <c r="A1164" s="38" t="s">
        <v>1035</v>
      </c>
      <c r="B1164" s="38">
        <v>200889</v>
      </c>
      <c r="C1164" s="55" t="s">
        <v>521</v>
      </c>
      <c r="D1164" s="279">
        <v>100000</v>
      </c>
      <c r="F1164" s="40">
        <v>3.9E-2</v>
      </c>
      <c r="G1164" s="41">
        <v>39762</v>
      </c>
      <c r="H1164" s="41">
        <v>40225</v>
      </c>
      <c r="I1164" s="258">
        <v>52</v>
      </c>
      <c r="J1164" s="45" t="s">
        <v>369</v>
      </c>
      <c r="K1164" s="39" t="s">
        <v>1716</v>
      </c>
      <c r="L1164" s="39" t="s">
        <v>1014</v>
      </c>
      <c r="M1164" s="38" t="str">
        <f>A1164</f>
        <v>Bon du Trésor</v>
      </c>
    </row>
    <row r="1165" spans="1:14" x14ac:dyDescent="0.2">
      <c r="A1165" s="38" t="s">
        <v>1035</v>
      </c>
      <c r="B1165" s="38">
        <v>200967</v>
      </c>
      <c r="C1165" s="55" t="s">
        <v>468</v>
      </c>
      <c r="D1165" s="279">
        <v>100000</v>
      </c>
      <c r="F1165" s="40">
        <v>3.5000000000000003E-2</v>
      </c>
      <c r="G1165" s="41">
        <v>40284</v>
      </c>
      <c r="H1165" s="41">
        <v>41015</v>
      </c>
      <c r="I1165" s="258">
        <v>2</v>
      </c>
      <c r="J1165" s="45" t="s">
        <v>1716</v>
      </c>
      <c r="K1165" s="39" t="s">
        <v>1716</v>
      </c>
      <c r="L1165" s="39" t="s">
        <v>1014</v>
      </c>
      <c r="M1165" s="38" t="str">
        <f>A1165</f>
        <v>Bon du Trésor</v>
      </c>
    </row>
    <row r="1166" spans="1:14" x14ac:dyDescent="0.2">
      <c r="A1166" s="38" t="s">
        <v>1035</v>
      </c>
      <c r="B1166" s="38">
        <v>200968</v>
      </c>
      <c r="C1166" s="55" t="s">
        <v>307</v>
      </c>
      <c r="D1166" s="279">
        <v>100000</v>
      </c>
      <c r="F1166" s="40">
        <v>3.4500000000000003E-2</v>
      </c>
      <c r="G1166" s="41">
        <v>40314</v>
      </c>
      <c r="H1166" s="41">
        <v>40679</v>
      </c>
      <c r="I1166" s="258">
        <v>52</v>
      </c>
      <c r="J1166" s="45" t="s">
        <v>369</v>
      </c>
      <c r="K1166" s="39" t="s">
        <v>1716</v>
      </c>
      <c r="L1166" s="39" t="s">
        <v>1014</v>
      </c>
      <c r="M1166" s="38" t="str">
        <f>A1166</f>
        <v>Bon du Trésor</v>
      </c>
    </row>
    <row r="1167" spans="1:14" x14ac:dyDescent="0.2">
      <c r="A1167" s="38" t="s">
        <v>1015</v>
      </c>
      <c r="B1167" s="38">
        <v>100479</v>
      </c>
      <c r="C1167" s="55" t="s">
        <v>630</v>
      </c>
      <c r="D1167" s="279">
        <v>100000</v>
      </c>
      <c r="F1167" s="40">
        <v>4.4499999999999998E-2</v>
      </c>
      <c r="G1167" s="41">
        <v>40198</v>
      </c>
      <c r="H1167" s="41">
        <v>41292</v>
      </c>
      <c r="I1167" s="39">
        <v>3</v>
      </c>
      <c r="J1167" s="45" t="s">
        <v>1716</v>
      </c>
      <c r="K1167" s="39" t="s">
        <v>1716</v>
      </c>
      <c r="L1167" s="39" t="s">
        <v>1014</v>
      </c>
      <c r="M1167" s="38" t="str">
        <f>M1135</f>
        <v>Bon de société de financement</v>
      </c>
      <c r="N1167" s="38" t="s">
        <v>631</v>
      </c>
    </row>
    <row r="1168" spans="1:14" x14ac:dyDescent="0.2">
      <c r="A1168" s="38" t="s">
        <v>1035</v>
      </c>
      <c r="B1168" s="38">
        <v>200976</v>
      </c>
      <c r="C1168" s="55" t="s">
        <v>130</v>
      </c>
      <c r="D1168" s="279">
        <v>100000</v>
      </c>
      <c r="F1168" s="40">
        <v>3.4500000000000003E-2</v>
      </c>
      <c r="G1168" s="41">
        <v>40203</v>
      </c>
      <c r="H1168" s="41">
        <v>40294</v>
      </c>
      <c r="I1168" s="258">
        <v>13</v>
      </c>
      <c r="J1168" s="45" t="s">
        <v>369</v>
      </c>
      <c r="K1168" s="39" t="s">
        <v>1716</v>
      </c>
      <c r="L1168" s="39" t="s">
        <v>1014</v>
      </c>
      <c r="M1168" s="38" t="str">
        <f>A1168</f>
        <v>Bon du Trésor</v>
      </c>
    </row>
    <row r="1169" spans="1:13" x14ac:dyDescent="0.2">
      <c r="A1169" s="38" t="s">
        <v>1035</v>
      </c>
      <c r="B1169" s="38">
        <v>200947</v>
      </c>
      <c r="C1169" s="55" t="s">
        <v>752</v>
      </c>
      <c r="D1169" s="279">
        <v>100000</v>
      </c>
      <c r="F1169" s="40">
        <v>3.27E-2</v>
      </c>
      <c r="G1169" s="41">
        <v>40042</v>
      </c>
      <c r="H1169" s="41">
        <v>40224</v>
      </c>
      <c r="I1169" s="258">
        <v>26</v>
      </c>
      <c r="J1169" s="45" t="s">
        <v>369</v>
      </c>
      <c r="K1169" s="39" t="s">
        <v>1716</v>
      </c>
      <c r="L1169" s="39" t="s">
        <v>1014</v>
      </c>
      <c r="M1169" s="38" t="str">
        <f>A1169</f>
        <v>Bon du Trésor</v>
      </c>
    </row>
    <row r="1170" spans="1:13" x14ac:dyDescent="0.2">
      <c r="A1170" s="38" t="s">
        <v>1035</v>
      </c>
      <c r="B1170" s="38">
        <v>200970</v>
      </c>
      <c r="C1170" s="55" t="s">
        <v>733</v>
      </c>
      <c r="D1170" s="279">
        <v>100000</v>
      </c>
      <c r="F1170" s="40">
        <v>3.3599999999999998E-2</v>
      </c>
      <c r="G1170" s="41">
        <v>40196</v>
      </c>
      <c r="H1170" s="41">
        <v>40217</v>
      </c>
      <c r="I1170" s="258">
        <v>13</v>
      </c>
      <c r="J1170" s="45" t="s">
        <v>369</v>
      </c>
      <c r="K1170" s="39" t="s">
        <v>1716</v>
      </c>
      <c r="L1170" s="39" t="s">
        <v>1014</v>
      </c>
      <c r="M1170" s="38" t="str">
        <f>A1170</f>
        <v>Bon du Trésor</v>
      </c>
    </row>
    <row r="1171" spans="1:13" x14ac:dyDescent="0.2">
      <c r="A1171" s="38" t="s">
        <v>1035</v>
      </c>
      <c r="B1171" s="38">
        <v>200985</v>
      </c>
      <c r="C1171" s="55" t="s">
        <v>432</v>
      </c>
      <c r="D1171" s="279">
        <v>100000</v>
      </c>
      <c r="F1171" s="40">
        <v>3.5999999999999997E-2</v>
      </c>
      <c r="G1171" s="41">
        <v>40217</v>
      </c>
      <c r="H1171" s="41">
        <v>40399</v>
      </c>
      <c r="I1171" s="258">
        <v>26</v>
      </c>
      <c r="J1171" s="45" t="s">
        <v>369</v>
      </c>
      <c r="K1171" s="39" t="s">
        <v>1716</v>
      </c>
      <c r="L1171" s="39" t="s">
        <v>1014</v>
      </c>
      <c r="M1171" s="38" t="str">
        <f>A1171</f>
        <v>Bon du Trésor</v>
      </c>
    </row>
    <row r="1172" spans="1:13" x14ac:dyDescent="0.2">
      <c r="A1172" s="38" t="s">
        <v>1035</v>
      </c>
      <c r="B1172" s="38">
        <v>200986</v>
      </c>
      <c r="C1172" s="55" t="s">
        <v>1292</v>
      </c>
      <c r="D1172" s="279">
        <v>100000</v>
      </c>
      <c r="F1172" s="40">
        <v>3.9E-2</v>
      </c>
      <c r="G1172" s="41">
        <v>40224</v>
      </c>
      <c r="H1172" s="41">
        <v>42050</v>
      </c>
      <c r="I1172" s="258">
        <v>5</v>
      </c>
      <c r="J1172" s="45" t="s">
        <v>1716</v>
      </c>
      <c r="K1172" s="39" t="s">
        <v>1716</v>
      </c>
      <c r="L1172" s="39" t="s">
        <v>1014</v>
      </c>
      <c r="M1172" s="38" t="str">
        <f>A1172</f>
        <v>Bon du Trésor</v>
      </c>
    </row>
    <row r="1173" spans="1:13" x14ac:dyDescent="0.2">
      <c r="A1173" s="38" t="s">
        <v>557</v>
      </c>
      <c r="B1173" s="38">
        <v>150582</v>
      </c>
      <c r="C1173" s="55" t="s">
        <v>1207</v>
      </c>
      <c r="D1173" s="279">
        <v>100000</v>
      </c>
      <c r="F1173" s="40">
        <v>4.2200000000000001E-2</v>
      </c>
      <c r="G1173" s="41">
        <v>40239</v>
      </c>
      <c r="H1173" s="41">
        <v>40665</v>
      </c>
      <c r="I1173" s="258">
        <v>5</v>
      </c>
      <c r="J1173" s="45" t="s">
        <v>1716</v>
      </c>
      <c r="K1173" s="39" t="s">
        <v>1716</v>
      </c>
      <c r="L1173" s="39" t="s">
        <v>1014</v>
      </c>
      <c r="M1173" s="38" t="s">
        <v>557</v>
      </c>
    </row>
    <row r="1174" spans="1:13" x14ac:dyDescent="0.2">
      <c r="A1174" s="38" t="s">
        <v>557</v>
      </c>
      <c r="B1174" s="38">
        <v>150583</v>
      </c>
      <c r="C1174" s="55" t="s">
        <v>986</v>
      </c>
      <c r="D1174" s="279">
        <v>100000</v>
      </c>
      <c r="F1174" s="40">
        <v>4.2500000000000003E-2</v>
      </c>
      <c r="G1174" s="41">
        <v>40239</v>
      </c>
      <c r="H1174" s="41">
        <v>40696</v>
      </c>
      <c r="I1174" s="258">
        <v>5</v>
      </c>
      <c r="J1174" s="45" t="s">
        <v>1716</v>
      </c>
      <c r="K1174" s="39" t="s">
        <v>1716</v>
      </c>
      <c r="L1174" s="39" t="s">
        <v>1014</v>
      </c>
      <c r="M1174" s="38" t="s">
        <v>557</v>
      </c>
    </row>
    <row r="1175" spans="1:13" x14ac:dyDescent="0.2">
      <c r="A1175" s="38" t="s">
        <v>557</v>
      </c>
      <c r="B1175" s="38">
        <v>150584</v>
      </c>
      <c r="C1175" s="55" t="s">
        <v>1222</v>
      </c>
      <c r="D1175" s="279">
        <v>100000</v>
      </c>
      <c r="F1175" s="40">
        <v>4.2700000000000002E-2</v>
      </c>
      <c r="G1175" s="41">
        <v>40239</v>
      </c>
      <c r="H1175" s="41">
        <v>40726</v>
      </c>
      <c r="I1175" s="258">
        <v>5</v>
      </c>
      <c r="J1175" s="45" t="s">
        <v>1716</v>
      </c>
      <c r="K1175" s="39" t="s">
        <v>1716</v>
      </c>
      <c r="L1175" s="39" t="s">
        <v>1014</v>
      </c>
      <c r="M1175" s="38" t="s">
        <v>557</v>
      </c>
    </row>
    <row r="1176" spans="1:13" x14ac:dyDescent="0.2">
      <c r="A1176" s="38" t="s">
        <v>557</v>
      </c>
      <c r="B1176" s="38">
        <v>150585</v>
      </c>
      <c r="C1176" s="55" t="s">
        <v>1223</v>
      </c>
      <c r="D1176" s="279">
        <v>100000</v>
      </c>
      <c r="F1176" s="40">
        <v>4.3499999999999997E-2</v>
      </c>
      <c r="G1176" s="41">
        <v>40239</v>
      </c>
      <c r="H1176" s="41">
        <v>40970</v>
      </c>
      <c r="I1176" s="258">
        <v>2</v>
      </c>
      <c r="J1176" s="45" t="s">
        <v>1716</v>
      </c>
      <c r="K1176" s="39" t="s">
        <v>1716</v>
      </c>
      <c r="L1176" s="39" t="s">
        <v>1014</v>
      </c>
      <c r="M1176" s="38" t="s">
        <v>557</v>
      </c>
    </row>
    <row r="1177" spans="1:13" x14ac:dyDescent="0.2">
      <c r="A1177" s="38" t="s">
        <v>224</v>
      </c>
      <c r="B1177" s="38">
        <v>9100</v>
      </c>
      <c r="C1177" s="55" t="s">
        <v>764</v>
      </c>
      <c r="D1177" s="279">
        <v>1000</v>
      </c>
      <c r="F1177" s="40">
        <v>5.3999999999999999E-2</v>
      </c>
      <c r="G1177" s="41">
        <v>40242</v>
      </c>
      <c r="H1177" s="41">
        <v>42068</v>
      </c>
      <c r="I1177" s="258">
        <v>5</v>
      </c>
      <c r="J1177" s="45" t="s">
        <v>1716</v>
      </c>
      <c r="K1177" s="39" t="s">
        <v>1716</v>
      </c>
      <c r="L1177" s="39" t="s">
        <v>1014</v>
      </c>
      <c r="M1177" s="38" t="s">
        <v>224</v>
      </c>
    </row>
    <row r="1178" spans="1:13" x14ac:dyDescent="0.2">
      <c r="A1178" s="38" t="s">
        <v>1035</v>
      </c>
      <c r="B1178" s="38">
        <v>200992</v>
      </c>
      <c r="C1178" s="55" t="s">
        <v>586</v>
      </c>
      <c r="D1178" s="279">
        <v>100000</v>
      </c>
      <c r="F1178" s="40">
        <v>3.5499999999999997E-2</v>
      </c>
      <c r="G1178" s="41">
        <v>40363</v>
      </c>
      <c r="H1178" s="41">
        <v>40728</v>
      </c>
      <c r="I1178" s="258">
        <v>52</v>
      </c>
      <c r="J1178" s="45" t="s">
        <v>369</v>
      </c>
      <c r="K1178" s="39" t="s">
        <v>1716</v>
      </c>
      <c r="L1178" s="39" t="s">
        <v>1014</v>
      </c>
      <c r="M1178" s="38" t="str">
        <f>A1178</f>
        <v>Bon du Trésor</v>
      </c>
    </row>
    <row r="1179" spans="1:13" x14ac:dyDescent="0.2">
      <c r="A1179" s="38" t="s">
        <v>1035</v>
      </c>
      <c r="B1179" s="38">
        <v>200977</v>
      </c>
      <c r="C1179" s="55" t="s">
        <v>33</v>
      </c>
      <c r="D1179" s="279">
        <v>100000</v>
      </c>
      <c r="F1179" s="40">
        <v>3.4500000000000003E-2</v>
      </c>
      <c r="G1179" s="41">
        <v>40210</v>
      </c>
      <c r="H1179" s="41">
        <v>40301</v>
      </c>
      <c r="I1179" s="258">
        <v>13</v>
      </c>
      <c r="J1179" s="45" t="s">
        <v>369</v>
      </c>
      <c r="K1179" s="39" t="s">
        <v>1716</v>
      </c>
      <c r="L1179" s="39" t="s">
        <v>1014</v>
      </c>
      <c r="M1179" s="38" t="s">
        <v>1035</v>
      </c>
    </row>
    <row r="1180" spans="1:13" x14ac:dyDescent="0.2">
      <c r="A1180" s="38" t="s">
        <v>1035</v>
      </c>
      <c r="B1180" s="38">
        <v>200994</v>
      </c>
      <c r="C1180" s="55" t="s">
        <v>1696</v>
      </c>
      <c r="D1180" s="279">
        <v>100000</v>
      </c>
      <c r="F1180" s="40">
        <v>3.95E-2</v>
      </c>
      <c r="G1180" s="41">
        <v>40252</v>
      </c>
      <c r="H1180" s="41">
        <v>42078</v>
      </c>
      <c r="I1180" s="258">
        <v>5</v>
      </c>
      <c r="J1180" s="45" t="s">
        <v>1716</v>
      </c>
      <c r="K1180" s="39" t="s">
        <v>1716</v>
      </c>
      <c r="L1180" s="39" t="s">
        <v>1014</v>
      </c>
      <c r="M1180" s="38" t="s">
        <v>1035</v>
      </c>
    </row>
    <row r="1181" spans="1:13" x14ac:dyDescent="0.2">
      <c r="A1181" s="38" t="s">
        <v>1035</v>
      </c>
      <c r="B1181" s="38">
        <v>200953</v>
      </c>
      <c r="C1181" s="55" t="s">
        <v>1570</v>
      </c>
      <c r="D1181" s="279">
        <v>100000</v>
      </c>
      <c r="F1181" s="40">
        <v>3.2599999999999997E-2</v>
      </c>
      <c r="G1181" s="41">
        <v>40098</v>
      </c>
      <c r="H1181" s="41">
        <v>40280</v>
      </c>
      <c r="I1181" s="258">
        <v>26</v>
      </c>
      <c r="J1181" s="45" t="s">
        <v>369</v>
      </c>
      <c r="K1181" s="39" t="s">
        <v>1716</v>
      </c>
      <c r="L1181" s="39" t="s">
        <v>1014</v>
      </c>
      <c r="M1181" s="38" t="s">
        <v>1035</v>
      </c>
    </row>
    <row r="1182" spans="1:13" x14ac:dyDescent="0.2">
      <c r="A1182" s="38" t="s">
        <v>557</v>
      </c>
      <c r="B1182" s="38">
        <v>150563</v>
      </c>
      <c r="C1182" s="55" t="s">
        <v>638</v>
      </c>
      <c r="D1182" s="279">
        <v>100000</v>
      </c>
      <c r="F1182" s="40">
        <v>3.6999999999999998E-2</v>
      </c>
      <c r="G1182" s="41">
        <v>40182</v>
      </c>
      <c r="H1182" s="41">
        <v>40277</v>
      </c>
      <c r="I1182" s="258">
        <v>13</v>
      </c>
      <c r="J1182" s="45" t="s">
        <v>369</v>
      </c>
      <c r="K1182" s="39" t="s">
        <v>1716</v>
      </c>
      <c r="L1182" s="39" t="s">
        <v>1014</v>
      </c>
      <c r="M1182" s="38" t="s">
        <v>557</v>
      </c>
    </row>
    <row r="1183" spans="1:13" x14ac:dyDescent="0.2">
      <c r="A1183" s="38" t="s">
        <v>557</v>
      </c>
      <c r="B1183" s="38">
        <v>150594</v>
      </c>
      <c r="C1183" s="55" t="s">
        <v>1402</v>
      </c>
      <c r="D1183" s="279">
        <v>100000</v>
      </c>
      <c r="F1183" s="40">
        <v>4.2799999999999998E-2</v>
      </c>
      <c r="G1183" s="41">
        <v>41722</v>
      </c>
      <c r="H1183" s="41">
        <v>42087</v>
      </c>
      <c r="I1183" s="258">
        <v>52</v>
      </c>
      <c r="J1183" s="45" t="s">
        <v>369</v>
      </c>
      <c r="K1183" s="39" t="s">
        <v>1716</v>
      </c>
      <c r="L1183" s="39" t="s">
        <v>1014</v>
      </c>
      <c r="M1183" s="38" t="s">
        <v>557</v>
      </c>
    </row>
    <row r="1184" spans="1:13" x14ac:dyDescent="0.2">
      <c r="A1184" s="38" t="s">
        <v>1035</v>
      </c>
      <c r="B1184" s="38">
        <v>200995</v>
      </c>
      <c r="C1184" s="55" t="s">
        <v>1100</v>
      </c>
      <c r="D1184" s="279">
        <v>100000</v>
      </c>
      <c r="F1184" s="40">
        <v>3.6499999999999998E-2</v>
      </c>
      <c r="G1184" s="41">
        <v>40377</v>
      </c>
      <c r="H1184" s="41">
        <v>40742</v>
      </c>
      <c r="I1184" s="258">
        <v>52</v>
      </c>
      <c r="J1184" s="45" t="s">
        <v>369</v>
      </c>
      <c r="K1184" s="39" t="s">
        <v>1716</v>
      </c>
      <c r="L1184" s="39" t="s">
        <v>1014</v>
      </c>
      <c r="M1184" s="38" t="s">
        <v>1035</v>
      </c>
    </row>
    <row r="1185" spans="1:13" x14ac:dyDescent="0.2">
      <c r="A1185" s="38" t="s">
        <v>1035</v>
      </c>
      <c r="B1185" s="38">
        <v>200966</v>
      </c>
      <c r="C1185" s="55" t="s">
        <v>615</v>
      </c>
      <c r="D1185" s="279">
        <v>100000</v>
      </c>
      <c r="F1185" s="40">
        <v>3.4000000000000002E-2</v>
      </c>
      <c r="G1185" s="41">
        <v>40153</v>
      </c>
      <c r="H1185" s="41">
        <v>40518</v>
      </c>
      <c r="I1185" s="258">
        <v>52</v>
      </c>
      <c r="J1185" s="45" t="s">
        <v>369</v>
      </c>
      <c r="K1185" s="39" t="s">
        <v>1716</v>
      </c>
      <c r="L1185" s="39" t="s">
        <v>1014</v>
      </c>
      <c r="M1185" s="38" t="s">
        <v>1035</v>
      </c>
    </row>
    <row r="1186" spans="1:13" x14ac:dyDescent="0.2">
      <c r="A1186" s="38" t="s">
        <v>1035</v>
      </c>
      <c r="B1186" s="38">
        <v>200988</v>
      </c>
      <c r="C1186" s="55" t="s">
        <v>1460</v>
      </c>
      <c r="D1186" s="279">
        <v>100000</v>
      </c>
      <c r="F1186" s="40">
        <v>3.5499999999999997E-2</v>
      </c>
      <c r="G1186" s="41">
        <v>40335</v>
      </c>
      <c r="H1186" s="41">
        <v>40700</v>
      </c>
      <c r="I1186" s="258">
        <v>52</v>
      </c>
      <c r="J1186" s="45" t="s">
        <v>369</v>
      </c>
      <c r="K1186" s="39" t="s">
        <v>1716</v>
      </c>
      <c r="L1186" s="39" t="s">
        <v>1014</v>
      </c>
      <c r="M1186" s="38" t="s">
        <v>1035</v>
      </c>
    </row>
    <row r="1187" spans="1:13" x14ac:dyDescent="0.2">
      <c r="A1187" s="38" t="s">
        <v>557</v>
      </c>
      <c r="B1187" s="38">
        <v>150600</v>
      </c>
      <c r="C1187" s="55" t="s">
        <v>1461</v>
      </c>
      <c r="D1187" s="279">
        <v>100000</v>
      </c>
      <c r="F1187" s="40">
        <v>4.3499999999999997E-2</v>
      </c>
      <c r="G1187" s="41">
        <v>40268</v>
      </c>
      <c r="H1187" s="41">
        <v>40999</v>
      </c>
      <c r="I1187" s="39">
        <v>2</v>
      </c>
      <c r="J1187" s="45" t="s">
        <v>1716</v>
      </c>
      <c r="K1187" s="39" t="s">
        <v>1716</v>
      </c>
      <c r="L1187" s="39" t="s">
        <v>1014</v>
      </c>
      <c r="M1187" s="38" t="s">
        <v>557</v>
      </c>
    </row>
    <row r="1188" spans="1:13" x14ac:dyDescent="0.2">
      <c r="A1188" s="38" t="s">
        <v>557</v>
      </c>
      <c r="B1188" s="38">
        <v>150605</v>
      </c>
      <c r="C1188" s="55" t="s">
        <v>209</v>
      </c>
      <c r="D1188" s="279">
        <v>100000</v>
      </c>
      <c r="F1188" s="40">
        <v>4.0500000000000001E-2</v>
      </c>
      <c r="G1188" s="41">
        <v>40282</v>
      </c>
      <c r="H1188" s="41">
        <v>40646</v>
      </c>
      <c r="I1188" s="258">
        <v>52</v>
      </c>
      <c r="J1188" s="45" t="s">
        <v>369</v>
      </c>
      <c r="K1188" s="39" t="s">
        <v>1716</v>
      </c>
      <c r="L1188" s="39" t="s">
        <v>1014</v>
      </c>
      <c r="M1188" s="38" t="s">
        <v>557</v>
      </c>
    </row>
    <row r="1189" spans="1:13" x14ac:dyDescent="0.2">
      <c r="A1189" s="38" t="s">
        <v>557</v>
      </c>
      <c r="B1189" s="38">
        <v>150608</v>
      </c>
      <c r="C1189" s="55" t="s">
        <v>51</v>
      </c>
      <c r="D1189" s="279">
        <v>100000</v>
      </c>
      <c r="F1189" s="40">
        <v>3.9899999999999998E-2</v>
      </c>
      <c r="G1189" s="41">
        <v>41018</v>
      </c>
      <c r="H1189" s="41">
        <v>41383</v>
      </c>
      <c r="I1189" s="258">
        <v>52</v>
      </c>
      <c r="J1189" s="45" t="s">
        <v>369</v>
      </c>
      <c r="K1189" s="39" t="s">
        <v>1716</v>
      </c>
      <c r="L1189" s="39" t="s">
        <v>1014</v>
      </c>
      <c r="M1189" s="38" t="s">
        <v>557</v>
      </c>
    </row>
    <row r="1190" spans="1:13" x14ac:dyDescent="0.2">
      <c r="A1190" s="38" t="s">
        <v>557</v>
      </c>
      <c r="B1190" s="38">
        <v>150611</v>
      </c>
      <c r="C1190" s="55" t="s">
        <v>934</v>
      </c>
      <c r="D1190" s="279">
        <v>100000</v>
      </c>
      <c r="F1190" s="40">
        <v>3.85E-2</v>
      </c>
      <c r="G1190" s="41">
        <v>40295</v>
      </c>
      <c r="H1190" s="41">
        <v>40478</v>
      </c>
      <c r="I1190" s="258">
        <v>26</v>
      </c>
      <c r="J1190" s="45" t="s">
        <v>369</v>
      </c>
      <c r="K1190" s="39" t="s">
        <v>1716</v>
      </c>
      <c r="L1190" s="39" t="s">
        <v>1014</v>
      </c>
      <c r="M1190" s="38" t="s">
        <v>557</v>
      </c>
    </row>
    <row r="1191" spans="1:13" x14ac:dyDescent="0.2">
      <c r="A1191" s="38" t="s">
        <v>1844</v>
      </c>
      <c r="B1191" s="38">
        <v>9102</v>
      </c>
      <c r="C1191" s="55" t="s">
        <v>1843</v>
      </c>
      <c r="D1191" s="279">
        <v>100000</v>
      </c>
      <c r="F1191" s="40">
        <v>4.9599999999999998E-2</v>
      </c>
      <c r="G1191" s="41">
        <v>40294</v>
      </c>
      <c r="H1191" s="41">
        <v>47599</v>
      </c>
      <c r="I1191" s="258">
        <v>20</v>
      </c>
      <c r="J1191" s="45" t="s">
        <v>1716</v>
      </c>
      <c r="K1191" s="39" t="s">
        <v>1716</v>
      </c>
      <c r="L1191" s="39" t="s">
        <v>1014</v>
      </c>
      <c r="M1191" s="38" t="s">
        <v>1844</v>
      </c>
    </row>
    <row r="1192" spans="1:13" x14ac:dyDescent="0.2">
      <c r="A1192" s="38" t="s">
        <v>1844</v>
      </c>
      <c r="B1192" s="38">
        <v>9103</v>
      </c>
      <c r="C1192" s="55" t="s">
        <v>1404</v>
      </c>
      <c r="D1192" s="279">
        <v>100000</v>
      </c>
      <c r="F1192" s="40">
        <v>4.9700000000000001E-2</v>
      </c>
      <c r="G1192" s="41">
        <v>40294</v>
      </c>
      <c r="H1192" s="41">
        <v>47599</v>
      </c>
      <c r="I1192" s="258">
        <v>20</v>
      </c>
      <c r="J1192" s="45" t="s">
        <v>1716</v>
      </c>
      <c r="K1192" s="39" t="s">
        <v>1716</v>
      </c>
      <c r="L1192" s="39" t="s">
        <v>1014</v>
      </c>
      <c r="M1192" s="38" t="s">
        <v>1844</v>
      </c>
    </row>
    <row r="1193" spans="1:13" x14ac:dyDescent="0.2">
      <c r="A1193" s="38" t="s">
        <v>557</v>
      </c>
      <c r="B1193" s="38">
        <v>150435</v>
      </c>
      <c r="C1193" s="55" t="s">
        <v>1578</v>
      </c>
      <c r="D1193" s="279">
        <v>100000</v>
      </c>
      <c r="F1193" s="40">
        <v>4.2500000000000003E-2</v>
      </c>
      <c r="G1193" s="41">
        <v>39598</v>
      </c>
      <c r="H1193" s="41">
        <v>40328</v>
      </c>
      <c r="I1193" s="258">
        <v>2</v>
      </c>
      <c r="J1193" s="45" t="s">
        <v>1716</v>
      </c>
      <c r="K1193" s="39" t="s">
        <v>1716</v>
      </c>
      <c r="L1193" s="39" t="s">
        <v>1014</v>
      </c>
      <c r="M1193" s="38" t="s">
        <v>557</v>
      </c>
    </row>
    <row r="1194" spans="1:13" x14ac:dyDescent="0.2">
      <c r="A1194" s="38" t="s">
        <v>557</v>
      </c>
      <c r="B1194" s="38">
        <v>150615</v>
      </c>
      <c r="C1194" s="55" t="s">
        <v>1754</v>
      </c>
      <c r="D1194" s="279">
        <v>100000</v>
      </c>
      <c r="F1194" s="40">
        <v>3.8399999999999997E-2</v>
      </c>
      <c r="G1194" s="41">
        <v>40298</v>
      </c>
      <c r="H1194" s="41">
        <v>40662</v>
      </c>
      <c r="I1194" s="258">
        <v>52</v>
      </c>
      <c r="J1194" s="45" t="s">
        <v>369</v>
      </c>
      <c r="K1194" s="39" t="s">
        <v>1716</v>
      </c>
      <c r="L1194" s="39" t="s">
        <v>1014</v>
      </c>
      <c r="M1194" s="38" t="s">
        <v>557</v>
      </c>
    </row>
    <row r="1195" spans="1:13" x14ac:dyDescent="0.2">
      <c r="A1195" s="38" t="s">
        <v>1035</v>
      </c>
      <c r="B1195" s="38">
        <v>201001</v>
      </c>
      <c r="C1195" s="55" t="s">
        <v>1013</v>
      </c>
      <c r="D1195" s="279">
        <v>100000</v>
      </c>
      <c r="F1195" s="40">
        <v>3.6999999999999998E-2</v>
      </c>
      <c r="G1195" s="41">
        <v>40322</v>
      </c>
      <c r="H1195" s="41">
        <v>41053</v>
      </c>
      <c r="I1195" s="258">
        <v>2</v>
      </c>
      <c r="J1195" s="45" t="s">
        <v>1716</v>
      </c>
      <c r="K1195" s="39" t="s">
        <v>1716</v>
      </c>
      <c r="L1195" s="39" t="s">
        <v>1014</v>
      </c>
      <c r="M1195" s="38" t="s">
        <v>1035</v>
      </c>
    </row>
    <row r="1196" spans="1:13" x14ac:dyDescent="0.2">
      <c r="A1196" s="38" t="s">
        <v>557</v>
      </c>
      <c r="B1196" s="38">
        <v>150621</v>
      </c>
      <c r="C1196" s="55" t="s">
        <v>268</v>
      </c>
      <c r="D1196" s="279">
        <v>100000</v>
      </c>
      <c r="F1196" s="40">
        <v>3.85E-2</v>
      </c>
      <c r="G1196" s="41">
        <v>40326</v>
      </c>
      <c r="H1196" s="41">
        <v>40511</v>
      </c>
      <c r="I1196" s="258">
        <v>26</v>
      </c>
      <c r="J1196" s="45" t="s">
        <v>369</v>
      </c>
      <c r="K1196" s="39" t="s">
        <v>1716</v>
      </c>
      <c r="L1196" s="39" t="s">
        <v>1014</v>
      </c>
      <c r="M1196" s="38" t="s">
        <v>557</v>
      </c>
    </row>
    <row r="1197" spans="1:13" x14ac:dyDescent="0.2">
      <c r="A1197" s="38" t="s">
        <v>1035</v>
      </c>
      <c r="B1197" s="38">
        <v>201000</v>
      </c>
      <c r="C1197" s="55" t="s">
        <v>1047</v>
      </c>
      <c r="D1197" s="279">
        <v>100000</v>
      </c>
      <c r="F1197" s="40">
        <v>3.5999999999999997E-2</v>
      </c>
      <c r="G1197" s="41">
        <v>40405</v>
      </c>
      <c r="H1197" s="41">
        <v>40770</v>
      </c>
      <c r="I1197" s="258">
        <v>52</v>
      </c>
      <c r="J1197" s="45" t="s">
        <v>369</v>
      </c>
      <c r="K1197" s="39" t="s">
        <v>1716</v>
      </c>
      <c r="L1197" s="39" t="s">
        <v>1014</v>
      </c>
      <c r="M1197" s="38" t="s">
        <v>1035</v>
      </c>
    </row>
    <row r="1198" spans="1:13" x14ac:dyDescent="0.2">
      <c r="A1198" s="38" t="s">
        <v>1663</v>
      </c>
      <c r="B1198" s="38">
        <v>9104</v>
      </c>
      <c r="C1198" s="55" t="s">
        <v>1662</v>
      </c>
      <c r="D1198" s="279">
        <v>100000</v>
      </c>
      <c r="F1198" s="40">
        <v>5.2999999999999999E-2</v>
      </c>
      <c r="G1198" s="41">
        <v>40339</v>
      </c>
      <c r="H1198" s="41">
        <v>41070</v>
      </c>
      <c r="I1198" s="258">
        <v>2</v>
      </c>
      <c r="J1198" s="45" t="s">
        <v>1716</v>
      </c>
      <c r="K1198" s="39" t="s">
        <v>1716</v>
      </c>
      <c r="L1198" s="39" t="s">
        <v>1014</v>
      </c>
      <c r="M1198" s="38" t="s">
        <v>1663</v>
      </c>
    </row>
    <row r="1199" spans="1:13" x14ac:dyDescent="0.2">
      <c r="A1199" s="38" t="s">
        <v>1035</v>
      </c>
      <c r="B1199" s="38">
        <v>200987</v>
      </c>
      <c r="C1199" s="55" t="s">
        <v>346</v>
      </c>
      <c r="D1199" s="279">
        <v>100000</v>
      </c>
      <c r="F1199" s="40">
        <v>4.1000000000000002E-2</v>
      </c>
      <c r="G1199" s="41">
        <v>40240</v>
      </c>
      <c r="H1199" s="41">
        <v>43893</v>
      </c>
      <c r="I1199" s="258">
        <v>10</v>
      </c>
      <c r="J1199" s="45" t="s">
        <v>1716</v>
      </c>
      <c r="K1199" s="39" t="s">
        <v>1716</v>
      </c>
      <c r="L1199" s="39" t="s">
        <v>1014</v>
      </c>
      <c r="M1199" s="38" t="s">
        <v>1035</v>
      </c>
    </row>
    <row r="1200" spans="1:13" x14ac:dyDescent="0.2">
      <c r="A1200" s="38" t="s">
        <v>1252</v>
      </c>
      <c r="B1200" s="38">
        <v>9089</v>
      </c>
      <c r="C1200" s="55" t="s">
        <v>760</v>
      </c>
      <c r="D1200" s="279">
        <v>100000</v>
      </c>
      <c r="F1200" s="40">
        <v>3.3599999999999998E-2</v>
      </c>
      <c r="G1200" s="41">
        <v>43280</v>
      </c>
      <c r="H1200" s="41">
        <v>43645</v>
      </c>
      <c r="I1200" s="258">
        <v>52</v>
      </c>
      <c r="J1200" s="45" t="s">
        <v>369</v>
      </c>
      <c r="K1200" s="39" t="s">
        <v>1716</v>
      </c>
      <c r="L1200" s="39" t="s">
        <v>1014</v>
      </c>
      <c r="M1200" s="38" t="s">
        <v>1252</v>
      </c>
    </row>
    <row r="1201" spans="1:13" x14ac:dyDescent="0.2">
      <c r="A1201" s="38" t="s">
        <v>557</v>
      </c>
      <c r="B1201" s="38">
        <v>150632</v>
      </c>
      <c r="C1201" s="55" t="s">
        <v>1760</v>
      </c>
      <c r="D1201" s="279">
        <v>100000</v>
      </c>
      <c r="F1201" s="40">
        <v>4.8099999999999997E-2</v>
      </c>
      <c r="G1201" s="41">
        <v>40357</v>
      </c>
      <c r="H1201" s="41">
        <v>42914</v>
      </c>
      <c r="I1201" s="258">
        <v>7</v>
      </c>
      <c r="J1201" s="45" t="s">
        <v>1716</v>
      </c>
      <c r="K1201" s="39" t="s">
        <v>1716</v>
      </c>
      <c r="L1201" s="39" t="s">
        <v>1014</v>
      </c>
      <c r="M1201" s="38" t="s">
        <v>557</v>
      </c>
    </row>
    <row r="1202" spans="1:13" x14ac:dyDescent="0.2">
      <c r="A1202" s="38" t="s">
        <v>1252</v>
      </c>
      <c r="B1202" s="38">
        <v>9105</v>
      </c>
      <c r="C1202" s="55" t="s">
        <v>2008</v>
      </c>
      <c r="D1202" s="279">
        <v>100000</v>
      </c>
      <c r="F1202" s="40">
        <v>4.7800000000000002E-2</v>
      </c>
      <c r="G1202" s="41">
        <v>40358</v>
      </c>
      <c r="H1202" s="41">
        <v>42915</v>
      </c>
      <c r="I1202" s="258">
        <v>7</v>
      </c>
      <c r="J1202" s="45" t="s">
        <v>1716</v>
      </c>
      <c r="K1202" s="39" t="s">
        <v>1716</v>
      </c>
      <c r="L1202" s="39" t="s">
        <v>1014</v>
      </c>
      <c r="M1202" s="38" t="s">
        <v>1252</v>
      </c>
    </row>
    <row r="1203" spans="1:13" x14ac:dyDescent="0.2">
      <c r="A1203" s="38" t="s">
        <v>1252</v>
      </c>
      <c r="B1203" s="38">
        <v>9106</v>
      </c>
      <c r="C1203" s="55" t="s">
        <v>2009</v>
      </c>
      <c r="D1203" s="279">
        <v>100000</v>
      </c>
      <c r="F1203" s="40">
        <v>4.3499999999999997E-2</v>
      </c>
      <c r="G1203" s="41">
        <v>41819</v>
      </c>
      <c r="H1203" s="41">
        <v>42184</v>
      </c>
      <c r="I1203" s="258">
        <v>52</v>
      </c>
      <c r="J1203" s="45" t="s">
        <v>369</v>
      </c>
      <c r="K1203" s="39" t="s">
        <v>1716</v>
      </c>
      <c r="L1203" s="39" t="s">
        <v>1014</v>
      </c>
      <c r="M1203" s="38" t="s">
        <v>1252</v>
      </c>
    </row>
    <row r="1204" spans="1:13" x14ac:dyDescent="0.2">
      <c r="A1204" s="38" t="s">
        <v>1252</v>
      </c>
      <c r="B1204" s="38">
        <v>2138</v>
      </c>
      <c r="C1204" s="55" t="s">
        <v>2010</v>
      </c>
      <c r="D1204" s="279">
        <v>100000</v>
      </c>
      <c r="F1204" s="40">
        <v>4.7800000000000002E-2</v>
      </c>
      <c r="G1204" s="41">
        <v>40358</v>
      </c>
      <c r="H1204" s="41">
        <v>42915</v>
      </c>
      <c r="I1204" s="258">
        <v>7</v>
      </c>
      <c r="J1204" s="45" t="s">
        <v>1716</v>
      </c>
      <c r="K1204" s="39" t="s">
        <v>1716</v>
      </c>
      <c r="L1204" s="39" t="s">
        <v>1014</v>
      </c>
      <c r="M1204" s="38" t="s">
        <v>1252</v>
      </c>
    </row>
    <row r="1205" spans="1:13" x14ac:dyDescent="0.2">
      <c r="A1205" s="38" t="s">
        <v>557</v>
      </c>
      <c r="B1205" s="38">
        <v>150588</v>
      </c>
      <c r="C1205" s="55" t="s">
        <v>931</v>
      </c>
      <c r="D1205" s="279">
        <v>100000</v>
      </c>
      <c r="F1205" s="40">
        <v>3.95E-2</v>
      </c>
      <c r="G1205" s="41">
        <v>40256</v>
      </c>
      <c r="H1205" s="41">
        <v>40529</v>
      </c>
      <c r="I1205" s="258">
        <v>52</v>
      </c>
      <c r="J1205" s="45" t="s">
        <v>369</v>
      </c>
      <c r="K1205" s="39" t="s">
        <v>1716</v>
      </c>
      <c r="L1205" s="39" t="s">
        <v>1014</v>
      </c>
      <c r="M1205" s="38" t="s">
        <v>557</v>
      </c>
    </row>
    <row r="1206" spans="1:13" x14ac:dyDescent="0.2">
      <c r="A1206" s="38" t="s">
        <v>557</v>
      </c>
      <c r="B1206" s="38">
        <v>150512</v>
      </c>
      <c r="C1206" s="55" t="s">
        <v>1467</v>
      </c>
      <c r="D1206" s="279">
        <v>100000</v>
      </c>
      <c r="F1206" s="40">
        <v>4.0500000000000001E-2</v>
      </c>
      <c r="G1206" s="41">
        <v>39937</v>
      </c>
      <c r="H1206" s="41">
        <v>40667</v>
      </c>
      <c r="I1206" s="258">
        <v>2</v>
      </c>
      <c r="J1206" s="45" t="s">
        <v>1716</v>
      </c>
      <c r="K1206" s="39" t="s">
        <v>1716</v>
      </c>
      <c r="L1206" s="39" t="s">
        <v>1014</v>
      </c>
      <c r="M1206" s="38" t="s">
        <v>557</v>
      </c>
    </row>
    <row r="1207" spans="1:13" x14ac:dyDescent="0.2">
      <c r="A1207" s="38" t="s">
        <v>1015</v>
      </c>
      <c r="B1207" s="38">
        <v>100492</v>
      </c>
      <c r="C1207" s="55" t="s">
        <v>932</v>
      </c>
      <c r="D1207" s="279">
        <v>100000</v>
      </c>
      <c r="F1207" s="40">
        <v>4.3299999999999998E-2</v>
      </c>
      <c r="G1207" s="41">
        <v>40368</v>
      </c>
      <c r="H1207" s="41">
        <v>41099</v>
      </c>
      <c r="I1207" s="258">
        <v>2</v>
      </c>
      <c r="J1207" s="45" t="s">
        <v>1716</v>
      </c>
      <c r="K1207" s="39" t="s">
        <v>1716</v>
      </c>
      <c r="L1207" s="39" t="s">
        <v>1014</v>
      </c>
      <c r="M1207" s="38" t="s">
        <v>1015</v>
      </c>
    </row>
    <row r="1208" spans="1:13" x14ac:dyDescent="0.2">
      <c r="A1208" s="38" t="s">
        <v>1015</v>
      </c>
      <c r="B1208" s="38">
        <v>100493</v>
      </c>
      <c r="C1208" s="55" t="s">
        <v>1503</v>
      </c>
      <c r="D1208" s="279">
        <v>100000</v>
      </c>
      <c r="F1208" s="40">
        <v>4.4400000000000002E-2</v>
      </c>
      <c r="G1208" s="41">
        <v>40368</v>
      </c>
      <c r="H1208" s="41">
        <v>41464</v>
      </c>
      <c r="I1208" s="258">
        <v>3</v>
      </c>
      <c r="J1208" s="45" t="s">
        <v>1716</v>
      </c>
      <c r="K1208" s="39" t="s">
        <v>1716</v>
      </c>
      <c r="L1208" s="39" t="s">
        <v>1014</v>
      </c>
      <c r="M1208" s="38" t="s">
        <v>1015</v>
      </c>
    </row>
    <row r="1209" spans="1:13" x14ac:dyDescent="0.2">
      <c r="A1209" s="38" t="s">
        <v>1015</v>
      </c>
      <c r="B1209" s="38">
        <v>100494</v>
      </c>
      <c r="C1209" s="55" t="s">
        <v>1417</v>
      </c>
      <c r="D1209" s="279">
        <v>100000</v>
      </c>
      <c r="F1209" s="40">
        <v>4.5499999999999999E-2</v>
      </c>
      <c r="G1209" s="41">
        <v>40368</v>
      </c>
      <c r="H1209" s="41">
        <v>41829</v>
      </c>
      <c r="I1209" s="258">
        <v>4</v>
      </c>
      <c r="J1209" s="45" t="s">
        <v>1716</v>
      </c>
      <c r="K1209" s="39" t="s">
        <v>1716</v>
      </c>
      <c r="L1209" s="39" t="s">
        <v>1014</v>
      </c>
      <c r="M1209" s="38" t="s">
        <v>1015</v>
      </c>
    </row>
    <row r="1210" spans="1:13" x14ac:dyDescent="0.2">
      <c r="A1210" s="38" t="s">
        <v>1015</v>
      </c>
      <c r="B1210" s="38">
        <v>100495</v>
      </c>
      <c r="C1210" s="55" t="s">
        <v>1418</v>
      </c>
      <c r="D1210" s="279">
        <v>100000</v>
      </c>
      <c r="F1210" s="40">
        <v>4.65E-2</v>
      </c>
      <c r="G1210" s="41">
        <v>40368</v>
      </c>
      <c r="H1210" s="41">
        <v>42194</v>
      </c>
      <c r="I1210" s="258">
        <v>5</v>
      </c>
      <c r="J1210" s="45" t="s">
        <v>1716</v>
      </c>
      <c r="K1210" s="39" t="s">
        <v>1716</v>
      </c>
      <c r="L1210" s="39" t="s">
        <v>1014</v>
      </c>
      <c r="M1210" s="38" t="s">
        <v>1015</v>
      </c>
    </row>
    <row r="1211" spans="1:13" x14ac:dyDescent="0.2">
      <c r="A1211" s="38" t="s">
        <v>1564</v>
      </c>
      <c r="B1211" s="38">
        <v>9108</v>
      </c>
      <c r="C1211" s="55" t="s">
        <v>1061</v>
      </c>
      <c r="D1211" s="279">
        <v>100000</v>
      </c>
      <c r="F1211" s="40">
        <v>5.6500000000000002E-2</v>
      </c>
      <c r="G1211" s="41">
        <v>40371</v>
      </c>
      <c r="H1211" s="41">
        <v>44024</v>
      </c>
      <c r="I1211" s="258">
        <v>10</v>
      </c>
      <c r="J1211" s="45" t="s">
        <v>1716</v>
      </c>
      <c r="K1211" s="39" t="s">
        <v>1716</v>
      </c>
      <c r="L1211" s="39" t="s">
        <v>1014</v>
      </c>
      <c r="M1211" s="38" t="s">
        <v>1564</v>
      </c>
    </row>
    <row r="1212" spans="1:13" x14ac:dyDescent="0.2">
      <c r="A1212" s="38" t="s">
        <v>1035</v>
      </c>
      <c r="B1212" s="38">
        <v>201009</v>
      </c>
      <c r="C1212" s="55" t="s">
        <v>296</v>
      </c>
      <c r="D1212" s="279">
        <v>100000</v>
      </c>
      <c r="F1212" s="40">
        <v>3.5499999999999997E-2</v>
      </c>
      <c r="G1212" s="41">
        <v>40350</v>
      </c>
      <c r="H1212" s="41">
        <v>40777</v>
      </c>
      <c r="I1212" s="258">
        <v>52</v>
      </c>
      <c r="J1212" s="45" t="s">
        <v>369</v>
      </c>
      <c r="K1212" s="39" t="s">
        <v>1716</v>
      </c>
      <c r="L1212" s="39" t="s">
        <v>1014</v>
      </c>
      <c r="M1212" s="38" t="s">
        <v>1035</v>
      </c>
    </row>
    <row r="1213" spans="1:13" x14ac:dyDescent="0.2">
      <c r="A1213" s="38" t="s">
        <v>557</v>
      </c>
      <c r="B1213" s="38">
        <v>150651</v>
      </c>
      <c r="C1213" s="55" t="s">
        <v>1493</v>
      </c>
      <c r="D1213" s="279">
        <v>100000</v>
      </c>
      <c r="F1213" s="40">
        <v>3.7999999999999999E-2</v>
      </c>
      <c r="G1213" s="41">
        <v>40388</v>
      </c>
      <c r="H1213" s="41">
        <v>40484</v>
      </c>
      <c r="I1213" s="258">
        <v>13</v>
      </c>
      <c r="J1213" s="45" t="s">
        <v>369</v>
      </c>
      <c r="K1213" s="39" t="s">
        <v>1716</v>
      </c>
      <c r="L1213" s="39" t="s">
        <v>1014</v>
      </c>
      <c r="M1213" s="38" t="s">
        <v>557</v>
      </c>
    </row>
    <row r="1214" spans="1:13" x14ac:dyDescent="0.2">
      <c r="A1214" s="38" t="s">
        <v>557</v>
      </c>
      <c r="B1214" s="38">
        <v>150657</v>
      </c>
      <c r="C1214" s="55" t="s">
        <v>1656</v>
      </c>
      <c r="D1214" s="279">
        <v>100000</v>
      </c>
      <c r="F1214" s="40">
        <v>4.2000000000000003E-2</v>
      </c>
      <c r="G1214" s="41">
        <v>40393</v>
      </c>
      <c r="H1214" s="41">
        <v>41182</v>
      </c>
      <c r="I1214" s="258">
        <v>2</v>
      </c>
      <c r="J1214" s="45" t="s">
        <v>1716</v>
      </c>
      <c r="K1214" s="39" t="s">
        <v>1716</v>
      </c>
      <c r="L1214" s="39" t="s">
        <v>1014</v>
      </c>
      <c r="M1214" s="38" t="s">
        <v>557</v>
      </c>
    </row>
    <row r="1215" spans="1:13" x14ac:dyDescent="0.2">
      <c r="A1215" s="38" t="s">
        <v>557</v>
      </c>
      <c r="B1215" s="38">
        <v>150656</v>
      </c>
      <c r="C1215" s="55" t="s">
        <v>812</v>
      </c>
      <c r="D1215" s="279">
        <v>100000</v>
      </c>
      <c r="F1215" s="40">
        <v>3.9600000000000003E-2</v>
      </c>
      <c r="G1215" s="41">
        <v>41860</v>
      </c>
      <c r="H1215" s="41">
        <v>42225</v>
      </c>
      <c r="I1215" s="258">
        <v>52</v>
      </c>
      <c r="J1215" s="45" t="s">
        <v>369</v>
      </c>
      <c r="K1215" s="39" t="s">
        <v>1716</v>
      </c>
      <c r="L1215" s="39" t="s">
        <v>1014</v>
      </c>
      <c r="M1215" s="38" t="s">
        <v>557</v>
      </c>
    </row>
    <row r="1216" spans="1:13" x14ac:dyDescent="0.2">
      <c r="A1216" s="38" t="s">
        <v>1786</v>
      </c>
      <c r="B1216" s="38">
        <v>9113</v>
      </c>
      <c r="C1216" s="55" t="s">
        <v>1785</v>
      </c>
      <c r="D1216" s="279">
        <v>100000</v>
      </c>
      <c r="F1216" s="40">
        <v>5.1799999999999999E-2</v>
      </c>
      <c r="G1216" s="41">
        <v>40401</v>
      </c>
      <c r="H1216" s="41">
        <v>42227</v>
      </c>
      <c r="I1216" s="258">
        <v>5</v>
      </c>
      <c r="J1216" s="45" t="s">
        <v>1716</v>
      </c>
      <c r="K1216" s="39" t="s">
        <v>1716</v>
      </c>
      <c r="L1216" s="39" t="s">
        <v>1014</v>
      </c>
      <c r="M1216" s="38" t="s">
        <v>1786</v>
      </c>
    </row>
    <row r="1217" spans="1:13" x14ac:dyDescent="0.2">
      <c r="A1217" s="38" t="s">
        <v>1035</v>
      </c>
      <c r="B1217" s="38">
        <v>201010</v>
      </c>
      <c r="C1217" s="55" t="s">
        <v>1826</v>
      </c>
      <c r="D1217" s="279">
        <v>100000</v>
      </c>
      <c r="F1217" s="40">
        <v>3.6999999999999998E-2</v>
      </c>
      <c r="G1217" s="41">
        <v>40424</v>
      </c>
      <c r="H1217" s="41">
        <v>41155</v>
      </c>
      <c r="I1217" s="258">
        <v>2</v>
      </c>
      <c r="J1217" s="45" t="s">
        <v>1716</v>
      </c>
      <c r="K1217" s="39" t="s">
        <v>1716</v>
      </c>
      <c r="L1217" s="39" t="s">
        <v>1014</v>
      </c>
      <c r="M1217" s="38" t="s">
        <v>1035</v>
      </c>
    </row>
    <row r="1218" spans="1:13" x14ac:dyDescent="0.2">
      <c r="A1218" s="38" t="s">
        <v>1035</v>
      </c>
      <c r="B1218" s="38">
        <v>201011</v>
      </c>
      <c r="C1218" s="55" t="s">
        <v>761</v>
      </c>
      <c r="D1218" s="279">
        <v>100000</v>
      </c>
      <c r="F1218" s="40">
        <v>3.5499999999999997E-2</v>
      </c>
      <c r="G1218" s="41">
        <v>40426</v>
      </c>
      <c r="H1218" s="41">
        <v>40791</v>
      </c>
      <c r="I1218" s="258">
        <v>52</v>
      </c>
      <c r="J1218" s="45" t="s">
        <v>369</v>
      </c>
      <c r="K1218" s="39" t="s">
        <v>1716</v>
      </c>
      <c r="L1218" s="39" t="s">
        <v>1014</v>
      </c>
      <c r="M1218" s="38" t="s">
        <v>1035</v>
      </c>
    </row>
    <row r="1219" spans="1:13" x14ac:dyDescent="0.2">
      <c r="A1219" s="38" t="s">
        <v>879</v>
      </c>
      <c r="B1219" s="38">
        <v>9074</v>
      </c>
      <c r="C1219" s="55" t="s">
        <v>878</v>
      </c>
      <c r="D1219" s="279">
        <v>100000</v>
      </c>
      <c r="F1219" s="40">
        <v>5.4899999999999997E-2</v>
      </c>
      <c r="G1219" s="41">
        <v>39794</v>
      </c>
      <c r="H1219" s="41">
        <v>42350</v>
      </c>
      <c r="I1219" s="258">
        <v>7</v>
      </c>
      <c r="J1219" s="45" t="s">
        <v>1716</v>
      </c>
      <c r="K1219" s="39" t="s">
        <v>1716</v>
      </c>
      <c r="L1219" s="39" t="s">
        <v>1014</v>
      </c>
      <c r="M1219" s="38" t="s">
        <v>879</v>
      </c>
    </row>
    <row r="1220" spans="1:13" x14ac:dyDescent="0.2">
      <c r="A1220" s="38" t="s">
        <v>557</v>
      </c>
      <c r="B1220" s="38">
        <v>150661</v>
      </c>
      <c r="C1220" s="55" t="s">
        <v>1784</v>
      </c>
      <c r="D1220" s="279">
        <v>100000</v>
      </c>
      <c r="F1220" s="40">
        <v>3.1699999999999999E-2</v>
      </c>
      <c r="G1220" s="41">
        <v>42620</v>
      </c>
      <c r="H1220" s="41">
        <v>42985</v>
      </c>
      <c r="I1220" s="258">
        <v>7</v>
      </c>
      <c r="J1220" s="45" t="s">
        <v>1716</v>
      </c>
      <c r="K1220" s="39" t="s">
        <v>1716</v>
      </c>
      <c r="L1220" s="39" t="s">
        <v>1014</v>
      </c>
      <c r="M1220" s="38" t="s">
        <v>557</v>
      </c>
    </row>
    <row r="1221" spans="1:13" x14ac:dyDescent="0.2">
      <c r="A1221" s="38" t="s">
        <v>1035</v>
      </c>
      <c r="B1221" s="38">
        <v>201012</v>
      </c>
      <c r="C1221" s="55" t="s">
        <v>423</v>
      </c>
      <c r="D1221" s="279">
        <v>100000</v>
      </c>
      <c r="F1221" s="40">
        <v>3.5499999999999997E-2</v>
      </c>
      <c r="G1221" s="41">
        <v>40440</v>
      </c>
      <c r="H1221" s="41">
        <v>40805</v>
      </c>
      <c r="I1221" s="258">
        <v>52</v>
      </c>
      <c r="J1221" s="45" t="s">
        <v>369</v>
      </c>
      <c r="K1221" s="39" t="s">
        <v>1716</v>
      </c>
      <c r="L1221" s="39" t="s">
        <v>1014</v>
      </c>
      <c r="M1221" s="38" t="s">
        <v>1035</v>
      </c>
    </row>
    <row r="1222" spans="1:13" x14ac:dyDescent="0.2">
      <c r="A1222" s="38" t="s">
        <v>557</v>
      </c>
      <c r="B1222" s="38">
        <v>150666</v>
      </c>
      <c r="C1222" s="55" t="s">
        <v>1703</v>
      </c>
      <c r="D1222" s="279">
        <v>100000</v>
      </c>
      <c r="F1222" s="40">
        <v>4.2500000000000003E-2</v>
      </c>
      <c r="G1222" s="41">
        <v>40448</v>
      </c>
      <c r="H1222" s="41">
        <v>41183</v>
      </c>
      <c r="I1222" s="258">
        <v>2</v>
      </c>
      <c r="J1222" s="45" t="s">
        <v>1716</v>
      </c>
      <c r="K1222" s="39" t="s">
        <v>1716</v>
      </c>
      <c r="L1222" s="39" t="s">
        <v>1014</v>
      </c>
      <c r="M1222" s="38" t="s">
        <v>557</v>
      </c>
    </row>
    <row r="1223" spans="1:13" x14ac:dyDescent="0.2">
      <c r="A1223" s="38" t="s">
        <v>1035</v>
      </c>
      <c r="B1223" s="38">
        <v>201003</v>
      </c>
      <c r="C1223" s="55" t="s">
        <v>1705</v>
      </c>
      <c r="D1223" s="279">
        <v>100000</v>
      </c>
      <c r="F1223" s="40">
        <v>3.4200000000000001E-2</v>
      </c>
      <c r="G1223" s="41">
        <v>40336</v>
      </c>
      <c r="H1223" s="41">
        <v>40518</v>
      </c>
      <c r="I1223" s="258">
        <v>26</v>
      </c>
      <c r="J1223" s="45" t="s">
        <v>369</v>
      </c>
      <c r="K1223" s="39" t="s">
        <v>1716</v>
      </c>
      <c r="L1223" s="39" t="s">
        <v>1014</v>
      </c>
      <c r="M1223" s="38" t="s">
        <v>1035</v>
      </c>
    </row>
    <row r="1224" spans="1:13" x14ac:dyDescent="0.2">
      <c r="A1224" s="38" t="s">
        <v>557</v>
      </c>
      <c r="B1224" s="38">
        <v>150667</v>
      </c>
      <c r="C1224" s="55" t="s">
        <v>911</v>
      </c>
      <c r="D1224" s="279">
        <v>100000</v>
      </c>
      <c r="F1224" s="40">
        <v>4.2500000000000003E-2</v>
      </c>
      <c r="G1224" s="41">
        <v>40449</v>
      </c>
      <c r="H1224" s="41">
        <v>41214</v>
      </c>
      <c r="I1224" s="258">
        <v>2</v>
      </c>
      <c r="J1224" s="45" t="s">
        <v>1716</v>
      </c>
      <c r="K1224" s="39" t="s">
        <v>1716</v>
      </c>
      <c r="L1224" s="39" t="s">
        <v>1014</v>
      </c>
      <c r="M1224" s="38" t="s">
        <v>557</v>
      </c>
    </row>
    <row r="1225" spans="1:13" x14ac:dyDescent="0.2">
      <c r="A1225" s="38" t="s">
        <v>1015</v>
      </c>
      <c r="B1225" s="38">
        <v>100496</v>
      </c>
      <c r="C1225" s="55" t="s">
        <v>435</v>
      </c>
      <c r="D1225" s="279">
        <v>100000</v>
      </c>
      <c r="F1225" s="40">
        <v>4.2299999999999997E-2</v>
      </c>
      <c r="G1225" s="41">
        <v>40450</v>
      </c>
      <c r="H1225" s="41">
        <v>41181</v>
      </c>
      <c r="I1225" s="258">
        <v>2</v>
      </c>
      <c r="J1225" s="45" t="s">
        <v>1716</v>
      </c>
      <c r="K1225" s="39" t="s">
        <v>1716</v>
      </c>
      <c r="L1225" s="39" t="s">
        <v>1014</v>
      </c>
      <c r="M1225" s="38" t="s">
        <v>1015</v>
      </c>
    </row>
    <row r="1226" spans="1:13" x14ac:dyDescent="0.2">
      <c r="A1226" s="38" t="s">
        <v>557</v>
      </c>
      <c r="B1226" s="38">
        <v>150674</v>
      </c>
      <c r="C1226" s="55" t="s">
        <v>618</v>
      </c>
      <c r="D1226" s="279">
        <v>100000</v>
      </c>
      <c r="F1226" s="40">
        <v>3.1099999999999999E-2</v>
      </c>
      <c r="G1226" s="41">
        <v>42651</v>
      </c>
      <c r="H1226" s="41">
        <v>43016</v>
      </c>
      <c r="I1226" s="258">
        <v>7</v>
      </c>
      <c r="J1226" s="45" t="s">
        <v>1716</v>
      </c>
      <c r="K1226" s="39" t="s">
        <v>1716</v>
      </c>
      <c r="L1226" s="39" t="s">
        <v>1014</v>
      </c>
      <c r="M1226" s="38" t="s">
        <v>557</v>
      </c>
    </row>
    <row r="1227" spans="1:13" x14ac:dyDescent="0.2">
      <c r="A1227" s="38" t="s">
        <v>99</v>
      </c>
      <c r="B1227" s="38">
        <v>9116</v>
      </c>
      <c r="C1227" s="55" t="s">
        <v>98</v>
      </c>
      <c r="D1227" s="279">
        <v>100000</v>
      </c>
      <c r="F1227" s="40">
        <v>5.5E-2</v>
      </c>
      <c r="G1227" s="41">
        <v>40462</v>
      </c>
      <c r="H1227" s="41">
        <v>42288</v>
      </c>
      <c r="I1227" s="258">
        <v>5</v>
      </c>
      <c r="J1227" s="45" t="s">
        <v>1716</v>
      </c>
      <c r="K1227" s="39" t="s">
        <v>1716</v>
      </c>
      <c r="L1227" s="39" t="s">
        <v>1014</v>
      </c>
      <c r="M1227" s="38" t="s">
        <v>99</v>
      </c>
    </row>
    <row r="1228" spans="1:13" x14ac:dyDescent="0.2">
      <c r="A1228" s="38" t="s">
        <v>1015</v>
      </c>
      <c r="B1228" s="38">
        <v>100497</v>
      </c>
      <c r="C1228" s="55" t="s">
        <v>523</v>
      </c>
      <c r="D1228" s="279">
        <v>100000</v>
      </c>
      <c r="F1228" s="40">
        <v>4.7E-2</v>
      </c>
      <c r="G1228" s="41">
        <v>40469</v>
      </c>
      <c r="H1228" s="41">
        <v>42296</v>
      </c>
      <c r="I1228" s="258">
        <v>5</v>
      </c>
      <c r="J1228" s="45" t="s">
        <v>1716</v>
      </c>
      <c r="K1228" s="39" t="s">
        <v>1716</v>
      </c>
      <c r="L1228" s="39" t="s">
        <v>1014</v>
      </c>
      <c r="M1228" s="38" t="s">
        <v>1015</v>
      </c>
    </row>
    <row r="1229" spans="1:13" x14ac:dyDescent="0.2">
      <c r="A1229" s="38" t="s">
        <v>1713</v>
      </c>
      <c r="B1229" s="38">
        <v>140265</v>
      </c>
      <c r="C1229" s="55" t="s">
        <v>1535</v>
      </c>
      <c r="D1229" s="279">
        <v>100000</v>
      </c>
      <c r="F1229" s="40">
        <v>0.04</v>
      </c>
      <c r="G1229" s="41">
        <v>40273</v>
      </c>
      <c r="H1229" s="41">
        <v>40637</v>
      </c>
      <c r="I1229" s="258">
        <v>52</v>
      </c>
      <c r="J1229" s="45" t="s">
        <v>369</v>
      </c>
      <c r="K1229" s="39" t="s">
        <v>1716</v>
      </c>
      <c r="L1229" s="39" t="s">
        <v>1014</v>
      </c>
      <c r="M1229" s="38" t="s">
        <v>1713</v>
      </c>
    </row>
    <row r="1230" spans="1:13" x14ac:dyDescent="0.2">
      <c r="A1230" s="38" t="s">
        <v>557</v>
      </c>
      <c r="B1230" s="38">
        <v>150567</v>
      </c>
      <c r="C1230" s="55" t="s">
        <v>1680</v>
      </c>
      <c r="D1230" s="279">
        <v>100000</v>
      </c>
      <c r="F1230" s="40">
        <v>3.85E-2</v>
      </c>
      <c r="G1230" s="41">
        <v>40191</v>
      </c>
      <c r="H1230" s="41">
        <v>40555</v>
      </c>
      <c r="I1230" s="258">
        <v>52</v>
      </c>
      <c r="J1230" s="45" t="s">
        <v>369</v>
      </c>
      <c r="K1230" s="39" t="s">
        <v>1716</v>
      </c>
      <c r="L1230" s="39" t="s">
        <v>1014</v>
      </c>
      <c r="M1230" s="38" t="s">
        <v>557</v>
      </c>
    </row>
    <row r="1231" spans="1:13" x14ac:dyDescent="0.2">
      <c r="A1231" s="38" t="s">
        <v>557</v>
      </c>
      <c r="B1231" s="38">
        <v>150682</v>
      </c>
      <c r="C1231" s="55" t="s">
        <v>1342</v>
      </c>
      <c r="D1231" s="279">
        <v>100000</v>
      </c>
      <c r="F1231" s="40">
        <v>4.07E-2</v>
      </c>
      <c r="G1231" s="41">
        <v>40477</v>
      </c>
      <c r="H1231" s="41">
        <v>41208</v>
      </c>
      <c r="I1231" s="258">
        <v>2</v>
      </c>
      <c r="J1231" s="45" t="s">
        <v>1716</v>
      </c>
      <c r="K1231" s="39" t="s">
        <v>1716</v>
      </c>
      <c r="L1231" s="39" t="s">
        <v>1014</v>
      </c>
      <c r="M1231" s="38" t="s">
        <v>557</v>
      </c>
    </row>
    <row r="1232" spans="1:13" x14ac:dyDescent="0.2">
      <c r="A1232" s="38" t="s">
        <v>557</v>
      </c>
      <c r="B1232" s="38">
        <v>150509</v>
      </c>
      <c r="C1232" s="55" t="s">
        <v>1569</v>
      </c>
      <c r="D1232" s="279">
        <v>100000</v>
      </c>
      <c r="F1232" s="40">
        <v>4.2999999999999997E-2</v>
      </c>
      <c r="G1232" s="41">
        <v>39930</v>
      </c>
      <c r="H1232" s="41">
        <v>41756</v>
      </c>
      <c r="I1232" s="258">
        <v>5</v>
      </c>
      <c r="J1232" s="45" t="s">
        <v>1716</v>
      </c>
      <c r="K1232" s="39" t="s">
        <v>1716</v>
      </c>
      <c r="L1232" s="39" t="s">
        <v>1014</v>
      </c>
      <c r="M1232" s="38" t="s">
        <v>557</v>
      </c>
    </row>
    <row r="1233" spans="1:14" x14ac:dyDescent="0.2">
      <c r="A1233" s="38" t="s">
        <v>557</v>
      </c>
      <c r="B1233" s="38">
        <v>150326</v>
      </c>
      <c r="C1233" s="55" t="s">
        <v>1079</v>
      </c>
      <c r="D1233" s="279">
        <v>100000</v>
      </c>
      <c r="F1233" s="40">
        <v>4.0099999999999997E-2</v>
      </c>
      <c r="G1233" s="41">
        <v>39202</v>
      </c>
      <c r="H1233" s="41">
        <v>41759</v>
      </c>
      <c r="I1233" s="258">
        <v>7</v>
      </c>
      <c r="J1233" s="45" t="s">
        <v>1716</v>
      </c>
      <c r="K1233" s="39" t="s">
        <v>1716</v>
      </c>
      <c r="L1233" s="39" t="s">
        <v>1014</v>
      </c>
      <c r="M1233" s="38" t="s">
        <v>557</v>
      </c>
    </row>
    <row r="1234" spans="1:14" x14ac:dyDescent="0.2">
      <c r="A1234" s="38" t="s">
        <v>1015</v>
      </c>
      <c r="B1234" s="38">
        <v>100501</v>
      </c>
      <c r="C1234" s="55" t="s">
        <v>825</v>
      </c>
      <c r="D1234" s="279">
        <v>100000</v>
      </c>
      <c r="F1234" s="40">
        <v>4.1200000000000001E-2</v>
      </c>
      <c r="G1234" s="41">
        <v>40487</v>
      </c>
      <c r="H1234" s="41">
        <v>41218</v>
      </c>
      <c r="I1234" s="258">
        <v>2</v>
      </c>
      <c r="J1234" s="45" t="s">
        <v>1716</v>
      </c>
      <c r="K1234" s="39" t="s">
        <v>1716</v>
      </c>
      <c r="L1234" s="39" t="s">
        <v>1014</v>
      </c>
      <c r="M1234" s="38" t="s">
        <v>1015</v>
      </c>
    </row>
    <row r="1235" spans="1:14" x14ac:dyDescent="0.2">
      <c r="A1235" s="38" t="s">
        <v>1015</v>
      </c>
      <c r="B1235" s="38">
        <v>100502</v>
      </c>
      <c r="C1235" s="55" t="s">
        <v>1652</v>
      </c>
      <c r="D1235" s="279">
        <v>100000</v>
      </c>
      <c r="F1235" s="40">
        <v>4.24E-2</v>
      </c>
      <c r="G1235" s="41">
        <v>40487</v>
      </c>
      <c r="H1235" s="41">
        <v>41583</v>
      </c>
      <c r="I1235" s="258">
        <v>3</v>
      </c>
      <c r="J1235" s="45" t="s">
        <v>1716</v>
      </c>
      <c r="K1235" s="39" t="s">
        <v>1716</v>
      </c>
      <c r="L1235" s="39" t="s">
        <v>1014</v>
      </c>
      <c r="M1235" s="38" t="s">
        <v>1015</v>
      </c>
    </row>
    <row r="1236" spans="1:14" x14ac:dyDescent="0.2">
      <c r="A1236" s="38" t="s">
        <v>1035</v>
      </c>
      <c r="B1236" s="38">
        <v>201021</v>
      </c>
      <c r="C1236" s="55" t="s">
        <v>1747</v>
      </c>
      <c r="D1236" s="279">
        <v>100000</v>
      </c>
      <c r="F1236" s="40">
        <v>3.6499999999999998E-2</v>
      </c>
      <c r="G1236" s="41">
        <v>40501</v>
      </c>
      <c r="H1236" s="41">
        <v>41232</v>
      </c>
      <c r="I1236" s="258">
        <v>2</v>
      </c>
      <c r="J1236" s="45" t="s">
        <v>1716</v>
      </c>
      <c r="K1236" s="39" t="s">
        <v>1716</v>
      </c>
      <c r="L1236" s="39" t="s">
        <v>1014</v>
      </c>
      <c r="M1236" s="38" t="s">
        <v>1035</v>
      </c>
    </row>
    <row r="1237" spans="1:14" x14ac:dyDescent="0.2">
      <c r="A1237" s="38" t="s">
        <v>862</v>
      </c>
      <c r="B1237" s="38">
        <v>111111</v>
      </c>
      <c r="C1237" s="55" t="s">
        <v>2033</v>
      </c>
      <c r="D1237" s="279">
        <v>100000</v>
      </c>
      <c r="F1237" s="40">
        <v>3.5299999999999998E-2</v>
      </c>
      <c r="G1237" s="41">
        <v>40487</v>
      </c>
      <c r="H1237" s="41">
        <v>40852</v>
      </c>
      <c r="I1237" s="258">
        <v>52</v>
      </c>
      <c r="J1237" s="45" t="s">
        <v>369</v>
      </c>
      <c r="K1237" s="39" t="s">
        <v>1716</v>
      </c>
      <c r="L1237" s="39" t="s">
        <v>1014</v>
      </c>
      <c r="M1237" s="38" t="s">
        <v>2033</v>
      </c>
    </row>
    <row r="1238" spans="1:14" x14ac:dyDescent="0.2">
      <c r="A1238" s="38" t="s">
        <v>557</v>
      </c>
      <c r="B1238" s="38">
        <v>150317</v>
      </c>
      <c r="C1238" s="55" t="s">
        <v>1529</v>
      </c>
      <c r="D1238" s="279">
        <v>100000</v>
      </c>
      <c r="F1238" s="40">
        <v>3.7999999999999999E-2</v>
      </c>
      <c r="G1238" s="41">
        <v>39038</v>
      </c>
      <c r="H1238" s="41">
        <v>40864</v>
      </c>
      <c r="I1238" s="258">
        <v>5</v>
      </c>
      <c r="J1238" s="45" t="s">
        <v>1716</v>
      </c>
      <c r="K1238" s="39" t="s">
        <v>1716</v>
      </c>
      <c r="L1238" s="39" t="s">
        <v>1014</v>
      </c>
      <c r="M1238" s="38" t="s">
        <v>557</v>
      </c>
    </row>
    <row r="1239" spans="1:14" x14ac:dyDescent="0.2">
      <c r="A1239" s="38" t="s">
        <v>557</v>
      </c>
      <c r="B1239" s="38">
        <v>150693</v>
      </c>
      <c r="C1239" s="55" t="s">
        <v>1919</v>
      </c>
      <c r="D1239" s="279">
        <v>100000</v>
      </c>
      <c r="F1239" s="40">
        <v>3.7999999999999999E-2</v>
      </c>
      <c r="G1239" s="41">
        <v>40498</v>
      </c>
      <c r="H1239" s="41">
        <v>40863</v>
      </c>
      <c r="I1239" s="258">
        <v>52</v>
      </c>
      <c r="J1239" s="45" t="s">
        <v>369</v>
      </c>
      <c r="K1239" s="39" t="s">
        <v>1716</v>
      </c>
      <c r="L1239" s="39" t="s">
        <v>1014</v>
      </c>
      <c r="M1239" s="38" t="s">
        <v>557</v>
      </c>
    </row>
    <row r="1240" spans="1:14" x14ac:dyDescent="0.2">
      <c r="A1240" s="38" t="s">
        <v>1035</v>
      </c>
      <c r="B1240" s="38">
        <v>201025</v>
      </c>
      <c r="C1240" s="55" t="s">
        <v>1862</v>
      </c>
      <c r="D1240" s="279">
        <v>100000</v>
      </c>
      <c r="F1240" s="40">
        <v>3.27E-2</v>
      </c>
      <c r="G1240" s="41">
        <v>40504</v>
      </c>
      <c r="H1240" s="41">
        <v>40595</v>
      </c>
      <c r="I1240" s="258">
        <v>13</v>
      </c>
      <c r="J1240" s="45" t="s">
        <v>369</v>
      </c>
      <c r="K1240" s="39" t="s">
        <v>1716</v>
      </c>
      <c r="L1240" s="39" t="s">
        <v>1014</v>
      </c>
      <c r="M1240" s="38" t="s">
        <v>1035</v>
      </c>
    </row>
    <row r="1241" spans="1:14" x14ac:dyDescent="0.2">
      <c r="A1241" s="38" t="s">
        <v>1844</v>
      </c>
      <c r="B1241" s="38">
        <v>9121</v>
      </c>
      <c r="C1241" s="55" t="s">
        <v>279</v>
      </c>
      <c r="D1241" s="279">
        <v>100000</v>
      </c>
      <c r="F1241" s="40">
        <v>4.7899999999999998E-2</v>
      </c>
      <c r="G1241" s="41">
        <v>40511</v>
      </c>
      <c r="H1241" s="41">
        <v>47816</v>
      </c>
      <c r="I1241" s="258">
        <v>20</v>
      </c>
      <c r="J1241" s="45" t="s">
        <v>1716</v>
      </c>
      <c r="K1241" s="39" t="s">
        <v>1716</v>
      </c>
      <c r="L1241" s="39" t="s">
        <v>1014</v>
      </c>
      <c r="M1241" s="38" t="s">
        <v>1844</v>
      </c>
    </row>
    <row r="1242" spans="1:14" x14ac:dyDescent="0.2">
      <c r="A1242" s="38" t="s">
        <v>1035</v>
      </c>
      <c r="B1242" s="38">
        <v>201028</v>
      </c>
      <c r="C1242" s="55" t="s">
        <v>280</v>
      </c>
      <c r="D1242" s="279">
        <v>100000</v>
      </c>
      <c r="F1242" s="40">
        <v>3.27E-2</v>
      </c>
      <c r="G1242" s="41">
        <v>40511</v>
      </c>
      <c r="H1242" s="41">
        <v>40602</v>
      </c>
      <c r="I1242" s="258">
        <v>13</v>
      </c>
      <c r="J1242" s="45" t="s">
        <v>369</v>
      </c>
      <c r="K1242" s="39" t="s">
        <v>1716</v>
      </c>
      <c r="L1242" s="39" t="s">
        <v>1014</v>
      </c>
      <c r="M1242" s="38" t="s">
        <v>1035</v>
      </c>
    </row>
    <row r="1243" spans="1:14" x14ac:dyDescent="0.2">
      <c r="A1243" s="38" t="s">
        <v>1035</v>
      </c>
      <c r="B1243" s="38">
        <v>201032</v>
      </c>
      <c r="C1243" s="55" t="s">
        <v>460</v>
      </c>
      <c r="D1243" s="279">
        <v>100000</v>
      </c>
      <c r="F1243" s="40">
        <v>3.2899999999999999E-2</v>
      </c>
      <c r="G1243" s="41">
        <v>40518</v>
      </c>
      <c r="H1243" s="41">
        <v>40609</v>
      </c>
      <c r="I1243" s="258">
        <v>13</v>
      </c>
      <c r="J1243" s="45" t="s">
        <v>369</v>
      </c>
      <c r="K1243" s="39" t="s">
        <v>1716</v>
      </c>
      <c r="L1243" s="39" t="s">
        <v>1014</v>
      </c>
      <c r="M1243" s="38" t="s">
        <v>1035</v>
      </c>
    </row>
    <row r="1244" spans="1:14" x14ac:dyDescent="0.2">
      <c r="A1244" s="38" t="s">
        <v>1035</v>
      </c>
      <c r="B1244" s="38">
        <v>201033</v>
      </c>
      <c r="C1244" s="55" t="s">
        <v>460</v>
      </c>
      <c r="D1244" s="279">
        <v>100000</v>
      </c>
      <c r="F1244" s="40">
        <v>3.27E-2</v>
      </c>
      <c r="G1244" s="41">
        <v>40518</v>
      </c>
      <c r="H1244" s="41">
        <v>40609</v>
      </c>
      <c r="I1244" s="258">
        <v>13</v>
      </c>
      <c r="J1244" s="45" t="s">
        <v>369</v>
      </c>
      <c r="K1244" s="39" t="s">
        <v>1716</v>
      </c>
      <c r="L1244" s="39" t="s">
        <v>1014</v>
      </c>
      <c r="M1244" s="38" t="s">
        <v>1035</v>
      </c>
    </row>
    <row r="1245" spans="1:14" x14ac:dyDescent="0.2">
      <c r="A1245" s="38" t="s">
        <v>557</v>
      </c>
      <c r="B1245" s="38">
        <v>150699</v>
      </c>
      <c r="C1245" s="55" t="s">
        <v>746</v>
      </c>
      <c r="D1245" s="279">
        <v>100000</v>
      </c>
      <c r="F1245" s="40">
        <v>3.5000000000000003E-2</v>
      </c>
      <c r="G1245" s="41">
        <v>40521</v>
      </c>
      <c r="H1245" s="41">
        <v>40612</v>
      </c>
      <c r="I1245" s="258">
        <v>13</v>
      </c>
      <c r="J1245" s="45" t="s">
        <v>369</v>
      </c>
      <c r="K1245" s="39" t="s">
        <v>1716</v>
      </c>
      <c r="L1245" s="39" t="s">
        <v>1014</v>
      </c>
      <c r="M1245" s="38" t="s">
        <v>557</v>
      </c>
    </row>
    <row r="1246" spans="1:14" x14ac:dyDescent="0.2">
      <c r="A1246" s="38" t="s">
        <v>355</v>
      </c>
      <c r="B1246" s="38">
        <v>9122</v>
      </c>
      <c r="C1246" s="55" t="s">
        <v>354</v>
      </c>
      <c r="D1246" s="279">
        <v>100000</v>
      </c>
      <c r="F1246" s="40">
        <v>5.3800000000000001E-2</v>
      </c>
      <c r="G1246" s="41">
        <v>40528</v>
      </c>
      <c r="H1246" s="41">
        <v>44181</v>
      </c>
      <c r="I1246" s="258">
        <v>10</v>
      </c>
      <c r="J1246" s="45" t="s">
        <v>1716</v>
      </c>
      <c r="K1246" s="39" t="s">
        <v>1716</v>
      </c>
      <c r="L1246" s="39" t="s">
        <v>1014</v>
      </c>
      <c r="M1246" s="38" t="s">
        <v>355</v>
      </c>
      <c r="N1246" s="38" t="s">
        <v>1251</v>
      </c>
    </row>
    <row r="1247" spans="1:14" x14ac:dyDescent="0.2">
      <c r="A1247" s="38" t="s">
        <v>216</v>
      </c>
      <c r="B1247" s="38">
        <v>9125</v>
      </c>
      <c r="C1247" s="55" t="s">
        <v>1267</v>
      </c>
      <c r="D1247" s="279">
        <v>100000</v>
      </c>
      <c r="F1247" s="40">
        <v>4.6800000000000001E-2</v>
      </c>
      <c r="G1247" s="41">
        <v>41263</v>
      </c>
      <c r="H1247" s="41">
        <v>41628</v>
      </c>
      <c r="I1247" s="258">
        <v>52</v>
      </c>
      <c r="J1247" s="45" t="s">
        <v>369</v>
      </c>
      <c r="K1247" s="39" t="s">
        <v>1716</v>
      </c>
      <c r="L1247" s="39" t="s">
        <v>1014</v>
      </c>
      <c r="M1247" s="38" t="s">
        <v>216</v>
      </c>
      <c r="N1247" s="38" t="s">
        <v>217</v>
      </c>
    </row>
    <row r="1248" spans="1:14" x14ac:dyDescent="0.2">
      <c r="A1248" s="38" t="s">
        <v>557</v>
      </c>
      <c r="B1248" s="38">
        <v>150709</v>
      </c>
      <c r="C1248" s="55" t="s">
        <v>227</v>
      </c>
      <c r="D1248" s="279">
        <v>100000</v>
      </c>
      <c r="F1248" s="40">
        <v>3.95E-2</v>
      </c>
      <c r="G1248" s="41">
        <v>40533</v>
      </c>
      <c r="H1248" s="41">
        <v>40897</v>
      </c>
      <c r="I1248" s="258">
        <v>13</v>
      </c>
      <c r="J1248" s="45" t="s">
        <v>369</v>
      </c>
      <c r="K1248" s="39" t="s">
        <v>1716</v>
      </c>
      <c r="L1248" s="39" t="s">
        <v>1014</v>
      </c>
      <c r="M1248" s="38" t="s">
        <v>557</v>
      </c>
      <c r="N1248" s="38" t="s">
        <v>228</v>
      </c>
    </row>
    <row r="1249" spans="1:14" x14ac:dyDescent="0.2">
      <c r="A1249" s="38" t="s">
        <v>557</v>
      </c>
      <c r="B1249" s="38">
        <v>150554</v>
      </c>
      <c r="C1249" s="55" t="s">
        <v>807</v>
      </c>
      <c r="D1249" s="279">
        <v>100000</v>
      </c>
      <c r="F1249" s="40">
        <v>4.0500000000000001E-2</v>
      </c>
      <c r="G1249" s="41">
        <v>40156</v>
      </c>
      <c r="H1249" s="41">
        <v>40696</v>
      </c>
      <c r="I1249" s="258">
        <v>1.5</v>
      </c>
      <c r="J1249" s="45" t="s">
        <v>1716</v>
      </c>
      <c r="K1249" s="39" t="s">
        <v>1716</v>
      </c>
      <c r="L1249" s="39" t="s">
        <v>1014</v>
      </c>
      <c r="M1249" s="38" t="s">
        <v>557</v>
      </c>
      <c r="N1249" s="38" t="s">
        <v>808</v>
      </c>
    </row>
    <row r="1250" spans="1:14" x14ac:dyDescent="0.2">
      <c r="A1250" s="38" t="s">
        <v>1035</v>
      </c>
      <c r="B1250" s="38">
        <v>201018</v>
      </c>
      <c r="C1250" s="55" t="s">
        <v>152</v>
      </c>
      <c r="D1250" s="279">
        <v>100000</v>
      </c>
      <c r="F1250" s="40">
        <v>3.5499999999999997E-2</v>
      </c>
      <c r="G1250" s="41">
        <v>40468</v>
      </c>
      <c r="H1250" s="41">
        <v>40833</v>
      </c>
      <c r="I1250" s="258">
        <v>52</v>
      </c>
      <c r="J1250" s="45" t="s">
        <v>369</v>
      </c>
      <c r="K1250" s="39" t="s">
        <v>1716</v>
      </c>
      <c r="L1250" s="39" t="s">
        <v>1014</v>
      </c>
      <c r="M1250" s="38" t="s">
        <v>1035</v>
      </c>
    </row>
    <row r="1251" spans="1:14" x14ac:dyDescent="0.2">
      <c r="A1251" s="38" t="s">
        <v>1035</v>
      </c>
      <c r="B1251" s="38">
        <v>201017</v>
      </c>
      <c r="C1251" s="55" t="s">
        <v>153</v>
      </c>
      <c r="D1251" s="279">
        <v>100000</v>
      </c>
      <c r="F1251" s="40">
        <v>3.6999999999999998E-2</v>
      </c>
      <c r="G1251" s="41">
        <v>40466</v>
      </c>
      <c r="H1251" s="41">
        <v>41197</v>
      </c>
      <c r="I1251" s="258">
        <v>2</v>
      </c>
      <c r="J1251" s="45" t="s">
        <v>1716</v>
      </c>
      <c r="K1251" s="39" t="s">
        <v>1716</v>
      </c>
      <c r="L1251" s="39" t="s">
        <v>1014</v>
      </c>
      <c r="M1251" s="38" t="s">
        <v>1035</v>
      </c>
    </row>
    <row r="1252" spans="1:14" x14ac:dyDescent="0.2">
      <c r="A1252" s="38" t="s">
        <v>1035</v>
      </c>
      <c r="B1252" s="38">
        <v>201023</v>
      </c>
      <c r="C1252" s="55" t="s">
        <v>1860</v>
      </c>
      <c r="D1252" s="279">
        <v>100000</v>
      </c>
      <c r="F1252" s="40">
        <v>3.3300000000000003E-2</v>
      </c>
      <c r="G1252" s="41">
        <v>40497</v>
      </c>
      <c r="H1252" s="41">
        <v>40679</v>
      </c>
      <c r="I1252" s="258">
        <v>26</v>
      </c>
      <c r="J1252" s="45" t="s">
        <v>369</v>
      </c>
      <c r="K1252" s="39" t="s">
        <v>1716</v>
      </c>
      <c r="L1252" s="39" t="s">
        <v>1014</v>
      </c>
      <c r="M1252" s="38" t="s">
        <v>1035</v>
      </c>
    </row>
    <row r="1253" spans="1:14" x14ac:dyDescent="0.2">
      <c r="A1253" s="38" t="s">
        <v>1035</v>
      </c>
      <c r="B1253" s="38">
        <v>201024</v>
      </c>
      <c r="C1253" s="55" t="s">
        <v>1861</v>
      </c>
      <c r="D1253" s="279">
        <v>100000</v>
      </c>
      <c r="F1253" s="40">
        <v>3.9E-2</v>
      </c>
      <c r="G1253" s="41">
        <v>40651</v>
      </c>
      <c r="H1253" s="41">
        <v>42478</v>
      </c>
      <c r="I1253" s="258">
        <v>5</v>
      </c>
      <c r="J1253" s="45" t="s">
        <v>1716</v>
      </c>
      <c r="K1253" s="39" t="s">
        <v>1716</v>
      </c>
      <c r="L1253" s="39" t="s">
        <v>1014</v>
      </c>
      <c r="M1253" s="38" t="s">
        <v>1035</v>
      </c>
    </row>
    <row r="1254" spans="1:14" x14ac:dyDescent="0.2">
      <c r="A1254" s="38" t="s">
        <v>557</v>
      </c>
      <c r="B1254" s="38">
        <v>150597</v>
      </c>
      <c r="C1254" s="55" t="s">
        <v>61</v>
      </c>
      <c r="D1254" s="279">
        <v>100000</v>
      </c>
      <c r="F1254" s="40">
        <v>0.04</v>
      </c>
      <c r="G1254" s="41">
        <v>40267</v>
      </c>
      <c r="H1254" s="41">
        <v>40631</v>
      </c>
      <c r="I1254" s="258">
        <v>52</v>
      </c>
      <c r="J1254" s="45" t="s">
        <v>369</v>
      </c>
      <c r="K1254" s="39" t="s">
        <v>1716</v>
      </c>
      <c r="L1254" s="39" t="s">
        <v>1014</v>
      </c>
      <c r="M1254" s="38" t="s">
        <v>557</v>
      </c>
    </row>
    <row r="1255" spans="1:14" x14ac:dyDescent="0.2">
      <c r="A1255" s="38" t="s">
        <v>1040</v>
      </c>
      <c r="B1255" s="38">
        <v>9126</v>
      </c>
      <c r="C1255" s="55" t="s">
        <v>1038</v>
      </c>
      <c r="D1255" s="279">
        <v>100000</v>
      </c>
      <c r="F1255" s="40">
        <v>4.9399999999999999E-2</v>
      </c>
      <c r="G1255" s="41">
        <v>40543</v>
      </c>
      <c r="H1255" s="41">
        <v>42369</v>
      </c>
      <c r="I1255" s="258">
        <v>5</v>
      </c>
      <c r="J1255" s="45" t="s">
        <v>1716</v>
      </c>
      <c r="K1255" s="39" t="s">
        <v>1716</v>
      </c>
      <c r="L1255" s="39" t="s">
        <v>1014</v>
      </c>
      <c r="M1255" s="38" t="s">
        <v>1454</v>
      </c>
      <c r="N1255" s="38" t="s">
        <v>1039</v>
      </c>
    </row>
    <row r="1256" spans="1:14" x14ac:dyDescent="0.2">
      <c r="A1256" s="38" t="s">
        <v>557</v>
      </c>
      <c r="B1256" s="38">
        <v>150705</v>
      </c>
      <c r="C1256" s="55" t="s">
        <v>1260</v>
      </c>
      <c r="D1256" s="279">
        <v>100000</v>
      </c>
      <c r="F1256" s="40">
        <v>4.1500000000000002E-2</v>
      </c>
      <c r="G1256" s="41">
        <v>40527</v>
      </c>
      <c r="H1256" s="41">
        <v>40891</v>
      </c>
      <c r="I1256" s="258">
        <v>52</v>
      </c>
      <c r="J1256" s="45" t="s">
        <v>369</v>
      </c>
      <c r="K1256" s="39" t="s">
        <v>1716</v>
      </c>
      <c r="L1256" s="39" t="s">
        <v>1014</v>
      </c>
      <c r="M1256" s="38" t="s">
        <v>1451</v>
      </c>
      <c r="N1256" s="38" t="s">
        <v>1453</v>
      </c>
    </row>
    <row r="1257" spans="1:14" x14ac:dyDescent="0.2">
      <c r="A1257" s="38" t="s">
        <v>557</v>
      </c>
      <c r="B1257" s="38">
        <v>150718</v>
      </c>
      <c r="C1257" s="55" t="s">
        <v>1595</v>
      </c>
      <c r="D1257" s="279">
        <v>100000</v>
      </c>
      <c r="F1257" s="40">
        <v>4.1000000000000002E-2</v>
      </c>
      <c r="G1257" s="41">
        <v>40553</v>
      </c>
      <c r="H1257" s="41">
        <v>41284</v>
      </c>
      <c r="I1257" s="258">
        <v>2</v>
      </c>
      <c r="J1257" s="45" t="s">
        <v>1716</v>
      </c>
      <c r="K1257" s="39" t="s">
        <v>1716</v>
      </c>
      <c r="L1257" s="39" t="s">
        <v>1014</v>
      </c>
      <c r="M1257" s="38" t="s">
        <v>1451</v>
      </c>
      <c r="N1257" s="38" t="s">
        <v>1452</v>
      </c>
    </row>
    <row r="1258" spans="1:14" x14ac:dyDescent="0.2">
      <c r="A1258" s="38" t="s">
        <v>557</v>
      </c>
      <c r="B1258" s="38">
        <v>150719</v>
      </c>
      <c r="C1258" s="55" t="s">
        <v>1358</v>
      </c>
      <c r="D1258" s="279">
        <v>100000</v>
      </c>
      <c r="F1258" s="40">
        <v>4.1000000000000002E-2</v>
      </c>
      <c r="G1258" s="41">
        <v>40557</v>
      </c>
      <c r="H1258" s="41">
        <v>41288</v>
      </c>
      <c r="I1258" s="258">
        <v>3</v>
      </c>
      <c r="J1258" s="45" t="s">
        <v>1716</v>
      </c>
      <c r="K1258" s="39" t="s">
        <v>1716</v>
      </c>
      <c r="L1258" s="39" t="s">
        <v>1014</v>
      </c>
      <c r="M1258" s="38" t="s">
        <v>557</v>
      </c>
      <c r="N1258" s="38" t="s">
        <v>1359</v>
      </c>
    </row>
    <row r="1259" spans="1:14" x14ac:dyDescent="0.2">
      <c r="A1259" s="38" t="s">
        <v>557</v>
      </c>
      <c r="B1259" s="38">
        <v>150555</v>
      </c>
      <c r="C1259" s="55" t="s">
        <v>1735</v>
      </c>
      <c r="D1259" s="279">
        <v>100000</v>
      </c>
      <c r="F1259" s="40">
        <v>4.2000000000000003E-2</v>
      </c>
      <c r="G1259" s="41">
        <v>40156</v>
      </c>
      <c r="H1259" s="41">
        <v>41057</v>
      </c>
      <c r="I1259" s="258">
        <v>2</v>
      </c>
      <c r="J1259" s="45" t="s">
        <v>1716</v>
      </c>
      <c r="K1259" s="39" t="s">
        <v>1716</v>
      </c>
      <c r="L1259" s="39" t="s">
        <v>1014</v>
      </c>
      <c r="M1259" s="38" t="s">
        <v>557</v>
      </c>
      <c r="N1259" s="38" t="s">
        <v>808</v>
      </c>
    </row>
    <row r="1260" spans="1:14" x14ac:dyDescent="0.2">
      <c r="A1260" s="38" t="s">
        <v>557</v>
      </c>
      <c r="B1260" s="38">
        <v>150721</v>
      </c>
      <c r="C1260" s="55" t="s">
        <v>2006</v>
      </c>
      <c r="D1260" s="279">
        <v>100000</v>
      </c>
      <c r="F1260" s="40">
        <v>4.0899999999999999E-2</v>
      </c>
      <c r="G1260" s="41">
        <v>40567</v>
      </c>
      <c r="H1260" s="41">
        <v>41267</v>
      </c>
      <c r="I1260" s="258">
        <v>2</v>
      </c>
      <c r="J1260" s="45" t="s">
        <v>1716</v>
      </c>
      <c r="K1260" s="39" t="s">
        <v>1716</v>
      </c>
      <c r="L1260" s="39" t="s">
        <v>1014</v>
      </c>
      <c r="M1260" s="38" t="s">
        <v>557</v>
      </c>
      <c r="N1260" s="38" t="s">
        <v>2007</v>
      </c>
    </row>
    <row r="1261" spans="1:14" x14ac:dyDescent="0.2">
      <c r="A1261" s="38" t="s">
        <v>557</v>
      </c>
      <c r="B1261" s="38">
        <v>150720</v>
      </c>
      <c r="C1261" s="38" t="s">
        <v>942</v>
      </c>
      <c r="D1261" s="279">
        <v>100000</v>
      </c>
      <c r="F1261" s="40">
        <v>3.5499999999999997E-2</v>
      </c>
      <c r="G1261" s="41">
        <v>40567</v>
      </c>
      <c r="H1261" s="41">
        <v>40658</v>
      </c>
      <c r="I1261" s="39">
        <v>13</v>
      </c>
      <c r="J1261" s="45" t="s">
        <v>369</v>
      </c>
      <c r="K1261" s="39" t="s">
        <v>1716</v>
      </c>
      <c r="L1261" s="39" t="s">
        <v>1014</v>
      </c>
      <c r="M1261" s="38" t="s">
        <v>557</v>
      </c>
      <c r="N1261" s="38" t="s">
        <v>1649</v>
      </c>
    </row>
    <row r="1262" spans="1:14" x14ac:dyDescent="0.2">
      <c r="A1262" s="38" t="s">
        <v>1035</v>
      </c>
      <c r="B1262" s="38">
        <v>201041</v>
      </c>
      <c r="C1262" s="38" t="s">
        <v>1829</v>
      </c>
      <c r="D1262" s="279">
        <v>100000</v>
      </c>
      <c r="F1262" s="40">
        <v>4.1500000000000002E-2</v>
      </c>
      <c r="G1262" s="41">
        <v>40652</v>
      </c>
      <c r="H1262" s="41">
        <v>44305</v>
      </c>
      <c r="I1262" s="39">
        <v>10</v>
      </c>
      <c r="J1262" s="45" t="s">
        <v>1716</v>
      </c>
      <c r="K1262" s="39" t="s">
        <v>1716</v>
      </c>
      <c r="L1262" s="39" t="s">
        <v>1014</v>
      </c>
      <c r="M1262" s="38" t="s">
        <v>1035</v>
      </c>
    </row>
    <row r="1263" spans="1:14" x14ac:dyDescent="0.2">
      <c r="A1263" s="38" t="s">
        <v>1035</v>
      </c>
      <c r="B1263" s="38">
        <v>200993</v>
      </c>
      <c r="C1263" s="38" t="s">
        <v>1830</v>
      </c>
      <c r="D1263" s="279">
        <v>100000</v>
      </c>
      <c r="F1263" s="40">
        <v>4.2000000000000003E-2</v>
      </c>
      <c r="G1263" s="41">
        <v>40238</v>
      </c>
      <c r="H1263" s="41">
        <v>45717</v>
      </c>
      <c r="I1263" s="39">
        <v>15</v>
      </c>
      <c r="J1263" s="45" t="s">
        <v>1716</v>
      </c>
      <c r="K1263" s="39" t="s">
        <v>1716</v>
      </c>
      <c r="L1263" s="39" t="s">
        <v>1014</v>
      </c>
      <c r="M1263" s="38" t="s">
        <v>1035</v>
      </c>
    </row>
    <row r="1264" spans="1:14" x14ac:dyDescent="0.2">
      <c r="A1264" s="38" t="s">
        <v>216</v>
      </c>
      <c r="B1264" s="38">
        <v>9128</v>
      </c>
      <c r="C1264" s="38" t="s">
        <v>1831</v>
      </c>
      <c r="D1264" s="279">
        <v>100000</v>
      </c>
      <c r="F1264" s="40">
        <v>0.04</v>
      </c>
      <c r="G1264" s="41">
        <v>40574</v>
      </c>
      <c r="H1264" s="41">
        <v>40939</v>
      </c>
      <c r="I1264" s="39">
        <v>52</v>
      </c>
      <c r="J1264" s="45" t="s">
        <v>369</v>
      </c>
      <c r="K1264" s="39" t="s">
        <v>1716</v>
      </c>
      <c r="L1264" s="39" t="s">
        <v>1014</v>
      </c>
      <c r="M1264" s="38" t="s">
        <v>216</v>
      </c>
      <c r="N1264" s="38" t="s">
        <v>1832</v>
      </c>
    </row>
    <row r="1265" spans="1:14" x14ac:dyDescent="0.2">
      <c r="A1265" s="38" t="s">
        <v>1978</v>
      </c>
      <c r="B1265" s="38">
        <v>100426</v>
      </c>
      <c r="C1265" s="38" t="s">
        <v>1977</v>
      </c>
      <c r="D1265" s="279">
        <v>100000</v>
      </c>
      <c r="F1265" s="40">
        <v>4.5699999999999998E-2</v>
      </c>
      <c r="G1265" s="41">
        <v>38902</v>
      </c>
      <c r="H1265" s="41">
        <v>40728</v>
      </c>
      <c r="I1265" s="39">
        <v>5</v>
      </c>
      <c r="J1265" s="45" t="s">
        <v>1716</v>
      </c>
      <c r="K1265" s="39" t="s">
        <v>1716</v>
      </c>
      <c r="L1265" s="39" t="s">
        <v>1014</v>
      </c>
      <c r="M1265" s="38" t="s">
        <v>1978</v>
      </c>
      <c r="N1265" s="38" t="s">
        <v>1979</v>
      </c>
    </row>
    <row r="1266" spans="1:14" x14ac:dyDescent="0.2">
      <c r="A1266" s="38" t="s">
        <v>557</v>
      </c>
      <c r="B1266" s="38">
        <v>150722</v>
      </c>
      <c r="C1266" s="38" t="s">
        <v>520</v>
      </c>
      <c r="D1266" s="279">
        <v>100000</v>
      </c>
      <c r="F1266" s="40">
        <v>4.2500000000000003E-2</v>
      </c>
      <c r="G1266" s="41">
        <v>40577</v>
      </c>
      <c r="H1266" s="41">
        <v>41673</v>
      </c>
      <c r="I1266" s="39">
        <v>3</v>
      </c>
      <c r="J1266" s="45" t="s">
        <v>1716</v>
      </c>
      <c r="K1266" s="39" t="s">
        <v>1716</v>
      </c>
      <c r="L1266" s="39" t="s">
        <v>1014</v>
      </c>
      <c r="M1266" s="38" t="s">
        <v>557</v>
      </c>
      <c r="N1266" s="38" t="s">
        <v>2007</v>
      </c>
    </row>
    <row r="1267" spans="1:14" x14ac:dyDescent="0.2">
      <c r="A1267" s="38" t="s">
        <v>1035</v>
      </c>
      <c r="B1267" s="38">
        <v>201040</v>
      </c>
      <c r="C1267" s="38" t="s">
        <v>91</v>
      </c>
      <c r="D1267" s="279">
        <v>100000</v>
      </c>
      <c r="F1267" s="40">
        <v>3.6499999999999998E-2</v>
      </c>
      <c r="G1267" s="41">
        <v>40567</v>
      </c>
      <c r="H1267" s="41">
        <v>41351</v>
      </c>
      <c r="I1267" s="39">
        <v>2</v>
      </c>
      <c r="J1267" s="45" t="s">
        <v>1716</v>
      </c>
      <c r="K1267" s="39" t="s">
        <v>1716</v>
      </c>
      <c r="L1267" s="39" t="s">
        <v>1014</v>
      </c>
      <c r="M1267" s="38" t="s">
        <v>1035</v>
      </c>
      <c r="N1267" s="38" t="s">
        <v>92</v>
      </c>
    </row>
    <row r="1268" spans="1:14" x14ac:dyDescent="0.2">
      <c r="A1268" s="38" t="s">
        <v>557</v>
      </c>
      <c r="B1268" s="38">
        <v>150725</v>
      </c>
      <c r="C1268" s="38" t="s">
        <v>526</v>
      </c>
      <c r="D1268" s="279">
        <v>100000</v>
      </c>
      <c r="F1268" s="40">
        <v>4.1000000000000002E-2</v>
      </c>
      <c r="G1268" s="41">
        <v>40585</v>
      </c>
      <c r="H1268" s="41">
        <v>41316</v>
      </c>
      <c r="I1268" s="39">
        <v>2</v>
      </c>
      <c r="J1268" s="45" t="s">
        <v>1716</v>
      </c>
      <c r="K1268" s="39" t="s">
        <v>1716</v>
      </c>
      <c r="L1268" s="39" t="s">
        <v>1014</v>
      </c>
      <c r="M1268" s="38" t="s">
        <v>557</v>
      </c>
      <c r="N1268" s="38" t="s">
        <v>527</v>
      </c>
    </row>
    <row r="1269" spans="1:14" x14ac:dyDescent="0.2">
      <c r="A1269" s="38" t="s">
        <v>1035</v>
      </c>
      <c r="B1269" s="38">
        <v>201030</v>
      </c>
      <c r="C1269" s="38" t="s">
        <v>528</v>
      </c>
      <c r="D1269" s="279">
        <v>100000</v>
      </c>
      <c r="F1269" s="40">
        <v>3.3300000000000003E-2</v>
      </c>
      <c r="G1269" s="41">
        <v>40511</v>
      </c>
      <c r="H1269" s="41">
        <v>40693</v>
      </c>
      <c r="I1269" s="39">
        <v>26</v>
      </c>
      <c r="J1269" s="45" t="s">
        <v>369</v>
      </c>
      <c r="K1269" s="39" t="s">
        <v>1716</v>
      </c>
      <c r="L1269" s="39" t="s">
        <v>1014</v>
      </c>
      <c r="M1269" s="38" t="s">
        <v>1035</v>
      </c>
    </row>
    <row r="1270" spans="1:14" x14ac:dyDescent="0.2">
      <c r="A1270" s="38" t="s">
        <v>1035</v>
      </c>
      <c r="B1270" s="38">
        <v>200999</v>
      </c>
      <c r="C1270" s="38" t="s">
        <v>1875</v>
      </c>
      <c r="D1270" s="279">
        <v>100000</v>
      </c>
      <c r="F1270" s="40">
        <v>4.3999999999999997E-2</v>
      </c>
      <c r="G1270" s="41">
        <v>40301</v>
      </c>
      <c r="H1270" s="41">
        <v>47606</v>
      </c>
      <c r="I1270" s="39">
        <v>20</v>
      </c>
      <c r="J1270" s="45" t="s">
        <v>1716</v>
      </c>
      <c r="K1270" s="39" t="s">
        <v>1716</v>
      </c>
      <c r="L1270" s="39" t="s">
        <v>1014</v>
      </c>
      <c r="M1270" s="38" t="s">
        <v>1035</v>
      </c>
    </row>
    <row r="1271" spans="1:14" x14ac:dyDescent="0.2">
      <c r="A1271" s="38" t="s">
        <v>557</v>
      </c>
      <c r="B1271" s="38">
        <v>150726</v>
      </c>
      <c r="C1271" s="38" t="s">
        <v>430</v>
      </c>
      <c r="D1271" s="279">
        <v>100000</v>
      </c>
      <c r="F1271" s="40">
        <v>4.4499999999999998E-2</v>
      </c>
      <c r="G1271" s="41">
        <v>40589</v>
      </c>
      <c r="H1271" s="41">
        <v>40954</v>
      </c>
      <c r="I1271" s="39">
        <v>52</v>
      </c>
      <c r="J1271" s="45" t="s">
        <v>369</v>
      </c>
      <c r="K1271" s="39" t="s">
        <v>1716</v>
      </c>
      <c r="L1271" s="39" t="s">
        <v>1014</v>
      </c>
      <c r="M1271" s="38" t="s">
        <v>557</v>
      </c>
    </row>
    <row r="1272" spans="1:14" x14ac:dyDescent="0.2">
      <c r="A1272" s="38" t="s">
        <v>557</v>
      </c>
      <c r="B1272" s="38">
        <v>150734</v>
      </c>
      <c r="C1272" s="38" t="s">
        <v>1834</v>
      </c>
      <c r="D1272" s="279">
        <v>100000</v>
      </c>
      <c r="F1272" s="40">
        <v>4.0500000000000001E-2</v>
      </c>
      <c r="G1272" s="41">
        <v>40602</v>
      </c>
      <c r="H1272" s="41">
        <v>40966</v>
      </c>
      <c r="I1272" s="39">
        <v>52</v>
      </c>
      <c r="J1272" s="45" t="s">
        <v>369</v>
      </c>
      <c r="K1272" s="39" t="s">
        <v>1716</v>
      </c>
      <c r="L1272" s="39" t="s">
        <v>1014</v>
      </c>
      <c r="M1272" s="38" t="s">
        <v>557</v>
      </c>
      <c r="N1272" s="38" t="s">
        <v>527</v>
      </c>
    </row>
    <row r="1273" spans="1:14" x14ac:dyDescent="0.2">
      <c r="A1273" s="38" t="s">
        <v>557</v>
      </c>
      <c r="B1273" s="38">
        <v>150736</v>
      </c>
      <c r="C1273" s="38" t="s">
        <v>112</v>
      </c>
      <c r="D1273" s="279">
        <v>100000</v>
      </c>
      <c r="F1273" s="40">
        <v>4.2500000000000003E-2</v>
      </c>
      <c r="G1273" s="41">
        <v>40605</v>
      </c>
      <c r="H1273" s="41">
        <v>41701</v>
      </c>
      <c r="I1273" s="39">
        <v>3</v>
      </c>
      <c r="J1273" s="45" t="s">
        <v>1716</v>
      </c>
      <c r="K1273" s="39" t="s">
        <v>1716</v>
      </c>
      <c r="L1273" s="39" t="s">
        <v>1014</v>
      </c>
      <c r="M1273" s="38" t="s">
        <v>557</v>
      </c>
      <c r="N1273" s="38" t="s">
        <v>2007</v>
      </c>
    </row>
    <row r="1274" spans="1:14" x14ac:dyDescent="0.2">
      <c r="A1274" s="38" t="s">
        <v>1035</v>
      </c>
      <c r="B1274" s="38">
        <v>201042</v>
      </c>
      <c r="C1274" s="55" t="s">
        <v>1839</v>
      </c>
      <c r="D1274" s="279">
        <v>100000</v>
      </c>
      <c r="F1274" s="40">
        <v>3.5499999999999997E-2</v>
      </c>
      <c r="G1274" s="41">
        <v>40581</v>
      </c>
      <c r="H1274" s="41">
        <v>40987</v>
      </c>
      <c r="I1274" s="258">
        <v>52</v>
      </c>
      <c r="J1274" s="45" t="s">
        <v>369</v>
      </c>
      <c r="K1274" s="39" t="s">
        <v>1716</v>
      </c>
      <c r="L1274" s="39" t="s">
        <v>1014</v>
      </c>
      <c r="M1274" s="38" t="s">
        <v>1035</v>
      </c>
    </row>
    <row r="1275" spans="1:14" x14ac:dyDescent="0.2">
      <c r="A1275" s="38" t="s">
        <v>1035</v>
      </c>
      <c r="B1275" s="38">
        <v>201046</v>
      </c>
      <c r="C1275" s="55" t="s">
        <v>1840</v>
      </c>
      <c r="D1275" s="279">
        <v>100000</v>
      </c>
      <c r="F1275" s="40">
        <v>3.6499999999999998E-2</v>
      </c>
      <c r="G1275" s="41">
        <v>40609</v>
      </c>
      <c r="H1275" s="41">
        <v>41379</v>
      </c>
      <c r="I1275" s="258">
        <v>2</v>
      </c>
      <c r="J1275" s="45" t="s">
        <v>1716</v>
      </c>
      <c r="K1275" s="39" t="s">
        <v>1716</v>
      </c>
      <c r="L1275" s="39" t="s">
        <v>1014</v>
      </c>
      <c r="M1275" s="38" t="s">
        <v>1035</v>
      </c>
    </row>
    <row r="1276" spans="1:14" x14ac:dyDescent="0.2">
      <c r="A1276" s="38" t="s">
        <v>557</v>
      </c>
      <c r="B1276" s="38">
        <v>150531</v>
      </c>
      <c r="C1276" s="38" t="s">
        <v>1219</v>
      </c>
      <c r="D1276" s="279">
        <v>100000</v>
      </c>
      <c r="F1276" s="40">
        <v>3.7499999999999999E-2</v>
      </c>
      <c r="G1276" s="41">
        <v>40065</v>
      </c>
      <c r="H1276" s="41">
        <v>40795</v>
      </c>
      <c r="I1276" s="39">
        <v>2</v>
      </c>
      <c r="J1276" s="45" t="s">
        <v>1716</v>
      </c>
      <c r="K1276" s="39" t="s">
        <v>1716</v>
      </c>
      <c r="L1276" s="39" t="s">
        <v>1014</v>
      </c>
      <c r="M1276" s="38" t="s">
        <v>557</v>
      </c>
      <c r="N1276" s="38" t="s">
        <v>1452</v>
      </c>
    </row>
    <row r="1277" spans="1:14" x14ac:dyDescent="0.2">
      <c r="A1277" s="38" t="s">
        <v>557</v>
      </c>
      <c r="B1277" s="38">
        <v>150696</v>
      </c>
      <c r="C1277" s="38" t="s">
        <v>1007</v>
      </c>
      <c r="D1277" s="279">
        <v>100000</v>
      </c>
      <c r="F1277" s="40">
        <v>4.1300000000000003E-2</v>
      </c>
      <c r="G1277" s="41">
        <v>40498</v>
      </c>
      <c r="H1277" s="41">
        <v>41594</v>
      </c>
      <c r="I1277" s="39">
        <v>2</v>
      </c>
      <c r="J1277" s="45" t="s">
        <v>1716</v>
      </c>
      <c r="K1277" s="39" t="s">
        <v>1716</v>
      </c>
      <c r="L1277" s="39" t="s">
        <v>1014</v>
      </c>
      <c r="M1277" s="38" t="s">
        <v>557</v>
      </c>
      <c r="N1277" s="38" t="s">
        <v>1452</v>
      </c>
    </row>
    <row r="1278" spans="1:14" x14ac:dyDescent="0.2">
      <c r="A1278" s="38" t="s">
        <v>557</v>
      </c>
      <c r="B1278" s="38">
        <v>150530</v>
      </c>
      <c r="C1278" s="38" t="s">
        <v>1008</v>
      </c>
      <c r="D1278" s="279">
        <v>100000</v>
      </c>
      <c r="F1278" s="40">
        <v>3.7499999999999999E-2</v>
      </c>
      <c r="G1278" s="41">
        <v>40064</v>
      </c>
      <c r="H1278" s="41">
        <v>40794</v>
      </c>
      <c r="I1278" s="39">
        <v>2</v>
      </c>
      <c r="J1278" s="45" t="s">
        <v>1716</v>
      </c>
      <c r="K1278" s="39" t="s">
        <v>1716</v>
      </c>
      <c r="L1278" s="39" t="s">
        <v>1014</v>
      </c>
      <c r="M1278" s="38" t="s">
        <v>557</v>
      </c>
    </row>
    <row r="1279" spans="1:14" x14ac:dyDescent="0.2">
      <c r="A1279" s="38" t="s">
        <v>557</v>
      </c>
      <c r="B1279" s="38">
        <v>150741</v>
      </c>
      <c r="C1279" s="38" t="s">
        <v>781</v>
      </c>
      <c r="D1279" s="279">
        <v>100000</v>
      </c>
      <c r="F1279" s="40">
        <v>4.3999999999999997E-2</v>
      </c>
      <c r="G1279" s="41">
        <v>40625</v>
      </c>
      <c r="H1279" s="41">
        <v>42086</v>
      </c>
      <c r="I1279" s="39">
        <v>4</v>
      </c>
      <c r="J1279" s="45" t="s">
        <v>1716</v>
      </c>
      <c r="K1279" s="39" t="s">
        <v>1716</v>
      </c>
      <c r="L1279" s="39" t="s">
        <v>1014</v>
      </c>
      <c r="M1279" s="38" t="s">
        <v>557</v>
      </c>
      <c r="N1279" s="38" t="s">
        <v>2007</v>
      </c>
    </row>
    <row r="1280" spans="1:14" x14ac:dyDescent="0.2">
      <c r="A1280" s="38" t="s">
        <v>557</v>
      </c>
      <c r="B1280" s="38">
        <v>150742</v>
      </c>
      <c r="C1280" s="38" t="s">
        <v>1704</v>
      </c>
      <c r="D1280" s="279">
        <v>100000</v>
      </c>
      <c r="F1280" s="40">
        <v>4.1500000000000002E-2</v>
      </c>
      <c r="G1280" s="41">
        <v>40627</v>
      </c>
      <c r="H1280" s="41">
        <v>41358</v>
      </c>
      <c r="I1280" s="39">
        <v>2</v>
      </c>
      <c r="J1280" s="45" t="s">
        <v>1716</v>
      </c>
      <c r="K1280" s="39" t="s">
        <v>1716</v>
      </c>
      <c r="L1280" s="39" t="s">
        <v>1014</v>
      </c>
      <c r="M1280" s="38" t="s">
        <v>557</v>
      </c>
      <c r="N1280" s="38" t="s">
        <v>2007</v>
      </c>
    </row>
    <row r="1281" spans="1:14" x14ac:dyDescent="0.2">
      <c r="A1281" s="38" t="s">
        <v>1035</v>
      </c>
      <c r="B1281" s="38">
        <v>201048</v>
      </c>
      <c r="C1281" s="38" t="s">
        <v>843</v>
      </c>
      <c r="D1281" s="279">
        <v>100000</v>
      </c>
      <c r="F1281" s="40">
        <v>3.3000000000000002E-2</v>
      </c>
      <c r="G1281" s="41">
        <v>40630</v>
      </c>
      <c r="H1281" s="41">
        <v>40721</v>
      </c>
      <c r="I1281" s="39">
        <v>13</v>
      </c>
      <c r="J1281" s="45" t="s">
        <v>369</v>
      </c>
      <c r="K1281" s="39" t="s">
        <v>1525</v>
      </c>
      <c r="L1281" s="39" t="s">
        <v>1014</v>
      </c>
      <c r="M1281" s="38" t="s">
        <v>1035</v>
      </c>
    </row>
    <row r="1282" spans="1:14" x14ac:dyDescent="0.2">
      <c r="A1282" s="38" t="s">
        <v>1035</v>
      </c>
      <c r="B1282" s="38">
        <v>201037</v>
      </c>
      <c r="C1282" s="38" t="s">
        <v>732</v>
      </c>
      <c r="D1282" s="279">
        <v>100000</v>
      </c>
      <c r="F1282" s="40">
        <v>3.5000000000000003E-2</v>
      </c>
      <c r="G1282" s="41">
        <v>40525</v>
      </c>
      <c r="H1282" s="41">
        <v>40889</v>
      </c>
      <c r="I1282" s="39">
        <v>52</v>
      </c>
      <c r="J1282" s="45" t="s">
        <v>369</v>
      </c>
      <c r="K1282" s="39" t="s">
        <v>1716</v>
      </c>
      <c r="L1282" s="39" t="s">
        <v>1014</v>
      </c>
      <c r="M1282" s="38" t="s">
        <v>1035</v>
      </c>
    </row>
    <row r="1283" spans="1:14" x14ac:dyDescent="0.2">
      <c r="A1283" s="38" t="s">
        <v>1035</v>
      </c>
      <c r="B1283" s="38">
        <v>201038</v>
      </c>
      <c r="C1283" s="38" t="s">
        <v>1066</v>
      </c>
      <c r="D1283" s="279">
        <v>100000</v>
      </c>
      <c r="F1283" s="40">
        <v>3.6499999999999998E-2</v>
      </c>
      <c r="G1283" s="41">
        <v>40525</v>
      </c>
      <c r="H1283" s="41">
        <v>41323</v>
      </c>
      <c r="I1283" s="39">
        <v>3</v>
      </c>
      <c r="J1283" s="45" t="s">
        <v>1716</v>
      </c>
      <c r="K1283" s="39" t="s">
        <v>1716</v>
      </c>
      <c r="L1283" s="39" t="s">
        <v>1014</v>
      </c>
      <c r="M1283" s="38" t="s">
        <v>1035</v>
      </c>
    </row>
    <row r="1284" spans="1:14" x14ac:dyDescent="0.2">
      <c r="A1284" s="38" t="s">
        <v>1512</v>
      </c>
      <c r="B1284" s="38">
        <v>9131</v>
      </c>
      <c r="C1284" s="38" t="s">
        <v>416</v>
      </c>
      <c r="D1284" s="279">
        <v>100000</v>
      </c>
      <c r="F1284" s="40">
        <v>3.4500000000000003E-2</v>
      </c>
      <c r="G1284" s="41">
        <v>40631</v>
      </c>
      <c r="H1284" s="41">
        <v>44284</v>
      </c>
      <c r="I1284" s="39">
        <v>10</v>
      </c>
      <c r="J1284" s="39" t="s">
        <v>1716</v>
      </c>
      <c r="K1284" s="39" t="s">
        <v>1716</v>
      </c>
      <c r="L1284" s="39" t="s">
        <v>1014</v>
      </c>
      <c r="M1284" s="38" t="s">
        <v>1512</v>
      </c>
      <c r="N1284" s="38" t="s">
        <v>808</v>
      </c>
    </row>
    <row r="1285" spans="1:14" x14ac:dyDescent="0.2">
      <c r="A1285" s="38" t="s">
        <v>557</v>
      </c>
      <c r="B1285" s="38">
        <v>150743</v>
      </c>
      <c r="C1285" s="38" t="s">
        <v>5</v>
      </c>
      <c r="D1285" s="279">
        <v>100000</v>
      </c>
      <c r="F1285" s="40">
        <v>4.0500000000000001E-2</v>
      </c>
      <c r="G1285" s="41">
        <v>40739</v>
      </c>
      <c r="H1285" s="41">
        <v>41470</v>
      </c>
      <c r="I1285" s="39">
        <v>2</v>
      </c>
      <c r="J1285" s="45" t="s">
        <v>1716</v>
      </c>
      <c r="K1285" s="39" t="s">
        <v>1716</v>
      </c>
      <c r="L1285" s="39" t="s">
        <v>1014</v>
      </c>
      <c r="M1285" s="38" t="s">
        <v>557</v>
      </c>
      <c r="N1285" s="38" t="s">
        <v>6</v>
      </c>
    </row>
    <row r="1286" spans="1:14" x14ac:dyDescent="0.2">
      <c r="A1286" s="38" t="s">
        <v>557</v>
      </c>
      <c r="B1286" s="38">
        <v>150724</v>
      </c>
      <c r="C1286" s="38" t="s">
        <v>7</v>
      </c>
      <c r="D1286" s="279">
        <v>100000</v>
      </c>
      <c r="F1286" s="40">
        <v>4.0500000000000001E-2</v>
      </c>
      <c r="G1286" s="41">
        <v>40584</v>
      </c>
      <c r="H1286" s="41">
        <v>41131</v>
      </c>
      <c r="I1286" s="39">
        <v>52</v>
      </c>
      <c r="J1286" s="45" t="s">
        <v>369</v>
      </c>
      <c r="K1286" s="39" t="s">
        <v>1716</v>
      </c>
      <c r="L1286" s="39" t="s">
        <v>1014</v>
      </c>
      <c r="M1286" s="38" t="s">
        <v>557</v>
      </c>
      <c r="N1286" s="38" t="s">
        <v>2007</v>
      </c>
    </row>
    <row r="1287" spans="1:14" x14ac:dyDescent="0.2">
      <c r="A1287" s="38" t="s">
        <v>557</v>
      </c>
      <c r="B1287" s="38">
        <v>150716</v>
      </c>
      <c r="C1287" s="38" t="s">
        <v>8</v>
      </c>
      <c r="D1287" s="279">
        <v>100000</v>
      </c>
      <c r="F1287" s="40">
        <v>0.04</v>
      </c>
      <c r="G1287" s="41">
        <v>40546</v>
      </c>
      <c r="H1287" s="41">
        <v>40907</v>
      </c>
      <c r="I1287" s="39">
        <v>26</v>
      </c>
      <c r="J1287" s="45" t="s">
        <v>369</v>
      </c>
      <c r="K1287" s="39" t="s">
        <v>1716</v>
      </c>
      <c r="L1287" s="39" t="s">
        <v>1014</v>
      </c>
      <c r="M1287" s="38" t="s">
        <v>557</v>
      </c>
      <c r="N1287" s="38" t="s">
        <v>1452</v>
      </c>
    </row>
    <row r="1288" spans="1:14" s="342" customFormat="1" x14ac:dyDescent="0.2">
      <c r="A1288" s="339" t="s">
        <v>557</v>
      </c>
      <c r="B1288" s="339">
        <v>150753</v>
      </c>
      <c r="C1288" s="339" t="s">
        <v>311</v>
      </c>
      <c r="D1288" s="583">
        <v>100000</v>
      </c>
      <c r="E1288" s="339"/>
      <c r="F1288" s="673">
        <v>2.98E-2</v>
      </c>
      <c r="G1288" s="340">
        <v>42846</v>
      </c>
      <c r="H1288" s="340">
        <v>43211</v>
      </c>
      <c r="I1288" s="341">
        <v>52</v>
      </c>
      <c r="J1288" s="343" t="s">
        <v>369</v>
      </c>
      <c r="K1288" s="341" t="s">
        <v>1716</v>
      </c>
      <c r="L1288" s="341" t="s">
        <v>1014</v>
      </c>
      <c r="M1288" s="339" t="s">
        <v>557</v>
      </c>
      <c r="N1288" s="339" t="s">
        <v>1649</v>
      </c>
    </row>
    <row r="1289" spans="1:14" x14ac:dyDescent="0.2">
      <c r="A1289" s="38" t="s">
        <v>557</v>
      </c>
      <c r="B1289" s="38">
        <v>150758</v>
      </c>
      <c r="C1289" s="38" t="s">
        <v>401</v>
      </c>
      <c r="D1289" s="279">
        <v>100000</v>
      </c>
      <c r="F1289" s="40">
        <v>0.04</v>
      </c>
      <c r="G1289" s="41">
        <v>40658</v>
      </c>
      <c r="H1289" s="41">
        <v>41022</v>
      </c>
      <c r="I1289" s="39">
        <v>52</v>
      </c>
      <c r="J1289" s="45" t="s">
        <v>369</v>
      </c>
      <c r="K1289" s="39" t="s">
        <v>1716</v>
      </c>
      <c r="L1289" s="39" t="s">
        <v>1014</v>
      </c>
      <c r="M1289" s="38" t="s">
        <v>557</v>
      </c>
      <c r="N1289" s="38" t="s">
        <v>402</v>
      </c>
    </row>
    <row r="1290" spans="1:14" x14ac:dyDescent="0.2">
      <c r="A1290" s="38" t="s">
        <v>557</v>
      </c>
      <c r="B1290" s="38">
        <v>150764</v>
      </c>
      <c r="C1290" s="38" t="s">
        <v>1240</v>
      </c>
      <c r="D1290" s="279">
        <v>100000</v>
      </c>
      <c r="F1290" s="40">
        <v>3.7499999999999999E-2</v>
      </c>
      <c r="G1290" s="41">
        <v>40660</v>
      </c>
      <c r="H1290" s="41">
        <v>40892</v>
      </c>
      <c r="I1290" s="39">
        <v>52</v>
      </c>
      <c r="J1290" s="45" t="s">
        <v>369</v>
      </c>
      <c r="K1290" s="39" t="s">
        <v>1716</v>
      </c>
      <c r="L1290" s="39" t="s">
        <v>1014</v>
      </c>
      <c r="M1290" s="38" t="s">
        <v>557</v>
      </c>
      <c r="N1290" s="38" t="s">
        <v>6</v>
      </c>
    </row>
    <row r="1291" spans="1:14" x14ac:dyDescent="0.2">
      <c r="A1291" s="38" t="s">
        <v>557</v>
      </c>
      <c r="B1291" s="38">
        <v>150427</v>
      </c>
      <c r="C1291" s="38" t="s">
        <v>730</v>
      </c>
      <c r="D1291" s="279">
        <v>100000</v>
      </c>
      <c r="F1291" s="40">
        <v>4.4999999999999998E-2</v>
      </c>
      <c r="G1291" s="41">
        <v>39589</v>
      </c>
      <c r="H1291" s="41">
        <v>41415</v>
      </c>
      <c r="I1291" s="39">
        <v>5</v>
      </c>
      <c r="J1291" s="39" t="s">
        <v>1716</v>
      </c>
      <c r="K1291" s="39" t="s">
        <v>1716</v>
      </c>
      <c r="L1291" s="39" t="s">
        <v>1014</v>
      </c>
      <c r="M1291" s="38" t="s">
        <v>557</v>
      </c>
      <c r="N1291" s="38" t="s">
        <v>6</v>
      </c>
    </row>
    <row r="1292" spans="1:14" x14ac:dyDescent="0.2">
      <c r="A1292" s="38" t="s">
        <v>1673</v>
      </c>
      <c r="B1292" s="38">
        <v>100516</v>
      </c>
      <c r="C1292" s="38" t="s">
        <v>1672</v>
      </c>
      <c r="D1292" s="279">
        <v>100000</v>
      </c>
      <c r="F1292" s="40">
        <v>4.1500000000000002E-2</v>
      </c>
      <c r="G1292" s="41">
        <v>40665</v>
      </c>
      <c r="H1292" s="41">
        <v>41396</v>
      </c>
      <c r="I1292" s="39">
        <v>2</v>
      </c>
      <c r="J1292" s="39" t="s">
        <v>1716</v>
      </c>
      <c r="K1292" s="39" t="s">
        <v>1716</v>
      </c>
      <c r="L1292" s="39" t="s">
        <v>1014</v>
      </c>
      <c r="M1292" s="38" t="s">
        <v>1674</v>
      </c>
      <c r="N1292" s="38" t="s">
        <v>1675</v>
      </c>
    </row>
    <row r="1293" spans="1:14" x14ac:dyDescent="0.2">
      <c r="A1293" s="38" t="s">
        <v>1673</v>
      </c>
      <c r="B1293" s="38">
        <v>100517</v>
      </c>
      <c r="C1293" s="38" t="s">
        <v>1676</v>
      </c>
      <c r="D1293" s="279">
        <v>100000</v>
      </c>
      <c r="F1293" s="40">
        <v>4.2500000000000003E-2</v>
      </c>
      <c r="G1293" s="41">
        <v>40665</v>
      </c>
      <c r="H1293" s="41">
        <v>41761</v>
      </c>
      <c r="I1293" s="39">
        <v>3</v>
      </c>
      <c r="J1293" s="39" t="s">
        <v>1716</v>
      </c>
      <c r="K1293" s="39" t="s">
        <v>1716</v>
      </c>
      <c r="L1293" s="39" t="s">
        <v>1014</v>
      </c>
      <c r="M1293" s="38" t="s">
        <v>1674</v>
      </c>
      <c r="N1293" s="38" t="s">
        <v>1675</v>
      </c>
    </row>
    <row r="1294" spans="1:14" x14ac:dyDescent="0.2">
      <c r="A1294" s="38" t="s">
        <v>1673</v>
      </c>
      <c r="B1294" s="38">
        <v>100518</v>
      </c>
      <c r="C1294" s="38" t="s">
        <v>990</v>
      </c>
      <c r="D1294" s="279">
        <v>100000</v>
      </c>
      <c r="F1294" s="40">
        <v>4.4499999999999998E-2</v>
      </c>
      <c r="G1294" s="41">
        <v>40665</v>
      </c>
      <c r="H1294" s="41">
        <v>42492</v>
      </c>
      <c r="I1294" s="39">
        <v>5</v>
      </c>
      <c r="J1294" s="39" t="s">
        <v>1716</v>
      </c>
      <c r="K1294" s="39" t="s">
        <v>1716</v>
      </c>
      <c r="L1294" s="39" t="s">
        <v>1014</v>
      </c>
      <c r="M1294" s="38" t="s">
        <v>1674</v>
      </c>
      <c r="N1294" s="38" t="s">
        <v>1675</v>
      </c>
    </row>
    <row r="1295" spans="1:14" x14ac:dyDescent="0.2">
      <c r="A1295" s="38" t="s">
        <v>1035</v>
      </c>
      <c r="B1295" s="38">
        <v>201026</v>
      </c>
      <c r="C1295" s="38" t="s">
        <v>67</v>
      </c>
      <c r="D1295" s="279">
        <v>100000</v>
      </c>
      <c r="F1295" s="40">
        <v>3.32E-2</v>
      </c>
      <c r="G1295" s="41">
        <v>40504</v>
      </c>
      <c r="H1295" s="41">
        <v>40686</v>
      </c>
      <c r="I1295" s="39">
        <v>26</v>
      </c>
      <c r="J1295" s="39" t="s">
        <v>369</v>
      </c>
      <c r="K1295" s="39" t="s">
        <v>1716</v>
      </c>
      <c r="L1295" s="39" t="s">
        <v>1014</v>
      </c>
      <c r="M1295" s="38" t="s">
        <v>1035</v>
      </c>
      <c r="N1295" s="38" t="s">
        <v>68</v>
      </c>
    </row>
    <row r="1296" spans="1:14" x14ac:dyDescent="0.2">
      <c r="A1296" s="38" t="s">
        <v>1035</v>
      </c>
      <c r="B1296" s="38">
        <v>201027</v>
      </c>
      <c r="C1296" s="38" t="s">
        <v>69</v>
      </c>
      <c r="D1296" s="279">
        <v>100000</v>
      </c>
      <c r="F1296" s="40">
        <v>3.3300000000000003E-2</v>
      </c>
      <c r="G1296" s="41">
        <v>40504</v>
      </c>
      <c r="H1296" s="41">
        <v>40686</v>
      </c>
      <c r="I1296" s="39">
        <v>26</v>
      </c>
      <c r="J1296" s="39" t="s">
        <v>369</v>
      </c>
      <c r="K1296" s="39" t="s">
        <v>1716</v>
      </c>
      <c r="L1296" s="39" t="s">
        <v>1014</v>
      </c>
      <c r="M1296" s="38" t="s">
        <v>1035</v>
      </c>
      <c r="N1296" s="38" t="s">
        <v>68</v>
      </c>
    </row>
    <row r="1297" spans="1:14" x14ac:dyDescent="0.2">
      <c r="A1297" s="38" t="s">
        <v>557</v>
      </c>
      <c r="B1297" s="38">
        <v>150387</v>
      </c>
      <c r="C1297" s="38" t="s">
        <v>1801</v>
      </c>
      <c r="D1297" s="279">
        <v>100000</v>
      </c>
      <c r="F1297" s="40">
        <v>4.5999999999999999E-2</v>
      </c>
      <c r="G1297" s="41">
        <v>39477</v>
      </c>
      <c r="H1297" s="41">
        <v>41304</v>
      </c>
      <c r="I1297" s="39">
        <v>5</v>
      </c>
      <c r="J1297" s="39" t="s">
        <v>1716</v>
      </c>
      <c r="K1297" s="39" t="s">
        <v>1716</v>
      </c>
      <c r="L1297" s="39" t="s">
        <v>1014</v>
      </c>
      <c r="M1297" s="38" t="s">
        <v>557</v>
      </c>
      <c r="N1297" s="38" t="s">
        <v>6</v>
      </c>
    </row>
    <row r="1298" spans="1:14" x14ac:dyDescent="0.2">
      <c r="A1298" s="38" t="s">
        <v>557</v>
      </c>
      <c r="B1298" s="38">
        <v>150751</v>
      </c>
      <c r="C1298" s="38" t="s">
        <v>1045</v>
      </c>
      <c r="D1298" s="279">
        <v>100000</v>
      </c>
      <c r="F1298" s="40">
        <v>3.85E-2</v>
      </c>
      <c r="G1298" s="41">
        <v>40651</v>
      </c>
      <c r="H1298" s="41">
        <v>41015</v>
      </c>
      <c r="I1298" s="39">
        <v>52</v>
      </c>
      <c r="J1298" s="39" t="s">
        <v>369</v>
      </c>
      <c r="K1298" s="39" t="s">
        <v>1716</v>
      </c>
      <c r="L1298" s="39" t="s">
        <v>1014</v>
      </c>
      <c r="M1298" s="38" t="s">
        <v>557</v>
      </c>
      <c r="N1298" s="38" t="s">
        <v>1452</v>
      </c>
    </row>
    <row r="1299" spans="1:14" x14ac:dyDescent="0.2">
      <c r="A1299" s="38" t="s">
        <v>557</v>
      </c>
      <c r="B1299" s="38">
        <v>150630</v>
      </c>
      <c r="C1299" s="38" t="s">
        <v>1046</v>
      </c>
      <c r="D1299" s="279">
        <v>100000</v>
      </c>
      <c r="F1299" s="40">
        <v>3.9E-2</v>
      </c>
      <c r="G1299" s="41">
        <v>40353</v>
      </c>
      <c r="H1299" s="41">
        <v>40779</v>
      </c>
      <c r="I1299" s="39">
        <v>52</v>
      </c>
      <c r="J1299" s="39" t="s">
        <v>369</v>
      </c>
      <c r="K1299" s="39" t="s">
        <v>1716</v>
      </c>
      <c r="L1299" s="39" t="s">
        <v>1014</v>
      </c>
      <c r="M1299" s="38" t="s">
        <v>557</v>
      </c>
      <c r="N1299" s="38" t="s">
        <v>527</v>
      </c>
    </row>
    <row r="1300" spans="1:14" x14ac:dyDescent="0.2">
      <c r="A1300" s="38" t="s">
        <v>557</v>
      </c>
      <c r="B1300" s="38">
        <v>150769</v>
      </c>
      <c r="C1300" s="38" t="s">
        <v>596</v>
      </c>
      <c r="D1300" s="279">
        <v>100000</v>
      </c>
      <c r="F1300" s="40">
        <v>3.8199999999999998E-2</v>
      </c>
      <c r="G1300" s="41">
        <v>40682</v>
      </c>
      <c r="H1300" s="41">
        <v>41046</v>
      </c>
      <c r="I1300" s="39">
        <v>52</v>
      </c>
      <c r="J1300" s="39" t="s">
        <v>369</v>
      </c>
      <c r="K1300" s="39" t="s">
        <v>1716</v>
      </c>
      <c r="L1300" s="39" t="s">
        <v>1014</v>
      </c>
      <c r="M1300" s="38" t="s">
        <v>557</v>
      </c>
      <c r="N1300" s="38" t="s">
        <v>597</v>
      </c>
    </row>
    <row r="1301" spans="1:14" ht="11.25" customHeight="1" x14ac:dyDescent="0.2">
      <c r="A1301" s="38" t="s">
        <v>1035</v>
      </c>
      <c r="B1301" s="38">
        <v>201052</v>
      </c>
      <c r="C1301" s="38" t="s">
        <v>1030</v>
      </c>
      <c r="D1301" s="279">
        <v>100000</v>
      </c>
      <c r="F1301" s="40">
        <v>3.5999999999999997E-2</v>
      </c>
      <c r="G1301" s="41">
        <v>40679</v>
      </c>
      <c r="H1301" s="41">
        <v>41410</v>
      </c>
      <c r="I1301" s="39">
        <v>2</v>
      </c>
      <c r="J1301" s="39" t="s">
        <v>1716</v>
      </c>
      <c r="K1301" s="39" t="s">
        <v>1716</v>
      </c>
      <c r="L1301" s="39" t="s">
        <v>1014</v>
      </c>
      <c r="M1301" s="38" t="s">
        <v>1035</v>
      </c>
      <c r="N1301" s="38" t="s">
        <v>68</v>
      </c>
    </row>
    <row r="1302" spans="1:14" ht="11.25" customHeight="1" x14ac:dyDescent="0.2">
      <c r="A1302" s="38" t="s">
        <v>1035</v>
      </c>
      <c r="B1302" s="38">
        <v>201050</v>
      </c>
      <c r="C1302" s="38" t="s">
        <v>1067</v>
      </c>
      <c r="D1302" s="279">
        <v>100000</v>
      </c>
      <c r="F1302" s="40">
        <v>3.5499999999999997E-2</v>
      </c>
      <c r="G1302" s="41">
        <v>40677</v>
      </c>
      <c r="H1302" s="41">
        <v>41043</v>
      </c>
      <c r="I1302" s="39">
        <v>52</v>
      </c>
      <c r="J1302" s="39" t="s">
        <v>369</v>
      </c>
      <c r="K1302" s="39" t="s">
        <v>1716</v>
      </c>
      <c r="L1302" s="39" t="s">
        <v>1014</v>
      </c>
      <c r="M1302" s="38" t="s">
        <v>1035</v>
      </c>
      <c r="N1302" s="38" t="s">
        <v>68</v>
      </c>
    </row>
    <row r="1303" spans="1:14" ht="11.25" customHeight="1" x14ac:dyDescent="0.2">
      <c r="A1303" s="38" t="s">
        <v>1035</v>
      </c>
      <c r="B1303" s="38">
        <v>201049</v>
      </c>
      <c r="C1303" s="38" t="s">
        <v>589</v>
      </c>
      <c r="D1303" s="279">
        <v>100000</v>
      </c>
      <c r="F1303" s="40">
        <v>3.2899999999999999E-2</v>
      </c>
      <c r="G1303" s="41">
        <v>40637</v>
      </c>
      <c r="H1303" s="41">
        <v>40728</v>
      </c>
      <c r="I1303" s="39">
        <v>13</v>
      </c>
      <c r="J1303" s="39" t="s">
        <v>369</v>
      </c>
      <c r="K1303" s="39" t="s">
        <v>1716</v>
      </c>
      <c r="L1303" s="39" t="s">
        <v>1014</v>
      </c>
      <c r="M1303" s="38" t="s">
        <v>1035</v>
      </c>
      <c r="N1303" s="38" t="s">
        <v>68</v>
      </c>
    </row>
    <row r="1304" spans="1:14" ht="11.25" customHeight="1" x14ac:dyDescent="0.2">
      <c r="A1304" s="38" t="s">
        <v>557</v>
      </c>
      <c r="B1304" s="38">
        <v>150787</v>
      </c>
      <c r="C1304" s="38" t="s">
        <v>1003</v>
      </c>
      <c r="D1304" s="279">
        <v>100000</v>
      </c>
      <c r="F1304" s="40">
        <v>3.5000000000000003E-2</v>
      </c>
      <c r="G1304" s="41">
        <v>40721</v>
      </c>
      <c r="H1304" s="41">
        <v>40812</v>
      </c>
      <c r="I1304" s="39">
        <v>13</v>
      </c>
      <c r="J1304" s="39" t="s">
        <v>369</v>
      </c>
      <c r="K1304" s="39" t="s">
        <v>1716</v>
      </c>
      <c r="L1304" s="39" t="s">
        <v>1014</v>
      </c>
      <c r="M1304" s="38" t="s">
        <v>557</v>
      </c>
      <c r="N1304" s="38" t="s">
        <v>1004</v>
      </c>
    </row>
    <row r="1305" spans="1:14" x14ac:dyDescent="0.2">
      <c r="A1305" s="38" t="s">
        <v>557</v>
      </c>
      <c r="B1305" s="38">
        <v>9136</v>
      </c>
      <c r="C1305" s="38" t="s">
        <v>1480</v>
      </c>
      <c r="D1305" s="279">
        <v>100000</v>
      </c>
      <c r="F1305" s="40">
        <v>3.0599999999999999E-2</v>
      </c>
      <c r="G1305" s="41">
        <v>41090</v>
      </c>
      <c r="H1305" s="41">
        <v>41455</v>
      </c>
      <c r="I1305" s="39">
        <v>52</v>
      </c>
      <c r="J1305" s="39" t="s">
        <v>369</v>
      </c>
      <c r="K1305" s="39" t="s">
        <v>1716</v>
      </c>
      <c r="L1305" s="39" t="s">
        <v>1014</v>
      </c>
      <c r="M1305" s="38" t="s">
        <v>557</v>
      </c>
      <c r="N1305" s="38" t="s">
        <v>1004</v>
      </c>
    </row>
    <row r="1306" spans="1:14" x14ac:dyDescent="0.2">
      <c r="A1306" s="38" t="s">
        <v>557</v>
      </c>
      <c r="B1306" s="38">
        <v>150791</v>
      </c>
      <c r="C1306" s="38" t="s">
        <v>1479</v>
      </c>
      <c r="D1306" s="279">
        <v>100000</v>
      </c>
      <c r="F1306" s="40">
        <v>4.07E-2</v>
      </c>
      <c r="G1306" s="41">
        <v>40724</v>
      </c>
      <c r="H1306" s="41">
        <v>41455</v>
      </c>
      <c r="I1306" s="39">
        <v>2</v>
      </c>
      <c r="J1306" s="39" t="s">
        <v>1716</v>
      </c>
      <c r="K1306" s="39" t="s">
        <v>1716</v>
      </c>
      <c r="L1306" s="39" t="s">
        <v>1014</v>
      </c>
      <c r="M1306" s="38" t="s">
        <v>557</v>
      </c>
      <c r="N1306" s="38" t="s">
        <v>1481</v>
      </c>
    </row>
    <row r="1307" spans="1:14" x14ac:dyDescent="0.2">
      <c r="A1307" s="38" t="s">
        <v>1673</v>
      </c>
      <c r="B1307" s="38">
        <v>100527</v>
      </c>
      <c r="C1307" s="38" t="s">
        <v>1225</v>
      </c>
      <c r="D1307" s="279">
        <v>100000</v>
      </c>
      <c r="F1307" s="40">
        <v>4.1700000000000001E-2</v>
      </c>
      <c r="G1307" s="41">
        <v>40725</v>
      </c>
      <c r="H1307" s="41">
        <v>41456</v>
      </c>
      <c r="I1307" s="39">
        <v>2</v>
      </c>
      <c r="J1307" s="39" t="s">
        <v>1716</v>
      </c>
      <c r="K1307" s="39" t="s">
        <v>1716</v>
      </c>
      <c r="L1307" s="39" t="s">
        <v>1014</v>
      </c>
      <c r="M1307" s="38" t="s">
        <v>1673</v>
      </c>
      <c r="N1307" s="38" t="s">
        <v>1226</v>
      </c>
    </row>
    <row r="1308" spans="1:14" x14ac:dyDescent="0.2">
      <c r="A1308" s="38" t="s">
        <v>557</v>
      </c>
      <c r="B1308" s="38">
        <v>150573</v>
      </c>
      <c r="C1308" s="38" t="s">
        <v>1049</v>
      </c>
      <c r="D1308" s="279">
        <v>100000</v>
      </c>
      <c r="F1308" s="40">
        <v>3.95E-2</v>
      </c>
      <c r="G1308" s="41">
        <v>40572</v>
      </c>
      <c r="H1308" s="41">
        <v>40937</v>
      </c>
      <c r="I1308" s="39">
        <v>52</v>
      </c>
      <c r="J1308" s="39" t="s">
        <v>369</v>
      </c>
      <c r="K1308" s="39" t="s">
        <v>1716</v>
      </c>
      <c r="L1308" s="39" t="s">
        <v>1014</v>
      </c>
      <c r="M1308" s="38" t="s">
        <v>557</v>
      </c>
      <c r="N1308" s="38" t="s">
        <v>1050</v>
      </c>
    </row>
    <row r="1309" spans="1:14" x14ac:dyDescent="0.2">
      <c r="A1309" s="38" t="s">
        <v>1035</v>
      </c>
      <c r="B1309" s="38">
        <v>201056</v>
      </c>
      <c r="C1309" s="38" t="s">
        <v>441</v>
      </c>
      <c r="D1309" s="279">
        <v>100000</v>
      </c>
      <c r="F1309" s="40">
        <v>3.3000000000000002E-2</v>
      </c>
      <c r="G1309" s="41">
        <v>40749</v>
      </c>
      <c r="H1309" s="41">
        <v>40840</v>
      </c>
      <c r="I1309" s="39">
        <v>13</v>
      </c>
      <c r="J1309" s="39" t="s">
        <v>369</v>
      </c>
      <c r="K1309" s="39" t="s">
        <v>1716</v>
      </c>
      <c r="L1309" s="39" t="s">
        <v>1014</v>
      </c>
      <c r="M1309" s="38" t="s">
        <v>1035</v>
      </c>
      <c r="N1309" s="38" t="s">
        <v>68</v>
      </c>
    </row>
    <row r="1310" spans="1:14" ht="12" customHeight="1" x14ac:dyDescent="0.2">
      <c r="A1310" s="38" t="s">
        <v>557</v>
      </c>
      <c r="B1310" s="38">
        <v>150800</v>
      </c>
      <c r="C1310" s="38" t="s">
        <v>915</v>
      </c>
      <c r="D1310" s="279">
        <v>100000</v>
      </c>
      <c r="F1310" s="40">
        <v>3.9899999999999998E-2</v>
      </c>
      <c r="G1310" s="41">
        <v>40845</v>
      </c>
      <c r="H1310" s="41">
        <v>41211</v>
      </c>
      <c r="I1310" s="39">
        <v>52</v>
      </c>
      <c r="J1310" s="39" t="s">
        <v>369</v>
      </c>
      <c r="K1310" s="39" t="s">
        <v>1716</v>
      </c>
      <c r="L1310" s="39" t="s">
        <v>1014</v>
      </c>
      <c r="M1310" s="38" t="s">
        <v>1035</v>
      </c>
      <c r="N1310" s="38" t="s">
        <v>916</v>
      </c>
    </row>
    <row r="1311" spans="1:14" x14ac:dyDescent="0.2">
      <c r="A1311" s="38" t="s">
        <v>557</v>
      </c>
      <c r="B1311" s="38">
        <v>150801</v>
      </c>
      <c r="C1311" s="38" t="s">
        <v>917</v>
      </c>
      <c r="D1311" s="279">
        <v>100000</v>
      </c>
      <c r="F1311" s="40">
        <v>4.0500000000000001E-2</v>
      </c>
      <c r="G1311" s="41">
        <v>40753</v>
      </c>
      <c r="H1311" s="41">
        <v>41484</v>
      </c>
      <c r="I1311" s="39">
        <v>2</v>
      </c>
      <c r="J1311" s="39" t="s">
        <v>1716</v>
      </c>
      <c r="K1311" s="39" t="s">
        <v>1716</v>
      </c>
      <c r="L1311" s="39" t="s">
        <v>1014</v>
      </c>
      <c r="M1311" s="38" t="s">
        <v>1035</v>
      </c>
      <c r="N1311" s="38" t="s">
        <v>918</v>
      </c>
    </row>
    <row r="1312" spans="1:14" x14ac:dyDescent="0.2">
      <c r="A1312" s="38" t="s">
        <v>557</v>
      </c>
      <c r="B1312" s="38">
        <v>150798</v>
      </c>
      <c r="C1312" s="38" t="s">
        <v>919</v>
      </c>
      <c r="D1312" s="279">
        <v>100000</v>
      </c>
      <c r="F1312" s="40">
        <v>4.1000000000000002E-2</v>
      </c>
      <c r="G1312" s="41">
        <v>40753</v>
      </c>
      <c r="H1312" s="41">
        <v>41484</v>
      </c>
      <c r="I1312" s="39">
        <v>2</v>
      </c>
      <c r="J1312" s="39" t="s">
        <v>1716</v>
      </c>
      <c r="K1312" s="39" t="s">
        <v>1716</v>
      </c>
      <c r="L1312" s="39" t="s">
        <v>1014</v>
      </c>
      <c r="M1312" s="38" t="s">
        <v>1035</v>
      </c>
      <c r="N1312" s="38" t="s">
        <v>916</v>
      </c>
    </row>
    <row r="1313" spans="1:18" x14ac:dyDescent="0.2">
      <c r="A1313" s="38" t="s">
        <v>1673</v>
      </c>
      <c r="B1313" s="38">
        <v>100531</v>
      </c>
      <c r="C1313" s="38" t="s">
        <v>30</v>
      </c>
      <c r="D1313" s="279">
        <v>100000</v>
      </c>
      <c r="F1313" s="40">
        <v>4.5499999999999999E-2</v>
      </c>
      <c r="G1313" s="41">
        <v>40772</v>
      </c>
      <c r="H1313" s="41">
        <v>42599</v>
      </c>
      <c r="I1313" s="39">
        <v>5</v>
      </c>
      <c r="J1313" s="39" t="s">
        <v>1716</v>
      </c>
      <c r="K1313" s="39" t="s">
        <v>1716</v>
      </c>
      <c r="L1313" s="39" t="s">
        <v>1014</v>
      </c>
      <c r="M1313" s="38" t="s">
        <v>1673</v>
      </c>
      <c r="N1313" s="38" t="s">
        <v>1226</v>
      </c>
    </row>
    <row r="1314" spans="1:18" x14ac:dyDescent="0.2">
      <c r="A1314" s="38" t="s">
        <v>557</v>
      </c>
      <c r="B1314" s="38">
        <v>150619</v>
      </c>
      <c r="C1314" s="38" t="s">
        <v>1257</v>
      </c>
      <c r="D1314" s="279">
        <v>100000</v>
      </c>
      <c r="F1314" s="40">
        <v>0.04</v>
      </c>
      <c r="G1314" s="41">
        <v>40326</v>
      </c>
      <c r="H1314" s="41">
        <v>40875</v>
      </c>
      <c r="I1314" s="39">
        <v>52</v>
      </c>
      <c r="J1314" s="39" t="s">
        <v>369</v>
      </c>
      <c r="K1314" s="39" t="s">
        <v>1716</v>
      </c>
      <c r="L1314" s="39" t="s">
        <v>1014</v>
      </c>
      <c r="M1314" s="38" t="s">
        <v>557</v>
      </c>
      <c r="N1314" s="38" t="s">
        <v>1050</v>
      </c>
    </row>
    <row r="1315" spans="1:18" x14ac:dyDescent="0.2">
      <c r="A1315" s="38" t="s">
        <v>1673</v>
      </c>
      <c r="B1315" s="38">
        <v>100532</v>
      </c>
      <c r="C1315" s="38" t="s">
        <v>1258</v>
      </c>
      <c r="D1315" s="279">
        <v>100000</v>
      </c>
      <c r="F1315" s="40">
        <v>4.2999999999999997E-2</v>
      </c>
      <c r="G1315" s="41">
        <v>40773</v>
      </c>
      <c r="H1315" s="41">
        <v>41869</v>
      </c>
      <c r="I1315" s="39">
        <v>3</v>
      </c>
      <c r="J1315" s="39" t="s">
        <v>1716</v>
      </c>
      <c r="K1315" s="39" t="s">
        <v>1716</v>
      </c>
      <c r="L1315" s="39" t="s">
        <v>1014</v>
      </c>
      <c r="M1315" s="38" t="s">
        <v>1673</v>
      </c>
      <c r="N1315" s="38" t="s">
        <v>1226</v>
      </c>
    </row>
    <row r="1316" spans="1:18" x14ac:dyDescent="0.2">
      <c r="A1316" s="38" t="s">
        <v>1673</v>
      </c>
      <c r="B1316" s="38">
        <v>100533</v>
      </c>
      <c r="C1316" s="38" t="s">
        <v>1259</v>
      </c>
      <c r="D1316" s="279">
        <v>100000</v>
      </c>
      <c r="F1316" s="40">
        <v>4.1599999999999998E-2</v>
      </c>
      <c r="G1316" s="41">
        <v>40774</v>
      </c>
      <c r="H1316" s="41">
        <v>41505</v>
      </c>
      <c r="I1316" s="39">
        <v>2</v>
      </c>
      <c r="J1316" s="39" t="s">
        <v>1716</v>
      </c>
      <c r="K1316" s="39" t="s">
        <v>1716</v>
      </c>
      <c r="L1316" s="39" t="s">
        <v>1014</v>
      </c>
      <c r="M1316" s="38" t="s">
        <v>1673</v>
      </c>
      <c r="N1316" s="38" t="s">
        <v>1226</v>
      </c>
    </row>
    <row r="1317" spans="1:18" x14ac:dyDescent="0.2">
      <c r="A1317" s="38" t="s">
        <v>1673</v>
      </c>
      <c r="B1317" s="38">
        <v>100534</v>
      </c>
      <c r="C1317" s="38" t="s">
        <v>1738</v>
      </c>
      <c r="D1317" s="279">
        <v>100000</v>
      </c>
      <c r="F1317" s="40">
        <v>4.1500000000000002E-2</v>
      </c>
      <c r="G1317" s="41">
        <v>40777</v>
      </c>
      <c r="H1317" s="41">
        <v>41508</v>
      </c>
      <c r="I1317" s="39">
        <v>2</v>
      </c>
      <c r="J1317" s="39" t="s">
        <v>1716</v>
      </c>
      <c r="K1317" s="39" t="s">
        <v>1716</v>
      </c>
      <c r="L1317" s="39" t="s">
        <v>1014</v>
      </c>
      <c r="M1317" s="38" t="s">
        <v>1673</v>
      </c>
      <c r="N1317" s="38" t="s">
        <v>1226</v>
      </c>
    </row>
    <row r="1318" spans="1:18" x14ac:dyDescent="0.2">
      <c r="A1318" s="38" t="s">
        <v>557</v>
      </c>
      <c r="B1318" s="38">
        <v>150765</v>
      </c>
      <c r="C1318" s="38" t="s">
        <v>1945</v>
      </c>
      <c r="D1318" s="279">
        <v>100000</v>
      </c>
      <c r="F1318" s="40">
        <v>4.3499999999999997E-2</v>
      </c>
      <c r="G1318" s="41">
        <v>40666</v>
      </c>
      <c r="H1318" s="41">
        <v>42128</v>
      </c>
      <c r="I1318" s="39">
        <v>4</v>
      </c>
      <c r="J1318" s="39" t="s">
        <v>1716</v>
      </c>
      <c r="K1318" s="39" t="s">
        <v>1716</v>
      </c>
      <c r="L1318" s="39" t="s">
        <v>1014</v>
      </c>
      <c r="M1318" s="38" t="s">
        <v>1035</v>
      </c>
      <c r="N1318" s="38" t="s">
        <v>1481</v>
      </c>
    </row>
    <row r="1319" spans="1:18" x14ac:dyDescent="0.2">
      <c r="A1319" s="38" t="s">
        <v>1035</v>
      </c>
      <c r="B1319" s="38">
        <v>201059</v>
      </c>
      <c r="C1319" s="38" t="s">
        <v>188</v>
      </c>
      <c r="D1319" s="279">
        <v>100000</v>
      </c>
      <c r="F1319" s="40">
        <v>3.5999999999999997E-2</v>
      </c>
      <c r="G1319" s="41">
        <v>40777</v>
      </c>
      <c r="H1319" s="41">
        <v>41508</v>
      </c>
      <c r="I1319" s="39">
        <v>2</v>
      </c>
      <c r="J1319" s="39" t="s">
        <v>1716</v>
      </c>
      <c r="K1319" s="39" t="s">
        <v>1716</v>
      </c>
      <c r="L1319" s="39" t="s">
        <v>1014</v>
      </c>
      <c r="M1319" s="38" t="s">
        <v>1035</v>
      </c>
      <c r="N1319" s="38" t="s">
        <v>68</v>
      </c>
    </row>
    <row r="1320" spans="1:18" x14ac:dyDescent="0.2">
      <c r="A1320" s="38" t="s">
        <v>1035</v>
      </c>
      <c r="B1320" s="38">
        <v>201063</v>
      </c>
      <c r="C1320" s="38" t="s">
        <v>189</v>
      </c>
      <c r="D1320" s="279">
        <v>100000</v>
      </c>
      <c r="F1320" s="40">
        <v>3.27E-2</v>
      </c>
      <c r="G1320" s="41">
        <v>40784</v>
      </c>
      <c r="H1320" s="41">
        <v>40805</v>
      </c>
      <c r="I1320" s="39">
        <v>13</v>
      </c>
      <c r="J1320" s="39" t="s">
        <v>369</v>
      </c>
      <c r="K1320" s="39" t="s">
        <v>1716</v>
      </c>
      <c r="L1320" s="39" t="s">
        <v>1014</v>
      </c>
      <c r="M1320" s="38" t="s">
        <v>1035</v>
      </c>
      <c r="N1320" s="38" t="s">
        <v>68</v>
      </c>
    </row>
    <row r="1321" spans="1:18" x14ac:dyDescent="0.2">
      <c r="A1321" s="38" t="s">
        <v>1035</v>
      </c>
      <c r="B1321" s="38">
        <v>201062</v>
      </c>
      <c r="C1321" s="38" t="s">
        <v>190</v>
      </c>
      <c r="D1321" s="279">
        <v>100000</v>
      </c>
      <c r="F1321" s="40">
        <v>3.2899999999999999E-2</v>
      </c>
      <c r="G1321" s="41">
        <v>40784</v>
      </c>
      <c r="H1321" s="41">
        <v>40805</v>
      </c>
      <c r="I1321" s="39">
        <v>13</v>
      </c>
      <c r="J1321" s="39" t="s">
        <v>369</v>
      </c>
      <c r="K1321" s="39" t="s">
        <v>1716</v>
      </c>
      <c r="L1321" s="39" t="s">
        <v>1014</v>
      </c>
      <c r="M1321" s="38" t="s">
        <v>1035</v>
      </c>
      <c r="N1321" s="38" t="s">
        <v>68</v>
      </c>
    </row>
    <row r="1322" spans="1:18" x14ac:dyDescent="0.2">
      <c r="A1322" s="38" t="s">
        <v>557</v>
      </c>
      <c r="B1322" s="38">
        <v>150818</v>
      </c>
      <c r="C1322" s="38" t="s">
        <v>116</v>
      </c>
      <c r="D1322" s="279">
        <v>100000</v>
      </c>
      <c r="F1322" s="40">
        <v>3.7100000000000001E-2</v>
      </c>
      <c r="G1322" s="41">
        <v>40785</v>
      </c>
      <c r="H1322" s="41">
        <v>40998</v>
      </c>
      <c r="I1322" s="39">
        <v>32</v>
      </c>
      <c r="J1322" s="39" t="s">
        <v>369</v>
      </c>
      <c r="K1322" s="39" t="s">
        <v>1716</v>
      </c>
      <c r="L1322" s="39" t="s">
        <v>1014</v>
      </c>
      <c r="M1322" s="38" t="s">
        <v>557</v>
      </c>
      <c r="N1322" s="38" t="s">
        <v>916</v>
      </c>
      <c r="R1322" s="34"/>
    </row>
    <row r="1323" spans="1:18" x14ac:dyDescent="0.2">
      <c r="A1323" s="38" t="s">
        <v>1035</v>
      </c>
      <c r="B1323" s="38">
        <v>201061</v>
      </c>
      <c r="C1323" s="38" t="s">
        <v>1715</v>
      </c>
      <c r="D1323" s="279">
        <v>100000</v>
      </c>
      <c r="F1323" s="40">
        <v>3.2800000000000003E-2</v>
      </c>
      <c r="G1323" s="41">
        <v>40784</v>
      </c>
      <c r="H1323" s="41">
        <v>40805</v>
      </c>
      <c r="I1323" s="39">
        <v>13</v>
      </c>
      <c r="J1323" s="39" t="s">
        <v>369</v>
      </c>
      <c r="K1323" s="39" t="s">
        <v>1716</v>
      </c>
      <c r="L1323" s="39" t="s">
        <v>1014</v>
      </c>
      <c r="M1323" s="38" t="s">
        <v>1035</v>
      </c>
      <c r="N1323" s="38" t="s">
        <v>68</v>
      </c>
    </row>
    <row r="1324" spans="1:18" x14ac:dyDescent="0.2">
      <c r="A1324" s="38" t="s">
        <v>1035</v>
      </c>
      <c r="B1324" s="38">
        <v>201065</v>
      </c>
      <c r="C1324" s="38" t="s">
        <v>1565</v>
      </c>
      <c r="D1324" s="279">
        <v>100000</v>
      </c>
      <c r="F1324" s="40">
        <v>3.3000000000000002E-2</v>
      </c>
      <c r="G1324" s="41">
        <v>40798</v>
      </c>
      <c r="H1324" s="41">
        <v>40889</v>
      </c>
      <c r="I1324" s="39">
        <v>13</v>
      </c>
      <c r="J1324" s="39" t="s">
        <v>369</v>
      </c>
      <c r="K1324" s="39" t="s">
        <v>1716</v>
      </c>
      <c r="L1324" s="39" t="s">
        <v>1014</v>
      </c>
      <c r="M1324" s="38" t="s">
        <v>1035</v>
      </c>
      <c r="N1324" s="38" t="s">
        <v>68</v>
      </c>
    </row>
    <row r="1325" spans="1:18" x14ac:dyDescent="0.2">
      <c r="A1325" s="38" t="s">
        <v>557</v>
      </c>
      <c r="B1325" s="38">
        <v>150596</v>
      </c>
      <c r="C1325" s="38" t="s">
        <v>1193</v>
      </c>
      <c r="D1325" s="279">
        <v>100000</v>
      </c>
      <c r="F1325" s="40">
        <v>4.1500000000000002E-2</v>
      </c>
      <c r="G1325" s="41">
        <v>40450</v>
      </c>
      <c r="H1325" s="41">
        <v>40815</v>
      </c>
      <c r="I1325" s="39">
        <v>52</v>
      </c>
      <c r="J1325" s="39" t="s">
        <v>369</v>
      </c>
      <c r="K1325" s="39" t="s">
        <v>1716</v>
      </c>
      <c r="L1325" s="39" t="s">
        <v>1014</v>
      </c>
      <c r="M1325" s="38" t="s">
        <v>557</v>
      </c>
      <c r="N1325" s="38" t="s">
        <v>6</v>
      </c>
    </row>
    <row r="1326" spans="1:18" x14ac:dyDescent="0.2">
      <c r="A1326" s="38" t="s">
        <v>557</v>
      </c>
      <c r="B1326" s="38">
        <v>150675</v>
      </c>
      <c r="C1326" s="38" t="s">
        <v>565</v>
      </c>
      <c r="D1326" s="279">
        <v>100000</v>
      </c>
      <c r="F1326" s="40">
        <v>3.85E-2</v>
      </c>
      <c r="G1326" s="41">
        <v>40465</v>
      </c>
      <c r="H1326" s="41">
        <v>40830</v>
      </c>
      <c r="I1326" s="39">
        <v>52</v>
      </c>
      <c r="J1326" s="39" t="s">
        <v>369</v>
      </c>
      <c r="K1326" s="39" t="s">
        <v>1716</v>
      </c>
      <c r="L1326" s="39" t="s">
        <v>1014</v>
      </c>
      <c r="M1326" s="38" t="s">
        <v>557</v>
      </c>
      <c r="N1326" s="38" t="s">
        <v>6</v>
      </c>
    </row>
    <row r="1327" spans="1:18" x14ac:dyDescent="0.2">
      <c r="A1327" s="38" t="s">
        <v>1674</v>
      </c>
      <c r="B1327" s="38">
        <v>100535</v>
      </c>
      <c r="C1327" s="38" t="s">
        <v>1603</v>
      </c>
      <c r="D1327" s="279">
        <v>100000</v>
      </c>
      <c r="F1327" s="40">
        <v>4.1599999999999998E-2</v>
      </c>
      <c r="G1327" s="41">
        <v>40802</v>
      </c>
      <c r="H1327" s="41">
        <v>41533</v>
      </c>
      <c r="I1327" s="39">
        <v>2</v>
      </c>
      <c r="J1327" s="39" t="s">
        <v>1716</v>
      </c>
      <c r="K1327" s="39" t="s">
        <v>1716</v>
      </c>
      <c r="L1327" s="39" t="s">
        <v>1014</v>
      </c>
      <c r="M1327" s="38" t="s">
        <v>1674</v>
      </c>
      <c r="N1327" s="38" t="s">
        <v>1604</v>
      </c>
    </row>
    <row r="1328" spans="1:18" x14ac:dyDescent="0.2">
      <c r="A1328" s="38" t="s">
        <v>1035</v>
      </c>
      <c r="B1328" s="38">
        <v>201067</v>
      </c>
      <c r="C1328" s="38" t="s">
        <v>1916</v>
      </c>
      <c r="D1328" s="279">
        <v>100000</v>
      </c>
      <c r="F1328" s="40">
        <v>3.5999999999999997E-2</v>
      </c>
      <c r="G1328" s="41">
        <v>40798</v>
      </c>
      <c r="H1328" s="41">
        <v>41529</v>
      </c>
      <c r="I1328" s="39">
        <v>2</v>
      </c>
      <c r="J1328" s="39" t="s">
        <v>1716</v>
      </c>
      <c r="K1328" s="39" t="s">
        <v>1716</v>
      </c>
      <c r="L1328" s="39" t="s">
        <v>1014</v>
      </c>
      <c r="M1328" s="38" t="s">
        <v>1035</v>
      </c>
      <c r="N1328" s="38" t="s">
        <v>68</v>
      </c>
    </row>
    <row r="1329" spans="1:14" x14ac:dyDescent="0.2">
      <c r="A1329" s="38" t="s">
        <v>1035</v>
      </c>
      <c r="B1329" s="38">
        <v>201055</v>
      </c>
      <c r="C1329" s="38" t="s">
        <v>522</v>
      </c>
      <c r="D1329" s="279">
        <v>100000</v>
      </c>
      <c r="F1329" s="40">
        <v>3.3000000000000002E-2</v>
      </c>
      <c r="G1329" s="41">
        <v>40742</v>
      </c>
      <c r="H1329" s="41">
        <v>40833</v>
      </c>
      <c r="I1329" s="39">
        <v>13</v>
      </c>
      <c r="J1329" s="39" t="s">
        <v>369</v>
      </c>
      <c r="K1329" s="39" t="s">
        <v>1716</v>
      </c>
      <c r="L1329" s="39" t="s">
        <v>1014</v>
      </c>
      <c r="M1329" s="38" t="s">
        <v>1035</v>
      </c>
      <c r="N1329" s="38" t="s">
        <v>68</v>
      </c>
    </row>
    <row r="1330" spans="1:14" x14ac:dyDescent="0.2">
      <c r="A1330" s="38" t="s">
        <v>1035</v>
      </c>
      <c r="B1330" s="38">
        <v>201058</v>
      </c>
      <c r="C1330" s="38" t="s">
        <v>481</v>
      </c>
      <c r="D1330" s="279">
        <v>100000</v>
      </c>
      <c r="F1330" s="40">
        <v>3.9E-2</v>
      </c>
      <c r="G1330" s="41">
        <v>40833</v>
      </c>
      <c r="H1330" s="41">
        <v>42660</v>
      </c>
      <c r="I1330" s="39">
        <v>5</v>
      </c>
      <c r="J1330" s="39" t="s">
        <v>1716</v>
      </c>
      <c r="K1330" s="39" t="s">
        <v>1716</v>
      </c>
      <c r="L1330" s="39" t="s">
        <v>1014</v>
      </c>
      <c r="M1330" s="38" t="s">
        <v>1035</v>
      </c>
      <c r="N1330" s="38" t="s">
        <v>68</v>
      </c>
    </row>
    <row r="1331" spans="1:14" x14ac:dyDescent="0.2">
      <c r="A1331" s="38" t="s">
        <v>557</v>
      </c>
      <c r="B1331" s="38">
        <v>9138</v>
      </c>
      <c r="C1331" s="38" t="s">
        <v>566</v>
      </c>
      <c r="D1331" s="279">
        <v>100000</v>
      </c>
      <c r="F1331" s="40">
        <v>4.4600000000000001E-2</v>
      </c>
      <c r="G1331" s="41">
        <v>40820</v>
      </c>
      <c r="H1331" s="41">
        <v>43377</v>
      </c>
      <c r="I1331" s="39">
        <v>7</v>
      </c>
      <c r="J1331" s="39" t="s">
        <v>1716</v>
      </c>
      <c r="K1331" s="39" t="s">
        <v>1716</v>
      </c>
      <c r="L1331" s="39" t="s">
        <v>1014</v>
      </c>
      <c r="M1331" s="38" t="s">
        <v>1035</v>
      </c>
      <c r="N1331" s="38" t="s">
        <v>626</v>
      </c>
    </row>
    <row r="1332" spans="1:14" x14ac:dyDescent="0.2">
      <c r="A1332" s="38" t="s">
        <v>1803</v>
      </c>
      <c r="B1332" s="38">
        <v>9146</v>
      </c>
      <c r="C1332" s="38" t="s">
        <v>1802</v>
      </c>
      <c r="D1332" s="279">
        <v>100000</v>
      </c>
      <c r="F1332" s="40">
        <v>4.6399999999999997E-2</v>
      </c>
      <c r="G1332" s="41">
        <v>40840</v>
      </c>
      <c r="H1332" s="41">
        <v>48145</v>
      </c>
      <c r="I1332" s="39">
        <v>20</v>
      </c>
      <c r="J1332" s="39" t="s">
        <v>1716</v>
      </c>
      <c r="K1332" s="39" t="s">
        <v>1716</v>
      </c>
      <c r="L1332" s="39" t="s">
        <v>1014</v>
      </c>
      <c r="M1332" s="38" t="s">
        <v>1803</v>
      </c>
      <c r="N1332" s="38" t="s">
        <v>1804</v>
      </c>
    </row>
    <row r="1333" spans="1:14" ht="15.75" customHeight="1" x14ac:dyDescent="0.2">
      <c r="A1333" s="38" t="s">
        <v>1674</v>
      </c>
      <c r="B1333" s="38">
        <v>100540</v>
      </c>
      <c r="C1333" s="38" t="s">
        <v>14</v>
      </c>
      <c r="D1333" s="279">
        <v>100000</v>
      </c>
      <c r="F1333" s="40">
        <v>4.2000000000000003E-2</v>
      </c>
      <c r="G1333" s="41">
        <v>40844</v>
      </c>
      <c r="H1333" s="41">
        <v>41575</v>
      </c>
      <c r="I1333" s="39">
        <v>2</v>
      </c>
      <c r="J1333" s="39" t="s">
        <v>1716</v>
      </c>
      <c r="K1333" s="39" t="s">
        <v>1716</v>
      </c>
      <c r="L1333" s="39" t="s">
        <v>1014</v>
      </c>
      <c r="M1333" s="38" t="s">
        <v>1674</v>
      </c>
      <c r="N1333" s="38" t="s">
        <v>1226</v>
      </c>
    </row>
    <row r="1334" spans="1:14" ht="15.75" customHeight="1" x14ac:dyDescent="0.2">
      <c r="A1334" s="38" t="s">
        <v>1674</v>
      </c>
      <c r="B1334" s="38">
        <v>150849</v>
      </c>
      <c r="C1334" s="38" t="s">
        <v>1312</v>
      </c>
      <c r="D1334" s="279">
        <v>100000</v>
      </c>
      <c r="F1334" s="40">
        <v>3.6900000000000002E-2</v>
      </c>
      <c r="G1334" s="41">
        <v>40847</v>
      </c>
      <c r="H1334" s="41">
        <v>40903</v>
      </c>
      <c r="I1334" s="39">
        <v>8</v>
      </c>
      <c r="J1334" s="39" t="s">
        <v>369</v>
      </c>
      <c r="K1334" s="39" t="s">
        <v>1716</v>
      </c>
      <c r="L1334" s="39" t="s">
        <v>1014</v>
      </c>
      <c r="M1334" s="38" t="s">
        <v>1674</v>
      </c>
      <c r="N1334" s="38" t="s">
        <v>1004</v>
      </c>
    </row>
    <row r="1335" spans="1:14" ht="15.75" customHeight="1" x14ac:dyDescent="0.2">
      <c r="A1335" s="38" t="s">
        <v>1713</v>
      </c>
      <c r="B1335" s="38">
        <v>140317</v>
      </c>
      <c r="C1335" s="38" t="s">
        <v>726</v>
      </c>
      <c r="D1335" s="279">
        <v>100000</v>
      </c>
      <c r="F1335" s="40">
        <v>4.2000000000000003E-2</v>
      </c>
      <c r="G1335" s="41">
        <v>40848</v>
      </c>
      <c r="H1335" s="41">
        <v>41212</v>
      </c>
      <c r="I1335" s="39">
        <v>52</v>
      </c>
      <c r="J1335" s="39" t="s">
        <v>369</v>
      </c>
      <c r="K1335" s="39" t="s">
        <v>1716</v>
      </c>
      <c r="L1335" s="39" t="s">
        <v>1014</v>
      </c>
      <c r="M1335" s="38" t="s">
        <v>1713</v>
      </c>
      <c r="N1335" s="38" t="s">
        <v>727</v>
      </c>
    </row>
    <row r="1336" spans="1:14" x14ac:dyDescent="0.2">
      <c r="A1336" s="38" t="s">
        <v>1713</v>
      </c>
      <c r="B1336" s="38">
        <v>100543</v>
      </c>
      <c r="D1336" s="279">
        <v>100000</v>
      </c>
      <c r="F1336" s="40">
        <v>4.6699999999999998E-2</v>
      </c>
      <c r="G1336" s="41">
        <v>40851</v>
      </c>
      <c r="H1336" s="41">
        <v>42678</v>
      </c>
      <c r="I1336" s="39">
        <v>5</v>
      </c>
      <c r="J1336" s="39" t="s">
        <v>1716</v>
      </c>
      <c r="K1336" s="39" t="s">
        <v>1716</v>
      </c>
      <c r="L1336" s="39" t="s">
        <v>1014</v>
      </c>
      <c r="M1336" s="38" t="s">
        <v>1713</v>
      </c>
    </row>
    <row r="1337" spans="1:14" x14ac:dyDescent="0.2">
      <c r="A1337" s="38" t="s">
        <v>1713</v>
      </c>
      <c r="B1337" s="38">
        <v>100544</v>
      </c>
      <c r="C1337" s="38" t="s">
        <v>1128</v>
      </c>
      <c r="D1337" s="279">
        <v>100000</v>
      </c>
      <c r="F1337" s="40">
        <v>4.2999999999999997E-2</v>
      </c>
      <c r="G1337" s="41">
        <v>40861</v>
      </c>
      <c r="H1337" s="41">
        <v>41592</v>
      </c>
      <c r="I1337" s="39">
        <v>2</v>
      </c>
      <c r="J1337" s="39" t="s">
        <v>1716</v>
      </c>
      <c r="K1337" s="39" t="s">
        <v>1716</v>
      </c>
      <c r="L1337" s="39" t="s">
        <v>1014</v>
      </c>
      <c r="M1337" s="38" t="s">
        <v>1713</v>
      </c>
    </row>
    <row r="1338" spans="1:14" x14ac:dyDescent="0.2">
      <c r="B1338" s="38">
        <v>150850</v>
      </c>
      <c r="C1338" s="38" t="s">
        <v>1129</v>
      </c>
      <c r="D1338" s="279">
        <v>100000</v>
      </c>
      <c r="F1338" s="40">
        <v>3.9600000000000003E-2</v>
      </c>
      <c r="G1338" s="41">
        <v>40861</v>
      </c>
      <c r="H1338" s="41">
        <v>41225</v>
      </c>
      <c r="I1338" s="39">
        <v>52</v>
      </c>
      <c r="J1338" s="39" t="s">
        <v>369</v>
      </c>
      <c r="K1338" s="39" t="s">
        <v>1716</v>
      </c>
      <c r="L1338" s="39" t="s">
        <v>1014</v>
      </c>
      <c r="M1338" s="38" t="s">
        <v>1713</v>
      </c>
    </row>
    <row r="1339" spans="1:14" x14ac:dyDescent="0.2">
      <c r="B1339" s="38">
        <v>100545</v>
      </c>
      <c r="C1339" s="38" t="s">
        <v>1130</v>
      </c>
      <c r="D1339" s="279">
        <v>100000</v>
      </c>
      <c r="F1339" s="40">
        <v>4.7500000000000001E-2</v>
      </c>
      <c r="G1339" s="41">
        <v>40863</v>
      </c>
      <c r="H1339" s="41">
        <v>42690</v>
      </c>
      <c r="I1339" s="39">
        <v>5</v>
      </c>
      <c r="J1339" s="39" t="s">
        <v>1716</v>
      </c>
      <c r="K1339" s="39" t="s">
        <v>1716</v>
      </c>
      <c r="L1339" s="39" t="s">
        <v>1014</v>
      </c>
    </row>
    <row r="1340" spans="1:14" x14ac:dyDescent="0.2">
      <c r="A1340" s="38" t="s">
        <v>1035</v>
      </c>
      <c r="B1340" s="38">
        <v>201068</v>
      </c>
      <c r="C1340" s="38" t="s">
        <v>1132</v>
      </c>
      <c r="D1340" s="279">
        <v>100000</v>
      </c>
      <c r="F1340" s="40">
        <v>3.5000000000000003E-2</v>
      </c>
      <c r="G1340" s="41">
        <v>40805</v>
      </c>
      <c r="H1340" s="41">
        <v>41169</v>
      </c>
      <c r="I1340" s="39">
        <v>52</v>
      </c>
      <c r="J1340" s="39" t="s">
        <v>369</v>
      </c>
      <c r="K1340" s="39" t="s">
        <v>1716</v>
      </c>
      <c r="L1340" s="39" t="s">
        <v>1014</v>
      </c>
      <c r="M1340" s="38" t="s">
        <v>1035</v>
      </c>
      <c r="N1340" s="38" t="s">
        <v>68</v>
      </c>
    </row>
    <row r="1341" spans="1:14" x14ac:dyDescent="0.2">
      <c r="A1341" s="38" t="s">
        <v>1035</v>
      </c>
      <c r="B1341" s="38">
        <v>201073</v>
      </c>
      <c r="C1341" s="38" t="s">
        <v>1133</v>
      </c>
      <c r="D1341" s="279">
        <v>100000</v>
      </c>
      <c r="F1341" s="40">
        <v>3.5999999999999997E-2</v>
      </c>
      <c r="G1341" s="41">
        <v>40833</v>
      </c>
      <c r="H1341" s="41">
        <v>41564</v>
      </c>
      <c r="I1341" s="39">
        <v>2</v>
      </c>
      <c r="J1341" s="39" t="s">
        <v>1716</v>
      </c>
      <c r="K1341" s="39" t="s">
        <v>1716</v>
      </c>
      <c r="L1341" s="39" t="s">
        <v>1014</v>
      </c>
      <c r="M1341" s="38" t="s">
        <v>1035</v>
      </c>
      <c r="N1341" s="38" t="s">
        <v>68</v>
      </c>
    </row>
    <row r="1342" spans="1:14" x14ac:dyDescent="0.2">
      <c r="A1342" s="38" t="s">
        <v>1035</v>
      </c>
      <c r="B1342" s="38">
        <v>201081</v>
      </c>
      <c r="C1342" s="38" t="s">
        <v>1134</v>
      </c>
      <c r="D1342" s="279">
        <v>100000</v>
      </c>
      <c r="F1342" s="40">
        <v>3.32E-2</v>
      </c>
      <c r="G1342" s="41">
        <v>40849</v>
      </c>
      <c r="H1342" s="41">
        <v>40882</v>
      </c>
      <c r="I1342" s="39">
        <v>5</v>
      </c>
      <c r="J1342" s="39" t="s">
        <v>369</v>
      </c>
      <c r="K1342" s="39" t="s">
        <v>1716</v>
      </c>
      <c r="L1342" s="39" t="s">
        <v>1014</v>
      </c>
      <c r="M1342" s="38" t="s">
        <v>1035</v>
      </c>
      <c r="N1342" s="38" t="s">
        <v>68</v>
      </c>
    </row>
    <row r="1343" spans="1:14" x14ac:dyDescent="0.2">
      <c r="A1343" s="38" t="s">
        <v>1035</v>
      </c>
      <c r="B1343" s="38">
        <v>201082</v>
      </c>
      <c r="C1343" s="38" t="s">
        <v>1135</v>
      </c>
      <c r="D1343" s="279">
        <v>100000</v>
      </c>
      <c r="F1343" s="40">
        <v>3.3399999999999999E-2</v>
      </c>
      <c r="G1343" s="41">
        <v>40849</v>
      </c>
      <c r="H1343" s="41">
        <v>40882</v>
      </c>
      <c r="I1343" s="39">
        <v>5</v>
      </c>
      <c r="J1343" s="39" t="s">
        <v>369</v>
      </c>
      <c r="K1343" s="39" t="s">
        <v>1716</v>
      </c>
      <c r="L1343" s="39" t="s">
        <v>1014</v>
      </c>
      <c r="M1343" s="38" t="s">
        <v>1035</v>
      </c>
      <c r="N1343" s="38" t="s">
        <v>68</v>
      </c>
    </row>
    <row r="1344" spans="1:14" x14ac:dyDescent="0.2">
      <c r="A1344" s="38" t="s">
        <v>1035</v>
      </c>
      <c r="B1344" s="38">
        <v>201086</v>
      </c>
      <c r="C1344" s="38" t="s">
        <v>1136</v>
      </c>
      <c r="D1344" s="279">
        <v>100000</v>
      </c>
      <c r="F1344" s="40">
        <v>3.6999999999999998E-2</v>
      </c>
      <c r="G1344" s="41">
        <v>40868</v>
      </c>
      <c r="H1344" s="41">
        <v>41599</v>
      </c>
      <c r="I1344" s="39">
        <v>2</v>
      </c>
      <c r="J1344" s="39" t="s">
        <v>1716</v>
      </c>
      <c r="K1344" s="39" t="s">
        <v>1716</v>
      </c>
      <c r="L1344" s="39" t="s">
        <v>1014</v>
      </c>
      <c r="M1344" s="38" t="s">
        <v>1035</v>
      </c>
      <c r="N1344" s="38" t="s">
        <v>68</v>
      </c>
    </row>
    <row r="1345" spans="1:14" x14ac:dyDescent="0.2">
      <c r="A1345" s="38" t="s">
        <v>557</v>
      </c>
      <c r="B1345" s="38">
        <v>150856</v>
      </c>
      <c r="C1345" s="38" t="s">
        <v>1138</v>
      </c>
      <c r="D1345" s="279">
        <v>100000</v>
      </c>
      <c r="F1345" s="40">
        <v>4.2999999999999997E-2</v>
      </c>
      <c r="G1345" s="41">
        <v>40869</v>
      </c>
      <c r="H1345" s="41">
        <v>41600</v>
      </c>
      <c r="I1345" s="39">
        <v>2</v>
      </c>
      <c r="J1345" s="39" t="s">
        <v>1716</v>
      </c>
      <c r="K1345" s="39" t="s">
        <v>1716</v>
      </c>
      <c r="L1345" s="39" t="s">
        <v>1014</v>
      </c>
      <c r="M1345" s="38" t="s">
        <v>557</v>
      </c>
      <c r="N1345" s="38" t="s">
        <v>1481</v>
      </c>
    </row>
    <row r="1346" spans="1:14" x14ac:dyDescent="0.2">
      <c r="A1346" s="38" t="s">
        <v>1713</v>
      </c>
      <c r="B1346" s="38">
        <v>140320</v>
      </c>
      <c r="C1346" s="38" t="s">
        <v>1139</v>
      </c>
      <c r="D1346" s="279">
        <v>100000</v>
      </c>
      <c r="F1346" s="40">
        <v>4.5999999999999999E-2</v>
      </c>
      <c r="G1346" s="41">
        <v>40869</v>
      </c>
      <c r="H1346" s="41">
        <v>41051</v>
      </c>
      <c r="I1346" s="39">
        <v>26</v>
      </c>
      <c r="J1346" s="39" t="s">
        <v>369</v>
      </c>
      <c r="K1346" s="39" t="s">
        <v>1716</v>
      </c>
      <c r="L1346" s="39" t="s">
        <v>1014</v>
      </c>
      <c r="M1346" s="38" t="s">
        <v>1713</v>
      </c>
      <c r="N1346" s="38" t="s">
        <v>1140</v>
      </c>
    </row>
    <row r="1347" spans="1:14" x14ac:dyDescent="0.2">
      <c r="A1347" s="38" t="s">
        <v>1035</v>
      </c>
      <c r="B1347" s="38">
        <v>201070</v>
      </c>
      <c r="C1347" s="38" t="s">
        <v>1011</v>
      </c>
      <c r="D1347" s="279">
        <v>100000</v>
      </c>
      <c r="F1347" s="40">
        <v>3.3000000000000002E-2</v>
      </c>
      <c r="G1347" s="8">
        <v>40826</v>
      </c>
      <c r="H1347" s="8">
        <v>40917</v>
      </c>
      <c r="I1347" s="39">
        <v>13</v>
      </c>
      <c r="J1347" s="39" t="s">
        <v>369</v>
      </c>
      <c r="K1347" s="39" t="s">
        <v>1716</v>
      </c>
      <c r="L1347" s="39" t="s">
        <v>1014</v>
      </c>
      <c r="M1347" s="38" t="s">
        <v>1035</v>
      </c>
      <c r="N1347" s="38" t="s">
        <v>68</v>
      </c>
    </row>
    <row r="1348" spans="1:14" x14ac:dyDescent="0.2">
      <c r="A1348" s="38" t="s">
        <v>1035</v>
      </c>
      <c r="B1348" s="38">
        <v>201072</v>
      </c>
      <c r="C1348" s="38" t="s">
        <v>658</v>
      </c>
      <c r="D1348" s="279">
        <v>100000</v>
      </c>
      <c r="F1348" s="40">
        <v>3.3000000000000002E-2</v>
      </c>
      <c r="G1348" s="8">
        <v>40833</v>
      </c>
      <c r="H1348" s="8">
        <v>40924</v>
      </c>
      <c r="I1348" s="39">
        <v>13</v>
      </c>
      <c r="J1348" s="39" t="s">
        <v>369</v>
      </c>
      <c r="K1348" s="39" t="s">
        <v>1716</v>
      </c>
      <c r="L1348" s="39" t="s">
        <v>1014</v>
      </c>
      <c r="M1348" s="38" t="s">
        <v>1035</v>
      </c>
      <c r="N1348" s="38" t="s">
        <v>68</v>
      </c>
    </row>
    <row r="1349" spans="1:14" x14ac:dyDescent="0.2">
      <c r="A1349" s="38" t="s">
        <v>1035</v>
      </c>
      <c r="B1349" s="38">
        <v>201057</v>
      </c>
      <c r="C1349" s="38" t="s">
        <v>1010</v>
      </c>
      <c r="D1349" s="279">
        <v>100000</v>
      </c>
      <c r="F1349" s="40">
        <v>3.5000000000000003E-2</v>
      </c>
      <c r="G1349" s="8">
        <v>40770</v>
      </c>
      <c r="H1349" s="8">
        <v>41134</v>
      </c>
      <c r="I1349" s="39">
        <v>52</v>
      </c>
      <c r="J1349" s="39" t="s">
        <v>369</v>
      </c>
      <c r="K1349" s="39" t="s">
        <v>1716</v>
      </c>
      <c r="L1349" s="39" t="s">
        <v>1014</v>
      </c>
      <c r="M1349" s="38" t="s">
        <v>1035</v>
      </c>
      <c r="N1349" s="38" t="s">
        <v>68</v>
      </c>
    </row>
    <row r="1350" spans="1:14" x14ac:dyDescent="0.2">
      <c r="A1350" s="38" t="s">
        <v>1035</v>
      </c>
      <c r="B1350" s="38">
        <v>201054</v>
      </c>
      <c r="C1350" t="s">
        <v>1387</v>
      </c>
      <c r="D1350" s="279">
        <v>100000</v>
      </c>
      <c r="F1350" s="40">
        <v>3.5999999999999997E-2</v>
      </c>
      <c r="G1350" s="8">
        <v>40735</v>
      </c>
      <c r="H1350" s="8">
        <v>41466</v>
      </c>
      <c r="I1350" s="39">
        <v>2</v>
      </c>
      <c r="J1350" s="39" t="s">
        <v>1716</v>
      </c>
      <c r="K1350" s="39" t="s">
        <v>1716</v>
      </c>
      <c r="L1350" s="39" t="s">
        <v>1014</v>
      </c>
      <c r="M1350" s="38" t="s">
        <v>1035</v>
      </c>
      <c r="N1350" s="38" t="s">
        <v>68</v>
      </c>
    </row>
    <row r="1351" spans="1:14" x14ac:dyDescent="0.2">
      <c r="A1351" s="38" t="s">
        <v>557</v>
      </c>
      <c r="B1351" s="38">
        <v>150857</v>
      </c>
      <c r="C1351" t="s">
        <v>647</v>
      </c>
      <c r="D1351" s="279">
        <v>100000</v>
      </c>
      <c r="F1351" s="40">
        <v>3.95E-2</v>
      </c>
      <c r="G1351" s="8">
        <v>40870</v>
      </c>
      <c r="H1351" s="8">
        <v>41234</v>
      </c>
      <c r="I1351" s="39">
        <v>52</v>
      </c>
      <c r="J1351" s="39" t="s">
        <v>369</v>
      </c>
      <c r="K1351" s="39" t="s">
        <v>1716</v>
      </c>
      <c r="L1351" s="39" t="s">
        <v>1014</v>
      </c>
      <c r="M1351" s="38" t="s">
        <v>557</v>
      </c>
      <c r="N1351" s="38" t="s">
        <v>1050</v>
      </c>
    </row>
    <row r="1352" spans="1:14" x14ac:dyDescent="0.2">
      <c r="A1352" s="38" t="s">
        <v>557</v>
      </c>
      <c r="B1352" s="38">
        <v>150768</v>
      </c>
      <c r="C1352" t="s">
        <v>229</v>
      </c>
      <c r="D1352" s="279">
        <v>100000</v>
      </c>
      <c r="F1352" s="40">
        <v>4.1000000000000002E-2</v>
      </c>
      <c r="G1352" s="8">
        <v>40674</v>
      </c>
      <c r="H1352" s="8">
        <v>41405</v>
      </c>
      <c r="I1352" s="39">
        <v>2</v>
      </c>
      <c r="J1352" s="39" t="s">
        <v>1716</v>
      </c>
      <c r="K1352" s="39" t="s">
        <v>1716</v>
      </c>
      <c r="L1352" s="39" t="s">
        <v>1014</v>
      </c>
      <c r="M1352" s="38" t="s">
        <v>557</v>
      </c>
      <c r="N1352" s="38" t="s">
        <v>1050</v>
      </c>
    </row>
    <row r="1353" spans="1:14" x14ac:dyDescent="0.2">
      <c r="A1353" s="38" t="s">
        <v>1803</v>
      </c>
      <c r="B1353" s="38">
        <v>2126</v>
      </c>
      <c r="C1353" t="s">
        <v>230</v>
      </c>
      <c r="D1353" s="279">
        <v>100000</v>
      </c>
      <c r="F1353" s="40">
        <v>5.1999999999999998E-2</v>
      </c>
      <c r="G1353" s="8">
        <v>39784</v>
      </c>
      <c r="H1353" s="8">
        <v>41610</v>
      </c>
      <c r="I1353" s="39">
        <v>5</v>
      </c>
      <c r="J1353" s="39" t="s">
        <v>1716</v>
      </c>
      <c r="K1353" s="39" t="s">
        <v>1716</v>
      </c>
      <c r="L1353" s="39" t="s">
        <v>1014</v>
      </c>
      <c r="M1353" s="38" t="s">
        <v>1803</v>
      </c>
      <c r="N1353" s="38" t="s">
        <v>231</v>
      </c>
    </row>
    <row r="1354" spans="1:14" x14ac:dyDescent="0.2">
      <c r="A1354" s="38" t="s">
        <v>557</v>
      </c>
      <c r="B1354" s="38">
        <v>150865</v>
      </c>
      <c r="C1354" t="s">
        <v>449</v>
      </c>
      <c r="D1354" s="279">
        <v>100000</v>
      </c>
      <c r="F1354" s="40">
        <v>3.6999999999999998E-2</v>
      </c>
      <c r="G1354" s="8">
        <v>40877</v>
      </c>
      <c r="H1354" s="8">
        <v>40940</v>
      </c>
      <c r="I1354" s="39">
        <v>13</v>
      </c>
      <c r="J1354" s="39" t="s">
        <v>369</v>
      </c>
      <c r="K1354" s="39" t="s">
        <v>1716</v>
      </c>
      <c r="L1354" s="39" t="s">
        <v>1014</v>
      </c>
      <c r="M1354" s="38" t="s">
        <v>557</v>
      </c>
      <c r="N1354" s="38" t="s">
        <v>1004</v>
      </c>
    </row>
    <row r="1355" spans="1:14" x14ac:dyDescent="0.2">
      <c r="A1355" s="38" t="s">
        <v>557</v>
      </c>
      <c r="B1355" s="38">
        <v>150862</v>
      </c>
      <c r="C1355" t="s">
        <v>582</v>
      </c>
      <c r="D1355" s="279">
        <v>100000</v>
      </c>
      <c r="F1355" s="40">
        <v>4.3999999999999997E-2</v>
      </c>
      <c r="G1355" s="8">
        <v>40907</v>
      </c>
      <c r="H1355" s="8">
        <v>41973</v>
      </c>
      <c r="I1355" s="39">
        <v>3</v>
      </c>
      <c r="J1355" s="39" t="s">
        <v>1716</v>
      </c>
      <c r="K1355" s="39" t="s">
        <v>1716</v>
      </c>
      <c r="L1355" s="39" t="s">
        <v>1014</v>
      </c>
      <c r="M1355" s="38" t="s">
        <v>557</v>
      </c>
      <c r="N1355" s="38" t="s">
        <v>918</v>
      </c>
    </row>
    <row r="1356" spans="1:14" x14ac:dyDescent="0.2">
      <c r="A1356" s="38" t="s">
        <v>557</v>
      </c>
      <c r="B1356" s="38">
        <v>150861</v>
      </c>
      <c r="C1356" t="s">
        <v>583</v>
      </c>
      <c r="D1356" s="279">
        <v>100000</v>
      </c>
      <c r="F1356" s="40">
        <v>4.2999999999999997E-2</v>
      </c>
      <c r="G1356" s="8">
        <v>40877</v>
      </c>
      <c r="H1356" s="8">
        <v>41608</v>
      </c>
      <c r="I1356" s="39">
        <v>2</v>
      </c>
      <c r="J1356" s="39" t="s">
        <v>1716</v>
      </c>
      <c r="K1356" s="39" t="s">
        <v>1716</v>
      </c>
      <c r="L1356" s="39" t="s">
        <v>1014</v>
      </c>
      <c r="M1356" s="38" t="s">
        <v>557</v>
      </c>
      <c r="N1356" s="38" t="s">
        <v>918</v>
      </c>
    </row>
    <row r="1357" spans="1:14" x14ac:dyDescent="0.2">
      <c r="A1357" s="38" t="s">
        <v>1674</v>
      </c>
      <c r="B1357" s="38">
        <v>100548</v>
      </c>
      <c r="C1357" t="s">
        <v>1041</v>
      </c>
      <c r="D1357" s="279">
        <v>100000</v>
      </c>
      <c r="F1357" s="40">
        <v>4.3200000000000002E-2</v>
      </c>
      <c r="G1357" s="8">
        <v>40882</v>
      </c>
      <c r="H1357" s="8">
        <v>41613</v>
      </c>
      <c r="I1357" s="39">
        <v>2</v>
      </c>
      <c r="J1357" s="39" t="s">
        <v>1716</v>
      </c>
      <c r="K1357" s="39" t="s">
        <v>1716</v>
      </c>
      <c r="L1357" s="39" t="s">
        <v>1014</v>
      </c>
      <c r="M1357" s="38" t="s">
        <v>1674</v>
      </c>
      <c r="N1357" s="38" t="s">
        <v>1226</v>
      </c>
    </row>
    <row r="1358" spans="1:14" x14ac:dyDescent="0.2">
      <c r="A1358" s="38" t="s">
        <v>557</v>
      </c>
      <c r="B1358" s="38">
        <v>150870</v>
      </c>
      <c r="C1358" t="s">
        <v>1043</v>
      </c>
      <c r="D1358" s="279">
        <v>100000</v>
      </c>
      <c r="F1358" s="40">
        <v>3.7199999999999997E-2</v>
      </c>
      <c r="G1358" s="8">
        <v>40885</v>
      </c>
      <c r="H1358" s="8">
        <v>40976</v>
      </c>
      <c r="I1358" s="39">
        <v>13</v>
      </c>
      <c r="J1358" s="39" t="s">
        <v>369</v>
      </c>
      <c r="K1358" s="39" t="s">
        <v>1716</v>
      </c>
      <c r="L1358" s="39" t="s">
        <v>1014</v>
      </c>
      <c r="M1358" s="38" t="s">
        <v>557</v>
      </c>
      <c r="N1358" s="38" t="s">
        <v>1042</v>
      </c>
    </row>
    <row r="1359" spans="1:14" x14ac:dyDescent="0.2">
      <c r="A1359" s="38" t="s">
        <v>557</v>
      </c>
      <c r="B1359" s="38">
        <v>150871</v>
      </c>
      <c r="C1359" t="s">
        <v>1044</v>
      </c>
      <c r="D1359" s="279">
        <v>100000</v>
      </c>
      <c r="F1359" s="40">
        <v>3.9600000000000003E-2</v>
      </c>
      <c r="G1359" s="8">
        <v>40885</v>
      </c>
      <c r="H1359" s="8">
        <v>41249</v>
      </c>
      <c r="I1359" s="39">
        <v>52</v>
      </c>
      <c r="J1359" s="39" t="s">
        <v>369</v>
      </c>
      <c r="K1359" s="39" t="s">
        <v>1716</v>
      </c>
      <c r="L1359" s="39" t="s">
        <v>1014</v>
      </c>
      <c r="M1359" s="38" t="s">
        <v>557</v>
      </c>
      <c r="N1359" s="38" t="s">
        <v>1042</v>
      </c>
    </row>
    <row r="1360" spans="1:14" x14ac:dyDescent="0.2">
      <c r="A1360" s="38" t="s">
        <v>557</v>
      </c>
      <c r="B1360" s="38">
        <v>150877</v>
      </c>
      <c r="C1360" t="s">
        <v>1661</v>
      </c>
      <c r="D1360" s="279">
        <v>100000</v>
      </c>
      <c r="F1360" s="40">
        <v>3.7100000000000001E-2</v>
      </c>
      <c r="G1360" s="8">
        <v>40892</v>
      </c>
      <c r="H1360" s="8">
        <v>40947</v>
      </c>
      <c r="I1360" s="39">
        <v>13</v>
      </c>
      <c r="J1360" s="39" t="s">
        <v>369</v>
      </c>
      <c r="K1360" s="39" t="s">
        <v>1716</v>
      </c>
      <c r="L1360" s="39" t="s">
        <v>1014</v>
      </c>
      <c r="M1360" s="38" t="s">
        <v>557</v>
      </c>
      <c r="N1360" s="38" t="s">
        <v>1004</v>
      </c>
    </row>
    <row r="1361" spans="1:14" x14ac:dyDescent="0.2">
      <c r="A1361" s="38" t="s">
        <v>1803</v>
      </c>
      <c r="B1361" s="38">
        <v>9132</v>
      </c>
      <c r="C1361" t="s">
        <v>1868</v>
      </c>
      <c r="D1361" s="279">
        <v>100000</v>
      </c>
      <c r="F1361" s="40">
        <v>5.45E-2</v>
      </c>
      <c r="G1361" s="8">
        <v>40647</v>
      </c>
      <c r="H1361" s="8">
        <v>41743</v>
      </c>
      <c r="I1361" s="39">
        <v>3</v>
      </c>
      <c r="J1361" s="39" t="s">
        <v>1716</v>
      </c>
      <c r="K1361" s="39" t="s">
        <v>1716</v>
      </c>
      <c r="L1361" s="39" t="s">
        <v>1014</v>
      </c>
      <c r="M1361" s="38" t="s">
        <v>1803</v>
      </c>
      <c r="N1361" s="38" t="s">
        <v>20</v>
      </c>
    </row>
    <row r="1362" spans="1:14" x14ac:dyDescent="0.2">
      <c r="A1362" s="38" t="s">
        <v>557</v>
      </c>
      <c r="B1362" s="38">
        <v>150878</v>
      </c>
      <c r="C1362" t="s">
        <v>155</v>
      </c>
      <c r="D1362" s="279">
        <v>100000</v>
      </c>
      <c r="F1362" s="40">
        <v>3.7199999999999997E-2</v>
      </c>
      <c r="G1362" s="8">
        <v>40899</v>
      </c>
      <c r="H1362" s="8">
        <v>40991</v>
      </c>
      <c r="I1362" s="39">
        <v>13</v>
      </c>
      <c r="J1362" s="39" t="s">
        <v>369</v>
      </c>
      <c r="K1362" s="39" t="s">
        <v>1716</v>
      </c>
      <c r="L1362" s="39" t="s">
        <v>1014</v>
      </c>
      <c r="M1362" s="38" t="s">
        <v>557</v>
      </c>
      <c r="N1362" s="38" t="s">
        <v>1042</v>
      </c>
    </row>
    <row r="1363" spans="1:14" x14ac:dyDescent="0.2">
      <c r="A1363" s="38" t="s">
        <v>557</v>
      </c>
      <c r="B1363" s="38">
        <v>150888</v>
      </c>
      <c r="C1363" t="s">
        <v>517</v>
      </c>
      <c r="D1363" s="279">
        <v>100000</v>
      </c>
      <c r="F1363" s="40">
        <v>4.2500000000000003E-2</v>
      </c>
      <c r="G1363" s="8">
        <v>40907</v>
      </c>
      <c r="H1363" s="8">
        <v>41638</v>
      </c>
      <c r="I1363" s="39">
        <v>2</v>
      </c>
      <c r="J1363" s="39" t="s">
        <v>1716</v>
      </c>
      <c r="K1363" s="39" t="s">
        <v>1716</v>
      </c>
      <c r="L1363" s="39" t="s">
        <v>1014</v>
      </c>
      <c r="M1363" s="38" t="s">
        <v>557</v>
      </c>
      <c r="N1363" s="38" t="s">
        <v>1042</v>
      </c>
    </row>
    <row r="1364" spans="1:14" x14ac:dyDescent="0.2">
      <c r="A1364" s="38" t="s">
        <v>1803</v>
      </c>
      <c r="B1364" s="38">
        <v>201078</v>
      </c>
      <c r="C1364" t="s">
        <v>1697</v>
      </c>
      <c r="D1364" s="279">
        <v>100000</v>
      </c>
      <c r="F1364" s="40">
        <v>3.3300000000000003E-2</v>
      </c>
      <c r="G1364" s="8">
        <v>40847</v>
      </c>
      <c r="H1364" s="8">
        <v>40938</v>
      </c>
      <c r="I1364" s="39">
        <v>13</v>
      </c>
      <c r="J1364" s="39" t="s">
        <v>369</v>
      </c>
      <c r="K1364" s="39" t="s">
        <v>1716</v>
      </c>
      <c r="L1364" s="39" t="s">
        <v>1014</v>
      </c>
      <c r="M1364" s="38" t="s">
        <v>1803</v>
      </c>
      <c r="N1364" s="38" t="s">
        <v>68</v>
      </c>
    </row>
    <row r="1365" spans="1:14" x14ac:dyDescent="0.2">
      <c r="A1365" s="38" t="s">
        <v>1035</v>
      </c>
      <c r="B1365" s="38">
        <v>201094</v>
      </c>
      <c r="C1365" t="s">
        <v>1313</v>
      </c>
      <c r="D1365" s="279">
        <v>100000</v>
      </c>
      <c r="F1365" s="40">
        <v>3.7499999999999999E-2</v>
      </c>
      <c r="G1365" s="8">
        <v>40956</v>
      </c>
      <c r="H1365" s="8">
        <v>41687</v>
      </c>
      <c r="I1365" s="39">
        <v>2</v>
      </c>
      <c r="J1365" s="39" t="s">
        <v>1716</v>
      </c>
      <c r="K1365" s="39" t="s">
        <v>1716</v>
      </c>
      <c r="L1365" s="39" t="s">
        <v>1014</v>
      </c>
      <c r="M1365" s="38" t="s">
        <v>1035</v>
      </c>
      <c r="N1365" s="38" t="s">
        <v>68</v>
      </c>
    </row>
    <row r="1366" spans="1:14" x14ac:dyDescent="0.2">
      <c r="A1366" s="38" t="s">
        <v>1803</v>
      </c>
      <c r="B1366" s="38">
        <v>9066</v>
      </c>
      <c r="C1366" t="s">
        <v>118</v>
      </c>
      <c r="D1366" s="279">
        <v>100000</v>
      </c>
      <c r="F1366" s="40">
        <v>4.5999999999999999E-2</v>
      </c>
      <c r="G1366" s="8">
        <v>39631</v>
      </c>
      <c r="H1366" s="8">
        <v>41457</v>
      </c>
      <c r="I1366" s="39">
        <v>5</v>
      </c>
      <c r="J1366" s="39" t="s">
        <v>1716</v>
      </c>
      <c r="K1366" s="39" t="s">
        <v>1716</v>
      </c>
      <c r="L1366" s="39" t="s">
        <v>1014</v>
      </c>
      <c r="M1366" s="38" t="s">
        <v>1803</v>
      </c>
      <c r="N1366" s="38" t="s">
        <v>1481</v>
      </c>
    </row>
    <row r="1367" spans="1:14" s="335" customFormat="1" x14ac:dyDescent="0.2">
      <c r="A1367" s="333" t="s">
        <v>1035</v>
      </c>
      <c r="B1367" s="333">
        <v>201101</v>
      </c>
      <c r="C1367" s="336" t="s">
        <v>119</v>
      </c>
      <c r="D1367" s="337">
        <v>100000</v>
      </c>
      <c r="E1367" s="333"/>
      <c r="F1367" s="723">
        <v>3.95E-2</v>
      </c>
      <c r="G1367" s="338">
        <v>40924</v>
      </c>
      <c r="H1367" s="338">
        <v>42842</v>
      </c>
      <c r="I1367" s="334">
        <v>5</v>
      </c>
      <c r="J1367" s="334" t="s">
        <v>1716</v>
      </c>
      <c r="K1367" s="334" t="s">
        <v>1716</v>
      </c>
      <c r="L1367" s="334" t="s">
        <v>1014</v>
      </c>
      <c r="M1367" s="333" t="s">
        <v>1803</v>
      </c>
      <c r="N1367" s="333" t="s">
        <v>68</v>
      </c>
    </row>
    <row r="1368" spans="1:14" x14ac:dyDescent="0.2">
      <c r="A1368" s="38" t="s">
        <v>557</v>
      </c>
      <c r="B1368" s="38">
        <v>150898</v>
      </c>
      <c r="C1368" t="s">
        <v>120</v>
      </c>
      <c r="D1368" s="279">
        <v>100000</v>
      </c>
      <c r="F1368" s="40">
        <v>4.3499999999999997E-2</v>
      </c>
      <c r="G1368" s="8">
        <v>40928</v>
      </c>
      <c r="H1368" s="8">
        <v>41659</v>
      </c>
      <c r="I1368" s="39">
        <v>2</v>
      </c>
      <c r="J1368" s="39" t="s">
        <v>1716</v>
      </c>
      <c r="K1368" s="39" t="s">
        <v>1716</v>
      </c>
      <c r="L1368" s="39" t="s">
        <v>1014</v>
      </c>
      <c r="M1368" s="38" t="s">
        <v>557</v>
      </c>
      <c r="N1368" s="38" t="s">
        <v>1481</v>
      </c>
    </row>
    <row r="1369" spans="1:14" x14ac:dyDescent="0.2">
      <c r="A1369" s="38" t="s">
        <v>557</v>
      </c>
      <c r="B1369" s="38">
        <v>9149</v>
      </c>
      <c r="C1369" t="s">
        <v>121</v>
      </c>
      <c r="D1369" s="279">
        <v>100000</v>
      </c>
      <c r="F1369" s="40">
        <v>5.2999999999999999E-2</v>
      </c>
      <c r="G1369" s="8">
        <v>40928</v>
      </c>
      <c r="H1369" s="8">
        <v>46407</v>
      </c>
      <c r="I1369" s="39">
        <v>15</v>
      </c>
      <c r="J1369" s="39" t="s">
        <v>1716</v>
      </c>
      <c r="K1369" s="39" t="s">
        <v>1716</v>
      </c>
      <c r="L1369" s="39" t="s">
        <v>1014</v>
      </c>
      <c r="M1369" s="38" t="s">
        <v>557</v>
      </c>
      <c r="N1369" s="38" t="s">
        <v>1004</v>
      </c>
    </row>
    <row r="1370" spans="1:14" x14ac:dyDescent="0.2">
      <c r="A1370" s="38" t="s">
        <v>1035</v>
      </c>
      <c r="B1370" s="38">
        <v>201054</v>
      </c>
      <c r="C1370" t="s">
        <v>122</v>
      </c>
      <c r="D1370" s="279">
        <v>100000</v>
      </c>
      <c r="F1370" s="40">
        <v>3.5999999999999997E-2</v>
      </c>
      <c r="G1370" s="8">
        <v>40735</v>
      </c>
      <c r="H1370" s="8">
        <v>41466</v>
      </c>
      <c r="I1370" s="39">
        <v>2</v>
      </c>
      <c r="J1370" s="39" t="s">
        <v>1716</v>
      </c>
      <c r="K1370" s="39" t="s">
        <v>1716</v>
      </c>
      <c r="L1370" s="39" t="s">
        <v>1014</v>
      </c>
      <c r="M1370" s="38" t="s">
        <v>1035</v>
      </c>
      <c r="N1370" s="38" t="s">
        <v>68</v>
      </c>
    </row>
    <row r="1371" spans="1:14" x14ac:dyDescent="0.2">
      <c r="A1371" s="38" t="s">
        <v>1035</v>
      </c>
      <c r="B1371" s="38">
        <v>201090</v>
      </c>
      <c r="C1371" t="s">
        <v>563</v>
      </c>
      <c r="D1371" s="279">
        <v>100000</v>
      </c>
      <c r="F1371" s="40">
        <v>3.6999999999999998E-2</v>
      </c>
      <c r="G1371" s="8">
        <v>40889</v>
      </c>
      <c r="H1371" s="8">
        <v>41645</v>
      </c>
      <c r="I1371" s="39">
        <v>2</v>
      </c>
      <c r="J1371" s="39" t="s">
        <v>1716</v>
      </c>
      <c r="K1371" s="39" t="s">
        <v>1716</v>
      </c>
      <c r="L1371" s="39" t="s">
        <v>1014</v>
      </c>
      <c r="M1371" s="38" t="s">
        <v>1035</v>
      </c>
      <c r="N1371" s="38" t="s">
        <v>68</v>
      </c>
    </row>
    <row r="1372" spans="1:14" x14ac:dyDescent="0.2">
      <c r="A1372" s="38" t="s">
        <v>1674</v>
      </c>
      <c r="B1372" s="38">
        <v>100549</v>
      </c>
      <c r="C1372" t="s">
        <v>1142</v>
      </c>
      <c r="D1372" s="279">
        <v>100000</v>
      </c>
      <c r="F1372" s="40">
        <v>4.36E-2</v>
      </c>
      <c r="G1372" s="8">
        <v>40931</v>
      </c>
      <c r="H1372" s="8">
        <v>41662</v>
      </c>
      <c r="I1372" s="39">
        <v>2</v>
      </c>
      <c r="J1372" s="39" t="s">
        <v>1716</v>
      </c>
      <c r="K1372" s="39" t="s">
        <v>1716</v>
      </c>
      <c r="L1372" s="39" t="s">
        <v>1014</v>
      </c>
      <c r="M1372" s="38" t="s">
        <v>1674</v>
      </c>
      <c r="N1372" s="38" t="s">
        <v>1226</v>
      </c>
    </row>
    <row r="1373" spans="1:14" s="288" customFormat="1" x14ac:dyDescent="0.2">
      <c r="A1373" s="250" t="s">
        <v>1803</v>
      </c>
      <c r="B1373" s="250">
        <v>9152</v>
      </c>
      <c r="C1373" s="150" t="s">
        <v>1684</v>
      </c>
      <c r="D1373" s="293">
        <v>100000</v>
      </c>
      <c r="E1373" s="250"/>
      <c r="F1373" s="673">
        <v>5.3900000000000003E-2</v>
      </c>
      <c r="G1373" s="225">
        <v>40938</v>
      </c>
      <c r="H1373" s="225">
        <v>42765</v>
      </c>
      <c r="I1373" s="289">
        <v>5</v>
      </c>
      <c r="J1373" s="289" t="s">
        <v>1716</v>
      </c>
      <c r="K1373" s="289" t="s">
        <v>1716</v>
      </c>
      <c r="L1373" s="289" t="s">
        <v>1014</v>
      </c>
      <c r="M1373" s="250" t="s">
        <v>1803</v>
      </c>
      <c r="N1373" s="250" t="s">
        <v>1685</v>
      </c>
    </row>
    <row r="1374" spans="1:14" x14ac:dyDescent="0.2">
      <c r="A1374" s="38" t="s">
        <v>1803</v>
      </c>
      <c r="B1374" s="38">
        <v>9153</v>
      </c>
      <c r="C1374" t="s">
        <v>1686</v>
      </c>
      <c r="D1374" s="279">
        <v>100000</v>
      </c>
      <c r="F1374" s="40">
        <v>3.9E-2</v>
      </c>
      <c r="G1374" s="8">
        <v>40939</v>
      </c>
      <c r="H1374" s="8">
        <v>41121</v>
      </c>
      <c r="I1374" s="39">
        <v>13</v>
      </c>
      <c r="J1374" s="39" t="s">
        <v>369</v>
      </c>
      <c r="K1374" s="39" t="s">
        <v>1716</v>
      </c>
      <c r="L1374" s="39" t="s">
        <v>1014</v>
      </c>
      <c r="M1374" s="38" t="s">
        <v>1803</v>
      </c>
      <c r="N1374" s="38" t="s">
        <v>231</v>
      </c>
    </row>
    <row r="1375" spans="1:14" ht="15" customHeight="1" x14ac:dyDescent="0.2">
      <c r="A1375" s="38" t="s">
        <v>557</v>
      </c>
      <c r="B1375" s="38">
        <v>150909</v>
      </c>
      <c r="C1375" t="s">
        <v>1209</v>
      </c>
      <c r="D1375" s="279">
        <v>100000</v>
      </c>
      <c r="F1375" s="40">
        <v>3.04E-2</v>
      </c>
      <c r="G1375" s="8">
        <v>42768</v>
      </c>
      <c r="H1375" s="8">
        <v>43133</v>
      </c>
      <c r="I1375" s="39">
        <v>52</v>
      </c>
      <c r="J1375" s="39" t="s">
        <v>369</v>
      </c>
      <c r="K1375" s="39" t="s">
        <v>1716</v>
      </c>
      <c r="L1375" s="39" t="s">
        <v>1014</v>
      </c>
      <c r="M1375" s="38" t="s">
        <v>557</v>
      </c>
      <c r="N1375" s="38" t="s">
        <v>1004</v>
      </c>
    </row>
    <row r="1376" spans="1:14" ht="15" customHeight="1" x14ac:dyDescent="0.2">
      <c r="A1376" s="38" t="s">
        <v>557</v>
      </c>
      <c r="B1376" s="38">
        <v>150914</v>
      </c>
      <c r="C1376" t="s">
        <v>1472</v>
      </c>
      <c r="D1376" s="279">
        <v>100000</v>
      </c>
      <c r="F1376" s="40">
        <v>4.36E-2</v>
      </c>
      <c r="G1376" s="8">
        <v>40949</v>
      </c>
      <c r="H1376" s="8">
        <v>41680</v>
      </c>
      <c r="I1376" s="39">
        <v>2</v>
      </c>
      <c r="J1376" s="39" t="s">
        <v>1716</v>
      </c>
      <c r="K1376" s="39" t="s">
        <v>1716</v>
      </c>
      <c r="L1376" s="39" t="s">
        <v>1014</v>
      </c>
      <c r="M1376" s="38" t="s">
        <v>557</v>
      </c>
      <c r="N1376" s="38" t="s">
        <v>1473</v>
      </c>
    </row>
    <row r="1377" spans="1:14" ht="15" customHeight="1" x14ac:dyDescent="0.2">
      <c r="A1377" s="38" t="s">
        <v>1035</v>
      </c>
      <c r="B1377" s="38">
        <v>201099</v>
      </c>
      <c r="C1377" t="s">
        <v>31</v>
      </c>
      <c r="D1377" s="279">
        <v>100000</v>
      </c>
      <c r="F1377" s="40">
        <v>3.39E-2</v>
      </c>
      <c r="G1377" s="8">
        <v>40920</v>
      </c>
      <c r="H1377" s="8">
        <v>40959</v>
      </c>
      <c r="I1377" s="39">
        <v>13</v>
      </c>
      <c r="J1377" s="39" t="s">
        <v>369</v>
      </c>
      <c r="K1377" s="39" t="s">
        <v>1716</v>
      </c>
      <c r="L1377" s="39" t="s">
        <v>1014</v>
      </c>
      <c r="M1377" s="38" t="s">
        <v>1035</v>
      </c>
      <c r="N1377" s="38" t="s">
        <v>68</v>
      </c>
    </row>
    <row r="1378" spans="1:14" ht="15" customHeight="1" x14ac:dyDescent="0.2">
      <c r="A1378" s="38" t="s">
        <v>1035</v>
      </c>
      <c r="B1378" s="38">
        <v>201104</v>
      </c>
      <c r="C1378" t="s">
        <v>877</v>
      </c>
      <c r="D1378" s="279">
        <v>100000</v>
      </c>
      <c r="F1378" s="40">
        <v>3.7999999999999999E-2</v>
      </c>
      <c r="G1378" s="8">
        <v>40985</v>
      </c>
      <c r="H1378" s="8">
        <v>41715</v>
      </c>
      <c r="I1378" s="39">
        <v>2</v>
      </c>
      <c r="J1378" s="39" t="s">
        <v>1716</v>
      </c>
      <c r="K1378" s="39" t="s">
        <v>1716</v>
      </c>
      <c r="L1378" s="39" t="s">
        <v>1014</v>
      </c>
      <c r="M1378" s="38" t="s">
        <v>1035</v>
      </c>
      <c r="N1378" s="38" t="s">
        <v>68</v>
      </c>
    </row>
    <row r="1379" spans="1:14" ht="15" customHeight="1" x14ac:dyDescent="0.2">
      <c r="A1379" s="38" t="s">
        <v>557</v>
      </c>
      <c r="B1379" s="38">
        <v>150916</v>
      </c>
      <c r="C1379" t="s">
        <v>1255</v>
      </c>
      <c r="D1379" s="279">
        <v>100000</v>
      </c>
      <c r="F1379" s="40">
        <v>4.2999999999999997E-2</v>
      </c>
      <c r="G1379" s="8">
        <v>40954</v>
      </c>
      <c r="H1379" s="8">
        <v>41685</v>
      </c>
      <c r="I1379" s="39">
        <v>2</v>
      </c>
      <c r="J1379" s="39" t="s">
        <v>1716</v>
      </c>
      <c r="K1379" s="39" t="s">
        <v>1716</v>
      </c>
      <c r="L1379" s="39" t="s">
        <v>1014</v>
      </c>
      <c r="M1379" s="38" t="s">
        <v>557</v>
      </c>
      <c r="N1379" s="38" t="s">
        <v>1050</v>
      </c>
    </row>
    <row r="1380" spans="1:14" ht="15" customHeight="1" x14ac:dyDescent="0.2">
      <c r="A1380" s="38" t="s">
        <v>1035</v>
      </c>
      <c r="B1380" s="38">
        <v>201097</v>
      </c>
      <c r="C1380" t="s">
        <v>1256</v>
      </c>
      <c r="D1380" s="279">
        <v>100000</v>
      </c>
      <c r="F1380" s="40">
        <v>3.3599999999999998E-2</v>
      </c>
      <c r="G1380" s="8">
        <v>40920</v>
      </c>
      <c r="H1380" s="8">
        <v>40959</v>
      </c>
      <c r="I1380" s="39">
        <v>13</v>
      </c>
      <c r="J1380" s="39" t="s">
        <v>369</v>
      </c>
      <c r="K1380" s="39" t="s">
        <v>1716</v>
      </c>
      <c r="L1380" s="39" t="s">
        <v>1014</v>
      </c>
      <c r="M1380" s="38" t="s">
        <v>1035</v>
      </c>
      <c r="N1380" s="38" t="s">
        <v>68</v>
      </c>
    </row>
    <row r="1381" spans="1:14" ht="15" customHeight="1" x14ac:dyDescent="0.2">
      <c r="A1381" s="38" t="s">
        <v>557</v>
      </c>
      <c r="B1381" s="38">
        <v>140331</v>
      </c>
      <c r="C1381" t="s">
        <v>142</v>
      </c>
      <c r="D1381" s="279">
        <v>100000</v>
      </c>
      <c r="F1381" s="40">
        <v>3.7999999999999999E-2</v>
      </c>
      <c r="G1381" s="8">
        <v>40963</v>
      </c>
      <c r="H1381" s="8">
        <v>40994</v>
      </c>
      <c r="I1381" s="39">
        <v>13</v>
      </c>
      <c r="J1381" s="39" t="s">
        <v>369</v>
      </c>
      <c r="K1381" s="39" t="s">
        <v>1716</v>
      </c>
      <c r="L1381" s="39" t="s">
        <v>1014</v>
      </c>
      <c r="M1381" s="38" t="s">
        <v>557</v>
      </c>
      <c r="N1381" s="38" t="s">
        <v>143</v>
      </c>
    </row>
    <row r="1382" spans="1:14" ht="15" customHeight="1" x14ac:dyDescent="0.2">
      <c r="A1382" s="38" t="s">
        <v>557</v>
      </c>
      <c r="B1382" s="38">
        <v>150912</v>
      </c>
      <c r="C1382" t="s">
        <v>144</v>
      </c>
      <c r="D1382" s="279">
        <v>100000</v>
      </c>
      <c r="F1382" s="40">
        <v>4.0500000000000001E-2</v>
      </c>
      <c r="G1382" s="8">
        <v>40948</v>
      </c>
      <c r="H1382" s="8">
        <v>41312</v>
      </c>
      <c r="I1382" s="39">
        <v>13</v>
      </c>
      <c r="J1382" s="39" t="s">
        <v>369</v>
      </c>
      <c r="K1382" s="39" t="s">
        <v>1716</v>
      </c>
      <c r="L1382" s="39" t="s">
        <v>1014</v>
      </c>
      <c r="M1382" s="38" t="s">
        <v>557</v>
      </c>
      <c r="N1382" s="38" t="s">
        <v>1481</v>
      </c>
    </row>
    <row r="1383" spans="1:14" ht="15" customHeight="1" x14ac:dyDescent="0.2">
      <c r="A1383" s="38" t="s">
        <v>557</v>
      </c>
      <c r="B1383" s="38">
        <v>150919</v>
      </c>
      <c r="C1383" t="s">
        <v>145</v>
      </c>
      <c r="D1383" s="279">
        <v>100000</v>
      </c>
      <c r="F1383" s="40">
        <v>4.0500000000000001E-2</v>
      </c>
      <c r="G1383" s="8">
        <v>40966</v>
      </c>
      <c r="H1383" s="8">
        <v>41330</v>
      </c>
      <c r="I1383" s="39">
        <v>13</v>
      </c>
      <c r="J1383" s="39" t="s">
        <v>369</v>
      </c>
      <c r="K1383" s="39" t="s">
        <v>1716</v>
      </c>
      <c r="L1383" s="39" t="s">
        <v>1014</v>
      </c>
      <c r="M1383" s="38" t="s">
        <v>557</v>
      </c>
      <c r="N1383" s="38" t="s">
        <v>1481</v>
      </c>
    </row>
    <row r="1384" spans="1:14" ht="15" customHeight="1" x14ac:dyDescent="0.2">
      <c r="A1384" s="38" t="s">
        <v>557</v>
      </c>
      <c r="B1384" s="38">
        <v>150759</v>
      </c>
      <c r="C1384" t="s">
        <v>395</v>
      </c>
      <c r="D1384" s="279">
        <v>100000</v>
      </c>
      <c r="F1384" s="40">
        <v>4.2000000000000003E-2</v>
      </c>
      <c r="G1384" s="8">
        <v>40658</v>
      </c>
      <c r="H1384" s="8">
        <v>41389</v>
      </c>
      <c r="I1384" s="39">
        <v>2</v>
      </c>
      <c r="J1384" s="39" t="s">
        <v>1716</v>
      </c>
      <c r="K1384" s="39" t="s">
        <v>1716</v>
      </c>
      <c r="L1384" s="39" t="s">
        <v>1014</v>
      </c>
      <c r="M1384" s="38" t="s">
        <v>557</v>
      </c>
      <c r="N1384" s="38" t="s">
        <v>1504</v>
      </c>
    </row>
    <row r="1385" spans="1:14" ht="15" customHeight="1" x14ac:dyDescent="0.2">
      <c r="A1385" s="38" t="s">
        <v>557</v>
      </c>
      <c r="B1385" s="38">
        <v>150921</v>
      </c>
      <c r="C1385" t="s">
        <v>1033</v>
      </c>
      <c r="D1385" s="279">
        <v>100000</v>
      </c>
      <c r="F1385" s="40">
        <v>4.1599999999999998E-2</v>
      </c>
      <c r="G1385" s="8">
        <v>40967</v>
      </c>
      <c r="H1385" s="8">
        <v>41333</v>
      </c>
      <c r="I1385" s="39">
        <v>52</v>
      </c>
      <c r="J1385" s="39" t="s">
        <v>369</v>
      </c>
      <c r="K1385" s="39" t="s">
        <v>1716</v>
      </c>
      <c r="L1385" s="39" t="s">
        <v>1014</v>
      </c>
      <c r="M1385" s="38" t="s">
        <v>557</v>
      </c>
      <c r="N1385" s="38" t="s">
        <v>918</v>
      </c>
    </row>
    <row r="1386" spans="1:14" ht="15" customHeight="1" x14ac:dyDescent="0.2">
      <c r="A1386" s="38" t="s">
        <v>557</v>
      </c>
      <c r="B1386" s="38">
        <v>150920</v>
      </c>
      <c r="C1386" t="s">
        <v>1034</v>
      </c>
      <c r="D1386" s="279">
        <v>100000</v>
      </c>
      <c r="F1386" s="40">
        <v>4.2999999999999997E-2</v>
      </c>
      <c r="G1386" s="8">
        <v>40967</v>
      </c>
      <c r="H1386" s="8">
        <v>41698</v>
      </c>
      <c r="I1386" s="39">
        <v>2</v>
      </c>
      <c r="J1386" s="39" t="s">
        <v>1716</v>
      </c>
      <c r="K1386" s="39" t="s">
        <v>1716</v>
      </c>
      <c r="L1386" s="39" t="s">
        <v>1014</v>
      </c>
      <c r="M1386" s="38" t="s">
        <v>557</v>
      </c>
      <c r="N1386" s="38" t="s">
        <v>1481</v>
      </c>
    </row>
    <row r="1387" spans="1:14" ht="15" customHeight="1" x14ac:dyDescent="0.2">
      <c r="A1387" s="38" t="s">
        <v>1674</v>
      </c>
      <c r="B1387" s="38">
        <v>100551</v>
      </c>
      <c r="C1387" t="s">
        <v>1612</v>
      </c>
      <c r="D1387" s="279">
        <v>100000</v>
      </c>
      <c r="F1387" s="40">
        <v>4.4400000000000002E-2</v>
      </c>
      <c r="G1387" s="8">
        <v>40970</v>
      </c>
      <c r="H1387" s="8">
        <v>41700</v>
      </c>
      <c r="I1387" s="39">
        <v>2</v>
      </c>
      <c r="J1387" s="39" t="s">
        <v>1716</v>
      </c>
      <c r="K1387" s="39" t="s">
        <v>1716</v>
      </c>
      <c r="L1387" s="39" t="s">
        <v>1014</v>
      </c>
      <c r="M1387" s="38" t="s">
        <v>1674</v>
      </c>
      <c r="N1387" s="38" t="s">
        <v>1457</v>
      </c>
    </row>
    <row r="1388" spans="1:14" ht="15" customHeight="1" x14ac:dyDescent="0.2">
      <c r="A1388" s="38" t="s">
        <v>1035</v>
      </c>
      <c r="B1388" s="38">
        <v>201092</v>
      </c>
      <c r="C1388" t="s">
        <v>410</v>
      </c>
      <c r="D1388" s="279">
        <v>100000</v>
      </c>
      <c r="F1388" s="40">
        <v>3.3700000000000001E-2</v>
      </c>
      <c r="G1388" s="8">
        <v>40889</v>
      </c>
      <c r="H1388" s="8">
        <v>40980</v>
      </c>
      <c r="I1388" s="39">
        <v>13</v>
      </c>
      <c r="J1388" s="39" t="s">
        <v>369</v>
      </c>
      <c r="K1388" s="39" t="s">
        <v>1716</v>
      </c>
      <c r="L1388" s="39" t="s">
        <v>1014</v>
      </c>
      <c r="M1388" s="38" t="s">
        <v>1035</v>
      </c>
    </row>
    <row r="1389" spans="1:14" ht="15" customHeight="1" x14ac:dyDescent="0.2">
      <c r="A1389" s="38" t="s">
        <v>1035</v>
      </c>
      <c r="B1389" s="38">
        <v>201091</v>
      </c>
      <c r="C1389" t="s">
        <v>411</v>
      </c>
      <c r="D1389" s="279">
        <v>100000</v>
      </c>
      <c r="F1389" s="40">
        <v>3.3599999999999998E-2</v>
      </c>
      <c r="G1389" s="8">
        <v>40889</v>
      </c>
      <c r="H1389" s="8">
        <v>40980</v>
      </c>
      <c r="I1389" s="39">
        <v>13</v>
      </c>
      <c r="J1389" s="39" t="s">
        <v>369</v>
      </c>
      <c r="K1389" s="39" t="s">
        <v>1716</v>
      </c>
      <c r="L1389" s="39" t="s">
        <v>1014</v>
      </c>
      <c r="M1389" s="38" t="s">
        <v>1035</v>
      </c>
      <c r="N1389" s="38" t="s">
        <v>68</v>
      </c>
    </row>
    <row r="1390" spans="1:14" ht="15" customHeight="1" x14ac:dyDescent="0.2">
      <c r="A1390" s="38" t="s">
        <v>1035</v>
      </c>
      <c r="B1390" s="38">
        <v>201093</v>
      </c>
      <c r="C1390" t="s">
        <v>412</v>
      </c>
      <c r="D1390" s="279">
        <v>100000</v>
      </c>
      <c r="F1390" s="40">
        <v>4.3999999999999997E-2</v>
      </c>
      <c r="G1390" s="8">
        <v>40910</v>
      </c>
      <c r="H1390" s="8">
        <v>46496</v>
      </c>
      <c r="I1390" s="39">
        <v>15</v>
      </c>
      <c r="J1390" s="39" t="s">
        <v>1716</v>
      </c>
      <c r="K1390" s="39" t="s">
        <v>1716</v>
      </c>
      <c r="L1390" s="39" t="s">
        <v>1014</v>
      </c>
      <c r="M1390" s="38" t="s">
        <v>1035</v>
      </c>
      <c r="N1390" s="41">
        <v>41855</v>
      </c>
    </row>
    <row r="1391" spans="1:14" ht="15" customHeight="1" x14ac:dyDescent="0.2">
      <c r="A1391" s="38" t="s">
        <v>1035</v>
      </c>
      <c r="B1391" s="38">
        <v>150926</v>
      </c>
      <c r="C1391" t="s">
        <v>1596</v>
      </c>
      <c r="D1391" s="279">
        <v>100000</v>
      </c>
      <c r="F1391" s="40">
        <v>3.7999999999999999E-2</v>
      </c>
      <c r="G1391" s="8">
        <v>40976</v>
      </c>
      <c r="H1391" s="8">
        <v>41067</v>
      </c>
      <c r="I1391" s="39">
        <v>13</v>
      </c>
      <c r="J1391" s="39" t="s">
        <v>369</v>
      </c>
      <c r="K1391" s="39" t="s">
        <v>1716</v>
      </c>
      <c r="L1391" s="39" t="s">
        <v>1014</v>
      </c>
      <c r="M1391" s="38" t="s">
        <v>1035</v>
      </c>
      <c r="N1391" s="38" t="s">
        <v>1042</v>
      </c>
    </row>
    <row r="1392" spans="1:14" ht="15" customHeight="1" x14ac:dyDescent="0.2">
      <c r="A1392" s="38" t="s">
        <v>1035</v>
      </c>
      <c r="B1392" s="38">
        <v>150928</v>
      </c>
      <c r="C1392" t="s">
        <v>1597</v>
      </c>
      <c r="D1392" s="279">
        <v>100000</v>
      </c>
      <c r="F1392" s="40">
        <v>4.1399999999999999E-2</v>
      </c>
      <c r="G1392" s="8">
        <v>40976</v>
      </c>
      <c r="H1392" s="8">
        <v>41340</v>
      </c>
      <c r="I1392" s="39">
        <v>13</v>
      </c>
      <c r="J1392" s="39" t="s">
        <v>369</v>
      </c>
      <c r="K1392" s="39" t="s">
        <v>1716</v>
      </c>
      <c r="L1392" s="39" t="s">
        <v>1014</v>
      </c>
      <c r="M1392" s="38" t="s">
        <v>1035</v>
      </c>
      <c r="N1392" s="38" t="s">
        <v>1042</v>
      </c>
    </row>
    <row r="1393" spans="1:17" ht="15" customHeight="1" x14ac:dyDescent="0.2">
      <c r="A1393" s="38" t="s">
        <v>1803</v>
      </c>
      <c r="B1393" s="38">
        <v>2131</v>
      </c>
      <c r="C1393" t="s">
        <v>1456</v>
      </c>
      <c r="D1393" s="279">
        <v>100000</v>
      </c>
      <c r="F1393" s="40">
        <v>5.6000000000000001E-2</v>
      </c>
      <c r="G1393" s="8">
        <v>39895</v>
      </c>
      <c r="H1393" s="8">
        <v>43547</v>
      </c>
      <c r="I1393" s="39">
        <v>10</v>
      </c>
      <c r="J1393" s="39" t="s">
        <v>1716</v>
      </c>
      <c r="K1393" s="39" t="s">
        <v>1716</v>
      </c>
      <c r="L1393" s="39" t="s">
        <v>1014</v>
      </c>
      <c r="M1393" s="38" t="s">
        <v>1803</v>
      </c>
      <c r="N1393" s="38" t="s">
        <v>1050</v>
      </c>
    </row>
    <row r="1394" spans="1:17" ht="15" customHeight="1" x14ac:dyDescent="0.2">
      <c r="A1394" s="38" t="s">
        <v>1035</v>
      </c>
      <c r="B1394" s="38">
        <v>201107</v>
      </c>
      <c r="C1394" t="s">
        <v>818</v>
      </c>
      <c r="D1394" s="279">
        <v>100000</v>
      </c>
      <c r="F1394" s="40">
        <v>3.4200000000000001E-2</v>
      </c>
      <c r="G1394" s="8">
        <v>40966</v>
      </c>
      <c r="H1394" s="8">
        <v>41057</v>
      </c>
      <c r="I1394" s="39">
        <v>13</v>
      </c>
      <c r="J1394" s="39" t="s">
        <v>369</v>
      </c>
      <c r="K1394" s="39" t="s">
        <v>1716</v>
      </c>
      <c r="L1394" s="39" t="s">
        <v>1014</v>
      </c>
      <c r="M1394" s="38" t="s">
        <v>1035</v>
      </c>
      <c r="N1394" s="38" t="s">
        <v>68</v>
      </c>
    </row>
    <row r="1395" spans="1:17" ht="15" customHeight="1" x14ac:dyDescent="0.2">
      <c r="A1395" s="38" t="s">
        <v>1713</v>
      </c>
      <c r="B1395" s="38">
        <v>140339</v>
      </c>
      <c r="C1395" t="s">
        <v>817</v>
      </c>
      <c r="D1395" s="279">
        <v>100000</v>
      </c>
      <c r="F1395" s="40">
        <v>3.9E-2</v>
      </c>
      <c r="G1395" s="8">
        <v>40994</v>
      </c>
      <c r="H1395" s="8">
        <v>41085</v>
      </c>
      <c r="I1395" s="39">
        <v>13</v>
      </c>
      <c r="J1395" s="39" t="s">
        <v>369</v>
      </c>
      <c r="K1395" s="39" t="s">
        <v>1716</v>
      </c>
      <c r="L1395" s="39" t="s">
        <v>1014</v>
      </c>
      <c r="M1395" s="38" t="s">
        <v>1713</v>
      </c>
      <c r="N1395" s="38" t="s">
        <v>143</v>
      </c>
    </row>
    <row r="1396" spans="1:17" ht="15" customHeight="1" x14ac:dyDescent="0.2">
      <c r="A1396" s="38" t="s">
        <v>1035</v>
      </c>
      <c r="B1396" s="38">
        <v>201112</v>
      </c>
      <c r="C1396" t="s">
        <v>819</v>
      </c>
      <c r="D1396" s="279">
        <v>100000</v>
      </c>
      <c r="F1396" s="40">
        <v>3.85E-2</v>
      </c>
      <c r="G1396" s="8">
        <v>40980</v>
      </c>
      <c r="H1396" s="8">
        <v>41827</v>
      </c>
      <c r="I1396" s="39">
        <v>2</v>
      </c>
      <c r="J1396" s="39" t="s">
        <v>1716</v>
      </c>
      <c r="K1396" s="39" t="s">
        <v>1716</v>
      </c>
      <c r="L1396" s="39" t="s">
        <v>1014</v>
      </c>
      <c r="M1396" s="38" t="s">
        <v>1035</v>
      </c>
      <c r="N1396" s="38" t="s">
        <v>68</v>
      </c>
      <c r="P1396" s="35">
        <v>41462</v>
      </c>
      <c r="Q1396" s="252">
        <f>+P1396-G1396</f>
        <v>482</v>
      </c>
    </row>
    <row r="1397" spans="1:17" ht="15" customHeight="1" x14ac:dyDescent="0.2">
      <c r="A1397" s="38" t="s">
        <v>207</v>
      </c>
      <c r="B1397" s="38">
        <v>150945</v>
      </c>
      <c r="C1397" t="s">
        <v>206</v>
      </c>
      <c r="D1397" s="279">
        <v>100000</v>
      </c>
      <c r="F1397" s="40">
        <v>4.2700000000000002E-2</v>
      </c>
      <c r="G1397" s="8">
        <v>41363</v>
      </c>
      <c r="H1397" s="8">
        <v>41728</v>
      </c>
      <c r="I1397" s="39">
        <v>52</v>
      </c>
      <c r="J1397" s="39" t="s">
        <v>369</v>
      </c>
      <c r="K1397" s="39" t="s">
        <v>1716</v>
      </c>
      <c r="L1397" s="39" t="s">
        <v>1014</v>
      </c>
      <c r="M1397" s="38" t="s">
        <v>1451</v>
      </c>
      <c r="N1397" s="38" t="s">
        <v>918</v>
      </c>
      <c r="P1397" s="35"/>
      <c r="Q1397" s="252"/>
    </row>
    <row r="1398" spans="1:17" ht="15" customHeight="1" x14ac:dyDescent="0.2">
      <c r="A1398" s="38" t="s">
        <v>1803</v>
      </c>
      <c r="B1398" s="38">
        <v>2132</v>
      </c>
      <c r="C1398" t="s">
        <v>1886</v>
      </c>
      <c r="D1398" s="279">
        <v>100000</v>
      </c>
      <c r="F1398" s="40">
        <v>0.05</v>
      </c>
      <c r="G1398" s="8">
        <v>39912</v>
      </c>
      <c r="H1398" s="8">
        <v>42469</v>
      </c>
      <c r="I1398" s="39">
        <v>7</v>
      </c>
      <c r="J1398" s="39" t="s">
        <v>1716</v>
      </c>
      <c r="K1398" s="39" t="s">
        <v>1716</v>
      </c>
      <c r="L1398" s="39" t="s">
        <v>1014</v>
      </c>
      <c r="M1398" s="38" t="s">
        <v>1803</v>
      </c>
      <c r="N1398" s="38" t="s">
        <v>597</v>
      </c>
      <c r="P1398" s="35"/>
      <c r="Q1398" s="252"/>
    </row>
    <row r="1399" spans="1:17" ht="15" customHeight="1" x14ac:dyDescent="0.2">
      <c r="A1399" s="38" t="s">
        <v>1803</v>
      </c>
      <c r="B1399" s="38">
        <v>2151</v>
      </c>
      <c r="C1399" t="s">
        <v>1888</v>
      </c>
      <c r="D1399" s="279">
        <v>100000</v>
      </c>
      <c r="F1399" s="40">
        <v>5.11E-2</v>
      </c>
      <c r="G1399" s="41">
        <v>40836</v>
      </c>
      <c r="H1399" s="8">
        <v>46315</v>
      </c>
      <c r="I1399" s="39">
        <v>15</v>
      </c>
      <c r="J1399" s="39" t="s">
        <v>1716</v>
      </c>
      <c r="K1399" s="39" t="s">
        <v>1716</v>
      </c>
      <c r="L1399" s="39" t="s">
        <v>1014</v>
      </c>
      <c r="M1399" s="38" t="s">
        <v>1803</v>
      </c>
      <c r="N1399" s="38" t="s">
        <v>1889</v>
      </c>
      <c r="P1399" s="35"/>
      <c r="Q1399" s="252"/>
    </row>
    <row r="1400" spans="1:17" ht="15" customHeight="1" x14ac:dyDescent="0.2">
      <c r="A1400" s="38" t="s">
        <v>1035</v>
      </c>
      <c r="B1400" s="38">
        <v>201116</v>
      </c>
      <c r="C1400" t="s">
        <v>1215</v>
      </c>
      <c r="D1400" s="279">
        <v>100000</v>
      </c>
      <c r="F1400" s="40">
        <v>3.7499999999999999E-2</v>
      </c>
      <c r="G1400" s="41">
        <v>41008</v>
      </c>
      <c r="H1400" s="8">
        <v>41855</v>
      </c>
      <c r="I1400" s="39">
        <v>2</v>
      </c>
      <c r="J1400" s="39" t="s">
        <v>1716</v>
      </c>
      <c r="K1400" s="39" t="s">
        <v>1716</v>
      </c>
      <c r="L1400" s="39" t="s">
        <v>1014</v>
      </c>
      <c r="M1400" s="38" t="s">
        <v>1035</v>
      </c>
      <c r="N1400" s="38" t="s">
        <v>68</v>
      </c>
      <c r="P1400" s="35"/>
      <c r="Q1400" s="252"/>
    </row>
    <row r="1401" spans="1:17" ht="15" customHeight="1" x14ac:dyDescent="0.2">
      <c r="A1401" s="38" t="s">
        <v>557</v>
      </c>
      <c r="B1401" s="38">
        <v>150883</v>
      </c>
      <c r="C1401" t="s">
        <v>373</v>
      </c>
      <c r="D1401" s="279">
        <v>100000</v>
      </c>
      <c r="F1401" s="40">
        <v>4.1000000000000002E-2</v>
      </c>
      <c r="G1401" s="41">
        <v>40906</v>
      </c>
      <c r="H1401" s="8">
        <v>41270</v>
      </c>
      <c r="I1401" s="39">
        <v>52</v>
      </c>
      <c r="J1401" s="39" t="s">
        <v>369</v>
      </c>
      <c r="K1401" s="39" t="s">
        <v>1716</v>
      </c>
      <c r="L1401" s="39" t="s">
        <v>1014</v>
      </c>
      <c r="M1401" s="38" t="s">
        <v>557</v>
      </c>
      <c r="N1401" s="41" t="s">
        <v>1481</v>
      </c>
      <c r="P1401" s="35"/>
      <c r="Q1401" s="252"/>
    </row>
    <row r="1402" spans="1:17" ht="15" customHeight="1" x14ac:dyDescent="0.2">
      <c r="A1402" s="38" t="s">
        <v>1803</v>
      </c>
      <c r="B1402" s="38">
        <v>9164</v>
      </c>
      <c r="C1402" t="s">
        <v>870</v>
      </c>
      <c r="D1402" s="279">
        <v>100000</v>
      </c>
      <c r="F1402" s="40">
        <v>0.05</v>
      </c>
      <c r="G1402" s="41">
        <v>41015</v>
      </c>
      <c r="H1402" s="8">
        <v>48320</v>
      </c>
      <c r="I1402" s="39">
        <v>20</v>
      </c>
      <c r="J1402" s="39" t="s">
        <v>1716</v>
      </c>
      <c r="K1402" s="39" t="s">
        <v>1716</v>
      </c>
      <c r="L1402" s="39" t="s">
        <v>1014</v>
      </c>
      <c r="M1402" s="38" t="s">
        <v>1803</v>
      </c>
      <c r="N1402" s="41" t="s">
        <v>1804</v>
      </c>
      <c r="P1402" s="35"/>
      <c r="Q1402" s="252"/>
    </row>
    <row r="1403" spans="1:17" ht="15" customHeight="1" x14ac:dyDescent="0.2">
      <c r="A1403" s="38" t="s">
        <v>557</v>
      </c>
      <c r="B1403" s="38">
        <v>150951</v>
      </c>
      <c r="C1403" t="s">
        <v>79</v>
      </c>
      <c r="D1403" s="279">
        <v>100000</v>
      </c>
      <c r="F1403" s="40">
        <v>4.2000000000000003E-2</v>
      </c>
      <c r="G1403" s="41">
        <v>41017</v>
      </c>
      <c r="H1403" s="8">
        <v>41747</v>
      </c>
      <c r="I1403" s="39">
        <v>2</v>
      </c>
      <c r="J1403" s="39" t="s">
        <v>1716</v>
      </c>
      <c r="K1403" s="39" t="s">
        <v>1716</v>
      </c>
      <c r="L1403" s="39" t="s">
        <v>1014</v>
      </c>
      <c r="M1403" s="38" t="s">
        <v>557</v>
      </c>
      <c r="N1403" s="41" t="s">
        <v>916</v>
      </c>
      <c r="P1403" s="35"/>
      <c r="Q1403" s="252"/>
    </row>
    <row r="1404" spans="1:17" ht="15" customHeight="1" x14ac:dyDescent="0.2">
      <c r="A1404" s="38" t="s">
        <v>557</v>
      </c>
      <c r="B1404" s="38">
        <v>150963</v>
      </c>
      <c r="C1404" t="s">
        <v>675</v>
      </c>
      <c r="D1404" s="279">
        <v>100000</v>
      </c>
      <c r="F1404" s="40">
        <v>3.8300000000000001E-2</v>
      </c>
      <c r="G1404" s="41">
        <v>41026</v>
      </c>
      <c r="H1404" s="8">
        <v>41390</v>
      </c>
      <c r="I1404" s="39">
        <v>52</v>
      </c>
      <c r="J1404" s="39" t="s">
        <v>369</v>
      </c>
      <c r="K1404" s="39" t="s">
        <v>1716</v>
      </c>
      <c r="L1404" s="39" t="s">
        <v>1014</v>
      </c>
      <c r="M1404" s="38" t="s">
        <v>557</v>
      </c>
      <c r="N1404" s="41" t="s">
        <v>597</v>
      </c>
      <c r="P1404" s="35"/>
      <c r="Q1404" s="252"/>
    </row>
    <row r="1405" spans="1:17" ht="15" customHeight="1" x14ac:dyDescent="0.2">
      <c r="A1405" s="38" t="s">
        <v>557</v>
      </c>
      <c r="B1405" s="38">
        <v>150962</v>
      </c>
      <c r="C1405" t="s">
        <v>676</v>
      </c>
      <c r="D1405" s="279">
        <v>100000</v>
      </c>
      <c r="F1405" s="40">
        <v>3.6799999999999999E-2</v>
      </c>
      <c r="G1405" s="41">
        <v>41026</v>
      </c>
      <c r="H1405" s="8">
        <v>41208</v>
      </c>
      <c r="I1405" s="39">
        <v>26</v>
      </c>
      <c r="J1405" s="39" t="s">
        <v>369</v>
      </c>
      <c r="K1405" s="39" t="s">
        <v>1716</v>
      </c>
      <c r="L1405" s="39" t="s">
        <v>1014</v>
      </c>
      <c r="M1405" s="38" t="s">
        <v>557</v>
      </c>
      <c r="N1405" s="41" t="s">
        <v>597</v>
      </c>
      <c r="P1405" s="35"/>
      <c r="Q1405" s="252"/>
    </row>
    <row r="1406" spans="1:17" ht="15" customHeight="1" x14ac:dyDescent="0.2">
      <c r="A1406" s="38" t="s">
        <v>1035</v>
      </c>
      <c r="B1406" s="38">
        <v>201117</v>
      </c>
      <c r="C1406" t="s">
        <v>677</v>
      </c>
      <c r="D1406" s="279">
        <v>100000</v>
      </c>
      <c r="F1406" s="40">
        <v>3.2000000000000001E-2</v>
      </c>
      <c r="G1406" s="41">
        <v>41015</v>
      </c>
      <c r="H1406" s="8">
        <v>41106</v>
      </c>
      <c r="I1406" s="39">
        <v>13</v>
      </c>
      <c r="J1406" s="39" t="s">
        <v>369</v>
      </c>
      <c r="K1406" s="39" t="s">
        <v>1716</v>
      </c>
      <c r="L1406" s="39" t="s">
        <v>1014</v>
      </c>
      <c r="M1406" s="38" t="s">
        <v>1035</v>
      </c>
      <c r="N1406" s="38" t="s">
        <v>68</v>
      </c>
      <c r="P1406" s="35"/>
      <c r="Q1406" s="252"/>
    </row>
    <row r="1407" spans="1:17" ht="15" customHeight="1" x14ac:dyDescent="0.2">
      <c r="A1407" s="38" t="s">
        <v>1035</v>
      </c>
      <c r="B1407" s="38">
        <v>200189</v>
      </c>
      <c r="C1407" t="s">
        <v>1150</v>
      </c>
      <c r="D1407" s="279">
        <v>250000</v>
      </c>
      <c r="F1407" s="40">
        <v>0.10249999999999999</v>
      </c>
      <c r="G1407" s="41">
        <v>35583</v>
      </c>
      <c r="H1407" s="8">
        <v>41062</v>
      </c>
      <c r="I1407" s="39">
        <v>15</v>
      </c>
      <c r="J1407" s="39" t="s">
        <v>1716</v>
      </c>
      <c r="K1407" s="39" t="s">
        <v>1716</v>
      </c>
      <c r="L1407" s="39" t="s">
        <v>1014</v>
      </c>
      <c r="M1407" s="38" t="s">
        <v>1035</v>
      </c>
      <c r="N1407" s="38" t="s">
        <v>68</v>
      </c>
      <c r="P1407" s="35"/>
      <c r="Q1407" s="252"/>
    </row>
    <row r="1408" spans="1:17" ht="15" customHeight="1" x14ac:dyDescent="0.2">
      <c r="A1408" s="38" t="s">
        <v>557</v>
      </c>
      <c r="B1408" s="38">
        <v>150964</v>
      </c>
      <c r="C1408" t="s">
        <v>678</v>
      </c>
      <c r="D1408" s="279">
        <v>100000</v>
      </c>
      <c r="F1408" s="40">
        <v>3.04E-2</v>
      </c>
      <c r="G1408" s="41">
        <v>42490</v>
      </c>
      <c r="H1408" s="8">
        <v>42855</v>
      </c>
      <c r="I1408" s="39">
        <v>52</v>
      </c>
      <c r="J1408" s="39" t="s">
        <v>369</v>
      </c>
      <c r="K1408" s="39" t="s">
        <v>1716</v>
      </c>
      <c r="L1408" s="39" t="s">
        <v>1014</v>
      </c>
      <c r="M1408" s="38" t="s">
        <v>557</v>
      </c>
      <c r="N1408" s="38" t="s">
        <v>918</v>
      </c>
      <c r="P1408" s="35"/>
      <c r="Q1408" s="252"/>
    </row>
    <row r="1409" spans="1:17" ht="15" customHeight="1" x14ac:dyDescent="0.2">
      <c r="A1409" s="38" t="s">
        <v>1713</v>
      </c>
      <c r="B1409" s="38">
        <v>140343</v>
      </c>
      <c r="C1409" t="s">
        <v>578</v>
      </c>
      <c r="D1409" s="279">
        <v>100000</v>
      </c>
      <c r="F1409" s="40">
        <v>3.5499999999999997E-2</v>
      </c>
      <c r="G1409" s="41">
        <v>41031</v>
      </c>
      <c r="H1409" s="8">
        <v>41064</v>
      </c>
      <c r="I1409" s="39">
        <v>4</v>
      </c>
      <c r="J1409" s="39" t="s">
        <v>369</v>
      </c>
      <c r="K1409" s="39" t="s">
        <v>1716</v>
      </c>
      <c r="L1409" s="39" t="s">
        <v>1014</v>
      </c>
      <c r="M1409" s="38" t="s">
        <v>1713</v>
      </c>
      <c r="N1409" s="38" t="s">
        <v>143</v>
      </c>
      <c r="P1409" s="35"/>
      <c r="Q1409" s="252"/>
    </row>
    <row r="1410" spans="1:17" ht="12.75" customHeight="1" x14ac:dyDescent="0.2">
      <c r="A1410" s="38" t="s">
        <v>1035</v>
      </c>
      <c r="B1410" s="38">
        <v>201111</v>
      </c>
      <c r="C1410" t="s">
        <v>579</v>
      </c>
      <c r="D1410" s="279">
        <v>100000</v>
      </c>
      <c r="F1410" s="40">
        <v>4.2000000000000003E-2</v>
      </c>
      <c r="G1410" s="41">
        <v>40973</v>
      </c>
      <c r="H1410" s="8">
        <v>44669</v>
      </c>
      <c r="I1410" s="39">
        <v>10</v>
      </c>
      <c r="J1410" s="39" t="s">
        <v>1716</v>
      </c>
      <c r="K1410" s="39" t="s">
        <v>1716</v>
      </c>
      <c r="L1410" s="39" t="s">
        <v>1014</v>
      </c>
      <c r="M1410" s="38" t="s">
        <v>1035</v>
      </c>
      <c r="N1410" s="38" t="s">
        <v>68</v>
      </c>
      <c r="P1410" s="35"/>
      <c r="Q1410" s="252"/>
    </row>
    <row r="1411" spans="1:17" ht="12.75" customHeight="1" x14ac:dyDescent="0.2">
      <c r="A1411" s="38" t="s">
        <v>1803</v>
      </c>
      <c r="B1411" s="38">
        <v>9166</v>
      </c>
      <c r="C1411" t="s">
        <v>157</v>
      </c>
      <c r="D1411" s="279">
        <v>100000</v>
      </c>
      <c r="F1411" s="40">
        <v>5.2299999999999999E-2</v>
      </c>
      <c r="G1411" s="41">
        <v>41402</v>
      </c>
      <c r="H1411" s="8">
        <v>44689</v>
      </c>
      <c r="I1411" s="39">
        <v>10</v>
      </c>
      <c r="J1411" s="39" t="s">
        <v>1716</v>
      </c>
      <c r="K1411" s="39" t="s">
        <v>1716</v>
      </c>
      <c r="L1411" s="39" t="s">
        <v>1014</v>
      </c>
      <c r="M1411" s="38" t="s">
        <v>1803</v>
      </c>
      <c r="N1411" s="38" t="s">
        <v>1473</v>
      </c>
      <c r="P1411" s="35"/>
      <c r="Q1411" s="252"/>
    </row>
    <row r="1412" spans="1:17" ht="12.75" customHeight="1" x14ac:dyDescent="0.2">
      <c r="A1412" s="38" t="s">
        <v>557</v>
      </c>
      <c r="B1412" s="38">
        <v>150971</v>
      </c>
      <c r="C1412" t="s">
        <v>1093</v>
      </c>
      <c r="D1412" s="279">
        <v>100000</v>
      </c>
      <c r="F1412" s="40">
        <v>4.0500000000000001E-2</v>
      </c>
      <c r="G1412" s="41">
        <v>41043</v>
      </c>
      <c r="H1412" s="8">
        <v>41407</v>
      </c>
      <c r="I1412" s="39">
        <v>13</v>
      </c>
      <c r="J1412" s="39" t="s">
        <v>369</v>
      </c>
      <c r="K1412" s="39" t="s">
        <v>1716</v>
      </c>
      <c r="L1412" s="39" t="s">
        <v>1014</v>
      </c>
      <c r="M1412" s="38" t="s">
        <v>557</v>
      </c>
      <c r="N1412" s="38" t="s">
        <v>1094</v>
      </c>
      <c r="P1412" s="35"/>
      <c r="Q1412" s="252"/>
    </row>
    <row r="1413" spans="1:17" ht="12.75" customHeight="1" x14ac:dyDescent="0.2">
      <c r="A1413" s="38" t="s">
        <v>1803</v>
      </c>
      <c r="B1413" s="38">
        <v>9148</v>
      </c>
      <c r="C1413" t="s">
        <v>1095</v>
      </c>
      <c r="D1413" s="279">
        <v>100000</v>
      </c>
      <c r="F1413" s="40">
        <v>5.1200000000000002E-2</v>
      </c>
      <c r="G1413" s="41">
        <v>40900</v>
      </c>
      <c r="H1413" s="8">
        <v>43457</v>
      </c>
      <c r="I1413" s="39">
        <v>7</v>
      </c>
      <c r="J1413" s="39" t="s">
        <v>1716</v>
      </c>
      <c r="K1413" s="39" t="s">
        <v>1716</v>
      </c>
      <c r="L1413" s="39" t="s">
        <v>1014</v>
      </c>
      <c r="M1413" s="38" t="s">
        <v>1803</v>
      </c>
      <c r="N1413" s="38" t="s">
        <v>1096</v>
      </c>
      <c r="P1413" s="35"/>
      <c r="Q1413" s="252"/>
    </row>
    <row r="1414" spans="1:17" ht="12.75" customHeight="1" x14ac:dyDescent="0.2">
      <c r="A1414" s="38" t="s">
        <v>1035</v>
      </c>
      <c r="B1414" s="38">
        <v>201122</v>
      </c>
      <c r="C1414" t="s">
        <v>1869</v>
      </c>
      <c r="D1414" s="279">
        <v>100000</v>
      </c>
      <c r="F1414" s="40">
        <v>3.1899999999999998E-2</v>
      </c>
      <c r="G1414" s="41">
        <v>41052</v>
      </c>
      <c r="H1414" s="8">
        <v>41096</v>
      </c>
      <c r="I1414" s="39">
        <v>13</v>
      </c>
      <c r="J1414" s="39" t="s">
        <v>369</v>
      </c>
      <c r="K1414" s="39" t="s">
        <v>1716</v>
      </c>
      <c r="L1414" s="39" t="s">
        <v>1014</v>
      </c>
      <c r="M1414" s="38" t="s">
        <v>1035</v>
      </c>
      <c r="N1414" s="38" t="s">
        <v>68</v>
      </c>
      <c r="P1414" s="35"/>
      <c r="Q1414" s="252"/>
    </row>
    <row r="1415" spans="1:17" ht="12.75" customHeight="1" x14ac:dyDescent="0.2">
      <c r="A1415" s="38" t="s">
        <v>557</v>
      </c>
      <c r="B1415" s="38">
        <v>150975</v>
      </c>
      <c r="C1415" t="s">
        <v>691</v>
      </c>
      <c r="D1415" s="279">
        <v>100000</v>
      </c>
      <c r="F1415" s="40">
        <v>3.6499999999999998E-2</v>
      </c>
      <c r="G1415" s="41">
        <v>41053</v>
      </c>
      <c r="H1415" s="8">
        <v>41144</v>
      </c>
      <c r="I1415" s="39">
        <v>13</v>
      </c>
      <c r="J1415" s="39" t="s">
        <v>369</v>
      </c>
      <c r="K1415" s="39" t="s">
        <v>1716</v>
      </c>
      <c r="L1415" s="39" t="s">
        <v>1014</v>
      </c>
      <c r="M1415" s="38" t="s">
        <v>557</v>
      </c>
      <c r="N1415" s="41" t="s">
        <v>1042</v>
      </c>
      <c r="P1415" s="35"/>
      <c r="Q1415" s="252"/>
    </row>
    <row r="1416" spans="1:17" ht="12.75" customHeight="1" x14ac:dyDescent="0.2">
      <c r="A1416" s="38" t="s">
        <v>557</v>
      </c>
      <c r="B1416" s="38">
        <v>150976</v>
      </c>
      <c r="C1416" t="s">
        <v>19</v>
      </c>
      <c r="D1416" s="279">
        <v>100000</v>
      </c>
      <c r="F1416" s="40">
        <v>3.7499999999999999E-2</v>
      </c>
      <c r="G1416" s="41">
        <v>41053</v>
      </c>
      <c r="H1416" s="8">
        <v>41235</v>
      </c>
      <c r="I1416" s="39">
        <v>26</v>
      </c>
      <c r="J1416" s="39" t="s">
        <v>369</v>
      </c>
      <c r="K1416" s="39" t="s">
        <v>1716</v>
      </c>
      <c r="L1416" s="39" t="s">
        <v>1014</v>
      </c>
      <c r="M1416" s="38" t="s">
        <v>557</v>
      </c>
      <c r="N1416" s="41" t="s">
        <v>1042</v>
      </c>
      <c r="P1416" s="35"/>
      <c r="Q1416" s="252"/>
    </row>
    <row r="1417" spans="1:17" ht="12.75" customHeight="1" x14ac:dyDescent="0.2">
      <c r="A1417" s="38" t="s">
        <v>557</v>
      </c>
      <c r="B1417" s="38">
        <v>150977</v>
      </c>
      <c r="C1417" t="s">
        <v>371</v>
      </c>
      <c r="D1417" s="279">
        <v>100000</v>
      </c>
      <c r="F1417" s="40">
        <v>3.6999999999999998E-2</v>
      </c>
      <c r="G1417" s="41">
        <v>41054</v>
      </c>
      <c r="H1417" s="8">
        <v>41236</v>
      </c>
      <c r="I1417" s="39">
        <v>26</v>
      </c>
      <c r="J1417" s="39" t="s">
        <v>369</v>
      </c>
      <c r="K1417" s="39" t="s">
        <v>1716</v>
      </c>
      <c r="L1417" s="39" t="s">
        <v>1014</v>
      </c>
      <c r="M1417" s="38" t="s">
        <v>557</v>
      </c>
      <c r="N1417" s="41" t="s">
        <v>597</v>
      </c>
      <c r="P1417" s="35"/>
      <c r="Q1417" s="252"/>
    </row>
    <row r="1418" spans="1:17" ht="12.75" customHeight="1" x14ac:dyDescent="0.2">
      <c r="A1418" s="38" t="s">
        <v>557</v>
      </c>
      <c r="B1418" s="38">
        <v>150978</v>
      </c>
      <c r="C1418" t="s">
        <v>372</v>
      </c>
      <c r="D1418" s="279">
        <v>100000</v>
      </c>
      <c r="F1418" s="40">
        <v>3.9E-2</v>
      </c>
      <c r="G1418" s="41">
        <v>41054</v>
      </c>
      <c r="H1418" s="41">
        <v>41418</v>
      </c>
      <c r="I1418" s="39">
        <v>52</v>
      </c>
      <c r="J1418" s="39" t="s">
        <v>369</v>
      </c>
      <c r="K1418" s="39" t="s">
        <v>1716</v>
      </c>
      <c r="L1418" s="39" t="s">
        <v>1014</v>
      </c>
      <c r="M1418" s="38" t="s">
        <v>557</v>
      </c>
      <c r="N1418" s="41" t="s">
        <v>597</v>
      </c>
      <c r="P1418" s="35"/>
      <c r="Q1418" s="252"/>
    </row>
    <row r="1419" spans="1:17" ht="12.75" customHeight="1" x14ac:dyDescent="0.2">
      <c r="A1419" s="38" t="s">
        <v>557</v>
      </c>
      <c r="B1419" s="38">
        <v>150984</v>
      </c>
      <c r="C1419" t="s">
        <v>381</v>
      </c>
      <c r="D1419" s="279">
        <v>100000</v>
      </c>
      <c r="F1419" s="40">
        <v>4.2000000000000003E-2</v>
      </c>
      <c r="G1419" s="41">
        <v>41060</v>
      </c>
      <c r="H1419" s="41">
        <v>41790</v>
      </c>
      <c r="I1419" s="39">
        <v>2</v>
      </c>
      <c r="J1419" s="39" t="s">
        <v>1716</v>
      </c>
      <c r="K1419" s="39" t="s">
        <v>1716</v>
      </c>
      <c r="L1419" s="39" t="s">
        <v>1014</v>
      </c>
      <c r="M1419" s="38" t="s">
        <v>557</v>
      </c>
      <c r="N1419" s="41" t="s">
        <v>918</v>
      </c>
      <c r="P1419" s="35"/>
      <c r="Q1419" s="252"/>
    </row>
    <row r="1420" spans="1:17" ht="12.75" customHeight="1" x14ac:dyDescent="0.2">
      <c r="A1420" s="38" t="s">
        <v>557</v>
      </c>
      <c r="B1420" s="38">
        <v>140349</v>
      </c>
      <c r="C1420" t="s">
        <v>1903</v>
      </c>
      <c r="D1420" s="279">
        <v>100000</v>
      </c>
      <c r="F1420" s="40">
        <v>3.4500000000000003E-2</v>
      </c>
      <c r="G1420" s="41">
        <v>41064</v>
      </c>
      <c r="H1420" s="41">
        <v>41079</v>
      </c>
      <c r="I1420" s="39">
        <v>2</v>
      </c>
      <c r="J1420" s="39" t="s">
        <v>369</v>
      </c>
      <c r="K1420" s="39" t="s">
        <v>1716</v>
      </c>
      <c r="L1420" s="39" t="s">
        <v>1014</v>
      </c>
      <c r="M1420" s="38" t="s">
        <v>1713</v>
      </c>
      <c r="N1420" s="41" t="s">
        <v>143</v>
      </c>
      <c r="P1420" s="35"/>
      <c r="Q1420" s="252"/>
    </row>
    <row r="1421" spans="1:17" ht="12.75" customHeight="1" x14ac:dyDescent="0.2">
      <c r="A1421" s="38" t="s">
        <v>557</v>
      </c>
      <c r="B1421" s="38">
        <v>150986</v>
      </c>
      <c r="C1421" t="s">
        <v>1441</v>
      </c>
      <c r="D1421" s="279">
        <v>100000</v>
      </c>
      <c r="F1421" s="40">
        <v>3.9E-2</v>
      </c>
      <c r="G1421" s="41">
        <v>41064</v>
      </c>
      <c r="H1421" s="41">
        <v>41428</v>
      </c>
      <c r="I1421" s="39">
        <v>52</v>
      </c>
      <c r="J1421" s="39" t="s">
        <v>369</v>
      </c>
      <c r="K1421" s="39" t="s">
        <v>1716</v>
      </c>
      <c r="L1421" s="39" t="s">
        <v>1014</v>
      </c>
      <c r="M1421" s="38" t="s">
        <v>557</v>
      </c>
      <c r="N1421" s="41" t="s">
        <v>1481</v>
      </c>
      <c r="P1421" s="35"/>
      <c r="Q1421" s="252"/>
    </row>
    <row r="1422" spans="1:17" ht="12.75" customHeight="1" x14ac:dyDescent="0.2">
      <c r="A1422" s="38" t="s">
        <v>557</v>
      </c>
      <c r="B1422" s="38">
        <v>100560</v>
      </c>
      <c r="C1422" t="s">
        <v>131</v>
      </c>
      <c r="D1422" s="279">
        <v>100000</v>
      </c>
      <c r="F1422" s="40">
        <v>4.2500000000000003E-2</v>
      </c>
      <c r="G1422" s="41">
        <v>41097</v>
      </c>
      <c r="H1422" s="41">
        <v>41827</v>
      </c>
      <c r="I1422" s="39">
        <v>2</v>
      </c>
      <c r="J1422" s="39" t="s">
        <v>1716</v>
      </c>
      <c r="K1422" s="39" t="s">
        <v>1716</v>
      </c>
      <c r="L1422" s="39" t="s">
        <v>1014</v>
      </c>
      <c r="M1422" s="38" t="s">
        <v>1674</v>
      </c>
      <c r="N1422" s="41" t="s">
        <v>132</v>
      </c>
      <c r="P1422" s="35"/>
      <c r="Q1422" s="252"/>
    </row>
    <row r="1423" spans="1:17" ht="12.75" customHeight="1" x14ac:dyDescent="0.2">
      <c r="A1423" s="38" t="s">
        <v>1803</v>
      </c>
      <c r="B1423" s="38">
        <v>9084</v>
      </c>
      <c r="C1423" t="s">
        <v>1828</v>
      </c>
      <c r="D1423" s="279">
        <v>100000</v>
      </c>
      <c r="F1423" s="40">
        <v>5.6000000000000001E-2</v>
      </c>
      <c r="G1423" s="41">
        <v>39895</v>
      </c>
      <c r="H1423" s="41">
        <v>43547</v>
      </c>
      <c r="I1423" s="39">
        <v>10</v>
      </c>
      <c r="J1423" s="39" t="s">
        <v>1716</v>
      </c>
      <c r="K1423" s="39" t="s">
        <v>1716</v>
      </c>
      <c r="L1423" s="39" t="s">
        <v>1014</v>
      </c>
      <c r="M1423" s="38" t="s">
        <v>1803</v>
      </c>
      <c r="N1423" s="41" t="s">
        <v>1050</v>
      </c>
      <c r="P1423" s="35"/>
      <c r="Q1423" s="252"/>
    </row>
    <row r="1424" spans="1:17" x14ac:dyDescent="0.2">
      <c r="A1424" s="38" t="s">
        <v>1035</v>
      </c>
      <c r="B1424" s="38">
        <v>201132</v>
      </c>
      <c r="C1424" t="s">
        <v>336</v>
      </c>
      <c r="D1424" s="279">
        <v>100000</v>
      </c>
      <c r="F1424" s="40">
        <v>3.4000000000000002E-2</v>
      </c>
      <c r="G1424" s="41">
        <v>41085</v>
      </c>
      <c r="H1424" s="41">
        <v>41267</v>
      </c>
      <c r="I1424" s="39">
        <v>26</v>
      </c>
      <c r="J1424" s="39" t="s">
        <v>369</v>
      </c>
      <c r="K1424" s="39" t="s">
        <v>1716</v>
      </c>
      <c r="L1424" s="39" t="s">
        <v>1014</v>
      </c>
      <c r="M1424" s="38" t="s">
        <v>1035</v>
      </c>
      <c r="N1424" s="38" t="s">
        <v>68</v>
      </c>
    </row>
    <row r="1425" spans="1:14" ht="12" customHeight="1" x14ac:dyDescent="0.2">
      <c r="A1425" s="38" t="s">
        <v>1803</v>
      </c>
      <c r="B1425" s="38">
        <v>2140</v>
      </c>
      <c r="C1425" t="s">
        <v>740</v>
      </c>
      <c r="D1425" s="279">
        <v>100000</v>
      </c>
      <c r="F1425" s="40">
        <v>5.62E-2</v>
      </c>
      <c r="G1425" s="41">
        <v>40373</v>
      </c>
      <c r="H1425" s="41">
        <v>45852</v>
      </c>
      <c r="I1425" s="39">
        <v>15</v>
      </c>
      <c r="J1425" s="39" t="s">
        <v>1716</v>
      </c>
      <c r="K1425" s="39" t="s">
        <v>1716</v>
      </c>
      <c r="L1425" s="39" t="s">
        <v>1014</v>
      </c>
      <c r="M1425" s="38" t="s">
        <v>1803</v>
      </c>
      <c r="N1425" s="38" t="s">
        <v>741</v>
      </c>
    </row>
    <row r="1426" spans="1:14" ht="12" customHeight="1" x14ac:dyDescent="0.2">
      <c r="A1426" s="38" t="s">
        <v>1674</v>
      </c>
      <c r="B1426" s="38">
        <v>100565</v>
      </c>
      <c r="C1426" t="s">
        <v>791</v>
      </c>
      <c r="D1426" s="279">
        <v>100000</v>
      </c>
      <c r="F1426" s="40">
        <v>4.2799999999999998E-2</v>
      </c>
      <c r="G1426" s="41">
        <v>41106</v>
      </c>
      <c r="H1426" s="41">
        <v>41836</v>
      </c>
      <c r="I1426" s="39">
        <v>2</v>
      </c>
      <c r="J1426" s="39" t="s">
        <v>1716</v>
      </c>
      <c r="K1426" s="39" t="s">
        <v>1716</v>
      </c>
      <c r="L1426" s="39" t="s">
        <v>1014</v>
      </c>
      <c r="M1426" s="38" t="s">
        <v>1674</v>
      </c>
      <c r="N1426" s="38" t="s">
        <v>1226</v>
      </c>
    </row>
    <row r="1427" spans="1:14" x14ac:dyDescent="0.2">
      <c r="A1427" s="38" t="s">
        <v>1035</v>
      </c>
      <c r="B1427" s="38">
        <v>201129</v>
      </c>
      <c r="C1427" s="38" t="s">
        <v>773</v>
      </c>
      <c r="D1427" s="279">
        <v>100000</v>
      </c>
      <c r="F1427" s="40">
        <v>3.4000000000000002E-2</v>
      </c>
      <c r="G1427" s="41">
        <v>41078</v>
      </c>
      <c r="H1427" s="41">
        <v>41260</v>
      </c>
      <c r="I1427" s="39">
        <v>26</v>
      </c>
      <c r="J1427" s="39" t="s">
        <v>369</v>
      </c>
      <c r="K1427" s="39" t="s">
        <v>369</v>
      </c>
      <c r="L1427" s="39" t="s">
        <v>1014</v>
      </c>
      <c r="M1427" s="38" t="s">
        <v>1035</v>
      </c>
      <c r="N1427" s="38" t="s">
        <v>68</v>
      </c>
    </row>
    <row r="1428" spans="1:14" x14ac:dyDescent="0.2">
      <c r="A1428" s="38" t="s">
        <v>1803</v>
      </c>
      <c r="B1428" s="38">
        <v>2134</v>
      </c>
      <c r="C1428" s="38" t="s">
        <v>251</v>
      </c>
      <c r="D1428" s="279">
        <v>100000</v>
      </c>
      <c r="F1428" s="40">
        <v>5.0999999999999997E-2</v>
      </c>
      <c r="G1428" s="41">
        <v>40035</v>
      </c>
      <c r="H1428" s="41">
        <v>43687</v>
      </c>
      <c r="I1428" s="39">
        <v>10</v>
      </c>
      <c r="J1428" s="39" t="s">
        <v>1716</v>
      </c>
      <c r="K1428" s="39" t="s">
        <v>1716</v>
      </c>
      <c r="L1428" s="39" t="s">
        <v>1014</v>
      </c>
      <c r="M1428" s="38" t="s">
        <v>1803</v>
      </c>
      <c r="N1428" s="38" t="s">
        <v>231</v>
      </c>
    </row>
    <row r="1429" spans="1:14" x14ac:dyDescent="0.2">
      <c r="A1429" s="38" t="s">
        <v>1803</v>
      </c>
      <c r="B1429" s="38">
        <v>9177</v>
      </c>
      <c r="C1429" s="38" t="s">
        <v>1005</v>
      </c>
      <c r="D1429" s="279">
        <v>100000</v>
      </c>
      <c r="F1429" s="40">
        <v>4.6600000000000003E-2</v>
      </c>
      <c r="G1429" s="41">
        <v>41134</v>
      </c>
      <c r="H1429" s="41">
        <v>41864</v>
      </c>
      <c r="I1429" s="39">
        <v>2</v>
      </c>
      <c r="J1429" s="39" t="s">
        <v>1716</v>
      </c>
      <c r="K1429" s="39" t="s">
        <v>1716</v>
      </c>
      <c r="L1429" s="39" t="s">
        <v>1014</v>
      </c>
      <c r="M1429" s="38" t="s">
        <v>1803</v>
      </c>
      <c r="N1429" s="38" t="s">
        <v>1006</v>
      </c>
    </row>
    <row r="1430" spans="1:14" x14ac:dyDescent="0.2">
      <c r="A1430" s="38" t="s">
        <v>1035</v>
      </c>
      <c r="B1430" s="38">
        <v>201130</v>
      </c>
      <c r="C1430" s="38" t="s">
        <v>109</v>
      </c>
      <c r="D1430" s="279">
        <v>100000</v>
      </c>
      <c r="F1430" s="40">
        <v>3.7499999999999999E-2</v>
      </c>
      <c r="G1430" s="41">
        <v>41078</v>
      </c>
      <c r="H1430" s="41">
        <v>41897</v>
      </c>
      <c r="I1430" s="39">
        <v>2</v>
      </c>
      <c r="J1430" s="39" t="s">
        <v>1716</v>
      </c>
      <c r="K1430" s="39" t="s">
        <v>1716</v>
      </c>
      <c r="L1430" s="39" t="s">
        <v>1014</v>
      </c>
      <c r="M1430" s="38" t="s">
        <v>1035</v>
      </c>
      <c r="N1430" s="38" t="s">
        <v>68</v>
      </c>
    </row>
    <row r="1431" spans="1:14" x14ac:dyDescent="0.2">
      <c r="A1431" s="38" t="s">
        <v>1713</v>
      </c>
      <c r="B1431" s="38">
        <v>140360</v>
      </c>
      <c r="C1431" s="38" t="s">
        <v>1796</v>
      </c>
      <c r="D1431" s="279">
        <v>100000</v>
      </c>
      <c r="F1431" s="40">
        <v>3.7999999999999999E-2</v>
      </c>
      <c r="G1431" s="41">
        <v>41148</v>
      </c>
      <c r="H1431" s="41">
        <v>41178</v>
      </c>
      <c r="I1431" s="39">
        <v>4</v>
      </c>
      <c r="J1431" s="39" t="s">
        <v>369</v>
      </c>
      <c r="K1431" s="39" t="s">
        <v>1716</v>
      </c>
      <c r="L1431" s="39" t="s">
        <v>1014</v>
      </c>
      <c r="M1431" s="38" t="s">
        <v>1713</v>
      </c>
      <c r="N1431" s="38" t="s">
        <v>143</v>
      </c>
    </row>
    <row r="1432" spans="1:14" x14ac:dyDescent="0.2">
      <c r="A1432" s="38" t="s">
        <v>1713</v>
      </c>
      <c r="B1432" s="38">
        <v>100566</v>
      </c>
      <c r="C1432" s="38" t="s">
        <v>705</v>
      </c>
      <c r="D1432" s="279">
        <v>100000</v>
      </c>
      <c r="F1432" s="40">
        <v>4.9000000000000002E-2</v>
      </c>
      <c r="G1432" s="41">
        <v>41149</v>
      </c>
      <c r="H1432" s="41">
        <v>42975</v>
      </c>
      <c r="I1432" s="39">
        <v>5</v>
      </c>
      <c r="J1432" s="39" t="s">
        <v>1716</v>
      </c>
      <c r="K1432" s="39" t="s">
        <v>1716</v>
      </c>
      <c r="L1432" s="39" t="s">
        <v>1014</v>
      </c>
      <c r="M1432" s="38" t="s">
        <v>1674</v>
      </c>
      <c r="N1432" s="38" t="s">
        <v>1226</v>
      </c>
    </row>
    <row r="1433" spans="1:14" x14ac:dyDescent="0.2">
      <c r="A1433" s="38" t="s">
        <v>1674</v>
      </c>
      <c r="B1433" s="38">
        <v>100567</v>
      </c>
      <c r="C1433" s="38" t="s">
        <v>708</v>
      </c>
      <c r="D1433" s="279">
        <v>100000</v>
      </c>
      <c r="F1433" s="40">
        <v>4.7E-2</v>
      </c>
      <c r="G1433" s="41">
        <v>41156</v>
      </c>
      <c r="H1433" s="41">
        <v>41915</v>
      </c>
      <c r="I1433" s="39">
        <v>2</v>
      </c>
      <c r="J1433" s="39" t="s">
        <v>1716</v>
      </c>
      <c r="K1433" s="39" t="s">
        <v>1716</v>
      </c>
      <c r="L1433" s="39" t="s">
        <v>1014</v>
      </c>
      <c r="M1433" s="38" t="s">
        <v>1674</v>
      </c>
      <c r="N1433" s="38" t="s">
        <v>1226</v>
      </c>
    </row>
    <row r="1434" spans="1:14" x14ac:dyDescent="0.2">
      <c r="A1434" s="38" t="s">
        <v>1674</v>
      </c>
      <c r="B1434" s="38">
        <v>100568</v>
      </c>
      <c r="C1434" s="38" t="s">
        <v>398</v>
      </c>
      <c r="D1434" s="279">
        <v>100000</v>
      </c>
      <c r="F1434" s="40">
        <v>4.7E-2</v>
      </c>
      <c r="G1434" s="41">
        <v>41162</v>
      </c>
      <c r="H1434" s="41">
        <v>41892</v>
      </c>
      <c r="I1434" s="39">
        <v>2</v>
      </c>
      <c r="J1434" s="39" t="s">
        <v>1716</v>
      </c>
      <c r="K1434" s="39" t="s">
        <v>1716</v>
      </c>
      <c r="L1434" s="39" t="s">
        <v>1014</v>
      </c>
      <c r="M1434" s="38" t="s">
        <v>1674</v>
      </c>
      <c r="N1434" s="38" t="s">
        <v>1226</v>
      </c>
    </row>
    <row r="1435" spans="1:14" x14ac:dyDescent="0.2">
      <c r="A1435" s="38" t="s">
        <v>1035</v>
      </c>
      <c r="B1435" s="38">
        <v>201142</v>
      </c>
      <c r="C1435" s="38" t="s">
        <v>1124</v>
      </c>
      <c r="D1435" s="279">
        <v>100000</v>
      </c>
      <c r="F1435" s="40">
        <v>3.4799999999999998E-2</v>
      </c>
      <c r="G1435" s="41">
        <v>41144</v>
      </c>
      <c r="H1435" s="41">
        <v>41187</v>
      </c>
      <c r="I1435" s="39">
        <v>6</v>
      </c>
      <c r="J1435" s="39" t="s">
        <v>369</v>
      </c>
      <c r="K1435" s="39" t="s">
        <v>1716</v>
      </c>
      <c r="L1435" s="39" t="s">
        <v>1014</v>
      </c>
      <c r="M1435" s="38" t="s">
        <v>1035</v>
      </c>
      <c r="N1435" s="38" t="s">
        <v>68</v>
      </c>
    </row>
    <row r="1436" spans="1:14" x14ac:dyDescent="0.2">
      <c r="A1436" s="38" t="s">
        <v>1035</v>
      </c>
      <c r="B1436" s="38">
        <v>201136</v>
      </c>
      <c r="C1436" s="38" t="s">
        <v>1125</v>
      </c>
      <c r="D1436" s="279">
        <v>100000</v>
      </c>
      <c r="F1436" s="40">
        <v>3.4000000000000002E-2</v>
      </c>
      <c r="G1436" s="41">
        <v>41134</v>
      </c>
      <c r="H1436" s="41">
        <v>41225</v>
      </c>
      <c r="I1436" s="39">
        <v>13</v>
      </c>
      <c r="J1436" s="39" t="s">
        <v>369</v>
      </c>
      <c r="K1436" s="39" t="s">
        <v>1716</v>
      </c>
      <c r="L1436" s="39" t="s">
        <v>1014</v>
      </c>
      <c r="M1436" s="38" t="s">
        <v>1035</v>
      </c>
      <c r="N1436" s="38" t="s">
        <v>68</v>
      </c>
    </row>
    <row r="1437" spans="1:14" x14ac:dyDescent="0.2">
      <c r="A1437" s="38" t="s">
        <v>1035</v>
      </c>
      <c r="B1437" s="38">
        <v>201138</v>
      </c>
      <c r="C1437" s="38" t="s">
        <v>1126</v>
      </c>
      <c r="D1437" s="279">
        <v>100000</v>
      </c>
      <c r="F1437" s="40">
        <v>3.6499999999999998E-2</v>
      </c>
      <c r="G1437" s="41">
        <v>41168</v>
      </c>
      <c r="H1437" s="41">
        <v>41533</v>
      </c>
      <c r="I1437" s="39">
        <v>52</v>
      </c>
      <c r="J1437" s="39" t="s">
        <v>369</v>
      </c>
      <c r="K1437" s="39" t="s">
        <v>1716</v>
      </c>
      <c r="L1437" s="39" t="s">
        <v>1014</v>
      </c>
      <c r="M1437" s="38" t="s">
        <v>1035</v>
      </c>
      <c r="N1437" s="38" t="s">
        <v>68</v>
      </c>
    </row>
    <row r="1438" spans="1:14" x14ac:dyDescent="0.2">
      <c r="A1438" s="38" t="s">
        <v>1035</v>
      </c>
      <c r="B1438" s="38">
        <v>201145</v>
      </c>
      <c r="C1438" s="38" t="s">
        <v>40</v>
      </c>
      <c r="D1438" s="279">
        <v>100000</v>
      </c>
      <c r="F1438" s="40">
        <v>4.0500000000000001E-2</v>
      </c>
      <c r="G1438" s="41">
        <v>41169</v>
      </c>
      <c r="H1438" s="41">
        <v>41988</v>
      </c>
      <c r="I1438" s="39">
        <v>52</v>
      </c>
      <c r="J1438" s="39" t="s">
        <v>369</v>
      </c>
      <c r="K1438" s="39" t="s">
        <v>1716</v>
      </c>
      <c r="L1438" s="39" t="s">
        <v>1014</v>
      </c>
      <c r="M1438" s="38" t="s">
        <v>1035</v>
      </c>
      <c r="N1438" s="38" t="s">
        <v>68</v>
      </c>
    </row>
    <row r="1439" spans="1:14" x14ac:dyDescent="0.2">
      <c r="A1439" s="38" t="s">
        <v>1674</v>
      </c>
      <c r="B1439" s="38">
        <v>100569</v>
      </c>
      <c r="C1439" s="38" t="s">
        <v>1752</v>
      </c>
      <c r="D1439" s="279">
        <v>100000</v>
      </c>
      <c r="F1439" s="40">
        <v>4.7500000000000001E-2</v>
      </c>
      <c r="G1439" s="41">
        <v>41176</v>
      </c>
      <c r="H1439" s="41">
        <v>41936</v>
      </c>
      <c r="I1439" s="39">
        <v>2</v>
      </c>
      <c r="J1439" s="39" t="s">
        <v>1716</v>
      </c>
      <c r="K1439" s="39" t="s">
        <v>1716</v>
      </c>
      <c r="L1439" s="39" t="s">
        <v>1014</v>
      </c>
      <c r="M1439" s="38" t="s">
        <v>1674</v>
      </c>
      <c r="N1439" s="38" t="s">
        <v>132</v>
      </c>
    </row>
    <row r="1440" spans="1:14" x14ac:dyDescent="0.2">
      <c r="A1440" s="38" t="s">
        <v>557</v>
      </c>
      <c r="B1440" s="38">
        <v>151036</v>
      </c>
      <c r="C1440" s="38" t="s">
        <v>1982</v>
      </c>
      <c r="D1440" s="279">
        <v>100000</v>
      </c>
      <c r="F1440" s="40">
        <v>4.2000000000000003E-2</v>
      </c>
      <c r="G1440" s="41">
        <v>41192</v>
      </c>
      <c r="H1440" s="41">
        <v>41556</v>
      </c>
      <c r="I1440" s="39">
        <v>1</v>
      </c>
      <c r="J1440" s="39" t="s">
        <v>1716</v>
      </c>
      <c r="K1440" s="39" t="s">
        <v>1716</v>
      </c>
      <c r="L1440" s="39" t="s">
        <v>1014</v>
      </c>
      <c r="M1440" s="38" t="s">
        <v>557</v>
      </c>
      <c r="N1440" s="38" t="s">
        <v>1042</v>
      </c>
    </row>
    <row r="1441" spans="1:14" x14ac:dyDescent="0.2">
      <c r="A1441" s="38" t="s">
        <v>557</v>
      </c>
      <c r="B1441" s="38">
        <v>151038</v>
      </c>
      <c r="C1441" s="38" t="s">
        <v>551</v>
      </c>
      <c r="D1441" s="279">
        <v>100000</v>
      </c>
      <c r="F1441" s="40">
        <v>4.8000000000000001E-2</v>
      </c>
      <c r="G1441" s="41">
        <v>41192</v>
      </c>
      <c r="H1441" s="41">
        <v>42287</v>
      </c>
      <c r="I1441" s="39">
        <v>3</v>
      </c>
      <c r="J1441" s="39" t="s">
        <v>1716</v>
      </c>
      <c r="K1441" s="39" t="s">
        <v>1716</v>
      </c>
      <c r="L1441" s="39" t="s">
        <v>1014</v>
      </c>
      <c r="M1441" s="38" t="s">
        <v>557</v>
      </c>
      <c r="N1441" s="38" t="s">
        <v>1042</v>
      </c>
    </row>
    <row r="1442" spans="1:14" x14ac:dyDescent="0.2">
      <c r="A1442" s="38" t="s">
        <v>1035</v>
      </c>
      <c r="B1442" s="38">
        <v>201155</v>
      </c>
      <c r="C1442" s="38" t="s">
        <v>1546</v>
      </c>
      <c r="D1442" s="279">
        <v>100000</v>
      </c>
      <c r="F1442" s="40">
        <v>3.7900000000000003E-2</v>
      </c>
      <c r="G1442" s="41">
        <v>41201</v>
      </c>
      <c r="H1442" s="41">
        <v>41225</v>
      </c>
      <c r="I1442" s="39">
        <v>4</v>
      </c>
      <c r="J1442" s="39" t="s">
        <v>369</v>
      </c>
      <c r="K1442" s="39" t="s">
        <v>1716</v>
      </c>
      <c r="L1442" s="39" t="s">
        <v>1014</v>
      </c>
      <c r="M1442" s="38" t="s">
        <v>1035</v>
      </c>
      <c r="N1442" s="38" t="s">
        <v>68</v>
      </c>
    </row>
    <row r="1443" spans="1:14" x14ac:dyDescent="0.2">
      <c r="A1443" s="38" t="s">
        <v>1035</v>
      </c>
      <c r="B1443" s="38">
        <v>201147</v>
      </c>
      <c r="C1443" s="38" t="s">
        <v>850</v>
      </c>
      <c r="D1443" s="279">
        <v>100000</v>
      </c>
      <c r="F1443" s="40">
        <v>4.3999999999999997E-2</v>
      </c>
      <c r="G1443" s="41">
        <v>41197</v>
      </c>
      <c r="H1443" s="41">
        <v>43206</v>
      </c>
      <c r="I1443" s="39">
        <v>5</v>
      </c>
      <c r="J1443" s="39" t="s">
        <v>1716</v>
      </c>
      <c r="K1443" s="39" t="s">
        <v>1716</v>
      </c>
      <c r="L1443" s="39" t="s">
        <v>1014</v>
      </c>
      <c r="M1443" s="38" t="s">
        <v>1035</v>
      </c>
      <c r="N1443" s="38" t="s">
        <v>68</v>
      </c>
    </row>
    <row r="1444" spans="1:14" x14ac:dyDescent="0.2">
      <c r="A1444" s="38" t="s">
        <v>1713</v>
      </c>
      <c r="B1444" s="38">
        <v>140372</v>
      </c>
      <c r="C1444" s="38" t="s">
        <v>851</v>
      </c>
      <c r="D1444" s="279">
        <v>100000</v>
      </c>
      <c r="F1444" s="40">
        <v>4.4999999999999998E-2</v>
      </c>
      <c r="G1444" s="41">
        <v>41211</v>
      </c>
      <c r="H1444" s="41">
        <v>41575</v>
      </c>
      <c r="I1444" s="39">
        <v>52</v>
      </c>
      <c r="J1444" s="39" t="s">
        <v>369</v>
      </c>
      <c r="K1444" s="39" t="s">
        <v>1716</v>
      </c>
      <c r="L1444" s="39" t="s">
        <v>1014</v>
      </c>
      <c r="M1444" s="38" t="s">
        <v>1713</v>
      </c>
      <c r="N1444" s="38" t="s">
        <v>727</v>
      </c>
    </row>
    <row r="1445" spans="1:14" x14ac:dyDescent="0.2">
      <c r="A1445" s="38" t="s">
        <v>1035</v>
      </c>
      <c r="B1445" s="38">
        <v>201162</v>
      </c>
      <c r="C1445" s="38" t="s">
        <v>76</v>
      </c>
      <c r="D1445" s="279">
        <v>100000</v>
      </c>
      <c r="F1445" s="40">
        <v>3.5499999999999997E-2</v>
      </c>
      <c r="G1445" s="41">
        <v>41218</v>
      </c>
      <c r="H1445" s="41">
        <v>41400</v>
      </c>
      <c r="I1445" s="39">
        <v>26</v>
      </c>
      <c r="J1445" s="39" t="s">
        <v>369</v>
      </c>
      <c r="K1445" s="39" t="s">
        <v>369</v>
      </c>
      <c r="L1445" s="39" t="s">
        <v>1014</v>
      </c>
      <c r="M1445" s="38" t="s">
        <v>1035</v>
      </c>
      <c r="N1445" s="38" t="s">
        <v>68</v>
      </c>
    </row>
    <row r="1446" spans="1:14" x14ac:dyDescent="0.2">
      <c r="A1446" s="38" t="s">
        <v>557</v>
      </c>
      <c r="B1446" s="38">
        <v>151062</v>
      </c>
      <c r="C1446" s="38" t="s">
        <v>148</v>
      </c>
      <c r="D1446" s="279">
        <v>100000</v>
      </c>
      <c r="F1446" s="40">
        <v>4.2000000000000003E-2</v>
      </c>
      <c r="G1446" s="41">
        <v>41226</v>
      </c>
      <c r="H1446" s="41">
        <v>41590</v>
      </c>
      <c r="I1446" s="39">
        <v>52</v>
      </c>
      <c r="J1446" s="39" t="s">
        <v>369</v>
      </c>
      <c r="K1446" s="39" t="s">
        <v>1716</v>
      </c>
      <c r="L1446" s="39" t="s">
        <v>1014</v>
      </c>
      <c r="M1446" s="38" t="s">
        <v>557</v>
      </c>
      <c r="N1446" s="38" t="s">
        <v>1042</v>
      </c>
    </row>
    <row r="1447" spans="1:14" x14ac:dyDescent="0.2">
      <c r="A1447" s="38" t="s">
        <v>557</v>
      </c>
      <c r="B1447" s="38">
        <v>151066</v>
      </c>
      <c r="C1447" s="38" t="s">
        <v>77</v>
      </c>
      <c r="D1447" s="279">
        <v>100000</v>
      </c>
      <c r="F1447" s="40">
        <v>4.65E-2</v>
      </c>
      <c r="G1447" s="41">
        <v>41227</v>
      </c>
      <c r="H1447" s="41">
        <v>41957</v>
      </c>
      <c r="I1447" s="39">
        <v>2</v>
      </c>
      <c r="J1447" s="39" t="s">
        <v>1716</v>
      </c>
      <c r="K1447" s="39" t="s">
        <v>1716</v>
      </c>
      <c r="L1447" s="39" t="s">
        <v>1014</v>
      </c>
      <c r="M1447" s="38" t="s">
        <v>557</v>
      </c>
      <c r="N1447" s="38" t="s">
        <v>1042</v>
      </c>
    </row>
    <row r="1448" spans="1:14" x14ac:dyDescent="0.2">
      <c r="A1448" s="38" t="s">
        <v>1803</v>
      </c>
      <c r="B1448" s="38">
        <v>9183</v>
      </c>
      <c r="C1448" s="38" t="s">
        <v>1739</v>
      </c>
      <c r="D1448" s="279">
        <v>100000</v>
      </c>
      <c r="F1448" s="40">
        <v>4.0099999999999997E-2</v>
      </c>
      <c r="G1448" s="41">
        <v>41600</v>
      </c>
      <c r="H1448" s="41">
        <v>41965</v>
      </c>
      <c r="I1448" s="39">
        <v>52</v>
      </c>
      <c r="J1448" s="39" t="s">
        <v>369</v>
      </c>
      <c r="K1448" s="39" t="s">
        <v>1716</v>
      </c>
      <c r="L1448" s="39" t="s">
        <v>1014</v>
      </c>
      <c r="M1448" s="38" t="s">
        <v>1803</v>
      </c>
      <c r="N1448" s="38" t="s">
        <v>916</v>
      </c>
    </row>
    <row r="1449" spans="1:14" x14ac:dyDescent="0.2">
      <c r="A1449" s="38" t="s">
        <v>557</v>
      </c>
      <c r="B1449" s="38">
        <v>150598</v>
      </c>
      <c r="C1449" s="38" t="s">
        <v>1499</v>
      </c>
      <c r="D1449" s="279">
        <v>100000</v>
      </c>
      <c r="F1449" s="40">
        <v>4.2500000000000003E-2</v>
      </c>
      <c r="G1449" s="41">
        <v>40267</v>
      </c>
      <c r="H1449" s="41">
        <v>41363</v>
      </c>
      <c r="I1449" s="39">
        <v>3</v>
      </c>
      <c r="J1449" s="39" t="s">
        <v>1716</v>
      </c>
      <c r="K1449" s="39" t="s">
        <v>1716</v>
      </c>
      <c r="L1449" s="39" t="s">
        <v>1014</v>
      </c>
      <c r="M1449" s="38" t="s">
        <v>557</v>
      </c>
      <c r="N1449" s="38" t="s">
        <v>918</v>
      </c>
    </row>
    <row r="1450" spans="1:14" x14ac:dyDescent="0.2">
      <c r="A1450" s="38" t="s">
        <v>1035</v>
      </c>
      <c r="B1450" s="38">
        <v>201168</v>
      </c>
      <c r="C1450" s="38" t="s">
        <v>469</v>
      </c>
      <c r="D1450" s="279">
        <v>100000</v>
      </c>
      <c r="F1450" s="40">
        <v>4.1000000000000002E-2</v>
      </c>
      <c r="G1450" s="41">
        <v>41239</v>
      </c>
      <c r="H1450" s="41">
        <v>42114</v>
      </c>
      <c r="I1450" s="39">
        <v>2</v>
      </c>
      <c r="J1450" s="39" t="s">
        <v>1716</v>
      </c>
      <c r="K1450" s="39" t="s">
        <v>1716</v>
      </c>
      <c r="L1450" s="39" t="s">
        <v>1014</v>
      </c>
      <c r="M1450" s="38" t="s">
        <v>1035</v>
      </c>
      <c r="N1450" s="38" t="s">
        <v>68</v>
      </c>
    </row>
    <row r="1451" spans="1:14" x14ac:dyDescent="0.2">
      <c r="A1451" s="38" t="s">
        <v>1035</v>
      </c>
      <c r="B1451" s="38">
        <v>201146</v>
      </c>
      <c r="C1451" s="38" t="s">
        <v>625</v>
      </c>
      <c r="D1451" s="279">
        <v>100000</v>
      </c>
      <c r="F1451" s="40">
        <v>3.4000000000000002E-2</v>
      </c>
      <c r="G1451" s="41">
        <v>41190</v>
      </c>
      <c r="H1451" s="41">
        <v>41281</v>
      </c>
      <c r="I1451" s="39">
        <v>13</v>
      </c>
      <c r="J1451" s="39" t="s">
        <v>369</v>
      </c>
      <c r="K1451" s="39" t="s">
        <v>1716</v>
      </c>
      <c r="L1451" s="39" t="s">
        <v>1014</v>
      </c>
      <c r="M1451" s="38" t="s">
        <v>1035</v>
      </c>
      <c r="N1451" s="38" t="s">
        <v>68</v>
      </c>
    </row>
    <row r="1452" spans="1:14" x14ac:dyDescent="0.2">
      <c r="A1452" s="38" t="s">
        <v>1803</v>
      </c>
      <c r="B1452" s="38">
        <v>2127</v>
      </c>
      <c r="C1452" s="38" t="s">
        <v>552</v>
      </c>
      <c r="D1452" s="279">
        <v>100000</v>
      </c>
      <c r="F1452" s="40">
        <v>5.4899999999999997E-2</v>
      </c>
      <c r="G1452" s="41">
        <v>39794</v>
      </c>
      <c r="H1452" s="41">
        <v>42350</v>
      </c>
      <c r="I1452" s="39">
        <v>7</v>
      </c>
      <c r="J1452" s="39" t="s">
        <v>1716</v>
      </c>
      <c r="K1452" s="39" t="s">
        <v>1716</v>
      </c>
      <c r="L1452" s="39" t="s">
        <v>1014</v>
      </c>
      <c r="M1452" s="38" t="s">
        <v>1803</v>
      </c>
      <c r="N1452" s="38" t="s">
        <v>553</v>
      </c>
    </row>
    <row r="1453" spans="1:14" x14ac:dyDescent="0.2">
      <c r="A1453" s="38" t="s">
        <v>557</v>
      </c>
      <c r="B1453" s="38">
        <v>151081</v>
      </c>
      <c r="C1453" s="38" t="s">
        <v>554</v>
      </c>
      <c r="D1453" s="279">
        <v>100000</v>
      </c>
      <c r="F1453" s="40">
        <v>0.04</v>
      </c>
      <c r="G1453" s="41">
        <v>41250</v>
      </c>
      <c r="H1453" s="41">
        <v>41432</v>
      </c>
      <c r="I1453" s="39">
        <v>26</v>
      </c>
      <c r="J1453" s="39" t="s">
        <v>369</v>
      </c>
      <c r="K1453" s="39" t="s">
        <v>1716</v>
      </c>
      <c r="L1453" s="39" t="s">
        <v>1014</v>
      </c>
      <c r="M1453" s="38" t="s">
        <v>557</v>
      </c>
      <c r="N1453" s="38" t="s">
        <v>1042</v>
      </c>
    </row>
    <row r="1454" spans="1:14" x14ac:dyDescent="0.2">
      <c r="A1454" s="38" t="s">
        <v>557</v>
      </c>
      <c r="B1454" s="38">
        <v>151086</v>
      </c>
      <c r="C1454" s="38" t="s">
        <v>415</v>
      </c>
      <c r="D1454" s="279">
        <v>100000</v>
      </c>
      <c r="F1454" s="40">
        <v>4.3499999999999997E-2</v>
      </c>
      <c r="G1454" s="41">
        <v>41254</v>
      </c>
      <c r="H1454" s="41">
        <v>41638</v>
      </c>
      <c r="I1454" s="39">
        <v>52</v>
      </c>
      <c r="J1454" s="39" t="s">
        <v>369</v>
      </c>
      <c r="K1454" s="39" t="s">
        <v>1716</v>
      </c>
      <c r="L1454" s="39" t="s">
        <v>1014</v>
      </c>
      <c r="M1454" s="38" t="s">
        <v>557</v>
      </c>
      <c r="N1454" s="38" t="s">
        <v>1042</v>
      </c>
    </row>
    <row r="1455" spans="1:14" x14ac:dyDescent="0.2">
      <c r="A1455" s="38" t="s">
        <v>1035</v>
      </c>
      <c r="B1455" s="38">
        <v>201173</v>
      </c>
      <c r="C1455" s="38" t="s">
        <v>1170</v>
      </c>
      <c r="D1455" s="279">
        <v>100000</v>
      </c>
      <c r="F1455" s="40">
        <v>4.0500000000000001E-2</v>
      </c>
      <c r="G1455" s="41">
        <v>41246</v>
      </c>
      <c r="H1455" s="41">
        <v>41291</v>
      </c>
      <c r="I1455" s="39">
        <v>13</v>
      </c>
      <c r="J1455" s="39" t="s">
        <v>369</v>
      </c>
      <c r="K1455" s="39" t="s">
        <v>1716</v>
      </c>
      <c r="L1455" s="39" t="s">
        <v>1014</v>
      </c>
      <c r="M1455" s="38" t="s">
        <v>1035</v>
      </c>
      <c r="N1455" s="38" t="s">
        <v>68</v>
      </c>
    </row>
    <row r="1456" spans="1:14" x14ac:dyDescent="0.2">
      <c r="A1456" s="38" t="s">
        <v>557</v>
      </c>
      <c r="B1456" s="38">
        <v>151098</v>
      </c>
      <c r="C1456" s="38" t="s">
        <v>1154</v>
      </c>
      <c r="D1456" s="279">
        <v>100000</v>
      </c>
      <c r="F1456" s="40">
        <v>4.3499999999999997E-2</v>
      </c>
      <c r="G1456" s="41">
        <v>41260</v>
      </c>
      <c r="H1456" s="41">
        <v>41624</v>
      </c>
      <c r="I1456" s="39">
        <v>52</v>
      </c>
      <c r="J1456" s="39" t="s">
        <v>369</v>
      </c>
      <c r="K1456" s="39" t="s">
        <v>1716</v>
      </c>
      <c r="L1456" s="39" t="s">
        <v>1014</v>
      </c>
      <c r="M1456" s="38" t="s">
        <v>557</v>
      </c>
      <c r="N1456" s="38" t="s">
        <v>1042</v>
      </c>
    </row>
    <row r="1457" spans="1:14" x14ac:dyDescent="0.2">
      <c r="A1457" s="38" t="s">
        <v>557</v>
      </c>
      <c r="B1457" s="38">
        <v>151108</v>
      </c>
      <c r="C1457" s="38" t="s">
        <v>1432</v>
      </c>
      <c r="D1457" s="279">
        <v>100000</v>
      </c>
      <c r="F1457" s="40">
        <v>4.2000000000000003E-2</v>
      </c>
      <c r="G1457" s="41">
        <v>41267</v>
      </c>
      <c r="H1457" s="41">
        <v>41631</v>
      </c>
      <c r="I1457" s="39">
        <v>52</v>
      </c>
      <c r="J1457" s="39" t="s">
        <v>369</v>
      </c>
      <c r="K1457" s="39" t="s">
        <v>1716</v>
      </c>
      <c r="L1457" s="39" t="s">
        <v>1014</v>
      </c>
      <c r="M1457" s="38" t="s">
        <v>557</v>
      </c>
      <c r="N1457" s="38" t="s">
        <v>1050</v>
      </c>
    </row>
    <row r="1458" spans="1:14" x14ac:dyDescent="0.2">
      <c r="A1458" s="38" t="s">
        <v>557</v>
      </c>
      <c r="B1458" s="38">
        <v>151116</v>
      </c>
      <c r="C1458" s="38" t="s">
        <v>260</v>
      </c>
      <c r="D1458" s="279">
        <v>100000</v>
      </c>
      <c r="F1458" s="40">
        <v>4.2000000000000003E-2</v>
      </c>
      <c r="G1458" s="41">
        <v>41271</v>
      </c>
      <c r="H1458" s="41">
        <v>41635</v>
      </c>
      <c r="I1458" s="39">
        <v>52</v>
      </c>
      <c r="J1458" s="39" t="s">
        <v>369</v>
      </c>
      <c r="K1458" s="39" t="s">
        <v>1716</v>
      </c>
      <c r="L1458" s="39" t="s">
        <v>1014</v>
      </c>
      <c r="M1458" s="38" t="s">
        <v>557</v>
      </c>
      <c r="N1458" s="38" t="s">
        <v>1481</v>
      </c>
    </row>
    <row r="1459" spans="1:14" x14ac:dyDescent="0.2">
      <c r="A1459" s="38" t="s">
        <v>557</v>
      </c>
      <c r="B1459" s="38">
        <v>151113</v>
      </c>
      <c r="C1459" s="38" t="s">
        <v>261</v>
      </c>
      <c r="D1459" s="279">
        <v>100000</v>
      </c>
      <c r="F1459" s="40">
        <v>4.3499999999999997E-2</v>
      </c>
      <c r="G1459" s="41">
        <v>41271</v>
      </c>
      <c r="H1459" s="41">
        <v>41635</v>
      </c>
      <c r="I1459" s="39">
        <v>52</v>
      </c>
      <c r="J1459" s="39" t="s">
        <v>369</v>
      </c>
      <c r="K1459" s="39" t="s">
        <v>1716</v>
      </c>
      <c r="L1459" s="39" t="s">
        <v>1014</v>
      </c>
      <c r="M1459" s="38" t="s">
        <v>557</v>
      </c>
      <c r="N1459" s="38" t="s">
        <v>1042</v>
      </c>
    </row>
    <row r="1460" spans="1:14" x14ac:dyDescent="0.2">
      <c r="A1460" s="38" t="s">
        <v>1803</v>
      </c>
      <c r="B1460" s="38">
        <v>2130</v>
      </c>
      <c r="C1460" s="38" t="s">
        <v>1393</v>
      </c>
      <c r="D1460" s="279">
        <v>100000</v>
      </c>
      <c r="F1460" s="40">
        <v>5.1999999999999998E-2</v>
      </c>
      <c r="G1460" s="41">
        <v>39813</v>
      </c>
      <c r="H1460" s="41">
        <v>41639</v>
      </c>
      <c r="I1460" s="39">
        <v>5</v>
      </c>
      <c r="J1460" s="39" t="s">
        <v>1716</v>
      </c>
      <c r="K1460" s="39" t="s">
        <v>1716</v>
      </c>
      <c r="L1460" s="39" t="s">
        <v>1014</v>
      </c>
      <c r="M1460" s="38" t="s">
        <v>1803</v>
      </c>
      <c r="N1460" s="38" t="s">
        <v>231</v>
      </c>
    </row>
    <row r="1461" spans="1:14" x14ac:dyDescent="0.2">
      <c r="A1461" s="38" t="s">
        <v>1035</v>
      </c>
      <c r="B1461" s="38">
        <v>201164</v>
      </c>
      <c r="C1461" s="38" t="s">
        <v>1394</v>
      </c>
      <c r="D1461" s="279">
        <v>100000</v>
      </c>
      <c r="F1461" s="40">
        <v>3.4200000000000001E-2</v>
      </c>
      <c r="G1461" s="41">
        <v>41225</v>
      </c>
      <c r="H1461" s="41">
        <v>41316</v>
      </c>
      <c r="I1461" s="39">
        <v>13</v>
      </c>
      <c r="J1461" s="39" t="s">
        <v>369</v>
      </c>
      <c r="K1461" s="39" t="s">
        <v>1716</v>
      </c>
      <c r="L1461" s="39" t="s">
        <v>1014</v>
      </c>
      <c r="M1461" s="38" t="s">
        <v>1035</v>
      </c>
      <c r="N1461" s="38" t="s">
        <v>68</v>
      </c>
    </row>
    <row r="1462" spans="1:14" x14ac:dyDescent="0.2">
      <c r="A1462" s="38" t="s">
        <v>557</v>
      </c>
      <c r="B1462" s="38">
        <v>151111</v>
      </c>
      <c r="C1462" s="38" t="s">
        <v>1395</v>
      </c>
      <c r="D1462" s="279">
        <v>100000</v>
      </c>
      <c r="F1462" s="40">
        <v>3.9E-2</v>
      </c>
      <c r="G1462" s="41">
        <v>41271</v>
      </c>
      <c r="H1462" s="41">
        <v>41333</v>
      </c>
      <c r="I1462" s="39">
        <v>62</v>
      </c>
      <c r="J1462" s="39" t="s">
        <v>1396</v>
      </c>
      <c r="K1462" s="39" t="s">
        <v>1716</v>
      </c>
      <c r="L1462" s="39" t="s">
        <v>1014</v>
      </c>
      <c r="M1462" s="38" t="s">
        <v>557</v>
      </c>
      <c r="N1462" s="38" t="s">
        <v>1042</v>
      </c>
    </row>
    <row r="1463" spans="1:14" x14ac:dyDescent="0.2">
      <c r="A1463" s="38" t="s">
        <v>1035</v>
      </c>
      <c r="B1463" s="38">
        <v>201165</v>
      </c>
      <c r="C1463" s="38" t="s">
        <v>1419</v>
      </c>
      <c r="D1463" s="279">
        <v>100000</v>
      </c>
      <c r="F1463" s="40">
        <v>3.7999999999999999E-2</v>
      </c>
      <c r="G1463" s="41">
        <v>41225</v>
      </c>
      <c r="H1463" s="41">
        <v>41260</v>
      </c>
      <c r="I1463" s="39">
        <v>35</v>
      </c>
      <c r="J1463" s="39" t="s">
        <v>1396</v>
      </c>
      <c r="K1463" s="39" t="s">
        <v>1716</v>
      </c>
      <c r="L1463" s="39" t="s">
        <v>1014</v>
      </c>
      <c r="M1463" s="38" t="s">
        <v>1035</v>
      </c>
      <c r="N1463" s="38" t="s">
        <v>68</v>
      </c>
    </row>
    <row r="1464" spans="1:14" x14ac:dyDescent="0.2">
      <c r="A1464" s="38" t="s">
        <v>1035</v>
      </c>
      <c r="B1464" s="38">
        <v>201166</v>
      </c>
      <c r="C1464" s="38" t="s">
        <v>1420</v>
      </c>
      <c r="D1464" s="279">
        <v>100000</v>
      </c>
      <c r="F1464" s="40">
        <v>3.7499999999999999E-2</v>
      </c>
      <c r="G1464" s="41">
        <v>41225</v>
      </c>
      <c r="H1464" s="41">
        <v>41260</v>
      </c>
      <c r="I1464" s="39">
        <v>35</v>
      </c>
      <c r="J1464" s="39" t="s">
        <v>1396</v>
      </c>
      <c r="K1464" s="39" t="s">
        <v>1716</v>
      </c>
      <c r="L1464" s="39" t="s">
        <v>1014</v>
      </c>
      <c r="M1464" s="38" t="s">
        <v>1035</v>
      </c>
      <c r="N1464" s="38" t="s">
        <v>68</v>
      </c>
    </row>
    <row r="1465" spans="1:14" x14ac:dyDescent="0.2">
      <c r="A1465" s="38" t="s">
        <v>1035</v>
      </c>
      <c r="B1465" s="38">
        <v>201161</v>
      </c>
      <c r="C1465" s="38" t="s">
        <v>1350</v>
      </c>
      <c r="D1465" s="279">
        <v>100000</v>
      </c>
      <c r="F1465" s="40">
        <v>3.4000000000000002E-2</v>
      </c>
      <c r="G1465" s="41">
        <v>41218</v>
      </c>
      <c r="H1465" s="41">
        <v>41309</v>
      </c>
      <c r="I1465" s="39">
        <v>13</v>
      </c>
      <c r="J1465" s="39" t="s">
        <v>369</v>
      </c>
      <c r="K1465" s="39" t="s">
        <v>1716</v>
      </c>
      <c r="L1465" s="39" t="s">
        <v>1014</v>
      </c>
      <c r="M1465" s="38" t="s">
        <v>1035</v>
      </c>
      <c r="N1465" s="38" t="s">
        <v>68</v>
      </c>
    </row>
    <row r="1466" spans="1:14" x14ac:dyDescent="0.2">
      <c r="A1466" s="38" t="s">
        <v>1035</v>
      </c>
      <c r="B1466" s="38">
        <v>201151</v>
      </c>
      <c r="C1466" s="38" t="s">
        <v>1351</v>
      </c>
      <c r="D1466" s="279">
        <v>100000</v>
      </c>
      <c r="F1466" s="40">
        <v>3.7999999999999999E-2</v>
      </c>
      <c r="G1466" s="41">
        <v>41204</v>
      </c>
      <c r="H1466" s="41">
        <v>41582</v>
      </c>
      <c r="I1466" s="39">
        <v>52</v>
      </c>
      <c r="J1466" s="39" t="s">
        <v>369</v>
      </c>
      <c r="K1466" s="39" t="s">
        <v>1716</v>
      </c>
      <c r="L1466" s="39" t="s">
        <v>1014</v>
      </c>
      <c r="M1466" s="38" t="s">
        <v>1035</v>
      </c>
      <c r="N1466" s="38" t="s">
        <v>68</v>
      </c>
    </row>
    <row r="1467" spans="1:14" x14ac:dyDescent="0.2">
      <c r="A1467" s="38" t="s">
        <v>1035</v>
      </c>
      <c r="B1467" s="38">
        <v>201195</v>
      </c>
      <c r="C1467" s="38" t="s">
        <v>1579</v>
      </c>
      <c r="D1467" s="279">
        <v>100000</v>
      </c>
      <c r="F1467" s="40">
        <v>4.1500000000000002E-2</v>
      </c>
      <c r="G1467" s="41">
        <v>41276</v>
      </c>
      <c r="H1467" s="41">
        <v>41311</v>
      </c>
      <c r="I1467" s="39">
        <v>35</v>
      </c>
      <c r="J1467" s="39" t="s">
        <v>1396</v>
      </c>
      <c r="K1467" s="39" t="s">
        <v>1716</v>
      </c>
      <c r="L1467" s="39" t="s">
        <v>1014</v>
      </c>
      <c r="M1467" s="38" t="s">
        <v>1035</v>
      </c>
      <c r="N1467" s="38" t="s">
        <v>68</v>
      </c>
    </row>
    <row r="1468" spans="1:14" x14ac:dyDescent="0.2">
      <c r="A1468" s="38" t="s">
        <v>1035</v>
      </c>
      <c r="B1468" s="38">
        <v>201196</v>
      </c>
      <c r="C1468" s="38" t="s">
        <v>981</v>
      </c>
      <c r="D1468" s="279">
        <v>100000</v>
      </c>
      <c r="F1468" s="40">
        <v>3.9E-2</v>
      </c>
      <c r="G1468" s="41">
        <v>41288</v>
      </c>
      <c r="H1468" s="41">
        <v>41379</v>
      </c>
      <c r="I1468" s="39">
        <v>13</v>
      </c>
      <c r="J1468" s="39" t="s">
        <v>369</v>
      </c>
      <c r="K1468" s="39" t="s">
        <v>1716</v>
      </c>
      <c r="L1468" s="39" t="s">
        <v>1014</v>
      </c>
      <c r="M1468" s="38" t="s">
        <v>1035</v>
      </c>
      <c r="N1468" s="38" t="s">
        <v>68</v>
      </c>
    </row>
    <row r="1469" spans="1:14" x14ac:dyDescent="0.2">
      <c r="A1469" s="38" t="s">
        <v>1035</v>
      </c>
      <c r="B1469" s="38">
        <v>201199</v>
      </c>
      <c r="C1469" s="38" t="s">
        <v>1753</v>
      </c>
      <c r="D1469" s="279">
        <v>100000</v>
      </c>
      <c r="F1469" s="40">
        <v>4.1000000000000002E-2</v>
      </c>
      <c r="G1469" s="41">
        <v>41288</v>
      </c>
      <c r="H1469" s="41">
        <v>42135</v>
      </c>
      <c r="I1469" s="39">
        <v>2</v>
      </c>
      <c r="J1469" s="39" t="s">
        <v>1716</v>
      </c>
      <c r="K1469" s="39" t="s">
        <v>1716</v>
      </c>
      <c r="L1469" s="39" t="s">
        <v>1014</v>
      </c>
      <c r="M1469" s="38" t="s">
        <v>1035</v>
      </c>
      <c r="N1469" s="38" t="s">
        <v>68</v>
      </c>
    </row>
    <row r="1470" spans="1:14" x14ac:dyDescent="0.2">
      <c r="A1470" s="38" t="s">
        <v>1803</v>
      </c>
      <c r="B1470" s="38">
        <v>9188</v>
      </c>
      <c r="C1470" s="38" t="s">
        <v>1336</v>
      </c>
      <c r="D1470" s="279">
        <v>100000</v>
      </c>
      <c r="F1470" s="40">
        <v>6.1800000000000001E-2</v>
      </c>
      <c r="G1470" s="41">
        <v>41295</v>
      </c>
      <c r="H1470" s="41">
        <v>44947</v>
      </c>
      <c r="I1470" s="39">
        <v>10</v>
      </c>
      <c r="J1470" s="39" t="s">
        <v>1716</v>
      </c>
      <c r="K1470" s="39" t="s">
        <v>1716</v>
      </c>
      <c r="L1470" s="39" t="s">
        <v>1014</v>
      </c>
      <c r="M1470" s="38" t="s">
        <v>1803</v>
      </c>
      <c r="N1470" s="38" t="s">
        <v>1042</v>
      </c>
    </row>
    <row r="1471" spans="1:14" x14ac:dyDescent="0.2">
      <c r="A1471" s="38" t="s">
        <v>1674</v>
      </c>
      <c r="B1471" s="38">
        <v>100508</v>
      </c>
      <c r="C1471" s="38" t="s">
        <v>639</v>
      </c>
      <c r="D1471" s="279">
        <v>100000</v>
      </c>
      <c r="F1471" s="40">
        <v>4.2500000000000003E-2</v>
      </c>
      <c r="G1471" s="41">
        <v>40571</v>
      </c>
      <c r="H1471" s="41">
        <v>41667</v>
      </c>
      <c r="I1471" s="39">
        <v>3</v>
      </c>
      <c r="J1471" s="39" t="s">
        <v>1716</v>
      </c>
      <c r="K1471" s="39" t="s">
        <v>1716</v>
      </c>
      <c r="L1471" s="39" t="s">
        <v>1014</v>
      </c>
      <c r="M1471" s="38" t="s">
        <v>1674</v>
      </c>
      <c r="N1471" s="38" t="s">
        <v>640</v>
      </c>
    </row>
    <row r="1472" spans="1:14" x14ac:dyDescent="0.2">
      <c r="A1472" s="38" t="s">
        <v>557</v>
      </c>
      <c r="B1472" s="38">
        <v>151129</v>
      </c>
      <c r="C1472" s="38" t="s">
        <v>219</v>
      </c>
      <c r="D1472" s="279">
        <v>100000</v>
      </c>
      <c r="F1472" s="40">
        <v>4.2000000000000003E-2</v>
      </c>
      <c r="G1472" s="41">
        <v>41302</v>
      </c>
      <c r="H1472" s="41">
        <v>41394</v>
      </c>
      <c r="I1472" s="39">
        <v>13</v>
      </c>
      <c r="J1472" s="39" t="s">
        <v>369</v>
      </c>
      <c r="K1472" s="39" t="s">
        <v>1525</v>
      </c>
      <c r="L1472" s="39" t="s">
        <v>1014</v>
      </c>
      <c r="M1472" s="38" t="s">
        <v>557</v>
      </c>
      <c r="N1472" s="38" t="s">
        <v>1004</v>
      </c>
    </row>
    <row r="1473" spans="1:14" x14ac:dyDescent="0.2">
      <c r="A1473" s="38" t="s">
        <v>557</v>
      </c>
      <c r="B1473" s="38">
        <v>151130</v>
      </c>
      <c r="C1473" s="38" t="s">
        <v>220</v>
      </c>
      <c r="D1473" s="279">
        <v>100000</v>
      </c>
      <c r="F1473" s="40">
        <v>4.4600000000000001E-2</v>
      </c>
      <c r="G1473" s="41">
        <v>41302</v>
      </c>
      <c r="H1473" s="41">
        <v>41487</v>
      </c>
      <c r="I1473" s="39">
        <v>26</v>
      </c>
      <c r="J1473" s="39" t="s">
        <v>369</v>
      </c>
      <c r="K1473" s="39" t="s">
        <v>369</v>
      </c>
      <c r="L1473" s="39" t="s">
        <v>1014</v>
      </c>
      <c r="M1473" s="38" t="s">
        <v>557</v>
      </c>
      <c r="N1473" s="38" t="s">
        <v>1004</v>
      </c>
    </row>
    <row r="1474" spans="1:14" x14ac:dyDescent="0.2">
      <c r="A1474" s="38" t="s">
        <v>557</v>
      </c>
      <c r="B1474" s="38">
        <v>150493</v>
      </c>
      <c r="C1474" s="38" t="s">
        <v>1946</v>
      </c>
      <c r="D1474" s="279">
        <v>100000</v>
      </c>
      <c r="F1474" s="40">
        <v>4.8500000000000001E-2</v>
      </c>
      <c r="G1474" s="41">
        <v>39847</v>
      </c>
      <c r="H1474" s="41">
        <v>41673</v>
      </c>
      <c r="I1474" s="39">
        <v>5</v>
      </c>
      <c r="J1474" s="39" t="s">
        <v>1716</v>
      </c>
      <c r="K1474" s="39" t="s">
        <v>1716</v>
      </c>
      <c r="L1474" s="39" t="s">
        <v>1014</v>
      </c>
      <c r="M1474" s="38" t="s">
        <v>557</v>
      </c>
      <c r="N1474" s="38" t="s">
        <v>1004</v>
      </c>
    </row>
    <row r="1475" spans="1:14" x14ac:dyDescent="0.2">
      <c r="A1475" s="38" t="s">
        <v>557</v>
      </c>
      <c r="B1475" s="38">
        <v>151014</v>
      </c>
      <c r="C1475" s="38" t="s">
        <v>987</v>
      </c>
      <c r="D1475" s="279">
        <v>100000</v>
      </c>
      <c r="F1475" s="40">
        <v>4.3299999999999998E-2</v>
      </c>
      <c r="G1475" s="41">
        <v>41134</v>
      </c>
      <c r="H1475" s="41">
        <v>41864</v>
      </c>
      <c r="I1475" s="39">
        <v>2</v>
      </c>
      <c r="J1475" s="39" t="s">
        <v>1716</v>
      </c>
      <c r="K1475" s="39" t="s">
        <v>1716</v>
      </c>
      <c r="L1475" s="39" t="s">
        <v>1014</v>
      </c>
      <c r="M1475" s="38" t="s">
        <v>557</v>
      </c>
      <c r="N1475" s="38" t="s">
        <v>1481</v>
      </c>
    </row>
    <row r="1476" spans="1:14" x14ac:dyDescent="0.2">
      <c r="A1476" s="38" t="s">
        <v>557</v>
      </c>
      <c r="B1476" s="38">
        <v>151083</v>
      </c>
      <c r="C1476" s="38" t="s">
        <v>988</v>
      </c>
      <c r="D1476" s="279">
        <v>100000</v>
      </c>
      <c r="F1476" s="40">
        <v>4.65E-2</v>
      </c>
      <c r="G1476" s="41">
        <v>41250</v>
      </c>
      <c r="H1476" s="41">
        <v>41980</v>
      </c>
      <c r="I1476" s="39">
        <v>2</v>
      </c>
      <c r="J1476" s="39" t="s">
        <v>1716</v>
      </c>
      <c r="K1476" s="39" t="s">
        <v>1716</v>
      </c>
      <c r="L1476" s="39" t="s">
        <v>1014</v>
      </c>
      <c r="M1476" s="38" t="s">
        <v>557</v>
      </c>
      <c r="N1476" s="38" t="s">
        <v>1042</v>
      </c>
    </row>
    <row r="1477" spans="1:14" x14ac:dyDescent="0.2">
      <c r="A1477" s="38" t="s">
        <v>557</v>
      </c>
      <c r="B1477" s="38">
        <v>151085</v>
      </c>
      <c r="C1477" s="38" t="s">
        <v>989</v>
      </c>
      <c r="D1477" s="279">
        <v>100000</v>
      </c>
      <c r="F1477" s="40">
        <v>4.8000000000000001E-2</v>
      </c>
      <c r="G1477" s="41">
        <v>41254</v>
      </c>
      <c r="H1477" s="41">
        <v>41984</v>
      </c>
      <c r="I1477" s="39">
        <v>2</v>
      </c>
      <c r="J1477" s="39" t="s">
        <v>1716</v>
      </c>
      <c r="K1477" s="39" t="s">
        <v>1716</v>
      </c>
      <c r="L1477" s="39" t="s">
        <v>1014</v>
      </c>
      <c r="M1477" s="38" t="s">
        <v>557</v>
      </c>
      <c r="N1477" s="38" t="s">
        <v>1504</v>
      </c>
    </row>
    <row r="1478" spans="1:14" x14ac:dyDescent="0.2">
      <c r="A1478" s="38" t="s">
        <v>557</v>
      </c>
      <c r="B1478" s="38">
        <v>151046</v>
      </c>
      <c r="C1478" s="38" t="s">
        <v>304</v>
      </c>
      <c r="D1478" s="279">
        <v>100000</v>
      </c>
      <c r="F1478" s="40">
        <v>4.65E-2</v>
      </c>
      <c r="G1478" s="41">
        <v>41206</v>
      </c>
      <c r="H1478" s="41">
        <v>41936</v>
      </c>
      <c r="I1478" s="39">
        <v>2</v>
      </c>
      <c r="J1478" s="39" t="s">
        <v>1716</v>
      </c>
      <c r="K1478" s="39" t="s">
        <v>1716</v>
      </c>
      <c r="L1478" s="39" t="s">
        <v>1014</v>
      </c>
      <c r="M1478" s="38" t="s">
        <v>557</v>
      </c>
      <c r="N1478" s="38" t="s">
        <v>1473</v>
      </c>
    </row>
    <row r="1479" spans="1:14" x14ac:dyDescent="0.2">
      <c r="A1479" s="38" t="s">
        <v>1035</v>
      </c>
      <c r="B1479" s="38">
        <v>201211</v>
      </c>
      <c r="C1479" s="38" t="s">
        <v>305</v>
      </c>
      <c r="D1479" s="279">
        <v>100000</v>
      </c>
      <c r="F1479" s="40">
        <v>3.9199999999999999E-2</v>
      </c>
      <c r="G1479" s="41">
        <v>41316</v>
      </c>
      <c r="H1479" s="41">
        <v>41407</v>
      </c>
      <c r="I1479" s="39">
        <v>13</v>
      </c>
      <c r="J1479" s="39" t="s">
        <v>369</v>
      </c>
      <c r="K1479" s="39" t="s">
        <v>1525</v>
      </c>
      <c r="L1479" s="39" t="s">
        <v>1014</v>
      </c>
      <c r="M1479" s="38" t="s">
        <v>1035</v>
      </c>
      <c r="N1479" s="38" t="s">
        <v>68</v>
      </c>
    </row>
    <row r="1480" spans="1:14" x14ac:dyDescent="0.2">
      <c r="A1480" s="38" t="s">
        <v>1035</v>
      </c>
      <c r="B1480" s="38">
        <v>201210</v>
      </c>
      <c r="C1480" s="38" t="s">
        <v>306</v>
      </c>
      <c r="D1480" s="279">
        <v>100000</v>
      </c>
      <c r="F1480" s="40">
        <v>3.95E-2</v>
      </c>
      <c r="G1480" s="41">
        <v>41316</v>
      </c>
      <c r="H1480" s="41">
        <v>41407</v>
      </c>
      <c r="I1480" s="39">
        <v>13</v>
      </c>
      <c r="J1480" s="39" t="s">
        <v>369</v>
      </c>
      <c r="K1480" s="39" t="s">
        <v>1525</v>
      </c>
      <c r="L1480" s="39" t="s">
        <v>1014</v>
      </c>
      <c r="M1480" s="38" t="s">
        <v>1035</v>
      </c>
      <c r="N1480" s="38" t="s">
        <v>68</v>
      </c>
    </row>
    <row r="1481" spans="1:14" x14ac:dyDescent="0.2">
      <c r="A1481" s="38" t="s">
        <v>1035</v>
      </c>
      <c r="B1481" s="38">
        <v>201198</v>
      </c>
      <c r="C1481" s="38" t="s">
        <v>1448</v>
      </c>
      <c r="D1481" s="279">
        <v>100000</v>
      </c>
      <c r="F1481" s="40">
        <v>4.1000000000000002E-2</v>
      </c>
      <c r="G1481" s="41">
        <v>41288</v>
      </c>
      <c r="H1481" s="41">
        <v>41470</v>
      </c>
      <c r="I1481" s="39">
        <v>26</v>
      </c>
      <c r="J1481" s="39" t="s">
        <v>369</v>
      </c>
      <c r="K1481" s="39" t="s">
        <v>369</v>
      </c>
      <c r="L1481" s="39" t="s">
        <v>1014</v>
      </c>
      <c r="M1481" s="38" t="s">
        <v>1035</v>
      </c>
      <c r="N1481" s="38" t="s">
        <v>68</v>
      </c>
    </row>
    <row r="1482" spans="1:14" x14ac:dyDescent="0.2">
      <c r="A1482" s="38" t="s">
        <v>1035</v>
      </c>
      <c r="B1482" s="38">
        <v>201201</v>
      </c>
      <c r="C1482" s="38" t="s">
        <v>1059</v>
      </c>
      <c r="D1482" s="279">
        <v>100000</v>
      </c>
      <c r="F1482" s="40">
        <v>4.2000000000000003E-2</v>
      </c>
      <c r="G1482" s="41">
        <v>41461</v>
      </c>
      <c r="H1482" s="41">
        <v>42191</v>
      </c>
      <c r="I1482" s="39">
        <v>2</v>
      </c>
      <c r="J1482" s="39" t="s">
        <v>1716</v>
      </c>
      <c r="K1482" s="39" t="s">
        <v>1716</v>
      </c>
      <c r="L1482" s="39" t="s">
        <v>1014</v>
      </c>
      <c r="M1482" s="38" t="s">
        <v>1035</v>
      </c>
      <c r="N1482" s="38" t="s">
        <v>68</v>
      </c>
    </row>
    <row r="1483" spans="1:14" x14ac:dyDescent="0.2">
      <c r="A1483" s="38" t="s">
        <v>1035</v>
      </c>
      <c r="B1483" s="38">
        <v>201202</v>
      </c>
      <c r="C1483" s="38" t="s">
        <v>1060</v>
      </c>
      <c r="D1483" s="279">
        <v>100000</v>
      </c>
      <c r="F1483" s="40">
        <v>3.9E-2</v>
      </c>
      <c r="G1483" s="41">
        <v>41302</v>
      </c>
      <c r="H1483" s="41">
        <v>41393</v>
      </c>
      <c r="I1483" s="39">
        <v>13</v>
      </c>
      <c r="J1483" s="39" t="s">
        <v>369</v>
      </c>
      <c r="K1483" s="39" t="s">
        <v>1525</v>
      </c>
      <c r="L1483" s="39" t="s">
        <v>1014</v>
      </c>
      <c r="M1483" s="38" t="s">
        <v>1035</v>
      </c>
      <c r="N1483" s="38" t="s">
        <v>68</v>
      </c>
    </row>
    <row r="1484" spans="1:14" x14ac:dyDescent="0.2">
      <c r="A1484" s="38" t="s">
        <v>557</v>
      </c>
      <c r="B1484" s="38">
        <v>150761</v>
      </c>
      <c r="C1484" s="38" t="s">
        <v>1983</v>
      </c>
      <c r="D1484" s="279">
        <v>100000</v>
      </c>
      <c r="F1484" s="40">
        <v>4.4499999999999998E-2</v>
      </c>
      <c r="G1484" s="41">
        <v>40660</v>
      </c>
      <c r="H1484" s="41">
        <v>42487</v>
      </c>
      <c r="I1484" s="39">
        <v>5</v>
      </c>
      <c r="J1484" s="39" t="s">
        <v>1716</v>
      </c>
      <c r="K1484" s="39" t="s">
        <v>1716</v>
      </c>
      <c r="L1484" s="39" t="s">
        <v>1014</v>
      </c>
      <c r="M1484" s="38" t="s">
        <v>557</v>
      </c>
      <c r="N1484" s="38" t="s">
        <v>1050</v>
      </c>
    </row>
    <row r="1485" spans="1:14" x14ac:dyDescent="0.2">
      <c r="A1485" s="38" t="s">
        <v>557</v>
      </c>
      <c r="B1485" s="38">
        <v>150831</v>
      </c>
      <c r="C1485" s="38" t="s">
        <v>1984</v>
      </c>
      <c r="D1485" s="279">
        <v>100000</v>
      </c>
      <c r="F1485" s="40">
        <v>4.3499999999999997E-2</v>
      </c>
      <c r="G1485" s="41">
        <v>40816</v>
      </c>
      <c r="H1485" s="41">
        <v>42277</v>
      </c>
      <c r="I1485" s="39">
        <v>4</v>
      </c>
      <c r="J1485" s="39" t="s">
        <v>1716</v>
      </c>
      <c r="K1485" s="39" t="s">
        <v>1716</v>
      </c>
      <c r="L1485" s="39" t="s">
        <v>1014</v>
      </c>
      <c r="M1485" s="38" t="s">
        <v>557</v>
      </c>
      <c r="N1485" s="38" t="s">
        <v>916</v>
      </c>
    </row>
    <row r="1486" spans="1:14" x14ac:dyDescent="0.2">
      <c r="A1486" s="38" t="s">
        <v>557</v>
      </c>
      <c r="B1486" s="38">
        <v>150933</v>
      </c>
      <c r="C1486" s="38" t="s">
        <v>1985</v>
      </c>
      <c r="D1486" s="279">
        <v>100000</v>
      </c>
      <c r="F1486" s="40">
        <v>4.5999999999999999E-2</v>
      </c>
      <c r="G1486" s="41">
        <v>40982</v>
      </c>
      <c r="H1486" s="41">
        <v>42443</v>
      </c>
      <c r="I1486" s="39">
        <v>4</v>
      </c>
      <c r="J1486" s="39" t="s">
        <v>1716</v>
      </c>
      <c r="K1486" s="39" t="s">
        <v>1716</v>
      </c>
      <c r="L1486" s="39" t="s">
        <v>1014</v>
      </c>
      <c r="M1486" s="38" t="s">
        <v>557</v>
      </c>
      <c r="N1486" s="38" t="s">
        <v>1050</v>
      </c>
    </row>
    <row r="1487" spans="1:14" x14ac:dyDescent="0.2">
      <c r="A1487" s="38" t="s">
        <v>1035</v>
      </c>
      <c r="B1487" s="38">
        <v>201214</v>
      </c>
      <c r="C1487" s="38" t="s">
        <v>900</v>
      </c>
      <c r="D1487" s="279">
        <v>100000</v>
      </c>
      <c r="F1487" s="40">
        <v>3.95E-2</v>
      </c>
      <c r="G1487" s="41">
        <v>41323</v>
      </c>
      <c r="H1487" s="41">
        <v>41414</v>
      </c>
      <c r="I1487" s="39">
        <v>13</v>
      </c>
      <c r="J1487" s="39" t="s">
        <v>369</v>
      </c>
      <c r="K1487" s="39" t="s">
        <v>1525</v>
      </c>
      <c r="L1487" s="39" t="s">
        <v>1014</v>
      </c>
      <c r="M1487" s="38" t="s">
        <v>1035</v>
      </c>
      <c r="N1487" s="38" t="s">
        <v>68</v>
      </c>
    </row>
    <row r="1488" spans="1:14" x14ac:dyDescent="0.2">
      <c r="A1488" s="38" t="s">
        <v>1035</v>
      </c>
      <c r="B1488" s="38">
        <v>201215</v>
      </c>
      <c r="C1488" s="38" t="s">
        <v>901</v>
      </c>
      <c r="D1488" s="279">
        <v>100000</v>
      </c>
      <c r="F1488" s="40">
        <v>4.1000000000000002E-2</v>
      </c>
      <c r="G1488" s="41">
        <v>41323</v>
      </c>
      <c r="H1488" s="41">
        <v>41505</v>
      </c>
      <c r="I1488" s="39">
        <v>26</v>
      </c>
      <c r="J1488" s="39" t="s">
        <v>369</v>
      </c>
      <c r="K1488" s="39" t="s">
        <v>369</v>
      </c>
      <c r="L1488" s="39" t="s">
        <v>1014</v>
      </c>
      <c r="M1488" s="38" t="s">
        <v>1035</v>
      </c>
      <c r="N1488" s="38" t="s">
        <v>68</v>
      </c>
    </row>
    <row r="1489" spans="1:14" x14ac:dyDescent="0.2">
      <c r="A1489" s="38" t="s">
        <v>1713</v>
      </c>
      <c r="B1489" s="38">
        <v>140403</v>
      </c>
      <c r="C1489" s="38" t="s">
        <v>841</v>
      </c>
      <c r="D1489" s="279">
        <v>100000</v>
      </c>
      <c r="F1489" s="40">
        <v>4.2000000000000003E-2</v>
      </c>
      <c r="G1489" s="41">
        <v>41330</v>
      </c>
      <c r="H1489" s="41">
        <v>41360</v>
      </c>
      <c r="I1489" s="39">
        <v>30</v>
      </c>
      <c r="J1489" s="39" t="s">
        <v>1396</v>
      </c>
      <c r="K1489" s="39" t="s">
        <v>288</v>
      </c>
      <c r="L1489" s="39" t="s">
        <v>1014</v>
      </c>
      <c r="M1489" s="38" t="s">
        <v>1713</v>
      </c>
      <c r="N1489" s="38" t="s">
        <v>143</v>
      </c>
    </row>
    <row r="1490" spans="1:14" x14ac:dyDescent="0.2">
      <c r="A1490" s="38" t="s">
        <v>1035</v>
      </c>
      <c r="B1490" s="38">
        <v>201216</v>
      </c>
      <c r="C1490" s="38" t="s">
        <v>87</v>
      </c>
      <c r="D1490" s="279">
        <v>100000</v>
      </c>
      <c r="F1490" s="40">
        <v>4.0500000000000001E-2</v>
      </c>
      <c r="G1490" s="41">
        <v>41330</v>
      </c>
      <c r="H1490" s="41">
        <v>41512</v>
      </c>
      <c r="I1490" s="39">
        <v>26</v>
      </c>
      <c r="J1490" s="39" t="s">
        <v>369</v>
      </c>
      <c r="K1490" s="39" t="s">
        <v>369</v>
      </c>
      <c r="L1490" s="39" t="s">
        <v>369</v>
      </c>
      <c r="M1490" s="38" t="s">
        <v>1035</v>
      </c>
      <c r="N1490" s="38" t="s">
        <v>68</v>
      </c>
    </row>
    <row r="1491" spans="1:14" x14ac:dyDescent="0.2">
      <c r="A1491" s="38" t="s">
        <v>557</v>
      </c>
      <c r="B1491" s="38">
        <v>151140</v>
      </c>
      <c r="C1491" s="38" t="s">
        <v>907</v>
      </c>
      <c r="D1491" s="279">
        <v>100000</v>
      </c>
      <c r="F1491" s="40">
        <v>4.2000000000000003E-2</v>
      </c>
      <c r="G1491" s="41">
        <v>41337</v>
      </c>
      <c r="H1491" s="41">
        <v>41428</v>
      </c>
      <c r="I1491" s="39">
        <v>13</v>
      </c>
      <c r="J1491" s="39" t="s">
        <v>369</v>
      </c>
      <c r="K1491" s="39" t="s">
        <v>1525</v>
      </c>
      <c r="L1491" s="39" t="s">
        <v>1014</v>
      </c>
      <c r="M1491" s="38" t="s">
        <v>557</v>
      </c>
      <c r="N1491" s="38" t="s">
        <v>1042</v>
      </c>
    </row>
    <row r="1492" spans="1:14" x14ac:dyDescent="0.2">
      <c r="A1492" s="38" t="s">
        <v>557</v>
      </c>
      <c r="B1492" s="38">
        <v>151142</v>
      </c>
      <c r="C1492" s="38" t="s">
        <v>908</v>
      </c>
      <c r="D1492" s="279">
        <v>100000</v>
      </c>
      <c r="F1492" s="40">
        <v>4.3999999999999997E-2</v>
      </c>
      <c r="G1492" s="41">
        <v>41341</v>
      </c>
      <c r="H1492" s="41">
        <v>41586</v>
      </c>
      <c r="I1492" s="39">
        <v>35</v>
      </c>
      <c r="J1492" s="39" t="s">
        <v>369</v>
      </c>
      <c r="K1492" s="39" t="s">
        <v>1716</v>
      </c>
      <c r="L1492" s="39" t="s">
        <v>1014</v>
      </c>
      <c r="M1492" s="38" t="s">
        <v>557</v>
      </c>
      <c r="N1492" s="38" t="s">
        <v>1042</v>
      </c>
    </row>
    <row r="1493" spans="1:14" x14ac:dyDescent="0.2">
      <c r="A1493" s="38" t="s">
        <v>1035</v>
      </c>
      <c r="B1493" s="38">
        <v>201224</v>
      </c>
      <c r="C1493" s="38" t="s">
        <v>909</v>
      </c>
      <c r="D1493" s="279">
        <v>100000</v>
      </c>
      <c r="F1493" s="40">
        <v>3.9300000000000002E-2</v>
      </c>
      <c r="G1493" s="41">
        <v>41344</v>
      </c>
      <c r="H1493" s="41">
        <v>41435</v>
      </c>
      <c r="I1493" s="39">
        <v>13</v>
      </c>
      <c r="J1493" s="39" t="s">
        <v>369</v>
      </c>
      <c r="K1493" s="39" t="s">
        <v>1525</v>
      </c>
      <c r="L1493" s="39" t="s">
        <v>1014</v>
      </c>
      <c r="M1493" s="38" t="s">
        <v>1035</v>
      </c>
      <c r="N1493" s="38" t="s">
        <v>68</v>
      </c>
    </row>
    <row r="1494" spans="1:14" x14ac:dyDescent="0.2">
      <c r="A1494" s="38" t="s">
        <v>1035</v>
      </c>
      <c r="B1494" s="38">
        <v>201230</v>
      </c>
      <c r="C1494" s="38" t="s">
        <v>149</v>
      </c>
      <c r="D1494" s="279">
        <v>100000</v>
      </c>
      <c r="F1494" s="40">
        <v>3.95E-2</v>
      </c>
      <c r="G1494" s="41">
        <v>41351</v>
      </c>
      <c r="H1494" s="41">
        <v>41442</v>
      </c>
      <c r="I1494" s="39">
        <v>13</v>
      </c>
      <c r="J1494" s="39" t="s">
        <v>369</v>
      </c>
      <c r="K1494" s="39" t="s">
        <v>1525</v>
      </c>
      <c r="L1494" s="39" t="s">
        <v>1014</v>
      </c>
      <c r="M1494" s="38" t="s">
        <v>1035</v>
      </c>
      <c r="N1494" s="38" t="s">
        <v>68</v>
      </c>
    </row>
    <row r="1495" spans="1:14" x14ac:dyDescent="0.2">
      <c r="A1495" s="38" t="s">
        <v>1035</v>
      </c>
      <c r="B1495" s="38">
        <v>201233</v>
      </c>
      <c r="C1495" s="38" t="s">
        <v>150</v>
      </c>
      <c r="D1495" s="279">
        <v>100000</v>
      </c>
      <c r="F1495" s="40">
        <v>4.0899999999999999E-2</v>
      </c>
      <c r="G1495" s="41">
        <v>41351</v>
      </c>
      <c r="H1495" s="41">
        <v>41533</v>
      </c>
      <c r="I1495" s="39">
        <v>26</v>
      </c>
      <c r="J1495" s="39" t="s">
        <v>369</v>
      </c>
      <c r="K1495" s="39" t="s">
        <v>369</v>
      </c>
      <c r="L1495" s="39" t="s">
        <v>1014</v>
      </c>
      <c r="M1495" s="38" t="s">
        <v>1035</v>
      </c>
      <c r="N1495" s="38" t="s">
        <v>68</v>
      </c>
    </row>
    <row r="1496" spans="1:14" x14ac:dyDescent="0.2">
      <c r="A1496" s="38" t="s">
        <v>557</v>
      </c>
      <c r="B1496" s="38">
        <v>150922</v>
      </c>
      <c r="C1496" s="38" t="s">
        <v>875</v>
      </c>
      <c r="D1496" s="279">
        <v>100000</v>
      </c>
      <c r="F1496" s="40">
        <v>4.36E-2</v>
      </c>
      <c r="G1496" s="41">
        <v>40969</v>
      </c>
      <c r="H1496" s="41">
        <v>41699</v>
      </c>
      <c r="I1496" s="39">
        <v>2</v>
      </c>
      <c r="J1496" s="39" t="s">
        <v>1716</v>
      </c>
      <c r="K1496" s="39" t="s">
        <v>1716</v>
      </c>
      <c r="L1496" s="39" t="s">
        <v>1014</v>
      </c>
      <c r="M1496" s="38" t="s">
        <v>557</v>
      </c>
      <c r="N1496" s="38" t="s">
        <v>1473</v>
      </c>
    </row>
    <row r="1497" spans="1:14" x14ac:dyDescent="0.2">
      <c r="A1497" s="38" t="s">
        <v>1035</v>
      </c>
      <c r="B1497" s="38">
        <v>201219</v>
      </c>
      <c r="C1497" s="38" t="s">
        <v>876</v>
      </c>
      <c r="D1497" s="279">
        <v>100000</v>
      </c>
      <c r="F1497" s="40">
        <v>3.95E-2</v>
      </c>
      <c r="G1497" s="41">
        <v>41337</v>
      </c>
      <c r="H1497" s="41">
        <v>41428</v>
      </c>
      <c r="I1497" s="39">
        <v>13</v>
      </c>
      <c r="J1497" s="39" t="s">
        <v>369</v>
      </c>
      <c r="K1497" s="39" t="s">
        <v>1525</v>
      </c>
      <c r="L1497" s="39" t="s">
        <v>1014</v>
      </c>
      <c r="M1497" s="38" t="s">
        <v>1035</v>
      </c>
      <c r="N1497" s="38" t="s">
        <v>68</v>
      </c>
    </row>
    <row r="1498" spans="1:14" x14ac:dyDescent="0.2">
      <c r="A1498" s="38" t="s">
        <v>1035</v>
      </c>
      <c r="B1498" s="38">
        <v>201225</v>
      </c>
      <c r="C1498" s="38" t="s">
        <v>1261</v>
      </c>
      <c r="D1498" s="279">
        <v>100000</v>
      </c>
      <c r="F1498" s="40">
        <v>3.95E-2</v>
      </c>
      <c r="G1498" s="41">
        <v>41344</v>
      </c>
      <c r="H1498" s="41">
        <v>41435</v>
      </c>
      <c r="I1498" s="39">
        <v>13</v>
      </c>
      <c r="J1498" s="39" t="s">
        <v>369</v>
      </c>
      <c r="K1498" s="39" t="s">
        <v>1525</v>
      </c>
      <c r="L1498" s="39" t="s">
        <v>1014</v>
      </c>
      <c r="M1498" s="38" t="s">
        <v>1035</v>
      </c>
      <c r="N1498" s="38" t="s">
        <v>68</v>
      </c>
    </row>
    <row r="1499" spans="1:14" x14ac:dyDescent="0.2">
      <c r="A1499" s="38" t="s">
        <v>1015</v>
      </c>
      <c r="B1499" s="38">
        <v>100512</v>
      </c>
      <c r="C1499" s="38" t="s">
        <v>1821</v>
      </c>
      <c r="D1499" s="279">
        <v>100000</v>
      </c>
      <c r="F1499" s="40">
        <v>4.4400000000000002E-2</v>
      </c>
      <c r="G1499" s="41">
        <v>40630</v>
      </c>
      <c r="H1499" s="41">
        <v>42091</v>
      </c>
      <c r="I1499" s="39">
        <v>4</v>
      </c>
      <c r="J1499" s="39" t="s">
        <v>1716</v>
      </c>
      <c r="K1499" s="39" t="s">
        <v>1716</v>
      </c>
      <c r="L1499" s="39" t="s">
        <v>1014</v>
      </c>
      <c r="M1499" s="38" t="s">
        <v>1015</v>
      </c>
      <c r="N1499" s="38" t="s">
        <v>640</v>
      </c>
    </row>
    <row r="1500" spans="1:14" x14ac:dyDescent="0.2">
      <c r="A1500" s="38" t="s">
        <v>557</v>
      </c>
      <c r="B1500" s="38">
        <v>151150</v>
      </c>
      <c r="C1500" s="38" t="s">
        <v>1849</v>
      </c>
      <c r="D1500" s="279">
        <v>100000</v>
      </c>
      <c r="F1500" s="40">
        <v>4.4400000000000002E-2</v>
      </c>
      <c r="G1500" s="41">
        <v>41359</v>
      </c>
      <c r="H1500" s="41">
        <v>41541</v>
      </c>
      <c r="I1500" s="39">
        <v>26</v>
      </c>
      <c r="J1500" s="39" t="s">
        <v>369</v>
      </c>
      <c r="K1500" s="39" t="s">
        <v>369</v>
      </c>
      <c r="L1500" s="39" t="s">
        <v>1014</v>
      </c>
      <c r="M1500" s="38" t="s">
        <v>557</v>
      </c>
      <c r="N1500" s="38" t="s">
        <v>1042</v>
      </c>
    </row>
    <row r="1501" spans="1:14" x14ac:dyDescent="0.2">
      <c r="A1501" s="38" t="s">
        <v>1035</v>
      </c>
      <c r="B1501" s="38">
        <v>201217</v>
      </c>
      <c r="C1501" s="38" t="s">
        <v>1161</v>
      </c>
      <c r="D1501" s="279">
        <v>100000</v>
      </c>
      <c r="F1501" s="40">
        <v>4.1000000000000002E-2</v>
      </c>
      <c r="G1501" s="41">
        <v>41330</v>
      </c>
      <c r="H1501" s="41">
        <v>41512</v>
      </c>
      <c r="I1501" s="39">
        <v>26</v>
      </c>
      <c r="J1501" s="39" t="s">
        <v>369</v>
      </c>
      <c r="K1501" s="39" t="s">
        <v>369</v>
      </c>
      <c r="L1501" s="39" t="s">
        <v>1014</v>
      </c>
      <c r="M1501" s="38" t="s">
        <v>1035</v>
      </c>
      <c r="N1501" s="38" t="s">
        <v>68</v>
      </c>
    </row>
    <row r="1502" spans="1:14" x14ac:dyDescent="0.2">
      <c r="A1502" s="38" t="s">
        <v>1035</v>
      </c>
      <c r="B1502" s="38">
        <v>201205</v>
      </c>
      <c r="C1502" s="38" t="s">
        <v>1162</v>
      </c>
      <c r="D1502" s="279">
        <v>100000</v>
      </c>
      <c r="F1502" s="40">
        <v>3.9E-2</v>
      </c>
      <c r="G1502" s="41">
        <v>41309</v>
      </c>
      <c r="H1502" s="41">
        <v>41400</v>
      </c>
      <c r="I1502" s="39">
        <v>13</v>
      </c>
      <c r="J1502" s="39" t="s">
        <v>369</v>
      </c>
      <c r="K1502" s="39" t="s">
        <v>1525</v>
      </c>
      <c r="L1502" s="39" t="s">
        <v>1014</v>
      </c>
      <c r="M1502" s="38" t="s">
        <v>1035</v>
      </c>
      <c r="N1502" s="38" t="s">
        <v>68</v>
      </c>
    </row>
    <row r="1503" spans="1:14" x14ac:dyDescent="0.2">
      <c r="A1503" s="38" t="s">
        <v>1035</v>
      </c>
      <c r="B1503" s="38">
        <v>201206</v>
      </c>
      <c r="C1503" s="38" t="s">
        <v>753</v>
      </c>
      <c r="D1503" s="279">
        <v>100000</v>
      </c>
      <c r="F1503" s="40">
        <v>3.95E-2</v>
      </c>
      <c r="G1503" s="41">
        <v>41309</v>
      </c>
      <c r="H1503" s="41">
        <v>41400</v>
      </c>
      <c r="I1503" s="39">
        <v>13</v>
      </c>
      <c r="J1503" s="39" t="s">
        <v>369</v>
      </c>
      <c r="K1503" s="39" t="s">
        <v>1525</v>
      </c>
      <c r="L1503" s="39" t="s">
        <v>1014</v>
      </c>
      <c r="M1503" s="38" t="s">
        <v>1035</v>
      </c>
      <c r="N1503" s="38" t="s">
        <v>68</v>
      </c>
    </row>
    <row r="1504" spans="1:14" x14ac:dyDescent="0.2">
      <c r="A1504" s="38" t="s">
        <v>1035</v>
      </c>
      <c r="B1504" s="38">
        <v>201208</v>
      </c>
      <c r="C1504" s="38" t="s">
        <v>754</v>
      </c>
      <c r="D1504" s="279">
        <v>100000</v>
      </c>
      <c r="F1504" s="40">
        <v>4.1000000000000002E-2</v>
      </c>
      <c r="G1504" s="41">
        <v>41309</v>
      </c>
      <c r="H1504" s="41">
        <v>41491</v>
      </c>
      <c r="I1504" s="39">
        <v>26</v>
      </c>
      <c r="J1504" s="39" t="s">
        <v>369</v>
      </c>
      <c r="K1504" s="39" t="s">
        <v>369</v>
      </c>
      <c r="L1504" s="39" t="s">
        <v>1014</v>
      </c>
      <c r="M1504" s="38" t="s">
        <v>1035</v>
      </c>
      <c r="N1504" s="38" t="s">
        <v>68</v>
      </c>
    </row>
    <row r="1505" spans="1:14" x14ac:dyDescent="0.2">
      <c r="A1505" s="38" t="s">
        <v>1035</v>
      </c>
      <c r="B1505" s="38">
        <v>201209</v>
      </c>
      <c r="C1505" s="38" t="s">
        <v>755</v>
      </c>
      <c r="D1505" s="279">
        <v>100000</v>
      </c>
      <c r="F1505" s="40">
        <v>3.9E-2</v>
      </c>
      <c r="G1505" s="41">
        <v>41316</v>
      </c>
      <c r="H1505" s="41">
        <v>41407</v>
      </c>
      <c r="I1505" s="39">
        <v>13</v>
      </c>
      <c r="J1505" s="39" t="s">
        <v>369</v>
      </c>
      <c r="K1505" s="39" t="s">
        <v>1525</v>
      </c>
      <c r="L1505" s="39" t="s">
        <v>1014</v>
      </c>
      <c r="M1505" s="38" t="s">
        <v>1035</v>
      </c>
      <c r="N1505" s="38" t="s">
        <v>68</v>
      </c>
    </row>
    <row r="1506" spans="1:14" x14ac:dyDescent="0.2">
      <c r="A1506" s="38" t="s">
        <v>1035</v>
      </c>
      <c r="B1506" s="38">
        <v>201212</v>
      </c>
      <c r="C1506" s="38" t="s">
        <v>756</v>
      </c>
      <c r="D1506" s="279">
        <v>100000</v>
      </c>
      <c r="F1506" s="40">
        <v>4.1000000000000002E-2</v>
      </c>
      <c r="G1506" s="41">
        <v>41316</v>
      </c>
      <c r="H1506" s="41">
        <v>41498</v>
      </c>
      <c r="I1506" s="39">
        <v>26</v>
      </c>
      <c r="J1506" s="39" t="s">
        <v>369</v>
      </c>
      <c r="K1506" s="39" t="s">
        <v>369</v>
      </c>
      <c r="L1506" s="39" t="s">
        <v>1014</v>
      </c>
      <c r="M1506" s="38" t="s">
        <v>1035</v>
      </c>
      <c r="N1506" s="38" t="s">
        <v>68</v>
      </c>
    </row>
    <row r="1507" spans="1:14" x14ac:dyDescent="0.2">
      <c r="A1507" s="38" t="s">
        <v>1035</v>
      </c>
      <c r="B1507" s="38">
        <v>201200</v>
      </c>
      <c r="C1507" s="38" t="s">
        <v>1335</v>
      </c>
      <c r="D1507" s="279">
        <v>100000</v>
      </c>
      <c r="F1507" s="40">
        <v>3.9E-2</v>
      </c>
      <c r="G1507" s="41">
        <v>41295</v>
      </c>
      <c r="H1507" s="41">
        <v>41386</v>
      </c>
      <c r="I1507" s="39">
        <v>13</v>
      </c>
      <c r="J1507" s="39" t="s">
        <v>369</v>
      </c>
      <c r="K1507" s="39" t="s">
        <v>1525</v>
      </c>
      <c r="L1507" s="39" t="s">
        <v>1014</v>
      </c>
      <c r="M1507" s="38" t="s">
        <v>1035</v>
      </c>
      <c r="N1507" s="38" t="s">
        <v>68</v>
      </c>
    </row>
    <row r="1508" spans="1:14" x14ac:dyDescent="0.2">
      <c r="A1508" s="38" t="s">
        <v>557</v>
      </c>
      <c r="B1508" s="38">
        <v>150959</v>
      </c>
      <c r="C1508" s="38" t="s">
        <v>1074</v>
      </c>
      <c r="D1508" s="279">
        <v>100000</v>
      </c>
      <c r="F1508" s="40">
        <v>3.95E-2</v>
      </c>
      <c r="G1508" s="41">
        <v>41024</v>
      </c>
      <c r="H1508" s="41">
        <v>41388</v>
      </c>
      <c r="I1508" s="39">
        <v>52</v>
      </c>
      <c r="J1508" s="39" t="s">
        <v>369</v>
      </c>
      <c r="K1508" s="39" t="s">
        <v>1716</v>
      </c>
      <c r="L1508" s="39" t="s">
        <v>1014</v>
      </c>
      <c r="M1508" s="38" t="s">
        <v>557</v>
      </c>
      <c r="N1508" s="38" t="s">
        <v>916</v>
      </c>
    </row>
    <row r="1509" spans="1:14" x14ac:dyDescent="0.2">
      <c r="A1509" s="38" t="s">
        <v>557</v>
      </c>
      <c r="B1509" s="38">
        <v>150969</v>
      </c>
      <c r="C1509" s="38" t="s">
        <v>1075</v>
      </c>
      <c r="D1509" s="279">
        <v>100000</v>
      </c>
      <c r="F1509" s="40">
        <v>3.9E-2</v>
      </c>
      <c r="G1509" s="41">
        <v>41037</v>
      </c>
      <c r="H1509" s="41">
        <v>41401</v>
      </c>
      <c r="I1509" s="39">
        <v>52</v>
      </c>
      <c r="J1509" s="39" t="s">
        <v>369</v>
      </c>
      <c r="K1509" s="39" t="s">
        <v>1716</v>
      </c>
      <c r="L1509" s="39" t="s">
        <v>1014</v>
      </c>
      <c r="M1509" s="38" t="s">
        <v>557</v>
      </c>
      <c r="N1509" s="38" t="s">
        <v>916</v>
      </c>
    </row>
    <row r="1510" spans="1:14" x14ac:dyDescent="0.2">
      <c r="A1510" s="38" t="s">
        <v>1035</v>
      </c>
      <c r="B1510" s="38">
        <v>201237</v>
      </c>
      <c r="C1510" s="38" t="s">
        <v>750</v>
      </c>
      <c r="D1510" s="279">
        <v>100000</v>
      </c>
      <c r="F1510" s="40">
        <v>3.95E-2</v>
      </c>
      <c r="G1510" s="41">
        <v>41372</v>
      </c>
      <c r="H1510" s="41">
        <v>41463</v>
      </c>
      <c r="I1510" s="39">
        <v>13</v>
      </c>
      <c r="J1510" s="39" t="s">
        <v>369</v>
      </c>
      <c r="K1510" s="39" t="s">
        <v>1525</v>
      </c>
      <c r="L1510" s="39" t="s">
        <v>1014</v>
      </c>
      <c r="M1510" s="38" t="s">
        <v>1035</v>
      </c>
      <c r="N1510" s="38" t="s">
        <v>68</v>
      </c>
    </row>
    <row r="1511" spans="1:14" x14ac:dyDescent="0.2">
      <c r="A1511" s="38" t="s">
        <v>557</v>
      </c>
      <c r="B1511" s="38">
        <v>150417</v>
      </c>
      <c r="C1511" s="38" t="s">
        <v>1189</v>
      </c>
      <c r="D1511" s="279">
        <v>100000</v>
      </c>
      <c r="F1511" s="40">
        <v>4.7E-2</v>
      </c>
      <c r="G1511" s="41">
        <v>39559</v>
      </c>
      <c r="H1511" s="41">
        <v>42115</v>
      </c>
      <c r="I1511" s="39">
        <v>7</v>
      </c>
      <c r="J1511" s="39" t="s">
        <v>1716</v>
      </c>
      <c r="K1511" s="39" t="s">
        <v>1716</v>
      </c>
      <c r="L1511" s="39" t="s">
        <v>1014</v>
      </c>
      <c r="M1511" s="38" t="s">
        <v>557</v>
      </c>
      <c r="N1511" s="38" t="s">
        <v>1050</v>
      </c>
    </row>
    <row r="1512" spans="1:14" x14ac:dyDescent="0.2">
      <c r="A1512" s="38" t="s">
        <v>557</v>
      </c>
      <c r="B1512" s="38">
        <v>151163</v>
      </c>
      <c r="C1512" s="38" t="s">
        <v>1190</v>
      </c>
      <c r="D1512" s="279">
        <v>100000</v>
      </c>
      <c r="F1512" s="40">
        <v>4.5499999999999999E-2</v>
      </c>
      <c r="G1512" s="41">
        <v>41379</v>
      </c>
      <c r="H1512" s="41">
        <v>41743</v>
      </c>
      <c r="I1512" s="39">
        <v>52</v>
      </c>
      <c r="J1512" s="39" t="s">
        <v>369</v>
      </c>
      <c r="K1512" s="39" t="s">
        <v>1716</v>
      </c>
      <c r="L1512" s="39" t="s">
        <v>1014</v>
      </c>
      <c r="M1512" s="38" t="s">
        <v>557</v>
      </c>
      <c r="N1512" s="38" t="s">
        <v>597</v>
      </c>
    </row>
    <row r="1513" spans="1:14" x14ac:dyDescent="0.2">
      <c r="A1513" s="38" t="s">
        <v>557</v>
      </c>
      <c r="B1513" s="38">
        <v>151164</v>
      </c>
      <c r="C1513" s="38" t="s">
        <v>943</v>
      </c>
      <c r="D1513" s="279">
        <v>100000</v>
      </c>
      <c r="F1513" s="40">
        <v>4.3999999999999997E-2</v>
      </c>
      <c r="G1513" s="41">
        <v>41379</v>
      </c>
      <c r="H1513" s="41">
        <v>41561</v>
      </c>
      <c r="I1513" s="39">
        <v>26</v>
      </c>
      <c r="J1513" s="39" t="s">
        <v>369</v>
      </c>
      <c r="K1513" s="39" t="s">
        <v>369</v>
      </c>
      <c r="L1513" s="39" t="s">
        <v>1014</v>
      </c>
      <c r="M1513" s="38" t="s">
        <v>557</v>
      </c>
      <c r="N1513" s="38" t="s">
        <v>597</v>
      </c>
    </row>
    <row r="1514" spans="1:14" x14ac:dyDescent="0.2">
      <c r="A1514" s="38" t="s">
        <v>557</v>
      </c>
      <c r="B1514" s="38">
        <v>150756</v>
      </c>
      <c r="C1514" s="38" t="s">
        <v>1268</v>
      </c>
      <c r="D1514" s="279">
        <v>100000</v>
      </c>
      <c r="F1514" s="40">
        <v>4.2999999999999997E-2</v>
      </c>
      <c r="G1514" s="41">
        <v>40655</v>
      </c>
      <c r="H1514" s="41">
        <v>42482</v>
      </c>
      <c r="I1514" s="39">
        <v>5</v>
      </c>
      <c r="J1514" s="39" t="s">
        <v>1716</v>
      </c>
      <c r="K1514" s="39" t="s">
        <v>1716</v>
      </c>
      <c r="L1514" s="39" t="s">
        <v>1014</v>
      </c>
      <c r="M1514" s="38" t="s">
        <v>557</v>
      </c>
      <c r="N1514" s="38" t="s">
        <v>916</v>
      </c>
    </row>
    <row r="1515" spans="1:14" x14ac:dyDescent="0.2">
      <c r="A1515" s="38" t="s">
        <v>1035</v>
      </c>
      <c r="B1515" s="38">
        <v>201235</v>
      </c>
      <c r="C1515" s="38" t="s">
        <v>1901</v>
      </c>
      <c r="D1515" s="279">
        <v>100000</v>
      </c>
      <c r="F1515" s="40">
        <v>4.2500000000000003E-2</v>
      </c>
      <c r="G1515" s="41">
        <v>41351</v>
      </c>
      <c r="H1515" s="41">
        <v>42261</v>
      </c>
      <c r="I1515" s="39">
        <v>2</v>
      </c>
      <c r="J1515" s="39" t="s">
        <v>1716</v>
      </c>
      <c r="K1515" s="39" t="s">
        <v>1716</v>
      </c>
      <c r="L1515" s="39" t="s">
        <v>1014</v>
      </c>
      <c r="M1515" s="38" t="s">
        <v>1035</v>
      </c>
      <c r="N1515" s="38" t="s">
        <v>68</v>
      </c>
    </row>
    <row r="1516" spans="1:14" x14ac:dyDescent="0.2">
      <c r="A1516" s="38" t="s">
        <v>1035</v>
      </c>
      <c r="B1516" s="38">
        <v>201236</v>
      </c>
      <c r="C1516" s="38" t="s">
        <v>671</v>
      </c>
      <c r="D1516" s="279">
        <v>100000</v>
      </c>
      <c r="F1516" s="40">
        <v>5.2499999999999998E-2</v>
      </c>
      <c r="G1516" s="41">
        <v>41351</v>
      </c>
      <c r="H1516" s="41">
        <v>46979</v>
      </c>
      <c r="I1516" s="39">
        <v>15</v>
      </c>
      <c r="J1516" s="39" t="s">
        <v>1716</v>
      </c>
      <c r="K1516" s="39" t="s">
        <v>1716</v>
      </c>
      <c r="L1516" s="39" t="s">
        <v>1014</v>
      </c>
      <c r="M1516" s="38" t="s">
        <v>1035</v>
      </c>
      <c r="N1516" s="38" t="s">
        <v>68</v>
      </c>
    </row>
    <row r="1517" spans="1:14" x14ac:dyDescent="0.2">
      <c r="A1517" s="38" t="s">
        <v>1035</v>
      </c>
      <c r="B1517" s="38">
        <v>201221</v>
      </c>
      <c r="C1517" s="38" t="s">
        <v>672</v>
      </c>
      <c r="D1517" s="279">
        <v>100000</v>
      </c>
      <c r="F1517" s="40">
        <v>4.0500000000000001E-2</v>
      </c>
      <c r="G1517" s="41">
        <v>41337</v>
      </c>
      <c r="H1517" s="41">
        <v>41519</v>
      </c>
      <c r="I1517" s="39">
        <v>26</v>
      </c>
      <c r="J1517" s="39" t="s">
        <v>369</v>
      </c>
      <c r="K1517" s="39" t="s">
        <v>369</v>
      </c>
      <c r="L1517" s="39" t="s">
        <v>1014</v>
      </c>
      <c r="M1517" s="38" t="s">
        <v>1035</v>
      </c>
      <c r="N1517" s="38" t="s">
        <v>68</v>
      </c>
    </row>
    <row r="1518" spans="1:14" x14ac:dyDescent="0.2">
      <c r="A1518" s="38" t="s">
        <v>1035</v>
      </c>
      <c r="B1518" s="38">
        <v>201222</v>
      </c>
      <c r="C1518" s="38" t="s">
        <v>673</v>
      </c>
      <c r="D1518" s="279">
        <v>100000</v>
      </c>
      <c r="F1518" s="40">
        <v>4.07E-2</v>
      </c>
      <c r="G1518" s="41">
        <v>41337</v>
      </c>
      <c r="H1518" s="41">
        <v>41519</v>
      </c>
      <c r="I1518" s="39">
        <v>26</v>
      </c>
      <c r="J1518" s="39" t="s">
        <v>369</v>
      </c>
      <c r="K1518" s="39" t="s">
        <v>369</v>
      </c>
      <c r="L1518" s="39" t="s">
        <v>1014</v>
      </c>
      <c r="M1518" s="38" t="s">
        <v>1035</v>
      </c>
      <c r="N1518" s="38" t="s">
        <v>68</v>
      </c>
    </row>
    <row r="1519" spans="1:14" x14ac:dyDescent="0.2">
      <c r="A1519" s="38" t="s">
        <v>1035</v>
      </c>
      <c r="B1519" s="38">
        <v>201223</v>
      </c>
      <c r="C1519" s="38" t="s">
        <v>674</v>
      </c>
      <c r="D1519" s="279">
        <v>100000</v>
      </c>
      <c r="F1519" s="40">
        <v>0.04</v>
      </c>
      <c r="G1519" s="41">
        <v>41337</v>
      </c>
      <c r="H1519" s="41">
        <v>41519</v>
      </c>
      <c r="I1519" s="39">
        <v>26</v>
      </c>
      <c r="J1519" s="39" t="s">
        <v>369</v>
      </c>
      <c r="K1519" s="39" t="s">
        <v>369</v>
      </c>
      <c r="L1519" s="39" t="s">
        <v>1014</v>
      </c>
      <c r="M1519" s="38" t="s">
        <v>1035</v>
      </c>
      <c r="N1519" s="38" t="s">
        <v>68</v>
      </c>
    </row>
    <row r="1520" spans="1:14" x14ac:dyDescent="0.2">
      <c r="A1520" s="38" t="s">
        <v>1035</v>
      </c>
      <c r="B1520" s="38">
        <v>201227</v>
      </c>
      <c r="C1520" s="38" t="s">
        <v>1188</v>
      </c>
      <c r="D1520" s="279">
        <v>100000</v>
      </c>
      <c r="F1520" s="40">
        <v>4.1000000000000002E-2</v>
      </c>
      <c r="G1520" s="41">
        <v>41344</v>
      </c>
      <c r="H1520" s="41">
        <v>41526</v>
      </c>
      <c r="I1520" s="39">
        <v>26</v>
      </c>
      <c r="J1520" s="39" t="s">
        <v>369</v>
      </c>
      <c r="K1520" s="39" t="s">
        <v>369</v>
      </c>
      <c r="L1520" s="39" t="s">
        <v>1014</v>
      </c>
      <c r="M1520" s="38" t="s">
        <v>1035</v>
      </c>
      <c r="N1520" s="38" t="s">
        <v>68</v>
      </c>
    </row>
    <row r="1521" spans="1:14" x14ac:dyDescent="0.2">
      <c r="A1521" s="38" t="s">
        <v>557</v>
      </c>
      <c r="B1521" s="38">
        <v>151048</v>
      </c>
      <c r="C1521" s="38" t="s">
        <v>562</v>
      </c>
      <c r="D1521" s="279">
        <v>100000</v>
      </c>
      <c r="F1521" s="40">
        <v>3.8800000000000001E-2</v>
      </c>
      <c r="G1521" s="41">
        <v>41211</v>
      </c>
      <c r="H1521" s="41">
        <v>41393</v>
      </c>
      <c r="I1521" s="39">
        <v>26</v>
      </c>
      <c r="J1521" s="39" t="s">
        <v>369</v>
      </c>
      <c r="K1521" s="39" t="s">
        <v>369</v>
      </c>
      <c r="L1521" s="39" t="s">
        <v>1014</v>
      </c>
      <c r="M1521" s="38" t="s">
        <v>557</v>
      </c>
      <c r="N1521" s="38" t="s">
        <v>1042</v>
      </c>
    </row>
    <row r="1522" spans="1:14" x14ac:dyDescent="0.2">
      <c r="A1522" s="38" t="s">
        <v>557</v>
      </c>
      <c r="B1522" s="38">
        <v>151179</v>
      </c>
      <c r="C1522" s="38" t="s">
        <v>1913</v>
      </c>
      <c r="D1522" s="279">
        <v>100000</v>
      </c>
      <c r="F1522" s="40">
        <v>4.65E-2</v>
      </c>
      <c r="G1522" s="41">
        <v>41394</v>
      </c>
      <c r="H1522" s="41">
        <v>41758</v>
      </c>
      <c r="I1522" s="39">
        <v>52</v>
      </c>
      <c r="J1522" s="39" t="s">
        <v>369</v>
      </c>
      <c r="K1522" s="39" t="s">
        <v>1716</v>
      </c>
      <c r="L1522" s="39" t="s">
        <v>1014</v>
      </c>
      <c r="M1522" s="38" t="s">
        <v>557</v>
      </c>
      <c r="N1522" s="38" t="s">
        <v>1042</v>
      </c>
    </row>
    <row r="1523" spans="1:14" x14ac:dyDescent="0.2">
      <c r="A1523" s="38" t="s">
        <v>557</v>
      </c>
      <c r="B1523" s="38">
        <v>150910</v>
      </c>
      <c r="C1523" s="38" t="s">
        <v>853</v>
      </c>
      <c r="D1523" s="279">
        <v>100000</v>
      </c>
      <c r="F1523" s="40">
        <v>4.4499999999999998E-2</v>
      </c>
      <c r="G1523" s="41">
        <v>40946</v>
      </c>
      <c r="H1523" s="41">
        <v>42042</v>
      </c>
      <c r="I1523" s="39">
        <v>3</v>
      </c>
      <c r="J1523" s="39" t="s">
        <v>1716</v>
      </c>
      <c r="K1523" s="39" t="s">
        <v>1716</v>
      </c>
      <c r="L1523" s="39" t="s">
        <v>1014</v>
      </c>
      <c r="M1523" s="38" t="s">
        <v>557</v>
      </c>
      <c r="N1523" s="38" t="s">
        <v>1042</v>
      </c>
    </row>
    <row r="1524" spans="1:14" x14ac:dyDescent="0.2">
      <c r="A1524" s="38" t="s">
        <v>1035</v>
      </c>
      <c r="B1524" s="38">
        <v>201204</v>
      </c>
      <c r="C1524" s="38" t="s">
        <v>736</v>
      </c>
      <c r="D1524" s="279">
        <v>100000</v>
      </c>
      <c r="F1524" s="40">
        <v>3.85E-2</v>
      </c>
      <c r="G1524" s="41">
        <v>41302</v>
      </c>
      <c r="H1524" s="41">
        <v>41715</v>
      </c>
      <c r="I1524" s="39">
        <v>1</v>
      </c>
      <c r="J1524" s="39" t="s">
        <v>1716</v>
      </c>
      <c r="K1524" s="39" t="s">
        <v>1716</v>
      </c>
      <c r="L1524" s="39" t="s">
        <v>1014</v>
      </c>
      <c r="M1524" s="38" t="s">
        <v>1035</v>
      </c>
      <c r="N1524" s="38" t="s">
        <v>68</v>
      </c>
    </row>
    <row r="1525" spans="1:14" x14ac:dyDescent="0.2">
      <c r="A1525" s="38" t="s">
        <v>1035</v>
      </c>
      <c r="B1525" s="38">
        <v>201251</v>
      </c>
      <c r="C1525" s="38" t="s">
        <v>737</v>
      </c>
      <c r="D1525" s="279">
        <v>100000</v>
      </c>
      <c r="F1525" s="40">
        <v>3.9699999999999999E-2</v>
      </c>
      <c r="G1525" s="41">
        <v>41393</v>
      </c>
      <c r="H1525" s="41">
        <v>41484</v>
      </c>
      <c r="I1525" s="39">
        <v>13</v>
      </c>
      <c r="J1525" s="39" t="s">
        <v>369</v>
      </c>
      <c r="K1525" s="39" t="s">
        <v>1525</v>
      </c>
      <c r="L1525" s="39" t="s">
        <v>1014</v>
      </c>
      <c r="M1525" s="38" t="s">
        <v>1035</v>
      </c>
      <c r="N1525" s="38" t="s">
        <v>68</v>
      </c>
    </row>
    <row r="1526" spans="1:14" x14ac:dyDescent="0.2">
      <c r="A1526" s="38" t="s">
        <v>1035</v>
      </c>
      <c r="B1526" s="38">
        <v>201250</v>
      </c>
      <c r="C1526" s="38" t="s">
        <v>1845</v>
      </c>
      <c r="D1526" s="279">
        <v>100000</v>
      </c>
      <c r="F1526" s="40">
        <v>4.1000000000000002E-2</v>
      </c>
      <c r="G1526" s="41">
        <v>41386</v>
      </c>
      <c r="H1526" s="41">
        <v>41568</v>
      </c>
      <c r="I1526" s="39">
        <v>26</v>
      </c>
      <c r="J1526" s="39" t="s">
        <v>369</v>
      </c>
      <c r="K1526" s="39" t="s">
        <v>369</v>
      </c>
      <c r="L1526" s="39" t="s">
        <v>1014</v>
      </c>
      <c r="M1526" s="38" t="s">
        <v>1035</v>
      </c>
      <c r="N1526" s="38" t="s">
        <v>68</v>
      </c>
    </row>
    <row r="1527" spans="1:14" x14ac:dyDescent="0.2">
      <c r="A1527" s="38" t="s">
        <v>1035</v>
      </c>
      <c r="B1527" s="38">
        <v>201247</v>
      </c>
      <c r="C1527" s="38" t="s">
        <v>133</v>
      </c>
      <c r="D1527" s="279">
        <v>100000</v>
      </c>
      <c r="F1527" s="40">
        <v>3.95E-2</v>
      </c>
      <c r="G1527" s="41">
        <v>41386</v>
      </c>
      <c r="H1527" s="298">
        <v>41477</v>
      </c>
      <c r="I1527" s="39">
        <v>13</v>
      </c>
      <c r="J1527" s="39" t="s">
        <v>369</v>
      </c>
      <c r="K1527" s="39" t="s">
        <v>1525</v>
      </c>
      <c r="L1527" s="39" t="s">
        <v>1014</v>
      </c>
      <c r="M1527" s="38" t="s">
        <v>1035</v>
      </c>
      <c r="N1527" s="38" t="s">
        <v>68</v>
      </c>
    </row>
    <row r="1528" spans="1:14" x14ac:dyDescent="0.2">
      <c r="A1528" s="38" t="s">
        <v>1035</v>
      </c>
      <c r="B1528" s="38">
        <v>201238</v>
      </c>
      <c r="C1528" s="38" t="s">
        <v>134</v>
      </c>
      <c r="D1528" s="279">
        <v>100000</v>
      </c>
      <c r="F1528" s="40">
        <v>4.1000000000000002E-2</v>
      </c>
      <c r="G1528" s="41">
        <v>41372</v>
      </c>
      <c r="H1528" s="41">
        <v>41554</v>
      </c>
      <c r="I1528" s="39">
        <v>26</v>
      </c>
      <c r="J1528" s="39" t="s">
        <v>369</v>
      </c>
      <c r="K1528" s="39" t="s">
        <v>369</v>
      </c>
      <c r="L1528" s="39" t="s">
        <v>1014</v>
      </c>
      <c r="M1528" s="38" t="s">
        <v>1035</v>
      </c>
      <c r="N1528" s="38" t="s">
        <v>68</v>
      </c>
    </row>
    <row r="1529" spans="1:14" x14ac:dyDescent="0.2">
      <c r="A1529" s="38" t="s">
        <v>1035</v>
      </c>
      <c r="B1529" s="38">
        <v>201244</v>
      </c>
      <c r="C1529" s="38" t="s">
        <v>135</v>
      </c>
      <c r="D1529" s="279">
        <v>100000</v>
      </c>
      <c r="F1529" s="40">
        <v>4.1000000000000002E-2</v>
      </c>
      <c r="G1529" s="41">
        <v>41379</v>
      </c>
      <c r="H1529" s="41">
        <v>41561</v>
      </c>
      <c r="I1529" s="39">
        <v>26</v>
      </c>
      <c r="J1529" s="39" t="s">
        <v>369</v>
      </c>
      <c r="K1529" s="39" t="s">
        <v>369</v>
      </c>
      <c r="L1529" s="39" t="s">
        <v>1014</v>
      </c>
      <c r="M1529" s="38" t="s">
        <v>1035</v>
      </c>
      <c r="N1529" s="38" t="s">
        <v>68</v>
      </c>
    </row>
    <row r="1530" spans="1:14" x14ac:dyDescent="0.2">
      <c r="A1530" s="38" t="s">
        <v>1035</v>
      </c>
      <c r="B1530" s="38">
        <v>201257</v>
      </c>
      <c r="C1530" s="38" t="s">
        <v>840</v>
      </c>
      <c r="D1530" s="279">
        <v>100000</v>
      </c>
      <c r="F1530" s="40">
        <v>0.04</v>
      </c>
      <c r="G1530" s="41">
        <v>41400</v>
      </c>
      <c r="H1530" s="41">
        <v>41764</v>
      </c>
      <c r="I1530" s="39">
        <v>52</v>
      </c>
      <c r="J1530" s="39" t="s">
        <v>369</v>
      </c>
      <c r="K1530" s="39" t="s">
        <v>1716</v>
      </c>
      <c r="L1530" s="39" t="s">
        <v>1014</v>
      </c>
      <c r="M1530" s="38" t="s">
        <v>1035</v>
      </c>
      <c r="N1530" s="38" t="s">
        <v>68</v>
      </c>
    </row>
    <row r="1531" spans="1:14" x14ac:dyDescent="0.2">
      <c r="A1531" s="38" t="s">
        <v>1803</v>
      </c>
      <c r="B1531" s="38">
        <v>9190</v>
      </c>
      <c r="C1531" s="38" t="s">
        <v>1293</v>
      </c>
      <c r="D1531" s="279">
        <v>100000</v>
      </c>
      <c r="F1531" s="40">
        <v>4.0099999999999997E-2</v>
      </c>
      <c r="G1531" s="41">
        <v>41786</v>
      </c>
      <c r="H1531" s="41">
        <v>42151</v>
      </c>
      <c r="I1531" s="39">
        <v>52</v>
      </c>
      <c r="J1531" s="39" t="s">
        <v>369</v>
      </c>
      <c r="K1531" s="39" t="s">
        <v>1716</v>
      </c>
      <c r="L1531" s="39" t="s">
        <v>1014</v>
      </c>
      <c r="M1531" s="38" t="s">
        <v>1803</v>
      </c>
      <c r="N1531" s="38" t="s">
        <v>1481</v>
      </c>
    </row>
    <row r="1532" spans="1:14" x14ac:dyDescent="0.2">
      <c r="A1532" s="38" t="s">
        <v>1035</v>
      </c>
      <c r="B1532" s="38">
        <v>201266</v>
      </c>
      <c r="C1532" s="38" t="s">
        <v>1619</v>
      </c>
      <c r="D1532" s="279">
        <v>100000</v>
      </c>
      <c r="F1532" s="40">
        <v>3.95E-2</v>
      </c>
      <c r="G1532" s="41">
        <v>41428</v>
      </c>
      <c r="H1532" s="41">
        <v>41519</v>
      </c>
      <c r="I1532" s="39">
        <v>13</v>
      </c>
      <c r="J1532" s="39" t="s">
        <v>369</v>
      </c>
      <c r="K1532" s="39" t="s">
        <v>1525</v>
      </c>
      <c r="L1532" s="39" t="s">
        <v>1014</v>
      </c>
      <c r="M1532" s="38" t="s">
        <v>1035</v>
      </c>
      <c r="N1532" s="38" t="s">
        <v>68</v>
      </c>
    </row>
    <row r="1533" spans="1:14" x14ac:dyDescent="0.2">
      <c r="A1533" s="38" t="s">
        <v>1803</v>
      </c>
      <c r="B1533" s="38">
        <v>9191</v>
      </c>
      <c r="C1533" s="38" t="s">
        <v>1620</v>
      </c>
      <c r="D1533" s="279">
        <v>100000</v>
      </c>
      <c r="F1533" s="40">
        <v>2.75E-2</v>
      </c>
      <c r="G1533" s="41">
        <v>41793</v>
      </c>
      <c r="H1533" s="41">
        <v>45080</v>
      </c>
      <c r="I1533" s="39">
        <v>10</v>
      </c>
      <c r="J1533" s="39" t="s">
        <v>1716</v>
      </c>
      <c r="K1533" s="39" t="s">
        <v>1716</v>
      </c>
      <c r="L1533" s="39" t="s">
        <v>1014</v>
      </c>
      <c r="M1533" s="38" t="s">
        <v>1803</v>
      </c>
      <c r="N1533" s="38" t="s">
        <v>1804</v>
      </c>
    </row>
    <row r="1534" spans="1:14" x14ac:dyDescent="0.2">
      <c r="A1534" s="38" t="s">
        <v>557</v>
      </c>
      <c r="B1534" s="38">
        <v>151211</v>
      </c>
      <c r="C1534" s="38" t="s">
        <v>463</v>
      </c>
      <c r="D1534" s="279">
        <v>100000</v>
      </c>
      <c r="F1534" s="40">
        <v>4.2500000000000003E-2</v>
      </c>
      <c r="G1534" s="41">
        <v>41430</v>
      </c>
      <c r="H1534" s="41">
        <v>41521</v>
      </c>
      <c r="I1534" s="39">
        <v>13</v>
      </c>
      <c r="J1534" s="39" t="s">
        <v>369</v>
      </c>
      <c r="K1534" s="39" t="s">
        <v>1525</v>
      </c>
      <c r="L1534" s="39" t="s">
        <v>1014</v>
      </c>
      <c r="M1534" s="38" t="s">
        <v>557</v>
      </c>
      <c r="N1534" s="38" t="s">
        <v>1042</v>
      </c>
    </row>
    <row r="1535" spans="1:14" x14ac:dyDescent="0.2">
      <c r="A1535" s="38" t="s">
        <v>557</v>
      </c>
      <c r="B1535" s="38">
        <v>151212</v>
      </c>
      <c r="C1535" s="38" t="s">
        <v>464</v>
      </c>
      <c r="D1535" s="279">
        <v>100000</v>
      </c>
      <c r="F1535" s="40">
        <v>4.4600000000000001E-2</v>
      </c>
      <c r="G1535" s="41">
        <v>41430</v>
      </c>
      <c r="H1535" s="41">
        <v>41612</v>
      </c>
      <c r="I1535" s="39">
        <v>26</v>
      </c>
      <c r="J1535" s="39" t="s">
        <v>369</v>
      </c>
      <c r="K1535" s="39" t="s">
        <v>369</v>
      </c>
      <c r="L1535" s="39" t="s">
        <v>1014</v>
      </c>
      <c r="M1535" s="38" t="s">
        <v>557</v>
      </c>
      <c r="N1535" s="38" t="s">
        <v>1042</v>
      </c>
    </row>
    <row r="1536" spans="1:14" x14ac:dyDescent="0.2">
      <c r="A1536" s="38" t="s">
        <v>557</v>
      </c>
      <c r="B1536" s="38">
        <v>151209</v>
      </c>
      <c r="C1536" s="38" t="s">
        <v>465</v>
      </c>
      <c r="D1536" s="279">
        <v>100000</v>
      </c>
      <c r="F1536" s="40">
        <v>4.4200000000000003E-2</v>
      </c>
      <c r="G1536" s="41">
        <v>41430</v>
      </c>
      <c r="H1536" s="41">
        <v>41612</v>
      </c>
      <c r="I1536" s="39">
        <v>26</v>
      </c>
      <c r="J1536" s="39" t="s">
        <v>369</v>
      </c>
      <c r="K1536" s="39" t="s">
        <v>369</v>
      </c>
      <c r="L1536" s="39" t="s">
        <v>1014</v>
      </c>
      <c r="M1536" s="38" t="s">
        <v>557</v>
      </c>
      <c r="N1536" s="38" t="s">
        <v>597</v>
      </c>
    </row>
    <row r="1537" spans="1:14" x14ac:dyDescent="0.2">
      <c r="A1537" s="38" t="s">
        <v>557</v>
      </c>
      <c r="B1537" s="38">
        <v>151210</v>
      </c>
      <c r="C1537" s="38" t="s">
        <v>1642</v>
      </c>
      <c r="D1537" s="279">
        <v>100000</v>
      </c>
      <c r="F1537" s="40">
        <v>4.5699999999999998E-2</v>
      </c>
      <c r="G1537" s="41">
        <v>41430</v>
      </c>
      <c r="H1537" s="41">
        <v>41794</v>
      </c>
      <c r="I1537" s="39">
        <v>52</v>
      </c>
      <c r="J1537" s="39" t="s">
        <v>369</v>
      </c>
      <c r="K1537" s="39" t="s">
        <v>1716</v>
      </c>
      <c r="L1537" s="39" t="s">
        <v>1014</v>
      </c>
      <c r="M1537" s="38" t="s">
        <v>557</v>
      </c>
      <c r="N1537" s="38" t="s">
        <v>597</v>
      </c>
    </row>
    <row r="1538" spans="1:14" x14ac:dyDescent="0.2">
      <c r="A1538" s="38" t="s">
        <v>1035</v>
      </c>
      <c r="B1538" s="38">
        <v>201255</v>
      </c>
      <c r="C1538" s="38" t="s">
        <v>1210</v>
      </c>
      <c r="D1538" s="279">
        <v>100000</v>
      </c>
      <c r="F1538" s="40">
        <v>4.1200000000000001E-2</v>
      </c>
      <c r="G1538" s="41">
        <v>41400</v>
      </c>
      <c r="H1538" s="41">
        <v>41582</v>
      </c>
      <c r="I1538" s="39">
        <v>26</v>
      </c>
      <c r="J1538" s="39" t="s">
        <v>369</v>
      </c>
      <c r="K1538" s="39" t="s">
        <v>369</v>
      </c>
      <c r="L1538" s="39" t="s">
        <v>1014</v>
      </c>
      <c r="M1538" s="38" t="s">
        <v>1035</v>
      </c>
      <c r="N1538" s="38" t="s">
        <v>68</v>
      </c>
    </row>
    <row r="1539" spans="1:14" x14ac:dyDescent="0.2">
      <c r="A1539" s="38" t="s">
        <v>557</v>
      </c>
      <c r="B1539" s="38">
        <v>151213</v>
      </c>
      <c r="C1539" s="38" t="s">
        <v>442</v>
      </c>
      <c r="D1539" s="279">
        <v>100000</v>
      </c>
      <c r="F1539" s="40">
        <v>4.2500000000000003E-2</v>
      </c>
      <c r="G1539" s="41">
        <v>41432</v>
      </c>
      <c r="H1539" s="41">
        <v>41463</v>
      </c>
      <c r="I1539" s="39">
        <v>30</v>
      </c>
      <c r="J1539" s="39" t="s">
        <v>1396</v>
      </c>
      <c r="K1539" s="39" t="s">
        <v>288</v>
      </c>
      <c r="L1539" s="39" t="s">
        <v>1014</v>
      </c>
      <c r="M1539" s="38" t="s">
        <v>557</v>
      </c>
      <c r="N1539" s="38" t="s">
        <v>443</v>
      </c>
    </row>
    <row r="1540" spans="1:14" x14ac:dyDescent="0.2">
      <c r="A1540" s="38" t="s">
        <v>1035</v>
      </c>
      <c r="B1540" s="38">
        <v>201269</v>
      </c>
      <c r="C1540" s="38" t="s">
        <v>1711</v>
      </c>
      <c r="D1540" s="279">
        <v>100000</v>
      </c>
      <c r="F1540" s="40">
        <v>3.9100000000000003E-2</v>
      </c>
      <c r="G1540" s="41">
        <v>41435</v>
      </c>
      <c r="H1540" s="41">
        <v>41526</v>
      </c>
      <c r="I1540" s="39">
        <v>13</v>
      </c>
      <c r="J1540" s="39" t="s">
        <v>369</v>
      </c>
      <c r="K1540" s="39" t="s">
        <v>1525</v>
      </c>
      <c r="L1540" s="39" t="s">
        <v>1014</v>
      </c>
      <c r="M1540" s="38" t="s">
        <v>1035</v>
      </c>
      <c r="N1540" s="38" t="s">
        <v>68</v>
      </c>
    </row>
    <row r="1541" spans="1:14" x14ac:dyDescent="0.2">
      <c r="A1541" s="38" t="s">
        <v>557</v>
      </c>
      <c r="B1541" s="38">
        <v>151217</v>
      </c>
      <c r="C1541" s="38" t="s">
        <v>1175</v>
      </c>
      <c r="D1541" s="279">
        <v>100000</v>
      </c>
      <c r="F1541" s="40">
        <v>4.2500000000000003E-2</v>
      </c>
      <c r="G1541" s="41">
        <v>41436</v>
      </c>
      <c r="H1541" s="41">
        <v>41527</v>
      </c>
      <c r="I1541" s="39">
        <v>13</v>
      </c>
      <c r="J1541" s="39" t="s">
        <v>369</v>
      </c>
      <c r="K1541" s="39" t="s">
        <v>1525</v>
      </c>
      <c r="L1541" s="39" t="s">
        <v>1014</v>
      </c>
      <c r="M1541" s="38" t="s">
        <v>557</v>
      </c>
      <c r="N1541" s="38" t="s">
        <v>1042</v>
      </c>
    </row>
    <row r="1542" spans="1:14" x14ac:dyDescent="0.2">
      <c r="A1542" s="38" t="s">
        <v>1035</v>
      </c>
      <c r="B1542" s="38">
        <v>201256</v>
      </c>
      <c r="C1542" s="38" t="s">
        <v>661</v>
      </c>
      <c r="D1542" s="279">
        <v>100000</v>
      </c>
      <c r="F1542" s="40">
        <v>4.1099999999999998E-2</v>
      </c>
      <c r="G1542" s="41">
        <v>41400</v>
      </c>
      <c r="H1542" s="41">
        <v>41582</v>
      </c>
      <c r="I1542" s="39">
        <v>26</v>
      </c>
      <c r="J1542" s="39" t="s">
        <v>369</v>
      </c>
      <c r="K1542" s="39" t="s">
        <v>369</v>
      </c>
      <c r="L1542" s="39" t="s">
        <v>1014</v>
      </c>
      <c r="M1542" s="38" t="s">
        <v>1035</v>
      </c>
      <c r="N1542" s="38" t="s">
        <v>68</v>
      </c>
    </row>
    <row r="1543" spans="1:14" x14ac:dyDescent="0.2">
      <c r="A1543" s="38" t="s">
        <v>1035</v>
      </c>
      <c r="B1543" s="38">
        <v>201259</v>
      </c>
      <c r="C1543" s="38" t="s">
        <v>662</v>
      </c>
      <c r="D1543" s="279">
        <v>100000</v>
      </c>
      <c r="F1543" s="40">
        <v>4.1500000000000002E-2</v>
      </c>
      <c r="G1543" s="41">
        <v>41407</v>
      </c>
      <c r="H1543" s="41">
        <v>41589</v>
      </c>
      <c r="I1543" s="39">
        <v>26</v>
      </c>
      <c r="J1543" s="39" t="s">
        <v>369</v>
      </c>
      <c r="K1543" s="39" t="s">
        <v>369</v>
      </c>
      <c r="L1543" s="39" t="s">
        <v>1014</v>
      </c>
      <c r="M1543" s="38" t="s">
        <v>1035</v>
      </c>
      <c r="N1543" s="38" t="s">
        <v>68</v>
      </c>
    </row>
    <row r="1544" spans="1:14" x14ac:dyDescent="0.2">
      <c r="A1544" s="38" t="s">
        <v>1035</v>
      </c>
      <c r="B1544" s="38">
        <v>201260</v>
      </c>
      <c r="C1544" s="38" t="s">
        <v>663</v>
      </c>
      <c r="D1544" s="279">
        <v>100000</v>
      </c>
      <c r="F1544" s="40">
        <v>4.1200000000000001E-2</v>
      </c>
      <c r="G1544" s="41">
        <v>41407</v>
      </c>
      <c r="H1544" s="41">
        <v>41589</v>
      </c>
      <c r="I1544" s="39">
        <v>26</v>
      </c>
      <c r="J1544" s="39" t="s">
        <v>369</v>
      </c>
      <c r="K1544" s="39" t="s">
        <v>369</v>
      </c>
      <c r="L1544" s="39" t="s">
        <v>1014</v>
      </c>
      <c r="M1544" s="38" t="s">
        <v>1035</v>
      </c>
      <c r="N1544" s="38" t="s">
        <v>68</v>
      </c>
    </row>
    <row r="1545" spans="1:14" x14ac:dyDescent="0.2">
      <c r="A1545" s="38" t="s">
        <v>1035</v>
      </c>
      <c r="B1545" s="38">
        <v>201263</v>
      </c>
      <c r="C1545" s="38" t="s">
        <v>664</v>
      </c>
      <c r="D1545" s="279">
        <v>100000</v>
      </c>
      <c r="F1545" s="40">
        <v>4.1500000000000002E-2</v>
      </c>
      <c r="G1545" s="41">
        <v>41414</v>
      </c>
      <c r="H1545" s="41">
        <v>41596</v>
      </c>
      <c r="I1545" s="39">
        <v>26</v>
      </c>
      <c r="J1545" s="39" t="s">
        <v>369</v>
      </c>
      <c r="K1545" s="39" t="s">
        <v>369</v>
      </c>
      <c r="L1545" s="39" t="s">
        <v>1014</v>
      </c>
      <c r="M1545" s="38" t="s">
        <v>1035</v>
      </c>
      <c r="N1545" s="38" t="s">
        <v>68</v>
      </c>
    </row>
    <row r="1546" spans="1:14" x14ac:dyDescent="0.2">
      <c r="A1546" s="38" t="s">
        <v>1035</v>
      </c>
      <c r="B1546" s="38">
        <v>201265</v>
      </c>
      <c r="C1546" s="38" t="s">
        <v>1677</v>
      </c>
      <c r="D1546" s="279">
        <v>100000</v>
      </c>
      <c r="F1546" s="40">
        <v>4.1399999999999999E-2</v>
      </c>
      <c r="G1546" s="41">
        <v>41421</v>
      </c>
      <c r="H1546" s="41">
        <v>41603</v>
      </c>
      <c r="I1546" s="39">
        <v>26</v>
      </c>
      <c r="J1546" s="39" t="s">
        <v>369</v>
      </c>
      <c r="K1546" s="39" t="s">
        <v>369</v>
      </c>
      <c r="L1546" s="39" t="s">
        <v>1014</v>
      </c>
      <c r="M1546" s="38" t="s">
        <v>1035</v>
      </c>
      <c r="N1546" s="38" t="s">
        <v>68</v>
      </c>
    </row>
    <row r="1547" spans="1:14" x14ac:dyDescent="0.2">
      <c r="A1547" s="38" t="s">
        <v>1035</v>
      </c>
      <c r="B1547" s="38">
        <v>201264</v>
      </c>
      <c r="C1547" s="38" t="s">
        <v>1176</v>
      </c>
      <c r="D1547" s="279">
        <v>100000</v>
      </c>
      <c r="F1547" s="40">
        <v>4.3999999999999997E-2</v>
      </c>
      <c r="G1547" s="41">
        <v>41414</v>
      </c>
      <c r="H1547" s="41">
        <v>42311</v>
      </c>
      <c r="I1547" s="39">
        <v>2</v>
      </c>
      <c r="J1547" s="39" t="s">
        <v>1716</v>
      </c>
      <c r="K1547" s="39" t="s">
        <v>1716</v>
      </c>
      <c r="L1547" s="39" t="s">
        <v>1014</v>
      </c>
      <c r="M1547" s="38" t="s">
        <v>1035</v>
      </c>
      <c r="N1547" s="38" t="s">
        <v>68</v>
      </c>
    </row>
    <row r="1548" spans="1:14" x14ac:dyDescent="0.2">
      <c r="A1548" s="38" t="s">
        <v>1035</v>
      </c>
      <c r="B1548" s="38">
        <v>201275</v>
      </c>
      <c r="C1548" s="38" t="s">
        <v>173</v>
      </c>
      <c r="D1548" s="279">
        <v>100000</v>
      </c>
      <c r="F1548" s="40">
        <v>4.0800000000000003E-2</v>
      </c>
      <c r="G1548" s="41">
        <v>41442</v>
      </c>
      <c r="H1548" s="41">
        <v>41624</v>
      </c>
      <c r="I1548" s="39">
        <v>26</v>
      </c>
      <c r="J1548" s="39" t="s">
        <v>369</v>
      </c>
      <c r="K1548" s="39" t="s">
        <v>369</v>
      </c>
      <c r="L1548" s="39" t="s">
        <v>1014</v>
      </c>
      <c r="M1548" s="38" t="s">
        <v>1035</v>
      </c>
      <c r="N1548" s="38" t="s">
        <v>68</v>
      </c>
    </row>
    <row r="1549" spans="1:14" x14ac:dyDescent="0.2">
      <c r="A1549" s="38" t="s">
        <v>1035</v>
      </c>
      <c r="B1549" s="38">
        <v>201268</v>
      </c>
      <c r="C1549" s="38" t="s">
        <v>174</v>
      </c>
      <c r="D1549" s="279">
        <v>100000</v>
      </c>
      <c r="F1549" s="40">
        <v>0.04</v>
      </c>
      <c r="G1549" s="41">
        <v>41428</v>
      </c>
      <c r="H1549" s="41">
        <v>41834</v>
      </c>
      <c r="I1549" s="39">
        <v>52</v>
      </c>
      <c r="J1549" s="39" t="s">
        <v>369</v>
      </c>
      <c r="K1549" s="39" t="s">
        <v>1716</v>
      </c>
      <c r="L1549" s="39" t="s">
        <v>1014</v>
      </c>
      <c r="M1549" s="38" t="s">
        <v>1035</v>
      </c>
      <c r="N1549" s="38" t="s">
        <v>68</v>
      </c>
    </row>
    <row r="1550" spans="1:14" x14ac:dyDescent="0.2">
      <c r="A1550" s="38" t="s">
        <v>557</v>
      </c>
      <c r="B1550" s="38">
        <v>151223</v>
      </c>
      <c r="C1550" s="38" t="s">
        <v>2027</v>
      </c>
      <c r="D1550" s="279">
        <v>100000</v>
      </c>
      <c r="F1550" s="40">
        <v>4.1500000000000002E-2</v>
      </c>
      <c r="G1550" s="41">
        <v>41443</v>
      </c>
      <c r="H1550" s="41">
        <v>41534</v>
      </c>
      <c r="I1550" s="39">
        <v>13</v>
      </c>
      <c r="J1550" s="39" t="s">
        <v>369</v>
      </c>
      <c r="K1550" s="39" t="s">
        <v>1716</v>
      </c>
      <c r="L1550" s="39" t="s">
        <v>1014</v>
      </c>
      <c r="M1550" s="38" t="s">
        <v>557</v>
      </c>
      <c r="N1550" s="38" t="s">
        <v>1481</v>
      </c>
    </row>
    <row r="1551" spans="1:14" x14ac:dyDescent="0.2">
      <c r="A1551" s="38" t="s">
        <v>557</v>
      </c>
      <c r="B1551" s="38">
        <v>151224</v>
      </c>
      <c r="C1551" s="38" t="s">
        <v>2028</v>
      </c>
      <c r="D1551" s="279">
        <v>100000</v>
      </c>
      <c r="F1551" s="40">
        <v>4.3999999999999997E-2</v>
      </c>
      <c r="G1551" s="41">
        <v>41443</v>
      </c>
      <c r="H1551" s="41">
        <v>41625</v>
      </c>
      <c r="I1551" s="39">
        <v>26</v>
      </c>
      <c r="J1551" s="39" t="s">
        <v>369</v>
      </c>
      <c r="K1551" s="39" t="s">
        <v>1716</v>
      </c>
      <c r="L1551" s="39" t="s">
        <v>1014</v>
      </c>
      <c r="M1551" s="38" t="s">
        <v>557</v>
      </c>
      <c r="N1551" s="38" t="s">
        <v>1481</v>
      </c>
    </row>
    <row r="1552" spans="1:14" x14ac:dyDescent="0.2">
      <c r="A1552" s="38" t="s">
        <v>557</v>
      </c>
      <c r="B1552" s="38">
        <v>150993</v>
      </c>
      <c r="C1552" s="38" t="s">
        <v>2029</v>
      </c>
      <c r="D1552" s="279">
        <v>100000</v>
      </c>
      <c r="F1552" s="40">
        <v>4.2999999999999997E-2</v>
      </c>
      <c r="G1552" s="41">
        <v>41086</v>
      </c>
      <c r="H1552" s="41">
        <v>41816</v>
      </c>
      <c r="I1552" s="39">
        <v>2</v>
      </c>
      <c r="J1552" s="39" t="s">
        <v>1716</v>
      </c>
      <c r="K1552" s="39" t="s">
        <v>1716</v>
      </c>
      <c r="L1552" s="39" t="s">
        <v>1014</v>
      </c>
      <c r="M1552" s="38" t="s">
        <v>557</v>
      </c>
      <c r="N1552" s="38" t="s">
        <v>1481</v>
      </c>
    </row>
    <row r="1553" spans="1:14" x14ac:dyDescent="0.2">
      <c r="A1553" s="38" t="s">
        <v>1015</v>
      </c>
      <c r="B1553" s="38">
        <v>100526</v>
      </c>
      <c r="C1553" s="38" t="s">
        <v>281</v>
      </c>
      <c r="D1553" s="279">
        <v>100000</v>
      </c>
      <c r="F1553" s="40">
        <v>4.4299999999999999E-2</v>
      </c>
      <c r="G1553" s="41">
        <v>40724</v>
      </c>
      <c r="H1553" s="41">
        <v>42185</v>
      </c>
      <c r="I1553" s="39">
        <v>4</v>
      </c>
      <c r="J1553" s="39" t="s">
        <v>1716</v>
      </c>
      <c r="K1553" s="39" t="s">
        <v>1716</v>
      </c>
      <c r="L1553" s="39" t="s">
        <v>1014</v>
      </c>
      <c r="M1553" s="38" t="s">
        <v>1015</v>
      </c>
      <c r="N1553" s="38" t="s">
        <v>282</v>
      </c>
    </row>
    <row r="1554" spans="1:14" x14ac:dyDescent="0.2">
      <c r="A1554" s="38" t="s">
        <v>1035</v>
      </c>
      <c r="B1554" s="38">
        <v>201273</v>
      </c>
      <c r="C1554" s="38" t="s">
        <v>394</v>
      </c>
      <c r="D1554" s="279">
        <v>100000</v>
      </c>
      <c r="F1554" s="40">
        <v>4.3999999999999997E-2</v>
      </c>
      <c r="G1554" s="41">
        <v>41435</v>
      </c>
      <c r="H1554" s="41">
        <v>42219</v>
      </c>
      <c r="I1554" s="39">
        <v>2</v>
      </c>
      <c r="J1554" s="39" t="s">
        <v>1716</v>
      </c>
      <c r="K1554" s="39" t="s">
        <v>1716</v>
      </c>
      <c r="L1554" s="39" t="s">
        <v>1014</v>
      </c>
      <c r="M1554" s="38" t="s">
        <v>1035</v>
      </c>
      <c r="N1554" s="38" t="s">
        <v>68</v>
      </c>
    </row>
    <row r="1555" spans="1:14" x14ac:dyDescent="0.2">
      <c r="A1555" s="38" t="s">
        <v>1803</v>
      </c>
      <c r="B1555" s="38">
        <v>9173</v>
      </c>
      <c r="C1555" s="38" t="s">
        <v>1166</v>
      </c>
      <c r="D1555" s="279">
        <v>100000</v>
      </c>
      <c r="F1555" s="40">
        <v>4.7800000000000002E-2</v>
      </c>
      <c r="G1555" s="41">
        <v>41826</v>
      </c>
      <c r="H1555" s="41">
        <v>42191</v>
      </c>
      <c r="I1555" s="39">
        <v>1</v>
      </c>
      <c r="J1555" s="39" t="s">
        <v>1716</v>
      </c>
      <c r="K1555" s="39" t="s">
        <v>1716</v>
      </c>
      <c r="L1555" s="39" t="s">
        <v>1014</v>
      </c>
      <c r="M1555" s="38" t="s">
        <v>1803</v>
      </c>
      <c r="N1555" s="38" t="s">
        <v>1780</v>
      </c>
    </row>
    <row r="1556" spans="1:14" x14ac:dyDescent="0.2">
      <c r="A1556" s="38" t="s">
        <v>1803</v>
      </c>
      <c r="B1556" s="38">
        <v>9175</v>
      </c>
      <c r="C1556" s="38" t="s">
        <v>1779</v>
      </c>
      <c r="D1556" s="279">
        <v>100000</v>
      </c>
      <c r="F1556" s="40">
        <v>4.8800000000000003E-2</v>
      </c>
      <c r="G1556" s="41">
        <v>41461</v>
      </c>
      <c r="H1556" s="41">
        <v>41826</v>
      </c>
      <c r="I1556" s="39">
        <v>1</v>
      </c>
      <c r="J1556" s="39" t="s">
        <v>1716</v>
      </c>
      <c r="K1556" s="39" t="s">
        <v>1716</v>
      </c>
      <c r="L1556" s="39" t="s">
        <v>1014</v>
      </c>
      <c r="M1556" s="38" t="s">
        <v>1803</v>
      </c>
      <c r="N1556" s="38" t="s">
        <v>1780</v>
      </c>
    </row>
    <row r="1557" spans="1:14" x14ac:dyDescent="0.2">
      <c r="A1557" s="38" t="s">
        <v>1015</v>
      </c>
      <c r="B1557" s="38">
        <v>100457</v>
      </c>
      <c r="C1557" s="38" t="s">
        <v>1191</v>
      </c>
      <c r="D1557" s="279">
        <v>100000</v>
      </c>
      <c r="F1557" s="40">
        <v>4.5699999999999998E-2</v>
      </c>
      <c r="G1557" s="41">
        <v>40001</v>
      </c>
      <c r="H1557" s="41">
        <v>41827</v>
      </c>
      <c r="I1557" s="39">
        <v>5</v>
      </c>
      <c r="J1557" s="39" t="s">
        <v>1716</v>
      </c>
      <c r="K1557" s="39" t="s">
        <v>1716</v>
      </c>
      <c r="L1557" s="39" t="s">
        <v>1014</v>
      </c>
      <c r="M1557" s="38" t="s">
        <v>1015</v>
      </c>
      <c r="N1557" s="38" t="s">
        <v>640</v>
      </c>
    </row>
    <row r="1558" spans="1:14" x14ac:dyDescent="0.2">
      <c r="A1558" s="38" t="s">
        <v>1035</v>
      </c>
      <c r="B1558" s="38">
        <v>201267</v>
      </c>
      <c r="C1558" s="38" t="s">
        <v>32</v>
      </c>
      <c r="D1558" s="279">
        <v>100000</v>
      </c>
      <c r="F1558" s="40">
        <v>4.1200000000000001E-2</v>
      </c>
      <c r="G1558" s="41">
        <v>41428</v>
      </c>
      <c r="H1558" s="41">
        <v>41610</v>
      </c>
      <c r="I1558" s="39">
        <v>26</v>
      </c>
      <c r="J1558" s="39" t="s">
        <v>369</v>
      </c>
      <c r="K1558" s="39" t="s">
        <v>369</v>
      </c>
      <c r="L1558" s="39" t="s">
        <v>1014</v>
      </c>
      <c r="M1558" s="38" t="s">
        <v>1035</v>
      </c>
      <c r="N1558" s="38" t="s">
        <v>68</v>
      </c>
    </row>
    <row r="1559" spans="1:14" x14ac:dyDescent="0.2">
      <c r="A1559" s="38" t="s">
        <v>1035</v>
      </c>
      <c r="B1559" s="38">
        <v>201271</v>
      </c>
      <c r="C1559" s="38" t="s">
        <v>169</v>
      </c>
      <c r="D1559" s="279">
        <v>100000</v>
      </c>
      <c r="F1559" s="40">
        <v>4.1000000000000002E-2</v>
      </c>
      <c r="G1559" s="41">
        <v>41435</v>
      </c>
      <c r="H1559" s="41">
        <v>41617</v>
      </c>
      <c r="I1559" s="39">
        <v>26</v>
      </c>
      <c r="J1559" s="39" t="s">
        <v>369</v>
      </c>
      <c r="K1559" s="39" t="s">
        <v>369</v>
      </c>
      <c r="L1559" s="39" t="s">
        <v>1014</v>
      </c>
      <c r="M1559" s="38" t="s">
        <v>1035</v>
      </c>
      <c r="N1559" s="38" t="s">
        <v>68</v>
      </c>
    </row>
    <row r="1560" spans="1:14" x14ac:dyDescent="0.2">
      <c r="A1560" s="38" t="s">
        <v>1803</v>
      </c>
      <c r="B1560" s="38">
        <v>9109</v>
      </c>
      <c r="C1560" s="38" t="s">
        <v>382</v>
      </c>
      <c r="D1560" s="279">
        <v>100000</v>
      </c>
      <c r="F1560" s="40">
        <v>5.6500000000000002E-2</v>
      </c>
      <c r="G1560" s="41">
        <v>40374</v>
      </c>
      <c r="H1560" s="41">
        <v>44027</v>
      </c>
      <c r="I1560" s="39">
        <v>10</v>
      </c>
      <c r="J1560" s="39" t="s">
        <v>1716</v>
      </c>
      <c r="K1560" s="39" t="s">
        <v>1716</v>
      </c>
      <c r="L1560" s="39" t="s">
        <v>1014</v>
      </c>
      <c r="M1560" s="38" t="s">
        <v>1803</v>
      </c>
      <c r="N1560" s="38" t="s">
        <v>231</v>
      </c>
    </row>
    <row r="1561" spans="1:14" x14ac:dyDescent="0.2">
      <c r="A1561" s="38" t="s">
        <v>1035</v>
      </c>
      <c r="B1561" s="38">
        <v>201280</v>
      </c>
      <c r="C1561" s="38" t="s">
        <v>267</v>
      </c>
      <c r="D1561" s="279">
        <v>100000</v>
      </c>
      <c r="F1561" s="40">
        <v>4.3999999999999997E-2</v>
      </c>
      <c r="G1561" s="41">
        <v>41566</v>
      </c>
      <c r="H1561" s="41">
        <v>42296</v>
      </c>
      <c r="I1561" s="39">
        <v>2</v>
      </c>
      <c r="J1561" s="39" t="s">
        <v>1716</v>
      </c>
      <c r="K1561" s="39" t="s">
        <v>1716</v>
      </c>
      <c r="L1561" s="39" t="s">
        <v>1014</v>
      </c>
      <c r="M1561" s="38" t="s">
        <v>1035</v>
      </c>
      <c r="N1561" s="38" t="s">
        <v>68</v>
      </c>
    </row>
    <row r="1562" spans="1:14" x14ac:dyDescent="0.2">
      <c r="A1562" s="38" t="s">
        <v>557</v>
      </c>
      <c r="B1562" s="38">
        <v>151244</v>
      </c>
      <c r="C1562" s="38" t="s">
        <v>785</v>
      </c>
      <c r="D1562" s="279">
        <v>100000</v>
      </c>
      <c r="F1562" s="40">
        <v>4.1799999999999997E-2</v>
      </c>
      <c r="G1562" s="41">
        <v>41478</v>
      </c>
      <c r="H1562" s="41">
        <v>41660</v>
      </c>
      <c r="I1562" s="39">
        <v>26</v>
      </c>
      <c r="J1562" s="39" t="s">
        <v>369</v>
      </c>
      <c r="K1562" s="39" t="s">
        <v>369</v>
      </c>
      <c r="L1562" s="39" t="s">
        <v>1014</v>
      </c>
      <c r="M1562" s="38" t="s">
        <v>557</v>
      </c>
      <c r="N1562" s="38" t="s">
        <v>1042</v>
      </c>
    </row>
    <row r="1563" spans="1:14" x14ac:dyDescent="0.2">
      <c r="A1563" s="38" t="s">
        <v>557</v>
      </c>
      <c r="B1563" s="38">
        <v>151245</v>
      </c>
      <c r="C1563" s="38" t="s">
        <v>952</v>
      </c>
      <c r="D1563" s="279">
        <v>100000</v>
      </c>
      <c r="F1563" s="40">
        <v>4.4499999999999998E-2</v>
      </c>
      <c r="G1563" s="41">
        <v>41484</v>
      </c>
      <c r="H1563" s="41">
        <v>41848</v>
      </c>
      <c r="I1563" s="39">
        <v>52</v>
      </c>
      <c r="J1563" s="39" t="s">
        <v>369</v>
      </c>
      <c r="K1563" s="39" t="s">
        <v>1716</v>
      </c>
      <c r="L1563" s="39" t="s">
        <v>1014</v>
      </c>
      <c r="M1563" s="38" t="s">
        <v>557</v>
      </c>
      <c r="N1563" s="38" t="s">
        <v>918</v>
      </c>
    </row>
    <row r="1564" spans="1:14" x14ac:dyDescent="0.2">
      <c r="A1564" s="38" t="s">
        <v>1035</v>
      </c>
      <c r="B1564" s="38">
        <v>201218</v>
      </c>
      <c r="C1564" s="38" t="s">
        <v>390</v>
      </c>
      <c r="D1564" s="279">
        <v>100000</v>
      </c>
      <c r="F1564" s="40">
        <v>4.0800000000000003E-2</v>
      </c>
      <c r="G1564" s="41">
        <v>41330</v>
      </c>
      <c r="H1564" s="41">
        <v>41512</v>
      </c>
      <c r="I1564" s="39">
        <v>26</v>
      </c>
      <c r="J1564" s="39" t="s">
        <v>369</v>
      </c>
      <c r="K1564" s="39" t="s">
        <v>369</v>
      </c>
      <c r="L1564" s="39" t="s">
        <v>1014</v>
      </c>
      <c r="M1564" s="38" t="s">
        <v>1035</v>
      </c>
      <c r="N1564" s="38" t="s">
        <v>68</v>
      </c>
    </row>
    <row r="1565" spans="1:14" x14ac:dyDescent="0.2">
      <c r="A1565" s="38" t="s">
        <v>1035</v>
      </c>
      <c r="B1565" s="38">
        <v>201283</v>
      </c>
      <c r="C1565" s="38" t="s">
        <v>1406</v>
      </c>
      <c r="D1565" s="279">
        <v>100000</v>
      </c>
      <c r="F1565" s="40">
        <v>3.9E-2</v>
      </c>
      <c r="G1565" s="41">
        <v>41470</v>
      </c>
      <c r="H1565" s="41">
        <v>41652</v>
      </c>
      <c r="I1565" s="39">
        <v>26</v>
      </c>
      <c r="J1565" s="39" t="s">
        <v>369</v>
      </c>
      <c r="K1565" s="39" t="s">
        <v>369</v>
      </c>
      <c r="L1565" s="39" t="s">
        <v>1014</v>
      </c>
      <c r="M1565" s="38" t="s">
        <v>1035</v>
      </c>
      <c r="N1565" s="38" t="s">
        <v>68</v>
      </c>
    </row>
    <row r="1566" spans="1:14" x14ac:dyDescent="0.2">
      <c r="A1566" s="38" t="s">
        <v>1035</v>
      </c>
      <c r="B1566" s="38">
        <v>201284</v>
      </c>
      <c r="C1566" s="38" t="s">
        <v>1407</v>
      </c>
      <c r="D1566" s="279">
        <v>100000</v>
      </c>
      <c r="F1566" s="40">
        <v>3.9E-2</v>
      </c>
      <c r="G1566" s="41">
        <v>41477</v>
      </c>
      <c r="H1566" s="41">
        <v>41659</v>
      </c>
      <c r="I1566" s="39">
        <v>26</v>
      </c>
      <c r="J1566" s="39" t="s">
        <v>369</v>
      </c>
      <c r="K1566" s="39" t="s">
        <v>369</v>
      </c>
      <c r="L1566" s="39" t="s">
        <v>1014</v>
      </c>
      <c r="M1566" s="38" t="s">
        <v>1035</v>
      </c>
      <c r="N1566" s="38" t="s">
        <v>68</v>
      </c>
    </row>
    <row r="1567" spans="1:14" x14ac:dyDescent="0.2">
      <c r="A1567" s="38" t="s">
        <v>1035</v>
      </c>
      <c r="B1567" s="38">
        <v>201289</v>
      </c>
      <c r="C1567" s="38" t="s">
        <v>882</v>
      </c>
      <c r="D1567" s="279">
        <v>100000</v>
      </c>
      <c r="F1567" s="40">
        <v>0.04</v>
      </c>
      <c r="G1567" s="41">
        <v>41477</v>
      </c>
      <c r="H1567" s="41">
        <v>41890</v>
      </c>
      <c r="I1567" s="39">
        <v>1</v>
      </c>
      <c r="J1567" s="39" t="s">
        <v>1716</v>
      </c>
      <c r="K1567" s="39" t="s">
        <v>1716</v>
      </c>
      <c r="L1567" s="39" t="s">
        <v>1014</v>
      </c>
      <c r="M1567" s="38" t="s">
        <v>1035</v>
      </c>
      <c r="N1567" s="38" t="s">
        <v>68</v>
      </c>
    </row>
    <row r="1568" spans="1:14" x14ac:dyDescent="0.2">
      <c r="A1568" s="38" t="s">
        <v>557</v>
      </c>
      <c r="B1568" s="38">
        <v>151255</v>
      </c>
      <c r="C1568" s="38" t="s">
        <v>1442</v>
      </c>
      <c r="D1568" s="279">
        <v>100000</v>
      </c>
      <c r="F1568" s="40">
        <v>5.6399999999999999E-2</v>
      </c>
      <c r="G1568" s="41">
        <v>41498</v>
      </c>
      <c r="H1568" s="41">
        <v>43324</v>
      </c>
      <c r="I1568" s="39">
        <v>5</v>
      </c>
      <c r="J1568" s="39" t="s">
        <v>1716</v>
      </c>
      <c r="K1568" s="39" t="s">
        <v>1716</v>
      </c>
      <c r="L1568" s="39" t="s">
        <v>1014</v>
      </c>
      <c r="M1568" s="38" t="s">
        <v>557</v>
      </c>
      <c r="N1568" s="38" t="s">
        <v>1504</v>
      </c>
    </row>
    <row r="1569" spans="1:14" x14ac:dyDescent="0.2">
      <c r="A1569" s="38" t="s">
        <v>1035</v>
      </c>
      <c r="B1569" s="38">
        <v>201297</v>
      </c>
      <c r="C1569" s="38" t="s">
        <v>1171</v>
      </c>
      <c r="D1569" s="279">
        <v>100000</v>
      </c>
      <c r="F1569" s="40">
        <v>3.7999999999999999E-2</v>
      </c>
      <c r="G1569" s="41">
        <v>41505</v>
      </c>
      <c r="H1569" s="41">
        <v>41687</v>
      </c>
      <c r="I1569" s="39">
        <v>26</v>
      </c>
      <c r="J1569" s="39" t="s">
        <v>369</v>
      </c>
      <c r="K1569" s="39" t="s">
        <v>369</v>
      </c>
      <c r="L1569" s="39" t="s">
        <v>1014</v>
      </c>
      <c r="M1569" s="38" t="s">
        <v>1035</v>
      </c>
      <c r="N1569" s="38" t="s">
        <v>68</v>
      </c>
    </row>
    <row r="1570" spans="1:14" x14ac:dyDescent="0.2">
      <c r="A1570" s="38" t="s">
        <v>1035</v>
      </c>
      <c r="B1570" s="38">
        <v>201287</v>
      </c>
      <c r="C1570" s="38" t="s">
        <v>1864</v>
      </c>
      <c r="D1570" s="279">
        <v>100000</v>
      </c>
      <c r="F1570" s="40">
        <v>3.85E-2</v>
      </c>
      <c r="G1570" s="41">
        <v>41477</v>
      </c>
      <c r="H1570" s="41">
        <v>41659</v>
      </c>
      <c r="I1570" s="39">
        <v>26</v>
      </c>
      <c r="J1570" s="39" t="s">
        <v>369</v>
      </c>
      <c r="K1570" s="39" t="s">
        <v>369</v>
      </c>
      <c r="L1570" s="39" t="s">
        <v>1014</v>
      </c>
      <c r="M1570" s="38" t="s">
        <v>1035</v>
      </c>
      <c r="N1570" s="38" t="s">
        <v>68</v>
      </c>
    </row>
    <row r="1571" spans="1:14" x14ac:dyDescent="0.2">
      <c r="A1571" s="38" t="s">
        <v>1035</v>
      </c>
      <c r="B1571" s="38">
        <v>201294</v>
      </c>
      <c r="C1571" s="38" t="s">
        <v>1865</v>
      </c>
      <c r="D1571" s="279">
        <v>100000</v>
      </c>
      <c r="F1571" s="40">
        <v>3.8300000000000001E-2</v>
      </c>
      <c r="G1571" s="41">
        <v>41498</v>
      </c>
      <c r="H1571" s="41">
        <v>41680</v>
      </c>
      <c r="I1571" s="39">
        <v>26</v>
      </c>
      <c r="J1571" s="39" t="s">
        <v>369</v>
      </c>
      <c r="K1571" s="39" t="s">
        <v>369</v>
      </c>
      <c r="L1571" s="39" t="s">
        <v>1014</v>
      </c>
      <c r="M1571" s="38" t="s">
        <v>1035</v>
      </c>
      <c r="N1571" s="38" t="s">
        <v>68</v>
      </c>
    </row>
    <row r="1572" spans="1:14" x14ac:dyDescent="0.2">
      <c r="A1572" s="38" t="s">
        <v>1015</v>
      </c>
      <c r="B1572" s="38">
        <v>100462</v>
      </c>
      <c r="C1572" s="38" t="s">
        <v>348</v>
      </c>
      <c r="D1572" s="279">
        <v>100000</v>
      </c>
      <c r="F1572" s="40">
        <v>5.2699999999999997E-2</v>
      </c>
      <c r="G1572" s="41">
        <v>40060</v>
      </c>
      <c r="H1572" s="41">
        <v>41886</v>
      </c>
      <c r="I1572" s="39">
        <v>5</v>
      </c>
      <c r="J1572" s="39" t="s">
        <v>1716</v>
      </c>
      <c r="K1572" s="39" t="s">
        <v>1716</v>
      </c>
      <c r="L1572" s="39" t="s">
        <v>1014</v>
      </c>
      <c r="M1572" s="38" t="s">
        <v>1015</v>
      </c>
      <c r="N1572" s="38" t="s">
        <v>349</v>
      </c>
    </row>
    <row r="1573" spans="1:14" x14ac:dyDescent="0.2">
      <c r="A1573" s="38" t="s">
        <v>1035</v>
      </c>
      <c r="B1573" s="38">
        <v>201292</v>
      </c>
      <c r="C1573" s="38" t="s">
        <v>651</v>
      </c>
      <c r="D1573" s="279">
        <v>100000</v>
      </c>
      <c r="F1573" s="40">
        <v>5.2499999999999998E-2</v>
      </c>
      <c r="G1573" s="41">
        <v>41491</v>
      </c>
      <c r="H1573" s="41">
        <v>45143</v>
      </c>
      <c r="I1573" s="39">
        <v>10</v>
      </c>
      <c r="J1573" s="39" t="s">
        <v>1716</v>
      </c>
      <c r="K1573" s="39" t="s">
        <v>1716</v>
      </c>
      <c r="L1573" s="39" t="s">
        <v>1014</v>
      </c>
      <c r="M1573" s="38" t="s">
        <v>1035</v>
      </c>
      <c r="N1573" s="38" t="s">
        <v>68</v>
      </c>
    </row>
    <row r="1574" spans="1:14" x14ac:dyDescent="0.2">
      <c r="A1574" s="38" t="s">
        <v>1035</v>
      </c>
      <c r="B1574" s="38">
        <v>201293</v>
      </c>
      <c r="C1574" s="38" t="s">
        <v>652</v>
      </c>
      <c r="D1574" s="279">
        <v>100000</v>
      </c>
      <c r="F1574" s="40">
        <v>3.7999999999999999E-2</v>
      </c>
      <c r="G1574" s="41">
        <v>41498</v>
      </c>
      <c r="H1574" s="41">
        <v>41680</v>
      </c>
      <c r="I1574" s="39">
        <v>26</v>
      </c>
      <c r="J1574" s="39" t="s">
        <v>369</v>
      </c>
      <c r="K1574" s="39" t="s">
        <v>369</v>
      </c>
      <c r="L1574" s="39" t="s">
        <v>1014</v>
      </c>
      <c r="M1574" s="38" t="s">
        <v>1035</v>
      </c>
      <c r="N1574" s="38" t="s">
        <v>68</v>
      </c>
    </row>
    <row r="1575" spans="1:14" x14ac:dyDescent="0.2">
      <c r="A1575" s="38" t="s">
        <v>1035</v>
      </c>
      <c r="B1575" s="38">
        <v>201295</v>
      </c>
      <c r="C1575" s="38" t="s">
        <v>653</v>
      </c>
      <c r="D1575" s="279">
        <v>100000</v>
      </c>
      <c r="F1575" s="40">
        <v>3.8199999999999998E-2</v>
      </c>
      <c r="G1575" s="41">
        <v>41498</v>
      </c>
      <c r="H1575" s="41">
        <v>41680</v>
      </c>
      <c r="I1575" s="39">
        <v>26</v>
      </c>
      <c r="J1575" s="39" t="s">
        <v>369</v>
      </c>
      <c r="K1575" s="39" t="s">
        <v>369</v>
      </c>
      <c r="L1575" s="39" t="s">
        <v>1014</v>
      </c>
      <c r="M1575" s="38" t="s">
        <v>1035</v>
      </c>
      <c r="N1575" s="38" t="s">
        <v>68</v>
      </c>
    </row>
    <row r="1576" spans="1:14" x14ac:dyDescent="0.2">
      <c r="A1576" s="38" t="s">
        <v>1035</v>
      </c>
      <c r="B1576" s="38">
        <v>201299</v>
      </c>
      <c r="C1576" s="38" t="s">
        <v>654</v>
      </c>
      <c r="D1576" s="279">
        <v>100000</v>
      </c>
      <c r="F1576" s="40">
        <v>3.8199999999999998E-2</v>
      </c>
      <c r="G1576" s="41">
        <v>41512</v>
      </c>
      <c r="H1576" s="41">
        <v>41694</v>
      </c>
      <c r="I1576" s="39">
        <v>26</v>
      </c>
      <c r="J1576" s="39" t="s">
        <v>369</v>
      </c>
      <c r="K1576" s="39" t="s">
        <v>369</v>
      </c>
      <c r="L1576" s="39" t="s">
        <v>1014</v>
      </c>
      <c r="M1576" s="38" t="s">
        <v>1035</v>
      </c>
      <c r="N1576" s="38" t="s">
        <v>68</v>
      </c>
    </row>
    <row r="1577" spans="1:14" x14ac:dyDescent="0.2">
      <c r="A1577" s="38" t="s">
        <v>1035</v>
      </c>
      <c r="B1577" s="38">
        <v>201291</v>
      </c>
      <c r="C1577" s="38" t="s">
        <v>655</v>
      </c>
      <c r="D1577" s="279">
        <v>100000</v>
      </c>
      <c r="F1577" s="40">
        <v>0.04</v>
      </c>
      <c r="G1577" s="41">
        <v>41491</v>
      </c>
      <c r="H1577" s="41">
        <v>41925</v>
      </c>
      <c r="I1577" s="39">
        <v>1</v>
      </c>
      <c r="J1577" s="39" t="s">
        <v>1716</v>
      </c>
      <c r="K1577" s="39" t="s">
        <v>1716</v>
      </c>
      <c r="L1577" s="39" t="s">
        <v>1014</v>
      </c>
      <c r="M1577" s="38" t="s">
        <v>1035</v>
      </c>
      <c r="N1577" s="38" t="s">
        <v>68</v>
      </c>
    </row>
    <row r="1578" spans="1:14" x14ac:dyDescent="0.2">
      <c r="A1578" s="38" t="s">
        <v>1035</v>
      </c>
      <c r="B1578" s="38">
        <v>201296</v>
      </c>
      <c r="C1578" s="38" t="s">
        <v>656</v>
      </c>
      <c r="D1578" s="279">
        <v>100000</v>
      </c>
      <c r="F1578" s="40">
        <v>4.4499999999999998E-2</v>
      </c>
      <c r="G1578" s="41">
        <v>41498</v>
      </c>
      <c r="H1578" s="41">
        <v>42352</v>
      </c>
      <c r="I1578" s="39">
        <v>2</v>
      </c>
      <c r="J1578" s="39" t="s">
        <v>1716</v>
      </c>
      <c r="K1578" s="39" t="s">
        <v>1716</v>
      </c>
      <c r="L1578" s="39" t="s">
        <v>1014</v>
      </c>
      <c r="M1578" s="38" t="s">
        <v>1035</v>
      </c>
      <c r="N1578" s="38" t="s">
        <v>68</v>
      </c>
    </row>
    <row r="1579" spans="1:14" x14ac:dyDescent="0.2">
      <c r="A1579" s="38" t="s">
        <v>1035</v>
      </c>
      <c r="B1579" s="38">
        <v>201304</v>
      </c>
      <c r="C1579" s="38" t="s">
        <v>657</v>
      </c>
      <c r="D1579" s="279">
        <v>100000</v>
      </c>
      <c r="F1579" s="40">
        <v>0.04</v>
      </c>
      <c r="G1579" s="41">
        <v>41526</v>
      </c>
      <c r="H1579" s="41">
        <v>41981</v>
      </c>
      <c r="I1579" s="39">
        <v>52</v>
      </c>
      <c r="J1579" s="39" t="s">
        <v>369</v>
      </c>
      <c r="K1579" s="39" t="s">
        <v>1716</v>
      </c>
      <c r="L1579" s="39" t="s">
        <v>1014</v>
      </c>
      <c r="M1579" s="38" t="s">
        <v>1035</v>
      </c>
      <c r="N1579" s="38" t="s">
        <v>68</v>
      </c>
    </row>
    <row r="1580" spans="1:14" x14ac:dyDescent="0.2">
      <c r="A1580" s="38" t="s">
        <v>557</v>
      </c>
      <c r="B1580" s="38">
        <v>151280</v>
      </c>
      <c r="C1580" s="38" t="s">
        <v>1380</v>
      </c>
      <c r="D1580" s="279">
        <v>100000</v>
      </c>
      <c r="F1580" s="40">
        <v>4.1000000000000002E-2</v>
      </c>
      <c r="G1580" s="41">
        <v>41533</v>
      </c>
      <c r="H1580" s="41">
        <v>41715</v>
      </c>
      <c r="I1580" s="39">
        <v>26</v>
      </c>
      <c r="J1580" s="39" t="s">
        <v>369</v>
      </c>
      <c r="K1580" s="39" t="s">
        <v>369</v>
      </c>
      <c r="L1580" s="39" t="s">
        <v>1014</v>
      </c>
      <c r="M1580" s="38" t="s">
        <v>557</v>
      </c>
      <c r="N1580" s="38" t="s">
        <v>1042</v>
      </c>
    </row>
    <row r="1581" spans="1:14" x14ac:dyDescent="0.2">
      <c r="A1581" s="38" t="s">
        <v>1035</v>
      </c>
      <c r="B1581" s="38">
        <v>201302</v>
      </c>
      <c r="C1581" s="38" t="s">
        <v>985</v>
      </c>
      <c r="D1581" s="279">
        <v>100000</v>
      </c>
      <c r="F1581" s="40">
        <v>3.5400000000000001E-2</v>
      </c>
      <c r="G1581" s="41">
        <v>41519</v>
      </c>
      <c r="H1581" s="41">
        <v>41610</v>
      </c>
      <c r="I1581" s="39">
        <v>13</v>
      </c>
      <c r="J1581" s="39" t="s">
        <v>369</v>
      </c>
      <c r="K1581" s="39" t="s">
        <v>1525</v>
      </c>
      <c r="L1581" s="39" t="s">
        <v>1014</v>
      </c>
      <c r="M1581" s="38" t="s">
        <v>1035</v>
      </c>
      <c r="N1581" s="38" t="s">
        <v>68</v>
      </c>
    </row>
    <row r="1582" spans="1:14" x14ac:dyDescent="0.2">
      <c r="A1582" s="38" t="s">
        <v>1035</v>
      </c>
      <c r="B1582" s="38">
        <v>201270</v>
      </c>
      <c r="C1582" s="38" t="s">
        <v>1476</v>
      </c>
      <c r="D1582" s="279">
        <v>100000</v>
      </c>
      <c r="F1582" s="40">
        <v>4.0800000000000003E-2</v>
      </c>
      <c r="G1582" s="41">
        <v>41435</v>
      </c>
      <c r="H1582" s="41">
        <v>41617</v>
      </c>
      <c r="I1582" s="39">
        <v>26</v>
      </c>
      <c r="J1582" s="39" t="s">
        <v>369</v>
      </c>
      <c r="K1582" s="39" t="s">
        <v>369</v>
      </c>
      <c r="L1582" s="39" t="s">
        <v>1014</v>
      </c>
      <c r="M1582" s="38" t="s">
        <v>1035</v>
      </c>
      <c r="N1582" s="38" t="s">
        <v>68</v>
      </c>
    </row>
    <row r="1583" spans="1:14" x14ac:dyDescent="0.2">
      <c r="A1583" s="38" t="s">
        <v>1035</v>
      </c>
      <c r="B1583" s="38">
        <v>201272</v>
      </c>
      <c r="C1583" s="38" t="s">
        <v>1477</v>
      </c>
      <c r="D1583" s="279">
        <v>100000</v>
      </c>
      <c r="F1583" s="40">
        <v>4.0899999999999999E-2</v>
      </c>
      <c r="G1583" s="41">
        <v>41435</v>
      </c>
      <c r="H1583" s="41">
        <v>41617</v>
      </c>
      <c r="I1583" s="39">
        <v>26</v>
      </c>
      <c r="J1583" s="39" t="s">
        <v>369</v>
      </c>
      <c r="K1583" s="39" t="s">
        <v>369</v>
      </c>
      <c r="L1583" s="39" t="s">
        <v>1014</v>
      </c>
      <c r="M1583" s="38" t="s">
        <v>1035</v>
      </c>
      <c r="N1583" s="38" t="s">
        <v>68</v>
      </c>
    </row>
    <row r="1584" spans="1:14" x14ac:dyDescent="0.2">
      <c r="A1584" s="38" t="s">
        <v>1015</v>
      </c>
      <c r="B1584" s="38">
        <v>100537</v>
      </c>
      <c r="C1584" s="38" t="s">
        <v>1895</v>
      </c>
      <c r="D1584" s="279">
        <v>100000</v>
      </c>
      <c r="F1584" s="40">
        <v>4.3499999999999997E-2</v>
      </c>
      <c r="G1584" s="41">
        <v>40816</v>
      </c>
      <c r="H1584" s="41">
        <v>41912</v>
      </c>
      <c r="I1584" s="39">
        <v>3</v>
      </c>
      <c r="J1584" s="39" t="s">
        <v>1716</v>
      </c>
      <c r="K1584" s="39" t="s">
        <v>1716</v>
      </c>
      <c r="L1584" s="39" t="s">
        <v>1014</v>
      </c>
      <c r="M1584" s="38" t="s">
        <v>1015</v>
      </c>
      <c r="N1584" s="38" t="s">
        <v>640</v>
      </c>
    </row>
    <row r="1585" spans="1:14" x14ac:dyDescent="0.2">
      <c r="A1585" s="38" t="s">
        <v>1035</v>
      </c>
      <c r="B1585" s="38">
        <v>201249</v>
      </c>
      <c r="C1585" s="38" t="s">
        <v>184</v>
      </c>
      <c r="D1585" s="279">
        <v>100000</v>
      </c>
      <c r="F1585" s="40">
        <v>4.0899999999999999E-2</v>
      </c>
      <c r="G1585" s="41">
        <v>41386</v>
      </c>
      <c r="H1585" s="41">
        <v>41568</v>
      </c>
      <c r="I1585" s="39">
        <v>26</v>
      </c>
      <c r="J1585" s="39" t="s">
        <v>369</v>
      </c>
      <c r="K1585" s="39" t="s">
        <v>369</v>
      </c>
      <c r="L1585" s="39" t="s">
        <v>1014</v>
      </c>
      <c r="M1585" s="38" t="s">
        <v>1035</v>
      </c>
      <c r="N1585" s="38" t="s">
        <v>68</v>
      </c>
    </row>
    <row r="1586" spans="1:14" x14ac:dyDescent="0.2">
      <c r="A1586" s="38" t="s">
        <v>557</v>
      </c>
      <c r="B1586" s="38">
        <v>151295</v>
      </c>
      <c r="C1586" s="38" t="s">
        <v>361</v>
      </c>
      <c r="D1586" s="279">
        <v>100000</v>
      </c>
      <c r="F1586" s="40">
        <v>0.04</v>
      </c>
      <c r="G1586" s="41">
        <v>41554</v>
      </c>
      <c r="H1586" s="41">
        <v>41736</v>
      </c>
      <c r="I1586" s="39">
        <v>26</v>
      </c>
      <c r="J1586" s="39" t="s">
        <v>369</v>
      </c>
      <c r="K1586" s="39" t="s">
        <v>369</v>
      </c>
      <c r="L1586" s="39" t="s">
        <v>1014</v>
      </c>
      <c r="M1586" s="38" t="s">
        <v>557</v>
      </c>
      <c r="N1586" s="38" t="s">
        <v>1004</v>
      </c>
    </row>
    <row r="1587" spans="1:14" x14ac:dyDescent="0.2">
      <c r="A1587" s="38" t="s">
        <v>1035</v>
      </c>
      <c r="B1587" s="38">
        <v>201305</v>
      </c>
      <c r="C1587" s="38" t="s">
        <v>362</v>
      </c>
      <c r="D1587" s="279">
        <v>100000</v>
      </c>
      <c r="F1587" s="40">
        <v>4.4499999999999998E-2</v>
      </c>
      <c r="G1587" s="41">
        <v>41526</v>
      </c>
      <c r="H1587" s="41">
        <v>42415</v>
      </c>
      <c r="I1587" s="39">
        <v>2</v>
      </c>
      <c r="J1587" s="39" t="s">
        <v>1716</v>
      </c>
      <c r="K1587" s="39" t="s">
        <v>1716</v>
      </c>
      <c r="L1587" s="39" t="s">
        <v>1014</v>
      </c>
      <c r="M1587" s="38" t="s">
        <v>1035</v>
      </c>
      <c r="N1587" s="38" t="s">
        <v>68</v>
      </c>
    </row>
    <row r="1588" spans="1:14" x14ac:dyDescent="0.2">
      <c r="A1588" s="38" t="s">
        <v>1035</v>
      </c>
      <c r="B1588" s="38">
        <v>201308</v>
      </c>
      <c r="C1588" s="38" t="s">
        <v>363</v>
      </c>
      <c r="D1588" s="279">
        <v>100000</v>
      </c>
      <c r="F1588" s="40">
        <v>3.4799999999999998E-2</v>
      </c>
      <c r="G1588" s="41">
        <v>41554</v>
      </c>
      <c r="H1588" s="41">
        <v>41645</v>
      </c>
      <c r="I1588" s="39">
        <v>13</v>
      </c>
      <c r="J1588" s="39" t="s">
        <v>369</v>
      </c>
      <c r="K1588" s="39" t="s">
        <v>1525</v>
      </c>
      <c r="L1588" s="39" t="s">
        <v>1014</v>
      </c>
      <c r="M1588" s="38" t="s">
        <v>1035</v>
      </c>
      <c r="N1588" s="38" t="s">
        <v>68</v>
      </c>
    </row>
    <row r="1589" spans="1:14" x14ac:dyDescent="0.2">
      <c r="A1589" s="38" t="s">
        <v>1035</v>
      </c>
      <c r="B1589" s="38">
        <v>201306</v>
      </c>
      <c r="C1589" s="38" t="s">
        <v>451</v>
      </c>
      <c r="D1589" s="279">
        <v>100000</v>
      </c>
      <c r="F1589" s="40">
        <v>3.4799999999999998E-2</v>
      </c>
      <c r="G1589" s="41">
        <v>41540</v>
      </c>
      <c r="H1589" s="41">
        <v>41631</v>
      </c>
      <c r="I1589" s="39">
        <v>13</v>
      </c>
      <c r="J1589" s="39" t="s">
        <v>369</v>
      </c>
      <c r="K1589" s="39" t="s">
        <v>1525</v>
      </c>
      <c r="L1589" s="39" t="s">
        <v>1014</v>
      </c>
      <c r="M1589" s="38" t="s">
        <v>1035</v>
      </c>
      <c r="N1589" s="38" t="s">
        <v>68</v>
      </c>
    </row>
    <row r="1590" spans="1:14" x14ac:dyDescent="0.2">
      <c r="A1590" s="38" t="s">
        <v>1035</v>
      </c>
      <c r="B1590" s="38">
        <v>201307</v>
      </c>
      <c r="C1590" s="38" t="s">
        <v>452</v>
      </c>
      <c r="D1590" s="279">
        <v>100000</v>
      </c>
      <c r="F1590" s="40">
        <v>3.7499999999999999E-2</v>
      </c>
      <c r="G1590" s="41">
        <v>41540</v>
      </c>
      <c r="H1590" s="41">
        <v>41722</v>
      </c>
      <c r="I1590" s="39">
        <v>26</v>
      </c>
      <c r="J1590" s="39" t="s">
        <v>369</v>
      </c>
      <c r="K1590" s="39" t="s">
        <v>369</v>
      </c>
      <c r="L1590" s="39" t="s">
        <v>1014</v>
      </c>
      <c r="M1590" s="38" t="s">
        <v>1035</v>
      </c>
      <c r="N1590" s="38" t="s">
        <v>68</v>
      </c>
    </row>
    <row r="1591" spans="1:14" x14ac:dyDescent="0.2">
      <c r="A1591" s="38" t="s">
        <v>834</v>
      </c>
      <c r="B1591" s="38">
        <v>9083</v>
      </c>
      <c r="C1591" s="38" t="s">
        <v>835</v>
      </c>
      <c r="D1591" s="279">
        <v>100000</v>
      </c>
      <c r="F1591" s="40">
        <v>4.8399999999999999E-2</v>
      </c>
      <c r="G1591" s="41">
        <v>39895</v>
      </c>
      <c r="H1591" s="41">
        <v>43547</v>
      </c>
      <c r="I1591" s="39">
        <v>10</v>
      </c>
      <c r="J1591" s="39" t="s">
        <v>1716</v>
      </c>
      <c r="K1591" s="39" t="s">
        <v>1716</v>
      </c>
      <c r="L1591" s="39" t="s">
        <v>1716</v>
      </c>
      <c r="M1591" s="38" t="s">
        <v>1803</v>
      </c>
      <c r="N1591" s="38" t="s">
        <v>1050</v>
      </c>
    </row>
    <row r="1592" spans="1:14" x14ac:dyDescent="0.2">
      <c r="A1592" s="38" t="s">
        <v>1803</v>
      </c>
      <c r="B1592" s="38">
        <v>9189</v>
      </c>
      <c r="C1592" s="38" t="s">
        <v>836</v>
      </c>
      <c r="D1592" s="279">
        <v>100000</v>
      </c>
      <c r="F1592" s="40">
        <v>5.0099999999999999E-2</v>
      </c>
      <c r="G1592" s="41">
        <v>41295</v>
      </c>
      <c r="H1592" s="41">
        <v>41660</v>
      </c>
      <c r="I1592" s="39">
        <v>52</v>
      </c>
      <c r="J1592" s="39" t="s">
        <v>369</v>
      </c>
      <c r="K1592" s="39" t="s">
        <v>1716</v>
      </c>
      <c r="L1592" s="39" t="s">
        <v>1716</v>
      </c>
      <c r="M1592" s="38" t="s">
        <v>1803</v>
      </c>
      <c r="N1592" s="38" t="s">
        <v>1042</v>
      </c>
    </row>
    <row r="1593" spans="1:14" x14ac:dyDescent="0.2">
      <c r="A1593" s="38" t="s">
        <v>557</v>
      </c>
      <c r="B1593" s="38">
        <v>150943</v>
      </c>
      <c r="C1593" s="38" t="s">
        <v>1810</v>
      </c>
      <c r="D1593" s="279">
        <v>100000</v>
      </c>
      <c r="F1593" s="40">
        <v>4.3799999999999999E-2</v>
      </c>
      <c r="G1593" s="41">
        <v>40998</v>
      </c>
      <c r="H1593" s="41">
        <v>41729</v>
      </c>
      <c r="I1593" s="39">
        <v>2</v>
      </c>
      <c r="J1593" s="39" t="s">
        <v>1716</v>
      </c>
      <c r="K1593" s="39" t="s">
        <v>1716</v>
      </c>
      <c r="L1593" s="39" t="s">
        <v>1716</v>
      </c>
      <c r="M1593" s="38" t="s">
        <v>557</v>
      </c>
      <c r="N1593" s="38" t="s">
        <v>1473</v>
      </c>
    </row>
    <row r="1594" spans="1:14" x14ac:dyDescent="0.2">
      <c r="A1594" s="38" t="s">
        <v>557</v>
      </c>
      <c r="B1594" s="38">
        <v>151029</v>
      </c>
      <c r="C1594" s="38" t="s">
        <v>1811</v>
      </c>
      <c r="D1594" s="279">
        <v>100000</v>
      </c>
      <c r="F1594" s="40">
        <v>4.3499999999999997E-2</v>
      </c>
      <c r="G1594" s="41">
        <v>41184</v>
      </c>
      <c r="H1594" s="41">
        <v>41548</v>
      </c>
      <c r="I1594" s="39">
        <v>52</v>
      </c>
      <c r="J1594" s="39" t="s">
        <v>369</v>
      </c>
      <c r="K1594" s="39" t="s">
        <v>1716</v>
      </c>
      <c r="L1594" s="39" t="s">
        <v>1716</v>
      </c>
      <c r="M1594" s="38" t="s">
        <v>557</v>
      </c>
      <c r="N1594" s="38" t="s">
        <v>1473</v>
      </c>
    </row>
    <row r="1595" spans="1:14" x14ac:dyDescent="0.2">
      <c r="A1595" s="38" t="s">
        <v>1015</v>
      </c>
      <c r="B1595" s="38">
        <v>100561</v>
      </c>
      <c r="C1595" s="38" t="s">
        <v>1812</v>
      </c>
      <c r="D1595" s="279">
        <v>100000</v>
      </c>
      <c r="F1595" s="40">
        <v>4.2799999999999998E-2</v>
      </c>
      <c r="G1595" s="41">
        <v>41078</v>
      </c>
      <c r="H1595" s="41">
        <v>41808</v>
      </c>
      <c r="I1595" s="39">
        <v>2</v>
      </c>
      <c r="J1595" s="39" t="s">
        <v>1716</v>
      </c>
      <c r="K1595" s="39" t="s">
        <v>1716</v>
      </c>
      <c r="L1595" s="39" t="s">
        <v>1716</v>
      </c>
      <c r="M1595" s="38" t="s">
        <v>1015</v>
      </c>
      <c r="N1595" s="38" t="s">
        <v>1813</v>
      </c>
    </row>
    <row r="1596" spans="1:14" x14ac:dyDescent="0.2">
      <c r="A1596" s="38" t="s">
        <v>557</v>
      </c>
      <c r="B1596" s="38">
        <v>150992</v>
      </c>
      <c r="C1596" s="38" t="s">
        <v>1814</v>
      </c>
      <c r="D1596" s="279">
        <v>100000</v>
      </c>
      <c r="F1596" s="40">
        <v>4.1799999999999997E-2</v>
      </c>
      <c r="G1596" s="41">
        <v>41085</v>
      </c>
      <c r="H1596" s="41">
        <v>41815</v>
      </c>
      <c r="I1596" s="39">
        <v>2</v>
      </c>
      <c r="J1596" s="39" t="s">
        <v>1716</v>
      </c>
      <c r="K1596" s="39" t="s">
        <v>1716</v>
      </c>
      <c r="L1596" s="39" t="s">
        <v>1716</v>
      </c>
      <c r="M1596" s="38" t="s">
        <v>557</v>
      </c>
      <c r="N1596" s="38" t="s">
        <v>1050</v>
      </c>
    </row>
    <row r="1597" spans="1:14" x14ac:dyDescent="0.2">
      <c r="A1597" s="38" t="s">
        <v>1803</v>
      </c>
      <c r="B1597" s="38">
        <v>9107</v>
      </c>
      <c r="C1597" s="38" t="s">
        <v>1815</v>
      </c>
      <c r="D1597" s="279">
        <v>100000</v>
      </c>
      <c r="F1597" s="40">
        <v>5.62E-2</v>
      </c>
      <c r="G1597" s="41">
        <v>40368</v>
      </c>
      <c r="H1597" s="41">
        <v>45852</v>
      </c>
      <c r="I1597" s="39">
        <v>15</v>
      </c>
      <c r="J1597" s="39" t="s">
        <v>1716</v>
      </c>
      <c r="K1597" s="39" t="s">
        <v>1716</v>
      </c>
      <c r="L1597" s="39" t="s">
        <v>1716</v>
      </c>
      <c r="M1597" s="38" t="s">
        <v>1803</v>
      </c>
      <c r="N1597" s="38" t="s">
        <v>741</v>
      </c>
    </row>
    <row r="1598" spans="1:14" x14ac:dyDescent="0.2">
      <c r="A1598" s="38" t="s">
        <v>557</v>
      </c>
      <c r="B1598" s="38">
        <v>150902</v>
      </c>
      <c r="C1598" s="38" t="s">
        <v>1816</v>
      </c>
      <c r="D1598" s="279">
        <v>100000</v>
      </c>
      <c r="F1598" s="40">
        <v>4.36E-2</v>
      </c>
      <c r="G1598" s="41">
        <v>40935</v>
      </c>
      <c r="H1598" s="41">
        <v>41666</v>
      </c>
      <c r="I1598" s="39">
        <v>2</v>
      </c>
      <c r="J1598" s="39" t="s">
        <v>1716</v>
      </c>
      <c r="K1598" s="39" t="s">
        <v>1716</v>
      </c>
      <c r="L1598" s="39" t="s">
        <v>1716</v>
      </c>
      <c r="M1598" s="38" t="s">
        <v>557</v>
      </c>
      <c r="N1598" s="38" t="s">
        <v>1481</v>
      </c>
    </row>
    <row r="1599" spans="1:14" x14ac:dyDescent="0.2">
      <c r="A1599" s="38" t="s">
        <v>557</v>
      </c>
      <c r="B1599" s="38">
        <v>151054</v>
      </c>
      <c r="C1599" s="38" t="s">
        <v>1817</v>
      </c>
      <c r="D1599" s="279">
        <v>100000</v>
      </c>
      <c r="F1599" s="40">
        <v>4.2999999999999997E-2</v>
      </c>
      <c r="G1599" s="41">
        <v>41214</v>
      </c>
      <c r="H1599" s="41">
        <v>41670</v>
      </c>
      <c r="I1599" s="39">
        <v>2</v>
      </c>
      <c r="J1599" s="39" t="s">
        <v>1716</v>
      </c>
      <c r="K1599" s="39" t="s">
        <v>1716</v>
      </c>
      <c r="L1599" s="39" t="s">
        <v>1716</v>
      </c>
      <c r="M1599" s="38" t="s">
        <v>557</v>
      </c>
      <c r="N1599" s="38" t="s">
        <v>1042</v>
      </c>
    </row>
    <row r="1600" spans="1:14" x14ac:dyDescent="0.2">
      <c r="A1600" s="38" t="s">
        <v>557</v>
      </c>
      <c r="B1600" s="38">
        <v>150755</v>
      </c>
      <c r="C1600" s="38" t="s">
        <v>1818</v>
      </c>
      <c r="D1600" s="279">
        <v>100000</v>
      </c>
      <c r="F1600" s="40">
        <v>4.1000000000000002E-2</v>
      </c>
      <c r="G1600" s="41">
        <v>40655</v>
      </c>
      <c r="H1600" s="41">
        <v>41751</v>
      </c>
      <c r="I1600" s="39">
        <v>3</v>
      </c>
      <c r="J1600" s="39" t="s">
        <v>1716</v>
      </c>
      <c r="K1600" s="39" t="s">
        <v>1716</v>
      </c>
      <c r="L1600" s="39" t="s">
        <v>1014</v>
      </c>
      <c r="M1600" s="38" t="s">
        <v>557</v>
      </c>
      <c r="N1600" s="38" t="s">
        <v>916</v>
      </c>
    </row>
    <row r="1601" spans="1:14" x14ac:dyDescent="0.2">
      <c r="A1601" s="38" t="s">
        <v>557</v>
      </c>
      <c r="B1601" s="38">
        <v>151008</v>
      </c>
      <c r="C1601" s="38" t="s">
        <v>1819</v>
      </c>
      <c r="D1601" s="279">
        <v>100000</v>
      </c>
      <c r="F1601" s="40">
        <v>3.95E-2</v>
      </c>
      <c r="G1601" s="41">
        <v>41114</v>
      </c>
      <c r="H1601" s="41">
        <v>41478</v>
      </c>
      <c r="I1601" s="39">
        <v>52</v>
      </c>
      <c r="J1601" s="39" t="s">
        <v>369</v>
      </c>
      <c r="K1601" s="39" t="s">
        <v>1716</v>
      </c>
      <c r="L1601" s="39" t="s">
        <v>1014</v>
      </c>
      <c r="M1601" s="38" t="s">
        <v>557</v>
      </c>
      <c r="N1601" s="38" t="s">
        <v>916</v>
      </c>
    </row>
    <row r="1602" spans="1:14" x14ac:dyDescent="0.2">
      <c r="A1602" s="38" t="s">
        <v>1035</v>
      </c>
      <c r="B1602" s="38">
        <v>201310</v>
      </c>
      <c r="C1602" s="38" t="s">
        <v>1820</v>
      </c>
      <c r="D1602" s="279">
        <v>100000</v>
      </c>
      <c r="F1602" s="40">
        <v>0.04</v>
      </c>
      <c r="G1602" s="41">
        <v>41561</v>
      </c>
      <c r="H1602" s="41">
        <v>42023</v>
      </c>
      <c r="I1602" s="39">
        <v>52</v>
      </c>
      <c r="J1602" s="39" t="s">
        <v>369</v>
      </c>
      <c r="K1602" s="39" t="s">
        <v>1716</v>
      </c>
      <c r="L1602" s="39" t="s">
        <v>1014</v>
      </c>
      <c r="M1602" s="38" t="s">
        <v>1035</v>
      </c>
      <c r="N1602" s="38" t="s">
        <v>68</v>
      </c>
    </row>
    <row r="1603" spans="1:14" x14ac:dyDescent="0.2">
      <c r="A1603" s="38" t="s">
        <v>1035</v>
      </c>
      <c r="B1603" s="38">
        <v>201311</v>
      </c>
      <c r="C1603" s="38" t="s">
        <v>1464</v>
      </c>
      <c r="D1603" s="279">
        <v>100000</v>
      </c>
      <c r="F1603" s="40">
        <v>4.4499999999999998E-2</v>
      </c>
      <c r="G1603" s="41">
        <v>41561</v>
      </c>
      <c r="H1603" s="41">
        <v>42443</v>
      </c>
      <c r="I1603" s="39">
        <v>2</v>
      </c>
      <c r="J1603" s="39" t="s">
        <v>1716</v>
      </c>
      <c r="K1603" s="39" t="s">
        <v>1716</v>
      </c>
      <c r="L1603" s="39" t="s">
        <v>1014</v>
      </c>
      <c r="M1603" s="38" t="s">
        <v>1035</v>
      </c>
      <c r="N1603" s="38" t="s">
        <v>68</v>
      </c>
    </row>
    <row r="1604" spans="1:14" x14ac:dyDescent="0.2">
      <c r="A1604" s="38" t="s">
        <v>557</v>
      </c>
      <c r="B1604" s="38">
        <v>151310</v>
      </c>
      <c r="C1604" s="38" t="s">
        <v>1961</v>
      </c>
      <c r="D1604" s="279">
        <v>100000</v>
      </c>
      <c r="F1604" s="40">
        <v>4.0500000000000001E-2</v>
      </c>
      <c r="G1604" s="41">
        <v>41575</v>
      </c>
      <c r="H1604" s="41">
        <v>41757</v>
      </c>
      <c r="I1604" s="39">
        <v>26</v>
      </c>
      <c r="J1604" s="39" t="s">
        <v>369</v>
      </c>
      <c r="K1604" s="39" t="s">
        <v>369</v>
      </c>
      <c r="L1604" s="39" t="s">
        <v>1014</v>
      </c>
      <c r="M1604" s="38" t="s">
        <v>557</v>
      </c>
      <c r="N1604" s="38" t="s">
        <v>597</v>
      </c>
    </row>
    <row r="1605" spans="1:14" x14ac:dyDescent="0.2">
      <c r="A1605" s="38" t="s">
        <v>557</v>
      </c>
      <c r="B1605" s="38">
        <v>151311</v>
      </c>
      <c r="C1605" s="38" t="s">
        <v>1962</v>
      </c>
      <c r="D1605" s="279">
        <v>100000</v>
      </c>
      <c r="F1605" s="40">
        <v>4.4499999999999998E-2</v>
      </c>
      <c r="G1605" s="41">
        <v>41575</v>
      </c>
      <c r="H1605" s="41">
        <v>41939</v>
      </c>
      <c r="I1605" s="39">
        <v>52</v>
      </c>
      <c r="J1605" s="39" t="s">
        <v>369</v>
      </c>
      <c r="K1605" s="39" t="s">
        <v>1716</v>
      </c>
      <c r="L1605" s="39" t="s">
        <v>1014</v>
      </c>
      <c r="M1605" s="38" t="s">
        <v>557</v>
      </c>
      <c r="N1605" s="38" t="s">
        <v>597</v>
      </c>
    </row>
    <row r="1606" spans="1:14" x14ac:dyDescent="0.2">
      <c r="A1606" s="38" t="s">
        <v>557</v>
      </c>
      <c r="B1606" s="38">
        <v>151312</v>
      </c>
      <c r="C1606" s="38" t="s">
        <v>1963</v>
      </c>
      <c r="D1606" s="279">
        <v>100000</v>
      </c>
      <c r="F1606" s="40">
        <v>4.1000000000000002E-2</v>
      </c>
      <c r="G1606" s="41">
        <v>41575</v>
      </c>
      <c r="H1606" s="41">
        <v>41757</v>
      </c>
      <c r="I1606" s="39">
        <v>26</v>
      </c>
      <c r="J1606" s="39" t="s">
        <v>369</v>
      </c>
      <c r="K1606" s="39" t="s">
        <v>369</v>
      </c>
      <c r="L1606" s="39" t="s">
        <v>1014</v>
      </c>
      <c r="M1606" s="38" t="s">
        <v>557</v>
      </c>
      <c r="N1606" s="38" t="s">
        <v>1042</v>
      </c>
    </row>
    <row r="1607" spans="1:14" x14ac:dyDescent="0.2">
      <c r="A1607" s="38" t="s">
        <v>1035</v>
      </c>
      <c r="B1607" s="38">
        <v>201312</v>
      </c>
      <c r="C1607" s="38" t="s">
        <v>271</v>
      </c>
      <c r="D1607" s="279">
        <v>100000</v>
      </c>
      <c r="F1607" s="40">
        <v>4.4499999999999998E-2</v>
      </c>
      <c r="G1607" s="41">
        <v>41575</v>
      </c>
      <c r="H1607" s="41">
        <v>42506</v>
      </c>
      <c r="I1607" s="39">
        <v>2</v>
      </c>
      <c r="J1607" s="39" t="s">
        <v>1716</v>
      </c>
      <c r="K1607" s="39" t="s">
        <v>1716</v>
      </c>
      <c r="L1607" s="39" t="s">
        <v>1014</v>
      </c>
      <c r="M1607" s="38" t="s">
        <v>1035</v>
      </c>
      <c r="N1607" s="38" t="s">
        <v>68</v>
      </c>
    </row>
    <row r="1608" spans="1:14" x14ac:dyDescent="0.2">
      <c r="A1608" s="38" t="s">
        <v>557</v>
      </c>
      <c r="B1608" s="38">
        <v>151320</v>
      </c>
      <c r="C1608" s="38" t="s">
        <v>665</v>
      </c>
      <c r="D1608" s="279">
        <v>100000</v>
      </c>
      <c r="F1608" s="40">
        <v>0.04</v>
      </c>
      <c r="G1608" s="41">
        <v>41585</v>
      </c>
      <c r="H1608" s="41">
        <v>41767</v>
      </c>
      <c r="I1608" s="39">
        <v>26</v>
      </c>
      <c r="J1608" s="39" t="s">
        <v>369</v>
      </c>
      <c r="K1608" s="39" t="s">
        <v>369</v>
      </c>
      <c r="L1608" s="39" t="s">
        <v>1014</v>
      </c>
      <c r="M1608" s="38" t="s">
        <v>557</v>
      </c>
      <c r="N1608" s="38" t="s">
        <v>1004</v>
      </c>
    </row>
    <row r="1609" spans="1:14" x14ac:dyDescent="0.2">
      <c r="A1609" s="38" t="s">
        <v>557</v>
      </c>
      <c r="B1609" s="38">
        <v>151322</v>
      </c>
      <c r="C1609" s="38" t="s">
        <v>175</v>
      </c>
      <c r="D1609" s="279">
        <v>100000</v>
      </c>
      <c r="F1609" s="40">
        <v>4.1000000000000002E-2</v>
      </c>
      <c r="G1609" s="41">
        <v>41590</v>
      </c>
      <c r="H1609" s="41">
        <v>41772</v>
      </c>
      <c r="I1609" s="39">
        <v>26</v>
      </c>
      <c r="J1609" s="39" t="s">
        <v>369</v>
      </c>
      <c r="K1609" s="39" t="s">
        <v>369</v>
      </c>
      <c r="L1609" s="39" t="s">
        <v>1014</v>
      </c>
      <c r="M1609" s="38" t="s">
        <v>557</v>
      </c>
      <c r="N1609" s="38" t="s">
        <v>1042</v>
      </c>
    </row>
    <row r="1610" spans="1:14" x14ac:dyDescent="0.2">
      <c r="A1610" s="38" t="s">
        <v>557</v>
      </c>
      <c r="B1610" s="38">
        <v>151239</v>
      </c>
      <c r="C1610" s="38" t="s">
        <v>1846</v>
      </c>
      <c r="D1610" s="279">
        <v>100000</v>
      </c>
      <c r="F1610" s="40">
        <v>4.2099999999999999E-2</v>
      </c>
      <c r="G1610" s="41">
        <v>41467</v>
      </c>
      <c r="H1610" s="41">
        <v>41647</v>
      </c>
      <c r="I1610" s="39">
        <v>26</v>
      </c>
      <c r="J1610" s="39" t="s">
        <v>369</v>
      </c>
      <c r="K1610" s="39" t="s">
        <v>369</v>
      </c>
      <c r="L1610" s="39" t="s">
        <v>1014</v>
      </c>
      <c r="M1610" s="38" t="s">
        <v>557</v>
      </c>
      <c r="N1610" s="38" t="s">
        <v>1481</v>
      </c>
    </row>
    <row r="1611" spans="1:14" x14ac:dyDescent="0.2">
      <c r="A1611" s="38" t="s">
        <v>557</v>
      </c>
      <c r="B1611" s="38">
        <v>151241</v>
      </c>
      <c r="C1611" s="38" t="s">
        <v>1847</v>
      </c>
      <c r="D1611" s="279">
        <v>100000</v>
      </c>
      <c r="F1611" s="40">
        <v>4.1799999999999997E-2</v>
      </c>
      <c r="G1611" s="41">
        <v>41477</v>
      </c>
      <c r="H1611" s="41">
        <v>41659</v>
      </c>
      <c r="I1611" s="39">
        <v>26</v>
      </c>
      <c r="J1611" s="39" t="s">
        <v>369</v>
      </c>
      <c r="K1611" s="39" t="s">
        <v>369</v>
      </c>
      <c r="L1611" s="39" t="s">
        <v>1014</v>
      </c>
      <c r="M1611" s="38" t="s">
        <v>557</v>
      </c>
      <c r="N1611" s="38" t="s">
        <v>1042</v>
      </c>
    </row>
    <row r="1612" spans="1:14" x14ac:dyDescent="0.2">
      <c r="A1612" s="38" t="s">
        <v>1803</v>
      </c>
      <c r="B1612" s="38">
        <v>9182</v>
      </c>
      <c r="C1612" s="38" t="s">
        <v>1532</v>
      </c>
      <c r="D1612" s="279">
        <v>100000</v>
      </c>
      <c r="F1612" s="40">
        <v>6.0400000000000002E-2</v>
      </c>
      <c r="G1612" s="41">
        <v>41235</v>
      </c>
      <c r="H1612" s="41">
        <v>44887</v>
      </c>
      <c r="I1612" s="39">
        <v>10</v>
      </c>
      <c r="J1612" s="39" t="s">
        <v>1716</v>
      </c>
      <c r="K1612" s="39" t="s">
        <v>1716</v>
      </c>
      <c r="L1612" s="39" t="s">
        <v>1014</v>
      </c>
      <c r="M1612" s="38" t="s">
        <v>1803</v>
      </c>
      <c r="N1612" s="38" t="s">
        <v>916</v>
      </c>
    </row>
    <row r="1613" spans="1:14" x14ac:dyDescent="0.2">
      <c r="A1613" s="38" t="s">
        <v>1803</v>
      </c>
      <c r="B1613" s="38">
        <v>9187</v>
      </c>
      <c r="C1613" s="38" t="s">
        <v>1533</v>
      </c>
      <c r="D1613" s="279">
        <v>100000</v>
      </c>
      <c r="F1613" s="40">
        <v>5.3800000000000001E-2</v>
      </c>
      <c r="G1613" s="41">
        <v>41253</v>
      </c>
      <c r="H1613" s="41">
        <v>48558</v>
      </c>
      <c r="I1613" s="39">
        <v>20</v>
      </c>
      <c r="J1613" s="39" t="s">
        <v>1716</v>
      </c>
      <c r="K1613" s="39" t="s">
        <v>1716</v>
      </c>
      <c r="L1613" s="39" t="s">
        <v>1014</v>
      </c>
      <c r="M1613" s="38" t="s">
        <v>1803</v>
      </c>
      <c r="N1613" s="38" t="s">
        <v>1804</v>
      </c>
    </row>
    <row r="1614" spans="1:14" x14ac:dyDescent="0.2">
      <c r="A1614" s="38" t="s">
        <v>1035</v>
      </c>
      <c r="B1614" s="38">
        <v>201313</v>
      </c>
      <c r="C1614" s="38" t="s">
        <v>1605</v>
      </c>
      <c r="D1614" s="279">
        <v>100000</v>
      </c>
      <c r="F1614" s="40">
        <v>0.05</v>
      </c>
      <c r="G1614" s="41">
        <v>41597</v>
      </c>
      <c r="H1614" s="41">
        <v>43423</v>
      </c>
      <c r="I1614" s="39">
        <v>5</v>
      </c>
      <c r="J1614" s="39" t="s">
        <v>1716</v>
      </c>
      <c r="K1614" s="39" t="s">
        <v>1716</v>
      </c>
      <c r="L1614" s="39" t="s">
        <v>1014</v>
      </c>
      <c r="M1614" s="38" t="s">
        <v>1035</v>
      </c>
      <c r="N1614" s="38" t="s">
        <v>68</v>
      </c>
    </row>
    <row r="1615" spans="1:14" x14ac:dyDescent="0.2">
      <c r="A1615" s="38" t="s">
        <v>557</v>
      </c>
      <c r="B1615" s="38">
        <v>151308</v>
      </c>
      <c r="C1615" s="38" t="s">
        <v>1385</v>
      </c>
      <c r="D1615" s="279">
        <v>100000</v>
      </c>
      <c r="F1615" s="40">
        <v>4.1000000000000002E-2</v>
      </c>
      <c r="G1615" s="41">
        <v>41570</v>
      </c>
      <c r="H1615" s="41">
        <v>41752</v>
      </c>
      <c r="I1615" s="39">
        <v>26</v>
      </c>
      <c r="J1615" s="39" t="s">
        <v>369</v>
      </c>
      <c r="K1615" s="39" t="s">
        <v>369</v>
      </c>
      <c r="L1615" s="39" t="s">
        <v>1014</v>
      </c>
      <c r="M1615" s="38" t="s">
        <v>557</v>
      </c>
      <c r="N1615" s="38" t="s">
        <v>1042</v>
      </c>
    </row>
    <row r="1616" spans="1:14" x14ac:dyDescent="0.2">
      <c r="A1616" s="38" t="s">
        <v>557</v>
      </c>
      <c r="B1616" s="38">
        <v>150578</v>
      </c>
      <c r="C1616" s="38" t="s">
        <v>1386</v>
      </c>
      <c r="D1616" s="279">
        <v>100000</v>
      </c>
      <c r="F1616" s="40">
        <v>4.2799999999999998E-2</v>
      </c>
      <c r="G1616" s="41">
        <v>40212</v>
      </c>
      <c r="H1616" s="41">
        <v>41673</v>
      </c>
      <c r="I1616" s="39">
        <v>4</v>
      </c>
      <c r="J1616" s="39" t="s">
        <v>1716</v>
      </c>
      <c r="K1616" s="39" t="s">
        <v>1716</v>
      </c>
      <c r="L1616" s="39" t="s">
        <v>1014</v>
      </c>
      <c r="M1616" s="38" t="s">
        <v>557</v>
      </c>
      <c r="N1616" s="38" t="s">
        <v>918</v>
      </c>
    </row>
    <row r="1617" spans="1:14" x14ac:dyDescent="0.2">
      <c r="A1617" s="38" t="s">
        <v>557</v>
      </c>
      <c r="B1617" s="38">
        <v>151333</v>
      </c>
      <c r="C1617" s="38" t="s">
        <v>770</v>
      </c>
      <c r="D1617" s="279">
        <v>100000</v>
      </c>
      <c r="F1617" s="40">
        <v>4.3499999999999997E-2</v>
      </c>
      <c r="G1617" s="41">
        <v>41610</v>
      </c>
      <c r="H1617" s="41">
        <v>41793</v>
      </c>
      <c r="I1617" s="39">
        <v>26</v>
      </c>
      <c r="J1617" s="39" t="s">
        <v>369</v>
      </c>
      <c r="K1617" s="39" t="s">
        <v>369</v>
      </c>
      <c r="L1617" s="39" t="s">
        <v>1014</v>
      </c>
      <c r="M1617" s="38" t="s">
        <v>557</v>
      </c>
      <c r="N1617" s="38" t="s">
        <v>771</v>
      </c>
    </row>
    <row r="1618" spans="1:14" x14ac:dyDescent="0.2">
      <c r="A1618" s="38" t="s">
        <v>557</v>
      </c>
      <c r="B1618" s="38">
        <v>151334</v>
      </c>
      <c r="C1618" s="38" t="s">
        <v>772</v>
      </c>
      <c r="D1618" s="279">
        <v>100000</v>
      </c>
      <c r="F1618" s="40">
        <v>4.65E-2</v>
      </c>
      <c r="G1618" s="41">
        <v>41610</v>
      </c>
      <c r="H1618" s="41">
        <v>41974</v>
      </c>
      <c r="I1618" s="39">
        <v>52</v>
      </c>
      <c r="J1618" s="39" t="s">
        <v>369</v>
      </c>
      <c r="K1618" s="39" t="s">
        <v>1716</v>
      </c>
      <c r="L1618" s="39" t="s">
        <v>1014</v>
      </c>
      <c r="M1618" s="38" t="s">
        <v>557</v>
      </c>
      <c r="N1618" s="38" t="s">
        <v>771</v>
      </c>
    </row>
    <row r="1619" spans="1:14" x14ac:dyDescent="0.2">
      <c r="A1619" s="38" t="s">
        <v>557</v>
      </c>
      <c r="B1619" s="38">
        <v>151335</v>
      </c>
      <c r="C1619" s="38" t="s">
        <v>1986</v>
      </c>
      <c r="D1619" s="279">
        <v>100000</v>
      </c>
      <c r="F1619" s="40">
        <v>3.78E-2</v>
      </c>
      <c r="G1619" s="41">
        <v>41610</v>
      </c>
      <c r="H1619" s="41">
        <v>41701</v>
      </c>
      <c r="I1619" s="39">
        <v>13</v>
      </c>
      <c r="J1619" s="39" t="s">
        <v>369</v>
      </c>
      <c r="K1619" s="39" t="s">
        <v>1525</v>
      </c>
      <c r="L1619" s="39" t="s">
        <v>1014</v>
      </c>
      <c r="M1619" s="38" t="s">
        <v>557</v>
      </c>
      <c r="N1619" s="38" t="s">
        <v>1004</v>
      </c>
    </row>
    <row r="1620" spans="1:14" x14ac:dyDescent="0.2">
      <c r="A1620" s="38" t="s">
        <v>557</v>
      </c>
      <c r="B1620" s="38">
        <v>151336</v>
      </c>
      <c r="C1620" s="38" t="s">
        <v>1987</v>
      </c>
      <c r="D1620" s="279">
        <v>100000</v>
      </c>
      <c r="F1620" s="40">
        <v>3.9699999999999999E-2</v>
      </c>
      <c r="G1620" s="41">
        <v>41610</v>
      </c>
      <c r="H1620" s="41">
        <v>41792</v>
      </c>
      <c r="I1620" s="39">
        <v>26</v>
      </c>
      <c r="J1620" s="39" t="s">
        <v>369</v>
      </c>
      <c r="K1620" s="39" t="s">
        <v>369</v>
      </c>
      <c r="L1620" s="39" t="s">
        <v>1014</v>
      </c>
      <c r="M1620" s="38" t="s">
        <v>557</v>
      </c>
      <c r="N1620" s="38" t="s">
        <v>1004</v>
      </c>
    </row>
    <row r="1621" spans="1:14" x14ac:dyDescent="0.2">
      <c r="A1621" s="38" t="s">
        <v>1803</v>
      </c>
      <c r="B1621" s="38">
        <v>9186</v>
      </c>
      <c r="C1621" s="38" t="s">
        <v>1023</v>
      </c>
      <c r="D1621" s="279">
        <v>100000</v>
      </c>
      <c r="F1621" s="40">
        <v>5.0900000000000001E-2</v>
      </c>
      <c r="G1621" s="41">
        <v>41253</v>
      </c>
      <c r="H1621" s="41">
        <v>44905</v>
      </c>
      <c r="I1621" s="39">
        <v>10</v>
      </c>
      <c r="J1621" s="39" t="s">
        <v>1716</v>
      </c>
      <c r="K1621" s="39" t="s">
        <v>1716</v>
      </c>
      <c r="L1621" s="39" t="s">
        <v>1014</v>
      </c>
      <c r="M1621" s="38" t="s">
        <v>1803</v>
      </c>
      <c r="N1621" s="38" t="s">
        <v>1804</v>
      </c>
    </row>
    <row r="1622" spans="1:14" x14ac:dyDescent="0.2">
      <c r="A1622" s="38" t="s">
        <v>1015</v>
      </c>
      <c r="B1622" s="38">
        <v>100525</v>
      </c>
      <c r="C1622" s="38" t="s">
        <v>1024</v>
      </c>
      <c r="D1622" s="279">
        <v>100000</v>
      </c>
      <c r="F1622" s="40">
        <v>4.3700000000000003E-2</v>
      </c>
      <c r="G1622" s="41">
        <v>40724</v>
      </c>
      <c r="H1622" s="41">
        <v>42185</v>
      </c>
      <c r="I1622" s="39">
        <v>4</v>
      </c>
      <c r="J1622" s="39" t="s">
        <v>1716</v>
      </c>
      <c r="K1622" s="39" t="s">
        <v>1716</v>
      </c>
      <c r="L1622" s="39" t="s">
        <v>1014</v>
      </c>
      <c r="M1622" s="38" t="s">
        <v>1015</v>
      </c>
      <c r="N1622" s="38" t="s">
        <v>640</v>
      </c>
    </row>
    <row r="1623" spans="1:14" x14ac:dyDescent="0.2">
      <c r="A1623" s="38" t="s">
        <v>1035</v>
      </c>
      <c r="B1623" s="38">
        <v>201278</v>
      </c>
      <c r="C1623" s="38" t="s">
        <v>1025</v>
      </c>
      <c r="D1623" s="279">
        <v>100000</v>
      </c>
      <c r="F1623" s="40">
        <v>3.95E-2</v>
      </c>
      <c r="G1623" s="41">
        <v>41456</v>
      </c>
      <c r="H1623" s="41">
        <v>41638</v>
      </c>
      <c r="I1623" s="39">
        <v>26</v>
      </c>
      <c r="J1623" s="39" t="s">
        <v>369</v>
      </c>
      <c r="K1623" s="39" t="s">
        <v>369</v>
      </c>
      <c r="L1623" s="39" t="s">
        <v>1014</v>
      </c>
      <c r="M1623" s="38" t="s">
        <v>1035</v>
      </c>
      <c r="N1623" s="38" t="s">
        <v>68</v>
      </c>
    </row>
    <row r="1624" spans="1:14" x14ac:dyDescent="0.2">
      <c r="A1624" s="38" t="s">
        <v>1035</v>
      </c>
      <c r="B1624" s="38">
        <v>201314</v>
      </c>
      <c r="C1624" s="38" t="s">
        <v>1026</v>
      </c>
      <c r="D1624" s="279">
        <v>100000</v>
      </c>
      <c r="F1624" s="40">
        <v>4.4499999999999998E-2</v>
      </c>
      <c r="G1624" s="41">
        <v>41603</v>
      </c>
      <c r="H1624" s="41">
        <v>42569</v>
      </c>
      <c r="I1624" s="39">
        <v>2</v>
      </c>
      <c r="J1624" s="39" t="s">
        <v>1716</v>
      </c>
      <c r="K1624" s="39" t="s">
        <v>1716</v>
      </c>
      <c r="L1624" s="39" t="s">
        <v>1014</v>
      </c>
      <c r="M1624" s="38" t="s">
        <v>1035</v>
      </c>
      <c r="N1624" s="38" t="s">
        <v>68</v>
      </c>
    </row>
    <row r="1625" spans="1:14" x14ac:dyDescent="0.2">
      <c r="A1625" s="38" t="s">
        <v>557</v>
      </c>
      <c r="B1625" s="38">
        <v>151341</v>
      </c>
      <c r="C1625" s="38" t="s">
        <v>168</v>
      </c>
      <c r="D1625" s="279">
        <v>100000</v>
      </c>
      <c r="F1625" s="40">
        <v>4.5999999999999999E-2</v>
      </c>
      <c r="G1625" s="41">
        <v>41621</v>
      </c>
      <c r="H1625" s="41">
        <v>42017</v>
      </c>
      <c r="I1625" s="39">
        <v>396</v>
      </c>
      <c r="J1625" s="39" t="s">
        <v>1396</v>
      </c>
      <c r="K1625" s="39" t="s">
        <v>1716</v>
      </c>
      <c r="L1625" s="39" t="s">
        <v>1014</v>
      </c>
      <c r="M1625" s="38" t="s">
        <v>557</v>
      </c>
      <c r="N1625" s="38" t="s">
        <v>1042</v>
      </c>
    </row>
    <row r="1626" spans="1:14" x14ac:dyDescent="0.2">
      <c r="A1626" s="38" t="s">
        <v>557</v>
      </c>
      <c r="B1626" s="38">
        <v>151344</v>
      </c>
      <c r="C1626" s="38" t="s">
        <v>809</v>
      </c>
      <c r="D1626" s="279">
        <v>100000</v>
      </c>
      <c r="F1626" s="40">
        <v>4.4200000000000003E-2</v>
      </c>
      <c r="G1626" s="41">
        <v>41624</v>
      </c>
      <c r="H1626" s="41">
        <v>41988</v>
      </c>
      <c r="I1626" s="39">
        <v>52</v>
      </c>
      <c r="J1626" s="39" t="s">
        <v>369</v>
      </c>
      <c r="K1626" s="39" t="s">
        <v>1716</v>
      </c>
      <c r="L1626" s="39" t="s">
        <v>1014</v>
      </c>
      <c r="M1626" s="38" t="s">
        <v>557</v>
      </c>
      <c r="N1626" s="38" t="s">
        <v>597</v>
      </c>
    </row>
    <row r="1627" spans="1:14" x14ac:dyDescent="0.2">
      <c r="A1627" s="38" t="s">
        <v>557</v>
      </c>
      <c r="B1627" s="38">
        <v>151346</v>
      </c>
      <c r="C1627" s="38" t="s">
        <v>1967</v>
      </c>
      <c r="D1627" s="279">
        <v>100000</v>
      </c>
      <c r="F1627" s="40">
        <v>3.7499999999999999E-2</v>
      </c>
      <c r="G1627" s="41">
        <v>41625</v>
      </c>
      <c r="H1627" s="41">
        <v>41716</v>
      </c>
      <c r="I1627" s="39">
        <v>13</v>
      </c>
      <c r="J1627" s="39" t="s">
        <v>369</v>
      </c>
      <c r="K1627" s="39" t="s">
        <v>1525</v>
      </c>
      <c r="L1627" s="39" t="s">
        <v>1014</v>
      </c>
      <c r="M1627" s="38" t="s">
        <v>557</v>
      </c>
      <c r="N1627" s="38" t="s">
        <v>1481</v>
      </c>
    </row>
    <row r="1628" spans="1:14" x14ac:dyDescent="0.2">
      <c r="A1628" s="38" t="s">
        <v>557</v>
      </c>
      <c r="B1628" s="38">
        <v>151347</v>
      </c>
      <c r="C1628" s="38" t="s">
        <v>1968</v>
      </c>
      <c r="D1628" s="279">
        <v>100000</v>
      </c>
      <c r="F1628" s="40">
        <v>0.04</v>
      </c>
      <c r="G1628" s="41">
        <v>41625</v>
      </c>
      <c r="H1628" s="41">
        <v>41807</v>
      </c>
      <c r="I1628" s="39">
        <v>26</v>
      </c>
      <c r="J1628" s="39" t="s">
        <v>369</v>
      </c>
      <c r="K1628" s="39" t="s">
        <v>369</v>
      </c>
      <c r="L1628" s="39" t="s">
        <v>1014</v>
      </c>
      <c r="M1628" s="38" t="s">
        <v>557</v>
      </c>
      <c r="N1628" s="38" t="s">
        <v>1481</v>
      </c>
    </row>
    <row r="1629" spans="1:14" x14ac:dyDescent="0.2">
      <c r="A1629" s="38" t="s">
        <v>557</v>
      </c>
      <c r="B1629" s="38">
        <v>151348</v>
      </c>
      <c r="C1629" s="38" t="s">
        <v>1969</v>
      </c>
      <c r="D1629" s="279">
        <v>100000</v>
      </c>
      <c r="F1629" s="40">
        <v>4.4499999999999998E-2</v>
      </c>
      <c r="G1629" s="41">
        <v>41625</v>
      </c>
      <c r="H1629" s="41">
        <v>41989</v>
      </c>
      <c r="I1629" s="39">
        <v>52</v>
      </c>
      <c r="J1629" s="39" t="s">
        <v>369</v>
      </c>
      <c r="K1629" s="39" t="s">
        <v>1716</v>
      </c>
      <c r="L1629" s="39" t="s">
        <v>1014</v>
      </c>
      <c r="M1629" s="38" t="s">
        <v>557</v>
      </c>
      <c r="N1629" s="38" t="s">
        <v>1481</v>
      </c>
    </row>
    <row r="1630" spans="1:14" x14ac:dyDescent="0.2">
      <c r="A1630" s="38" t="s">
        <v>1803</v>
      </c>
      <c r="B1630" s="38">
        <v>2128</v>
      </c>
      <c r="C1630" s="38" t="s">
        <v>1970</v>
      </c>
      <c r="D1630" s="279">
        <v>100000</v>
      </c>
      <c r="F1630" s="40">
        <v>5.6000000000000001E-2</v>
      </c>
      <c r="G1630" s="41">
        <v>39808</v>
      </c>
      <c r="H1630" s="41">
        <v>43460</v>
      </c>
      <c r="I1630" s="39">
        <v>10</v>
      </c>
      <c r="J1630" s="39" t="s">
        <v>1716</v>
      </c>
      <c r="K1630" s="39" t="s">
        <v>1716</v>
      </c>
      <c r="L1630" s="39" t="s">
        <v>1014</v>
      </c>
      <c r="M1630" s="38" t="s">
        <v>1803</v>
      </c>
      <c r="N1630" s="38" t="s">
        <v>1481</v>
      </c>
    </row>
    <row r="1631" spans="1:14" x14ac:dyDescent="0.2">
      <c r="A1631" s="38" t="s">
        <v>557</v>
      </c>
      <c r="B1631" s="38">
        <v>151360</v>
      </c>
      <c r="C1631" s="38" t="s">
        <v>1719</v>
      </c>
      <c r="D1631" s="279">
        <v>100000</v>
      </c>
      <c r="F1631" s="40">
        <v>4.53E-2</v>
      </c>
      <c r="G1631" s="41">
        <v>41635</v>
      </c>
      <c r="H1631" s="41">
        <v>41999</v>
      </c>
      <c r="I1631" s="39">
        <v>52</v>
      </c>
      <c r="J1631" s="39" t="s">
        <v>369</v>
      </c>
      <c r="K1631" s="39" t="s">
        <v>1716</v>
      </c>
      <c r="L1631" s="39" t="s">
        <v>1014</v>
      </c>
      <c r="M1631" s="38" t="s">
        <v>557</v>
      </c>
      <c r="N1631" s="38" t="s">
        <v>1004</v>
      </c>
    </row>
    <row r="1632" spans="1:14" x14ac:dyDescent="0.2">
      <c r="A1632" s="38" t="s">
        <v>557</v>
      </c>
      <c r="B1632" s="38">
        <v>151361</v>
      </c>
      <c r="C1632" s="38" t="s">
        <v>1720</v>
      </c>
      <c r="D1632" s="279">
        <v>100000</v>
      </c>
      <c r="F1632" s="40">
        <v>4.8000000000000001E-2</v>
      </c>
      <c r="G1632" s="41">
        <v>41635</v>
      </c>
      <c r="H1632" s="41">
        <v>42031</v>
      </c>
      <c r="I1632" s="39">
        <v>13</v>
      </c>
      <c r="J1632" s="39" t="s">
        <v>288</v>
      </c>
      <c r="K1632" s="39" t="s">
        <v>1716</v>
      </c>
      <c r="L1632" s="39" t="s">
        <v>1014</v>
      </c>
      <c r="M1632" s="38" t="s">
        <v>557</v>
      </c>
      <c r="N1632" s="38" t="s">
        <v>1504</v>
      </c>
    </row>
    <row r="1633" spans="1:14" x14ac:dyDescent="0.2">
      <c r="A1633" s="38" t="s">
        <v>557</v>
      </c>
      <c r="B1633" s="38">
        <v>150755</v>
      </c>
      <c r="C1633" s="38" t="s">
        <v>795</v>
      </c>
      <c r="D1633" s="279">
        <v>100000</v>
      </c>
      <c r="F1633" s="40">
        <v>4.1000000000000002E-2</v>
      </c>
      <c r="G1633" s="41">
        <v>40655</v>
      </c>
      <c r="H1633" s="41">
        <v>41751</v>
      </c>
      <c r="I1633" s="39">
        <v>3</v>
      </c>
      <c r="J1633" s="39" t="s">
        <v>1716</v>
      </c>
      <c r="K1633" s="39" t="s">
        <v>1716</v>
      </c>
      <c r="L1633" s="39" t="s">
        <v>1014</v>
      </c>
      <c r="M1633" s="38" t="s">
        <v>557</v>
      </c>
      <c r="N1633" s="38" t="s">
        <v>916</v>
      </c>
    </row>
    <row r="1634" spans="1:14" x14ac:dyDescent="0.2">
      <c r="A1634" s="38" t="s">
        <v>557</v>
      </c>
      <c r="B1634" s="38">
        <v>151045</v>
      </c>
      <c r="C1634" s="38" t="s">
        <v>796</v>
      </c>
      <c r="D1634" s="279">
        <v>100000</v>
      </c>
      <c r="F1634" s="40">
        <v>4.2999999999999997E-2</v>
      </c>
      <c r="G1634" s="41">
        <v>41206</v>
      </c>
      <c r="H1634" s="41">
        <v>41753</v>
      </c>
      <c r="I1634" s="39">
        <v>52</v>
      </c>
      <c r="J1634" s="39" t="s">
        <v>369</v>
      </c>
      <c r="K1634" s="39" t="s">
        <v>1716</v>
      </c>
      <c r="L1634" s="39" t="s">
        <v>1014</v>
      </c>
      <c r="M1634" s="38" t="s">
        <v>557</v>
      </c>
      <c r="N1634" s="38" t="s">
        <v>916</v>
      </c>
    </row>
    <row r="1635" spans="1:14" x14ac:dyDescent="0.2">
      <c r="A1635" s="38" t="s">
        <v>557</v>
      </c>
      <c r="B1635" s="38">
        <v>151362</v>
      </c>
      <c r="C1635" s="38" t="s">
        <v>797</v>
      </c>
      <c r="D1635" s="279">
        <v>100000</v>
      </c>
      <c r="F1635" s="40">
        <v>4.5999999999999999E-2</v>
      </c>
      <c r="G1635" s="41">
        <v>41638</v>
      </c>
      <c r="H1635" s="41">
        <v>42034</v>
      </c>
      <c r="I1635" s="39">
        <v>13</v>
      </c>
      <c r="J1635" s="39" t="s">
        <v>288</v>
      </c>
      <c r="K1635" s="39" t="s">
        <v>1716</v>
      </c>
      <c r="L1635" s="39" t="s">
        <v>1014</v>
      </c>
      <c r="M1635" s="38" t="s">
        <v>557</v>
      </c>
      <c r="N1635" s="38" t="s">
        <v>1042</v>
      </c>
    </row>
    <row r="1636" spans="1:14" x14ac:dyDescent="0.2">
      <c r="A1636" s="38" t="s">
        <v>1035</v>
      </c>
      <c r="B1636" s="38">
        <v>201315</v>
      </c>
      <c r="C1636" s="38" t="s">
        <v>1902</v>
      </c>
      <c r="D1636" s="279">
        <v>100000</v>
      </c>
      <c r="F1636" s="40">
        <v>5.45E-2</v>
      </c>
      <c r="G1636" s="41">
        <v>41610</v>
      </c>
      <c r="H1636" s="41">
        <v>45460</v>
      </c>
      <c r="I1636" s="39">
        <v>10</v>
      </c>
      <c r="J1636" s="39" t="s">
        <v>1716</v>
      </c>
      <c r="K1636" s="39" t="s">
        <v>1716</v>
      </c>
      <c r="L1636" s="39" t="s">
        <v>1014</v>
      </c>
      <c r="M1636" s="38" t="s">
        <v>1035</v>
      </c>
      <c r="N1636" s="38" t="s">
        <v>68</v>
      </c>
    </row>
    <row r="1637" spans="1:14" x14ac:dyDescent="0.2">
      <c r="A1637" s="38" t="s">
        <v>557</v>
      </c>
      <c r="B1637" s="38">
        <v>151379</v>
      </c>
      <c r="C1637" s="38" t="s">
        <v>455</v>
      </c>
      <c r="D1637" s="279">
        <v>100000</v>
      </c>
      <c r="F1637" s="40">
        <v>4.4999999999999998E-2</v>
      </c>
      <c r="G1637" s="41">
        <v>41663</v>
      </c>
      <c r="H1637" s="41">
        <v>42209</v>
      </c>
      <c r="I1637" s="39">
        <v>18</v>
      </c>
      <c r="J1637" s="39" t="s">
        <v>288</v>
      </c>
      <c r="K1637" s="39" t="s">
        <v>1716</v>
      </c>
      <c r="L1637" s="39" t="s">
        <v>1014</v>
      </c>
      <c r="M1637" s="38" t="s">
        <v>557</v>
      </c>
      <c r="N1637" s="38" t="s">
        <v>1042</v>
      </c>
    </row>
    <row r="1638" spans="1:14" x14ac:dyDescent="0.2">
      <c r="A1638" s="38" t="s">
        <v>557</v>
      </c>
      <c r="B1638" s="38">
        <v>151037</v>
      </c>
      <c r="C1638" s="38" t="s">
        <v>456</v>
      </c>
      <c r="D1638" s="279">
        <v>100000</v>
      </c>
      <c r="F1638" s="40">
        <v>4.5999999999999999E-2</v>
      </c>
      <c r="G1638" s="41">
        <v>41192</v>
      </c>
      <c r="H1638" s="41">
        <v>41922</v>
      </c>
      <c r="I1638" s="39">
        <v>2</v>
      </c>
      <c r="J1638" s="39" t="s">
        <v>1716</v>
      </c>
      <c r="K1638" s="39" t="s">
        <v>1716</v>
      </c>
      <c r="L1638" s="39" t="s">
        <v>1014</v>
      </c>
      <c r="M1638" s="38" t="s">
        <v>557</v>
      </c>
      <c r="N1638" s="38" t="s">
        <v>1042</v>
      </c>
    </row>
    <row r="1639" spans="1:14" x14ac:dyDescent="0.2">
      <c r="A1639" s="38" t="s">
        <v>557</v>
      </c>
      <c r="B1639" s="38">
        <v>151034</v>
      </c>
      <c r="C1639" s="38" t="s">
        <v>457</v>
      </c>
      <c r="D1639" s="279">
        <v>100000</v>
      </c>
      <c r="F1639" s="40">
        <v>4.5999999999999999E-2</v>
      </c>
      <c r="G1639" s="41">
        <v>41187</v>
      </c>
      <c r="H1639" s="41">
        <v>41917</v>
      </c>
      <c r="I1639" s="39">
        <v>2</v>
      </c>
      <c r="J1639" s="39" t="s">
        <v>1716</v>
      </c>
      <c r="K1639" s="39" t="s">
        <v>1716</v>
      </c>
      <c r="L1639" s="39" t="s">
        <v>1014</v>
      </c>
      <c r="M1639" s="38" t="s">
        <v>557</v>
      </c>
      <c r="N1639" s="38" t="s">
        <v>1042</v>
      </c>
    </row>
    <row r="1640" spans="1:14" x14ac:dyDescent="0.2">
      <c r="A1640" s="38" t="s">
        <v>557</v>
      </c>
      <c r="B1640" s="38">
        <v>151050</v>
      </c>
      <c r="C1640" s="38" t="s">
        <v>458</v>
      </c>
      <c r="D1640" s="279">
        <v>100000</v>
      </c>
      <c r="F1640" s="40">
        <v>4.6100000000000002E-2</v>
      </c>
      <c r="G1640" s="41">
        <v>41211</v>
      </c>
      <c r="H1640" s="41">
        <v>41941</v>
      </c>
      <c r="I1640" s="39">
        <v>2</v>
      </c>
      <c r="J1640" s="39" t="s">
        <v>1716</v>
      </c>
      <c r="K1640" s="39" t="s">
        <v>1716</v>
      </c>
      <c r="L1640" s="39" t="s">
        <v>1014</v>
      </c>
      <c r="M1640" s="38" t="s">
        <v>557</v>
      </c>
      <c r="N1640" s="38" t="s">
        <v>1042</v>
      </c>
    </row>
    <row r="1641" spans="1:14" x14ac:dyDescent="0.2">
      <c r="A1641" s="38" t="s">
        <v>1035</v>
      </c>
      <c r="B1641" s="38">
        <v>201320</v>
      </c>
      <c r="C1641" s="38" t="s">
        <v>81</v>
      </c>
      <c r="D1641" s="279">
        <v>100000</v>
      </c>
      <c r="F1641" s="40">
        <v>3.7999999999999999E-2</v>
      </c>
      <c r="G1641" s="41">
        <v>41666</v>
      </c>
      <c r="H1641" s="41">
        <v>42044</v>
      </c>
      <c r="I1641" s="39">
        <v>378</v>
      </c>
      <c r="J1641" s="39" t="s">
        <v>1396</v>
      </c>
      <c r="K1641" s="39" t="s">
        <v>1716</v>
      </c>
      <c r="L1641" s="39" t="s">
        <v>1014</v>
      </c>
      <c r="M1641" s="38" t="s">
        <v>1035</v>
      </c>
      <c r="N1641" s="38" t="s">
        <v>68</v>
      </c>
    </row>
    <row r="1642" spans="1:14" x14ac:dyDescent="0.2">
      <c r="A1642" s="38" t="s">
        <v>557</v>
      </c>
      <c r="B1642" s="38">
        <v>151063</v>
      </c>
      <c r="C1642" s="38" t="s">
        <v>82</v>
      </c>
      <c r="D1642" s="279">
        <v>100000</v>
      </c>
      <c r="F1642" s="40">
        <v>4.4499999999999998E-2</v>
      </c>
      <c r="G1642" s="41">
        <v>41226</v>
      </c>
      <c r="H1642" s="41">
        <v>41683</v>
      </c>
      <c r="I1642" s="39">
        <v>15</v>
      </c>
      <c r="J1642" s="39" t="s">
        <v>288</v>
      </c>
      <c r="K1642" s="39" t="s">
        <v>1716</v>
      </c>
      <c r="L1642" s="39" t="s">
        <v>1014</v>
      </c>
      <c r="M1642" s="38" t="s">
        <v>557</v>
      </c>
      <c r="N1642" s="38" t="s">
        <v>1042</v>
      </c>
    </row>
    <row r="1643" spans="1:14" x14ac:dyDescent="0.2">
      <c r="A1643" s="38" t="s">
        <v>557</v>
      </c>
      <c r="B1643" s="38">
        <v>151289</v>
      </c>
      <c r="C1643" s="38" t="s">
        <v>83</v>
      </c>
      <c r="D1643" s="279">
        <v>100000</v>
      </c>
      <c r="F1643" s="40">
        <v>4.4600000000000001E-2</v>
      </c>
      <c r="G1643" s="41">
        <v>41548</v>
      </c>
      <c r="H1643" s="41">
        <v>41912</v>
      </c>
      <c r="I1643" s="39">
        <v>52</v>
      </c>
      <c r="J1643" s="39" t="s">
        <v>369</v>
      </c>
      <c r="K1643" s="39" t="s">
        <v>1716</v>
      </c>
      <c r="L1643" s="39" t="s">
        <v>1014</v>
      </c>
      <c r="M1643" s="38" t="s">
        <v>557</v>
      </c>
      <c r="N1643" s="38" t="s">
        <v>1042</v>
      </c>
    </row>
    <row r="1644" spans="1:14" x14ac:dyDescent="0.2">
      <c r="A1644" s="38" t="s">
        <v>1015</v>
      </c>
      <c r="B1644" s="38">
        <v>100573</v>
      </c>
      <c r="C1644" s="38" t="s">
        <v>1808</v>
      </c>
      <c r="D1644" s="279">
        <v>100000</v>
      </c>
      <c r="F1644" s="40">
        <v>4.7500000000000001E-2</v>
      </c>
      <c r="G1644" s="41">
        <v>41670</v>
      </c>
      <c r="H1644" s="41">
        <v>42400</v>
      </c>
      <c r="I1644" s="39">
        <v>2</v>
      </c>
      <c r="J1644" s="39" t="s">
        <v>1716</v>
      </c>
      <c r="K1644" s="39" t="s">
        <v>1716</v>
      </c>
      <c r="L1644" s="39" t="s">
        <v>1014</v>
      </c>
      <c r="M1644" s="38" t="s">
        <v>1015</v>
      </c>
      <c r="N1644" s="38" t="s">
        <v>640</v>
      </c>
    </row>
    <row r="1645" spans="1:14" x14ac:dyDescent="0.2">
      <c r="A1645" s="38" t="s">
        <v>1035</v>
      </c>
      <c r="B1645" s="38">
        <v>201301</v>
      </c>
      <c r="C1645" s="38" t="s">
        <v>1809</v>
      </c>
      <c r="D1645" s="279">
        <v>100000</v>
      </c>
      <c r="F1645" s="40">
        <v>3.8100000000000002E-2</v>
      </c>
      <c r="G1645" s="41">
        <v>41512</v>
      </c>
      <c r="H1645" s="41">
        <v>41694</v>
      </c>
      <c r="I1645" s="39">
        <v>26</v>
      </c>
      <c r="J1645" s="39" t="s">
        <v>369</v>
      </c>
      <c r="K1645" s="39" t="s">
        <v>369</v>
      </c>
      <c r="L1645" s="39" t="s">
        <v>1014</v>
      </c>
      <c r="M1645" s="38" t="s">
        <v>1035</v>
      </c>
      <c r="N1645" s="38" t="s">
        <v>68</v>
      </c>
    </row>
    <row r="1646" spans="1:14" x14ac:dyDescent="0.2">
      <c r="A1646" s="38" t="s">
        <v>1035</v>
      </c>
      <c r="B1646" s="38">
        <v>201321</v>
      </c>
      <c r="C1646" s="38" t="s">
        <v>274</v>
      </c>
      <c r="D1646" s="279">
        <v>100000</v>
      </c>
      <c r="F1646" s="40">
        <v>4.2000000000000003E-2</v>
      </c>
      <c r="G1646" s="41">
        <v>41678</v>
      </c>
      <c r="H1646" s="41">
        <v>42408</v>
      </c>
      <c r="I1646" s="39">
        <v>2</v>
      </c>
      <c r="J1646" s="39" t="s">
        <v>1716</v>
      </c>
      <c r="K1646" s="39" t="s">
        <v>1716</v>
      </c>
      <c r="L1646" s="39" t="s">
        <v>1014</v>
      </c>
      <c r="M1646" s="38" t="s">
        <v>1035</v>
      </c>
      <c r="N1646" s="38" t="s">
        <v>68</v>
      </c>
    </row>
    <row r="1647" spans="1:14" x14ac:dyDescent="0.2">
      <c r="A1647" s="38" t="s">
        <v>557</v>
      </c>
      <c r="B1647" s="38">
        <v>151386</v>
      </c>
      <c r="C1647" s="38" t="s">
        <v>275</v>
      </c>
      <c r="D1647" s="279">
        <v>100000</v>
      </c>
      <c r="F1647" s="40">
        <v>4.0500000000000001E-2</v>
      </c>
      <c r="G1647" s="41">
        <v>41681</v>
      </c>
      <c r="H1647" s="41">
        <v>42045</v>
      </c>
      <c r="I1647" s="39">
        <v>52</v>
      </c>
      <c r="J1647" s="39" t="s">
        <v>369</v>
      </c>
      <c r="K1647" s="39" t="s">
        <v>1716</v>
      </c>
      <c r="L1647" s="39" t="s">
        <v>1014</v>
      </c>
      <c r="M1647" s="38" t="s">
        <v>557</v>
      </c>
      <c r="N1647" s="38" t="s">
        <v>1473</v>
      </c>
    </row>
    <row r="1648" spans="1:14" x14ac:dyDescent="0.2">
      <c r="A1648" s="38" t="s">
        <v>557</v>
      </c>
      <c r="B1648" s="38">
        <v>150961</v>
      </c>
      <c r="C1648" s="38" t="s">
        <v>276</v>
      </c>
      <c r="D1648" s="279">
        <v>100000</v>
      </c>
      <c r="F1648" s="40">
        <v>4.4999999999999998E-2</v>
      </c>
      <c r="G1648" s="41">
        <v>41025</v>
      </c>
      <c r="H1648" s="41">
        <v>42486</v>
      </c>
      <c r="I1648" s="39">
        <v>4</v>
      </c>
      <c r="J1648" s="39" t="s">
        <v>1716</v>
      </c>
      <c r="K1648" s="39" t="s">
        <v>1716</v>
      </c>
      <c r="L1648" s="39" t="s">
        <v>1014</v>
      </c>
      <c r="M1648" s="38" t="s">
        <v>557</v>
      </c>
      <c r="N1648" s="38" t="s">
        <v>916</v>
      </c>
    </row>
    <row r="1649" spans="1:14" x14ac:dyDescent="0.2">
      <c r="A1649" s="38" t="s">
        <v>557</v>
      </c>
      <c r="B1649" s="38">
        <v>151137</v>
      </c>
      <c r="C1649" s="38" t="s">
        <v>277</v>
      </c>
      <c r="D1649" s="279">
        <v>100000</v>
      </c>
      <c r="F1649" s="40">
        <v>4.0500000000000001E-2</v>
      </c>
      <c r="G1649" s="41">
        <v>41334</v>
      </c>
      <c r="H1649" s="41">
        <v>41698</v>
      </c>
      <c r="I1649" s="39">
        <v>364</v>
      </c>
      <c r="J1649" s="39" t="s">
        <v>1396</v>
      </c>
      <c r="K1649" s="39" t="s">
        <v>1716</v>
      </c>
      <c r="L1649" s="39" t="s">
        <v>1014</v>
      </c>
      <c r="M1649" s="38" t="s">
        <v>557</v>
      </c>
      <c r="N1649" s="38" t="s">
        <v>916</v>
      </c>
    </row>
    <row r="1650" spans="1:14" x14ac:dyDescent="0.2">
      <c r="A1650" s="38" t="s">
        <v>1035</v>
      </c>
      <c r="B1650" s="38">
        <v>201316</v>
      </c>
      <c r="C1650" s="38" t="s">
        <v>278</v>
      </c>
      <c r="D1650" s="279">
        <v>100000</v>
      </c>
      <c r="F1650" s="40">
        <v>3.73E-2</v>
      </c>
      <c r="G1650" s="41">
        <v>41617</v>
      </c>
      <c r="H1650" s="41">
        <v>41799</v>
      </c>
      <c r="I1650" s="39">
        <v>26</v>
      </c>
      <c r="J1650" s="39" t="s">
        <v>369</v>
      </c>
      <c r="K1650" s="39" t="s">
        <v>369</v>
      </c>
      <c r="L1650" s="39" t="s">
        <v>1014</v>
      </c>
      <c r="M1650" s="38" t="s">
        <v>1035</v>
      </c>
      <c r="N1650" s="38" t="s">
        <v>68</v>
      </c>
    </row>
    <row r="1651" spans="1:14" x14ac:dyDescent="0.2">
      <c r="A1651" s="38" t="s">
        <v>557</v>
      </c>
      <c r="B1651" s="38">
        <v>150686</v>
      </c>
      <c r="C1651" s="38" t="s">
        <v>923</v>
      </c>
      <c r="D1651" s="279">
        <v>100000</v>
      </c>
      <c r="F1651" s="40">
        <v>4.3499999999999997E-2</v>
      </c>
      <c r="G1651" s="41">
        <v>40487</v>
      </c>
      <c r="H1651" s="41">
        <v>42313</v>
      </c>
      <c r="I1651" s="39">
        <v>5</v>
      </c>
      <c r="J1651" s="39" t="s">
        <v>1716</v>
      </c>
      <c r="K1651" s="39" t="s">
        <v>1716</v>
      </c>
      <c r="L1651" s="39" t="s">
        <v>1014</v>
      </c>
      <c r="M1651" s="38" t="s">
        <v>557</v>
      </c>
      <c r="N1651" s="38" t="s">
        <v>916</v>
      </c>
    </row>
    <row r="1652" spans="1:14" x14ac:dyDescent="0.2">
      <c r="A1652" s="38" t="s">
        <v>557</v>
      </c>
      <c r="B1652" s="38">
        <v>151230</v>
      </c>
      <c r="C1652" s="38" t="s">
        <v>924</v>
      </c>
      <c r="D1652" s="279">
        <v>100000</v>
      </c>
      <c r="F1652" s="40">
        <v>4.9000000000000002E-2</v>
      </c>
      <c r="G1652" s="41">
        <v>41452</v>
      </c>
      <c r="H1652" s="41">
        <v>41816</v>
      </c>
      <c r="I1652" s="39">
        <v>52</v>
      </c>
      <c r="J1652" s="39" t="s">
        <v>369</v>
      </c>
      <c r="K1652" s="39" t="s">
        <v>1716</v>
      </c>
      <c r="L1652" s="39" t="s">
        <v>1014</v>
      </c>
      <c r="M1652" s="38" t="s">
        <v>557</v>
      </c>
      <c r="N1652" s="38" t="s">
        <v>1504</v>
      </c>
    </row>
    <row r="1653" spans="1:14" x14ac:dyDescent="0.2">
      <c r="A1653" s="38" t="s">
        <v>557</v>
      </c>
      <c r="B1653" s="38">
        <v>150811</v>
      </c>
      <c r="C1653" s="38" t="s">
        <v>925</v>
      </c>
      <c r="D1653" s="279">
        <v>100000</v>
      </c>
      <c r="F1653" s="40">
        <v>4.2000000000000003E-2</v>
      </c>
      <c r="G1653" s="41">
        <v>40773</v>
      </c>
      <c r="H1653" s="41">
        <v>41869</v>
      </c>
      <c r="I1653" s="39">
        <v>3</v>
      </c>
      <c r="J1653" s="39" t="s">
        <v>1716</v>
      </c>
      <c r="K1653" s="39" t="s">
        <v>1716</v>
      </c>
      <c r="L1653" s="39" t="s">
        <v>1014</v>
      </c>
      <c r="M1653" s="38" t="s">
        <v>557</v>
      </c>
      <c r="N1653" s="38" t="s">
        <v>1050</v>
      </c>
    </row>
    <row r="1654" spans="1:14" x14ac:dyDescent="0.2">
      <c r="A1654" s="38" t="s">
        <v>557</v>
      </c>
      <c r="B1654" s="38">
        <v>151390</v>
      </c>
      <c r="C1654" s="38" t="s">
        <v>688</v>
      </c>
      <c r="D1654" s="279">
        <v>100000</v>
      </c>
      <c r="F1654" s="40">
        <v>4.3999999999999997E-2</v>
      </c>
      <c r="G1654" s="41">
        <v>41695</v>
      </c>
      <c r="H1654" s="41">
        <v>42425</v>
      </c>
      <c r="I1654" s="39">
        <v>2</v>
      </c>
      <c r="J1654" s="39" t="s">
        <v>1716</v>
      </c>
      <c r="K1654" s="39" t="s">
        <v>1716</v>
      </c>
      <c r="L1654" s="39" t="s">
        <v>1014</v>
      </c>
      <c r="M1654" s="38" t="s">
        <v>557</v>
      </c>
      <c r="N1654" s="38" t="s">
        <v>1481</v>
      </c>
    </row>
    <row r="1655" spans="1:14" x14ac:dyDescent="0.2">
      <c r="A1655" s="38" t="s">
        <v>1035</v>
      </c>
      <c r="B1655" s="38">
        <v>201317</v>
      </c>
      <c r="C1655" s="38" t="s">
        <v>689</v>
      </c>
      <c r="D1655" s="279">
        <v>100000</v>
      </c>
      <c r="F1655" s="40">
        <v>5.6000000000000001E-2</v>
      </c>
      <c r="G1655" s="41">
        <v>41745</v>
      </c>
      <c r="H1655" s="41">
        <v>47224</v>
      </c>
      <c r="I1655" s="39">
        <v>15</v>
      </c>
      <c r="J1655" s="39" t="s">
        <v>1716</v>
      </c>
      <c r="K1655" s="39" t="s">
        <v>1716</v>
      </c>
      <c r="L1655" s="39" t="s">
        <v>1014</v>
      </c>
      <c r="M1655" s="38" t="s">
        <v>1035</v>
      </c>
      <c r="N1655" s="38" t="s">
        <v>68</v>
      </c>
    </row>
    <row r="1656" spans="1:14" x14ac:dyDescent="0.2">
      <c r="A1656" s="38" t="s">
        <v>557</v>
      </c>
      <c r="B1656" s="38">
        <v>151391</v>
      </c>
      <c r="C1656" s="38" t="s">
        <v>690</v>
      </c>
      <c r="D1656" s="279">
        <v>100000</v>
      </c>
      <c r="F1656" s="40">
        <v>3.6999999999999998E-2</v>
      </c>
      <c r="G1656" s="41">
        <v>41696</v>
      </c>
      <c r="H1656" s="41">
        <v>41908</v>
      </c>
      <c r="I1656" s="39">
        <v>7</v>
      </c>
      <c r="J1656" s="39" t="s">
        <v>288</v>
      </c>
      <c r="K1656" s="39" t="s">
        <v>1716</v>
      </c>
      <c r="L1656" s="39" t="s">
        <v>1014</v>
      </c>
      <c r="M1656" s="38" t="s">
        <v>557</v>
      </c>
      <c r="N1656" s="38" t="s">
        <v>1050</v>
      </c>
    </row>
    <row r="1657" spans="1:14" x14ac:dyDescent="0.2">
      <c r="A1657" s="38" t="s">
        <v>557</v>
      </c>
      <c r="B1657" s="38">
        <v>151394</v>
      </c>
      <c r="C1657" s="38" t="s">
        <v>695</v>
      </c>
      <c r="D1657" s="279">
        <v>100000</v>
      </c>
      <c r="F1657" s="40">
        <v>3.8100000000000002E-2</v>
      </c>
      <c r="G1657" s="41">
        <v>41696</v>
      </c>
      <c r="H1657" s="41">
        <v>41999</v>
      </c>
      <c r="I1657" s="39">
        <v>10</v>
      </c>
      <c r="J1657" s="39" t="s">
        <v>288</v>
      </c>
      <c r="K1657" s="39" t="s">
        <v>1716</v>
      </c>
      <c r="L1657" s="39" t="s">
        <v>1014</v>
      </c>
      <c r="M1657" s="38" t="s">
        <v>557</v>
      </c>
      <c r="N1657" s="38" t="s">
        <v>1050</v>
      </c>
    </row>
    <row r="1658" spans="1:14" x14ac:dyDescent="0.2">
      <c r="A1658" s="38" t="s">
        <v>557</v>
      </c>
      <c r="B1658" s="38">
        <v>151393</v>
      </c>
      <c r="C1658" s="38" t="s">
        <v>696</v>
      </c>
      <c r="D1658" s="279">
        <v>100000</v>
      </c>
      <c r="F1658" s="40">
        <v>3.78E-2</v>
      </c>
      <c r="G1658" s="41">
        <v>41696</v>
      </c>
      <c r="H1658" s="41">
        <v>41969</v>
      </c>
      <c r="I1658" s="39">
        <v>9</v>
      </c>
      <c r="J1658" s="39" t="s">
        <v>288</v>
      </c>
      <c r="K1658" s="39" t="s">
        <v>1716</v>
      </c>
      <c r="L1658" s="39" t="s">
        <v>1014</v>
      </c>
      <c r="M1658" s="38" t="s">
        <v>557</v>
      </c>
      <c r="N1658" s="38" t="s">
        <v>1050</v>
      </c>
    </row>
    <row r="1659" spans="1:14" x14ac:dyDescent="0.2">
      <c r="A1659" s="38" t="s">
        <v>557</v>
      </c>
      <c r="B1659" s="38">
        <v>151392</v>
      </c>
      <c r="C1659" s="38" t="s">
        <v>1159</v>
      </c>
      <c r="D1659" s="279">
        <v>100000</v>
      </c>
      <c r="F1659" s="40">
        <v>3.7400000000000003E-2</v>
      </c>
      <c r="G1659" s="41">
        <v>41696</v>
      </c>
      <c r="H1659" s="41">
        <v>41939</v>
      </c>
      <c r="I1659" s="39">
        <v>8</v>
      </c>
      <c r="J1659" s="39" t="s">
        <v>288</v>
      </c>
      <c r="K1659" s="39" t="s">
        <v>1716</v>
      </c>
      <c r="L1659" s="39" t="s">
        <v>1014</v>
      </c>
      <c r="M1659" s="38" t="s">
        <v>557</v>
      </c>
      <c r="N1659" s="38" t="s">
        <v>1050</v>
      </c>
    </row>
    <row r="1660" spans="1:14" x14ac:dyDescent="0.2">
      <c r="A1660" s="38" t="s">
        <v>557</v>
      </c>
      <c r="B1660" s="38">
        <v>151084</v>
      </c>
      <c r="C1660" s="38" t="s">
        <v>1160</v>
      </c>
      <c r="D1660" s="279">
        <v>100000</v>
      </c>
      <c r="F1660" s="40">
        <v>4.9500000000000002E-2</v>
      </c>
      <c r="G1660" s="41">
        <v>41340</v>
      </c>
      <c r="H1660" s="41">
        <v>42070</v>
      </c>
      <c r="I1660" s="39">
        <v>820</v>
      </c>
      <c r="J1660" s="39" t="s">
        <v>1396</v>
      </c>
      <c r="K1660" s="39" t="s">
        <v>1716</v>
      </c>
      <c r="L1660" s="39" t="s">
        <v>1014</v>
      </c>
      <c r="M1660" s="38" t="s">
        <v>557</v>
      </c>
      <c r="N1660" s="38" t="s">
        <v>1042</v>
      </c>
    </row>
    <row r="1661" spans="1:14" x14ac:dyDescent="0.2">
      <c r="A1661" s="38" t="s">
        <v>557</v>
      </c>
      <c r="B1661" s="38">
        <v>151397</v>
      </c>
      <c r="C1661" s="38" t="s">
        <v>712</v>
      </c>
      <c r="D1661" s="279">
        <v>100000</v>
      </c>
      <c r="F1661" s="40">
        <v>4.0599999999999997E-2</v>
      </c>
      <c r="G1661" s="41">
        <v>41703</v>
      </c>
      <c r="H1661" s="41">
        <v>42221</v>
      </c>
      <c r="I1661" s="39">
        <v>17</v>
      </c>
      <c r="J1661" s="39" t="s">
        <v>288</v>
      </c>
      <c r="K1661" s="39" t="s">
        <v>1716</v>
      </c>
      <c r="L1661" s="39" t="s">
        <v>1014</v>
      </c>
      <c r="M1661" s="38" t="s">
        <v>557</v>
      </c>
      <c r="N1661" s="38" t="s">
        <v>1050</v>
      </c>
    </row>
    <row r="1662" spans="1:14" x14ac:dyDescent="0.2">
      <c r="A1662" s="38" t="s">
        <v>557</v>
      </c>
      <c r="B1662" s="38">
        <v>151400</v>
      </c>
      <c r="C1662" s="38" t="s">
        <v>713</v>
      </c>
      <c r="D1662" s="279">
        <v>100000</v>
      </c>
      <c r="F1662" s="40">
        <v>4.2500000000000003E-2</v>
      </c>
      <c r="G1662" s="41">
        <v>41703</v>
      </c>
      <c r="H1662" s="41">
        <v>42405</v>
      </c>
      <c r="I1662" s="39">
        <v>23</v>
      </c>
      <c r="J1662" s="39" t="s">
        <v>288</v>
      </c>
      <c r="K1662" s="39" t="s">
        <v>1716</v>
      </c>
      <c r="L1662" s="39" t="s">
        <v>1014</v>
      </c>
      <c r="M1662" s="38" t="s">
        <v>557</v>
      </c>
      <c r="N1662" s="38" t="s">
        <v>1050</v>
      </c>
    </row>
    <row r="1663" spans="1:14" x14ac:dyDescent="0.2">
      <c r="A1663" s="38" t="s">
        <v>557</v>
      </c>
      <c r="B1663" s="38">
        <v>151399</v>
      </c>
      <c r="C1663" s="38" t="s">
        <v>714</v>
      </c>
      <c r="D1663" s="279">
        <v>100000</v>
      </c>
      <c r="F1663" s="40">
        <v>4.1799999999999997E-2</v>
      </c>
      <c r="G1663" s="41">
        <v>41703</v>
      </c>
      <c r="H1663" s="41">
        <v>42342</v>
      </c>
      <c r="I1663" s="39">
        <v>21</v>
      </c>
      <c r="J1663" s="39" t="s">
        <v>288</v>
      </c>
      <c r="K1663" s="39" t="s">
        <v>1716</v>
      </c>
      <c r="L1663" s="39" t="s">
        <v>1014</v>
      </c>
      <c r="M1663" s="38" t="s">
        <v>557</v>
      </c>
      <c r="N1663" s="38" t="s">
        <v>1050</v>
      </c>
    </row>
    <row r="1664" spans="1:14" x14ac:dyDescent="0.2">
      <c r="A1664" s="38" t="s">
        <v>557</v>
      </c>
      <c r="B1664" s="38">
        <v>151398</v>
      </c>
      <c r="C1664" s="38" t="s">
        <v>715</v>
      </c>
      <c r="D1664" s="279">
        <v>100000</v>
      </c>
      <c r="F1664" s="40">
        <v>4.1200000000000001E-2</v>
      </c>
      <c r="G1664" s="41">
        <v>41703</v>
      </c>
      <c r="H1664" s="41">
        <v>42282</v>
      </c>
      <c r="I1664" s="39">
        <v>19</v>
      </c>
      <c r="J1664" s="39" t="s">
        <v>288</v>
      </c>
      <c r="K1664" s="39" t="s">
        <v>1716</v>
      </c>
      <c r="L1664" s="39" t="s">
        <v>1014</v>
      </c>
      <c r="M1664" s="38" t="s">
        <v>557</v>
      </c>
      <c r="N1664" s="38" t="s">
        <v>1050</v>
      </c>
    </row>
    <row r="1665" spans="1:14" x14ac:dyDescent="0.2">
      <c r="A1665" s="38" t="s">
        <v>557</v>
      </c>
      <c r="B1665" s="38">
        <v>151175</v>
      </c>
      <c r="C1665" s="38" t="s">
        <v>716</v>
      </c>
      <c r="D1665" s="279">
        <v>100000</v>
      </c>
      <c r="F1665" s="40">
        <v>4.1500000000000002E-2</v>
      </c>
      <c r="G1665" s="41">
        <v>41390</v>
      </c>
      <c r="H1665" s="41">
        <v>41754</v>
      </c>
      <c r="I1665" s="39">
        <v>52</v>
      </c>
      <c r="J1665" s="39" t="s">
        <v>369</v>
      </c>
      <c r="K1665" s="39" t="s">
        <v>1716</v>
      </c>
      <c r="L1665" s="39" t="s">
        <v>1014</v>
      </c>
      <c r="M1665" s="38" t="s">
        <v>557</v>
      </c>
      <c r="N1665" s="38" t="s">
        <v>916</v>
      </c>
    </row>
    <row r="1666" spans="1:14" x14ac:dyDescent="0.2">
      <c r="A1666" s="38" t="s">
        <v>1035</v>
      </c>
      <c r="B1666" s="38">
        <v>201324</v>
      </c>
      <c r="C1666" s="38" t="s">
        <v>717</v>
      </c>
      <c r="D1666" s="279">
        <v>100000</v>
      </c>
      <c r="F1666" s="40">
        <v>4.65E-2</v>
      </c>
      <c r="G1666" s="41">
        <v>41743</v>
      </c>
      <c r="H1666" s="41">
        <v>43569</v>
      </c>
      <c r="I1666" s="39">
        <v>5</v>
      </c>
      <c r="J1666" s="39" t="s">
        <v>1716</v>
      </c>
      <c r="K1666" s="39" t="s">
        <v>1716</v>
      </c>
      <c r="L1666" s="39" t="s">
        <v>1014</v>
      </c>
      <c r="M1666" s="38" t="s">
        <v>1035</v>
      </c>
      <c r="N1666" s="38" t="s">
        <v>68</v>
      </c>
    </row>
    <row r="1667" spans="1:14" x14ac:dyDescent="0.2">
      <c r="A1667" s="38" t="s">
        <v>557</v>
      </c>
      <c r="B1667" s="38">
        <v>151403</v>
      </c>
      <c r="C1667" s="38" t="s">
        <v>1298</v>
      </c>
      <c r="D1667" s="279">
        <v>100000</v>
      </c>
      <c r="F1667" s="40">
        <v>4.0800000000000003E-2</v>
      </c>
      <c r="G1667" s="41">
        <v>41710</v>
      </c>
      <c r="H1667" s="41">
        <v>42258</v>
      </c>
      <c r="I1667" s="39">
        <v>18</v>
      </c>
      <c r="J1667" s="39" t="s">
        <v>288</v>
      </c>
      <c r="K1667" s="39" t="s">
        <v>1716</v>
      </c>
      <c r="L1667" s="39" t="s">
        <v>1014</v>
      </c>
      <c r="M1667" s="38" t="s">
        <v>557</v>
      </c>
      <c r="N1667" s="38" t="s">
        <v>1050</v>
      </c>
    </row>
    <row r="1668" spans="1:14" x14ac:dyDescent="0.2">
      <c r="A1668" s="38" t="s">
        <v>557</v>
      </c>
      <c r="B1668" s="38">
        <v>151404</v>
      </c>
      <c r="C1668" s="38" t="s">
        <v>1299</v>
      </c>
      <c r="D1668" s="279">
        <v>100000</v>
      </c>
      <c r="F1668" s="40">
        <v>4.1399999999999999E-2</v>
      </c>
      <c r="G1668" s="41">
        <v>41710</v>
      </c>
      <c r="H1668" s="41">
        <v>42320</v>
      </c>
      <c r="I1668" s="39">
        <v>20</v>
      </c>
      <c r="J1668" s="39" t="s">
        <v>288</v>
      </c>
      <c r="K1668" s="39" t="s">
        <v>1716</v>
      </c>
      <c r="L1668" s="39" t="s">
        <v>1014</v>
      </c>
      <c r="M1668" s="38" t="s">
        <v>557</v>
      </c>
      <c r="N1668" s="38" t="s">
        <v>1050</v>
      </c>
    </row>
    <row r="1669" spans="1:14" x14ac:dyDescent="0.2">
      <c r="A1669" s="38" t="s">
        <v>557</v>
      </c>
      <c r="B1669" s="38">
        <v>151405</v>
      </c>
      <c r="C1669" s="38" t="s">
        <v>1300</v>
      </c>
      <c r="D1669" s="279">
        <v>100000</v>
      </c>
      <c r="F1669" s="40">
        <v>4.2000000000000003E-2</v>
      </c>
      <c r="G1669" s="41">
        <v>41710</v>
      </c>
      <c r="H1669" s="41">
        <v>42381</v>
      </c>
      <c r="I1669" s="39">
        <v>22</v>
      </c>
      <c r="J1669" s="39" t="s">
        <v>288</v>
      </c>
      <c r="K1669" s="39" t="s">
        <v>1716</v>
      </c>
      <c r="L1669" s="39" t="s">
        <v>1014</v>
      </c>
      <c r="M1669" s="38" t="s">
        <v>557</v>
      </c>
      <c r="N1669" s="38" t="s">
        <v>1050</v>
      </c>
    </row>
    <row r="1670" spans="1:14" x14ac:dyDescent="0.2">
      <c r="A1670" s="38" t="s">
        <v>557</v>
      </c>
      <c r="B1670" s="38">
        <v>100575</v>
      </c>
      <c r="C1670" s="38" t="s">
        <v>1628</v>
      </c>
      <c r="D1670" s="279">
        <v>100000</v>
      </c>
      <c r="F1670" s="40">
        <v>4.3700000000000003E-2</v>
      </c>
      <c r="G1670" s="41">
        <v>41716</v>
      </c>
      <c r="H1670" s="41">
        <v>42447</v>
      </c>
      <c r="I1670" s="39">
        <v>2</v>
      </c>
      <c r="J1670" s="39" t="s">
        <v>1716</v>
      </c>
      <c r="K1670" s="39" t="s">
        <v>1716</v>
      </c>
      <c r="L1670" s="39" t="s">
        <v>1014</v>
      </c>
      <c r="M1670" s="38" t="s">
        <v>557</v>
      </c>
      <c r="N1670" s="38" t="s">
        <v>1226</v>
      </c>
    </row>
    <row r="1671" spans="1:14" x14ac:dyDescent="0.2">
      <c r="A1671" s="38" t="s">
        <v>557</v>
      </c>
      <c r="B1671" s="38">
        <v>150439</v>
      </c>
      <c r="C1671" s="38" t="s">
        <v>1792</v>
      </c>
      <c r="D1671" s="279">
        <v>100000</v>
      </c>
      <c r="F1671" s="40">
        <v>4.5999999999999999E-2</v>
      </c>
      <c r="G1671" s="41">
        <v>39626</v>
      </c>
      <c r="H1671" s="41">
        <v>41817</v>
      </c>
      <c r="I1671" s="39">
        <v>6</v>
      </c>
      <c r="J1671" s="39" t="s">
        <v>1716</v>
      </c>
      <c r="K1671" s="39" t="s">
        <v>1716</v>
      </c>
      <c r="L1671" s="39" t="s">
        <v>1014</v>
      </c>
      <c r="M1671" s="38" t="s">
        <v>557</v>
      </c>
      <c r="N1671" s="38" t="s">
        <v>1050</v>
      </c>
    </row>
    <row r="1672" spans="1:14" x14ac:dyDescent="0.2">
      <c r="A1672" s="38" t="s">
        <v>557</v>
      </c>
      <c r="B1672" s="38">
        <v>150997</v>
      </c>
      <c r="C1672" s="38" t="s">
        <v>1793</v>
      </c>
      <c r="D1672" s="279">
        <v>100000</v>
      </c>
      <c r="F1672" s="40">
        <v>4.2999999999999997E-2</v>
      </c>
      <c r="G1672" s="41">
        <v>41089</v>
      </c>
      <c r="H1672" s="41">
        <v>41819</v>
      </c>
      <c r="I1672" s="39">
        <v>2</v>
      </c>
      <c r="J1672" s="39" t="s">
        <v>1716</v>
      </c>
      <c r="K1672" s="39" t="s">
        <v>1716</v>
      </c>
      <c r="L1672" s="39" t="s">
        <v>1014</v>
      </c>
      <c r="M1672" s="38" t="s">
        <v>557</v>
      </c>
      <c r="N1672" s="38" t="s">
        <v>918</v>
      </c>
    </row>
    <row r="1673" spans="1:14" x14ac:dyDescent="0.2">
      <c r="A1673" s="38" t="s">
        <v>557</v>
      </c>
      <c r="B1673" s="38">
        <v>151413</v>
      </c>
      <c r="C1673" s="38" t="s">
        <v>1794</v>
      </c>
      <c r="D1673" s="279">
        <v>100000</v>
      </c>
      <c r="F1673" s="40">
        <v>3.7499999999999999E-2</v>
      </c>
      <c r="G1673" s="41">
        <v>41719</v>
      </c>
      <c r="H1673" s="41">
        <v>42083</v>
      </c>
      <c r="I1673" s="39">
        <v>52</v>
      </c>
      <c r="J1673" s="39" t="s">
        <v>369</v>
      </c>
      <c r="K1673" s="39" t="s">
        <v>1716</v>
      </c>
      <c r="L1673" s="39" t="s">
        <v>1014</v>
      </c>
      <c r="M1673" s="38" t="s">
        <v>557</v>
      </c>
      <c r="N1673" s="38" t="s">
        <v>1042</v>
      </c>
    </row>
    <row r="1674" spans="1:14" x14ac:dyDescent="0.2">
      <c r="A1674" s="38" t="s">
        <v>557</v>
      </c>
      <c r="B1674" s="38">
        <v>151412</v>
      </c>
      <c r="C1674" s="38" t="s">
        <v>1795</v>
      </c>
      <c r="D1674" s="279">
        <v>100000</v>
      </c>
      <c r="F1674" s="40">
        <v>4.1000000000000002E-2</v>
      </c>
      <c r="G1674" s="41">
        <v>41719</v>
      </c>
      <c r="H1674" s="41">
        <v>42450</v>
      </c>
      <c r="I1674" s="39">
        <v>2</v>
      </c>
      <c r="J1674" s="39" t="s">
        <v>1716</v>
      </c>
      <c r="K1674" s="39" t="s">
        <v>1716</v>
      </c>
      <c r="L1674" s="39" t="s">
        <v>1014</v>
      </c>
      <c r="M1674" s="38" t="s">
        <v>557</v>
      </c>
      <c r="N1674" s="38" t="s">
        <v>1042</v>
      </c>
    </row>
    <row r="1675" spans="1:14" x14ac:dyDescent="0.2">
      <c r="A1675" s="38" t="s">
        <v>557</v>
      </c>
      <c r="B1675" s="38">
        <v>151416</v>
      </c>
      <c r="C1675" s="38" t="s">
        <v>110</v>
      </c>
      <c r="D1675" s="279">
        <v>100000</v>
      </c>
      <c r="F1675" s="40">
        <v>4.1700000000000001E-2</v>
      </c>
      <c r="G1675" s="41">
        <v>41729</v>
      </c>
      <c r="H1675" s="41">
        <v>42521</v>
      </c>
      <c r="I1675" s="39">
        <v>2</v>
      </c>
      <c r="J1675" s="39" t="s">
        <v>1716</v>
      </c>
      <c r="K1675" s="39" t="s">
        <v>1716</v>
      </c>
      <c r="L1675" s="39" t="s">
        <v>1014</v>
      </c>
      <c r="M1675" s="38" t="s">
        <v>557</v>
      </c>
      <c r="N1675" s="38" t="s">
        <v>1050</v>
      </c>
    </row>
    <row r="1676" spans="1:14" x14ac:dyDescent="0.2">
      <c r="A1676" s="38" t="s">
        <v>1035</v>
      </c>
      <c r="B1676" s="38">
        <v>201328</v>
      </c>
      <c r="C1676" s="38" t="s">
        <v>1277</v>
      </c>
      <c r="D1676" s="279">
        <v>100000</v>
      </c>
      <c r="F1676" s="40">
        <v>5.8500000000000003E-2</v>
      </c>
      <c r="G1676" s="41">
        <v>41729</v>
      </c>
      <c r="H1676" s="41">
        <v>49034</v>
      </c>
      <c r="I1676" s="39">
        <v>20</v>
      </c>
      <c r="J1676" s="39" t="s">
        <v>1716</v>
      </c>
      <c r="K1676" s="39" t="s">
        <v>1716</v>
      </c>
      <c r="L1676" s="39" t="s">
        <v>1014</v>
      </c>
      <c r="M1676" s="38" t="s">
        <v>1035</v>
      </c>
      <c r="N1676" s="38" t="s">
        <v>68</v>
      </c>
    </row>
    <row r="1677" spans="1:14" x14ac:dyDescent="0.2">
      <c r="A1677" s="38" t="s">
        <v>557</v>
      </c>
      <c r="B1677" s="38">
        <v>151434</v>
      </c>
      <c r="C1677" s="38" t="s">
        <v>1244</v>
      </c>
      <c r="D1677" s="279">
        <v>100000</v>
      </c>
      <c r="F1677" s="40">
        <v>3.4799999999999998E-2</v>
      </c>
      <c r="G1677" s="41">
        <v>41745</v>
      </c>
      <c r="H1677" s="41">
        <v>41927</v>
      </c>
      <c r="I1677" s="39">
        <v>26</v>
      </c>
      <c r="J1677" s="39" t="s">
        <v>369</v>
      </c>
      <c r="K1677" s="39" t="s">
        <v>369</v>
      </c>
      <c r="L1677" s="39" t="s">
        <v>1014</v>
      </c>
      <c r="M1677" s="38" t="s">
        <v>557</v>
      </c>
      <c r="N1677" s="38" t="s">
        <v>1481</v>
      </c>
    </row>
    <row r="1678" spans="1:14" x14ac:dyDescent="0.2">
      <c r="A1678" s="38" t="s">
        <v>557</v>
      </c>
      <c r="B1678" s="38">
        <v>151433</v>
      </c>
      <c r="C1678" s="38" t="s">
        <v>1245</v>
      </c>
      <c r="D1678" s="279">
        <v>100000</v>
      </c>
      <c r="F1678" s="40">
        <v>3.3500000000000002E-2</v>
      </c>
      <c r="G1678" s="41">
        <v>41745</v>
      </c>
      <c r="H1678" s="41">
        <v>41836</v>
      </c>
      <c r="I1678" s="39">
        <v>13</v>
      </c>
      <c r="J1678" s="39" t="s">
        <v>369</v>
      </c>
      <c r="K1678" s="39" t="s">
        <v>369</v>
      </c>
      <c r="L1678" s="39" t="s">
        <v>1014</v>
      </c>
      <c r="M1678" s="38" t="s">
        <v>557</v>
      </c>
      <c r="N1678" s="38" t="s">
        <v>1481</v>
      </c>
    </row>
    <row r="1679" spans="1:14" x14ac:dyDescent="0.2">
      <c r="A1679" s="38" t="s">
        <v>557</v>
      </c>
      <c r="B1679" s="38">
        <v>151440</v>
      </c>
      <c r="C1679" s="38" t="s">
        <v>826</v>
      </c>
      <c r="D1679" s="279">
        <v>100000</v>
      </c>
      <c r="F1679" s="40">
        <v>4.2799999999999998E-2</v>
      </c>
      <c r="G1679" s="41">
        <v>41752</v>
      </c>
      <c r="H1679" s="41">
        <v>42848</v>
      </c>
      <c r="I1679" s="39">
        <v>3</v>
      </c>
      <c r="J1679" s="39" t="s">
        <v>1716</v>
      </c>
      <c r="K1679" s="39" t="s">
        <v>1716</v>
      </c>
      <c r="L1679" s="39" t="s">
        <v>1014</v>
      </c>
      <c r="M1679" s="38" t="s">
        <v>557</v>
      </c>
      <c r="N1679" s="38" t="s">
        <v>1481</v>
      </c>
    </row>
    <row r="1680" spans="1:14" x14ac:dyDescent="0.2">
      <c r="A1680" s="38" t="s">
        <v>557</v>
      </c>
      <c r="B1680" s="38">
        <v>151451</v>
      </c>
      <c r="C1680" s="38" t="s">
        <v>827</v>
      </c>
      <c r="D1680" s="279">
        <v>100000</v>
      </c>
      <c r="F1680" s="40">
        <v>4.5499999999999999E-2</v>
      </c>
      <c r="G1680" s="41">
        <v>41759</v>
      </c>
      <c r="H1680" s="41">
        <v>43585</v>
      </c>
      <c r="I1680" s="39">
        <v>5</v>
      </c>
      <c r="J1680" s="39" t="s">
        <v>1716</v>
      </c>
      <c r="K1680" s="39" t="s">
        <v>1716</v>
      </c>
      <c r="L1680" s="39" t="s">
        <v>1014</v>
      </c>
      <c r="M1680" s="38" t="s">
        <v>557</v>
      </c>
      <c r="N1680" s="38" t="s">
        <v>1042</v>
      </c>
    </row>
    <row r="1681" spans="1:14" x14ac:dyDescent="0.2">
      <c r="A1681" s="38" t="s">
        <v>557</v>
      </c>
      <c r="B1681" s="38">
        <v>151449</v>
      </c>
      <c r="C1681" s="38" t="s">
        <v>806</v>
      </c>
      <c r="D1681" s="279">
        <v>100000</v>
      </c>
      <c r="F1681" s="40">
        <v>4.2000000000000003E-2</v>
      </c>
      <c r="G1681" s="41">
        <v>41759</v>
      </c>
      <c r="H1681" s="41">
        <v>42855</v>
      </c>
      <c r="I1681" s="39">
        <v>3</v>
      </c>
      <c r="J1681" s="39" t="s">
        <v>1716</v>
      </c>
      <c r="K1681" s="39" t="s">
        <v>1716</v>
      </c>
      <c r="L1681" s="39" t="s">
        <v>1014</v>
      </c>
      <c r="M1681" s="38" t="s">
        <v>557</v>
      </c>
      <c r="N1681" s="38" t="s">
        <v>1042</v>
      </c>
    </row>
    <row r="1682" spans="1:14" x14ac:dyDescent="0.2">
      <c r="A1682" s="38" t="s">
        <v>1523</v>
      </c>
      <c r="B1682" s="38">
        <v>5032</v>
      </c>
      <c r="C1682" s="38" t="s">
        <v>1062</v>
      </c>
      <c r="D1682" s="279">
        <v>100000</v>
      </c>
      <c r="F1682" s="40">
        <v>4.4200000000000003E-2</v>
      </c>
      <c r="G1682" s="41">
        <v>41759</v>
      </c>
      <c r="H1682" s="41">
        <v>44661</v>
      </c>
      <c r="I1682" s="39">
        <v>8</v>
      </c>
      <c r="J1682" s="39" t="s">
        <v>1716</v>
      </c>
      <c r="K1682" s="39" t="s">
        <v>1525</v>
      </c>
      <c r="L1682" s="39" t="s">
        <v>1014</v>
      </c>
      <c r="M1682" s="38" t="s">
        <v>1523</v>
      </c>
      <c r="N1682" s="38" t="s">
        <v>1063</v>
      </c>
    </row>
    <row r="1683" spans="1:14" x14ac:dyDescent="0.2">
      <c r="A1683" s="38" t="s">
        <v>1035</v>
      </c>
      <c r="B1683" s="38">
        <v>201331</v>
      </c>
      <c r="C1683" s="38" t="s">
        <v>1064</v>
      </c>
      <c r="D1683" s="279">
        <v>100000</v>
      </c>
      <c r="F1683" s="40">
        <v>5.45E-2</v>
      </c>
      <c r="G1683" s="41">
        <v>41743</v>
      </c>
      <c r="H1683" s="41">
        <v>47336</v>
      </c>
      <c r="I1683" s="39">
        <v>15</v>
      </c>
      <c r="J1683" s="39" t="s">
        <v>1716</v>
      </c>
      <c r="K1683" s="39" t="s">
        <v>1716</v>
      </c>
      <c r="L1683" s="39" t="s">
        <v>1014</v>
      </c>
      <c r="M1683" s="38" t="s">
        <v>1035</v>
      </c>
      <c r="N1683" s="38" t="s">
        <v>68</v>
      </c>
    </row>
    <row r="1684" spans="1:14" x14ac:dyDescent="0.2">
      <c r="A1684" s="38" t="s">
        <v>557</v>
      </c>
      <c r="B1684" s="38">
        <v>151459</v>
      </c>
      <c r="C1684" s="38" t="s">
        <v>1065</v>
      </c>
      <c r="D1684" s="279">
        <v>100000</v>
      </c>
      <c r="F1684" s="40">
        <v>4.1500000000000002E-2</v>
      </c>
      <c r="G1684" s="41">
        <v>41767</v>
      </c>
      <c r="H1684" s="41">
        <v>42863</v>
      </c>
      <c r="I1684" s="39">
        <v>3</v>
      </c>
      <c r="J1684" s="39" t="s">
        <v>1716</v>
      </c>
      <c r="K1684" s="39" t="s">
        <v>1716</v>
      </c>
      <c r="L1684" s="39" t="s">
        <v>1014</v>
      </c>
      <c r="M1684" s="38" t="s">
        <v>557</v>
      </c>
      <c r="N1684" s="38" t="s">
        <v>1042</v>
      </c>
    </row>
    <row r="1685" spans="1:14" x14ac:dyDescent="0.2">
      <c r="A1685" s="38" t="s">
        <v>557</v>
      </c>
      <c r="B1685" s="38">
        <v>151467</v>
      </c>
      <c r="C1685" s="38" t="s">
        <v>590</v>
      </c>
      <c r="D1685" s="279">
        <v>100000</v>
      </c>
      <c r="F1685" s="40">
        <v>3.5000000000000003E-2</v>
      </c>
      <c r="G1685" s="41">
        <v>41772</v>
      </c>
      <c r="H1685" s="41">
        <v>41954</v>
      </c>
      <c r="I1685" s="39">
        <v>26</v>
      </c>
      <c r="J1685" s="39" t="s">
        <v>369</v>
      </c>
      <c r="K1685" s="39" t="s">
        <v>369</v>
      </c>
      <c r="L1685" s="39" t="s">
        <v>1014</v>
      </c>
      <c r="M1685" s="38" t="s">
        <v>557</v>
      </c>
      <c r="N1685" s="38" t="s">
        <v>1042</v>
      </c>
    </row>
    <row r="1686" spans="1:14" x14ac:dyDescent="0.2">
      <c r="A1686" s="38" t="s">
        <v>557</v>
      </c>
      <c r="B1686" s="38">
        <v>151469</v>
      </c>
      <c r="C1686" s="38" t="s">
        <v>176</v>
      </c>
      <c r="D1686" s="279">
        <v>100000</v>
      </c>
      <c r="F1686" s="40">
        <v>4.2000000000000003E-2</v>
      </c>
      <c r="G1686" s="41">
        <v>41774</v>
      </c>
      <c r="H1686" s="41">
        <v>42870</v>
      </c>
      <c r="I1686" s="39">
        <v>3</v>
      </c>
      <c r="J1686" s="39" t="s">
        <v>1716</v>
      </c>
      <c r="K1686" s="39" t="s">
        <v>1716</v>
      </c>
      <c r="L1686" s="39" t="s">
        <v>1014</v>
      </c>
      <c r="M1686" s="38" t="s">
        <v>557</v>
      </c>
      <c r="N1686" s="38" t="s">
        <v>1042</v>
      </c>
    </row>
    <row r="1687" spans="1:14" x14ac:dyDescent="0.2">
      <c r="A1687" s="38" t="s">
        <v>557</v>
      </c>
      <c r="B1687" s="38">
        <v>151472</v>
      </c>
      <c r="C1687" s="38" t="s">
        <v>177</v>
      </c>
      <c r="D1687" s="279">
        <v>100000</v>
      </c>
      <c r="F1687" s="40">
        <v>3.0800000000000001E-2</v>
      </c>
      <c r="G1687" s="41">
        <v>41779</v>
      </c>
      <c r="H1687" s="41">
        <v>43605</v>
      </c>
      <c r="I1687" s="39">
        <v>5</v>
      </c>
      <c r="J1687" s="39" t="s">
        <v>1716</v>
      </c>
      <c r="K1687" s="39" t="s">
        <v>1716</v>
      </c>
      <c r="L1687" s="39" t="s">
        <v>1014</v>
      </c>
      <c r="M1687" s="38" t="s">
        <v>557</v>
      </c>
      <c r="N1687" s="38" t="s">
        <v>1004</v>
      </c>
    </row>
    <row r="1688" spans="1:14" x14ac:dyDescent="0.2">
      <c r="A1688" s="38" t="s">
        <v>557</v>
      </c>
      <c r="B1688" s="38">
        <v>151474</v>
      </c>
      <c r="C1688" s="38" t="s">
        <v>1870</v>
      </c>
      <c r="D1688" s="279">
        <v>100000</v>
      </c>
      <c r="F1688" s="40">
        <v>4.1500000000000002E-2</v>
      </c>
      <c r="G1688" s="41">
        <v>41780</v>
      </c>
      <c r="H1688" s="41">
        <v>42876</v>
      </c>
      <c r="I1688" s="39">
        <v>3</v>
      </c>
      <c r="J1688" s="39" t="s">
        <v>1716</v>
      </c>
      <c r="K1688" s="39" t="s">
        <v>1716</v>
      </c>
      <c r="L1688" s="39" t="s">
        <v>1014</v>
      </c>
      <c r="M1688" s="38" t="s">
        <v>557</v>
      </c>
      <c r="N1688" s="38" t="s">
        <v>1871</v>
      </c>
    </row>
    <row r="1689" spans="1:14" x14ac:dyDescent="0.2">
      <c r="A1689" s="38" t="s">
        <v>557</v>
      </c>
      <c r="B1689" s="38">
        <v>150866</v>
      </c>
      <c r="C1689" s="38" t="s">
        <v>1469</v>
      </c>
      <c r="D1689" s="279">
        <v>100000</v>
      </c>
      <c r="F1689" s="40">
        <v>4.9000000000000002E-2</v>
      </c>
      <c r="G1689" s="41">
        <v>40878</v>
      </c>
      <c r="H1689" s="41">
        <v>43435</v>
      </c>
      <c r="I1689" s="39">
        <v>7</v>
      </c>
      <c r="J1689" s="39" t="s">
        <v>1716</v>
      </c>
      <c r="K1689" s="39" t="s">
        <v>1716</v>
      </c>
      <c r="L1689" s="39" t="s">
        <v>1014</v>
      </c>
      <c r="M1689" s="38" t="s">
        <v>557</v>
      </c>
      <c r="N1689" s="38" t="s">
        <v>771</v>
      </c>
    </row>
    <row r="1690" spans="1:14" x14ac:dyDescent="0.2">
      <c r="A1690" s="38" t="s">
        <v>1015</v>
      </c>
      <c r="B1690" s="38">
        <v>100578</v>
      </c>
      <c r="C1690" s="38" t="s">
        <v>384</v>
      </c>
      <c r="D1690" s="279">
        <v>100000</v>
      </c>
      <c r="F1690" s="40">
        <v>4.0500000000000001E-2</v>
      </c>
      <c r="G1690" s="41">
        <v>41787</v>
      </c>
      <c r="H1690" s="41">
        <v>42517</v>
      </c>
      <c r="I1690" s="39">
        <v>2</v>
      </c>
      <c r="J1690" s="39" t="s">
        <v>1716</v>
      </c>
      <c r="K1690" s="39" t="s">
        <v>1716</v>
      </c>
      <c r="L1690" s="39" t="s">
        <v>1014</v>
      </c>
      <c r="M1690" s="38" t="s">
        <v>1015</v>
      </c>
      <c r="N1690" s="38" t="s">
        <v>1226</v>
      </c>
    </row>
    <row r="1691" spans="1:14" x14ac:dyDescent="0.2">
      <c r="A1691" s="38" t="s">
        <v>1803</v>
      </c>
      <c r="B1691" s="38">
        <v>9192</v>
      </c>
      <c r="C1691" s="38" t="s">
        <v>385</v>
      </c>
      <c r="D1691" s="279">
        <v>100000</v>
      </c>
      <c r="F1691" s="40">
        <v>5.8000000000000003E-2</v>
      </c>
      <c r="G1691" s="41">
        <v>41428</v>
      </c>
      <c r="H1691" s="41">
        <v>45080</v>
      </c>
      <c r="I1691" s="39">
        <v>10</v>
      </c>
      <c r="J1691" s="39" t="s">
        <v>1716</v>
      </c>
      <c r="K1691" s="39" t="s">
        <v>1716</v>
      </c>
      <c r="L1691" s="39" t="s">
        <v>1014</v>
      </c>
      <c r="M1691" s="38" t="s">
        <v>1803</v>
      </c>
      <c r="N1691" s="38" t="s">
        <v>1804</v>
      </c>
    </row>
    <row r="1692" spans="1:14" x14ac:dyDescent="0.2">
      <c r="A1692" s="38" t="s">
        <v>1035</v>
      </c>
      <c r="B1692" s="38">
        <v>201334</v>
      </c>
      <c r="C1692" s="38" t="s">
        <v>547</v>
      </c>
      <c r="D1692" s="279">
        <v>100000</v>
      </c>
      <c r="F1692" s="40">
        <v>3.4500000000000003E-2</v>
      </c>
      <c r="G1692" s="41">
        <v>41803</v>
      </c>
      <c r="H1692" s="41">
        <v>42534</v>
      </c>
      <c r="I1692" s="39">
        <v>2</v>
      </c>
      <c r="J1692" s="39" t="s">
        <v>1716</v>
      </c>
      <c r="K1692" s="39" t="s">
        <v>1716</v>
      </c>
      <c r="L1692" s="39" t="s">
        <v>1014</v>
      </c>
      <c r="M1692" s="38" t="s">
        <v>1035</v>
      </c>
      <c r="N1692" s="38" t="s">
        <v>68</v>
      </c>
    </row>
    <row r="1693" spans="1:14" x14ac:dyDescent="0.2">
      <c r="A1693" s="38" t="s">
        <v>1015</v>
      </c>
      <c r="B1693" s="38">
        <v>100579</v>
      </c>
      <c r="C1693" s="38" t="s">
        <v>548</v>
      </c>
      <c r="D1693" s="279">
        <v>100000</v>
      </c>
      <c r="F1693" s="40">
        <v>0.04</v>
      </c>
      <c r="G1693" s="41">
        <v>41800</v>
      </c>
      <c r="H1693" s="41">
        <v>42531</v>
      </c>
      <c r="I1693" s="39">
        <v>2</v>
      </c>
      <c r="J1693" s="39" t="s">
        <v>1716</v>
      </c>
      <c r="K1693" s="39" t="s">
        <v>1716</v>
      </c>
      <c r="L1693" s="39" t="s">
        <v>1014</v>
      </c>
      <c r="M1693" s="38" t="s">
        <v>1015</v>
      </c>
      <c r="N1693" s="38" t="s">
        <v>1226</v>
      </c>
    </row>
    <row r="1694" spans="1:14" x14ac:dyDescent="0.2">
      <c r="A1694" s="38" t="s">
        <v>1035</v>
      </c>
      <c r="B1694" s="38">
        <v>201339</v>
      </c>
      <c r="C1694" s="38" t="s">
        <v>75</v>
      </c>
      <c r="D1694" s="279">
        <v>100000</v>
      </c>
      <c r="F1694" s="40">
        <v>3.9E-2</v>
      </c>
      <c r="G1694" s="41">
        <v>41933</v>
      </c>
      <c r="H1694" s="41">
        <v>43759</v>
      </c>
      <c r="I1694" s="39">
        <v>5</v>
      </c>
      <c r="J1694" s="39" t="s">
        <v>1716</v>
      </c>
      <c r="K1694" s="39" t="s">
        <v>1716</v>
      </c>
      <c r="L1694" s="39" t="s">
        <v>1014</v>
      </c>
      <c r="M1694" s="38" t="s">
        <v>1035</v>
      </c>
      <c r="N1694" s="38" t="s">
        <v>68</v>
      </c>
    </row>
    <row r="1695" spans="1:14" x14ac:dyDescent="0.2">
      <c r="A1695" s="38" t="s">
        <v>557</v>
      </c>
      <c r="B1695" s="38">
        <v>151466</v>
      </c>
      <c r="C1695" s="38" t="s">
        <v>1400</v>
      </c>
      <c r="D1695" s="279">
        <v>100000</v>
      </c>
      <c r="F1695" s="40">
        <v>3.9E-2</v>
      </c>
      <c r="G1695" s="41">
        <v>41772</v>
      </c>
      <c r="H1695" s="41">
        <v>42503</v>
      </c>
      <c r="I1695" s="39">
        <v>2</v>
      </c>
      <c r="J1695" s="39" t="s">
        <v>1716</v>
      </c>
      <c r="K1695" s="39" t="s">
        <v>1716</v>
      </c>
      <c r="L1695" s="39" t="s">
        <v>1014</v>
      </c>
      <c r="M1695" s="38" t="s">
        <v>557</v>
      </c>
      <c r="N1695" s="38" t="s">
        <v>1042</v>
      </c>
    </row>
    <row r="1696" spans="1:14" x14ac:dyDescent="0.2">
      <c r="A1696" s="38" t="s">
        <v>557</v>
      </c>
      <c r="B1696" s="38">
        <v>151497</v>
      </c>
      <c r="D1696" s="279">
        <v>100000</v>
      </c>
      <c r="F1696" s="40">
        <v>3.85E-2</v>
      </c>
      <c r="G1696" s="41">
        <v>41810</v>
      </c>
      <c r="H1696" s="41">
        <v>42541</v>
      </c>
      <c r="I1696" s="39">
        <v>2</v>
      </c>
      <c r="J1696" s="39" t="s">
        <v>1716</v>
      </c>
      <c r="K1696" s="39" t="s">
        <v>1716</v>
      </c>
      <c r="L1696" s="39" t="s">
        <v>1014</v>
      </c>
      <c r="M1696" s="38" t="s">
        <v>557</v>
      </c>
      <c r="N1696" s="38" t="s">
        <v>1481</v>
      </c>
    </row>
    <row r="1697" spans="1:14" x14ac:dyDescent="0.2">
      <c r="A1697" s="38" t="s">
        <v>1035</v>
      </c>
      <c r="B1697" s="38">
        <v>201338</v>
      </c>
      <c r="C1697" s="38" t="s">
        <v>1881</v>
      </c>
      <c r="D1697" s="279">
        <v>100000</v>
      </c>
      <c r="F1697" s="40">
        <v>4.5499999999999999E-2</v>
      </c>
      <c r="G1697" s="41">
        <v>41792</v>
      </c>
      <c r="H1697" s="41">
        <v>45810</v>
      </c>
      <c r="I1697" s="39">
        <v>11</v>
      </c>
      <c r="J1697" s="39" t="s">
        <v>1716</v>
      </c>
      <c r="K1697" s="39" t="s">
        <v>1716</v>
      </c>
      <c r="L1697" s="39" t="s">
        <v>1014</v>
      </c>
      <c r="M1697" s="38" t="s">
        <v>1035</v>
      </c>
      <c r="N1697" s="38" t="s">
        <v>68</v>
      </c>
    </row>
    <row r="1698" spans="1:14" x14ac:dyDescent="0.2">
      <c r="A1698" s="38" t="s">
        <v>1035</v>
      </c>
      <c r="B1698" s="38">
        <v>201336</v>
      </c>
      <c r="C1698" s="38" t="s">
        <v>1882</v>
      </c>
      <c r="D1698" s="279">
        <v>100000</v>
      </c>
      <c r="F1698" s="40">
        <v>3.3000000000000002E-2</v>
      </c>
      <c r="G1698" s="41">
        <v>41791</v>
      </c>
      <c r="H1698" s="41">
        <v>42156</v>
      </c>
      <c r="I1698" s="39">
        <v>52</v>
      </c>
      <c r="J1698" s="39" t="s">
        <v>369</v>
      </c>
      <c r="K1698" s="39" t="s">
        <v>1716</v>
      </c>
      <c r="L1698" s="39" t="s">
        <v>1014</v>
      </c>
      <c r="M1698" s="38" t="s">
        <v>1035</v>
      </c>
      <c r="N1698" s="38" t="s">
        <v>68</v>
      </c>
    </row>
    <row r="1699" spans="1:14" x14ac:dyDescent="0.2">
      <c r="A1699" s="38" t="s">
        <v>1015</v>
      </c>
      <c r="B1699" s="38">
        <v>100583</v>
      </c>
      <c r="C1699" s="38" t="s">
        <v>1883</v>
      </c>
      <c r="D1699" s="279">
        <v>100000</v>
      </c>
      <c r="F1699" s="40">
        <v>3.9E-2</v>
      </c>
      <c r="G1699" s="41">
        <v>41836</v>
      </c>
      <c r="H1699" s="41">
        <v>42567</v>
      </c>
      <c r="I1699" s="39">
        <v>2</v>
      </c>
      <c r="J1699" s="39" t="s">
        <v>1716</v>
      </c>
      <c r="K1699" s="39" t="s">
        <v>1716</v>
      </c>
      <c r="L1699" s="39" t="s">
        <v>1014</v>
      </c>
      <c r="M1699" s="38" t="s">
        <v>1015</v>
      </c>
      <c r="N1699" s="38" t="s">
        <v>1226</v>
      </c>
    </row>
    <row r="1700" spans="1:14" x14ac:dyDescent="0.2">
      <c r="A1700" s="38" t="s">
        <v>1803</v>
      </c>
      <c r="B1700" s="38">
        <v>9199</v>
      </c>
      <c r="C1700" s="38" t="s">
        <v>240</v>
      </c>
      <c r="D1700" s="279">
        <v>100000</v>
      </c>
      <c r="F1700" s="40">
        <v>6.3E-2</v>
      </c>
      <c r="G1700" s="41">
        <v>41428</v>
      </c>
      <c r="H1700" s="41">
        <v>46907</v>
      </c>
      <c r="I1700" s="39">
        <v>15</v>
      </c>
      <c r="J1700" s="39" t="s">
        <v>1716</v>
      </c>
      <c r="K1700" s="39" t="s">
        <v>1716</v>
      </c>
      <c r="L1700" s="39" t="s">
        <v>1014</v>
      </c>
      <c r="M1700" s="38" t="s">
        <v>1803</v>
      </c>
      <c r="N1700" s="38" t="s">
        <v>241</v>
      </c>
    </row>
    <row r="1701" spans="1:14" x14ac:dyDescent="0.2">
      <c r="A1701" s="38" t="s">
        <v>1803</v>
      </c>
      <c r="B1701" s="38">
        <v>9221</v>
      </c>
      <c r="C1701" s="38" t="s">
        <v>242</v>
      </c>
      <c r="D1701" s="279">
        <v>100000</v>
      </c>
      <c r="F1701" s="40">
        <v>6.4799999999999996E-2</v>
      </c>
      <c r="G1701" s="41">
        <v>41845</v>
      </c>
      <c r="H1701" s="41">
        <v>43306</v>
      </c>
      <c r="I1701" s="39">
        <v>4</v>
      </c>
      <c r="J1701" s="39" t="s">
        <v>1716</v>
      </c>
      <c r="K1701" s="39" t="s">
        <v>1716</v>
      </c>
      <c r="L1701" s="39" t="s">
        <v>1014</v>
      </c>
      <c r="M1701" s="38" t="s">
        <v>1803</v>
      </c>
      <c r="N1701" s="38" t="s">
        <v>243</v>
      </c>
    </row>
    <row r="1702" spans="1:14" x14ac:dyDescent="0.2">
      <c r="A1702" s="38" t="s">
        <v>557</v>
      </c>
      <c r="B1702" s="38">
        <v>151264</v>
      </c>
      <c r="C1702" s="38" t="s">
        <v>244</v>
      </c>
      <c r="D1702" s="279">
        <v>100000</v>
      </c>
      <c r="F1702" s="40">
        <v>4.1000000000000002E-2</v>
      </c>
      <c r="G1702" s="41">
        <v>41502</v>
      </c>
      <c r="H1702" s="41">
        <v>41866</v>
      </c>
      <c r="I1702" s="39">
        <v>52</v>
      </c>
      <c r="J1702" s="39" t="s">
        <v>369</v>
      </c>
      <c r="K1702" s="39" t="s">
        <v>1716</v>
      </c>
      <c r="L1702" s="39" t="s">
        <v>1014</v>
      </c>
      <c r="M1702" s="38" t="s">
        <v>557</v>
      </c>
      <c r="N1702" s="38" t="s">
        <v>916</v>
      </c>
    </row>
    <row r="1703" spans="1:14" x14ac:dyDescent="0.2">
      <c r="A1703" s="38" t="s">
        <v>557</v>
      </c>
      <c r="B1703" s="38">
        <v>151518</v>
      </c>
      <c r="C1703" s="38" t="s">
        <v>935</v>
      </c>
      <c r="D1703" s="279">
        <v>100000</v>
      </c>
      <c r="F1703" s="40">
        <v>3.3599999999999998E-2</v>
      </c>
      <c r="G1703" s="41">
        <v>41859</v>
      </c>
      <c r="H1703" s="41">
        <v>42041</v>
      </c>
      <c r="I1703" s="39">
        <v>26</v>
      </c>
      <c r="J1703" s="39" t="s">
        <v>369</v>
      </c>
      <c r="K1703" s="39" t="s">
        <v>369</v>
      </c>
      <c r="L1703" s="39" t="s">
        <v>1014</v>
      </c>
      <c r="M1703" s="38" t="s">
        <v>557</v>
      </c>
      <c r="N1703" s="38" t="s">
        <v>1481</v>
      </c>
    </row>
    <row r="1704" spans="1:14" x14ac:dyDescent="0.2">
      <c r="A1704" s="38" t="s">
        <v>1015</v>
      </c>
      <c r="B1704" s="38">
        <v>100586</v>
      </c>
      <c r="C1704" s="38" t="s">
        <v>936</v>
      </c>
      <c r="D1704" s="279">
        <v>100000</v>
      </c>
      <c r="F1704" s="40">
        <v>3.85E-2</v>
      </c>
      <c r="G1704" s="41">
        <v>41863</v>
      </c>
      <c r="H1704" s="41">
        <v>42594</v>
      </c>
      <c r="I1704" s="39">
        <v>2</v>
      </c>
      <c r="J1704" s="39" t="s">
        <v>1716</v>
      </c>
      <c r="K1704" s="39" t="s">
        <v>1716</v>
      </c>
      <c r="L1704" s="39" t="s">
        <v>1014</v>
      </c>
      <c r="M1704" s="38" t="s">
        <v>1015</v>
      </c>
      <c r="N1704" s="38" t="s">
        <v>132</v>
      </c>
    </row>
    <row r="1705" spans="1:14" x14ac:dyDescent="0.2">
      <c r="A1705" s="38" t="s">
        <v>557</v>
      </c>
      <c r="B1705" s="38">
        <v>151520</v>
      </c>
      <c r="C1705" s="38" t="s">
        <v>937</v>
      </c>
      <c r="D1705" s="279">
        <v>100000</v>
      </c>
      <c r="F1705" s="40">
        <v>3.7499999999999999E-2</v>
      </c>
      <c r="G1705" s="41">
        <v>41863</v>
      </c>
      <c r="H1705" s="41">
        <v>42594</v>
      </c>
      <c r="I1705" s="39">
        <v>2</v>
      </c>
      <c r="J1705" s="39" t="s">
        <v>1716</v>
      </c>
      <c r="K1705" s="39" t="s">
        <v>1716</v>
      </c>
      <c r="L1705" s="39" t="s">
        <v>1014</v>
      </c>
      <c r="M1705" s="38" t="s">
        <v>1015</v>
      </c>
      <c r="N1705" s="38" t="s">
        <v>1481</v>
      </c>
    </row>
    <row r="1706" spans="1:14" x14ac:dyDescent="0.2">
      <c r="A1706" s="38" t="s">
        <v>1803</v>
      </c>
      <c r="B1706" s="38">
        <v>9224</v>
      </c>
      <c r="C1706" s="38" t="s">
        <v>938</v>
      </c>
      <c r="D1706" s="279">
        <v>100000</v>
      </c>
      <c r="F1706" s="40">
        <v>5.2499999999999998E-2</v>
      </c>
      <c r="G1706" s="41">
        <v>41873</v>
      </c>
      <c r="H1706" s="41">
        <v>43699</v>
      </c>
      <c r="I1706" s="39">
        <v>5</v>
      </c>
      <c r="J1706" s="39" t="s">
        <v>1716</v>
      </c>
      <c r="K1706" s="39" t="s">
        <v>1716</v>
      </c>
      <c r="L1706" s="39" t="s">
        <v>1014</v>
      </c>
      <c r="M1706" s="38" t="s">
        <v>1803</v>
      </c>
      <c r="N1706" s="38" t="s">
        <v>1006</v>
      </c>
    </row>
    <row r="1707" spans="1:14" x14ac:dyDescent="0.2">
      <c r="A1707" s="38" t="s">
        <v>557</v>
      </c>
      <c r="B1707" s="38">
        <v>151378</v>
      </c>
      <c r="C1707" s="38" t="s">
        <v>1056</v>
      </c>
      <c r="D1707" s="279">
        <v>100000</v>
      </c>
      <c r="F1707" s="40">
        <v>4.2500000000000003E-2</v>
      </c>
      <c r="G1707" s="41">
        <v>41663</v>
      </c>
      <c r="H1707" s="41">
        <v>42027</v>
      </c>
      <c r="I1707" s="39">
        <v>1</v>
      </c>
      <c r="J1707" s="39" t="s">
        <v>1716</v>
      </c>
      <c r="K1707" s="39" t="s">
        <v>1716</v>
      </c>
      <c r="L1707" s="39" t="s">
        <v>1014</v>
      </c>
      <c r="M1707" s="38" t="s">
        <v>557</v>
      </c>
      <c r="N1707" s="38" t="s">
        <v>1042</v>
      </c>
    </row>
    <row r="1708" spans="1:14" x14ac:dyDescent="0.2">
      <c r="A1708" s="38" t="s">
        <v>557</v>
      </c>
      <c r="B1708" s="38">
        <v>151303</v>
      </c>
      <c r="C1708" s="38" t="s">
        <v>1766</v>
      </c>
      <c r="D1708" s="279">
        <v>100000</v>
      </c>
      <c r="F1708" s="40">
        <v>4.4999999999999998E-2</v>
      </c>
      <c r="G1708" s="41">
        <v>41561</v>
      </c>
      <c r="H1708" s="41">
        <v>41925</v>
      </c>
      <c r="I1708" s="39">
        <v>52</v>
      </c>
      <c r="J1708" s="39" t="s">
        <v>369</v>
      </c>
      <c r="K1708" s="39" t="s">
        <v>1716</v>
      </c>
      <c r="L1708" s="39" t="s">
        <v>1014</v>
      </c>
      <c r="M1708" s="38" t="s">
        <v>557</v>
      </c>
      <c r="N1708" s="38" t="s">
        <v>1042</v>
      </c>
    </row>
    <row r="1709" spans="1:14" x14ac:dyDescent="0.2">
      <c r="A1709" s="38" t="s">
        <v>557</v>
      </c>
      <c r="B1709" s="38">
        <v>151524</v>
      </c>
      <c r="C1709" s="38" t="s">
        <v>1767</v>
      </c>
      <c r="D1709" s="279">
        <v>100000</v>
      </c>
      <c r="F1709" s="40">
        <v>3.7499999999999999E-2</v>
      </c>
      <c r="G1709" s="41">
        <v>41887</v>
      </c>
      <c r="H1709" s="41">
        <v>42618</v>
      </c>
      <c r="I1709" s="39">
        <v>2</v>
      </c>
      <c r="J1709" s="39" t="s">
        <v>1716</v>
      </c>
      <c r="K1709" s="39" t="s">
        <v>1716</v>
      </c>
      <c r="L1709" s="39" t="s">
        <v>1014</v>
      </c>
      <c r="M1709" s="38" t="s">
        <v>557</v>
      </c>
      <c r="N1709" s="38" t="s">
        <v>1768</v>
      </c>
    </row>
    <row r="1710" spans="1:14" x14ac:dyDescent="0.2">
      <c r="A1710" s="38" t="s">
        <v>1035</v>
      </c>
      <c r="B1710" s="38">
        <v>201344</v>
      </c>
      <c r="C1710" s="38" t="s">
        <v>1769</v>
      </c>
      <c r="D1710" s="279">
        <v>100000</v>
      </c>
      <c r="F1710" s="40">
        <v>5.6500000000000002E-2</v>
      </c>
      <c r="G1710" s="41">
        <v>41855</v>
      </c>
      <c r="H1710" s="41">
        <v>49359</v>
      </c>
      <c r="I1710" s="39">
        <v>20</v>
      </c>
      <c r="J1710" s="39" t="s">
        <v>1716</v>
      </c>
      <c r="K1710" s="39" t="s">
        <v>1716</v>
      </c>
      <c r="L1710" s="39" t="s">
        <v>1014</v>
      </c>
      <c r="M1710" s="38" t="s">
        <v>1035</v>
      </c>
      <c r="N1710" s="38" t="s">
        <v>68</v>
      </c>
    </row>
    <row r="1711" spans="1:14" x14ac:dyDescent="0.2">
      <c r="A1711" s="38" t="s">
        <v>1015</v>
      </c>
      <c r="B1711" s="38">
        <v>100591</v>
      </c>
      <c r="C1711" s="38" t="s">
        <v>1770</v>
      </c>
      <c r="D1711" s="279">
        <v>100000</v>
      </c>
      <c r="F1711" s="40">
        <v>3.85E-2</v>
      </c>
      <c r="G1711" s="41">
        <v>41892</v>
      </c>
      <c r="H1711" s="41">
        <v>42623</v>
      </c>
      <c r="I1711" s="39">
        <v>2</v>
      </c>
      <c r="J1711" s="39" t="s">
        <v>1716</v>
      </c>
      <c r="K1711" s="39" t="s">
        <v>1716</v>
      </c>
      <c r="L1711" s="39" t="s">
        <v>1014</v>
      </c>
      <c r="M1711" s="38" t="s">
        <v>1015</v>
      </c>
      <c r="N1711" s="38" t="s">
        <v>1226</v>
      </c>
    </row>
    <row r="1712" spans="1:14" x14ac:dyDescent="0.2">
      <c r="A1712" s="38" t="s">
        <v>1015</v>
      </c>
      <c r="B1712" s="38">
        <v>100592</v>
      </c>
      <c r="C1712" s="38" t="s">
        <v>1771</v>
      </c>
      <c r="D1712" s="279">
        <v>100000</v>
      </c>
      <c r="F1712" s="40">
        <v>4.0899999999999999E-2</v>
      </c>
      <c r="G1712" s="41">
        <v>41892</v>
      </c>
      <c r="H1712" s="41">
        <v>42988</v>
      </c>
      <c r="I1712" s="39">
        <v>3</v>
      </c>
      <c r="J1712" s="39" t="s">
        <v>1716</v>
      </c>
      <c r="K1712" s="39" t="s">
        <v>1716</v>
      </c>
      <c r="L1712" s="39" t="s">
        <v>1014</v>
      </c>
      <c r="M1712" s="38" t="s">
        <v>1015</v>
      </c>
      <c r="N1712" s="38" t="s">
        <v>1226</v>
      </c>
    </row>
    <row r="1713" spans="1:14" x14ac:dyDescent="0.2">
      <c r="A1713" s="38" t="s">
        <v>557</v>
      </c>
      <c r="B1713" s="38">
        <v>151530</v>
      </c>
      <c r="C1713" s="38" t="s">
        <v>1772</v>
      </c>
      <c r="D1713" s="279">
        <v>100000</v>
      </c>
      <c r="F1713" s="40">
        <v>3.3000000000000002E-2</v>
      </c>
      <c r="G1713" s="41">
        <v>41898</v>
      </c>
      <c r="H1713" s="41">
        <v>41989</v>
      </c>
      <c r="I1713" s="39">
        <v>13</v>
      </c>
      <c r="J1713" s="39" t="s">
        <v>369</v>
      </c>
      <c r="K1713" s="39" t="s">
        <v>1525</v>
      </c>
      <c r="L1713" s="39" t="s">
        <v>1014</v>
      </c>
      <c r="M1713" s="38" t="s">
        <v>557</v>
      </c>
      <c r="N1713" s="38" t="s">
        <v>1481</v>
      </c>
    </row>
    <row r="1714" spans="1:14" x14ac:dyDescent="0.2">
      <c r="A1714" s="38" t="s">
        <v>1015</v>
      </c>
      <c r="B1714" s="38">
        <v>100593</v>
      </c>
      <c r="C1714" s="38" t="s">
        <v>1773</v>
      </c>
      <c r="D1714" s="279">
        <v>100000</v>
      </c>
      <c r="F1714" s="40">
        <v>3.85E-2</v>
      </c>
      <c r="G1714" s="41">
        <v>41898</v>
      </c>
      <c r="H1714" s="41">
        <v>42629</v>
      </c>
      <c r="I1714" s="39">
        <v>2</v>
      </c>
      <c r="J1714" s="39" t="s">
        <v>1716</v>
      </c>
      <c r="K1714" s="39" t="s">
        <v>1716</v>
      </c>
      <c r="L1714" s="39" t="s">
        <v>1014</v>
      </c>
      <c r="M1714" s="38" t="s">
        <v>1015</v>
      </c>
      <c r="N1714" s="38" t="s">
        <v>132</v>
      </c>
    </row>
    <row r="1715" spans="1:14" x14ac:dyDescent="0.2">
      <c r="A1715" s="38" t="s">
        <v>1803</v>
      </c>
      <c r="B1715" s="38">
        <v>9226</v>
      </c>
      <c r="C1715" s="38" t="s">
        <v>697</v>
      </c>
      <c r="D1715" s="279">
        <v>100000</v>
      </c>
      <c r="F1715" s="40">
        <v>5.6399999999999999E-2</v>
      </c>
      <c r="G1715" s="41">
        <v>41906</v>
      </c>
      <c r="H1715" s="41">
        <v>45559</v>
      </c>
      <c r="I1715" s="39">
        <v>10</v>
      </c>
      <c r="J1715" s="39" t="s">
        <v>1716</v>
      </c>
      <c r="K1715" s="39" t="s">
        <v>1716</v>
      </c>
      <c r="L1715" s="39" t="s">
        <v>1014</v>
      </c>
      <c r="M1715" s="38" t="s">
        <v>1803</v>
      </c>
      <c r="N1715" s="38" t="s">
        <v>1042</v>
      </c>
    </row>
    <row r="1716" spans="1:14" s="288" customFormat="1" x14ac:dyDescent="0.2">
      <c r="A1716" s="250" t="s">
        <v>1803</v>
      </c>
      <c r="B1716" s="250">
        <v>9227</v>
      </c>
      <c r="C1716" s="250" t="s">
        <v>698</v>
      </c>
      <c r="D1716" s="293">
        <v>100000</v>
      </c>
      <c r="E1716" s="250"/>
      <c r="F1716" s="673">
        <v>3.4500000000000003E-2</v>
      </c>
      <c r="G1716" s="287">
        <v>42637</v>
      </c>
      <c r="H1716" s="287">
        <v>43002</v>
      </c>
      <c r="I1716" s="289">
        <v>52</v>
      </c>
      <c r="J1716" s="289" t="s">
        <v>369</v>
      </c>
      <c r="K1716" s="289" t="s">
        <v>1716</v>
      </c>
      <c r="L1716" s="289" t="s">
        <v>1014</v>
      </c>
      <c r="M1716" s="250" t="s">
        <v>1803</v>
      </c>
      <c r="N1716" s="250" t="s">
        <v>1042</v>
      </c>
    </row>
    <row r="1717" spans="1:14" x14ac:dyDescent="0.2">
      <c r="A1717" s="38" t="s">
        <v>1713</v>
      </c>
      <c r="B1717" s="38">
        <v>140545</v>
      </c>
      <c r="C1717" s="38" t="s">
        <v>158</v>
      </c>
      <c r="D1717" s="279">
        <v>100000</v>
      </c>
      <c r="F1717" s="40">
        <v>4.7500000000000001E-2</v>
      </c>
      <c r="G1717" s="41">
        <v>41915</v>
      </c>
      <c r="H1717" s="41">
        <v>42097</v>
      </c>
      <c r="I1717" s="39">
        <v>26</v>
      </c>
      <c r="J1717" s="39" t="s">
        <v>369</v>
      </c>
      <c r="K1717" s="39" t="s">
        <v>369</v>
      </c>
      <c r="L1717" s="39" t="s">
        <v>1014</v>
      </c>
      <c r="M1717" s="38" t="s">
        <v>1713</v>
      </c>
      <c r="N1717" s="38" t="s">
        <v>159</v>
      </c>
    </row>
    <row r="1718" spans="1:14" x14ac:dyDescent="0.2">
      <c r="A1718" s="38" t="s">
        <v>1015</v>
      </c>
      <c r="B1718" s="38">
        <v>100595</v>
      </c>
      <c r="C1718" s="38" t="s">
        <v>160</v>
      </c>
      <c r="D1718" s="279">
        <v>100000</v>
      </c>
      <c r="F1718" s="40">
        <v>3.6299999999999999E-2</v>
      </c>
      <c r="G1718" s="41">
        <v>41919</v>
      </c>
      <c r="H1718" s="41">
        <v>42650</v>
      </c>
      <c r="I1718" s="39">
        <v>2</v>
      </c>
      <c r="J1718" s="39" t="s">
        <v>1716</v>
      </c>
      <c r="K1718" s="39" t="s">
        <v>1716</v>
      </c>
      <c r="L1718" s="39" t="s">
        <v>1014</v>
      </c>
      <c r="M1718" s="38" t="s">
        <v>1015</v>
      </c>
      <c r="N1718" s="38" t="s">
        <v>132</v>
      </c>
    </row>
    <row r="1719" spans="1:14" x14ac:dyDescent="0.2">
      <c r="A1719" s="38" t="s">
        <v>1035</v>
      </c>
      <c r="B1719" s="38">
        <v>201348</v>
      </c>
      <c r="C1719" s="38" t="s">
        <v>156</v>
      </c>
      <c r="D1719" s="279">
        <v>100000</v>
      </c>
      <c r="F1719" s="40">
        <v>3.15E-2</v>
      </c>
      <c r="G1719" s="41">
        <v>41890</v>
      </c>
      <c r="H1719" s="41">
        <v>42254</v>
      </c>
      <c r="I1719" s="39">
        <v>52</v>
      </c>
      <c r="J1719" s="39" t="s">
        <v>369</v>
      </c>
      <c r="K1719" s="39" t="s">
        <v>1716</v>
      </c>
      <c r="L1719" s="39" t="s">
        <v>1014</v>
      </c>
      <c r="M1719" s="38" t="s">
        <v>1035</v>
      </c>
      <c r="N1719" s="38" t="s">
        <v>68</v>
      </c>
    </row>
    <row r="1720" spans="1:14" x14ac:dyDescent="0.2">
      <c r="A1720" s="38" t="s">
        <v>557</v>
      </c>
      <c r="B1720" s="38">
        <v>151567</v>
      </c>
      <c r="C1720" s="38" t="s">
        <v>247</v>
      </c>
      <c r="D1720" s="279">
        <v>100000</v>
      </c>
      <c r="F1720" s="40">
        <v>3.3500000000000002E-2</v>
      </c>
      <c r="G1720" s="41">
        <v>41939</v>
      </c>
      <c r="H1720" s="41">
        <v>42670</v>
      </c>
      <c r="I1720" s="39">
        <v>2</v>
      </c>
      <c r="J1720" s="39" t="s">
        <v>1716</v>
      </c>
      <c r="K1720" s="39" t="s">
        <v>1716</v>
      </c>
      <c r="L1720" s="39" t="s">
        <v>1014</v>
      </c>
      <c r="M1720" s="38" t="s">
        <v>557</v>
      </c>
      <c r="N1720" s="38" t="s">
        <v>1042</v>
      </c>
    </row>
    <row r="1721" spans="1:14" x14ac:dyDescent="0.2">
      <c r="A1721" s="38" t="s">
        <v>557</v>
      </c>
      <c r="B1721" s="38">
        <v>151568</v>
      </c>
      <c r="C1721" s="38" t="s">
        <v>248</v>
      </c>
      <c r="D1721" s="279">
        <v>100000</v>
      </c>
      <c r="F1721" s="40">
        <v>3.2000000000000001E-2</v>
      </c>
      <c r="G1721" s="41">
        <v>41939</v>
      </c>
      <c r="H1721" s="41">
        <v>42303</v>
      </c>
      <c r="I1721" s="39">
        <v>52</v>
      </c>
      <c r="J1721" s="39" t="s">
        <v>369</v>
      </c>
      <c r="K1721" s="39" t="s">
        <v>1716</v>
      </c>
      <c r="L1721" s="39" t="s">
        <v>1014</v>
      </c>
      <c r="M1721" s="38" t="s">
        <v>557</v>
      </c>
      <c r="N1721" s="38" t="s">
        <v>1042</v>
      </c>
    </row>
    <row r="1722" spans="1:14" x14ac:dyDescent="0.2">
      <c r="A1722" s="38" t="s">
        <v>1035</v>
      </c>
      <c r="B1722" s="38">
        <v>201350</v>
      </c>
      <c r="C1722" s="38" t="s">
        <v>22</v>
      </c>
      <c r="D1722" s="279">
        <v>100000</v>
      </c>
      <c r="F1722" s="40">
        <v>5.7000000000000002E-2</v>
      </c>
      <c r="G1722" s="41">
        <v>41919</v>
      </c>
      <c r="H1722" s="41">
        <v>52999</v>
      </c>
      <c r="I1722" s="39">
        <v>30</v>
      </c>
      <c r="J1722" s="39" t="s">
        <v>1716</v>
      </c>
      <c r="K1722" s="39" t="s">
        <v>1716</v>
      </c>
      <c r="L1722" s="39" t="s">
        <v>1014</v>
      </c>
      <c r="M1722" s="38" t="s">
        <v>1035</v>
      </c>
      <c r="N1722" s="38" t="s">
        <v>68</v>
      </c>
    </row>
    <row r="1723" spans="1:14" x14ac:dyDescent="0.2">
      <c r="A1723" s="38" t="s">
        <v>557</v>
      </c>
      <c r="B1723" s="38">
        <v>151582</v>
      </c>
      <c r="C1723" s="38" t="s">
        <v>23</v>
      </c>
      <c r="D1723" s="279">
        <v>100000</v>
      </c>
      <c r="F1723" s="40">
        <v>3.2000000000000001E-2</v>
      </c>
      <c r="G1723" s="41">
        <v>41954</v>
      </c>
      <c r="H1723" s="41">
        <v>42318</v>
      </c>
      <c r="I1723" s="39">
        <v>52</v>
      </c>
      <c r="J1723" s="39" t="s">
        <v>369</v>
      </c>
      <c r="K1723" s="39" t="s">
        <v>1716</v>
      </c>
      <c r="L1723" s="39" t="s">
        <v>1014</v>
      </c>
      <c r="M1723" s="38" t="s">
        <v>557</v>
      </c>
      <c r="N1723" s="38" t="s">
        <v>1042</v>
      </c>
    </row>
    <row r="1724" spans="1:14" x14ac:dyDescent="0.2">
      <c r="A1724" s="38" t="s">
        <v>557</v>
      </c>
      <c r="B1724" s="38">
        <v>150792</v>
      </c>
      <c r="C1724" s="38" t="s">
        <v>1789</v>
      </c>
      <c r="D1724" s="279">
        <v>100000</v>
      </c>
      <c r="F1724" s="40">
        <v>4.5999999999999999E-2</v>
      </c>
      <c r="G1724" s="41">
        <v>40743</v>
      </c>
      <c r="H1724" s="41">
        <v>42570</v>
      </c>
      <c r="I1724" s="39">
        <v>5</v>
      </c>
      <c r="J1724" s="39" t="s">
        <v>1716</v>
      </c>
      <c r="K1724" s="39" t="s">
        <v>1716</v>
      </c>
      <c r="L1724" s="39" t="s">
        <v>1014</v>
      </c>
      <c r="M1724" s="38" t="s">
        <v>557</v>
      </c>
      <c r="N1724" s="38" t="s">
        <v>1473</v>
      </c>
    </row>
    <row r="1725" spans="1:14" x14ac:dyDescent="0.2">
      <c r="A1725" s="38" t="s">
        <v>1035</v>
      </c>
      <c r="B1725" s="38">
        <v>201354</v>
      </c>
      <c r="C1725" s="38" t="s">
        <v>1790</v>
      </c>
      <c r="D1725" s="279">
        <v>100000</v>
      </c>
      <c r="F1725" s="40">
        <v>2.9000000000000001E-2</v>
      </c>
      <c r="G1725" s="41">
        <v>41960</v>
      </c>
      <c r="H1725" s="41">
        <v>42387</v>
      </c>
      <c r="I1725" s="39">
        <v>1</v>
      </c>
      <c r="J1725" s="39" t="s">
        <v>1716</v>
      </c>
      <c r="K1725" s="39" t="s">
        <v>1716</v>
      </c>
      <c r="L1725" s="39" t="s">
        <v>1014</v>
      </c>
      <c r="M1725" s="38" t="s">
        <v>1035</v>
      </c>
      <c r="N1725" s="38" t="s">
        <v>68</v>
      </c>
    </row>
    <row r="1726" spans="1:14" x14ac:dyDescent="0.2">
      <c r="A1726" s="38" t="s">
        <v>1803</v>
      </c>
      <c r="B1726" s="38">
        <v>9233</v>
      </c>
      <c r="C1726" s="38" t="s">
        <v>683</v>
      </c>
      <c r="D1726" s="279">
        <v>100000</v>
      </c>
      <c r="F1726" s="40">
        <v>4.99E-2</v>
      </c>
      <c r="G1726" s="41">
        <v>41968</v>
      </c>
      <c r="H1726" s="41">
        <v>43794</v>
      </c>
      <c r="I1726" s="39">
        <v>5</v>
      </c>
      <c r="J1726" s="39" t="s">
        <v>1716</v>
      </c>
      <c r="K1726" s="39" t="s">
        <v>1716</v>
      </c>
      <c r="L1726" s="39" t="s">
        <v>1014</v>
      </c>
      <c r="M1726" s="38" t="s">
        <v>1803</v>
      </c>
      <c r="N1726" s="38" t="s">
        <v>1042</v>
      </c>
    </row>
    <row r="1727" spans="1:14" x14ac:dyDescent="0.2">
      <c r="A1727" s="38" t="s">
        <v>1803</v>
      </c>
      <c r="B1727" s="38">
        <v>9142</v>
      </c>
      <c r="C1727" s="38" t="s">
        <v>684</v>
      </c>
      <c r="D1727" s="279">
        <v>100000</v>
      </c>
      <c r="F1727" s="40">
        <v>5.11E-2</v>
      </c>
      <c r="G1727" s="41">
        <v>40836</v>
      </c>
      <c r="H1727" s="41">
        <v>46315</v>
      </c>
      <c r="I1727" s="39">
        <v>15</v>
      </c>
      <c r="J1727" s="39" t="s">
        <v>1716</v>
      </c>
      <c r="K1727" s="39" t="s">
        <v>1716</v>
      </c>
      <c r="L1727" s="39" t="s">
        <v>1014</v>
      </c>
      <c r="M1727" s="38" t="s">
        <v>1803</v>
      </c>
      <c r="N1727" s="38" t="s">
        <v>1889</v>
      </c>
    </row>
    <row r="1728" spans="1:14" x14ac:dyDescent="0.2">
      <c r="A1728" s="38" t="s">
        <v>557</v>
      </c>
      <c r="B1728" s="38">
        <v>151599</v>
      </c>
      <c r="C1728" s="38" t="s">
        <v>1224</v>
      </c>
      <c r="D1728" s="279">
        <v>100000</v>
      </c>
      <c r="F1728" s="40">
        <v>3.27E-2</v>
      </c>
      <c r="G1728" s="41">
        <v>41971</v>
      </c>
      <c r="H1728" s="41">
        <v>42549</v>
      </c>
      <c r="I1728" s="39">
        <v>2</v>
      </c>
      <c r="J1728" s="39" t="s">
        <v>1716</v>
      </c>
      <c r="K1728" s="39" t="s">
        <v>1716</v>
      </c>
      <c r="L1728" s="39" t="s">
        <v>1014</v>
      </c>
      <c r="M1728" s="38" t="s">
        <v>557</v>
      </c>
      <c r="N1728" s="38" t="s">
        <v>1050</v>
      </c>
    </row>
    <row r="1729" spans="1:14" x14ac:dyDescent="0.2">
      <c r="A1729" s="38" t="s">
        <v>1035</v>
      </c>
      <c r="B1729" s="38">
        <v>201353</v>
      </c>
      <c r="C1729" s="38" t="s">
        <v>126</v>
      </c>
      <c r="D1729" s="279">
        <v>100000</v>
      </c>
      <c r="F1729" s="40">
        <v>2.7799999999999998E-2</v>
      </c>
      <c r="G1729" s="41">
        <v>41960</v>
      </c>
      <c r="H1729" s="41">
        <v>42142</v>
      </c>
      <c r="I1729" s="39">
        <v>26</v>
      </c>
      <c r="J1729" s="39" t="s">
        <v>369</v>
      </c>
      <c r="K1729" s="39" t="s">
        <v>369</v>
      </c>
      <c r="L1729" s="39" t="s">
        <v>1014</v>
      </c>
      <c r="M1729" s="38" t="s">
        <v>1035</v>
      </c>
      <c r="N1729" s="38" t="s">
        <v>68</v>
      </c>
    </row>
    <row r="1730" spans="1:14" x14ac:dyDescent="0.2">
      <c r="A1730" s="38" t="s">
        <v>1803</v>
      </c>
      <c r="B1730" s="38">
        <v>9240</v>
      </c>
      <c r="C1730" s="38" t="s">
        <v>127</v>
      </c>
      <c r="D1730" s="279">
        <v>100000</v>
      </c>
      <c r="F1730" s="40">
        <v>4.3200000000000002E-2</v>
      </c>
      <c r="G1730" s="41">
        <v>41981</v>
      </c>
      <c r="H1730" s="41">
        <v>47460</v>
      </c>
      <c r="I1730" s="39">
        <v>15</v>
      </c>
      <c r="J1730" s="39" t="s">
        <v>1716</v>
      </c>
      <c r="K1730" s="39" t="s">
        <v>1716</v>
      </c>
      <c r="L1730" s="39" t="s">
        <v>1014</v>
      </c>
      <c r="M1730" s="38" t="s">
        <v>1803</v>
      </c>
      <c r="N1730" s="38" t="s">
        <v>1004</v>
      </c>
    </row>
    <row r="1731" spans="1:14" x14ac:dyDescent="0.2">
      <c r="A1731" s="38" t="s">
        <v>1803</v>
      </c>
      <c r="B1731" s="38">
        <v>9167</v>
      </c>
      <c r="C1731" s="38" t="s">
        <v>1866</v>
      </c>
      <c r="D1731" s="279">
        <v>100000</v>
      </c>
      <c r="F1731" s="40">
        <v>4.7300000000000002E-2</v>
      </c>
      <c r="G1731" s="41">
        <v>41045</v>
      </c>
      <c r="H1731" s="41">
        <v>46523</v>
      </c>
      <c r="I1731" s="39">
        <v>15</v>
      </c>
      <c r="J1731" s="39" t="s">
        <v>1716</v>
      </c>
      <c r="K1731" s="39" t="s">
        <v>1716</v>
      </c>
      <c r="L1731" s="39" t="s">
        <v>1014</v>
      </c>
      <c r="M1731" s="38" t="s">
        <v>1803</v>
      </c>
      <c r="N1731" s="38" t="s">
        <v>241</v>
      </c>
    </row>
    <row r="1732" spans="1:14" x14ac:dyDescent="0.2">
      <c r="A1732" s="38" t="s">
        <v>1803</v>
      </c>
      <c r="B1732" s="38">
        <v>9184</v>
      </c>
      <c r="C1732" s="38" t="s">
        <v>1867</v>
      </c>
      <c r="D1732" s="279">
        <v>100000</v>
      </c>
      <c r="F1732" s="40">
        <v>5.9799999999999999E-2</v>
      </c>
      <c r="G1732" s="41">
        <v>41263</v>
      </c>
      <c r="H1732" s="41">
        <v>44915</v>
      </c>
      <c r="I1732" s="39">
        <v>10</v>
      </c>
      <c r="J1732" s="39" t="s">
        <v>1716</v>
      </c>
      <c r="K1732" s="39" t="s">
        <v>1716</v>
      </c>
      <c r="L1732" s="39" t="s">
        <v>1014</v>
      </c>
      <c r="M1732" s="38" t="s">
        <v>1803</v>
      </c>
      <c r="N1732" s="38" t="s">
        <v>1050</v>
      </c>
    </row>
    <row r="1733" spans="1:14" x14ac:dyDescent="0.2">
      <c r="A1733" s="38" t="s">
        <v>1803</v>
      </c>
      <c r="B1733" s="38">
        <v>2158</v>
      </c>
      <c r="C1733" s="38" t="s">
        <v>1301</v>
      </c>
      <c r="D1733" s="279">
        <v>100000</v>
      </c>
      <c r="F1733" s="40">
        <v>5.9799999999999999E-2</v>
      </c>
      <c r="G1733" s="41">
        <v>41263</v>
      </c>
      <c r="H1733" s="41">
        <v>44915</v>
      </c>
      <c r="I1733" s="39">
        <v>10</v>
      </c>
      <c r="J1733" s="39" t="s">
        <v>1716</v>
      </c>
      <c r="K1733" s="39" t="s">
        <v>1716</v>
      </c>
      <c r="L1733" s="39" t="s">
        <v>1014</v>
      </c>
      <c r="M1733" s="38" t="s">
        <v>1803</v>
      </c>
      <c r="N1733" s="38" t="s">
        <v>1050</v>
      </c>
    </row>
    <row r="1734" spans="1:14" x14ac:dyDescent="0.2">
      <c r="A1734" s="38" t="s">
        <v>1803</v>
      </c>
      <c r="B1734" s="38">
        <v>9242</v>
      </c>
      <c r="C1734" s="38" t="s">
        <v>1302</v>
      </c>
      <c r="D1734" s="279">
        <v>100000</v>
      </c>
      <c r="F1734" s="40">
        <v>3.3500000000000002E-2</v>
      </c>
      <c r="G1734" s="41">
        <v>41990</v>
      </c>
      <c r="H1734" s="41">
        <v>44547</v>
      </c>
      <c r="I1734" s="39">
        <v>7</v>
      </c>
      <c r="J1734" s="39" t="s">
        <v>1716</v>
      </c>
      <c r="K1734" s="39" t="s">
        <v>1716</v>
      </c>
      <c r="L1734" s="39" t="s">
        <v>1014</v>
      </c>
      <c r="M1734" s="38" t="s">
        <v>1803</v>
      </c>
      <c r="N1734" s="38" t="s">
        <v>597</v>
      </c>
    </row>
    <row r="1735" spans="1:14" x14ac:dyDescent="0.2">
      <c r="A1735" s="38" t="s">
        <v>557</v>
      </c>
      <c r="B1735" s="38">
        <v>151609</v>
      </c>
      <c r="C1735" s="38" t="s">
        <v>1303</v>
      </c>
      <c r="D1735" s="279">
        <v>100000</v>
      </c>
      <c r="F1735" s="40">
        <v>2.9499999999999998E-2</v>
      </c>
      <c r="G1735" s="41">
        <v>41991</v>
      </c>
      <c r="H1735" s="41">
        <v>42082</v>
      </c>
      <c r="I1735" s="39">
        <v>13</v>
      </c>
      <c r="J1735" s="39" t="s">
        <v>369</v>
      </c>
      <c r="K1735" s="39" t="s">
        <v>1525</v>
      </c>
      <c r="L1735" s="39" t="s">
        <v>1014</v>
      </c>
      <c r="M1735" s="38" t="s">
        <v>557</v>
      </c>
      <c r="N1735" s="38" t="s">
        <v>1481</v>
      </c>
    </row>
    <row r="1736" spans="1:14" x14ac:dyDescent="0.2">
      <c r="A1736" s="38" t="s">
        <v>557</v>
      </c>
      <c r="B1736" s="38">
        <v>151611</v>
      </c>
      <c r="C1736" s="38" t="s">
        <v>1304</v>
      </c>
      <c r="D1736" s="279">
        <v>100000</v>
      </c>
      <c r="F1736" s="40">
        <v>3.1E-2</v>
      </c>
      <c r="G1736" s="41">
        <v>41991</v>
      </c>
      <c r="H1736" s="41">
        <v>42355</v>
      </c>
      <c r="I1736" s="39">
        <v>52</v>
      </c>
      <c r="J1736" s="39" t="s">
        <v>369</v>
      </c>
      <c r="K1736" s="39" t="s">
        <v>1716</v>
      </c>
      <c r="L1736" s="39" t="s">
        <v>1014</v>
      </c>
      <c r="M1736" s="38" t="s">
        <v>557</v>
      </c>
      <c r="N1736" s="38" t="s">
        <v>1481</v>
      </c>
    </row>
    <row r="1737" spans="1:14" x14ac:dyDescent="0.2">
      <c r="A1737" s="38" t="s">
        <v>557</v>
      </c>
      <c r="B1737" s="38">
        <v>151550</v>
      </c>
      <c r="C1737" s="38" t="s">
        <v>1305</v>
      </c>
      <c r="D1737" s="279">
        <v>100000</v>
      </c>
      <c r="F1737" s="40">
        <v>3.1E-2</v>
      </c>
      <c r="G1737" s="41">
        <v>41922</v>
      </c>
      <c r="H1737" s="41">
        <v>42104</v>
      </c>
      <c r="I1737" s="39">
        <v>26</v>
      </c>
      <c r="J1737" s="39" t="s">
        <v>369</v>
      </c>
      <c r="K1737" s="39" t="s">
        <v>369</v>
      </c>
      <c r="L1737" s="39" t="s">
        <v>1014</v>
      </c>
      <c r="M1737" s="38" t="s">
        <v>557</v>
      </c>
      <c r="N1737" s="38" t="s">
        <v>916</v>
      </c>
    </row>
    <row r="1738" spans="1:14" x14ac:dyDescent="0.2">
      <c r="A1738" s="38" t="s">
        <v>557</v>
      </c>
      <c r="B1738" s="38">
        <v>151571</v>
      </c>
      <c r="C1738" s="38" t="s">
        <v>1306</v>
      </c>
      <c r="D1738" s="279">
        <v>100000</v>
      </c>
      <c r="F1738" s="40">
        <v>3.1E-2</v>
      </c>
      <c r="G1738" s="41">
        <v>41942</v>
      </c>
      <c r="H1738" s="41">
        <v>42124</v>
      </c>
      <c r="I1738" s="39">
        <v>26</v>
      </c>
      <c r="J1738" s="39" t="s">
        <v>369</v>
      </c>
      <c r="K1738" s="39" t="s">
        <v>369</v>
      </c>
      <c r="L1738" s="39" t="s">
        <v>1014</v>
      </c>
      <c r="M1738" s="38" t="s">
        <v>557</v>
      </c>
      <c r="N1738" s="38" t="s">
        <v>916</v>
      </c>
    </row>
    <row r="1739" spans="1:14" x14ac:dyDescent="0.2">
      <c r="A1739" s="38" t="s">
        <v>557</v>
      </c>
      <c r="B1739" s="38">
        <v>151563</v>
      </c>
      <c r="C1739" s="38" t="s">
        <v>1307</v>
      </c>
      <c r="D1739" s="279">
        <v>100000</v>
      </c>
      <c r="F1739" s="40">
        <v>3.1E-2</v>
      </c>
      <c r="G1739" s="41">
        <v>41935</v>
      </c>
      <c r="H1739" s="41">
        <v>42117</v>
      </c>
      <c r="I1739" s="39">
        <v>26</v>
      </c>
      <c r="J1739" s="39" t="s">
        <v>369</v>
      </c>
      <c r="K1739" s="39" t="s">
        <v>369</v>
      </c>
      <c r="L1739" s="39" t="s">
        <v>1014</v>
      </c>
      <c r="M1739" s="38" t="s">
        <v>557</v>
      </c>
      <c r="N1739" s="38" t="s">
        <v>916</v>
      </c>
    </row>
    <row r="1740" spans="1:14" x14ac:dyDescent="0.2">
      <c r="A1740" s="38" t="s">
        <v>1803</v>
      </c>
      <c r="B1740" s="38">
        <v>9243</v>
      </c>
      <c r="C1740" s="38" t="s">
        <v>1308</v>
      </c>
      <c r="D1740" s="279">
        <v>100000</v>
      </c>
      <c r="F1740" s="40">
        <v>4.7500000000000001E-2</v>
      </c>
      <c r="G1740" s="41">
        <v>41995</v>
      </c>
      <c r="H1740" s="41">
        <v>45648</v>
      </c>
      <c r="I1740" s="39">
        <v>10</v>
      </c>
      <c r="J1740" s="39" t="s">
        <v>1716</v>
      </c>
      <c r="K1740" s="39" t="s">
        <v>1716</v>
      </c>
      <c r="L1740" s="39" t="s">
        <v>1014</v>
      </c>
      <c r="M1740" s="38" t="s">
        <v>1803</v>
      </c>
      <c r="N1740" s="38" t="s">
        <v>1481</v>
      </c>
    </row>
    <row r="1741" spans="1:14" x14ac:dyDescent="0.2">
      <c r="A1741" s="38" t="s">
        <v>557</v>
      </c>
      <c r="B1741" s="38">
        <v>151616</v>
      </c>
      <c r="C1741" s="38" t="s">
        <v>1309</v>
      </c>
      <c r="D1741" s="279">
        <v>100000</v>
      </c>
      <c r="F1741" s="40">
        <v>2.7300000000000001E-2</v>
      </c>
      <c r="G1741" s="41">
        <v>42362</v>
      </c>
      <c r="H1741" s="41">
        <v>43823</v>
      </c>
      <c r="I1741" s="39">
        <v>5</v>
      </c>
      <c r="J1741" s="39" t="s">
        <v>1716</v>
      </c>
      <c r="K1741" s="39" t="s">
        <v>1716</v>
      </c>
      <c r="L1741" s="39" t="s">
        <v>1014</v>
      </c>
      <c r="M1741" s="38" t="s">
        <v>557</v>
      </c>
      <c r="N1741" s="38" t="s">
        <v>1004</v>
      </c>
    </row>
    <row r="1742" spans="1:14" x14ac:dyDescent="0.2">
      <c r="A1742" s="38" t="s">
        <v>1035</v>
      </c>
      <c r="B1742" s="38">
        <v>201356</v>
      </c>
      <c r="C1742" s="38" t="s">
        <v>1997</v>
      </c>
      <c r="D1742" s="279">
        <v>100000</v>
      </c>
      <c r="F1742" s="40">
        <v>2.75E-2</v>
      </c>
      <c r="G1742" s="41">
        <v>41974</v>
      </c>
      <c r="H1742" s="41">
        <v>42156</v>
      </c>
      <c r="I1742" s="39">
        <v>26</v>
      </c>
      <c r="J1742" s="39" t="s">
        <v>369</v>
      </c>
      <c r="K1742" s="39" t="s">
        <v>369</v>
      </c>
      <c r="L1742" s="39" t="s">
        <v>1014</v>
      </c>
      <c r="M1742" s="38" t="s">
        <v>1035</v>
      </c>
      <c r="N1742" s="38" t="s">
        <v>68</v>
      </c>
    </row>
    <row r="1743" spans="1:14" x14ac:dyDescent="0.2">
      <c r="A1743" s="38" t="s">
        <v>1035</v>
      </c>
      <c r="B1743" s="38">
        <v>201357</v>
      </c>
      <c r="C1743" s="38" t="s">
        <v>1998</v>
      </c>
      <c r="D1743" s="279">
        <v>100000</v>
      </c>
      <c r="F1743" s="40">
        <v>2.9499999999999998E-2</v>
      </c>
      <c r="G1743" s="41">
        <v>41981</v>
      </c>
      <c r="H1743" s="41">
        <v>42786</v>
      </c>
      <c r="I1743" s="39">
        <v>2</v>
      </c>
      <c r="J1743" s="39" t="s">
        <v>1716</v>
      </c>
      <c r="K1743" s="39" t="s">
        <v>1716</v>
      </c>
      <c r="L1743" s="39" t="s">
        <v>1014</v>
      </c>
      <c r="M1743" s="38" t="s">
        <v>1035</v>
      </c>
      <c r="N1743" s="38" t="s">
        <v>68</v>
      </c>
    </row>
    <row r="1744" spans="1:14" x14ac:dyDescent="0.2">
      <c r="A1744" s="38" t="s">
        <v>557</v>
      </c>
      <c r="B1744" s="38">
        <v>151622</v>
      </c>
      <c r="C1744" s="38" t="s">
        <v>1999</v>
      </c>
      <c r="D1744" s="279">
        <v>100000</v>
      </c>
      <c r="F1744" s="40">
        <v>2.8500000000000001E-2</v>
      </c>
      <c r="G1744" s="41">
        <v>42023</v>
      </c>
      <c r="H1744" s="41">
        <v>42387</v>
      </c>
      <c r="I1744" s="39">
        <v>52</v>
      </c>
      <c r="J1744" s="39" t="s">
        <v>369</v>
      </c>
      <c r="K1744" s="39" t="s">
        <v>1716</v>
      </c>
      <c r="L1744" s="39" t="s">
        <v>1014</v>
      </c>
      <c r="M1744" s="38" t="s">
        <v>557</v>
      </c>
      <c r="N1744" s="38" t="s">
        <v>1042</v>
      </c>
    </row>
    <row r="1745" spans="1:14" x14ac:dyDescent="0.2">
      <c r="A1745" s="38" t="s">
        <v>557</v>
      </c>
      <c r="B1745" s="38">
        <v>151258</v>
      </c>
      <c r="C1745" s="38" t="s">
        <v>839</v>
      </c>
      <c r="D1745" s="279">
        <v>100000</v>
      </c>
      <c r="F1745" s="40">
        <v>4.8800000000000003E-2</v>
      </c>
      <c r="G1745" s="41">
        <v>41498</v>
      </c>
      <c r="H1745" s="41">
        <v>42066</v>
      </c>
      <c r="I1745" s="39">
        <v>568</v>
      </c>
      <c r="J1745" s="39" t="s">
        <v>1396</v>
      </c>
      <c r="K1745" s="39" t="s">
        <v>1716</v>
      </c>
      <c r="L1745" s="39" t="s">
        <v>1014</v>
      </c>
      <c r="M1745" s="38" t="s">
        <v>557</v>
      </c>
      <c r="N1745" s="38" t="s">
        <v>1504</v>
      </c>
    </row>
    <row r="1746" spans="1:14" x14ac:dyDescent="0.2">
      <c r="A1746" s="38" t="s">
        <v>1035</v>
      </c>
      <c r="B1746" s="38">
        <v>201362</v>
      </c>
      <c r="C1746" s="38" t="s">
        <v>299</v>
      </c>
      <c r="D1746" s="279">
        <v>100000</v>
      </c>
      <c r="F1746" s="40">
        <v>2.5999999999999999E-2</v>
      </c>
      <c r="G1746" s="41">
        <v>42016</v>
      </c>
      <c r="H1746" s="41">
        <v>42492</v>
      </c>
      <c r="I1746" s="39">
        <v>52</v>
      </c>
      <c r="J1746" s="39" t="s">
        <v>369</v>
      </c>
      <c r="K1746" s="39" t="s">
        <v>1716</v>
      </c>
      <c r="L1746" s="39" t="s">
        <v>1014</v>
      </c>
      <c r="M1746" s="38" t="s">
        <v>1035</v>
      </c>
      <c r="N1746" s="38" t="s">
        <v>68</v>
      </c>
    </row>
    <row r="1747" spans="1:14" x14ac:dyDescent="0.2">
      <c r="A1747" s="38" t="s">
        <v>1015</v>
      </c>
      <c r="B1747" s="38">
        <v>100614</v>
      </c>
      <c r="C1747" s="38" t="s">
        <v>300</v>
      </c>
      <c r="D1747" s="279">
        <v>100000</v>
      </c>
      <c r="F1747" s="40">
        <v>3.09E-2</v>
      </c>
      <c r="G1747" s="41">
        <v>42030</v>
      </c>
      <c r="H1747" s="41">
        <v>42761</v>
      </c>
      <c r="I1747" s="39">
        <v>2</v>
      </c>
      <c r="J1747" s="39" t="s">
        <v>1716</v>
      </c>
      <c r="K1747" s="39" t="s">
        <v>1716</v>
      </c>
      <c r="L1747" s="39" t="s">
        <v>1014</v>
      </c>
      <c r="M1747" s="38" t="s">
        <v>1015</v>
      </c>
      <c r="N1747" s="38" t="s">
        <v>1226</v>
      </c>
    </row>
    <row r="1748" spans="1:14" x14ac:dyDescent="0.2">
      <c r="A1748" s="38" t="s">
        <v>1015</v>
      </c>
      <c r="B1748" s="38">
        <v>100615</v>
      </c>
      <c r="C1748" s="38" t="s">
        <v>301</v>
      </c>
      <c r="D1748" s="279">
        <v>100000</v>
      </c>
      <c r="F1748" s="40">
        <v>3.3099999999999997E-2</v>
      </c>
      <c r="G1748" s="41">
        <v>42030</v>
      </c>
      <c r="H1748" s="41">
        <v>43126</v>
      </c>
      <c r="I1748" s="39">
        <v>3</v>
      </c>
      <c r="J1748" s="39" t="s">
        <v>1716</v>
      </c>
      <c r="K1748" s="39" t="s">
        <v>1716</v>
      </c>
      <c r="L1748" s="39" t="s">
        <v>1014</v>
      </c>
      <c r="M1748" s="38" t="s">
        <v>1015</v>
      </c>
      <c r="N1748" s="38" t="s">
        <v>1226</v>
      </c>
    </row>
    <row r="1749" spans="1:14" x14ac:dyDescent="0.2">
      <c r="A1749" s="38" t="s">
        <v>557</v>
      </c>
      <c r="B1749" s="38">
        <v>151628</v>
      </c>
      <c r="C1749" s="38" t="s">
        <v>302</v>
      </c>
      <c r="D1749" s="279">
        <v>100000</v>
      </c>
      <c r="F1749" s="40">
        <v>3.1E-2</v>
      </c>
      <c r="G1749" s="41">
        <v>42031</v>
      </c>
      <c r="H1749" s="41">
        <v>42457</v>
      </c>
      <c r="I1749" s="39">
        <v>14</v>
      </c>
      <c r="J1749" s="39" t="s">
        <v>288</v>
      </c>
      <c r="K1749" s="39" t="s">
        <v>1716</v>
      </c>
      <c r="L1749" s="39" t="s">
        <v>1014</v>
      </c>
      <c r="M1749" s="38" t="s">
        <v>557</v>
      </c>
      <c r="N1749" s="38" t="s">
        <v>1504</v>
      </c>
    </row>
    <row r="1750" spans="1:14" x14ac:dyDescent="0.2">
      <c r="A1750" s="38" t="s">
        <v>1035</v>
      </c>
      <c r="B1750" s="38">
        <v>201364</v>
      </c>
      <c r="C1750" s="38" t="s">
        <v>1389</v>
      </c>
      <c r="D1750" s="279">
        <v>100000</v>
      </c>
      <c r="F1750" s="40">
        <v>2.5999999999999999E-2</v>
      </c>
      <c r="G1750" s="41">
        <v>42037</v>
      </c>
      <c r="H1750" s="41">
        <v>42800</v>
      </c>
      <c r="I1750" s="39">
        <v>2</v>
      </c>
      <c r="J1750" s="39" t="s">
        <v>1716</v>
      </c>
      <c r="K1750" s="39" t="s">
        <v>1716</v>
      </c>
      <c r="L1750" s="39" t="s">
        <v>1014</v>
      </c>
      <c r="M1750" s="38" t="s">
        <v>1035</v>
      </c>
      <c r="N1750" s="38" t="s">
        <v>68</v>
      </c>
    </row>
    <row r="1751" spans="1:14" x14ac:dyDescent="0.2">
      <c r="A1751" s="38" t="s">
        <v>557</v>
      </c>
      <c r="B1751" s="38">
        <v>151631</v>
      </c>
      <c r="C1751" s="38" t="s">
        <v>1390</v>
      </c>
      <c r="D1751" s="279">
        <v>100000</v>
      </c>
      <c r="F1751" s="40">
        <v>2.8500000000000001E-2</v>
      </c>
      <c r="G1751" s="41">
        <v>42039</v>
      </c>
      <c r="H1751" s="41">
        <v>42403</v>
      </c>
      <c r="I1751" s="39">
        <v>52</v>
      </c>
      <c r="J1751" s="39" t="s">
        <v>369</v>
      </c>
      <c r="K1751" s="39" t="s">
        <v>1716</v>
      </c>
      <c r="L1751" s="39" t="s">
        <v>1014</v>
      </c>
      <c r="M1751" s="38" t="s">
        <v>557</v>
      </c>
      <c r="N1751" s="38" t="s">
        <v>1042</v>
      </c>
    </row>
    <row r="1752" spans="1:14" x14ac:dyDescent="0.2">
      <c r="A1752" s="38" t="s">
        <v>1035</v>
      </c>
      <c r="B1752" s="38">
        <v>201363</v>
      </c>
      <c r="C1752" s="38" t="s">
        <v>1391</v>
      </c>
      <c r="D1752" s="279">
        <v>100000</v>
      </c>
      <c r="F1752" s="40">
        <v>2.4899999999999999E-2</v>
      </c>
      <c r="G1752" s="41">
        <v>42023</v>
      </c>
      <c r="H1752" s="41">
        <v>42205</v>
      </c>
      <c r="I1752" s="39">
        <v>26</v>
      </c>
      <c r="J1752" s="39" t="s">
        <v>369</v>
      </c>
      <c r="K1752" s="39" t="s">
        <v>369</v>
      </c>
      <c r="L1752" s="39" t="s">
        <v>1014</v>
      </c>
      <c r="M1752" s="38" t="s">
        <v>1035</v>
      </c>
      <c r="N1752" s="38" t="s">
        <v>68</v>
      </c>
    </row>
    <row r="1753" spans="1:14" x14ac:dyDescent="0.2">
      <c r="A1753" s="38" t="s">
        <v>1035</v>
      </c>
      <c r="B1753" s="38">
        <v>201361</v>
      </c>
      <c r="C1753" s="38" t="s">
        <v>1392</v>
      </c>
      <c r="D1753" s="279">
        <v>100000</v>
      </c>
      <c r="F1753" s="40">
        <v>2.4899999999999999E-2</v>
      </c>
      <c r="G1753" s="41">
        <v>42016</v>
      </c>
      <c r="H1753" s="41">
        <v>42107</v>
      </c>
      <c r="I1753" s="39">
        <v>13</v>
      </c>
      <c r="J1753" s="39" t="s">
        <v>369</v>
      </c>
      <c r="K1753" s="39" t="s">
        <v>1525</v>
      </c>
      <c r="L1753" s="39" t="s">
        <v>1014</v>
      </c>
      <c r="M1753" s="38" t="s">
        <v>1035</v>
      </c>
      <c r="N1753" s="38" t="s">
        <v>68</v>
      </c>
    </row>
    <row r="1754" spans="1:14" x14ac:dyDescent="0.2">
      <c r="A1754" s="38" t="s">
        <v>1035</v>
      </c>
      <c r="B1754" s="38">
        <v>201355</v>
      </c>
      <c r="C1754" s="38" t="s">
        <v>266</v>
      </c>
      <c r="D1754" s="279">
        <v>100000</v>
      </c>
      <c r="F1754" s="40">
        <v>2.75E-2</v>
      </c>
      <c r="G1754" s="41">
        <v>41967</v>
      </c>
      <c r="H1754" s="41">
        <v>42058</v>
      </c>
      <c r="I1754" s="39">
        <v>13</v>
      </c>
      <c r="J1754" s="39" t="s">
        <v>369</v>
      </c>
      <c r="K1754" s="39" t="s">
        <v>1525</v>
      </c>
      <c r="L1754" s="39" t="s">
        <v>1014</v>
      </c>
      <c r="M1754" s="38" t="s">
        <v>1035</v>
      </c>
      <c r="N1754" s="38" t="s">
        <v>68</v>
      </c>
    </row>
    <row r="1755" spans="1:14" x14ac:dyDescent="0.2">
      <c r="A1755" s="38" t="s">
        <v>1713</v>
      </c>
      <c r="B1755" s="38">
        <v>140601</v>
      </c>
      <c r="C1755" s="38" t="s">
        <v>333</v>
      </c>
      <c r="D1755" s="279">
        <v>100000</v>
      </c>
      <c r="F1755" s="40">
        <v>4.4999999999999998E-2</v>
      </c>
      <c r="G1755" s="41">
        <v>42060</v>
      </c>
      <c r="H1755" s="41">
        <v>42424</v>
      </c>
      <c r="I1755" s="39">
        <v>52</v>
      </c>
      <c r="J1755" s="39" t="s">
        <v>369</v>
      </c>
      <c r="K1755" s="39" t="s">
        <v>1716</v>
      </c>
      <c r="L1755" s="39" t="s">
        <v>1014</v>
      </c>
      <c r="M1755" s="38" t="s">
        <v>1713</v>
      </c>
      <c r="N1755" s="38" t="s">
        <v>727</v>
      </c>
    </row>
    <row r="1756" spans="1:14" x14ac:dyDescent="0.2">
      <c r="A1756" s="38" t="s">
        <v>1015</v>
      </c>
      <c r="B1756" s="38">
        <v>100619</v>
      </c>
      <c r="C1756" s="38" t="s">
        <v>334</v>
      </c>
      <c r="D1756" s="279">
        <v>100000</v>
      </c>
      <c r="F1756" s="40">
        <v>3.3099999999999997E-2</v>
      </c>
      <c r="G1756" s="41">
        <v>42065</v>
      </c>
      <c r="H1756" s="41">
        <v>43161</v>
      </c>
      <c r="I1756" s="39">
        <v>3</v>
      </c>
      <c r="J1756" s="39" t="s">
        <v>1716</v>
      </c>
      <c r="K1756" s="39" t="s">
        <v>1716</v>
      </c>
      <c r="L1756" s="39" t="s">
        <v>1014</v>
      </c>
      <c r="M1756" s="38" t="s">
        <v>1015</v>
      </c>
      <c r="N1756" s="38" t="s">
        <v>640</v>
      </c>
    </row>
    <row r="1757" spans="1:14" x14ac:dyDescent="0.2">
      <c r="A1757" s="38" t="s">
        <v>1035</v>
      </c>
      <c r="B1757" s="38">
        <v>201368</v>
      </c>
      <c r="C1757" s="38" t="s">
        <v>335</v>
      </c>
      <c r="D1757" s="279">
        <v>100000</v>
      </c>
      <c r="F1757" s="40">
        <v>2.52E-2</v>
      </c>
      <c r="G1757" s="41">
        <v>42065</v>
      </c>
      <c r="H1757" s="41">
        <v>42247</v>
      </c>
      <c r="I1757" s="39">
        <v>26</v>
      </c>
      <c r="J1757" s="39" t="s">
        <v>369</v>
      </c>
      <c r="K1757" s="39" t="s">
        <v>369</v>
      </c>
      <c r="L1757" s="39" t="s">
        <v>1014</v>
      </c>
      <c r="M1757" s="38" t="s">
        <v>1035</v>
      </c>
      <c r="N1757" s="38" t="s">
        <v>68</v>
      </c>
    </row>
    <row r="1758" spans="1:14" x14ac:dyDescent="0.2">
      <c r="A1758" s="38" t="s">
        <v>557</v>
      </c>
      <c r="B1758" s="38">
        <v>151538</v>
      </c>
      <c r="C1758" s="38" t="s">
        <v>863</v>
      </c>
      <c r="D1758" s="279">
        <v>100000</v>
      </c>
      <c r="F1758" s="40">
        <v>3.4000000000000002E-2</v>
      </c>
      <c r="G1758" s="41">
        <v>41906</v>
      </c>
      <c r="H1758" s="41">
        <v>42088</v>
      </c>
      <c r="I1758" s="39">
        <v>26</v>
      </c>
      <c r="J1758" s="39" t="s">
        <v>369</v>
      </c>
      <c r="K1758" s="39" t="s">
        <v>369</v>
      </c>
      <c r="L1758" s="39" t="s">
        <v>1014</v>
      </c>
      <c r="M1758" s="38" t="s">
        <v>557</v>
      </c>
      <c r="N1758" s="38" t="s">
        <v>916</v>
      </c>
    </row>
    <row r="1759" spans="1:14" x14ac:dyDescent="0.2">
      <c r="A1759" s="38" t="s">
        <v>1035</v>
      </c>
      <c r="B1759" s="38">
        <v>201365</v>
      </c>
      <c r="C1759" s="38" t="s">
        <v>864</v>
      </c>
      <c r="D1759" s="279">
        <v>100000</v>
      </c>
      <c r="F1759" s="40">
        <v>2.4299999999999999E-2</v>
      </c>
      <c r="G1759" s="41">
        <v>42044</v>
      </c>
      <c r="H1759" s="41">
        <v>42135</v>
      </c>
      <c r="I1759" s="39">
        <v>13</v>
      </c>
      <c r="J1759" s="39" t="s">
        <v>369</v>
      </c>
      <c r="K1759" s="39" t="s">
        <v>1525</v>
      </c>
      <c r="L1759" s="39" t="s">
        <v>1014</v>
      </c>
      <c r="M1759" s="38" t="s">
        <v>1035</v>
      </c>
      <c r="N1759" s="38" t="s">
        <v>68</v>
      </c>
    </row>
    <row r="1760" spans="1:14" x14ac:dyDescent="0.2">
      <c r="A1760" s="38" t="s">
        <v>557</v>
      </c>
      <c r="B1760" s="38">
        <v>151645</v>
      </c>
      <c r="C1760" s="38" t="s">
        <v>1421</v>
      </c>
      <c r="D1760" s="279">
        <v>100000</v>
      </c>
      <c r="F1760" s="40">
        <v>2.75E-2</v>
      </c>
      <c r="G1760" s="41">
        <v>42072</v>
      </c>
      <c r="H1760" s="41">
        <v>42254</v>
      </c>
      <c r="I1760" s="39">
        <v>26</v>
      </c>
      <c r="J1760" s="39" t="s">
        <v>369</v>
      </c>
      <c r="K1760" s="39" t="s">
        <v>369</v>
      </c>
      <c r="L1760" s="39" t="s">
        <v>1014</v>
      </c>
      <c r="M1760" s="38" t="s">
        <v>557</v>
      </c>
      <c r="N1760" s="38" t="s">
        <v>1042</v>
      </c>
    </row>
    <row r="1761" spans="1:14" x14ac:dyDescent="0.2">
      <c r="A1761" s="38" t="s">
        <v>1035</v>
      </c>
      <c r="B1761" s="38">
        <v>201370</v>
      </c>
      <c r="C1761" s="38" t="s">
        <v>1422</v>
      </c>
      <c r="D1761" s="279">
        <v>100000</v>
      </c>
      <c r="F1761" s="40">
        <v>2.5499999999999998E-2</v>
      </c>
      <c r="G1761" s="41">
        <v>42072</v>
      </c>
      <c r="H1761" s="41">
        <v>42163</v>
      </c>
      <c r="I1761" s="39">
        <v>13</v>
      </c>
      <c r="J1761" s="39" t="s">
        <v>369</v>
      </c>
      <c r="K1761" s="39" t="s">
        <v>1525</v>
      </c>
      <c r="L1761" s="39" t="s">
        <v>1014</v>
      </c>
      <c r="M1761" s="38" t="s">
        <v>1035</v>
      </c>
      <c r="N1761" s="38" t="s">
        <v>68</v>
      </c>
    </row>
    <row r="1762" spans="1:14" x14ac:dyDescent="0.2">
      <c r="A1762" s="38" t="s">
        <v>1035</v>
      </c>
      <c r="B1762" s="38">
        <v>201371</v>
      </c>
      <c r="C1762" s="38" t="s">
        <v>1423</v>
      </c>
      <c r="D1762" s="279">
        <v>100000</v>
      </c>
      <c r="F1762" s="40">
        <v>2.52E-2</v>
      </c>
      <c r="G1762" s="41">
        <v>42072</v>
      </c>
      <c r="H1762" s="41">
        <v>42163</v>
      </c>
      <c r="I1762" s="39">
        <v>13</v>
      </c>
      <c r="J1762" s="39" t="s">
        <v>369</v>
      </c>
      <c r="K1762" s="39" t="s">
        <v>1525</v>
      </c>
      <c r="L1762" s="39" t="s">
        <v>1014</v>
      </c>
      <c r="M1762" s="38" t="s">
        <v>1035</v>
      </c>
      <c r="N1762" s="38" t="s">
        <v>68</v>
      </c>
    </row>
    <row r="1763" spans="1:14" x14ac:dyDescent="0.2">
      <c r="A1763" s="38" t="s">
        <v>1015</v>
      </c>
      <c r="B1763" s="38">
        <v>100620</v>
      </c>
      <c r="C1763" s="38" t="s">
        <v>1405</v>
      </c>
      <c r="D1763" s="279">
        <v>100000</v>
      </c>
      <c r="F1763" s="40">
        <v>0.04</v>
      </c>
      <c r="G1763" s="41">
        <v>42083</v>
      </c>
      <c r="H1763" s="41">
        <v>43910</v>
      </c>
      <c r="I1763" s="39">
        <v>5</v>
      </c>
      <c r="J1763" s="39" t="s">
        <v>1716</v>
      </c>
      <c r="K1763" s="39" t="s">
        <v>1716</v>
      </c>
      <c r="L1763" s="39" t="s">
        <v>1014</v>
      </c>
      <c r="M1763" s="38" t="s">
        <v>1015</v>
      </c>
      <c r="N1763" s="38" t="s">
        <v>132</v>
      </c>
    </row>
    <row r="1764" spans="1:14" x14ac:dyDescent="0.2">
      <c r="A1764" s="38" t="s">
        <v>557</v>
      </c>
      <c r="B1764" s="38">
        <v>151468</v>
      </c>
      <c r="C1764" s="38" t="s">
        <v>291</v>
      </c>
      <c r="D1764" s="279">
        <v>100000</v>
      </c>
      <c r="F1764" s="40">
        <v>3.5999999999999997E-2</v>
      </c>
      <c r="G1764" s="41">
        <v>41772</v>
      </c>
      <c r="H1764" s="41">
        <v>42136</v>
      </c>
      <c r="I1764" s="39">
        <v>52</v>
      </c>
      <c r="J1764" s="39" t="s">
        <v>369</v>
      </c>
      <c r="K1764" s="39" t="s">
        <v>1716</v>
      </c>
      <c r="L1764" s="39" t="s">
        <v>1014</v>
      </c>
      <c r="M1764" s="38" t="s">
        <v>557</v>
      </c>
      <c r="N1764" s="38" t="s">
        <v>1042</v>
      </c>
    </row>
    <row r="1765" spans="1:14" x14ac:dyDescent="0.2">
      <c r="A1765" s="38" t="s">
        <v>557</v>
      </c>
      <c r="B1765" s="38">
        <v>151454</v>
      </c>
      <c r="C1765" s="38" t="s">
        <v>292</v>
      </c>
      <c r="D1765" s="279">
        <v>100000</v>
      </c>
      <c r="F1765" s="40">
        <v>3.9E-2</v>
      </c>
      <c r="G1765" s="41">
        <v>41764</v>
      </c>
      <c r="H1765" s="41">
        <v>42128</v>
      </c>
      <c r="I1765" s="39">
        <v>52</v>
      </c>
      <c r="J1765" s="39" t="s">
        <v>369</v>
      </c>
      <c r="K1765" s="39" t="s">
        <v>1716</v>
      </c>
      <c r="L1765" s="39" t="s">
        <v>1014</v>
      </c>
      <c r="M1765" s="38" t="s">
        <v>557</v>
      </c>
      <c r="N1765" s="38" t="s">
        <v>1504</v>
      </c>
    </row>
    <row r="1766" spans="1:14" x14ac:dyDescent="0.2">
      <c r="A1766" s="38" t="s">
        <v>1035</v>
      </c>
      <c r="B1766" s="38">
        <v>201366</v>
      </c>
      <c r="C1766" s="38" t="s">
        <v>293</v>
      </c>
      <c r="D1766" s="279">
        <v>100000</v>
      </c>
      <c r="F1766" s="40">
        <v>2.5499999999999998E-2</v>
      </c>
      <c r="G1766" s="41">
        <v>42058</v>
      </c>
      <c r="H1766" s="41">
        <v>42555</v>
      </c>
      <c r="I1766" s="39">
        <v>52</v>
      </c>
      <c r="J1766" s="39" t="s">
        <v>369</v>
      </c>
      <c r="K1766" s="39" t="s">
        <v>1716</v>
      </c>
      <c r="L1766" s="39" t="s">
        <v>1014</v>
      </c>
      <c r="M1766" s="38" t="s">
        <v>1035</v>
      </c>
      <c r="N1766" s="38" t="s">
        <v>68</v>
      </c>
    </row>
    <row r="1767" spans="1:14" x14ac:dyDescent="0.2">
      <c r="A1767" s="38" t="s">
        <v>1035</v>
      </c>
      <c r="B1767" s="38">
        <v>201372</v>
      </c>
      <c r="C1767" s="38" t="s">
        <v>294</v>
      </c>
      <c r="D1767" s="279">
        <v>100000</v>
      </c>
      <c r="F1767" s="40">
        <v>2.9499999999999998E-2</v>
      </c>
      <c r="G1767" s="41">
        <v>42079</v>
      </c>
      <c r="H1767" s="41">
        <v>43941</v>
      </c>
      <c r="I1767" s="39">
        <v>5</v>
      </c>
      <c r="J1767" s="39" t="s">
        <v>1716</v>
      </c>
      <c r="K1767" s="39" t="s">
        <v>1716</v>
      </c>
      <c r="L1767" s="39" t="s">
        <v>1014</v>
      </c>
      <c r="M1767" s="38" t="s">
        <v>1035</v>
      </c>
      <c r="N1767" s="38" t="s">
        <v>68</v>
      </c>
    </row>
    <row r="1768" spans="1:14" x14ac:dyDescent="0.2">
      <c r="A1768" s="38" t="s">
        <v>557</v>
      </c>
      <c r="B1768" s="38">
        <v>151447</v>
      </c>
      <c r="C1768" s="38" t="s">
        <v>295</v>
      </c>
      <c r="D1768" s="279">
        <v>100000</v>
      </c>
      <c r="F1768" s="40">
        <v>3.6999999999999998E-2</v>
      </c>
      <c r="G1768" s="41">
        <v>41757</v>
      </c>
      <c r="H1768" s="41">
        <v>42121</v>
      </c>
      <c r="I1768" s="39">
        <v>52</v>
      </c>
      <c r="J1768" s="39" t="s">
        <v>369</v>
      </c>
      <c r="K1768" s="39" t="s">
        <v>1716</v>
      </c>
      <c r="L1768" s="39" t="s">
        <v>1014</v>
      </c>
      <c r="M1768" s="38" t="s">
        <v>557</v>
      </c>
      <c r="N1768" s="38" t="s">
        <v>1042</v>
      </c>
    </row>
    <row r="1769" spans="1:14" x14ac:dyDescent="0.2">
      <c r="A1769" s="38" t="s">
        <v>557</v>
      </c>
      <c r="B1769" s="38">
        <v>150428</v>
      </c>
      <c r="C1769" s="38" t="s">
        <v>1374</v>
      </c>
      <c r="D1769" s="279">
        <v>100000</v>
      </c>
      <c r="F1769" s="40">
        <v>4.7E-2</v>
      </c>
      <c r="G1769" s="41">
        <v>39589</v>
      </c>
      <c r="H1769" s="41">
        <v>42145</v>
      </c>
      <c r="I1769" s="39">
        <v>5</v>
      </c>
      <c r="J1769" s="39" t="s">
        <v>1716</v>
      </c>
      <c r="K1769" s="39" t="s">
        <v>1716</v>
      </c>
      <c r="L1769" s="39" t="s">
        <v>1014</v>
      </c>
      <c r="M1769" s="38" t="s">
        <v>557</v>
      </c>
      <c r="N1769" s="38" t="s">
        <v>1768</v>
      </c>
    </row>
    <row r="1770" spans="1:14" x14ac:dyDescent="0.2">
      <c r="A1770" s="38" t="s">
        <v>1015</v>
      </c>
      <c r="B1770" s="38">
        <v>100621</v>
      </c>
      <c r="C1770" s="38" t="s">
        <v>828</v>
      </c>
      <c r="D1770" s="279">
        <v>100000</v>
      </c>
      <c r="F1770" s="40">
        <v>3.6999999999999998E-2</v>
      </c>
      <c r="G1770" s="41">
        <v>42117</v>
      </c>
      <c r="H1770" s="41">
        <v>42848</v>
      </c>
      <c r="I1770" s="39">
        <v>2</v>
      </c>
      <c r="J1770" s="39" t="s">
        <v>1716</v>
      </c>
      <c r="K1770" s="39" t="s">
        <v>1716</v>
      </c>
      <c r="L1770" s="39" t="s">
        <v>1014</v>
      </c>
      <c r="M1770" s="38" t="s">
        <v>1015</v>
      </c>
      <c r="N1770" s="38" t="s">
        <v>132</v>
      </c>
    </row>
    <row r="1771" spans="1:14" x14ac:dyDescent="0.2">
      <c r="A1771" s="38" t="s">
        <v>1035</v>
      </c>
      <c r="B1771" s="38">
        <v>201373</v>
      </c>
      <c r="C1771" s="38" t="s">
        <v>829</v>
      </c>
      <c r="D1771" s="279">
        <v>100000</v>
      </c>
      <c r="F1771" s="40">
        <v>2.5999999999999999E-2</v>
      </c>
      <c r="G1771" s="41">
        <v>42107</v>
      </c>
      <c r="H1771" s="41">
        <v>42198</v>
      </c>
      <c r="I1771" s="39">
        <v>13</v>
      </c>
      <c r="J1771" s="39" t="s">
        <v>369</v>
      </c>
      <c r="K1771" s="39" t="s">
        <v>1525</v>
      </c>
      <c r="L1771" s="39" t="s">
        <v>1014</v>
      </c>
      <c r="M1771" s="38" t="s">
        <v>1035</v>
      </c>
      <c r="N1771" s="38" t="s">
        <v>68</v>
      </c>
    </row>
    <row r="1772" spans="1:14" x14ac:dyDescent="0.2">
      <c r="A1772" s="38" t="s">
        <v>1035</v>
      </c>
      <c r="B1772" s="38">
        <v>201374</v>
      </c>
      <c r="C1772" s="38" t="s">
        <v>830</v>
      </c>
      <c r="D1772" s="279">
        <v>100000</v>
      </c>
      <c r="F1772" s="40">
        <v>2.7E-2</v>
      </c>
      <c r="G1772" s="41">
        <v>42121</v>
      </c>
      <c r="H1772" s="41">
        <v>42597</v>
      </c>
      <c r="I1772" s="39">
        <v>52</v>
      </c>
      <c r="J1772" s="39" t="s">
        <v>369</v>
      </c>
      <c r="K1772" s="39" t="s">
        <v>1716</v>
      </c>
      <c r="L1772" s="39" t="s">
        <v>1014</v>
      </c>
      <c r="M1772" s="38" t="s">
        <v>1035</v>
      </c>
      <c r="N1772" s="38" t="s">
        <v>68</v>
      </c>
    </row>
    <row r="1773" spans="1:14" x14ac:dyDescent="0.2">
      <c r="A1773" s="38" t="s">
        <v>557</v>
      </c>
      <c r="B1773" s="38">
        <v>151583</v>
      </c>
      <c r="C1773" s="38" t="s">
        <v>831</v>
      </c>
      <c r="D1773" s="279">
        <v>100000</v>
      </c>
      <c r="F1773" s="40">
        <v>3.3700000000000001E-2</v>
      </c>
      <c r="G1773" s="41">
        <v>41954</v>
      </c>
      <c r="H1773" s="41">
        <v>42195</v>
      </c>
      <c r="I1773" s="39">
        <v>26</v>
      </c>
      <c r="J1773" s="39" t="s">
        <v>369</v>
      </c>
      <c r="K1773" s="39" t="s">
        <v>369</v>
      </c>
      <c r="L1773" s="39" t="s">
        <v>1014</v>
      </c>
      <c r="M1773" s="38" t="s">
        <v>557</v>
      </c>
      <c r="N1773" s="38" t="s">
        <v>771</v>
      </c>
    </row>
    <row r="1774" spans="1:14" x14ac:dyDescent="0.2">
      <c r="A1774" s="38" t="s">
        <v>557</v>
      </c>
      <c r="B1774" s="38">
        <v>151618</v>
      </c>
      <c r="C1774" s="38" t="s">
        <v>832</v>
      </c>
      <c r="D1774" s="279">
        <v>100000</v>
      </c>
      <c r="F1774" s="40">
        <v>2.75E-2</v>
      </c>
      <c r="G1774" s="41">
        <v>42016</v>
      </c>
      <c r="H1774" s="41">
        <v>42198</v>
      </c>
      <c r="I1774" s="39">
        <v>26</v>
      </c>
      <c r="J1774" s="39" t="s">
        <v>369</v>
      </c>
      <c r="K1774" s="39" t="s">
        <v>369</v>
      </c>
      <c r="L1774" s="39" t="s">
        <v>1014</v>
      </c>
      <c r="M1774" s="38" t="s">
        <v>557</v>
      </c>
      <c r="N1774" s="38" t="s">
        <v>1481</v>
      </c>
    </row>
    <row r="1775" spans="1:14" x14ac:dyDescent="0.2">
      <c r="A1775" s="38" t="s">
        <v>1035</v>
      </c>
      <c r="B1775" s="38">
        <v>201377</v>
      </c>
      <c r="C1775" s="38" t="s">
        <v>183</v>
      </c>
      <c r="D1775" s="279">
        <v>100000</v>
      </c>
      <c r="F1775" s="40">
        <v>2.5399999999999999E-2</v>
      </c>
      <c r="G1775" s="41">
        <v>42135</v>
      </c>
      <c r="H1775" s="41">
        <v>42226</v>
      </c>
      <c r="I1775" s="39">
        <v>13</v>
      </c>
      <c r="J1775" s="39" t="s">
        <v>369</v>
      </c>
      <c r="K1775" s="39" t="s">
        <v>1525</v>
      </c>
      <c r="L1775" s="39" t="s">
        <v>1014</v>
      </c>
      <c r="M1775" s="38" t="s">
        <v>1035</v>
      </c>
      <c r="N1775" s="38" t="s">
        <v>68</v>
      </c>
    </row>
    <row r="1776" spans="1:14" x14ac:dyDescent="0.2">
      <c r="A1776" s="38" t="s">
        <v>1803</v>
      </c>
      <c r="B1776" s="38">
        <v>9250</v>
      </c>
      <c r="C1776" s="38" t="s">
        <v>1896</v>
      </c>
      <c r="D1776" s="279">
        <v>100000</v>
      </c>
      <c r="F1776" s="40">
        <v>4.2000000000000003E-2</v>
      </c>
      <c r="G1776" s="41">
        <v>42143</v>
      </c>
      <c r="H1776" s="41">
        <v>43970</v>
      </c>
      <c r="I1776" s="39">
        <v>5</v>
      </c>
      <c r="J1776" s="39" t="s">
        <v>1716</v>
      </c>
      <c r="K1776" s="39" t="s">
        <v>1716</v>
      </c>
      <c r="L1776" s="39" t="s">
        <v>1014</v>
      </c>
      <c r="M1776" s="38" t="s">
        <v>1803</v>
      </c>
      <c r="N1776" s="38" t="s">
        <v>1897</v>
      </c>
    </row>
    <row r="1777" spans="1:14" x14ac:dyDescent="0.2">
      <c r="A1777" s="38" t="s">
        <v>1015</v>
      </c>
      <c r="B1777" s="38">
        <v>100626</v>
      </c>
      <c r="C1777" s="38" t="s">
        <v>1898</v>
      </c>
      <c r="D1777" s="279">
        <v>100000</v>
      </c>
      <c r="F1777" s="40">
        <v>0.04</v>
      </c>
      <c r="G1777" s="41">
        <v>42146</v>
      </c>
      <c r="H1777" s="41">
        <v>43973</v>
      </c>
      <c r="I1777" s="39">
        <v>5</v>
      </c>
      <c r="J1777" s="39" t="s">
        <v>1716</v>
      </c>
      <c r="K1777" s="39" t="s">
        <v>1716</v>
      </c>
      <c r="L1777" s="39" t="s">
        <v>1014</v>
      </c>
      <c r="M1777" s="38" t="s">
        <v>1015</v>
      </c>
      <c r="N1777" s="38" t="s">
        <v>132</v>
      </c>
    </row>
    <row r="1778" spans="1:14" x14ac:dyDescent="0.2">
      <c r="A1778" s="38" t="s">
        <v>1035</v>
      </c>
      <c r="B1778" s="38">
        <v>201378</v>
      </c>
      <c r="C1778" s="38" t="s">
        <v>1899</v>
      </c>
      <c r="D1778" s="279">
        <v>100000</v>
      </c>
      <c r="F1778" s="40">
        <v>2.7E-2</v>
      </c>
      <c r="G1778" s="41">
        <v>42142</v>
      </c>
      <c r="H1778" s="41">
        <v>42618</v>
      </c>
      <c r="I1778" s="39">
        <v>52</v>
      </c>
      <c r="J1778" s="39" t="s">
        <v>369</v>
      </c>
      <c r="K1778" s="39" t="s">
        <v>1716</v>
      </c>
      <c r="L1778" s="39" t="s">
        <v>1014</v>
      </c>
      <c r="M1778" s="38" t="s">
        <v>1035</v>
      </c>
      <c r="N1778" s="38" t="s">
        <v>68</v>
      </c>
    </row>
    <row r="1779" spans="1:14" x14ac:dyDescent="0.2">
      <c r="A1779" s="38" t="s">
        <v>1035</v>
      </c>
      <c r="B1779" s="38">
        <v>201381</v>
      </c>
      <c r="C1779" s="38" t="s">
        <v>1900</v>
      </c>
      <c r="D1779" s="279">
        <v>100000</v>
      </c>
      <c r="F1779" s="40">
        <v>2.9000000000000001E-2</v>
      </c>
      <c r="G1779" s="41">
        <v>42149</v>
      </c>
      <c r="H1779" s="41">
        <v>42880</v>
      </c>
      <c r="I1779" s="39">
        <v>2</v>
      </c>
      <c r="J1779" s="39" t="s">
        <v>1716</v>
      </c>
      <c r="K1779" s="39" t="s">
        <v>1716</v>
      </c>
      <c r="L1779" s="39" t="s">
        <v>1014</v>
      </c>
      <c r="M1779" s="38" t="s">
        <v>1035</v>
      </c>
      <c r="N1779" s="38" t="s">
        <v>68</v>
      </c>
    </row>
    <row r="1780" spans="1:14" x14ac:dyDescent="0.2">
      <c r="A1780" s="38" t="s">
        <v>557</v>
      </c>
      <c r="B1780" s="38">
        <v>151629</v>
      </c>
      <c r="C1780" s="38" t="s">
        <v>1269</v>
      </c>
      <c r="D1780" s="279">
        <v>100000</v>
      </c>
      <c r="F1780" s="40">
        <v>2.75E-2</v>
      </c>
      <c r="G1780" s="41">
        <v>42033</v>
      </c>
      <c r="H1780" s="41">
        <v>42214</v>
      </c>
      <c r="I1780" s="39">
        <v>26</v>
      </c>
      <c r="J1780" s="39" t="s">
        <v>369</v>
      </c>
      <c r="K1780" s="39" t="s">
        <v>369</v>
      </c>
      <c r="L1780" s="39" t="s">
        <v>1014</v>
      </c>
      <c r="M1780" s="38" t="s">
        <v>557</v>
      </c>
      <c r="N1780" s="38" t="s">
        <v>1042</v>
      </c>
    </row>
    <row r="1781" spans="1:14" x14ac:dyDescent="0.2">
      <c r="A1781" s="38" t="s">
        <v>1035</v>
      </c>
      <c r="B1781" s="38">
        <v>201382</v>
      </c>
      <c r="C1781" s="38" t="s">
        <v>1270</v>
      </c>
      <c r="D1781" s="279">
        <v>100000</v>
      </c>
      <c r="F1781" s="40">
        <v>2.52E-2</v>
      </c>
      <c r="G1781" s="41">
        <v>42156</v>
      </c>
      <c r="H1781" s="41">
        <v>42338</v>
      </c>
      <c r="I1781" s="39">
        <v>26</v>
      </c>
      <c r="J1781" s="39" t="s">
        <v>369</v>
      </c>
      <c r="K1781" s="39" t="s">
        <v>369</v>
      </c>
      <c r="L1781" s="39" t="s">
        <v>1014</v>
      </c>
      <c r="M1781" s="38" t="s">
        <v>1035</v>
      </c>
      <c r="N1781" s="38" t="s">
        <v>68</v>
      </c>
    </row>
    <row r="1782" spans="1:14" x14ac:dyDescent="0.2">
      <c r="A1782" s="38" t="s">
        <v>557</v>
      </c>
      <c r="B1782" s="38">
        <v>151674</v>
      </c>
      <c r="C1782" s="38" t="s">
        <v>1271</v>
      </c>
      <c r="D1782" s="279">
        <v>100000</v>
      </c>
      <c r="F1782" s="40">
        <v>2.75E-2</v>
      </c>
      <c r="G1782" s="41">
        <v>42163</v>
      </c>
      <c r="H1782" s="41">
        <v>42527</v>
      </c>
      <c r="I1782" s="39">
        <v>52</v>
      </c>
      <c r="J1782" s="39" t="s">
        <v>369</v>
      </c>
      <c r="K1782" s="39" t="s">
        <v>1716</v>
      </c>
      <c r="L1782" s="39" t="s">
        <v>1014</v>
      </c>
      <c r="M1782" s="38" t="s">
        <v>557</v>
      </c>
      <c r="N1782" s="38" t="s">
        <v>916</v>
      </c>
    </row>
    <row r="1783" spans="1:14" x14ac:dyDescent="0.2">
      <c r="A1783" s="38" t="s">
        <v>557</v>
      </c>
      <c r="B1783" s="38">
        <v>151672</v>
      </c>
      <c r="C1783" s="38" t="s">
        <v>1272</v>
      </c>
      <c r="D1783" s="279">
        <v>100000</v>
      </c>
      <c r="F1783" s="40">
        <v>2.5999999999999999E-2</v>
      </c>
      <c r="G1783" s="41">
        <v>42164</v>
      </c>
      <c r="H1783" s="41">
        <v>42223</v>
      </c>
      <c r="I1783" s="39">
        <v>59</v>
      </c>
      <c r="J1783" s="39" t="s">
        <v>1396</v>
      </c>
      <c r="K1783" s="39" t="s">
        <v>1525</v>
      </c>
      <c r="L1783" s="39" t="s">
        <v>1014</v>
      </c>
      <c r="M1783" s="38" t="s">
        <v>557</v>
      </c>
      <c r="N1783" s="38" t="s">
        <v>1004</v>
      </c>
    </row>
    <row r="1784" spans="1:14" x14ac:dyDescent="0.2">
      <c r="A1784" s="38" t="s">
        <v>1803</v>
      </c>
      <c r="B1784" s="38">
        <v>9253</v>
      </c>
      <c r="C1784" s="38" t="s">
        <v>1273</v>
      </c>
      <c r="D1784" s="279">
        <v>100000</v>
      </c>
      <c r="F1784" s="40">
        <v>4.8000000000000001E-2</v>
      </c>
      <c r="G1784" s="41">
        <v>42165</v>
      </c>
      <c r="H1784" s="41">
        <v>49470</v>
      </c>
      <c r="I1784" s="39">
        <v>20</v>
      </c>
      <c r="J1784" s="39" t="s">
        <v>1716</v>
      </c>
      <c r="K1784" s="39" t="s">
        <v>1716</v>
      </c>
      <c r="L1784" s="39" t="s">
        <v>1014</v>
      </c>
      <c r="M1784" s="38" t="s">
        <v>1803</v>
      </c>
      <c r="N1784" s="38" t="s">
        <v>1804</v>
      </c>
    </row>
    <row r="1785" spans="1:14" x14ac:dyDescent="0.2">
      <c r="A1785" s="38" t="s">
        <v>1035</v>
      </c>
      <c r="B1785" s="38">
        <v>201376</v>
      </c>
      <c r="C1785" s="38" t="s">
        <v>1274</v>
      </c>
      <c r="D1785" s="279">
        <v>100000</v>
      </c>
      <c r="F1785" s="40">
        <v>2.5999999999999999E-2</v>
      </c>
      <c r="G1785" s="41">
        <v>42128</v>
      </c>
      <c r="H1785" s="41">
        <v>42310</v>
      </c>
      <c r="I1785" s="39">
        <v>26</v>
      </c>
      <c r="J1785" s="39" t="s">
        <v>369</v>
      </c>
      <c r="K1785" s="39" t="s">
        <v>369</v>
      </c>
      <c r="L1785" s="39" t="s">
        <v>1014</v>
      </c>
      <c r="M1785" s="38" t="s">
        <v>1035</v>
      </c>
      <c r="N1785" s="38" t="s">
        <v>68</v>
      </c>
    </row>
    <row r="1786" spans="1:14" x14ac:dyDescent="0.2">
      <c r="A1786" s="38" t="s">
        <v>1035</v>
      </c>
      <c r="B1786" s="38">
        <v>201384</v>
      </c>
      <c r="C1786" s="38" t="s">
        <v>1275</v>
      </c>
      <c r="D1786" s="279">
        <v>100000</v>
      </c>
      <c r="F1786" s="40">
        <v>2.5000000000000001E-2</v>
      </c>
      <c r="G1786" s="41">
        <v>42170</v>
      </c>
      <c r="H1786" s="41">
        <v>42352</v>
      </c>
      <c r="I1786" s="39">
        <v>26</v>
      </c>
      <c r="J1786" s="39" t="s">
        <v>369</v>
      </c>
      <c r="K1786" s="39" t="s">
        <v>369</v>
      </c>
      <c r="L1786" s="39" t="s">
        <v>1014</v>
      </c>
      <c r="M1786" s="38" t="s">
        <v>1035</v>
      </c>
      <c r="N1786" s="38" t="s">
        <v>68</v>
      </c>
    </row>
    <row r="1787" spans="1:14" x14ac:dyDescent="0.2">
      <c r="A1787" s="38" t="s">
        <v>1803</v>
      </c>
      <c r="B1787" s="38">
        <v>9256</v>
      </c>
      <c r="C1787" s="38" t="s">
        <v>1276</v>
      </c>
      <c r="D1787" s="279">
        <v>100000</v>
      </c>
      <c r="F1787" s="40">
        <v>3.6900000000000002E-2</v>
      </c>
      <c r="G1787" s="41">
        <v>42171</v>
      </c>
      <c r="H1787" s="41">
        <v>45824</v>
      </c>
      <c r="I1787" s="39">
        <v>10</v>
      </c>
      <c r="J1787" s="39" t="s">
        <v>1716</v>
      </c>
      <c r="K1787" s="39" t="s">
        <v>1716</v>
      </c>
      <c r="L1787" s="39" t="s">
        <v>1014</v>
      </c>
      <c r="M1787" s="38" t="s">
        <v>1803</v>
      </c>
      <c r="N1787" s="38" t="s">
        <v>1042</v>
      </c>
    </row>
    <row r="1788" spans="1:14" x14ac:dyDescent="0.2">
      <c r="A1788" s="38" t="s">
        <v>1803</v>
      </c>
      <c r="B1788" s="38">
        <v>9255</v>
      </c>
      <c r="C1788" s="38" t="s">
        <v>111</v>
      </c>
      <c r="D1788" s="279">
        <v>100000</v>
      </c>
      <c r="F1788" s="40">
        <v>4.7399999999999998E-2</v>
      </c>
      <c r="G1788" s="41">
        <v>42171</v>
      </c>
      <c r="H1788" s="41">
        <v>45824</v>
      </c>
      <c r="I1788" s="39">
        <v>10</v>
      </c>
      <c r="J1788" s="39" t="s">
        <v>1716</v>
      </c>
      <c r="K1788" s="39" t="s">
        <v>1716</v>
      </c>
      <c r="L1788" s="39" t="s">
        <v>1014</v>
      </c>
      <c r="M1788" s="38" t="s">
        <v>1803</v>
      </c>
      <c r="N1788" s="38" t="s">
        <v>1042</v>
      </c>
    </row>
    <row r="1789" spans="1:14" x14ac:dyDescent="0.2">
      <c r="A1789" s="38" t="s">
        <v>557</v>
      </c>
      <c r="B1789" s="38">
        <v>151651</v>
      </c>
      <c r="C1789" s="38" t="s">
        <v>1835</v>
      </c>
      <c r="D1789" s="279">
        <v>100000</v>
      </c>
      <c r="F1789" s="40">
        <v>2.6499999999999999E-2</v>
      </c>
      <c r="G1789" s="41">
        <v>42093</v>
      </c>
      <c r="H1789" s="41">
        <v>42186</v>
      </c>
      <c r="I1789" s="39">
        <v>13</v>
      </c>
      <c r="J1789" s="39" t="s">
        <v>369</v>
      </c>
      <c r="K1789" s="39" t="s">
        <v>1525</v>
      </c>
      <c r="L1789" s="39" t="s">
        <v>1014</v>
      </c>
      <c r="M1789" s="38" t="s">
        <v>557</v>
      </c>
      <c r="N1789" s="38" t="s">
        <v>916</v>
      </c>
    </row>
    <row r="1790" spans="1:14" x14ac:dyDescent="0.2">
      <c r="A1790" s="38" t="s">
        <v>1713</v>
      </c>
      <c r="B1790" s="38">
        <v>140647</v>
      </c>
      <c r="C1790" s="38" t="s">
        <v>1836</v>
      </c>
      <c r="D1790" s="279">
        <v>100000</v>
      </c>
      <c r="F1790" s="40">
        <v>4.0599999999999997E-2</v>
      </c>
      <c r="G1790" s="41">
        <v>42179</v>
      </c>
      <c r="H1790" s="41">
        <v>42543</v>
      </c>
      <c r="I1790" s="39">
        <v>52</v>
      </c>
      <c r="J1790" s="39" t="s">
        <v>369</v>
      </c>
      <c r="K1790" s="39" t="s">
        <v>1716</v>
      </c>
      <c r="L1790" s="39" t="s">
        <v>1014</v>
      </c>
      <c r="M1790" s="38" t="s">
        <v>1713</v>
      </c>
      <c r="N1790" s="38" t="s">
        <v>1837</v>
      </c>
    </row>
    <row r="1791" spans="1:14" x14ac:dyDescent="0.2">
      <c r="A1791" s="38" t="s">
        <v>1015</v>
      </c>
      <c r="B1791" s="38">
        <v>100585</v>
      </c>
      <c r="C1791" s="38" t="s">
        <v>1838</v>
      </c>
      <c r="D1791" s="279">
        <v>100000</v>
      </c>
      <c r="F1791" s="40">
        <v>4.1000000000000002E-2</v>
      </c>
      <c r="G1791" s="41">
        <v>41851</v>
      </c>
      <c r="H1791" s="41">
        <v>42947</v>
      </c>
      <c r="I1791" s="39">
        <v>3</v>
      </c>
      <c r="J1791" s="39" t="s">
        <v>1716</v>
      </c>
      <c r="K1791" s="39" t="s">
        <v>1716</v>
      </c>
      <c r="L1791" s="39" t="s">
        <v>1014</v>
      </c>
      <c r="M1791" s="38" t="s">
        <v>1015</v>
      </c>
      <c r="N1791" s="38" t="s">
        <v>640</v>
      </c>
    </row>
    <row r="1792" spans="1:14" x14ac:dyDescent="0.2">
      <c r="A1792" s="38" t="s">
        <v>1015</v>
      </c>
      <c r="B1792" s="38">
        <v>100632</v>
      </c>
      <c r="C1792" s="38" t="s">
        <v>1852</v>
      </c>
      <c r="D1792" s="279">
        <v>100000</v>
      </c>
      <c r="F1792" s="40">
        <v>3.7499999999999999E-2</v>
      </c>
      <c r="G1792" s="41">
        <v>42181</v>
      </c>
      <c r="H1792" s="41">
        <v>44008</v>
      </c>
      <c r="I1792" s="39">
        <v>5</v>
      </c>
      <c r="J1792" s="39" t="s">
        <v>1716</v>
      </c>
      <c r="K1792" s="39" t="s">
        <v>1716</v>
      </c>
      <c r="L1792" s="39" t="s">
        <v>1014</v>
      </c>
      <c r="M1792" s="38" t="s">
        <v>1015</v>
      </c>
      <c r="N1792" s="38" t="s">
        <v>1226</v>
      </c>
    </row>
    <row r="1793" spans="1:14" x14ac:dyDescent="0.2">
      <c r="A1793" s="38" t="s">
        <v>1015</v>
      </c>
      <c r="B1793" s="38">
        <v>100631</v>
      </c>
      <c r="C1793" s="38" t="s">
        <v>3</v>
      </c>
      <c r="D1793" s="279">
        <v>100000</v>
      </c>
      <c r="F1793" s="40">
        <v>3.8800000000000001E-2</v>
      </c>
      <c r="G1793" s="41">
        <v>42185</v>
      </c>
      <c r="H1793" s="41">
        <v>44012</v>
      </c>
      <c r="I1793" s="39">
        <v>5</v>
      </c>
      <c r="J1793" s="39" t="s">
        <v>1716</v>
      </c>
      <c r="K1793" s="39" t="s">
        <v>1716</v>
      </c>
      <c r="L1793" s="39" t="s">
        <v>1014</v>
      </c>
      <c r="M1793" s="38" t="s">
        <v>1015</v>
      </c>
      <c r="N1793" s="38" t="s">
        <v>640</v>
      </c>
    </row>
    <row r="1794" spans="1:14" x14ac:dyDescent="0.2">
      <c r="A1794" s="38" t="s">
        <v>1035</v>
      </c>
      <c r="B1794" s="38">
        <v>201379</v>
      </c>
      <c r="C1794" s="38" t="s">
        <v>4</v>
      </c>
      <c r="D1794" s="279">
        <v>100000</v>
      </c>
      <c r="F1794" s="40">
        <v>0.04</v>
      </c>
      <c r="G1794" s="41">
        <v>42142</v>
      </c>
      <c r="H1794" s="41">
        <v>47700</v>
      </c>
      <c r="I1794" s="39">
        <v>15</v>
      </c>
      <c r="J1794" s="39" t="s">
        <v>1716</v>
      </c>
      <c r="K1794" s="39" t="s">
        <v>1716</v>
      </c>
      <c r="L1794" s="39" t="s">
        <v>1014</v>
      </c>
      <c r="M1794" s="38" t="s">
        <v>1035</v>
      </c>
      <c r="N1794" s="38" t="s">
        <v>68</v>
      </c>
    </row>
    <row r="1795" spans="1:14" x14ac:dyDescent="0.2">
      <c r="A1795" s="38" t="s">
        <v>1803</v>
      </c>
      <c r="B1795" s="38">
        <v>9259</v>
      </c>
      <c r="C1795" s="38" t="s">
        <v>1087</v>
      </c>
      <c r="D1795" s="279">
        <v>100000</v>
      </c>
      <c r="F1795" s="40">
        <v>0.04</v>
      </c>
      <c r="G1795" s="41">
        <v>42567</v>
      </c>
      <c r="H1795" s="41">
        <v>44028</v>
      </c>
      <c r="I1795" s="39">
        <v>5</v>
      </c>
      <c r="J1795" s="39" t="s">
        <v>1716</v>
      </c>
      <c r="K1795" s="39" t="s">
        <v>1716</v>
      </c>
      <c r="L1795" s="39" t="s">
        <v>1014</v>
      </c>
      <c r="M1795" s="38" t="s">
        <v>1803</v>
      </c>
      <c r="N1795" s="38" t="s">
        <v>143</v>
      </c>
    </row>
    <row r="1796" spans="1:14" x14ac:dyDescent="0.2">
      <c r="A1796" s="38" t="s">
        <v>1803</v>
      </c>
      <c r="B1796" s="38">
        <v>9260</v>
      </c>
      <c r="C1796" s="38" t="s">
        <v>1088</v>
      </c>
      <c r="D1796" s="279">
        <v>100000</v>
      </c>
      <c r="F1796" s="40">
        <v>0.04</v>
      </c>
      <c r="G1796" s="41">
        <v>42201</v>
      </c>
      <c r="H1796" s="41">
        <v>44028</v>
      </c>
      <c r="I1796" s="39">
        <v>5</v>
      </c>
      <c r="J1796" s="39" t="s">
        <v>1716</v>
      </c>
      <c r="K1796" s="39" t="s">
        <v>1716</v>
      </c>
      <c r="L1796" s="39" t="s">
        <v>1014</v>
      </c>
      <c r="M1796" s="38" t="s">
        <v>1803</v>
      </c>
      <c r="N1796" s="38" t="s">
        <v>1089</v>
      </c>
    </row>
    <row r="1797" spans="1:14" x14ac:dyDescent="0.2">
      <c r="A1797" s="38" t="s">
        <v>1035</v>
      </c>
      <c r="B1797" s="38">
        <v>201387</v>
      </c>
      <c r="C1797" s="38" t="s">
        <v>1090</v>
      </c>
      <c r="D1797" s="279">
        <v>100000</v>
      </c>
      <c r="F1797" s="40">
        <v>3.1E-2</v>
      </c>
      <c r="G1797" s="41">
        <v>42205</v>
      </c>
      <c r="H1797" s="41">
        <v>44032</v>
      </c>
      <c r="I1797" s="39">
        <v>5</v>
      </c>
      <c r="J1797" s="39" t="s">
        <v>1716</v>
      </c>
      <c r="K1797" s="39" t="s">
        <v>1716</v>
      </c>
      <c r="L1797" s="39" t="s">
        <v>1014</v>
      </c>
      <c r="M1797" s="38" t="s">
        <v>1035</v>
      </c>
      <c r="N1797" s="38" t="s">
        <v>68</v>
      </c>
    </row>
    <row r="1798" spans="1:14" x14ac:dyDescent="0.2">
      <c r="A1798" s="38" t="s">
        <v>557</v>
      </c>
      <c r="B1798" s="38">
        <v>151683</v>
      </c>
      <c r="C1798" s="38" t="s">
        <v>1599</v>
      </c>
      <c r="D1798" s="279">
        <v>100000</v>
      </c>
      <c r="F1798" s="40">
        <v>3.09E-2</v>
      </c>
      <c r="G1798" s="41">
        <v>42208</v>
      </c>
      <c r="H1798" s="41">
        <v>42939</v>
      </c>
      <c r="I1798" s="39">
        <v>2</v>
      </c>
      <c r="J1798" s="39" t="s">
        <v>1716</v>
      </c>
      <c r="K1798" s="39" t="s">
        <v>1716</v>
      </c>
      <c r="L1798" s="39" t="s">
        <v>1014</v>
      </c>
      <c r="M1798" s="38" t="s">
        <v>557</v>
      </c>
      <c r="N1798" s="38" t="s">
        <v>1481</v>
      </c>
    </row>
    <row r="1799" spans="1:14" x14ac:dyDescent="0.2">
      <c r="A1799" s="38" t="s">
        <v>1015</v>
      </c>
      <c r="B1799" s="38">
        <v>100638</v>
      </c>
      <c r="C1799" s="38" t="s">
        <v>1600</v>
      </c>
      <c r="D1799" s="279">
        <v>100000</v>
      </c>
      <c r="F1799" s="40">
        <v>3.5299999999999998E-2</v>
      </c>
      <c r="G1799" s="41">
        <v>42209</v>
      </c>
      <c r="H1799" s="41">
        <v>43305</v>
      </c>
      <c r="I1799" s="39">
        <v>3</v>
      </c>
      <c r="J1799" s="39" t="s">
        <v>1716</v>
      </c>
      <c r="K1799" s="39" t="s">
        <v>1716</v>
      </c>
      <c r="L1799" s="39" t="s">
        <v>1014</v>
      </c>
      <c r="M1799" s="38" t="s">
        <v>1015</v>
      </c>
      <c r="N1799" s="38" t="s">
        <v>132</v>
      </c>
    </row>
    <row r="1800" spans="1:14" x14ac:dyDescent="0.2">
      <c r="A1800" s="38" t="s">
        <v>1015</v>
      </c>
      <c r="B1800" s="38">
        <v>100639</v>
      </c>
      <c r="C1800" s="38" t="s">
        <v>427</v>
      </c>
      <c r="D1800" s="279">
        <v>100000</v>
      </c>
      <c r="F1800" s="40">
        <v>3.2099999999999997E-2</v>
      </c>
      <c r="G1800" s="41">
        <v>42219</v>
      </c>
      <c r="H1800" s="41">
        <v>42950</v>
      </c>
      <c r="I1800" s="39">
        <v>2</v>
      </c>
      <c r="J1800" s="39" t="s">
        <v>1716</v>
      </c>
      <c r="K1800" s="39" t="s">
        <v>1716</v>
      </c>
      <c r="L1800" s="39" t="s">
        <v>1014</v>
      </c>
      <c r="M1800" s="38" t="s">
        <v>1015</v>
      </c>
      <c r="N1800" s="38" t="s">
        <v>1226</v>
      </c>
    </row>
    <row r="1801" spans="1:14" x14ac:dyDescent="0.2">
      <c r="A1801" s="38" t="s">
        <v>557</v>
      </c>
      <c r="B1801" s="38">
        <v>151613</v>
      </c>
      <c r="C1801" s="38" t="s">
        <v>428</v>
      </c>
      <c r="D1801" s="279">
        <v>100000</v>
      </c>
      <c r="F1801" s="40">
        <v>3.2800000000000003E-2</v>
      </c>
      <c r="G1801" s="41">
        <v>41992</v>
      </c>
      <c r="H1801" s="41">
        <v>42356</v>
      </c>
      <c r="I1801" s="39">
        <v>1</v>
      </c>
      <c r="J1801" s="39" t="s">
        <v>1716</v>
      </c>
      <c r="K1801" s="39" t="s">
        <v>1716</v>
      </c>
      <c r="L1801" s="39" t="s">
        <v>1014</v>
      </c>
      <c r="M1801" s="38" t="s">
        <v>557</v>
      </c>
      <c r="N1801" s="38" t="s">
        <v>771</v>
      </c>
    </row>
    <row r="1802" spans="1:14" x14ac:dyDescent="0.2">
      <c r="A1802" s="38" t="s">
        <v>1035</v>
      </c>
      <c r="B1802" s="38">
        <v>201385</v>
      </c>
      <c r="C1802" s="38" t="s">
        <v>429</v>
      </c>
      <c r="D1802" s="279">
        <v>100000</v>
      </c>
      <c r="F1802" s="40">
        <v>2.7E-2</v>
      </c>
      <c r="G1802" s="41">
        <v>42191</v>
      </c>
      <c r="H1802" s="41">
        <v>42962</v>
      </c>
      <c r="I1802" s="39">
        <v>2</v>
      </c>
      <c r="J1802" s="39" t="s">
        <v>1716</v>
      </c>
      <c r="K1802" s="39" t="s">
        <v>1716</v>
      </c>
      <c r="L1802" s="39" t="s">
        <v>1014</v>
      </c>
      <c r="M1802" s="38" t="s">
        <v>1035</v>
      </c>
      <c r="N1802" s="38" t="s">
        <v>68</v>
      </c>
    </row>
    <row r="1803" spans="1:14" x14ac:dyDescent="0.2">
      <c r="A1803" s="38" t="s">
        <v>557</v>
      </c>
      <c r="B1803" s="38">
        <v>151623</v>
      </c>
      <c r="C1803" s="38" t="s">
        <v>1964</v>
      </c>
      <c r="D1803" s="279">
        <v>100000</v>
      </c>
      <c r="F1803" s="40">
        <v>2.9499999999999998E-2</v>
      </c>
      <c r="G1803" s="41">
        <v>42023</v>
      </c>
      <c r="H1803" s="41">
        <v>42754</v>
      </c>
      <c r="I1803" s="39">
        <v>2</v>
      </c>
      <c r="J1803" s="39" t="s">
        <v>1716</v>
      </c>
      <c r="K1803" s="39" t="s">
        <v>1716</v>
      </c>
      <c r="L1803" s="39" t="s">
        <v>1014</v>
      </c>
      <c r="M1803" s="38" t="s">
        <v>557</v>
      </c>
      <c r="N1803" s="38" t="s">
        <v>1042</v>
      </c>
    </row>
    <row r="1804" spans="1:14" x14ac:dyDescent="0.2">
      <c r="A1804" s="38" t="s">
        <v>557</v>
      </c>
      <c r="B1804" s="38">
        <v>151632</v>
      </c>
      <c r="C1804" s="38" t="s">
        <v>1965</v>
      </c>
      <c r="D1804" s="279">
        <v>100000</v>
      </c>
      <c r="F1804" s="40">
        <v>3.1E-2</v>
      </c>
      <c r="G1804" s="41">
        <v>42039</v>
      </c>
      <c r="H1804" s="41">
        <v>43135</v>
      </c>
      <c r="I1804" s="39">
        <v>2</v>
      </c>
      <c r="J1804" s="39" t="s">
        <v>1716</v>
      </c>
      <c r="K1804" s="39" t="s">
        <v>1716</v>
      </c>
      <c r="L1804" s="39" t="s">
        <v>1014</v>
      </c>
      <c r="M1804" s="38" t="s">
        <v>557</v>
      </c>
      <c r="N1804" s="38" t="s">
        <v>1042</v>
      </c>
    </row>
    <row r="1805" spans="1:14" x14ac:dyDescent="0.2">
      <c r="A1805" s="38" t="s">
        <v>1035</v>
      </c>
      <c r="B1805" s="38">
        <v>201386</v>
      </c>
      <c r="C1805" s="38" t="s">
        <v>1966</v>
      </c>
      <c r="D1805" s="279">
        <v>100000</v>
      </c>
      <c r="F1805" s="40">
        <v>4.3999999999999997E-2</v>
      </c>
      <c r="G1805" s="41">
        <v>42191</v>
      </c>
      <c r="H1805" s="41">
        <v>49709</v>
      </c>
      <c r="I1805" s="39">
        <v>20</v>
      </c>
      <c r="J1805" s="39" t="s">
        <v>1716</v>
      </c>
      <c r="K1805" s="39" t="s">
        <v>1716</v>
      </c>
      <c r="L1805" s="39" t="s">
        <v>1014</v>
      </c>
      <c r="M1805" s="38" t="s">
        <v>1035</v>
      </c>
      <c r="N1805" s="38" t="s">
        <v>68</v>
      </c>
    </row>
    <row r="1806" spans="1:14" x14ac:dyDescent="0.2">
      <c r="A1806" s="38" t="s">
        <v>1035</v>
      </c>
      <c r="B1806" s="38">
        <v>201391</v>
      </c>
      <c r="C1806" s="38" t="s">
        <v>1678</v>
      </c>
      <c r="D1806" s="279">
        <v>100000</v>
      </c>
      <c r="F1806" s="40">
        <v>2.5499999999999998E-2</v>
      </c>
      <c r="G1806" s="41">
        <v>42226</v>
      </c>
      <c r="H1806" s="41">
        <v>42317</v>
      </c>
      <c r="I1806" s="39">
        <v>13</v>
      </c>
      <c r="J1806" s="39" t="s">
        <v>369</v>
      </c>
      <c r="K1806" s="39" t="s">
        <v>369</v>
      </c>
      <c r="L1806" s="39" t="s">
        <v>1014</v>
      </c>
      <c r="M1806" s="38" t="s">
        <v>1035</v>
      </c>
      <c r="N1806" s="38" t="s">
        <v>68</v>
      </c>
    </row>
    <row r="1807" spans="1:14" x14ac:dyDescent="0.2">
      <c r="A1807" s="38" t="s">
        <v>1015</v>
      </c>
      <c r="B1807" s="38">
        <v>100640</v>
      </c>
      <c r="C1807" s="38" t="s">
        <v>1679</v>
      </c>
      <c r="D1807" s="279">
        <v>100000</v>
      </c>
      <c r="F1807" s="40">
        <v>3.4599999999999999E-2</v>
      </c>
      <c r="G1807" s="41">
        <v>42256</v>
      </c>
      <c r="H1807" s="41">
        <v>43352</v>
      </c>
      <c r="I1807" s="39">
        <v>3</v>
      </c>
      <c r="J1807" s="39" t="s">
        <v>1716</v>
      </c>
      <c r="K1807" s="39" t="s">
        <v>1716</v>
      </c>
      <c r="L1807" s="39" t="s">
        <v>1014</v>
      </c>
      <c r="M1807" s="38" t="s">
        <v>1015</v>
      </c>
      <c r="N1807" s="38" t="s">
        <v>1226</v>
      </c>
    </row>
    <row r="1808" spans="1:14" x14ac:dyDescent="0.2">
      <c r="A1808" s="38" t="s">
        <v>1035</v>
      </c>
      <c r="B1808" s="38">
        <v>201396</v>
      </c>
      <c r="C1808" s="2" t="s">
        <v>1355</v>
      </c>
      <c r="D1808" s="279">
        <v>100000</v>
      </c>
      <c r="F1808" s="40">
        <v>2.75E-2</v>
      </c>
      <c r="G1808" s="41">
        <v>42254</v>
      </c>
      <c r="H1808" s="41">
        <v>42996</v>
      </c>
      <c r="I1808" s="39">
        <v>2</v>
      </c>
      <c r="J1808" s="39" t="s">
        <v>1716</v>
      </c>
      <c r="K1808" s="39" t="s">
        <v>1716</v>
      </c>
      <c r="L1808" s="39" t="s">
        <v>1014</v>
      </c>
      <c r="M1808" s="38" t="s">
        <v>1035</v>
      </c>
      <c r="N1808" s="38" t="s">
        <v>68</v>
      </c>
    </row>
    <row r="1809" spans="1:14" x14ac:dyDescent="0.2">
      <c r="A1809" s="38" t="s">
        <v>557</v>
      </c>
      <c r="B1809" s="38">
        <v>151690</v>
      </c>
      <c r="C1809" s="38" t="s">
        <v>518</v>
      </c>
      <c r="D1809" s="279">
        <v>100000</v>
      </c>
      <c r="F1809" s="40">
        <v>2.9399999999999999E-2</v>
      </c>
      <c r="G1809" s="41">
        <v>42285</v>
      </c>
      <c r="H1809" s="41">
        <v>42649</v>
      </c>
      <c r="I1809" s="39">
        <v>52</v>
      </c>
      <c r="J1809" s="39" t="s">
        <v>369</v>
      </c>
      <c r="K1809" s="39" t="s">
        <v>369</v>
      </c>
      <c r="L1809" s="39" t="s">
        <v>1014</v>
      </c>
      <c r="M1809" s="38" t="s">
        <v>557</v>
      </c>
      <c r="N1809" s="38" t="s">
        <v>1042</v>
      </c>
    </row>
    <row r="1810" spans="1:14" x14ac:dyDescent="0.2">
      <c r="A1810" s="38" t="s">
        <v>1035</v>
      </c>
      <c r="B1810" s="38">
        <v>201393</v>
      </c>
      <c r="C1810" s="38" t="s">
        <v>519</v>
      </c>
      <c r="D1810" s="279">
        <v>100000</v>
      </c>
      <c r="F1810" s="40">
        <v>2.5000000000000001E-2</v>
      </c>
      <c r="G1810" s="41">
        <v>42254</v>
      </c>
      <c r="H1810" s="41">
        <v>42345</v>
      </c>
      <c r="I1810" s="39">
        <v>13</v>
      </c>
      <c r="J1810" s="39" t="s">
        <v>369</v>
      </c>
      <c r="K1810" s="39" t="s">
        <v>369</v>
      </c>
      <c r="L1810" s="39" t="s">
        <v>1014</v>
      </c>
      <c r="M1810" s="38" t="s">
        <v>1035</v>
      </c>
      <c r="N1810" s="38" t="s">
        <v>68</v>
      </c>
    </row>
    <row r="1811" spans="1:14" x14ac:dyDescent="0.2">
      <c r="A1811" s="38" t="s">
        <v>1015</v>
      </c>
      <c r="B1811" s="38">
        <v>100642</v>
      </c>
      <c r="C1811" s="38" t="s">
        <v>1538</v>
      </c>
      <c r="D1811" s="279">
        <v>100000</v>
      </c>
      <c r="F1811" s="40">
        <v>3.3099999999999997E-2</v>
      </c>
      <c r="G1811" s="41">
        <v>42290</v>
      </c>
      <c r="H1811" s="41">
        <v>43021</v>
      </c>
      <c r="I1811" s="39">
        <v>2</v>
      </c>
      <c r="J1811" s="39" t="s">
        <v>1716</v>
      </c>
      <c r="K1811" s="39" t="s">
        <v>1716</v>
      </c>
      <c r="L1811" s="39" t="s">
        <v>1014</v>
      </c>
      <c r="M1811" s="38" t="s">
        <v>1015</v>
      </c>
      <c r="N1811" s="38" t="s">
        <v>1226</v>
      </c>
    </row>
    <row r="1812" spans="1:14" x14ac:dyDescent="0.2">
      <c r="A1812" s="38" t="s">
        <v>1035</v>
      </c>
      <c r="B1812" s="38">
        <v>201399</v>
      </c>
      <c r="C1812" s="38" t="s">
        <v>350</v>
      </c>
      <c r="D1812" s="279">
        <v>100000</v>
      </c>
      <c r="F1812" s="40">
        <v>3.15E-2</v>
      </c>
      <c r="G1812" s="41">
        <v>42296</v>
      </c>
      <c r="H1812" s="41">
        <v>44396</v>
      </c>
      <c r="I1812" s="39">
        <v>5</v>
      </c>
      <c r="J1812" s="39" t="s">
        <v>1716</v>
      </c>
      <c r="K1812" s="39" t="s">
        <v>1716</v>
      </c>
      <c r="L1812" s="39" t="s">
        <v>1014</v>
      </c>
      <c r="M1812" s="38" t="s">
        <v>1035</v>
      </c>
      <c r="N1812" s="38" t="s">
        <v>68</v>
      </c>
    </row>
    <row r="1813" spans="1:14" x14ac:dyDescent="0.2">
      <c r="A1813" s="38" t="s">
        <v>1803</v>
      </c>
      <c r="B1813" s="38">
        <v>9269</v>
      </c>
      <c r="C1813" s="38" t="s">
        <v>351</v>
      </c>
      <c r="D1813" s="279">
        <v>100000</v>
      </c>
      <c r="F1813" s="40">
        <v>4.7100000000000003E-2</v>
      </c>
      <c r="G1813" s="41">
        <v>42297</v>
      </c>
      <c r="H1813" s="41">
        <v>45950</v>
      </c>
      <c r="I1813" s="39">
        <v>10</v>
      </c>
      <c r="J1813" s="39" t="s">
        <v>1716</v>
      </c>
      <c r="K1813" s="39" t="s">
        <v>1716</v>
      </c>
      <c r="L1813" s="39" t="s">
        <v>1014</v>
      </c>
      <c r="M1813" s="38" t="s">
        <v>1803</v>
      </c>
      <c r="N1813" s="38" t="s">
        <v>352</v>
      </c>
    </row>
    <row r="1814" spans="1:14" x14ac:dyDescent="0.2">
      <c r="A1814" s="38" t="s">
        <v>1015</v>
      </c>
      <c r="B1814" s="38">
        <v>100596</v>
      </c>
      <c r="C1814" s="38" t="s">
        <v>353</v>
      </c>
      <c r="D1814" s="279">
        <v>100000</v>
      </c>
      <c r="F1814" s="40">
        <v>4.1099999999999998E-2</v>
      </c>
      <c r="G1814" s="41">
        <v>41943</v>
      </c>
      <c r="H1814" s="41">
        <v>43769</v>
      </c>
      <c r="I1814" s="39">
        <v>5</v>
      </c>
      <c r="J1814" s="39" t="s">
        <v>1716</v>
      </c>
      <c r="K1814" s="39" t="s">
        <v>1716</v>
      </c>
      <c r="L1814" s="39" t="s">
        <v>1014</v>
      </c>
      <c r="M1814" s="38" t="s">
        <v>1015</v>
      </c>
      <c r="N1814" s="38" t="s">
        <v>640</v>
      </c>
    </row>
    <row r="1815" spans="1:14" x14ac:dyDescent="0.2">
      <c r="A1815" s="38" t="s">
        <v>1035</v>
      </c>
      <c r="B1815" s="38">
        <v>201400</v>
      </c>
      <c r="C1815" s="38" t="s">
        <v>2035</v>
      </c>
      <c r="D1815" s="279">
        <v>100000</v>
      </c>
      <c r="F1815" s="40">
        <v>2.75E-2</v>
      </c>
      <c r="G1815" s="41">
        <v>42310</v>
      </c>
      <c r="H1815" s="41">
        <v>43041</v>
      </c>
      <c r="I1815" s="39">
        <v>2</v>
      </c>
      <c r="J1815" s="39" t="s">
        <v>1716</v>
      </c>
      <c r="K1815" s="39" t="s">
        <v>1716</v>
      </c>
      <c r="L1815" s="39" t="s">
        <v>1014</v>
      </c>
      <c r="M1815" s="38" t="s">
        <v>1035</v>
      </c>
      <c r="N1815" s="38" t="s">
        <v>68</v>
      </c>
    </row>
    <row r="1816" spans="1:14" x14ac:dyDescent="0.2">
      <c r="A1816" s="38" t="s">
        <v>1035</v>
      </c>
      <c r="B1816" s="38">
        <v>201398</v>
      </c>
      <c r="C1816" s="38" t="s">
        <v>2036</v>
      </c>
      <c r="D1816" s="279">
        <v>100000</v>
      </c>
      <c r="F1816" s="40">
        <v>2.5999999999999999E-2</v>
      </c>
      <c r="G1816" s="41">
        <v>42289</v>
      </c>
      <c r="H1816" s="41">
        <v>42688</v>
      </c>
      <c r="I1816" s="39">
        <v>52</v>
      </c>
      <c r="J1816" s="39" t="s">
        <v>369</v>
      </c>
      <c r="K1816" s="39" t="s">
        <v>1716</v>
      </c>
      <c r="L1816" s="39" t="s">
        <v>1014</v>
      </c>
      <c r="M1816" s="38" t="s">
        <v>1035</v>
      </c>
      <c r="N1816" s="38" t="s">
        <v>68</v>
      </c>
    </row>
    <row r="1817" spans="1:14" x14ac:dyDescent="0.2">
      <c r="A1817" s="38" t="s">
        <v>1803</v>
      </c>
      <c r="B1817" s="38">
        <v>9273</v>
      </c>
      <c r="C1817" s="38" t="s">
        <v>2037</v>
      </c>
      <c r="D1817" s="279">
        <v>100000</v>
      </c>
      <c r="F1817" s="40">
        <v>4.4200000000000003E-2</v>
      </c>
      <c r="G1817" s="41">
        <v>42335</v>
      </c>
      <c r="H1817" s="41">
        <v>44892</v>
      </c>
      <c r="I1817" s="39">
        <v>7</v>
      </c>
      <c r="J1817" s="39" t="s">
        <v>1716</v>
      </c>
      <c r="K1817" s="39" t="s">
        <v>1716</v>
      </c>
      <c r="L1817" s="39" t="s">
        <v>1014</v>
      </c>
      <c r="M1817" s="38" t="s">
        <v>1803</v>
      </c>
      <c r="N1817" s="38" t="s">
        <v>1504</v>
      </c>
    </row>
    <row r="1818" spans="1:14" x14ac:dyDescent="0.2">
      <c r="A1818" s="38" t="s">
        <v>1803</v>
      </c>
      <c r="B1818" s="38">
        <v>2170</v>
      </c>
      <c r="C1818" s="38" t="s">
        <v>2037</v>
      </c>
      <c r="D1818" s="279">
        <v>100000</v>
      </c>
      <c r="F1818" s="40">
        <v>4.4200000000000003E-2</v>
      </c>
      <c r="G1818" s="41">
        <v>42335</v>
      </c>
      <c r="H1818" s="41">
        <v>44892</v>
      </c>
      <c r="I1818" s="39">
        <v>7</v>
      </c>
      <c r="J1818" s="39" t="s">
        <v>1716</v>
      </c>
      <c r="K1818" s="39" t="s">
        <v>1716</v>
      </c>
      <c r="L1818" s="39" t="s">
        <v>1014</v>
      </c>
      <c r="M1818" s="38" t="s">
        <v>1803</v>
      </c>
      <c r="N1818" s="38" t="s">
        <v>1504</v>
      </c>
    </row>
    <row r="1819" spans="1:14" x14ac:dyDescent="0.2">
      <c r="A1819" s="38" t="s">
        <v>1035</v>
      </c>
      <c r="B1819" s="38">
        <v>201403</v>
      </c>
      <c r="C1819" s="38" t="s">
        <v>2038</v>
      </c>
      <c r="D1819" s="279">
        <v>100000</v>
      </c>
      <c r="F1819" s="40">
        <v>2.5499999999999998E-2</v>
      </c>
      <c r="G1819" s="41">
        <v>42338</v>
      </c>
      <c r="H1819" s="41">
        <v>42520</v>
      </c>
      <c r="I1819" s="39">
        <v>26</v>
      </c>
      <c r="J1819" s="39" t="s">
        <v>369</v>
      </c>
      <c r="K1819" s="39" t="s">
        <v>369</v>
      </c>
      <c r="L1819" s="39" t="s">
        <v>1014</v>
      </c>
      <c r="M1819" s="38" t="s">
        <v>1035</v>
      </c>
      <c r="N1819" s="38" t="s">
        <v>68</v>
      </c>
    </row>
    <row r="1820" spans="1:14" x14ac:dyDescent="0.2">
      <c r="A1820" s="38" t="s">
        <v>1035</v>
      </c>
      <c r="B1820" s="38">
        <v>201406</v>
      </c>
      <c r="C1820" s="38" t="s">
        <v>2039</v>
      </c>
      <c r="D1820" s="279">
        <v>100000</v>
      </c>
      <c r="F1820" s="40">
        <v>2.5100000000000001E-2</v>
      </c>
      <c r="G1820" s="41">
        <v>42345</v>
      </c>
      <c r="H1820" s="41">
        <v>42436</v>
      </c>
      <c r="I1820" s="39">
        <v>13</v>
      </c>
      <c r="J1820" s="39" t="s">
        <v>369</v>
      </c>
      <c r="K1820" s="39" t="s">
        <v>369</v>
      </c>
      <c r="L1820" s="39" t="s">
        <v>1014</v>
      </c>
      <c r="M1820" s="38" t="s">
        <v>1035</v>
      </c>
      <c r="N1820" s="38" t="s">
        <v>68</v>
      </c>
    </row>
    <row r="1821" spans="1:14" x14ac:dyDescent="0.2">
      <c r="A1821" s="38" t="s">
        <v>1035</v>
      </c>
      <c r="B1821" s="38">
        <v>201407</v>
      </c>
      <c r="C1821" s="38" t="s">
        <v>2040</v>
      </c>
      <c r="D1821" s="279">
        <v>100000</v>
      </c>
      <c r="F1821" s="40">
        <v>2.75E-2</v>
      </c>
      <c r="G1821" s="41">
        <v>42359</v>
      </c>
      <c r="H1821" s="41">
        <v>43150</v>
      </c>
      <c r="I1821" s="39">
        <v>2</v>
      </c>
      <c r="J1821" s="39" t="s">
        <v>1716</v>
      </c>
      <c r="K1821" s="39" t="s">
        <v>1716</v>
      </c>
      <c r="L1821" s="39" t="s">
        <v>1014</v>
      </c>
      <c r="M1821" s="38" t="s">
        <v>1035</v>
      </c>
      <c r="N1821" s="38" t="s">
        <v>68</v>
      </c>
    </row>
    <row r="1822" spans="1:14" x14ac:dyDescent="0.2">
      <c r="A1822" s="38" t="s">
        <v>557</v>
      </c>
      <c r="B1822" s="38">
        <v>151712</v>
      </c>
      <c r="C1822" s="38" t="s">
        <v>2041</v>
      </c>
      <c r="D1822" s="279">
        <v>100000</v>
      </c>
      <c r="F1822" s="40">
        <v>3.1199999999999999E-2</v>
      </c>
      <c r="G1822" s="41">
        <v>42381</v>
      </c>
      <c r="H1822" s="41">
        <v>43112</v>
      </c>
      <c r="I1822" s="39">
        <v>2</v>
      </c>
      <c r="J1822" s="39" t="s">
        <v>1716</v>
      </c>
      <c r="K1822" s="39" t="s">
        <v>1716</v>
      </c>
      <c r="L1822" s="39" t="s">
        <v>1014</v>
      </c>
      <c r="M1822" s="38" t="s">
        <v>557</v>
      </c>
      <c r="N1822" s="38" t="s">
        <v>1481</v>
      </c>
    </row>
    <row r="1823" spans="1:14" x14ac:dyDescent="0.2">
      <c r="A1823" s="38" t="s">
        <v>1035</v>
      </c>
      <c r="B1823" s="38">
        <v>201409</v>
      </c>
      <c r="C1823" s="38" t="s">
        <v>2042</v>
      </c>
      <c r="D1823" s="279">
        <v>100000</v>
      </c>
      <c r="F1823" s="40">
        <v>4.8500000000000001E-2</v>
      </c>
      <c r="G1823" s="41">
        <v>42373</v>
      </c>
      <c r="H1823" s="41">
        <v>53377</v>
      </c>
      <c r="I1823" s="39">
        <v>30</v>
      </c>
      <c r="J1823" s="39" t="s">
        <v>1716</v>
      </c>
      <c r="K1823" s="39" t="s">
        <v>1716</v>
      </c>
      <c r="L1823" s="39" t="s">
        <v>1014</v>
      </c>
      <c r="M1823" s="38" t="s">
        <v>1035</v>
      </c>
      <c r="N1823" s="38" t="s">
        <v>68</v>
      </c>
    </row>
    <row r="1824" spans="1:14" x14ac:dyDescent="0.2">
      <c r="A1824" s="38" t="s">
        <v>557</v>
      </c>
      <c r="B1824" s="38">
        <v>151714</v>
      </c>
      <c r="C1824" s="38" t="s">
        <v>2043</v>
      </c>
      <c r="D1824" s="279">
        <v>100000</v>
      </c>
      <c r="F1824" s="40">
        <v>2.7E-2</v>
      </c>
      <c r="G1824" s="41">
        <v>42387</v>
      </c>
      <c r="H1824" s="41">
        <v>42478</v>
      </c>
      <c r="I1824" s="39">
        <v>13</v>
      </c>
      <c r="J1824" s="39" t="s">
        <v>1525</v>
      </c>
      <c r="K1824" s="39" t="s">
        <v>1525</v>
      </c>
      <c r="L1824" s="39" t="s">
        <v>1014</v>
      </c>
      <c r="M1824" s="38" t="s">
        <v>557</v>
      </c>
      <c r="N1824" s="38" t="s">
        <v>1042</v>
      </c>
    </row>
    <row r="1825" spans="1:14" x14ac:dyDescent="0.2">
      <c r="A1825" s="38" t="s">
        <v>1035</v>
      </c>
      <c r="B1825" s="38">
        <v>201411</v>
      </c>
      <c r="C1825" s="38" t="s">
        <v>2044</v>
      </c>
      <c r="D1825" s="279">
        <v>100000</v>
      </c>
      <c r="F1825" s="40">
        <v>3.1E-2</v>
      </c>
      <c r="G1825" s="41">
        <v>42387</v>
      </c>
      <c r="H1825" s="41">
        <v>44487</v>
      </c>
      <c r="I1825" s="39">
        <v>7</v>
      </c>
      <c r="J1825" s="39" t="s">
        <v>1716</v>
      </c>
      <c r="K1825" s="39" t="s">
        <v>1716</v>
      </c>
      <c r="L1825" s="39" t="s">
        <v>1014</v>
      </c>
      <c r="M1825" s="38" t="s">
        <v>1035</v>
      </c>
      <c r="N1825" s="38" t="s">
        <v>68</v>
      </c>
    </row>
    <row r="1826" spans="1:14" x14ac:dyDescent="0.2">
      <c r="A1826" s="38" t="s">
        <v>557</v>
      </c>
      <c r="B1826" s="38">
        <v>151640</v>
      </c>
      <c r="C1826" s="38" t="s">
        <v>2045</v>
      </c>
      <c r="D1826" s="279">
        <v>100000</v>
      </c>
      <c r="F1826" s="40">
        <v>2.98E-2</v>
      </c>
      <c r="G1826" s="41">
        <v>42059</v>
      </c>
      <c r="H1826" s="41">
        <v>42423</v>
      </c>
      <c r="I1826" s="39">
        <v>52</v>
      </c>
      <c r="J1826" s="39" t="s">
        <v>369</v>
      </c>
      <c r="K1826" s="39" t="s">
        <v>369</v>
      </c>
      <c r="L1826" s="39" t="s">
        <v>1014</v>
      </c>
      <c r="M1826" s="38" t="s">
        <v>557</v>
      </c>
      <c r="N1826" s="38" t="s">
        <v>771</v>
      </c>
    </row>
    <row r="1827" spans="1:14" x14ac:dyDescent="0.2">
      <c r="A1827" s="38" t="s">
        <v>1035</v>
      </c>
      <c r="B1827" s="38">
        <v>201412</v>
      </c>
      <c r="C1827" s="38" t="s">
        <v>2046</v>
      </c>
      <c r="D1827" s="279">
        <v>100000</v>
      </c>
      <c r="F1827" s="40">
        <v>2.4899999999999999E-2</v>
      </c>
      <c r="G1827" s="41">
        <v>42394</v>
      </c>
      <c r="H1827" s="41">
        <v>42485</v>
      </c>
      <c r="I1827" s="39">
        <v>13</v>
      </c>
      <c r="J1827" s="39" t="s">
        <v>369</v>
      </c>
      <c r="K1827" s="39" t="s">
        <v>1525</v>
      </c>
      <c r="L1827" s="39" t="s">
        <v>1014</v>
      </c>
      <c r="M1827" s="38" t="s">
        <v>1035</v>
      </c>
      <c r="N1827" s="38" t="s">
        <v>68</v>
      </c>
    </row>
    <row r="1828" spans="1:14" x14ac:dyDescent="0.2">
      <c r="A1828" s="38" t="s">
        <v>1035</v>
      </c>
      <c r="B1828" s="38">
        <v>201408</v>
      </c>
      <c r="C1828" s="38" t="s">
        <v>2047</v>
      </c>
      <c r="D1828" s="279">
        <v>100000</v>
      </c>
      <c r="F1828" s="40">
        <v>3.5000000000000003E-2</v>
      </c>
      <c r="G1828" s="41">
        <v>42373</v>
      </c>
      <c r="H1828" s="41">
        <v>46188</v>
      </c>
      <c r="I1828" s="39">
        <v>10</v>
      </c>
      <c r="J1828" s="39" t="s">
        <v>1716</v>
      </c>
      <c r="K1828" s="39" t="s">
        <v>1716</v>
      </c>
      <c r="L1828" s="39" t="s">
        <v>1014</v>
      </c>
      <c r="M1828" s="38" t="s">
        <v>1035</v>
      </c>
      <c r="N1828" s="38" t="s">
        <v>68</v>
      </c>
    </row>
    <row r="1829" spans="1:14" x14ac:dyDescent="0.2">
      <c r="A1829" s="38" t="s">
        <v>1035</v>
      </c>
      <c r="B1829" s="38">
        <v>201415</v>
      </c>
      <c r="C1829" s="38" t="s">
        <v>2048</v>
      </c>
      <c r="D1829" s="279">
        <v>100000</v>
      </c>
      <c r="F1829" s="40">
        <v>2.4799999999999999E-2</v>
      </c>
      <c r="G1829" s="41">
        <v>42408</v>
      </c>
      <c r="H1829" s="41">
        <v>42499</v>
      </c>
      <c r="I1829" s="39">
        <v>13</v>
      </c>
      <c r="J1829" s="39" t="s">
        <v>369</v>
      </c>
      <c r="K1829" s="39" t="s">
        <v>1525</v>
      </c>
      <c r="L1829" s="39" t="s">
        <v>1014</v>
      </c>
      <c r="M1829" s="38" t="s">
        <v>1035</v>
      </c>
      <c r="N1829" s="38" t="s">
        <v>68</v>
      </c>
    </row>
    <row r="1830" spans="1:14" x14ac:dyDescent="0.2">
      <c r="A1830" s="38" t="s">
        <v>1035</v>
      </c>
      <c r="B1830" s="38">
        <v>201401</v>
      </c>
      <c r="C1830" s="38" t="s">
        <v>2049</v>
      </c>
      <c r="D1830" s="279">
        <v>100000</v>
      </c>
      <c r="F1830" s="40">
        <v>2.5100000000000001E-2</v>
      </c>
      <c r="G1830" s="41">
        <v>42331</v>
      </c>
      <c r="H1830" s="41">
        <v>42422</v>
      </c>
      <c r="I1830" s="39">
        <v>13</v>
      </c>
      <c r="J1830" s="39" t="s">
        <v>369</v>
      </c>
      <c r="K1830" s="39" t="s">
        <v>1525</v>
      </c>
      <c r="L1830" s="39" t="s">
        <v>1014</v>
      </c>
      <c r="M1830" s="38" t="s">
        <v>1035</v>
      </c>
      <c r="N1830" s="38" t="s">
        <v>68</v>
      </c>
    </row>
    <row r="1831" spans="1:14" x14ac:dyDescent="0.2">
      <c r="A1831" s="38" t="s">
        <v>1035</v>
      </c>
      <c r="B1831" s="38">
        <v>201402</v>
      </c>
      <c r="C1831" s="38" t="s">
        <v>2050</v>
      </c>
      <c r="D1831" s="279">
        <v>100000</v>
      </c>
      <c r="F1831" s="40">
        <v>2.5000000000000001E-2</v>
      </c>
      <c r="G1831" s="41">
        <v>42331</v>
      </c>
      <c r="H1831" s="41">
        <v>42422</v>
      </c>
      <c r="I1831" s="39">
        <v>13</v>
      </c>
      <c r="J1831" s="39" t="s">
        <v>369</v>
      </c>
      <c r="K1831" s="39" t="s">
        <v>1525</v>
      </c>
      <c r="L1831" s="39" t="s">
        <v>1014</v>
      </c>
      <c r="M1831" s="38" t="s">
        <v>1035</v>
      </c>
      <c r="N1831" s="38" t="s">
        <v>68</v>
      </c>
    </row>
    <row r="1832" spans="1:14" x14ac:dyDescent="0.2">
      <c r="A1832" s="38" t="s">
        <v>557</v>
      </c>
      <c r="B1832" s="38">
        <v>151700</v>
      </c>
      <c r="C1832" s="38" t="s">
        <v>2051</v>
      </c>
      <c r="D1832" s="279">
        <v>100000</v>
      </c>
      <c r="F1832" s="40">
        <v>3.0800000000000001E-2</v>
      </c>
      <c r="G1832" s="41">
        <v>42352</v>
      </c>
      <c r="H1832" s="41">
        <v>42716</v>
      </c>
      <c r="I1832" s="39">
        <v>52</v>
      </c>
      <c r="J1832" s="39" t="s">
        <v>369</v>
      </c>
      <c r="K1832" s="39" t="s">
        <v>1716</v>
      </c>
      <c r="L1832" s="39" t="s">
        <v>1014</v>
      </c>
      <c r="M1832" s="38" t="s">
        <v>557</v>
      </c>
      <c r="N1832" s="38" t="s">
        <v>1504</v>
      </c>
    </row>
    <row r="1833" spans="1:14" x14ac:dyDescent="0.2">
      <c r="A1833" s="38" t="s">
        <v>1035</v>
      </c>
      <c r="B1833" s="38">
        <v>201404</v>
      </c>
      <c r="C1833" s="38" t="s">
        <v>2052</v>
      </c>
      <c r="D1833" s="279">
        <v>100000</v>
      </c>
      <c r="F1833" s="40">
        <v>2.5600000000000001E-2</v>
      </c>
      <c r="G1833" s="41">
        <v>42338</v>
      </c>
      <c r="H1833" s="41">
        <v>42520</v>
      </c>
      <c r="I1833" s="39">
        <v>26</v>
      </c>
      <c r="J1833" s="39" t="s">
        <v>369</v>
      </c>
      <c r="K1833" s="39" t="s">
        <v>369</v>
      </c>
      <c r="L1833" s="39" t="s">
        <v>1014</v>
      </c>
      <c r="M1833" s="38" t="s">
        <v>1035</v>
      </c>
      <c r="N1833" s="38" t="s">
        <v>68</v>
      </c>
    </row>
    <row r="1834" spans="1:14" x14ac:dyDescent="0.2">
      <c r="A1834" s="38" t="s">
        <v>1035</v>
      </c>
      <c r="B1834" s="38">
        <v>201413</v>
      </c>
      <c r="C1834" s="38" t="s">
        <v>2053</v>
      </c>
      <c r="D1834" s="279">
        <v>100000</v>
      </c>
      <c r="F1834" s="40">
        <v>2.52E-2</v>
      </c>
      <c r="G1834" s="41">
        <v>42401</v>
      </c>
      <c r="H1834" s="41">
        <v>42583</v>
      </c>
      <c r="I1834" s="39">
        <v>26</v>
      </c>
      <c r="J1834" s="39" t="s">
        <v>369</v>
      </c>
      <c r="K1834" s="39" t="s">
        <v>369</v>
      </c>
      <c r="L1834" s="39" t="s">
        <v>1014</v>
      </c>
      <c r="M1834" s="38" t="s">
        <v>1035</v>
      </c>
      <c r="N1834" s="38" t="s">
        <v>68</v>
      </c>
    </row>
    <row r="1835" spans="1:14" x14ac:dyDescent="0.2">
      <c r="A1835" s="38" t="s">
        <v>1035</v>
      </c>
      <c r="B1835" s="38">
        <v>201418</v>
      </c>
      <c r="C1835" s="38" t="s">
        <v>2054</v>
      </c>
      <c r="D1835" s="279">
        <v>100000</v>
      </c>
      <c r="F1835" s="40">
        <v>2.3E-2</v>
      </c>
      <c r="G1835" s="41">
        <v>42450</v>
      </c>
      <c r="H1835" s="41">
        <v>42541</v>
      </c>
      <c r="I1835" s="39">
        <v>13</v>
      </c>
      <c r="J1835" s="39" t="s">
        <v>369</v>
      </c>
      <c r="K1835" s="39" t="s">
        <v>1525</v>
      </c>
      <c r="L1835" s="39" t="s">
        <v>1014</v>
      </c>
      <c r="M1835" s="38" t="s">
        <v>1035</v>
      </c>
      <c r="N1835" s="38" t="s">
        <v>68</v>
      </c>
    </row>
    <row r="1836" spans="1:14" x14ac:dyDescent="0.2">
      <c r="A1836" s="38" t="s">
        <v>557</v>
      </c>
      <c r="B1836" s="38">
        <v>151731</v>
      </c>
      <c r="C1836" s="38" t="s">
        <v>2055</v>
      </c>
      <c r="D1836" s="279">
        <v>100000</v>
      </c>
      <c r="F1836" s="40">
        <v>2.4500000000000001E-2</v>
      </c>
      <c r="G1836" s="41">
        <v>42478</v>
      </c>
      <c r="H1836" s="41">
        <v>43208</v>
      </c>
      <c r="I1836" s="39">
        <v>2</v>
      </c>
      <c r="J1836" s="39" t="s">
        <v>1716</v>
      </c>
      <c r="K1836" s="39" t="s">
        <v>1716</v>
      </c>
      <c r="L1836" s="39" t="s">
        <v>1014</v>
      </c>
      <c r="M1836" s="38" t="s">
        <v>557</v>
      </c>
      <c r="N1836" s="38" t="s">
        <v>1042</v>
      </c>
    </row>
    <row r="1837" spans="1:14" x14ac:dyDescent="0.2">
      <c r="A1837" s="38" t="s">
        <v>557</v>
      </c>
      <c r="B1837" s="38">
        <v>151732</v>
      </c>
      <c r="C1837" s="38" t="s">
        <v>2056</v>
      </c>
      <c r="D1837" s="279">
        <v>100000</v>
      </c>
      <c r="F1837" s="40">
        <v>2.4E-2</v>
      </c>
      <c r="G1837" s="41">
        <v>42478</v>
      </c>
      <c r="H1837" s="41">
        <v>42842</v>
      </c>
      <c r="I1837" s="39">
        <v>52</v>
      </c>
      <c r="J1837" s="39" t="s">
        <v>369</v>
      </c>
      <c r="K1837" s="39" t="s">
        <v>1716</v>
      </c>
      <c r="L1837" s="39" t="s">
        <v>1014</v>
      </c>
      <c r="M1837" s="38" t="s">
        <v>557</v>
      </c>
      <c r="N1837" s="38" t="s">
        <v>1042</v>
      </c>
    </row>
    <row r="1838" spans="1:14" x14ac:dyDescent="0.2">
      <c r="A1838" s="38" t="s">
        <v>557</v>
      </c>
      <c r="B1838" s="38">
        <v>151734</v>
      </c>
      <c r="C1838" s="38" t="s">
        <v>2057</v>
      </c>
      <c r="D1838" s="279">
        <v>100000</v>
      </c>
      <c r="F1838" s="40">
        <v>2.58E-2</v>
      </c>
      <c r="G1838" s="41">
        <v>42480</v>
      </c>
      <c r="H1838" s="41">
        <v>43575</v>
      </c>
      <c r="I1838" s="39">
        <v>3</v>
      </c>
      <c r="J1838" s="39" t="s">
        <v>1716</v>
      </c>
      <c r="K1838" s="39" t="s">
        <v>1716</v>
      </c>
      <c r="L1838" s="39" t="s">
        <v>1014</v>
      </c>
      <c r="M1838" s="38" t="s">
        <v>557</v>
      </c>
      <c r="N1838" s="38" t="s">
        <v>1481</v>
      </c>
    </row>
    <row r="1839" spans="1:14" x14ac:dyDescent="0.2">
      <c r="A1839" s="38" t="s">
        <v>1035</v>
      </c>
      <c r="B1839" s="38">
        <v>201422</v>
      </c>
      <c r="C1839" s="38" t="s">
        <v>2058</v>
      </c>
      <c r="D1839" s="279">
        <v>100000</v>
      </c>
      <c r="F1839" s="40">
        <v>2.1499999999999998E-2</v>
      </c>
      <c r="G1839" s="41">
        <v>42485</v>
      </c>
      <c r="H1839" s="41">
        <v>42870</v>
      </c>
      <c r="I1839" s="39">
        <v>1</v>
      </c>
      <c r="J1839" s="39" t="s">
        <v>1716</v>
      </c>
      <c r="K1839" s="39" t="s">
        <v>1716</v>
      </c>
      <c r="L1839" s="39" t="s">
        <v>1014</v>
      </c>
      <c r="M1839" s="38" t="s">
        <v>1035</v>
      </c>
      <c r="N1839" s="38" t="s">
        <v>68</v>
      </c>
    </row>
    <row r="1840" spans="1:14" x14ac:dyDescent="0.2">
      <c r="A1840" s="38" t="s">
        <v>1035</v>
      </c>
      <c r="B1840" s="38">
        <v>201423</v>
      </c>
      <c r="C1840" s="38" t="s">
        <v>2059</v>
      </c>
      <c r="D1840" s="279">
        <v>100000</v>
      </c>
      <c r="F1840" s="40">
        <v>1.9E-2</v>
      </c>
      <c r="G1840" s="41">
        <v>42485</v>
      </c>
      <c r="H1840" s="41">
        <v>42576</v>
      </c>
      <c r="I1840" s="39">
        <v>13</v>
      </c>
      <c r="J1840" s="39" t="s">
        <v>369</v>
      </c>
      <c r="K1840" s="39" t="s">
        <v>1525</v>
      </c>
      <c r="L1840" s="39" t="s">
        <v>1014</v>
      </c>
      <c r="M1840" s="38" t="s">
        <v>1035</v>
      </c>
      <c r="N1840" s="38" t="s">
        <v>68</v>
      </c>
    </row>
    <row r="1841" spans="1:14" x14ac:dyDescent="0.2">
      <c r="A1841" s="38" t="s">
        <v>1035</v>
      </c>
      <c r="B1841" s="38">
        <v>201424</v>
      </c>
      <c r="C1841" s="38" t="s">
        <v>2060</v>
      </c>
      <c r="D1841" s="279">
        <v>100000</v>
      </c>
      <c r="F1841" s="40">
        <v>2.1999999999999999E-2</v>
      </c>
      <c r="G1841" s="41">
        <v>42485</v>
      </c>
      <c r="H1841" s="41">
        <v>43234</v>
      </c>
      <c r="I1841" s="39">
        <v>2</v>
      </c>
      <c r="J1841" s="39" t="s">
        <v>1716</v>
      </c>
      <c r="K1841" s="39" t="s">
        <v>1716</v>
      </c>
      <c r="L1841" s="39" t="s">
        <v>1014</v>
      </c>
      <c r="M1841" s="38" t="s">
        <v>1035</v>
      </c>
      <c r="N1841" s="38" t="s">
        <v>68</v>
      </c>
    </row>
    <row r="1842" spans="1:14" x14ac:dyDescent="0.2">
      <c r="A1842" s="38" t="s">
        <v>1035</v>
      </c>
      <c r="B1842" s="38">
        <v>201426</v>
      </c>
      <c r="C1842" s="38" t="s">
        <v>2061</v>
      </c>
      <c r="D1842" s="279">
        <v>100000</v>
      </c>
      <c r="F1842" s="40">
        <v>3.5499999999999997E-2</v>
      </c>
      <c r="G1842" s="41">
        <v>42492</v>
      </c>
      <c r="H1842" s="41">
        <v>49905</v>
      </c>
      <c r="I1842" s="39">
        <v>20</v>
      </c>
      <c r="J1842" s="39" t="s">
        <v>1716</v>
      </c>
      <c r="K1842" s="39" t="s">
        <v>1716</v>
      </c>
      <c r="L1842" s="39" t="s">
        <v>1014</v>
      </c>
      <c r="M1842" s="38" t="s">
        <v>1035</v>
      </c>
      <c r="N1842" s="38" t="s">
        <v>68</v>
      </c>
    </row>
    <row r="1843" spans="1:14" x14ac:dyDescent="0.2">
      <c r="A1843" s="38" t="s">
        <v>1035</v>
      </c>
      <c r="B1843" s="38">
        <v>201429</v>
      </c>
      <c r="C1843" s="38" t="s">
        <v>2062</v>
      </c>
      <c r="D1843" s="279">
        <v>100000</v>
      </c>
      <c r="F1843" s="40">
        <v>1.84E-2</v>
      </c>
      <c r="G1843" s="41">
        <v>42499</v>
      </c>
      <c r="H1843" s="41">
        <v>42590</v>
      </c>
      <c r="I1843" s="39">
        <v>13</v>
      </c>
      <c r="J1843" s="39" t="s">
        <v>369</v>
      </c>
      <c r="K1843" s="39" t="s">
        <v>1525</v>
      </c>
      <c r="L1843" s="39" t="s">
        <v>1014</v>
      </c>
      <c r="M1843" s="38" t="s">
        <v>1035</v>
      </c>
      <c r="N1843" s="38" t="s">
        <v>68</v>
      </c>
    </row>
    <row r="1844" spans="1:14" x14ac:dyDescent="0.2">
      <c r="A1844" s="38" t="s">
        <v>1015</v>
      </c>
      <c r="B1844" s="38">
        <v>100656</v>
      </c>
      <c r="C1844" s="38" t="s">
        <v>2063</v>
      </c>
      <c r="D1844" s="279">
        <v>100000</v>
      </c>
      <c r="F1844" s="40">
        <v>2.9899999999999999E-2</v>
      </c>
      <c r="G1844" s="41">
        <v>42521</v>
      </c>
      <c r="H1844" s="41">
        <v>44347</v>
      </c>
      <c r="I1844" s="39">
        <v>5</v>
      </c>
      <c r="J1844" s="39" t="s">
        <v>1716</v>
      </c>
      <c r="K1844" s="39" t="s">
        <v>1716</v>
      </c>
      <c r="L1844" s="39" t="s">
        <v>1014</v>
      </c>
      <c r="M1844" s="38" t="s">
        <v>1015</v>
      </c>
      <c r="N1844" s="38" t="s">
        <v>640</v>
      </c>
    </row>
    <row r="1845" spans="1:14" x14ac:dyDescent="0.2">
      <c r="A1845" s="38" t="s">
        <v>557</v>
      </c>
      <c r="B1845" s="38">
        <v>151740</v>
      </c>
      <c r="C1845" s="38" t="s">
        <v>2064</v>
      </c>
      <c r="D1845" s="279">
        <v>100000</v>
      </c>
      <c r="F1845" s="40">
        <v>2.5000000000000001E-2</v>
      </c>
      <c r="G1845" s="41">
        <v>42521</v>
      </c>
      <c r="H1845" s="41">
        <v>43616</v>
      </c>
      <c r="I1845" s="39">
        <v>3</v>
      </c>
      <c r="J1845" s="39" t="s">
        <v>1716</v>
      </c>
      <c r="K1845" s="39" t="s">
        <v>1716</v>
      </c>
      <c r="L1845" s="39" t="s">
        <v>1014</v>
      </c>
      <c r="M1845" s="38" t="s">
        <v>557</v>
      </c>
      <c r="N1845" s="38" t="s">
        <v>1050</v>
      </c>
    </row>
    <row r="1846" spans="1:14" x14ac:dyDescent="0.2">
      <c r="A1846" s="38" t="s">
        <v>557</v>
      </c>
      <c r="B1846" s="38">
        <v>151742</v>
      </c>
      <c r="C1846" s="38" t="s">
        <v>2065</v>
      </c>
      <c r="D1846" s="279">
        <v>100000</v>
      </c>
      <c r="F1846" s="40">
        <v>3.0800000000000001E-2</v>
      </c>
      <c r="G1846" s="41">
        <v>42521</v>
      </c>
      <c r="H1846" s="41">
        <v>45077</v>
      </c>
      <c r="I1846" s="39">
        <v>7</v>
      </c>
      <c r="J1846" s="39" t="s">
        <v>1716</v>
      </c>
      <c r="K1846" s="39" t="s">
        <v>1716</v>
      </c>
      <c r="L1846" s="39" t="s">
        <v>1014</v>
      </c>
      <c r="M1846" s="38" t="s">
        <v>557</v>
      </c>
      <c r="N1846" s="38" t="s">
        <v>1050</v>
      </c>
    </row>
    <row r="1847" spans="1:14" x14ac:dyDescent="0.2">
      <c r="A1847" s="38" t="s">
        <v>1015</v>
      </c>
      <c r="B1847" s="38">
        <v>100657</v>
      </c>
      <c r="C1847" s="38" t="s">
        <v>2066</v>
      </c>
      <c r="D1847" s="279">
        <v>100000</v>
      </c>
      <c r="F1847" s="40">
        <v>2.8400000000000002E-2</v>
      </c>
      <c r="G1847" s="41">
        <v>42521</v>
      </c>
      <c r="H1847" s="41">
        <v>43983</v>
      </c>
      <c r="I1847" s="39">
        <v>4</v>
      </c>
      <c r="J1847" s="39" t="s">
        <v>1716</v>
      </c>
      <c r="K1847" s="39" t="s">
        <v>1716</v>
      </c>
      <c r="L1847" s="39" t="s">
        <v>1014</v>
      </c>
      <c r="M1847" s="38" t="s">
        <v>1015</v>
      </c>
      <c r="N1847" s="38" t="s">
        <v>640</v>
      </c>
    </row>
    <row r="1848" spans="1:14" x14ac:dyDescent="0.2">
      <c r="A1848" s="38" t="s">
        <v>557</v>
      </c>
      <c r="B1848" s="38">
        <v>151711</v>
      </c>
      <c r="C1848" s="38" t="s">
        <v>2067</v>
      </c>
      <c r="D1848" s="279">
        <v>100000</v>
      </c>
      <c r="F1848" s="40">
        <v>3.3099999999999997E-2</v>
      </c>
      <c r="G1848" s="41">
        <v>42381</v>
      </c>
      <c r="H1848" s="41">
        <v>43477</v>
      </c>
      <c r="I1848" s="39">
        <v>3</v>
      </c>
      <c r="J1848" s="39" t="s">
        <v>1716</v>
      </c>
      <c r="K1848" s="39" t="s">
        <v>1716</v>
      </c>
      <c r="L1848" s="39" t="s">
        <v>1014</v>
      </c>
      <c r="M1848" s="38" t="s">
        <v>557</v>
      </c>
      <c r="N1848" s="38" t="s">
        <v>1481</v>
      </c>
    </row>
    <row r="1849" spans="1:14" x14ac:dyDescent="0.2">
      <c r="A1849" s="38" t="s">
        <v>1035</v>
      </c>
      <c r="B1849" s="38">
        <v>201432</v>
      </c>
      <c r="C1849" s="38" t="s">
        <v>2068</v>
      </c>
      <c r="D1849" s="279">
        <v>100000</v>
      </c>
      <c r="F1849" s="40">
        <v>3.2000000000000001E-2</v>
      </c>
      <c r="G1849" s="41">
        <v>42506</v>
      </c>
      <c r="H1849" s="41">
        <v>48047</v>
      </c>
      <c r="I1849" s="39">
        <v>15</v>
      </c>
      <c r="J1849" s="39" t="s">
        <v>1716</v>
      </c>
      <c r="K1849" s="39" t="s">
        <v>1716</v>
      </c>
      <c r="L1849" s="39" t="s">
        <v>1014</v>
      </c>
      <c r="M1849" s="38" t="s">
        <v>1035</v>
      </c>
      <c r="N1849" s="38" t="s">
        <v>68</v>
      </c>
    </row>
    <row r="1850" spans="1:14" x14ac:dyDescent="0.2">
      <c r="A1850" s="38" t="s">
        <v>1803</v>
      </c>
      <c r="B1850" s="38">
        <v>9287</v>
      </c>
      <c r="C1850" s="38" t="s">
        <v>2069</v>
      </c>
      <c r="D1850" s="279">
        <v>100000</v>
      </c>
      <c r="F1850" s="40">
        <v>3.2800000000000003E-2</v>
      </c>
      <c r="G1850" s="41">
        <v>43279</v>
      </c>
      <c r="H1850" s="41">
        <v>43644</v>
      </c>
      <c r="I1850" s="39">
        <v>52</v>
      </c>
      <c r="J1850" s="39" t="s">
        <v>369</v>
      </c>
      <c r="K1850" s="39" t="s">
        <v>1716</v>
      </c>
      <c r="L1850" s="39" t="s">
        <v>1014</v>
      </c>
      <c r="M1850" s="38" t="s">
        <v>1803</v>
      </c>
      <c r="N1850" s="38" t="s">
        <v>1042</v>
      </c>
    </row>
    <row r="1851" spans="1:14" x14ac:dyDescent="0.2">
      <c r="A1851" s="38" t="s">
        <v>1803</v>
      </c>
      <c r="B1851" s="38">
        <v>9284</v>
      </c>
      <c r="C1851" s="38" t="s">
        <v>2070</v>
      </c>
      <c r="D1851" s="279">
        <v>100000</v>
      </c>
      <c r="F1851" s="40">
        <v>3.1300000000000001E-2</v>
      </c>
      <c r="G1851" s="41">
        <v>43279</v>
      </c>
      <c r="H1851" s="41">
        <v>43644</v>
      </c>
      <c r="I1851" s="39">
        <v>52</v>
      </c>
      <c r="J1851" s="39" t="s">
        <v>369</v>
      </c>
      <c r="K1851" s="39" t="s">
        <v>1716</v>
      </c>
      <c r="L1851" s="39" t="s">
        <v>1014</v>
      </c>
      <c r="M1851" s="38" t="s">
        <v>1803</v>
      </c>
      <c r="N1851" s="38" t="s">
        <v>1481</v>
      </c>
    </row>
    <row r="1852" spans="1:14" x14ac:dyDescent="0.2">
      <c r="A1852" s="38" t="s">
        <v>1803</v>
      </c>
      <c r="B1852" s="38">
        <v>9285</v>
      </c>
      <c r="C1852" s="38" t="s">
        <v>2071</v>
      </c>
      <c r="D1852" s="279">
        <v>100000</v>
      </c>
      <c r="F1852" s="40">
        <v>3.7400000000000003E-2</v>
      </c>
      <c r="G1852" s="41">
        <v>42549</v>
      </c>
      <c r="H1852" s="41">
        <v>46201</v>
      </c>
      <c r="I1852" s="39">
        <v>10</v>
      </c>
      <c r="J1852" s="39" t="s">
        <v>1716</v>
      </c>
      <c r="K1852" s="39" t="s">
        <v>1716</v>
      </c>
      <c r="L1852" s="39" t="s">
        <v>1014</v>
      </c>
      <c r="M1852" s="38" t="s">
        <v>1803</v>
      </c>
      <c r="N1852" s="38" t="s">
        <v>1481</v>
      </c>
    </row>
    <row r="1853" spans="1:14" x14ac:dyDescent="0.2">
      <c r="A1853" s="38" t="s">
        <v>1803</v>
      </c>
      <c r="B1853" s="38">
        <v>9286</v>
      </c>
      <c r="C1853" s="38" t="s">
        <v>2072</v>
      </c>
      <c r="D1853" s="279">
        <v>100000</v>
      </c>
      <c r="F1853" s="40">
        <v>3.7400000000000003E-2</v>
      </c>
      <c r="G1853" s="41">
        <v>42549</v>
      </c>
      <c r="H1853" s="41">
        <v>46201</v>
      </c>
      <c r="I1853" s="39">
        <v>10</v>
      </c>
      <c r="J1853" s="39" t="s">
        <v>1716</v>
      </c>
      <c r="K1853" s="39" t="s">
        <v>1716</v>
      </c>
      <c r="L1853" s="39" t="s">
        <v>1014</v>
      </c>
      <c r="M1853" s="38" t="s">
        <v>1803</v>
      </c>
      <c r="N1853" s="38" t="s">
        <v>1042</v>
      </c>
    </row>
    <row r="1854" spans="1:14" x14ac:dyDescent="0.2">
      <c r="A1854" s="38" t="s">
        <v>557</v>
      </c>
      <c r="B1854" s="38">
        <v>151745</v>
      </c>
      <c r="C1854" s="38" t="s">
        <v>2073</v>
      </c>
      <c r="D1854" s="279">
        <v>100000</v>
      </c>
      <c r="F1854" s="40">
        <v>2.8000000000000001E-2</v>
      </c>
      <c r="G1854" s="41">
        <v>42551</v>
      </c>
      <c r="H1854" s="41">
        <v>43646</v>
      </c>
      <c r="I1854" s="39">
        <v>3</v>
      </c>
      <c r="J1854" s="39" t="s">
        <v>1716</v>
      </c>
      <c r="K1854" s="39" t="s">
        <v>1716</v>
      </c>
      <c r="L1854" s="39" t="s">
        <v>1014</v>
      </c>
      <c r="M1854" s="38" t="s">
        <v>557</v>
      </c>
      <c r="N1854" s="38" t="s">
        <v>1050</v>
      </c>
    </row>
    <row r="1855" spans="1:14" x14ac:dyDescent="0.2">
      <c r="A1855" s="38" t="s">
        <v>557</v>
      </c>
      <c r="B1855" s="38">
        <v>151744</v>
      </c>
      <c r="C1855" s="38" t="s">
        <v>2074</v>
      </c>
      <c r="D1855" s="279">
        <v>100000</v>
      </c>
      <c r="F1855" s="40">
        <v>2.6200000000000001E-2</v>
      </c>
      <c r="G1855" s="41">
        <v>42551</v>
      </c>
      <c r="H1855" s="41">
        <v>43281</v>
      </c>
      <c r="I1855" s="39">
        <v>2</v>
      </c>
      <c r="J1855" s="39" t="s">
        <v>1716</v>
      </c>
      <c r="K1855" s="39" t="s">
        <v>1716</v>
      </c>
      <c r="L1855" s="39" t="s">
        <v>1014</v>
      </c>
      <c r="M1855" s="38" t="s">
        <v>557</v>
      </c>
      <c r="N1855" s="38" t="s">
        <v>1050</v>
      </c>
    </row>
    <row r="1856" spans="1:14" x14ac:dyDescent="0.2">
      <c r="A1856" s="38" t="s">
        <v>557</v>
      </c>
      <c r="B1856" s="38">
        <v>151743</v>
      </c>
      <c r="C1856" s="38" t="s">
        <v>2075</v>
      </c>
      <c r="D1856" s="279">
        <v>100000</v>
      </c>
      <c r="F1856" s="40">
        <v>2.4400000000000002E-2</v>
      </c>
      <c r="G1856" s="41">
        <v>42551</v>
      </c>
      <c r="H1856" s="41">
        <v>42915</v>
      </c>
      <c r="I1856" s="39">
        <v>52</v>
      </c>
      <c r="J1856" s="39" t="s">
        <v>369</v>
      </c>
      <c r="K1856" s="39" t="s">
        <v>1716</v>
      </c>
      <c r="L1856" s="39" t="s">
        <v>1014</v>
      </c>
      <c r="M1856" s="38" t="s">
        <v>557</v>
      </c>
      <c r="N1856" s="38" t="s">
        <v>1050</v>
      </c>
    </row>
    <row r="1857" spans="1:14" x14ac:dyDescent="0.2">
      <c r="A1857" s="38" t="s">
        <v>557</v>
      </c>
      <c r="B1857" s="38">
        <v>151747</v>
      </c>
      <c r="C1857" s="38" t="s">
        <v>2076</v>
      </c>
      <c r="D1857" s="279">
        <v>100000</v>
      </c>
      <c r="F1857" s="40">
        <v>2.5000000000000001E-2</v>
      </c>
      <c r="G1857" s="41">
        <v>42565</v>
      </c>
      <c r="H1857" s="41">
        <v>42929</v>
      </c>
      <c r="I1857" s="39">
        <v>52</v>
      </c>
      <c r="J1857" s="39" t="s">
        <v>369</v>
      </c>
      <c r="K1857" s="39" t="s">
        <v>1716</v>
      </c>
      <c r="L1857" s="39" t="s">
        <v>1014</v>
      </c>
      <c r="M1857" s="38" t="s">
        <v>557</v>
      </c>
      <c r="N1857" s="38" t="s">
        <v>1042</v>
      </c>
    </row>
    <row r="1858" spans="1:14" x14ac:dyDescent="0.2">
      <c r="A1858" s="38" t="s">
        <v>1803</v>
      </c>
      <c r="B1858" s="38">
        <v>5045</v>
      </c>
      <c r="C1858" s="38" t="s">
        <v>2077</v>
      </c>
      <c r="D1858" s="279">
        <v>100000</v>
      </c>
      <c r="F1858" s="40">
        <v>3.5999999999999997E-2</v>
      </c>
      <c r="G1858" s="41">
        <v>42216</v>
      </c>
      <c r="H1858" s="41">
        <v>42580</v>
      </c>
      <c r="I1858" s="39">
        <v>52</v>
      </c>
      <c r="J1858" s="39" t="s">
        <v>369</v>
      </c>
      <c r="K1858" s="39" t="s">
        <v>1716</v>
      </c>
      <c r="L1858" s="39" t="s">
        <v>1014</v>
      </c>
      <c r="M1858" s="38" t="s">
        <v>1803</v>
      </c>
      <c r="N1858" s="38" t="s">
        <v>1063</v>
      </c>
    </row>
    <row r="1859" spans="1:14" x14ac:dyDescent="0.2">
      <c r="A1859" s="38" t="s">
        <v>1035</v>
      </c>
      <c r="B1859" s="38">
        <v>201444</v>
      </c>
      <c r="C1859" s="38" t="s">
        <v>2078</v>
      </c>
      <c r="D1859" s="279">
        <v>100000</v>
      </c>
      <c r="F1859" s="40">
        <v>2.2499999999999999E-2</v>
      </c>
      <c r="G1859" s="41">
        <v>42583</v>
      </c>
      <c r="H1859" s="41">
        <v>42765</v>
      </c>
      <c r="I1859" s="39">
        <v>26</v>
      </c>
      <c r="J1859" s="39" t="s">
        <v>369</v>
      </c>
      <c r="K1859" s="39" t="s">
        <v>369</v>
      </c>
      <c r="L1859" s="39" t="s">
        <v>1014</v>
      </c>
      <c r="M1859" s="38" t="s">
        <v>1035</v>
      </c>
      <c r="N1859" s="38" t="s">
        <v>68</v>
      </c>
    </row>
    <row r="1860" spans="1:14" x14ac:dyDescent="0.2">
      <c r="A1860" s="38" t="s">
        <v>1035</v>
      </c>
      <c r="B1860" s="38">
        <v>201443</v>
      </c>
      <c r="C1860" s="38" t="s">
        <v>2079</v>
      </c>
      <c r="D1860" s="279">
        <v>100000</v>
      </c>
      <c r="F1860" s="40">
        <v>2.5000000000000001E-2</v>
      </c>
      <c r="G1860" s="41">
        <v>42569</v>
      </c>
      <c r="H1860" s="41">
        <v>44697</v>
      </c>
      <c r="I1860" s="39">
        <v>5</v>
      </c>
      <c r="J1860" s="39" t="s">
        <v>1716</v>
      </c>
      <c r="K1860" s="39" t="s">
        <v>1716</v>
      </c>
      <c r="L1860" s="39" t="s">
        <v>1014</v>
      </c>
      <c r="M1860" s="38" t="s">
        <v>1035</v>
      </c>
      <c r="N1860" s="38" t="s">
        <v>68</v>
      </c>
    </row>
    <row r="1861" spans="1:14" x14ac:dyDescent="0.2">
      <c r="A1861" s="38" t="s">
        <v>1035</v>
      </c>
      <c r="B1861" s="38">
        <v>201453</v>
      </c>
      <c r="C1861" s="38" t="s">
        <v>2080</v>
      </c>
      <c r="D1861" s="279">
        <v>100000</v>
      </c>
      <c r="F1861" s="40">
        <v>2.1999999999999999E-2</v>
      </c>
      <c r="G1861" s="41">
        <v>42604</v>
      </c>
      <c r="H1861" s="41">
        <v>42695</v>
      </c>
      <c r="I1861" s="39">
        <v>13</v>
      </c>
      <c r="J1861" s="39" t="s">
        <v>369</v>
      </c>
      <c r="K1861" s="39" t="s">
        <v>1525</v>
      </c>
      <c r="L1861" s="39" t="s">
        <v>1014</v>
      </c>
      <c r="M1861" s="38" t="s">
        <v>1035</v>
      </c>
      <c r="N1861" s="38" t="s">
        <v>68</v>
      </c>
    </row>
    <row r="1862" spans="1:14" x14ac:dyDescent="0.2">
      <c r="A1862" s="38" t="s">
        <v>1035</v>
      </c>
      <c r="B1862" s="38">
        <v>201449</v>
      </c>
      <c r="C1862" s="38" t="s">
        <v>2081</v>
      </c>
      <c r="D1862" s="279">
        <v>100000</v>
      </c>
      <c r="F1862" s="40">
        <v>2.2700000000000001E-2</v>
      </c>
      <c r="G1862" s="41">
        <v>42597</v>
      </c>
      <c r="H1862" s="41">
        <v>42779</v>
      </c>
      <c r="I1862" s="39">
        <v>26</v>
      </c>
      <c r="J1862" s="39" t="s">
        <v>369</v>
      </c>
      <c r="K1862" s="39" t="s">
        <v>369</v>
      </c>
      <c r="L1862" s="39" t="s">
        <v>1014</v>
      </c>
      <c r="M1862" s="38" t="s">
        <v>1035</v>
      </c>
      <c r="N1862" s="38" t="s">
        <v>68</v>
      </c>
    </row>
    <row r="1863" spans="1:14" x14ac:dyDescent="0.2">
      <c r="A1863" s="38" t="s">
        <v>1035</v>
      </c>
      <c r="B1863" s="38">
        <v>201450</v>
      </c>
      <c r="C1863" s="38" t="s">
        <v>2082</v>
      </c>
      <c r="D1863" s="279">
        <v>100000</v>
      </c>
      <c r="F1863" s="40">
        <v>2.2499999999999999E-2</v>
      </c>
      <c r="G1863" s="41">
        <v>42597</v>
      </c>
      <c r="H1863" s="41">
        <v>42779</v>
      </c>
      <c r="I1863" s="39">
        <v>26</v>
      </c>
      <c r="J1863" s="39" t="s">
        <v>369</v>
      </c>
      <c r="K1863" s="39" t="s">
        <v>369</v>
      </c>
      <c r="L1863" s="39" t="s">
        <v>1014</v>
      </c>
      <c r="M1863" s="38" t="s">
        <v>1035</v>
      </c>
      <c r="N1863" s="38" t="s">
        <v>68</v>
      </c>
    </row>
    <row r="1864" spans="1:14" x14ac:dyDescent="0.2">
      <c r="A1864" s="38" t="s">
        <v>1035</v>
      </c>
      <c r="B1864" s="38">
        <v>201457</v>
      </c>
      <c r="C1864" s="38" t="s">
        <v>2083</v>
      </c>
      <c r="D1864" s="279">
        <v>100000</v>
      </c>
      <c r="F1864" s="40">
        <v>2.3E-2</v>
      </c>
      <c r="G1864" s="41">
        <v>42604</v>
      </c>
      <c r="H1864" s="41">
        <v>42996</v>
      </c>
      <c r="I1864" s="39">
        <v>52</v>
      </c>
      <c r="J1864" s="39" t="s">
        <v>369</v>
      </c>
      <c r="K1864" s="39" t="s">
        <v>1716</v>
      </c>
      <c r="L1864" s="39" t="s">
        <v>1014</v>
      </c>
      <c r="M1864" s="38" t="s">
        <v>1035</v>
      </c>
      <c r="N1864" s="38" t="s">
        <v>68</v>
      </c>
    </row>
    <row r="1865" spans="1:14" x14ac:dyDescent="0.2">
      <c r="A1865" s="38" t="s">
        <v>1035</v>
      </c>
      <c r="B1865" s="38">
        <v>201458</v>
      </c>
      <c r="C1865" s="38" t="s">
        <v>2084</v>
      </c>
      <c r="D1865" s="279">
        <v>100000</v>
      </c>
      <c r="F1865" s="40">
        <v>2.4500000000000001E-2</v>
      </c>
      <c r="G1865" s="41">
        <v>42604</v>
      </c>
      <c r="H1865" s="41">
        <v>43334</v>
      </c>
      <c r="I1865" s="39">
        <v>2</v>
      </c>
      <c r="J1865" s="39" t="s">
        <v>1716</v>
      </c>
      <c r="K1865" s="39" t="s">
        <v>1716</v>
      </c>
      <c r="L1865" s="39" t="s">
        <v>1014</v>
      </c>
      <c r="M1865" s="38" t="s">
        <v>1035</v>
      </c>
      <c r="N1865" s="38" t="s">
        <v>68</v>
      </c>
    </row>
    <row r="1866" spans="1:14" x14ac:dyDescent="0.2">
      <c r="A1866" s="38" t="s">
        <v>1803</v>
      </c>
      <c r="B1866" s="38">
        <v>5048</v>
      </c>
      <c r="C1866" s="38" t="s">
        <v>2085</v>
      </c>
      <c r="D1866" s="279">
        <v>100000</v>
      </c>
      <c r="F1866" s="40">
        <v>3.3099999999999997E-2</v>
      </c>
      <c r="G1866" s="41">
        <v>42622</v>
      </c>
      <c r="H1866" s="41">
        <v>42986</v>
      </c>
      <c r="I1866" s="39">
        <v>52</v>
      </c>
      <c r="J1866" s="39" t="s">
        <v>369</v>
      </c>
      <c r="K1866" s="39" t="s">
        <v>1716</v>
      </c>
      <c r="L1866" s="39" t="s">
        <v>1014</v>
      </c>
      <c r="M1866" s="38" t="s">
        <v>1803</v>
      </c>
      <c r="N1866" s="38" t="s">
        <v>1063</v>
      </c>
    </row>
    <row r="1867" spans="1:14" x14ac:dyDescent="0.2">
      <c r="A1867" s="38" t="s">
        <v>557</v>
      </c>
      <c r="B1867" s="38">
        <v>151695</v>
      </c>
      <c r="C1867" s="38" t="s">
        <v>2086</v>
      </c>
      <c r="D1867" s="279">
        <v>100000</v>
      </c>
      <c r="F1867" s="40">
        <v>2.9499999999999998E-2</v>
      </c>
      <c r="G1867" s="41">
        <v>42307</v>
      </c>
      <c r="H1867" s="41">
        <v>42675</v>
      </c>
      <c r="I1867" s="39">
        <v>52</v>
      </c>
      <c r="J1867" s="39" t="s">
        <v>369</v>
      </c>
      <c r="K1867" s="39" t="s">
        <v>1716</v>
      </c>
      <c r="L1867" s="39" t="s">
        <v>1014</v>
      </c>
      <c r="M1867" s="38" t="s">
        <v>557</v>
      </c>
      <c r="N1867" s="38" t="s">
        <v>916</v>
      </c>
    </row>
    <row r="1868" spans="1:14" x14ac:dyDescent="0.2">
      <c r="A1868" s="38" t="s">
        <v>557</v>
      </c>
      <c r="B1868" s="38">
        <v>151755</v>
      </c>
      <c r="C1868" s="38" t="s">
        <v>2087</v>
      </c>
      <c r="D1868" s="279">
        <v>100000</v>
      </c>
      <c r="F1868" s="40">
        <v>2.5600000000000001E-2</v>
      </c>
      <c r="G1868" s="41">
        <v>42604</v>
      </c>
      <c r="H1868" s="41">
        <v>42787</v>
      </c>
      <c r="I1868" s="39">
        <v>26</v>
      </c>
      <c r="J1868" s="39" t="s">
        <v>369</v>
      </c>
      <c r="K1868" s="39" t="s">
        <v>369</v>
      </c>
      <c r="L1868" s="39" t="s">
        <v>1014</v>
      </c>
      <c r="M1868" s="38" t="s">
        <v>557</v>
      </c>
      <c r="N1868" s="38" t="s">
        <v>1504</v>
      </c>
    </row>
    <row r="1869" spans="1:14" x14ac:dyDescent="0.2">
      <c r="A1869" s="38" t="s">
        <v>1035</v>
      </c>
      <c r="B1869" s="38">
        <v>201440</v>
      </c>
      <c r="C1869" s="38" t="s">
        <v>2088</v>
      </c>
      <c r="D1869" s="279">
        <v>100000</v>
      </c>
      <c r="F1869" s="40">
        <v>0.02</v>
      </c>
      <c r="G1869" s="41">
        <v>42562</v>
      </c>
      <c r="H1869" s="41">
        <v>42653</v>
      </c>
      <c r="I1869" s="39">
        <v>13</v>
      </c>
      <c r="J1869" s="39" t="s">
        <v>369</v>
      </c>
      <c r="K1869" s="39" t="s">
        <v>1525</v>
      </c>
      <c r="L1869" s="39" t="s">
        <v>1014</v>
      </c>
      <c r="M1869" s="38" t="s">
        <v>1035</v>
      </c>
      <c r="N1869" s="38" t="s">
        <v>68</v>
      </c>
    </row>
    <row r="1870" spans="1:14" x14ac:dyDescent="0.2">
      <c r="A1870" s="38" t="s">
        <v>557</v>
      </c>
      <c r="B1870" s="38">
        <v>151761</v>
      </c>
      <c r="C1870" s="38" t="s">
        <v>2089</v>
      </c>
      <c r="D1870" s="279">
        <v>100000</v>
      </c>
      <c r="F1870" s="40">
        <v>2.4E-2</v>
      </c>
      <c r="G1870" s="41">
        <v>42642</v>
      </c>
      <c r="H1870" s="41">
        <v>42776</v>
      </c>
      <c r="I1870" s="39">
        <v>134</v>
      </c>
      <c r="J1870" s="39" t="s">
        <v>1396</v>
      </c>
      <c r="K1870" s="39" t="s">
        <v>1525</v>
      </c>
      <c r="L1870" s="39" t="s">
        <v>1014</v>
      </c>
      <c r="M1870" s="38" t="s">
        <v>557</v>
      </c>
      <c r="N1870" s="38" t="s">
        <v>916</v>
      </c>
    </row>
    <row r="1871" spans="1:14" x14ac:dyDescent="0.2">
      <c r="A1871" s="38" t="s">
        <v>557</v>
      </c>
      <c r="B1871" s="38">
        <v>151753</v>
      </c>
      <c r="C1871" s="38" t="s">
        <v>2090</v>
      </c>
      <c r="D1871" s="279">
        <v>100000</v>
      </c>
      <c r="F1871" s="40">
        <v>2.35E-2</v>
      </c>
      <c r="G1871" s="41">
        <v>42586</v>
      </c>
      <c r="H1871" s="41">
        <v>42677</v>
      </c>
      <c r="I1871" s="39">
        <v>13</v>
      </c>
      <c r="J1871" s="39" t="s">
        <v>369</v>
      </c>
      <c r="K1871" s="39" t="s">
        <v>1525</v>
      </c>
      <c r="L1871" s="39" t="s">
        <v>1014</v>
      </c>
      <c r="M1871" s="38" t="s">
        <v>557</v>
      </c>
      <c r="N1871" s="38" t="s">
        <v>916</v>
      </c>
    </row>
    <row r="1872" spans="1:14" x14ac:dyDescent="0.2">
      <c r="A1872" s="38" t="s">
        <v>1803</v>
      </c>
      <c r="B1872" s="38">
        <v>9127</v>
      </c>
      <c r="C1872" s="38" t="s">
        <v>2091</v>
      </c>
      <c r="D1872" s="279">
        <v>100000</v>
      </c>
      <c r="F1872" s="40">
        <v>4.87E-2</v>
      </c>
      <c r="G1872" s="41">
        <v>40574</v>
      </c>
      <c r="H1872" s="41">
        <v>43131</v>
      </c>
      <c r="I1872" s="39">
        <v>7</v>
      </c>
      <c r="J1872" s="39" t="s">
        <v>1716</v>
      </c>
      <c r="K1872" s="39" t="s">
        <v>1716</v>
      </c>
      <c r="L1872" s="39" t="s">
        <v>1014</v>
      </c>
      <c r="M1872" s="38" t="s">
        <v>1803</v>
      </c>
      <c r="N1872" s="38" t="s">
        <v>1096</v>
      </c>
    </row>
    <row r="1873" spans="1:14" x14ac:dyDescent="0.2">
      <c r="A1873" s="38" t="s">
        <v>557</v>
      </c>
      <c r="B1873" s="38">
        <v>151727</v>
      </c>
      <c r="C1873" s="38" t="s">
        <v>2092</v>
      </c>
      <c r="D1873" s="279">
        <v>100000</v>
      </c>
      <c r="F1873" s="40">
        <v>2.4500000000000001E-2</v>
      </c>
      <c r="G1873" s="41">
        <v>42471</v>
      </c>
      <c r="H1873" s="41">
        <v>43201</v>
      </c>
      <c r="I1873" s="39">
        <v>2</v>
      </c>
      <c r="J1873" s="39" t="s">
        <v>1716</v>
      </c>
      <c r="K1873" s="39" t="s">
        <v>1716</v>
      </c>
      <c r="L1873" s="39" t="s">
        <v>1014</v>
      </c>
      <c r="M1873" s="38" t="s">
        <v>557</v>
      </c>
      <c r="N1873" s="38" t="s">
        <v>1042</v>
      </c>
    </row>
    <row r="1874" spans="1:14" x14ac:dyDescent="0.2">
      <c r="A1874" s="38" t="s">
        <v>1035</v>
      </c>
      <c r="B1874" s="38">
        <v>201465</v>
      </c>
      <c r="C1874" s="38" t="s">
        <v>2093</v>
      </c>
      <c r="D1874" s="279">
        <v>100000</v>
      </c>
      <c r="F1874" s="40">
        <v>3.2000000000000001E-2</v>
      </c>
      <c r="G1874" s="41">
        <v>42618</v>
      </c>
      <c r="H1874" s="41">
        <v>46552</v>
      </c>
      <c r="I1874" s="39">
        <v>10</v>
      </c>
      <c r="J1874" s="39" t="s">
        <v>1716</v>
      </c>
      <c r="K1874" s="39" t="s">
        <v>1716</v>
      </c>
      <c r="L1874" s="39" t="s">
        <v>1014</v>
      </c>
      <c r="M1874" s="38" t="s">
        <v>1035</v>
      </c>
      <c r="N1874" s="38" t="s">
        <v>68</v>
      </c>
    </row>
    <row r="1875" spans="1:14" x14ac:dyDescent="0.2">
      <c r="A1875" s="38" t="s">
        <v>1035</v>
      </c>
      <c r="B1875" s="38">
        <v>201463</v>
      </c>
      <c r="C1875" s="38" t="s">
        <v>2094</v>
      </c>
      <c r="D1875" s="279">
        <v>100000</v>
      </c>
      <c r="F1875" s="40">
        <v>2.2700000000000001E-2</v>
      </c>
      <c r="G1875" s="41">
        <v>42618</v>
      </c>
      <c r="H1875" s="41">
        <v>42800</v>
      </c>
      <c r="I1875" s="39">
        <v>26</v>
      </c>
      <c r="J1875" s="39" t="s">
        <v>369</v>
      </c>
      <c r="K1875" s="39" t="s">
        <v>369</v>
      </c>
      <c r="L1875" s="39" t="s">
        <v>1014</v>
      </c>
      <c r="M1875" s="38" t="s">
        <v>1035</v>
      </c>
      <c r="N1875" s="38" t="s">
        <v>68</v>
      </c>
    </row>
    <row r="1876" spans="1:14" x14ac:dyDescent="0.2">
      <c r="A1876" s="38" t="s">
        <v>1035</v>
      </c>
      <c r="B1876" s="38">
        <v>201454</v>
      </c>
      <c r="C1876" s="38" t="s">
        <v>2095</v>
      </c>
      <c r="D1876" s="279">
        <v>100000</v>
      </c>
      <c r="F1876" s="40">
        <v>2.18E-2</v>
      </c>
      <c r="G1876" s="41">
        <v>42604</v>
      </c>
      <c r="H1876" s="41">
        <v>42695</v>
      </c>
      <c r="I1876" s="39">
        <v>13</v>
      </c>
      <c r="J1876" s="39" t="s">
        <v>369</v>
      </c>
      <c r="K1876" s="39" t="s">
        <v>1525</v>
      </c>
      <c r="L1876" s="39" t="s">
        <v>1014</v>
      </c>
      <c r="M1876" s="38" t="s">
        <v>1035</v>
      </c>
      <c r="N1876" s="38" t="s">
        <v>68</v>
      </c>
    </row>
    <row r="1877" spans="1:14" x14ac:dyDescent="0.2">
      <c r="A1877" s="38" t="s">
        <v>1035</v>
      </c>
      <c r="B1877" s="38">
        <v>201473</v>
      </c>
      <c r="C1877" s="38" t="s">
        <v>2096</v>
      </c>
      <c r="D1877" s="279">
        <v>100000</v>
      </c>
      <c r="F1877" s="40">
        <v>2.4500000000000001E-2</v>
      </c>
      <c r="G1877" s="41">
        <v>42653</v>
      </c>
      <c r="H1877" s="41">
        <v>43383</v>
      </c>
      <c r="I1877" s="39">
        <v>2</v>
      </c>
      <c r="J1877" s="39" t="s">
        <v>1716</v>
      </c>
      <c r="K1877" s="39" t="s">
        <v>1716</v>
      </c>
      <c r="L1877" s="39" t="s">
        <v>1014</v>
      </c>
      <c r="M1877" s="38" t="s">
        <v>1035</v>
      </c>
      <c r="N1877" s="38" t="s">
        <v>68</v>
      </c>
    </row>
    <row r="1878" spans="1:14" x14ac:dyDescent="0.2">
      <c r="A1878" s="38" t="s">
        <v>557</v>
      </c>
      <c r="B1878" s="38">
        <v>151684</v>
      </c>
      <c r="C1878" s="38" t="s">
        <v>2097</v>
      </c>
      <c r="D1878" s="279">
        <v>100000</v>
      </c>
      <c r="F1878" s="40">
        <v>3.2500000000000001E-2</v>
      </c>
      <c r="G1878" s="41">
        <v>42233</v>
      </c>
      <c r="H1878" s="41">
        <v>43329</v>
      </c>
      <c r="I1878" s="39">
        <v>3</v>
      </c>
      <c r="J1878" s="39" t="s">
        <v>1716</v>
      </c>
      <c r="K1878" s="39" t="s">
        <v>1716</v>
      </c>
      <c r="L1878" s="39" t="s">
        <v>1014</v>
      </c>
      <c r="M1878" s="38" t="s">
        <v>557</v>
      </c>
      <c r="N1878" s="38" t="s">
        <v>1481</v>
      </c>
    </row>
    <row r="1879" spans="1:14" x14ac:dyDescent="0.2">
      <c r="A1879" s="38" t="s">
        <v>1035</v>
      </c>
      <c r="B1879" s="38">
        <v>201441</v>
      </c>
      <c r="C1879" s="38" t="s">
        <v>2098</v>
      </c>
      <c r="D1879" s="279">
        <v>100000</v>
      </c>
      <c r="F1879" s="40">
        <v>2.1000000000000001E-2</v>
      </c>
      <c r="G1879" s="41">
        <v>42569</v>
      </c>
      <c r="H1879" s="41">
        <v>42751</v>
      </c>
      <c r="I1879" s="39">
        <v>26</v>
      </c>
      <c r="J1879" s="39" t="s">
        <v>369</v>
      </c>
      <c r="K1879" s="39" t="s">
        <v>369</v>
      </c>
      <c r="L1879" s="39" t="s">
        <v>1014</v>
      </c>
      <c r="M1879" s="38" t="s">
        <v>1035</v>
      </c>
      <c r="N1879" s="38" t="s">
        <v>68</v>
      </c>
    </row>
    <row r="1880" spans="1:14" x14ac:dyDescent="0.2">
      <c r="A1880" s="38" t="s">
        <v>1035</v>
      </c>
      <c r="B1880" s="38">
        <v>201460</v>
      </c>
      <c r="C1880" s="38" t="s">
        <v>2099</v>
      </c>
      <c r="D1880" s="279">
        <v>100000</v>
      </c>
      <c r="F1880" s="40">
        <v>2.2200000000000001E-2</v>
      </c>
      <c r="G1880" s="41">
        <v>42611</v>
      </c>
      <c r="H1880" s="41">
        <v>42702</v>
      </c>
      <c r="I1880" s="39">
        <v>13</v>
      </c>
      <c r="J1880" s="39" t="s">
        <v>1525</v>
      </c>
      <c r="K1880" s="39" t="s">
        <v>369</v>
      </c>
      <c r="L1880" s="39" t="s">
        <v>1014</v>
      </c>
      <c r="M1880" s="38" t="s">
        <v>1035</v>
      </c>
      <c r="N1880" s="38" t="s">
        <v>68</v>
      </c>
    </row>
    <row r="1881" spans="1:14" x14ac:dyDescent="0.2">
      <c r="A1881" s="38" t="s">
        <v>1035</v>
      </c>
      <c r="B1881" s="38">
        <v>201477</v>
      </c>
      <c r="C1881" s="38" t="s">
        <v>2100</v>
      </c>
      <c r="D1881" s="279">
        <v>100000</v>
      </c>
      <c r="F1881" s="40">
        <v>2.3E-2</v>
      </c>
      <c r="G1881" s="41">
        <v>42688</v>
      </c>
      <c r="H1881" s="41">
        <v>43115</v>
      </c>
      <c r="I1881" s="39">
        <v>52</v>
      </c>
      <c r="J1881" s="39" t="s">
        <v>369</v>
      </c>
      <c r="K1881" s="39" t="s">
        <v>1716</v>
      </c>
      <c r="L1881" s="39" t="s">
        <v>1014</v>
      </c>
      <c r="M1881" s="38" t="s">
        <v>1035</v>
      </c>
      <c r="N1881" s="38" t="s">
        <v>68</v>
      </c>
    </row>
    <row r="1882" spans="1:14" x14ac:dyDescent="0.2">
      <c r="A1882" s="38" t="s">
        <v>557</v>
      </c>
      <c r="B1882" s="38">
        <v>151423</v>
      </c>
      <c r="C1882" s="38" t="s">
        <v>2101</v>
      </c>
      <c r="D1882" s="279">
        <v>100000</v>
      </c>
      <c r="F1882" s="40">
        <v>4.2500000000000003E-2</v>
      </c>
      <c r="G1882" s="41">
        <v>41736</v>
      </c>
      <c r="H1882" s="41">
        <v>42832</v>
      </c>
      <c r="I1882" s="39">
        <v>3</v>
      </c>
      <c r="J1882" s="39" t="s">
        <v>1716</v>
      </c>
      <c r="K1882" s="39" t="s">
        <v>1716</v>
      </c>
      <c r="L1882" s="39" t="s">
        <v>1014</v>
      </c>
      <c r="M1882" s="38" t="s">
        <v>557</v>
      </c>
      <c r="N1882" s="38" t="s">
        <v>1042</v>
      </c>
    </row>
    <row r="1883" spans="1:14" x14ac:dyDescent="0.2">
      <c r="A1883" s="38" t="s">
        <v>1015</v>
      </c>
      <c r="B1883" s="38">
        <v>100647</v>
      </c>
      <c r="C1883" s="38" t="s">
        <v>2102</v>
      </c>
      <c r="D1883" s="279">
        <v>100000</v>
      </c>
      <c r="F1883" s="40">
        <v>3.7499999999999999E-2</v>
      </c>
      <c r="G1883" s="41">
        <v>42304</v>
      </c>
      <c r="H1883" s="41">
        <v>44131</v>
      </c>
      <c r="I1883" s="39">
        <v>5</v>
      </c>
      <c r="J1883" s="39" t="s">
        <v>1716</v>
      </c>
      <c r="K1883" s="39" t="s">
        <v>1716</v>
      </c>
      <c r="L1883" s="39" t="s">
        <v>1014</v>
      </c>
      <c r="M1883" s="38" t="s">
        <v>1015</v>
      </c>
      <c r="N1883" s="38" t="s">
        <v>1226</v>
      </c>
    </row>
    <row r="1884" spans="1:14" x14ac:dyDescent="0.2">
      <c r="A1884" s="38" t="s">
        <v>1803</v>
      </c>
      <c r="B1884" s="38">
        <v>9297</v>
      </c>
      <c r="C1884" s="38" t="s">
        <v>2103</v>
      </c>
      <c r="D1884" s="279">
        <v>100000</v>
      </c>
      <c r="F1884" s="40">
        <v>2.8199999999999999E-2</v>
      </c>
      <c r="G1884" s="41">
        <v>42695</v>
      </c>
      <c r="H1884" s="41">
        <v>44521</v>
      </c>
      <c r="I1884" s="39">
        <v>5</v>
      </c>
      <c r="J1884" s="39" t="s">
        <v>1716</v>
      </c>
      <c r="K1884" s="39" t="s">
        <v>1716</v>
      </c>
      <c r="L1884" s="39" t="s">
        <v>1014</v>
      </c>
      <c r="M1884" s="38" t="s">
        <v>1803</v>
      </c>
      <c r="N1884" s="38" t="s">
        <v>1042</v>
      </c>
    </row>
    <row r="1885" spans="1:14" x14ac:dyDescent="0.2">
      <c r="A1885" s="38" t="s">
        <v>557</v>
      </c>
      <c r="B1885" s="38">
        <v>151768</v>
      </c>
      <c r="C1885" s="38" t="s">
        <v>2104</v>
      </c>
      <c r="D1885" s="279">
        <v>100000</v>
      </c>
      <c r="F1885" s="40">
        <v>2.53E-2</v>
      </c>
      <c r="G1885" s="41">
        <v>42698</v>
      </c>
      <c r="H1885" s="41">
        <v>43062</v>
      </c>
      <c r="I1885" s="39">
        <v>52</v>
      </c>
      <c r="J1885" s="39" t="s">
        <v>369</v>
      </c>
      <c r="K1885" s="39" t="s">
        <v>1716</v>
      </c>
      <c r="L1885" s="39" t="s">
        <v>1014</v>
      </c>
      <c r="M1885" s="38" t="s">
        <v>557</v>
      </c>
      <c r="N1885" s="38" t="s">
        <v>1042</v>
      </c>
    </row>
    <row r="1886" spans="1:14" x14ac:dyDescent="0.2">
      <c r="A1886" s="38" t="s">
        <v>557</v>
      </c>
      <c r="B1886" s="38">
        <v>151766</v>
      </c>
      <c r="C1886" s="38" t="s">
        <v>2105</v>
      </c>
      <c r="D1886" s="279">
        <v>100000</v>
      </c>
      <c r="F1886" s="40">
        <v>2.2499999999999999E-2</v>
      </c>
      <c r="G1886" s="41">
        <v>42698</v>
      </c>
      <c r="H1886" s="41">
        <v>42789</v>
      </c>
      <c r="I1886" s="39">
        <v>13</v>
      </c>
      <c r="J1886" s="39" t="s">
        <v>1525</v>
      </c>
      <c r="K1886" s="39" t="s">
        <v>1716</v>
      </c>
      <c r="L1886" s="39" t="s">
        <v>1014</v>
      </c>
      <c r="M1886" s="38" t="s">
        <v>557</v>
      </c>
      <c r="N1886" s="38" t="s">
        <v>1042</v>
      </c>
    </row>
    <row r="1887" spans="1:14" x14ac:dyDescent="0.2">
      <c r="A1887" s="38" t="s">
        <v>557</v>
      </c>
      <c r="B1887" s="38">
        <v>151771</v>
      </c>
      <c r="C1887" s="38" t="s">
        <v>2106</v>
      </c>
      <c r="D1887" s="279">
        <v>100000</v>
      </c>
      <c r="F1887" s="40">
        <v>2.35E-2</v>
      </c>
      <c r="G1887" s="41">
        <v>42705</v>
      </c>
      <c r="H1887" s="41">
        <v>42887</v>
      </c>
      <c r="I1887" s="39">
        <v>26</v>
      </c>
      <c r="J1887" s="39" t="s">
        <v>369</v>
      </c>
      <c r="K1887" s="39" t="s">
        <v>369</v>
      </c>
      <c r="L1887" s="39" t="s">
        <v>1014</v>
      </c>
      <c r="M1887" s="38" t="s">
        <v>557</v>
      </c>
      <c r="N1887" s="38" t="s">
        <v>916</v>
      </c>
    </row>
    <row r="1888" spans="1:14" x14ac:dyDescent="0.2">
      <c r="A1888" s="38" t="s">
        <v>557</v>
      </c>
      <c r="B1888" s="38">
        <v>151772</v>
      </c>
      <c r="C1888" s="38" t="s">
        <v>2107</v>
      </c>
      <c r="D1888" s="279">
        <v>100000</v>
      </c>
      <c r="F1888" s="40">
        <v>2.2499999999999999E-2</v>
      </c>
      <c r="G1888" s="41">
        <v>42705</v>
      </c>
      <c r="H1888" s="41">
        <v>42796</v>
      </c>
      <c r="I1888" s="39">
        <v>13</v>
      </c>
      <c r="J1888" s="39" t="s">
        <v>369</v>
      </c>
      <c r="K1888" s="39" t="s">
        <v>1525</v>
      </c>
      <c r="L1888" s="39" t="s">
        <v>1014</v>
      </c>
      <c r="M1888" s="38" t="s">
        <v>557</v>
      </c>
      <c r="N1888" s="38" t="s">
        <v>916</v>
      </c>
    </row>
    <row r="1889" spans="1:14" x14ac:dyDescent="0.2">
      <c r="A1889" s="38" t="s">
        <v>557</v>
      </c>
      <c r="B1889" s="38">
        <v>151670</v>
      </c>
      <c r="C1889" s="38" t="s">
        <v>2108</v>
      </c>
      <c r="D1889" s="279">
        <v>100000</v>
      </c>
      <c r="F1889" s="40">
        <v>3.7999999999999999E-2</v>
      </c>
      <c r="G1889" s="41">
        <v>42146</v>
      </c>
      <c r="H1889" s="41">
        <v>43973</v>
      </c>
      <c r="I1889" s="39">
        <v>5</v>
      </c>
      <c r="J1889" s="39" t="s">
        <v>1716</v>
      </c>
      <c r="K1889" s="39" t="s">
        <v>1716</v>
      </c>
      <c r="L1889" s="39" t="s">
        <v>1014</v>
      </c>
      <c r="M1889" s="38" t="s">
        <v>557</v>
      </c>
      <c r="N1889" s="38" t="s">
        <v>1473</v>
      </c>
    </row>
    <row r="1890" spans="1:14" x14ac:dyDescent="0.2">
      <c r="A1890" s="38" t="s">
        <v>557</v>
      </c>
      <c r="B1890" s="38">
        <v>151748</v>
      </c>
      <c r="C1890" s="38" t="s">
        <v>2109</v>
      </c>
      <c r="D1890" s="279">
        <v>100000</v>
      </c>
      <c r="F1890" s="40">
        <v>2.3E-2</v>
      </c>
      <c r="G1890" s="41">
        <v>42566</v>
      </c>
      <c r="H1890" s="41">
        <v>42748</v>
      </c>
      <c r="I1890" s="39">
        <v>26</v>
      </c>
      <c r="J1890" s="39" t="s">
        <v>369</v>
      </c>
      <c r="K1890" s="39" t="s">
        <v>369</v>
      </c>
      <c r="L1890" s="39" t="s">
        <v>1014</v>
      </c>
      <c r="M1890" s="38" t="s">
        <v>557</v>
      </c>
      <c r="N1890" s="38" t="s">
        <v>1042</v>
      </c>
    </row>
    <row r="1891" spans="1:14" x14ac:dyDescent="0.2">
      <c r="A1891" s="38" t="s">
        <v>1803</v>
      </c>
      <c r="B1891" s="38">
        <v>9300</v>
      </c>
      <c r="C1891" s="38" t="s">
        <v>2110</v>
      </c>
      <c r="D1891" s="279">
        <v>100000</v>
      </c>
      <c r="F1891" s="40">
        <v>3.1300000000000001E-2</v>
      </c>
      <c r="G1891" s="41">
        <v>42725</v>
      </c>
      <c r="H1891" s="41">
        <v>46377</v>
      </c>
      <c r="I1891" s="39">
        <v>10</v>
      </c>
      <c r="J1891" s="39" t="s">
        <v>1716</v>
      </c>
      <c r="K1891" s="39" t="s">
        <v>1716</v>
      </c>
      <c r="L1891" s="39" t="s">
        <v>1014</v>
      </c>
      <c r="M1891" s="38" t="s">
        <v>1803</v>
      </c>
      <c r="N1891" s="38" t="s">
        <v>918</v>
      </c>
    </row>
    <row r="1892" spans="1:14" x14ac:dyDescent="0.2">
      <c r="A1892" s="38" t="s">
        <v>1803</v>
      </c>
      <c r="B1892" s="38">
        <v>9302</v>
      </c>
      <c r="C1892" s="38" t="s">
        <v>2111</v>
      </c>
      <c r="D1892" s="279">
        <v>100000</v>
      </c>
      <c r="F1892" s="40">
        <v>3.2800000000000003E-2</v>
      </c>
      <c r="G1892" s="41">
        <v>42727</v>
      </c>
      <c r="H1892" s="41">
        <v>46379</v>
      </c>
      <c r="I1892" s="39">
        <v>10</v>
      </c>
      <c r="J1892" s="39" t="s">
        <v>1716</v>
      </c>
      <c r="K1892" s="39" t="s">
        <v>1716</v>
      </c>
      <c r="L1892" s="39" t="s">
        <v>1014</v>
      </c>
      <c r="M1892" s="38" t="s">
        <v>1803</v>
      </c>
      <c r="N1892" s="38" t="s">
        <v>626</v>
      </c>
    </row>
    <row r="1893" spans="1:14" x14ac:dyDescent="0.2">
      <c r="A1893" s="38" t="s">
        <v>557</v>
      </c>
      <c r="B1893" s="38">
        <v>151777</v>
      </c>
      <c r="C1893" s="38" t="s">
        <v>2112</v>
      </c>
      <c r="D1893" s="279">
        <v>100000</v>
      </c>
      <c r="F1893" s="40">
        <v>2.41E-2</v>
      </c>
      <c r="G1893" s="41">
        <v>42727</v>
      </c>
      <c r="H1893" s="41">
        <v>42909</v>
      </c>
      <c r="I1893" s="39">
        <v>26</v>
      </c>
      <c r="J1893" s="39" t="s">
        <v>369</v>
      </c>
      <c r="K1893" s="39" t="s">
        <v>369</v>
      </c>
      <c r="L1893" s="39" t="s">
        <v>1014</v>
      </c>
      <c r="M1893" s="38" t="s">
        <v>557</v>
      </c>
      <c r="N1893" s="38" t="s">
        <v>918</v>
      </c>
    </row>
    <row r="1894" spans="1:14" x14ac:dyDescent="0.2">
      <c r="A1894" s="38" t="s">
        <v>1803</v>
      </c>
      <c r="B1894" s="38">
        <v>9305</v>
      </c>
      <c r="C1894" s="38" t="s">
        <v>2113</v>
      </c>
      <c r="D1894" s="279">
        <v>100000</v>
      </c>
      <c r="F1894" s="40">
        <v>2.87E-2</v>
      </c>
      <c r="G1894" s="41">
        <v>43092</v>
      </c>
      <c r="H1894" s="41">
        <v>43457</v>
      </c>
      <c r="I1894" s="39">
        <v>7</v>
      </c>
      <c r="J1894" s="39" t="s">
        <v>1716</v>
      </c>
      <c r="K1894" s="39" t="s">
        <v>1716</v>
      </c>
      <c r="L1894" s="39" t="s">
        <v>1014</v>
      </c>
      <c r="M1894" s="38" t="s">
        <v>1803</v>
      </c>
      <c r="N1894" s="38" t="s">
        <v>1481</v>
      </c>
    </row>
    <row r="1895" spans="1:14" x14ac:dyDescent="0.2">
      <c r="A1895" s="38" t="s">
        <v>1803</v>
      </c>
      <c r="B1895" s="38">
        <v>9307</v>
      </c>
      <c r="C1895" s="38" t="s">
        <v>2114</v>
      </c>
      <c r="D1895" s="279">
        <v>100000</v>
      </c>
      <c r="F1895" s="40">
        <v>4.02E-2</v>
      </c>
      <c r="G1895" s="41">
        <v>43092</v>
      </c>
      <c r="H1895" s="41">
        <v>43457</v>
      </c>
      <c r="I1895" s="39">
        <v>52</v>
      </c>
      <c r="J1895" s="39" t="s">
        <v>369</v>
      </c>
      <c r="K1895" s="39" t="s">
        <v>1716</v>
      </c>
      <c r="L1895" s="39" t="s">
        <v>1014</v>
      </c>
      <c r="M1895" s="38" t="s">
        <v>1803</v>
      </c>
      <c r="N1895" s="38" t="s">
        <v>1481</v>
      </c>
    </row>
    <row r="1896" spans="1:14" x14ac:dyDescent="0.2">
      <c r="A1896" s="38" t="s">
        <v>557</v>
      </c>
      <c r="B1896" s="38">
        <v>151780</v>
      </c>
      <c r="C1896" s="38" t="s">
        <v>2115</v>
      </c>
      <c r="D1896" s="279">
        <v>100000</v>
      </c>
      <c r="F1896" s="40">
        <v>2.8199999999999999E-2</v>
      </c>
      <c r="G1896" s="41">
        <v>42730</v>
      </c>
      <c r="H1896" s="41">
        <v>43094</v>
      </c>
      <c r="I1896" s="39">
        <v>52</v>
      </c>
      <c r="J1896" s="39" t="s">
        <v>369</v>
      </c>
      <c r="K1896" s="39" t="s">
        <v>1716</v>
      </c>
      <c r="L1896" s="39" t="s">
        <v>1014</v>
      </c>
      <c r="M1896" s="38" t="s">
        <v>557</v>
      </c>
      <c r="N1896" s="38" t="s">
        <v>1504</v>
      </c>
    </row>
    <row r="1897" spans="1:14" x14ac:dyDescent="0.2">
      <c r="A1897" s="38" t="s">
        <v>1015</v>
      </c>
      <c r="B1897" s="38">
        <v>100590</v>
      </c>
      <c r="C1897" s="38" t="s">
        <v>2116</v>
      </c>
      <c r="D1897" s="279">
        <v>100000</v>
      </c>
      <c r="F1897" s="40">
        <v>4.9000000000000002E-2</v>
      </c>
      <c r="G1897" s="41">
        <v>41884</v>
      </c>
      <c r="H1897" s="41">
        <v>43710</v>
      </c>
      <c r="I1897" s="39">
        <v>5</v>
      </c>
      <c r="J1897" s="39" t="s">
        <v>1716</v>
      </c>
      <c r="K1897" s="39" t="s">
        <v>1716</v>
      </c>
      <c r="L1897" s="39" t="s">
        <v>1014</v>
      </c>
      <c r="M1897" s="38" t="s">
        <v>1015</v>
      </c>
      <c r="N1897" s="38" t="s">
        <v>349</v>
      </c>
    </row>
    <row r="1898" spans="1:14" x14ac:dyDescent="0.2">
      <c r="A1898" s="38" t="s">
        <v>1015</v>
      </c>
      <c r="B1898" s="38">
        <v>100624</v>
      </c>
      <c r="C1898" s="38" t="s">
        <v>2117</v>
      </c>
      <c r="D1898" s="279">
        <v>100000</v>
      </c>
      <c r="F1898" s="40">
        <v>3.9899999999999998E-2</v>
      </c>
      <c r="G1898" s="41">
        <v>42124</v>
      </c>
      <c r="H1898" s="41">
        <v>43951</v>
      </c>
      <c r="I1898" s="39">
        <v>5</v>
      </c>
      <c r="J1898" s="39" t="s">
        <v>1716</v>
      </c>
      <c r="K1898" s="39" t="s">
        <v>1716</v>
      </c>
      <c r="L1898" s="39" t="s">
        <v>1014</v>
      </c>
      <c r="M1898" s="38" t="s">
        <v>1015</v>
      </c>
      <c r="N1898" s="38" t="s">
        <v>640</v>
      </c>
    </row>
    <row r="1899" spans="1:14" x14ac:dyDescent="0.2">
      <c r="A1899" s="38" t="s">
        <v>1803</v>
      </c>
      <c r="B1899" s="38">
        <v>9245</v>
      </c>
      <c r="C1899" s="38" t="s">
        <v>2118</v>
      </c>
      <c r="D1899" s="279">
        <v>100000</v>
      </c>
      <c r="F1899" s="40">
        <v>4.7500000000000001E-2</v>
      </c>
      <c r="G1899" s="41">
        <v>42013</v>
      </c>
      <c r="H1899" s="41">
        <v>45666</v>
      </c>
      <c r="I1899" s="39">
        <v>10</v>
      </c>
      <c r="J1899" s="39" t="s">
        <v>1716</v>
      </c>
      <c r="K1899" s="39" t="s">
        <v>1716</v>
      </c>
      <c r="L1899" s="39" t="s">
        <v>1014</v>
      </c>
      <c r="M1899" s="38" t="s">
        <v>1803</v>
      </c>
      <c r="N1899" s="38" t="s">
        <v>1473</v>
      </c>
    </row>
    <row r="1900" spans="1:14" x14ac:dyDescent="0.2">
      <c r="A1900" s="38" t="s">
        <v>557</v>
      </c>
      <c r="B1900" s="38">
        <v>151713</v>
      </c>
      <c r="C1900" s="38" t="s">
        <v>2119</v>
      </c>
      <c r="D1900" s="279">
        <v>100000</v>
      </c>
      <c r="F1900" s="40">
        <v>2.9000000000000001E-2</v>
      </c>
      <c r="G1900" s="41">
        <v>42381</v>
      </c>
      <c r="H1900" s="41">
        <v>42747</v>
      </c>
      <c r="I1900" s="39">
        <v>52</v>
      </c>
      <c r="J1900" s="39" t="s">
        <v>369</v>
      </c>
      <c r="K1900" s="39" t="s">
        <v>1716</v>
      </c>
      <c r="L1900" s="39" t="s">
        <v>1014</v>
      </c>
      <c r="M1900" s="38" t="s">
        <v>557</v>
      </c>
      <c r="N1900" s="38" t="s">
        <v>1481</v>
      </c>
    </row>
    <row r="1901" spans="1:14" x14ac:dyDescent="0.2">
      <c r="A1901" s="38" t="s">
        <v>1035</v>
      </c>
      <c r="B1901" s="38">
        <v>201481</v>
      </c>
      <c r="C1901" s="38" t="s">
        <v>2120</v>
      </c>
      <c r="D1901" s="279">
        <v>100000</v>
      </c>
      <c r="F1901" s="40">
        <v>2.35E-2</v>
      </c>
      <c r="G1901" s="41">
        <v>42744</v>
      </c>
      <c r="H1901" s="41">
        <v>43234</v>
      </c>
      <c r="I1901" s="39">
        <v>1</v>
      </c>
      <c r="J1901" s="39" t="s">
        <v>1716</v>
      </c>
      <c r="K1901" s="39" t="s">
        <v>1716</v>
      </c>
      <c r="L1901" s="39" t="s">
        <v>1014</v>
      </c>
      <c r="M1901" s="38" t="s">
        <v>1035</v>
      </c>
      <c r="N1901" s="38" t="s">
        <v>68</v>
      </c>
    </row>
    <row r="1902" spans="1:14" x14ac:dyDescent="0.2">
      <c r="A1902" s="38" t="s">
        <v>1035</v>
      </c>
      <c r="B1902" s="38">
        <v>201479</v>
      </c>
      <c r="C1902" s="38" t="s">
        <v>2121</v>
      </c>
      <c r="D1902" s="279">
        <v>100000</v>
      </c>
      <c r="F1902" s="40">
        <v>2.4E-2</v>
      </c>
      <c r="G1902" s="41">
        <v>42709</v>
      </c>
      <c r="H1902" s="41">
        <v>43439</v>
      </c>
      <c r="I1902" s="39">
        <v>2</v>
      </c>
      <c r="J1902" s="39" t="s">
        <v>1716</v>
      </c>
      <c r="K1902" s="39" t="s">
        <v>1716</v>
      </c>
      <c r="L1902" s="39" t="s">
        <v>1014</v>
      </c>
      <c r="M1902" s="38" t="s">
        <v>1035</v>
      </c>
      <c r="N1902" s="38" t="s">
        <v>68</v>
      </c>
    </row>
    <row r="1903" spans="1:14" x14ac:dyDescent="0.2">
      <c r="A1903" s="38" t="s">
        <v>1035</v>
      </c>
      <c r="B1903" s="38">
        <v>201482</v>
      </c>
      <c r="C1903" s="38" t="s">
        <v>2122</v>
      </c>
      <c r="D1903" s="279">
        <v>100000</v>
      </c>
      <c r="F1903" s="40">
        <v>2.7E-2</v>
      </c>
      <c r="G1903" s="41">
        <v>42751</v>
      </c>
      <c r="H1903" s="41">
        <v>44851</v>
      </c>
      <c r="I1903" s="39">
        <v>5</v>
      </c>
      <c r="J1903" s="39" t="s">
        <v>1716</v>
      </c>
      <c r="K1903" s="39" t="s">
        <v>1716</v>
      </c>
      <c r="L1903" s="39" t="s">
        <v>1014</v>
      </c>
      <c r="M1903" s="38" t="s">
        <v>1035</v>
      </c>
      <c r="N1903" s="38" t="s">
        <v>68</v>
      </c>
    </row>
    <row r="1904" spans="1:14" x14ac:dyDescent="0.2">
      <c r="A1904" s="38" t="s">
        <v>1035</v>
      </c>
      <c r="B1904" s="38">
        <v>201480</v>
      </c>
      <c r="C1904" s="38" t="s">
        <v>2123</v>
      </c>
      <c r="D1904" s="279">
        <v>100000</v>
      </c>
      <c r="F1904" s="40">
        <v>2.1000000000000001E-2</v>
      </c>
      <c r="G1904" s="41">
        <v>42718</v>
      </c>
      <c r="H1904" s="41">
        <v>42809</v>
      </c>
      <c r="I1904" s="39">
        <v>13</v>
      </c>
      <c r="J1904" s="39" t="s">
        <v>369</v>
      </c>
      <c r="K1904" s="39" t="s">
        <v>1525</v>
      </c>
      <c r="L1904" s="39" t="s">
        <v>1014</v>
      </c>
      <c r="M1904" s="38" t="s">
        <v>1035</v>
      </c>
      <c r="N1904" s="38" t="s">
        <v>68</v>
      </c>
    </row>
    <row r="1905" spans="1:14" x14ac:dyDescent="0.2">
      <c r="A1905" s="38" t="s">
        <v>1035</v>
      </c>
      <c r="B1905" s="38">
        <v>201483</v>
      </c>
      <c r="C1905" s="38" t="s">
        <v>2124</v>
      </c>
      <c r="D1905" s="279">
        <v>100000</v>
      </c>
      <c r="F1905" s="40">
        <v>2.4E-2</v>
      </c>
      <c r="G1905" s="41">
        <v>42758</v>
      </c>
      <c r="H1905" s="41">
        <v>43290</v>
      </c>
      <c r="I1905" s="39">
        <v>52</v>
      </c>
      <c r="J1905" s="39" t="s">
        <v>369</v>
      </c>
      <c r="K1905" s="39" t="s">
        <v>1716</v>
      </c>
      <c r="L1905" s="39" t="s">
        <v>1014</v>
      </c>
      <c r="M1905" s="38" t="s">
        <v>1035</v>
      </c>
      <c r="N1905" s="38" t="s">
        <v>68</v>
      </c>
    </row>
    <row r="1906" spans="1:14" x14ac:dyDescent="0.2">
      <c r="A1906" s="38" t="s">
        <v>557</v>
      </c>
      <c r="B1906" s="38">
        <v>151436</v>
      </c>
      <c r="C1906" s="38" t="s">
        <v>2125</v>
      </c>
      <c r="D1906" s="279">
        <v>100000</v>
      </c>
      <c r="F1906" s="40">
        <v>4.2500000000000003E-2</v>
      </c>
      <c r="G1906" s="41">
        <v>41747</v>
      </c>
      <c r="H1906" s="41">
        <v>42843</v>
      </c>
      <c r="I1906" s="39">
        <v>3</v>
      </c>
      <c r="J1906" s="39" t="s">
        <v>1716</v>
      </c>
      <c r="K1906" s="39" t="s">
        <v>1716</v>
      </c>
      <c r="L1906" s="39" t="s">
        <v>1014</v>
      </c>
      <c r="M1906" s="38" t="s">
        <v>557</v>
      </c>
      <c r="N1906" s="38" t="s">
        <v>1042</v>
      </c>
    </row>
    <row r="1907" spans="1:14" x14ac:dyDescent="0.2">
      <c r="A1907" s="38" t="s">
        <v>557</v>
      </c>
      <c r="B1907" s="38">
        <v>151794</v>
      </c>
      <c r="C1907" s="38" t="s">
        <v>2126</v>
      </c>
      <c r="D1907" s="279">
        <v>100000</v>
      </c>
      <c r="F1907" s="40">
        <v>2.4E-2</v>
      </c>
      <c r="G1907" s="41">
        <v>42766</v>
      </c>
      <c r="H1907" s="41">
        <v>42948</v>
      </c>
      <c r="I1907" s="39">
        <v>26</v>
      </c>
      <c r="J1907" s="39" t="s">
        <v>369</v>
      </c>
      <c r="K1907" s="39" t="s">
        <v>369</v>
      </c>
      <c r="L1907" s="39" t="s">
        <v>1014</v>
      </c>
      <c r="M1907" s="38" t="s">
        <v>557</v>
      </c>
      <c r="N1907" s="38" t="s">
        <v>918</v>
      </c>
    </row>
    <row r="1908" spans="1:14" x14ac:dyDescent="0.2">
      <c r="A1908" s="38" t="s">
        <v>1035</v>
      </c>
      <c r="B1908" s="38">
        <v>201485</v>
      </c>
      <c r="C1908" s="38" t="s">
        <v>2129</v>
      </c>
      <c r="D1908" s="279">
        <v>100000</v>
      </c>
      <c r="F1908" s="40">
        <v>2.3E-2</v>
      </c>
      <c r="G1908" s="41">
        <v>42772</v>
      </c>
      <c r="H1908" s="41">
        <v>42954</v>
      </c>
      <c r="I1908" s="39">
        <v>26</v>
      </c>
      <c r="J1908" s="39" t="s">
        <v>369</v>
      </c>
      <c r="K1908" s="39" t="s">
        <v>369</v>
      </c>
      <c r="L1908" s="39" t="s">
        <v>1014</v>
      </c>
      <c r="M1908" s="38" t="s">
        <v>1035</v>
      </c>
      <c r="N1908" s="38" t="s">
        <v>68</v>
      </c>
    </row>
    <row r="1909" spans="1:14" x14ac:dyDescent="0.2">
      <c r="A1909" s="38" t="s">
        <v>1035</v>
      </c>
      <c r="B1909" s="38">
        <v>201488</v>
      </c>
      <c r="C1909" s="38" t="s">
        <v>2130</v>
      </c>
      <c r="D1909" s="279">
        <v>100000</v>
      </c>
      <c r="F1909" s="40">
        <v>2.1700000000000001E-2</v>
      </c>
      <c r="G1909" s="41">
        <v>42779</v>
      </c>
      <c r="H1909" s="41">
        <v>42870</v>
      </c>
      <c r="I1909" s="39">
        <v>13</v>
      </c>
      <c r="J1909" s="39" t="s">
        <v>369</v>
      </c>
      <c r="K1909" s="39" t="s">
        <v>1525</v>
      </c>
      <c r="L1909" s="39" t="s">
        <v>1014</v>
      </c>
      <c r="M1909" s="38" t="s">
        <v>1035</v>
      </c>
      <c r="N1909" s="38" t="s">
        <v>68</v>
      </c>
    </row>
    <row r="1910" spans="1:14" x14ac:dyDescent="0.2">
      <c r="A1910" s="38" t="s">
        <v>1035</v>
      </c>
      <c r="B1910" s="38">
        <v>201484</v>
      </c>
      <c r="C1910" s="38" t="s">
        <v>2131</v>
      </c>
      <c r="D1910" s="279">
        <v>100000</v>
      </c>
      <c r="F1910" s="40">
        <v>2.1899999999999999E-2</v>
      </c>
      <c r="G1910" s="41">
        <v>42765</v>
      </c>
      <c r="H1910" s="41">
        <v>42856</v>
      </c>
      <c r="I1910" s="39">
        <v>13</v>
      </c>
      <c r="J1910" s="39" t="s">
        <v>369</v>
      </c>
      <c r="K1910" s="39" t="s">
        <v>369</v>
      </c>
      <c r="L1910" s="39" t="s">
        <v>1014</v>
      </c>
      <c r="M1910" s="38" t="s">
        <v>1035</v>
      </c>
      <c r="N1910" s="38" t="s">
        <v>68</v>
      </c>
    </row>
    <row r="1911" spans="1:14" x14ac:dyDescent="0.2">
      <c r="A1911" s="38" t="s">
        <v>1035</v>
      </c>
      <c r="B1911" s="38">
        <v>201489</v>
      </c>
      <c r="C1911" s="38" t="s">
        <v>2132</v>
      </c>
      <c r="D1911" s="279">
        <v>100000</v>
      </c>
      <c r="F1911" s="40">
        <v>2.5000000000000001E-2</v>
      </c>
      <c r="G1911" s="41">
        <v>42812</v>
      </c>
      <c r="H1911" s="41">
        <v>43542</v>
      </c>
      <c r="I1911" s="39">
        <v>2</v>
      </c>
      <c r="J1911" s="39" t="s">
        <v>1716</v>
      </c>
      <c r="K1911" s="39" t="s">
        <v>1716</v>
      </c>
      <c r="L1911" s="39" t="s">
        <v>1014</v>
      </c>
      <c r="M1911" s="38" t="s">
        <v>1035</v>
      </c>
      <c r="N1911" s="38" t="s">
        <v>68</v>
      </c>
    </row>
    <row r="1912" spans="1:14" x14ac:dyDescent="0.2">
      <c r="A1912" s="38" t="s">
        <v>1803</v>
      </c>
      <c r="B1912" s="38">
        <v>9313</v>
      </c>
      <c r="C1912" s="38" t="s">
        <v>2133</v>
      </c>
      <c r="D1912" s="279">
        <v>100000</v>
      </c>
      <c r="F1912" s="40">
        <v>4.3900000000000002E-2</v>
      </c>
      <c r="G1912" s="41">
        <v>42817</v>
      </c>
      <c r="H1912" s="41">
        <v>50122</v>
      </c>
      <c r="I1912" s="39">
        <v>20</v>
      </c>
      <c r="J1912" s="39" t="s">
        <v>1716</v>
      </c>
      <c r="K1912" s="39" t="s">
        <v>1716</v>
      </c>
      <c r="L1912" s="39" t="s">
        <v>1014</v>
      </c>
      <c r="M1912" s="38" t="s">
        <v>1803</v>
      </c>
      <c r="N1912" s="38" t="s">
        <v>241</v>
      </c>
    </row>
    <row r="1913" spans="1:14" x14ac:dyDescent="0.2">
      <c r="A1913" s="38" t="s">
        <v>1035</v>
      </c>
      <c r="B1913" s="38">
        <v>201493</v>
      </c>
      <c r="C1913" s="38" t="s">
        <v>2134</v>
      </c>
      <c r="D1913" s="279">
        <v>100000</v>
      </c>
      <c r="F1913" s="40">
        <v>2.0899999999999998E-2</v>
      </c>
      <c r="G1913" s="41">
        <v>42821</v>
      </c>
      <c r="H1913" s="41">
        <v>42912</v>
      </c>
      <c r="I1913" s="39">
        <v>13</v>
      </c>
      <c r="J1913" s="39" t="s">
        <v>369</v>
      </c>
      <c r="K1913" s="39" t="s">
        <v>1525</v>
      </c>
      <c r="L1913" s="39" t="s">
        <v>1014</v>
      </c>
      <c r="M1913" s="38" t="s">
        <v>1035</v>
      </c>
      <c r="N1913" s="38" t="s">
        <v>68</v>
      </c>
    </row>
    <row r="1914" spans="1:14" x14ac:dyDescent="0.2">
      <c r="A1914" s="38" t="s">
        <v>557</v>
      </c>
      <c r="B1914" s="38">
        <v>151810</v>
      </c>
      <c r="C1914" s="38" t="s">
        <v>2135</v>
      </c>
      <c r="D1914" s="279">
        <v>100000</v>
      </c>
      <c r="F1914" s="40">
        <v>2.5000000000000001E-2</v>
      </c>
      <c r="G1914" s="41">
        <v>42823</v>
      </c>
      <c r="H1914" s="41">
        <v>43187</v>
      </c>
      <c r="I1914" s="39">
        <v>52</v>
      </c>
      <c r="J1914" s="39" t="s">
        <v>369</v>
      </c>
      <c r="K1914" s="39" t="s">
        <v>1716</v>
      </c>
      <c r="L1914" s="39" t="s">
        <v>1014</v>
      </c>
      <c r="M1914" s="38" t="s">
        <v>557</v>
      </c>
      <c r="N1914" s="38" t="s">
        <v>918</v>
      </c>
    </row>
    <row r="1915" spans="1:14" x14ac:dyDescent="0.2">
      <c r="A1915" s="38" t="s">
        <v>557</v>
      </c>
      <c r="B1915" s="38">
        <v>151814</v>
      </c>
      <c r="C1915" s="38" t="s">
        <v>2136</v>
      </c>
      <c r="D1915" s="279">
        <v>100000</v>
      </c>
      <c r="F1915" s="40">
        <v>2.5499999999999998E-2</v>
      </c>
      <c r="G1915" s="41">
        <v>42823</v>
      </c>
      <c r="H1915" s="41">
        <v>43187</v>
      </c>
      <c r="I1915" s="39">
        <v>52</v>
      </c>
      <c r="J1915" s="39" t="s">
        <v>369</v>
      </c>
      <c r="K1915" s="39" t="s">
        <v>1716</v>
      </c>
      <c r="L1915" s="39" t="s">
        <v>1014</v>
      </c>
      <c r="M1915" s="38" t="s">
        <v>557</v>
      </c>
      <c r="N1915" s="38" t="s">
        <v>918</v>
      </c>
    </row>
    <row r="1916" spans="1:14" x14ac:dyDescent="0.2">
      <c r="A1916" s="38" t="s">
        <v>1015</v>
      </c>
      <c r="B1916" s="38">
        <v>100673</v>
      </c>
      <c r="C1916" s="38" t="s">
        <v>2137</v>
      </c>
      <c r="D1916" s="279">
        <v>100000</v>
      </c>
      <c r="F1916" s="40">
        <v>3.15E-2</v>
      </c>
      <c r="G1916" s="41">
        <v>42825</v>
      </c>
      <c r="H1916" s="41">
        <v>43921</v>
      </c>
      <c r="I1916" s="39">
        <v>3</v>
      </c>
      <c r="J1916" s="39" t="s">
        <v>1716</v>
      </c>
      <c r="K1916" s="39" t="s">
        <v>1716</v>
      </c>
      <c r="L1916" s="39" t="s">
        <v>1014</v>
      </c>
      <c r="M1916" s="38" t="s">
        <v>1015</v>
      </c>
      <c r="N1916" s="38" t="s">
        <v>640</v>
      </c>
    </row>
    <row r="1917" spans="1:14" x14ac:dyDescent="0.2">
      <c r="A1917" s="38" t="s">
        <v>1035</v>
      </c>
      <c r="B1917" s="38">
        <v>201491</v>
      </c>
      <c r="C1917" s="38" t="s">
        <v>2138</v>
      </c>
      <c r="D1917" s="279">
        <v>100000</v>
      </c>
      <c r="F1917" s="40">
        <v>2.3E-2</v>
      </c>
      <c r="G1917" s="41">
        <v>42807</v>
      </c>
      <c r="H1917" s="41">
        <v>43178</v>
      </c>
      <c r="I1917" s="39">
        <v>1</v>
      </c>
      <c r="J1917" s="39" t="s">
        <v>1716</v>
      </c>
      <c r="K1917" s="39" t="s">
        <v>1716</v>
      </c>
      <c r="L1917" s="39" t="s">
        <v>1014</v>
      </c>
      <c r="M1917" s="38" t="s">
        <v>1035</v>
      </c>
      <c r="N1917" s="38" t="s">
        <v>68</v>
      </c>
    </row>
    <row r="1918" spans="1:14" x14ac:dyDescent="0.2">
      <c r="A1918" s="38" t="s">
        <v>557</v>
      </c>
      <c r="B1918" s="38">
        <v>151819</v>
      </c>
      <c r="C1918" s="38" t="s">
        <v>2139</v>
      </c>
      <c r="D1918" s="279">
        <v>100000</v>
      </c>
      <c r="F1918" s="40">
        <v>2.5499999999999998E-2</v>
      </c>
      <c r="G1918" s="41">
        <v>42838</v>
      </c>
      <c r="H1918" s="41">
        <v>43202</v>
      </c>
      <c r="I1918" s="39">
        <v>52</v>
      </c>
      <c r="J1918" s="39" t="s">
        <v>369</v>
      </c>
      <c r="K1918" s="39" t="s">
        <v>1716</v>
      </c>
      <c r="L1918" s="39" t="s">
        <v>1014</v>
      </c>
      <c r="M1918" s="38" t="s">
        <v>557</v>
      </c>
      <c r="N1918" s="38" t="s">
        <v>1042</v>
      </c>
    </row>
    <row r="1919" spans="1:14" x14ac:dyDescent="0.2">
      <c r="A1919" s="38" t="s">
        <v>557</v>
      </c>
      <c r="B1919" s="38">
        <v>151820</v>
      </c>
      <c r="C1919" s="38" t="s">
        <v>2140</v>
      </c>
      <c r="D1919" s="279">
        <v>100000</v>
      </c>
      <c r="F1919" s="40">
        <v>2.75E-2</v>
      </c>
      <c r="G1919" s="41">
        <v>42838</v>
      </c>
      <c r="H1919" s="41">
        <v>43568</v>
      </c>
      <c r="I1919" s="39">
        <v>2</v>
      </c>
      <c r="J1919" s="39" t="s">
        <v>1716</v>
      </c>
      <c r="K1919" s="39" t="s">
        <v>1716</v>
      </c>
      <c r="L1919" s="39" t="s">
        <v>1014</v>
      </c>
      <c r="M1919" s="38" t="s">
        <v>557</v>
      </c>
      <c r="N1919" s="38" t="s">
        <v>1042</v>
      </c>
    </row>
    <row r="1920" spans="1:14" x14ac:dyDescent="0.2">
      <c r="A1920" s="38" t="s">
        <v>557</v>
      </c>
      <c r="B1920" s="38">
        <v>151818</v>
      </c>
      <c r="C1920" s="38" t="s">
        <v>2141</v>
      </c>
      <c r="D1920" s="279">
        <v>100000</v>
      </c>
      <c r="F1920" s="40">
        <v>2.3E-2</v>
      </c>
      <c r="G1920" s="41">
        <v>42838</v>
      </c>
      <c r="H1920" s="41">
        <v>42929</v>
      </c>
      <c r="I1920" s="39">
        <v>13</v>
      </c>
      <c r="J1920" s="39" t="s">
        <v>369</v>
      </c>
      <c r="K1920" s="39" t="s">
        <v>1525</v>
      </c>
      <c r="L1920" s="39" t="s">
        <v>1014</v>
      </c>
      <c r="M1920" s="38" t="s">
        <v>557</v>
      </c>
      <c r="N1920" s="38" t="s">
        <v>1042</v>
      </c>
    </row>
    <row r="1921" spans="1:22" x14ac:dyDescent="0.2">
      <c r="A1921" s="38" t="s">
        <v>557</v>
      </c>
      <c r="B1921" s="38">
        <v>151823</v>
      </c>
      <c r="C1921" s="38" t="s">
        <v>2142</v>
      </c>
      <c r="D1921" s="279">
        <v>100000</v>
      </c>
      <c r="F1921" s="40">
        <v>2.5499999999999998E-2</v>
      </c>
      <c r="G1921" s="41">
        <v>42843</v>
      </c>
      <c r="H1921" s="41">
        <v>43207</v>
      </c>
      <c r="I1921" s="39">
        <v>52</v>
      </c>
      <c r="J1921" s="39" t="s">
        <v>369</v>
      </c>
      <c r="K1921" s="39" t="s">
        <v>1716</v>
      </c>
      <c r="L1921" s="39" t="s">
        <v>1014</v>
      </c>
      <c r="M1921" s="38" t="s">
        <v>557</v>
      </c>
      <c r="N1921" s="38" t="s">
        <v>1042</v>
      </c>
    </row>
    <row r="1922" spans="1:22" x14ac:dyDescent="0.2">
      <c r="A1922" s="38" t="s">
        <v>557</v>
      </c>
      <c r="B1922" s="38">
        <v>151821</v>
      </c>
      <c r="C1922" s="38" t="s">
        <v>2143</v>
      </c>
      <c r="D1922" s="279">
        <v>100000</v>
      </c>
      <c r="F1922" s="40">
        <v>2.3E-2</v>
      </c>
      <c r="G1922" s="41">
        <v>42843</v>
      </c>
      <c r="H1922" s="41">
        <v>42934</v>
      </c>
      <c r="I1922" s="39">
        <v>13</v>
      </c>
      <c r="J1922" s="39" t="s">
        <v>369</v>
      </c>
      <c r="K1922" s="39" t="s">
        <v>1525</v>
      </c>
      <c r="L1922" s="39" t="s">
        <v>1014</v>
      </c>
      <c r="M1922" s="38" t="s">
        <v>557</v>
      </c>
      <c r="N1922" s="38" t="s">
        <v>1042</v>
      </c>
    </row>
    <row r="1923" spans="1:22" x14ac:dyDescent="0.2">
      <c r="A1923" s="38" t="s">
        <v>557</v>
      </c>
      <c r="B1923" s="38">
        <v>151824</v>
      </c>
      <c r="C1923" s="38" t="s">
        <v>2144</v>
      </c>
      <c r="D1923" s="279">
        <v>100000</v>
      </c>
      <c r="F1923" s="40">
        <v>2.75E-2</v>
      </c>
      <c r="G1923" s="41">
        <v>42843</v>
      </c>
      <c r="H1923" s="41">
        <v>43573</v>
      </c>
      <c r="I1923" s="39">
        <v>2</v>
      </c>
      <c r="J1923" s="39" t="s">
        <v>1716</v>
      </c>
      <c r="K1923" s="39" t="s">
        <v>1716</v>
      </c>
      <c r="L1923" s="39" t="s">
        <v>1014</v>
      </c>
      <c r="M1923" s="38" t="s">
        <v>557</v>
      </c>
      <c r="N1923" s="38" t="s">
        <v>1042</v>
      </c>
    </row>
    <row r="1924" spans="1:22" x14ac:dyDescent="0.2">
      <c r="A1924" s="38" t="s">
        <v>557</v>
      </c>
      <c r="B1924" s="38">
        <v>151830</v>
      </c>
      <c r="C1924" s="38" t="s">
        <v>2145</v>
      </c>
      <c r="D1924" s="279">
        <v>100000</v>
      </c>
      <c r="F1924" s="40">
        <v>2.75E-2</v>
      </c>
      <c r="G1924" s="41">
        <v>42857</v>
      </c>
      <c r="H1924" s="41">
        <v>43587</v>
      </c>
      <c r="I1924" s="39">
        <v>2</v>
      </c>
      <c r="J1924" s="39" t="s">
        <v>1716</v>
      </c>
      <c r="K1924" s="39" t="s">
        <v>1716</v>
      </c>
      <c r="L1924" s="39" t="s">
        <v>1014</v>
      </c>
      <c r="M1924" s="38" t="s">
        <v>557</v>
      </c>
      <c r="N1924" s="38" t="s">
        <v>1042</v>
      </c>
    </row>
    <row r="1925" spans="1:22" x14ac:dyDescent="0.2">
      <c r="A1925" s="38" t="s">
        <v>1035</v>
      </c>
      <c r="B1925" s="38">
        <v>201494</v>
      </c>
      <c r="C1925" s="38" t="s">
        <v>2146</v>
      </c>
      <c r="D1925" s="279">
        <v>100000</v>
      </c>
      <c r="F1925" s="40">
        <v>2.8000000000000001E-2</v>
      </c>
      <c r="G1925" s="41">
        <v>43193</v>
      </c>
      <c r="H1925" s="41">
        <v>45019</v>
      </c>
      <c r="I1925" s="39">
        <v>5</v>
      </c>
      <c r="J1925" s="39" t="s">
        <v>1716</v>
      </c>
      <c r="K1925" s="39" t="s">
        <v>1716</v>
      </c>
      <c r="L1925" s="39" t="s">
        <v>1014</v>
      </c>
      <c r="M1925" s="38" t="s">
        <v>1035</v>
      </c>
      <c r="N1925" s="38" t="s">
        <v>68</v>
      </c>
    </row>
    <row r="1926" spans="1:22" x14ac:dyDescent="0.2">
      <c r="A1926" s="38" t="s">
        <v>557</v>
      </c>
      <c r="B1926" s="38">
        <v>151826</v>
      </c>
      <c r="C1926" s="38" t="s">
        <v>2147</v>
      </c>
      <c r="D1926" s="279">
        <v>100000</v>
      </c>
      <c r="F1926" s="40">
        <v>3.3000000000000002E-2</v>
      </c>
      <c r="G1926" s="41">
        <v>42850</v>
      </c>
      <c r="H1926" s="41">
        <v>44676</v>
      </c>
      <c r="I1926" s="39">
        <v>5</v>
      </c>
      <c r="J1926" s="39" t="s">
        <v>1716</v>
      </c>
      <c r="K1926" s="39" t="s">
        <v>1716</v>
      </c>
      <c r="L1926" s="39" t="s">
        <v>1014</v>
      </c>
      <c r="M1926" s="38" t="s">
        <v>557</v>
      </c>
      <c r="N1926" s="38" t="s">
        <v>1473</v>
      </c>
    </row>
    <row r="1927" spans="1:22" x14ac:dyDescent="0.2">
      <c r="A1927" s="38" t="s">
        <v>557</v>
      </c>
      <c r="B1927" s="38">
        <v>151837</v>
      </c>
      <c r="C1927" s="38" t="s">
        <v>2148</v>
      </c>
      <c r="D1927" s="279">
        <v>100000</v>
      </c>
      <c r="F1927" s="40">
        <v>2.2499999999999999E-2</v>
      </c>
      <c r="G1927" s="41">
        <v>42878</v>
      </c>
      <c r="H1927" s="41">
        <v>42970</v>
      </c>
      <c r="I1927" s="39">
        <v>13</v>
      </c>
      <c r="J1927" s="39" t="s">
        <v>369</v>
      </c>
      <c r="K1927" s="39" t="s">
        <v>1716</v>
      </c>
      <c r="L1927" s="39" t="s">
        <v>1014</v>
      </c>
      <c r="M1927" s="38" t="s">
        <v>557</v>
      </c>
      <c r="N1927" s="38" t="s">
        <v>1481</v>
      </c>
    </row>
    <row r="1928" spans="1:22" x14ac:dyDescent="0.2">
      <c r="A1928" s="38" t="s">
        <v>557</v>
      </c>
      <c r="B1928" s="38">
        <v>151838</v>
      </c>
      <c r="C1928" s="38" t="s">
        <v>2149</v>
      </c>
      <c r="D1928" s="279">
        <v>100000</v>
      </c>
      <c r="F1928" s="40">
        <v>2.3E-2</v>
      </c>
      <c r="G1928" s="41">
        <v>42878</v>
      </c>
      <c r="H1928" s="41">
        <v>43062</v>
      </c>
      <c r="I1928" s="39">
        <v>26</v>
      </c>
      <c r="J1928" s="39" t="s">
        <v>369</v>
      </c>
      <c r="K1928" s="39" t="s">
        <v>1716</v>
      </c>
      <c r="L1928" s="39" t="s">
        <v>1014</v>
      </c>
      <c r="M1928" s="38" t="s">
        <v>557</v>
      </c>
      <c r="N1928" s="38" t="s">
        <v>1481</v>
      </c>
    </row>
    <row r="1929" spans="1:22" x14ac:dyDescent="0.2">
      <c r="A1929" s="38" t="s">
        <v>557</v>
      </c>
      <c r="B1929" s="38">
        <v>151836</v>
      </c>
      <c r="C1929" s="38" t="s">
        <v>2150</v>
      </c>
      <c r="D1929" s="279">
        <v>100000</v>
      </c>
      <c r="F1929" s="40">
        <v>2.2499999999999999E-2</v>
      </c>
      <c r="G1929" s="41">
        <v>42879</v>
      </c>
      <c r="H1929" s="41">
        <v>42982</v>
      </c>
      <c r="I1929" s="39">
        <v>15</v>
      </c>
      <c r="J1929" s="39" t="s">
        <v>369</v>
      </c>
      <c r="K1929" s="39" t="s">
        <v>1716</v>
      </c>
      <c r="L1929" s="39" t="s">
        <v>1014</v>
      </c>
      <c r="M1929" s="38" t="s">
        <v>557</v>
      </c>
      <c r="N1929" s="38" t="s">
        <v>916</v>
      </c>
    </row>
    <row r="1930" spans="1:22" x14ac:dyDescent="0.2">
      <c r="A1930" s="38" t="s">
        <v>557</v>
      </c>
      <c r="B1930" s="38">
        <v>151835</v>
      </c>
      <c r="C1930" s="38" t="s">
        <v>2151</v>
      </c>
      <c r="D1930" s="279">
        <v>100000</v>
      </c>
      <c r="F1930" s="40">
        <v>2.3E-2</v>
      </c>
      <c r="G1930" s="41">
        <v>42879</v>
      </c>
      <c r="H1930" s="41">
        <v>43073</v>
      </c>
      <c r="I1930" s="39">
        <v>28</v>
      </c>
      <c r="J1930" s="39" t="s">
        <v>369</v>
      </c>
      <c r="K1930" s="39" t="s">
        <v>1716</v>
      </c>
      <c r="L1930" s="39" t="s">
        <v>1014</v>
      </c>
      <c r="M1930" s="38" t="s">
        <v>557</v>
      </c>
      <c r="N1930" s="38" t="s">
        <v>916</v>
      </c>
    </row>
    <row r="1931" spans="1:22" x14ac:dyDescent="0.2">
      <c r="A1931" s="38" t="s">
        <v>557</v>
      </c>
      <c r="B1931" s="38">
        <v>151843</v>
      </c>
      <c r="C1931" s="38" t="s">
        <v>2152</v>
      </c>
      <c r="D1931" s="279">
        <v>100000</v>
      </c>
      <c r="F1931" s="40">
        <v>2.3E-2</v>
      </c>
      <c r="G1931" s="41">
        <v>42888</v>
      </c>
      <c r="H1931" s="41">
        <v>42979</v>
      </c>
      <c r="I1931" s="39">
        <v>13</v>
      </c>
      <c r="J1931" s="39" t="s">
        <v>369</v>
      </c>
      <c r="K1931" s="39" t="s">
        <v>1525</v>
      </c>
      <c r="L1931" s="39" t="s">
        <v>1014</v>
      </c>
      <c r="M1931" s="38" t="s">
        <v>557</v>
      </c>
      <c r="N1931" s="38" t="s">
        <v>1042</v>
      </c>
    </row>
    <row r="1932" spans="1:22" x14ac:dyDescent="0.2">
      <c r="A1932" s="38" t="s">
        <v>557</v>
      </c>
      <c r="B1932" s="38">
        <v>151844</v>
      </c>
      <c r="C1932" s="38" t="s">
        <v>2153</v>
      </c>
      <c r="D1932" s="279">
        <v>100000</v>
      </c>
      <c r="F1932" s="40">
        <v>2.5499999999999998E-2</v>
      </c>
      <c r="G1932" s="41">
        <v>42888</v>
      </c>
      <c r="H1932" s="41">
        <v>43252</v>
      </c>
      <c r="I1932" s="39">
        <v>52</v>
      </c>
      <c r="J1932" s="39" t="s">
        <v>369</v>
      </c>
      <c r="K1932" s="39" t="s">
        <v>1716</v>
      </c>
      <c r="L1932" s="39" t="s">
        <v>1014</v>
      </c>
      <c r="M1932" s="38" t="s">
        <v>557</v>
      </c>
      <c r="N1932" s="38" t="s">
        <v>1042</v>
      </c>
    </row>
    <row r="1933" spans="1:22" x14ac:dyDescent="0.2">
      <c r="A1933" s="38" t="s">
        <v>557</v>
      </c>
      <c r="B1933" s="38">
        <v>151845</v>
      </c>
      <c r="C1933" s="38" t="s">
        <v>2154</v>
      </c>
      <c r="D1933" s="279">
        <v>100000</v>
      </c>
      <c r="F1933" s="40">
        <v>2.8199999999999999E-2</v>
      </c>
      <c r="G1933" s="41">
        <v>42888</v>
      </c>
      <c r="H1933" s="41">
        <v>43618</v>
      </c>
      <c r="I1933" s="39">
        <v>2</v>
      </c>
      <c r="J1933" s="39" t="s">
        <v>1716</v>
      </c>
      <c r="K1933" s="39" t="s">
        <v>1716</v>
      </c>
      <c r="L1933" s="39" t="s">
        <v>1014</v>
      </c>
      <c r="M1933" s="38" t="s">
        <v>557</v>
      </c>
      <c r="N1933" s="38" t="s">
        <v>1042</v>
      </c>
    </row>
    <row r="1934" spans="1:22" x14ac:dyDescent="0.2">
      <c r="A1934" s="38">
        <v>141095</v>
      </c>
      <c r="B1934" s="38">
        <v>151846</v>
      </c>
      <c r="C1934" s="38" t="s">
        <v>2154</v>
      </c>
      <c r="D1934" s="279">
        <v>100001</v>
      </c>
      <c r="F1934" s="40">
        <v>1.0282</v>
      </c>
      <c r="G1934" s="41">
        <v>42888</v>
      </c>
      <c r="H1934" s="41">
        <v>43618</v>
      </c>
      <c r="I1934" s="39">
        <v>3</v>
      </c>
      <c r="J1934" s="39" t="s">
        <v>1716</v>
      </c>
      <c r="K1934" s="39" t="s">
        <v>1716</v>
      </c>
      <c r="L1934" s="39" t="s">
        <v>1014</v>
      </c>
      <c r="M1934" s="38" t="s">
        <v>557</v>
      </c>
      <c r="N1934" s="38" t="s">
        <v>1042</v>
      </c>
      <c r="T1934" s="37">
        <v>8.0000000000000004E-4</v>
      </c>
      <c r="V1934" s="844">
        <v>0</v>
      </c>
    </row>
    <row r="1935" spans="1:22" x14ac:dyDescent="0.2">
      <c r="A1935" s="38" t="s">
        <v>557</v>
      </c>
      <c r="B1935" s="38">
        <v>151751</v>
      </c>
      <c r="C1935" s="38" t="s">
        <v>2156</v>
      </c>
      <c r="D1935" s="279">
        <v>100000</v>
      </c>
      <c r="F1935" s="40">
        <v>2.5499999999999998E-2</v>
      </c>
      <c r="G1935" s="41">
        <v>42569</v>
      </c>
      <c r="H1935" s="41">
        <v>42933</v>
      </c>
      <c r="I1935" s="39">
        <v>52</v>
      </c>
      <c r="J1935" s="39" t="s">
        <v>369</v>
      </c>
      <c r="K1935" s="39" t="s">
        <v>1716</v>
      </c>
      <c r="L1935" s="39" t="s">
        <v>1014</v>
      </c>
      <c r="M1935" s="38" t="s">
        <v>557</v>
      </c>
      <c r="N1935" s="38" t="s">
        <v>1481</v>
      </c>
    </row>
    <row r="1936" spans="1:22" x14ac:dyDescent="0.2">
      <c r="A1936" s="38" t="s">
        <v>557</v>
      </c>
      <c r="B1936" s="38">
        <v>151724</v>
      </c>
      <c r="C1936" s="38" t="s">
        <v>2157</v>
      </c>
      <c r="D1936" s="279">
        <v>100000</v>
      </c>
      <c r="F1936" s="40">
        <v>3.5499999999999997E-2</v>
      </c>
      <c r="G1936" s="41">
        <v>42444</v>
      </c>
      <c r="H1936" s="41">
        <v>44270</v>
      </c>
      <c r="I1936" s="39">
        <v>5</v>
      </c>
      <c r="J1936" s="39" t="s">
        <v>1716</v>
      </c>
      <c r="K1936" s="39" t="s">
        <v>1716</v>
      </c>
      <c r="L1936" s="39" t="s">
        <v>1014</v>
      </c>
      <c r="M1936" s="38" t="s">
        <v>557</v>
      </c>
      <c r="N1936" s="38" t="s">
        <v>2158</v>
      </c>
    </row>
    <row r="1937" spans="1:14" x14ac:dyDescent="0.2">
      <c r="A1937" s="38" t="s">
        <v>557</v>
      </c>
      <c r="B1937" s="38">
        <v>151682</v>
      </c>
      <c r="C1937" s="38" t="s">
        <v>2159</v>
      </c>
      <c r="D1937" s="279">
        <v>100000</v>
      </c>
      <c r="F1937" s="40">
        <v>3.2800000000000003E-2</v>
      </c>
      <c r="G1937" s="41">
        <v>42208</v>
      </c>
      <c r="H1937" s="41">
        <v>43304</v>
      </c>
      <c r="I1937" s="39">
        <v>3</v>
      </c>
      <c r="J1937" s="39" t="s">
        <v>1716</v>
      </c>
      <c r="K1937" s="39" t="s">
        <v>1716</v>
      </c>
      <c r="L1937" s="39" t="s">
        <v>1014</v>
      </c>
      <c r="M1937" s="38" t="s">
        <v>557</v>
      </c>
      <c r="N1937" s="38" t="s">
        <v>1481</v>
      </c>
    </row>
    <row r="1938" spans="1:14" x14ac:dyDescent="0.2">
      <c r="A1938" s="38" t="s">
        <v>557</v>
      </c>
      <c r="B1938" s="38">
        <v>151686</v>
      </c>
      <c r="C1938" s="38" t="s">
        <v>2160</v>
      </c>
      <c r="D1938" s="279">
        <v>100000</v>
      </c>
      <c r="F1938" s="40">
        <v>3.1199999999999999E-2</v>
      </c>
      <c r="G1938" s="41">
        <v>42265</v>
      </c>
      <c r="H1938" s="41">
        <v>42996</v>
      </c>
      <c r="I1938" s="39">
        <v>2</v>
      </c>
      <c r="J1938" s="39" t="s">
        <v>1716</v>
      </c>
      <c r="K1938" s="39" t="s">
        <v>1716</v>
      </c>
      <c r="L1938" s="39" t="s">
        <v>1014</v>
      </c>
      <c r="M1938" s="38" t="s">
        <v>557</v>
      </c>
      <c r="N1938" s="38" t="s">
        <v>1481</v>
      </c>
    </row>
    <row r="1939" spans="1:14" x14ac:dyDescent="0.2">
      <c r="A1939" s="38" t="s">
        <v>1803</v>
      </c>
      <c r="B1939" s="38">
        <v>9211</v>
      </c>
      <c r="C1939" s="38" t="s">
        <v>2161</v>
      </c>
      <c r="D1939" s="279">
        <v>100000</v>
      </c>
      <c r="F1939" s="40">
        <v>5.9499999999999997E-2</v>
      </c>
      <c r="G1939" s="41">
        <v>41729</v>
      </c>
      <c r="H1939" s="41">
        <v>43555</v>
      </c>
      <c r="I1939" s="39">
        <v>5</v>
      </c>
      <c r="J1939" s="39" t="s">
        <v>1716</v>
      </c>
      <c r="K1939" s="39" t="s">
        <v>1716</v>
      </c>
      <c r="L1939" s="39" t="s">
        <v>1014</v>
      </c>
      <c r="M1939" s="38" t="s">
        <v>1803</v>
      </c>
      <c r="N1939" s="38" t="s">
        <v>2162</v>
      </c>
    </row>
    <row r="1940" spans="1:14" x14ac:dyDescent="0.2">
      <c r="A1940" s="38" t="s">
        <v>557</v>
      </c>
      <c r="B1940" s="38">
        <v>151617</v>
      </c>
      <c r="C1940" s="38" t="s">
        <v>2163</v>
      </c>
      <c r="D1940" s="279">
        <v>100000</v>
      </c>
      <c r="F1940" s="40">
        <v>3.6299999999999999E-2</v>
      </c>
      <c r="G1940" s="41">
        <v>42733</v>
      </c>
      <c r="H1940" s="41">
        <v>43098</v>
      </c>
      <c r="I1940" s="39">
        <v>52</v>
      </c>
      <c r="J1940" s="39" t="s">
        <v>369</v>
      </c>
      <c r="K1940" s="39" t="s">
        <v>1716</v>
      </c>
      <c r="L1940" s="39" t="s">
        <v>1014</v>
      </c>
      <c r="M1940" s="38" t="s">
        <v>557</v>
      </c>
      <c r="N1940" s="38" t="s">
        <v>1094</v>
      </c>
    </row>
    <row r="1941" spans="1:14" x14ac:dyDescent="0.2">
      <c r="A1941" s="38" t="s">
        <v>1803</v>
      </c>
      <c r="B1941" s="38">
        <v>9099</v>
      </c>
      <c r="C1941" s="38" t="s">
        <v>2164</v>
      </c>
      <c r="D1941" s="279">
        <v>100000</v>
      </c>
      <c r="F1941" s="40">
        <v>5.1200000000000002E-2</v>
      </c>
      <c r="G1941" s="41">
        <v>40203</v>
      </c>
      <c r="H1941" s="41">
        <v>45682</v>
      </c>
      <c r="I1941" s="39">
        <v>15</v>
      </c>
      <c r="J1941" s="39" t="s">
        <v>1716</v>
      </c>
      <c r="K1941" s="39" t="s">
        <v>1716</v>
      </c>
      <c r="L1941" s="39" t="s">
        <v>1014</v>
      </c>
      <c r="M1941" s="38" t="s">
        <v>1803</v>
      </c>
      <c r="N1941" s="38" t="s">
        <v>1889</v>
      </c>
    </row>
    <row r="1942" spans="1:14" x14ac:dyDescent="0.2">
      <c r="A1942" s="38" t="s">
        <v>557</v>
      </c>
      <c r="B1942" s="38">
        <v>151741</v>
      </c>
      <c r="C1942" s="38" t="s">
        <v>2165</v>
      </c>
      <c r="D1942" s="279">
        <v>100000</v>
      </c>
      <c r="F1942" s="40">
        <v>2.81E-2</v>
      </c>
      <c r="G1942" s="41">
        <v>42521</v>
      </c>
      <c r="H1942" s="41">
        <v>44347</v>
      </c>
      <c r="I1942" s="39">
        <v>5</v>
      </c>
      <c r="J1942" s="39" t="s">
        <v>1716</v>
      </c>
      <c r="K1942" s="39" t="s">
        <v>1716</v>
      </c>
      <c r="L1942" s="39" t="s">
        <v>1014</v>
      </c>
      <c r="M1942" s="38" t="s">
        <v>557</v>
      </c>
      <c r="N1942" s="38" t="s">
        <v>1050</v>
      </c>
    </row>
    <row r="1943" spans="1:14" x14ac:dyDescent="0.2">
      <c r="A1943" s="38" t="s">
        <v>1015</v>
      </c>
      <c r="B1943" s="38">
        <v>100683</v>
      </c>
      <c r="C1943" s="38" t="s">
        <v>2166</v>
      </c>
      <c r="D1943" s="279">
        <v>100000</v>
      </c>
      <c r="F1943" s="40">
        <v>3.1399999999999997E-2</v>
      </c>
      <c r="G1943" s="41">
        <v>42906</v>
      </c>
      <c r="H1943" s="41">
        <v>44002</v>
      </c>
      <c r="I1943" s="39">
        <v>3</v>
      </c>
      <c r="J1943" s="39" t="s">
        <v>1716</v>
      </c>
      <c r="K1943" s="39" t="s">
        <v>1716</v>
      </c>
      <c r="L1943" s="39" t="s">
        <v>1014</v>
      </c>
      <c r="M1943" s="38" t="s">
        <v>1015</v>
      </c>
      <c r="N1943" s="38" t="s">
        <v>640</v>
      </c>
    </row>
    <row r="1944" spans="1:14" x14ac:dyDescent="0.2">
      <c r="A1944" s="38" t="s">
        <v>1015</v>
      </c>
      <c r="B1944" s="38">
        <v>100682</v>
      </c>
      <c r="C1944" s="38" t="s">
        <v>2167</v>
      </c>
      <c r="D1944" s="279">
        <v>100000</v>
      </c>
      <c r="F1944" s="40">
        <v>2.8500000000000001E-2</v>
      </c>
      <c r="G1944" s="41">
        <v>42906</v>
      </c>
      <c r="H1944" s="41">
        <v>43636</v>
      </c>
      <c r="I1944" s="39">
        <v>2</v>
      </c>
      <c r="J1944" s="39" t="s">
        <v>1716</v>
      </c>
      <c r="K1944" s="39" t="s">
        <v>1716</v>
      </c>
      <c r="L1944" s="39" t="s">
        <v>1014</v>
      </c>
      <c r="M1944" s="38" t="s">
        <v>1015</v>
      </c>
      <c r="N1944" s="38" t="s">
        <v>1226</v>
      </c>
    </row>
    <row r="1945" spans="1:14" x14ac:dyDescent="0.2">
      <c r="A1945" s="38" t="s">
        <v>557</v>
      </c>
      <c r="B1945" s="38">
        <v>151848</v>
      </c>
      <c r="C1945" s="38" t="s">
        <v>2168</v>
      </c>
      <c r="D1945" s="279">
        <v>100000</v>
      </c>
      <c r="F1945" s="40">
        <v>2.5499999999999998E-2</v>
      </c>
      <c r="G1945" s="41">
        <v>42909</v>
      </c>
      <c r="H1945" s="41">
        <v>43273</v>
      </c>
      <c r="I1945" s="39">
        <v>52</v>
      </c>
      <c r="J1945" s="39" t="s">
        <v>369</v>
      </c>
      <c r="K1945" s="39" t="s">
        <v>1716</v>
      </c>
      <c r="L1945" s="39" t="s">
        <v>1014</v>
      </c>
      <c r="M1945" s="38" t="s">
        <v>557</v>
      </c>
      <c r="N1945" s="38" t="s">
        <v>918</v>
      </c>
    </row>
    <row r="1946" spans="1:14" x14ac:dyDescent="0.2">
      <c r="A1946" s="38" t="s">
        <v>1803</v>
      </c>
      <c r="B1946" s="38">
        <v>9329</v>
      </c>
      <c r="C1946" s="38" t="s">
        <v>2169</v>
      </c>
      <c r="D1946" s="279">
        <v>100000</v>
      </c>
      <c r="F1946" s="40">
        <v>7.0499999999999993E-2</v>
      </c>
      <c r="G1946" s="41">
        <v>42909</v>
      </c>
      <c r="H1946" s="41">
        <v>46561</v>
      </c>
      <c r="I1946" s="39">
        <v>10</v>
      </c>
      <c r="J1946" s="39" t="s">
        <v>1716</v>
      </c>
      <c r="K1946" s="39" t="s">
        <v>1716</v>
      </c>
      <c r="L1946" s="39" t="s">
        <v>1014</v>
      </c>
      <c r="M1946" s="38" t="s">
        <v>1803</v>
      </c>
      <c r="N1946" s="38" t="s">
        <v>1042</v>
      </c>
    </row>
    <row r="1947" spans="1:14" x14ac:dyDescent="0.2">
      <c r="A1947" s="38" t="s">
        <v>1803</v>
      </c>
      <c r="B1947" s="38">
        <v>9331</v>
      </c>
      <c r="C1947" s="38" t="s">
        <v>2170</v>
      </c>
      <c r="D1947" s="279">
        <v>100000</v>
      </c>
      <c r="F1947" s="40">
        <v>3.6299999999999999E-2</v>
      </c>
      <c r="G1947" s="41">
        <v>42915</v>
      </c>
      <c r="H1947" s="41">
        <v>45472</v>
      </c>
      <c r="I1947" s="39">
        <v>7</v>
      </c>
      <c r="J1947" s="39" t="s">
        <v>1716</v>
      </c>
      <c r="K1947" s="39" t="s">
        <v>1716</v>
      </c>
      <c r="L1947" s="39" t="s">
        <v>1014</v>
      </c>
      <c r="M1947" s="38" t="s">
        <v>1803</v>
      </c>
      <c r="N1947" s="38" t="s">
        <v>1481</v>
      </c>
    </row>
    <row r="1948" spans="1:14" x14ac:dyDescent="0.2">
      <c r="A1948" s="38" t="s">
        <v>1803</v>
      </c>
      <c r="B1948" s="38">
        <v>9332</v>
      </c>
      <c r="C1948" s="38" t="s">
        <v>2171</v>
      </c>
      <c r="D1948" s="279">
        <v>100000</v>
      </c>
      <c r="F1948" s="40">
        <v>2.9100000000000001E-2</v>
      </c>
      <c r="G1948" s="41">
        <v>43280</v>
      </c>
      <c r="H1948" s="41">
        <v>43645</v>
      </c>
      <c r="I1948" s="39">
        <v>52</v>
      </c>
      <c r="J1948" s="39" t="s">
        <v>369</v>
      </c>
      <c r="K1948" s="39" t="s">
        <v>1716</v>
      </c>
      <c r="L1948" s="39" t="s">
        <v>1014</v>
      </c>
      <c r="M1948" s="38" t="s">
        <v>1803</v>
      </c>
      <c r="N1948" s="38" t="s">
        <v>1481</v>
      </c>
    </row>
    <row r="1949" spans="1:14" x14ac:dyDescent="0.2">
      <c r="A1949" s="38" t="s">
        <v>1803</v>
      </c>
      <c r="B1949" s="38">
        <v>9334</v>
      </c>
      <c r="C1949" s="38" t="s">
        <v>2172</v>
      </c>
      <c r="D1949" s="279">
        <v>100000</v>
      </c>
      <c r="F1949" s="40">
        <v>3.6299999999999999E-2</v>
      </c>
      <c r="G1949" s="41">
        <v>42915</v>
      </c>
      <c r="H1949" s="41">
        <v>45472</v>
      </c>
      <c r="I1949" s="39">
        <v>7</v>
      </c>
      <c r="J1949" s="39" t="s">
        <v>1716</v>
      </c>
      <c r="K1949" s="39" t="s">
        <v>1716</v>
      </c>
      <c r="L1949" s="39" t="s">
        <v>1014</v>
      </c>
      <c r="M1949" s="38" t="s">
        <v>1803</v>
      </c>
      <c r="N1949" s="38" t="s">
        <v>597</v>
      </c>
    </row>
    <row r="1950" spans="1:14" x14ac:dyDescent="0.2">
      <c r="A1950" s="38" t="s">
        <v>1035</v>
      </c>
      <c r="B1950" s="38">
        <v>201500</v>
      </c>
      <c r="C1950" s="38" t="s">
        <v>2173</v>
      </c>
      <c r="D1950" s="279">
        <v>100000</v>
      </c>
      <c r="F1950" s="40">
        <v>2.4E-2</v>
      </c>
      <c r="G1950" s="41">
        <v>42898</v>
      </c>
      <c r="H1950" s="41">
        <v>43633</v>
      </c>
      <c r="I1950" s="39">
        <v>2</v>
      </c>
      <c r="J1950" s="39" t="s">
        <v>1716</v>
      </c>
      <c r="K1950" s="39" t="s">
        <v>1716</v>
      </c>
      <c r="L1950" s="39" t="s">
        <v>1014</v>
      </c>
      <c r="M1950" s="38" t="s">
        <v>1035</v>
      </c>
      <c r="N1950" s="38" t="s">
        <v>68</v>
      </c>
    </row>
    <row r="1951" spans="1:14" x14ac:dyDescent="0.2">
      <c r="A1951" s="38" t="s">
        <v>1803</v>
      </c>
      <c r="B1951" s="38">
        <v>9218</v>
      </c>
      <c r="C1951" s="38" t="s">
        <v>2174</v>
      </c>
      <c r="D1951" s="279">
        <v>100000</v>
      </c>
      <c r="F1951" s="40">
        <v>5.2200000000000003E-2</v>
      </c>
      <c r="G1951" s="41">
        <v>41829</v>
      </c>
      <c r="H1951" s="41">
        <v>43655</v>
      </c>
      <c r="I1951" s="39">
        <v>5</v>
      </c>
      <c r="J1951" s="39" t="s">
        <v>1716</v>
      </c>
      <c r="K1951" s="39" t="s">
        <v>1716</v>
      </c>
      <c r="L1951" s="39" t="s">
        <v>1014</v>
      </c>
      <c r="M1951" s="38" t="s">
        <v>1803</v>
      </c>
      <c r="N1951" s="38" t="s">
        <v>2175</v>
      </c>
    </row>
    <row r="1952" spans="1:14" x14ac:dyDescent="0.2">
      <c r="A1952" s="38" t="s">
        <v>557</v>
      </c>
      <c r="B1952" s="38">
        <v>151847</v>
      </c>
      <c r="C1952" s="38" t="s">
        <v>2176</v>
      </c>
      <c r="D1952" s="279">
        <v>100000</v>
      </c>
      <c r="F1952" s="40">
        <v>2.63E-2</v>
      </c>
      <c r="G1952" s="41">
        <v>42905</v>
      </c>
      <c r="H1952" s="41">
        <v>43087</v>
      </c>
      <c r="I1952" s="39">
        <v>26</v>
      </c>
      <c r="J1952" s="39" t="s">
        <v>369</v>
      </c>
      <c r="K1952" s="39" t="s">
        <v>369</v>
      </c>
      <c r="L1952" s="39" t="s">
        <v>1014</v>
      </c>
      <c r="M1952" s="38" t="s">
        <v>557</v>
      </c>
      <c r="N1952" s="38" t="s">
        <v>1042</v>
      </c>
    </row>
    <row r="1953" spans="1:14" x14ac:dyDescent="0.2">
      <c r="A1953" s="38" t="s">
        <v>557</v>
      </c>
      <c r="B1953" s="38">
        <v>151855</v>
      </c>
      <c r="C1953" s="38" t="s">
        <v>2177</v>
      </c>
      <c r="D1953" s="279">
        <v>100000</v>
      </c>
      <c r="F1953" s="40">
        <v>2.4E-2</v>
      </c>
      <c r="G1953" s="41">
        <v>42936</v>
      </c>
      <c r="H1953" s="41">
        <v>43132</v>
      </c>
      <c r="I1953" s="39">
        <v>26</v>
      </c>
      <c r="J1953" s="39" t="s">
        <v>369</v>
      </c>
      <c r="K1953" s="39" t="s">
        <v>369</v>
      </c>
      <c r="L1953" s="39" t="s">
        <v>1014</v>
      </c>
      <c r="M1953" s="38" t="s">
        <v>557</v>
      </c>
      <c r="N1953" s="38" t="s">
        <v>916</v>
      </c>
    </row>
    <row r="1954" spans="1:14" x14ac:dyDescent="0.2">
      <c r="A1954" s="38" t="s">
        <v>557</v>
      </c>
      <c r="B1954" s="38">
        <v>151858</v>
      </c>
      <c r="C1954" s="38" t="s">
        <v>2178</v>
      </c>
      <c r="D1954" s="279">
        <v>100000</v>
      </c>
      <c r="F1954" s="40">
        <v>2.8500000000000001E-2</v>
      </c>
      <c r="G1954" s="41">
        <v>42947</v>
      </c>
      <c r="H1954" s="41">
        <v>43677</v>
      </c>
      <c r="I1954" s="39">
        <v>2</v>
      </c>
      <c r="J1954" s="39" t="s">
        <v>1716</v>
      </c>
      <c r="K1954" s="39" t="s">
        <v>1716</v>
      </c>
      <c r="L1954" s="39" t="s">
        <v>1014</v>
      </c>
      <c r="M1954" s="38" t="s">
        <v>557</v>
      </c>
      <c r="N1954" s="38" t="s">
        <v>1473</v>
      </c>
    </row>
    <row r="1955" spans="1:14" x14ac:dyDescent="0.2">
      <c r="A1955" s="38" t="s">
        <v>1015</v>
      </c>
      <c r="B1955" s="38">
        <v>100686</v>
      </c>
      <c r="C1955" s="38" t="s">
        <v>2179</v>
      </c>
      <c r="D1955" s="279">
        <v>100000</v>
      </c>
      <c r="F1955" s="40">
        <v>2.8799999999999999E-2</v>
      </c>
      <c r="G1955" s="41">
        <v>42950</v>
      </c>
      <c r="H1955" s="41">
        <v>43680</v>
      </c>
      <c r="I1955" s="39">
        <v>2</v>
      </c>
      <c r="J1955" s="39" t="s">
        <v>1716</v>
      </c>
      <c r="K1955" s="39" t="s">
        <v>1716</v>
      </c>
      <c r="L1955" s="39" t="s">
        <v>1014</v>
      </c>
      <c r="M1955" s="38" t="s">
        <v>1015</v>
      </c>
      <c r="N1955" s="38" t="s">
        <v>1226</v>
      </c>
    </row>
    <row r="1956" spans="1:14" x14ac:dyDescent="0.2">
      <c r="A1956" s="38" t="s">
        <v>1035</v>
      </c>
      <c r="B1956" s="38">
        <v>201502</v>
      </c>
      <c r="C1956" s="38" t="s">
        <v>2180</v>
      </c>
      <c r="D1956" s="279">
        <v>100000</v>
      </c>
      <c r="F1956" s="40">
        <v>2.4500000000000001E-2</v>
      </c>
      <c r="G1956" s="41">
        <v>42954</v>
      </c>
      <c r="H1956" s="41">
        <v>43724</v>
      </c>
      <c r="I1956" s="39">
        <v>2</v>
      </c>
      <c r="J1956" s="39" t="s">
        <v>1716</v>
      </c>
      <c r="K1956" s="39" t="s">
        <v>1716</v>
      </c>
      <c r="L1956" s="39" t="s">
        <v>1014</v>
      </c>
      <c r="M1956" s="38" t="s">
        <v>1035</v>
      </c>
      <c r="N1956" s="38" t="s">
        <v>68</v>
      </c>
    </row>
    <row r="1957" spans="1:14" x14ac:dyDescent="0.2">
      <c r="A1957" s="38" t="s">
        <v>557</v>
      </c>
      <c r="B1957" s="38">
        <v>151723</v>
      </c>
      <c r="C1957" s="38" t="s">
        <v>2181</v>
      </c>
      <c r="D1957" s="279">
        <v>100000</v>
      </c>
      <c r="F1957" s="40">
        <v>0.03</v>
      </c>
      <c r="G1957" s="41">
        <v>42425</v>
      </c>
      <c r="H1957" s="41">
        <v>43521</v>
      </c>
      <c r="I1957" s="39">
        <v>3</v>
      </c>
      <c r="J1957" s="39" t="s">
        <v>1716</v>
      </c>
      <c r="K1957" s="39" t="s">
        <v>1716</v>
      </c>
      <c r="L1957" s="39" t="s">
        <v>1014</v>
      </c>
      <c r="M1957" s="38" t="s">
        <v>557</v>
      </c>
      <c r="N1957" s="38" t="s">
        <v>1481</v>
      </c>
    </row>
    <row r="1958" spans="1:14" x14ac:dyDescent="0.2">
      <c r="A1958" s="38" t="s">
        <v>1015</v>
      </c>
      <c r="B1958" s="38">
        <v>100687</v>
      </c>
      <c r="C1958" s="38" t="s">
        <v>2182</v>
      </c>
      <c r="D1958" s="279">
        <v>100000</v>
      </c>
      <c r="F1958" s="40">
        <v>3.0599999999999999E-2</v>
      </c>
      <c r="G1958" s="41">
        <v>42975</v>
      </c>
      <c r="H1958" s="41">
        <v>44071</v>
      </c>
      <c r="I1958" s="39">
        <v>3</v>
      </c>
      <c r="J1958" s="39" t="s">
        <v>1716</v>
      </c>
      <c r="K1958" s="39" t="s">
        <v>1716</v>
      </c>
      <c r="L1958" s="39" t="s">
        <v>1014</v>
      </c>
      <c r="M1958" s="38" t="s">
        <v>1015</v>
      </c>
      <c r="N1958" s="38" t="s">
        <v>1226</v>
      </c>
    </row>
    <row r="1959" spans="1:14" x14ac:dyDescent="0.2">
      <c r="A1959" s="38" t="s">
        <v>557</v>
      </c>
      <c r="B1959" s="38">
        <v>151846</v>
      </c>
      <c r="C1959" s="38" t="s">
        <v>2183</v>
      </c>
      <c r="D1959" s="279">
        <v>100000</v>
      </c>
      <c r="F1959" s="40">
        <v>2.63E-2</v>
      </c>
      <c r="G1959" s="41">
        <v>42892</v>
      </c>
      <c r="H1959" s="41">
        <v>43074</v>
      </c>
      <c r="I1959" s="39">
        <v>26</v>
      </c>
      <c r="J1959" s="39" t="s">
        <v>369</v>
      </c>
      <c r="K1959" s="39" t="s">
        <v>369</v>
      </c>
      <c r="L1959" s="39" t="s">
        <v>1014</v>
      </c>
      <c r="M1959" s="38" t="s">
        <v>557</v>
      </c>
      <c r="N1959" s="38" t="s">
        <v>1042</v>
      </c>
    </row>
    <row r="1960" spans="1:14" x14ac:dyDescent="0.2">
      <c r="A1960" s="38" t="s">
        <v>557</v>
      </c>
      <c r="B1960" s="38">
        <v>151863</v>
      </c>
      <c r="C1960" s="38" t="s">
        <v>2184</v>
      </c>
      <c r="D1960" s="279">
        <v>100000</v>
      </c>
      <c r="F1960" s="40">
        <v>2.3800000000000002E-2</v>
      </c>
      <c r="G1960" s="41">
        <v>42978</v>
      </c>
      <c r="H1960" s="41">
        <v>43164</v>
      </c>
      <c r="I1960" s="39">
        <v>26</v>
      </c>
      <c r="J1960" s="39" t="s">
        <v>369</v>
      </c>
      <c r="K1960" s="39" t="s">
        <v>369</v>
      </c>
      <c r="L1960" s="39" t="s">
        <v>1014</v>
      </c>
      <c r="M1960" s="38" t="s">
        <v>557</v>
      </c>
      <c r="N1960" s="38" t="s">
        <v>916</v>
      </c>
    </row>
    <row r="1961" spans="1:14" x14ac:dyDescent="0.2">
      <c r="A1961" s="38" t="s">
        <v>1035</v>
      </c>
      <c r="B1961" s="38">
        <v>201504</v>
      </c>
      <c r="C1961" s="38" t="s">
        <v>2185</v>
      </c>
      <c r="D1961" s="279">
        <v>100000</v>
      </c>
      <c r="F1961" s="40">
        <v>2.1700000000000001E-2</v>
      </c>
      <c r="G1961" s="41">
        <v>42975</v>
      </c>
      <c r="H1961" s="41">
        <v>43066</v>
      </c>
      <c r="I1961" s="39">
        <v>13</v>
      </c>
      <c r="J1961" s="39" t="s">
        <v>369</v>
      </c>
      <c r="K1961" s="39" t="s">
        <v>1716</v>
      </c>
      <c r="L1961" s="39" t="s">
        <v>1014</v>
      </c>
      <c r="M1961" s="38" t="s">
        <v>1035</v>
      </c>
      <c r="N1961" s="38" t="s">
        <v>68</v>
      </c>
    </row>
    <row r="1962" spans="1:14" x14ac:dyDescent="0.2">
      <c r="A1962" s="38" t="s">
        <v>557</v>
      </c>
      <c r="B1962" s="38">
        <v>151866</v>
      </c>
      <c r="C1962" s="38" t="s">
        <v>2186</v>
      </c>
      <c r="D1962" s="279">
        <v>100000</v>
      </c>
      <c r="F1962" s="40">
        <v>2.4500000000000001E-2</v>
      </c>
      <c r="G1962" s="41">
        <v>42983</v>
      </c>
      <c r="H1962" s="41">
        <v>43164</v>
      </c>
      <c r="I1962" s="39">
        <v>26</v>
      </c>
      <c r="J1962" s="39" t="s">
        <v>369</v>
      </c>
      <c r="K1962" s="39" t="s">
        <v>1716</v>
      </c>
      <c r="L1962" s="39" t="s">
        <v>1014</v>
      </c>
      <c r="M1962" s="38" t="s">
        <v>557</v>
      </c>
      <c r="N1962" s="38" t="s">
        <v>2187</v>
      </c>
    </row>
    <row r="1963" spans="1:14" x14ac:dyDescent="0.2">
      <c r="A1963" s="38" t="s">
        <v>557</v>
      </c>
      <c r="B1963" s="38">
        <v>151867</v>
      </c>
      <c r="C1963" s="38" t="s">
        <v>2188</v>
      </c>
      <c r="D1963" s="279">
        <v>100000</v>
      </c>
      <c r="F1963" s="40">
        <v>2.35E-2</v>
      </c>
      <c r="G1963" s="41">
        <v>42983</v>
      </c>
      <c r="H1963" s="41">
        <v>43074</v>
      </c>
      <c r="I1963" s="39">
        <v>13</v>
      </c>
      <c r="J1963" s="39" t="s">
        <v>369</v>
      </c>
      <c r="K1963" s="39" t="s">
        <v>1716</v>
      </c>
      <c r="L1963" s="39" t="s">
        <v>1014</v>
      </c>
      <c r="M1963" s="38" t="s">
        <v>557</v>
      </c>
      <c r="N1963" s="38" t="s">
        <v>2187</v>
      </c>
    </row>
    <row r="1964" spans="1:14" x14ac:dyDescent="0.2">
      <c r="A1964" s="38" t="s">
        <v>1035</v>
      </c>
      <c r="B1964" s="38">
        <v>201501</v>
      </c>
      <c r="C1964" s="38" t="s">
        <v>2189</v>
      </c>
      <c r="D1964" s="279">
        <v>100000</v>
      </c>
      <c r="F1964" s="40">
        <v>2.35E-2</v>
      </c>
      <c r="G1964" s="41">
        <v>42995</v>
      </c>
      <c r="H1964" s="41">
        <v>43360</v>
      </c>
      <c r="I1964" s="39">
        <v>1</v>
      </c>
      <c r="J1964" s="39" t="s">
        <v>1716</v>
      </c>
      <c r="K1964" s="39" t="s">
        <v>1716</v>
      </c>
      <c r="L1964" s="39" t="s">
        <v>1014</v>
      </c>
      <c r="M1964" s="38" t="s">
        <v>1035</v>
      </c>
      <c r="N1964" s="38" t="s">
        <v>68</v>
      </c>
    </row>
    <row r="1965" spans="1:14" x14ac:dyDescent="0.2">
      <c r="A1965" s="38" t="s">
        <v>557</v>
      </c>
      <c r="B1965" s="38">
        <v>151870</v>
      </c>
      <c r="C1965" s="38" t="s">
        <v>2190</v>
      </c>
      <c r="D1965" s="279">
        <v>100000</v>
      </c>
      <c r="F1965" s="40">
        <v>2.3199999999999998E-2</v>
      </c>
      <c r="G1965" s="41">
        <v>42993</v>
      </c>
      <c r="H1965" s="41">
        <v>43104</v>
      </c>
      <c r="I1965" s="39">
        <v>15</v>
      </c>
      <c r="J1965" s="39" t="s">
        <v>369</v>
      </c>
      <c r="K1965" s="39" t="s">
        <v>369</v>
      </c>
      <c r="L1965" s="39" t="s">
        <v>1014</v>
      </c>
      <c r="M1965" s="38" t="s">
        <v>557</v>
      </c>
      <c r="N1965" s="38" t="s">
        <v>916</v>
      </c>
    </row>
    <row r="1966" spans="1:14" x14ac:dyDescent="0.2">
      <c r="A1966" s="38" t="s">
        <v>557</v>
      </c>
      <c r="B1966" s="38">
        <v>151871</v>
      </c>
      <c r="C1966" s="38" t="s">
        <v>2191</v>
      </c>
      <c r="D1966" s="279">
        <v>100000</v>
      </c>
      <c r="F1966" s="40">
        <v>3.2500000000000001E-2</v>
      </c>
      <c r="G1966" s="41">
        <v>42996</v>
      </c>
      <c r="H1966" s="41">
        <v>44822</v>
      </c>
      <c r="I1966" s="39">
        <v>5</v>
      </c>
      <c r="J1966" s="39" t="s">
        <v>1716</v>
      </c>
      <c r="K1966" s="39" t="s">
        <v>1716</v>
      </c>
      <c r="L1966" s="39" t="s">
        <v>1014</v>
      </c>
      <c r="M1966" s="38" t="s">
        <v>557</v>
      </c>
      <c r="N1966" s="38" t="s">
        <v>1004</v>
      </c>
    </row>
    <row r="1967" spans="1:14" x14ac:dyDescent="0.2">
      <c r="A1967" s="38" t="s">
        <v>557</v>
      </c>
      <c r="B1967" s="38">
        <v>151872</v>
      </c>
      <c r="C1967" s="38" t="s">
        <v>2192</v>
      </c>
      <c r="D1967" s="279">
        <v>100000</v>
      </c>
      <c r="F1967" s="40">
        <v>2.6700000000000002E-2</v>
      </c>
      <c r="G1967" s="41">
        <v>42996</v>
      </c>
      <c r="H1967" s="41">
        <v>44822</v>
      </c>
      <c r="I1967" s="39">
        <v>5</v>
      </c>
      <c r="J1967" s="39" t="s">
        <v>1716</v>
      </c>
      <c r="K1967" s="39" t="s">
        <v>1716</v>
      </c>
      <c r="L1967" s="39" t="s">
        <v>1014</v>
      </c>
      <c r="M1967" s="38" t="s">
        <v>557</v>
      </c>
      <c r="N1967" s="38" t="s">
        <v>1004</v>
      </c>
    </row>
    <row r="1968" spans="1:14" x14ac:dyDescent="0.2">
      <c r="A1968" s="38" t="s">
        <v>557</v>
      </c>
      <c r="B1968" s="38">
        <v>151878</v>
      </c>
      <c r="C1968" s="38" t="s">
        <v>2193</v>
      </c>
      <c r="D1968" s="279">
        <v>100000</v>
      </c>
      <c r="F1968" s="40">
        <v>2.4799999999999999E-2</v>
      </c>
      <c r="G1968" s="41">
        <v>43003</v>
      </c>
      <c r="H1968" s="41">
        <v>43276</v>
      </c>
      <c r="I1968" s="39">
        <v>36</v>
      </c>
      <c r="J1968" s="39" t="s">
        <v>369</v>
      </c>
      <c r="K1968" s="39" t="s">
        <v>369</v>
      </c>
      <c r="L1968" s="39" t="s">
        <v>1014</v>
      </c>
      <c r="M1968" s="38" t="s">
        <v>557</v>
      </c>
      <c r="N1968" s="38" t="s">
        <v>918</v>
      </c>
    </row>
    <row r="1969" spans="1:14" x14ac:dyDescent="0.2">
      <c r="A1969" s="38" t="s">
        <v>557</v>
      </c>
      <c r="B1969" s="38">
        <v>151873</v>
      </c>
      <c r="C1969" s="38" t="s">
        <v>2194</v>
      </c>
      <c r="D1969" s="279">
        <v>100000</v>
      </c>
      <c r="F1969" s="40">
        <v>2.4E-2</v>
      </c>
      <c r="G1969" s="41">
        <v>43003</v>
      </c>
      <c r="H1969" s="41">
        <v>43192</v>
      </c>
      <c r="I1969" s="39">
        <v>26</v>
      </c>
      <c r="J1969" s="39" t="s">
        <v>369</v>
      </c>
      <c r="K1969" s="39" t="s">
        <v>369</v>
      </c>
      <c r="L1969" s="39" t="s">
        <v>1014</v>
      </c>
      <c r="M1969" s="38" t="s">
        <v>557</v>
      </c>
      <c r="N1969" s="38" t="s">
        <v>916</v>
      </c>
    </row>
    <row r="1970" spans="1:14" x14ac:dyDescent="0.2">
      <c r="A1970" s="38" t="s">
        <v>1015</v>
      </c>
      <c r="B1970" s="38">
        <v>100690</v>
      </c>
      <c r="C1970" s="38" t="s">
        <v>2195</v>
      </c>
      <c r="D1970" s="279">
        <v>100000</v>
      </c>
      <c r="F1970" s="40">
        <v>2.9499999999999998E-2</v>
      </c>
      <c r="G1970" s="41">
        <v>43007</v>
      </c>
      <c r="H1970" s="41">
        <v>43738</v>
      </c>
      <c r="I1970" s="39">
        <v>2</v>
      </c>
      <c r="J1970" s="39" t="s">
        <v>1716</v>
      </c>
      <c r="K1970" s="39" t="s">
        <v>1716</v>
      </c>
      <c r="L1970" s="39" t="s">
        <v>1014</v>
      </c>
      <c r="M1970" s="38" t="s">
        <v>1015</v>
      </c>
      <c r="N1970" s="38" t="s">
        <v>640</v>
      </c>
    </row>
    <row r="1971" spans="1:14" x14ac:dyDescent="0.2">
      <c r="A1971" s="38" t="s">
        <v>1803</v>
      </c>
      <c r="B1971" s="38">
        <v>9336</v>
      </c>
      <c r="C1971" s="38" t="s">
        <v>2196</v>
      </c>
      <c r="D1971" s="279">
        <v>100000</v>
      </c>
      <c r="F1971" s="40">
        <v>3.95E-2</v>
      </c>
      <c r="G1971" s="41">
        <v>43007</v>
      </c>
      <c r="H1971" s="41">
        <v>45564</v>
      </c>
      <c r="I1971" s="39">
        <v>7</v>
      </c>
      <c r="J1971" s="39" t="s">
        <v>1716</v>
      </c>
      <c r="K1971" s="39" t="s">
        <v>1716</v>
      </c>
      <c r="L1971" s="39" t="s">
        <v>1014</v>
      </c>
      <c r="M1971" s="38" t="s">
        <v>1803</v>
      </c>
      <c r="N1971" s="38" t="s">
        <v>1226</v>
      </c>
    </row>
    <row r="1972" spans="1:14" x14ac:dyDescent="0.2">
      <c r="A1972" s="38" t="s">
        <v>1803</v>
      </c>
      <c r="B1972" s="38">
        <v>9337</v>
      </c>
      <c r="C1972" s="38" t="s">
        <v>2197</v>
      </c>
      <c r="D1972" s="279">
        <v>100000</v>
      </c>
      <c r="F1972" s="40">
        <v>3.1699999999999999E-2</v>
      </c>
      <c r="G1972" s="41">
        <v>43007</v>
      </c>
      <c r="H1972" s="41">
        <v>45564</v>
      </c>
      <c r="I1972" s="39">
        <v>7</v>
      </c>
      <c r="J1972" s="39" t="s">
        <v>1716</v>
      </c>
      <c r="K1972" s="39" t="s">
        <v>1716</v>
      </c>
      <c r="L1972" s="39" t="s">
        <v>1014</v>
      </c>
      <c r="M1972" s="38" t="s">
        <v>1803</v>
      </c>
      <c r="N1972" s="38" t="s">
        <v>1226</v>
      </c>
    </row>
    <row r="1973" spans="1:14" x14ac:dyDescent="0.2">
      <c r="A1973" s="38" t="s">
        <v>557</v>
      </c>
      <c r="B1973" s="38">
        <v>151883</v>
      </c>
      <c r="C1973" s="38" t="s">
        <v>2198</v>
      </c>
      <c r="D1973" s="279">
        <v>100000</v>
      </c>
      <c r="F1973" s="40">
        <v>3.1899999999999998E-2</v>
      </c>
      <c r="G1973" s="41">
        <v>43014</v>
      </c>
      <c r="H1973" s="41">
        <v>44840</v>
      </c>
      <c r="I1973" s="39">
        <v>5</v>
      </c>
      <c r="J1973" s="39" t="s">
        <v>1716</v>
      </c>
      <c r="K1973" s="39" t="s">
        <v>1716</v>
      </c>
      <c r="L1973" s="39" t="s">
        <v>1014</v>
      </c>
      <c r="M1973" s="38" t="s">
        <v>557</v>
      </c>
      <c r="N1973" s="38" t="s">
        <v>1004</v>
      </c>
    </row>
    <row r="1974" spans="1:14" x14ac:dyDescent="0.2">
      <c r="A1974" s="38" t="s">
        <v>557</v>
      </c>
      <c r="B1974" s="38">
        <v>151882</v>
      </c>
      <c r="C1974" s="38" t="s">
        <v>2199</v>
      </c>
      <c r="D1974" s="279">
        <v>100000</v>
      </c>
      <c r="F1974" s="40">
        <v>2.6100000000000002E-2</v>
      </c>
      <c r="G1974" s="41">
        <v>43014</v>
      </c>
      <c r="H1974" s="41">
        <v>44840</v>
      </c>
      <c r="I1974" s="39">
        <v>5</v>
      </c>
      <c r="J1974" s="39" t="s">
        <v>1716</v>
      </c>
      <c r="K1974" s="39" t="s">
        <v>1716</v>
      </c>
      <c r="L1974" s="39" t="s">
        <v>1014</v>
      </c>
      <c r="M1974" s="38" t="s">
        <v>557</v>
      </c>
      <c r="N1974" s="38" t="s">
        <v>1004</v>
      </c>
    </row>
    <row r="1975" spans="1:14" x14ac:dyDescent="0.2">
      <c r="A1975" s="38" t="s">
        <v>557</v>
      </c>
      <c r="B1975" s="38">
        <v>151852</v>
      </c>
      <c r="C1975" s="38" t="s">
        <v>2200</v>
      </c>
      <c r="D1975" s="279">
        <v>100000</v>
      </c>
      <c r="F1975" s="40">
        <v>3.15E-2</v>
      </c>
      <c r="G1975" s="41">
        <v>42916</v>
      </c>
      <c r="H1975" s="41">
        <v>44377</v>
      </c>
      <c r="I1975" s="39">
        <v>4</v>
      </c>
      <c r="J1975" s="39" t="s">
        <v>1716</v>
      </c>
      <c r="K1975" s="39" t="s">
        <v>1716</v>
      </c>
      <c r="L1975" s="39" t="s">
        <v>1014</v>
      </c>
      <c r="M1975" s="38" t="s">
        <v>557</v>
      </c>
    </row>
    <row r="1976" spans="1:14" x14ac:dyDescent="0.2">
      <c r="A1976" s="38" t="s">
        <v>1015</v>
      </c>
      <c r="B1976" s="38">
        <v>100691</v>
      </c>
      <c r="C1976" s="38" t="s">
        <v>2201</v>
      </c>
      <c r="D1976" s="279">
        <v>100000</v>
      </c>
      <c r="F1976" s="40">
        <v>2.8000000000000001E-2</v>
      </c>
      <c r="G1976" s="41">
        <v>43018</v>
      </c>
      <c r="H1976" s="41">
        <v>43748</v>
      </c>
      <c r="I1976" s="39">
        <v>2</v>
      </c>
      <c r="J1976" s="39" t="s">
        <v>1716</v>
      </c>
      <c r="K1976" s="39" t="s">
        <v>1716</v>
      </c>
      <c r="L1976" s="39" t="s">
        <v>1014</v>
      </c>
      <c r="M1976" s="38" t="s">
        <v>1015</v>
      </c>
      <c r="N1976" s="38" t="s">
        <v>1226</v>
      </c>
    </row>
    <row r="1977" spans="1:14" x14ac:dyDescent="0.2">
      <c r="A1977" s="38" t="s">
        <v>1015</v>
      </c>
      <c r="B1977" s="38">
        <v>100692</v>
      </c>
      <c r="C1977" s="38" t="s">
        <v>2202</v>
      </c>
      <c r="D1977" s="279">
        <v>100000</v>
      </c>
      <c r="F1977" s="40">
        <v>2.92E-2</v>
      </c>
      <c r="G1977" s="41">
        <v>43019</v>
      </c>
      <c r="H1977" s="41">
        <v>43749</v>
      </c>
      <c r="I1977" s="39">
        <v>2</v>
      </c>
      <c r="J1977" s="39" t="s">
        <v>1716</v>
      </c>
      <c r="K1977" s="39" t="s">
        <v>1716</v>
      </c>
      <c r="L1977" s="39" t="s">
        <v>1014</v>
      </c>
      <c r="M1977" s="38" t="s">
        <v>1015</v>
      </c>
      <c r="N1977" s="38" t="s">
        <v>1457</v>
      </c>
    </row>
    <row r="1978" spans="1:14" x14ac:dyDescent="0.2">
      <c r="A1978" s="38" t="s">
        <v>1015</v>
      </c>
      <c r="B1978" s="38">
        <v>100693</v>
      </c>
      <c r="C1978" s="38" t="s">
        <v>2203</v>
      </c>
      <c r="D1978" s="279">
        <v>100000</v>
      </c>
      <c r="F1978" s="40">
        <v>3.2500000000000001E-2</v>
      </c>
      <c r="G1978" s="41">
        <v>43019</v>
      </c>
      <c r="H1978" s="41">
        <v>44480</v>
      </c>
      <c r="I1978" s="39">
        <v>4</v>
      </c>
      <c r="J1978" s="39" t="s">
        <v>1716</v>
      </c>
      <c r="K1978" s="39" t="s">
        <v>1716</v>
      </c>
      <c r="L1978" s="39" t="s">
        <v>1014</v>
      </c>
      <c r="M1978" s="38" t="s">
        <v>1015</v>
      </c>
      <c r="N1978" s="38" t="s">
        <v>1457</v>
      </c>
    </row>
    <row r="1979" spans="1:14" x14ac:dyDescent="0.2">
      <c r="A1979" s="38" t="s">
        <v>1035</v>
      </c>
      <c r="B1979" s="38">
        <v>201506</v>
      </c>
      <c r="C1979" s="38" t="s">
        <v>2204</v>
      </c>
      <c r="D1979" s="279">
        <v>100000</v>
      </c>
      <c r="F1979" s="40">
        <v>2.23E-2</v>
      </c>
      <c r="G1979" s="41">
        <v>42996</v>
      </c>
      <c r="H1979" s="41">
        <v>43178</v>
      </c>
      <c r="I1979" s="39">
        <v>26</v>
      </c>
      <c r="J1979" s="39" t="s">
        <v>369</v>
      </c>
      <c r="K1979" s="39" t="s">
        <v>369</v>
      </c>
      <c r="L1979" s="39" t="s">
        <v>1014</v>
      </c>
      <c r="M1979" s="38" t="s">
        <v>1035</v>
      </c>
      <c r="N1979" s="38" t="s">
        <v>68</v>
      </c>
    </row>
    <row r="1980" spans="1:14" x14ac:dyDescent="0.2">
      <c r="A1980" s="38" t="s">
        <v>1035</v>
      </c>
      <c r="B1980" s="38">
        <v>201507</v>
      </c>
      <c r="C1980" s="38" t="s">
        <v>2205</v>
      </c>
      <c r="D1980" s="279">
        <v>100000</v>
      </c>
      <c r="F1980" s="40">
        <v>2.8500000000000001E-2</v>
      </c>
      <c r="G1980" s="41">
        <v>42996</v>
      </c>
      <c r="H1980" s="41">
        <v>45096</v>
      </c>
      <c r="I1980" s="39">
        <v>5</v>
      </c>
      <c r="J1980" s="39" t="s">
        <v>1716</v>
      </c>
      <c r="K1980" s="39" t="s">
        <v>1716</v>
      </c>
      <c r="L1980" s="39" t="s">
        <v>1014</v>
      </c>
      <c r="M1980" s="38" t="s">
        <v>1035</v>
      </c>
      <c r="N1980" s="38" t="s">
        <v>68</v>
      </c>
    </row>
    <row r="1981" spans="1:14" x14ac:dyDescent="0.2">
      <c r="A1981" s="38" t="s">
        <v>1015</v>
      </c>
      <c r="B1981" s="38">
        <v>100622</v>
      </c>
      <c r="C1981" s="38" t="s">
        <v>2206</v>
      </c>
      <c r="D1981" s="279">
        <v>100000</v>
      </c>
      <c r="F1981" s="40">
        <v>3.5700000000000003E-2</v>
      </c>
      <c r="G1981" s="41">
        <v>42123</v>
      </c>
      <c r="H1981" s="41">
        <v>43219</v>
      </c>
      <c r="I1981" s="39">
        <v>3</v>
      </c>
      <c r="J1981" s="39" t="s">
        <v>1716</v>
      </c>
      <c r="K1981" s="39" t="s">
        <v>1716</v>
      </c>
      <c r="L1981" s="39" t="s">
        <v>1014</v>
      </c>
      <c r="M1981" s="38" t="s">
        <v>1015</v>
      </c>
      <c r="N1981" s="38" t="s">
        <v>1457</v>
      </c>
    </row>
    <row r="1982" spans="1:14" x14ac:dyDescent="0.2">
      <c r="A1982" s="38" t="s">
        <v>1803</v>
      </c>
      <c r="B1982" s="38">
        <v>5054</v>
      </c>
      <c r="C1982" s="38" t="s">
        <v>2207</v>
      </c>
      <c r="D1982" s="279">
        <v>100000</v>
      </c>
      <c r="F1982" s="40">
        <v>2.98E-2</v>
      </c>
      <c r="G1982" s="41">
        <v>43028</v>
      </c>
      <c r="H1982" s="41">
        <v>43392</v>
      </c>
      <c r="I1982" s="39">
        <v>52</v>
      </c>
      <c r="J1982" s="39" t="s">
        <v>369</v>
      </c>
      <c r="K1982" s="39" t="s">
        <v>1716</v>
      </c>
      <c r="L1982" s="39" t="s">
        <v>1014</v>
      </c>
      <c r="M1982" s="38" t="s">
        <v>1803</v>
      </c>
      <c r="N1982" s="38" t="s">
        <v>2208</v>
      </c>
    </row>
    <row r="1983" spans="1:14" x14ac:dyDescent="0.2">
      <c r="A1983" s="38" t="s">
        <v>1015</v>
      </c>
      <c r="B1983" s="38">
        <v>100694</v>
      </c>
      <c r="C1983" s="38" t="s">
        <v>2209</v>
      </c>
      <c r="D1983" s="279">
        <v>100000</v>
      </c>
      <c r="F1983" s="40">
        <v>2.92E-2</v>
      </c>
      <c r="G1983" s="41">
        <v>43035</v>
      </c>
      <c r="H1983" s="41">
        <v>44131</v>
      </c>
      <c r="I1983" s="39">
        <v>3</v>
      </c>
      <c r="J1983" s="39" t="s">
        <v>1716</v>
      </c>
      <c r="K1983" s="39" t="s">
        <v>1716</v>
      </c>
      <c r="L1983" s="39" t="s">
        <v>1014</v>
      </c>
      <c r="M1983" s="38" t="s">
        <v>1015</v>
      </c>
      <c r="N1983" s="38" t="s">
        <v>1226</v>
      </c>
    </row>
    <row r="1984" spans="1:14" x14ac:dyDescent="0.2">
      <c r="A1984" s="38" t="s">
        <v>1803</v>
      </c>
      <c r="B1984" s="38">
        <v>9346</v>
      </c>
      <c r="C1984" s="38" t="s">
        <v>2210</v>
      </c>
      <c r="D1984" s="279">
        <v>100000</v>
      </c>
      <c r="F1984" s="40">
        <v>3.8300000000000001E-2</v>
      </c>
      <c r="G1984" s="41">
        <v>43039</v>
      </c>
      <c r="H1984" s="41">
        <v>46691</v>
      </c>
      <c r="I1984" s="39">
        <v>10</v>
      </c>
      <c r="J1984" s="39" t="s">
        <v>1716</v>
      </c>
      <c r="K1984" s="39" t="s">
        <v>1716</v>
      </c>
      <c r="L1984" s="39" t="s">
        <v>1014</v>
      </c>
      <c r="M1984" s="38" t="s">
        <v>1803</v>
      </c>
      <c r="N1984" s="38" t="s">
        <v>2211</v>
      </c>
    </row>
    <row r="1985" spans="1:14" x14ac:dyDescent="0.2">
      <c r="A1985" s="38" t="s">
        <v>557</v>
      </c>
      <c r="B1985" s="38">
        <v>151887</v>
      </c>
      <c r="C1985" s="38" t="s">
        <v>2212</v>
      </c>
      <c r="D1985" s="279">
        <v>100000</v>
      </c>
      <c r="F1985" s="40">
        <v>2.7E-2</v>
      </c>
      <c r="G1985" s="41">
        <v>43039</v>
      </c>
      <c r="H1985" s="41">
        <v>43769</v>
      </c>
      <c r="I1985" s="39">
        <v>2</v>
      </c>
      <c r="J1985" s="39" t="s">
        <v>1716</v>
      </c>
      <c r="K1985" s="39" t="s">
        <v>1716</v>
      </c>
      <c r="L1985" s="39" t="s">
        <v>1014</v>
      </c>
      <c r="M1985" s="38" t="s">
        <v>557</v>
      </c>
      <c r="N1985" s="38" t="s">
        <v>918</v>
      </c>
    </row>
    <row r="1986" spans="1:14" x14ac:dyDescent="0.2">
      <c r="A1986" s="38" t="s">
        <v>1015</v>
      </c>
      <c r="B1986" s="38">
        <v>100697</v>
      </c>
      <c r="C1986" s="38" t="s">
        <v>2213</v>
      </c>
      <c r="D1986" s="279">
        <v>100000</v>
      </c>
      <c r="F1986" s="40">
        <v>2.86E-2</v>
      </c>
      <c r="G1986" s="41">
        <v>43039</v>
      </c>
      <c r="H1986" s="41">
        <v>43769</v>
      </c>
      <c r="I1986" s="39">
        <v>2</v>
      </c>
      <c r="J1986" s="39" t="s">
        <v>1716</v>
      </c>
      <c r="K1986" s="39" t="s">
        <v>1716</v>
      </c>
      <c r="L1986" s="39" t="s">
        <v>1014</v>
      </c>
      <c r="M1986" s="38" t="s">
        <v>1015</v>
      </c>
      <c r="N1986" s="38" t="s">
        <v>640</v>
      </c>
    </row>
    <row r="1987" spans="1:14" x14ac:dyDescent="0.2">
      <c r="A1987" s="38" t="s">
        <v>1803</v>
      </c>
      <c r="B1987" s="38">
        <v>9345</v>
      </c>
      <c r="C1987" s="38" t="s">
        <v>2214</v>
      </c>
      <c r="D1987" s="279">
        <v>100000</v>
      </c>
      <c r="F1987" s="40">
        <v>3.0200000000000001E-2</v>
      </c>
      <c r="G1987" s="41">
        <v>43039</v>
      </c>
      <c r="H1987" s="41">
        <v>46691</v>
      </c>
      <c r="I1987" s="39">
        <v>10</v>
      </c>
      <c r="J1987" s="39" t="s">
        <v>1716</v>
      </c>
      <c r="K1987" s="39" t="s">
        <v>1716</v>
      </c>
      <c r="L1987" s="39" t="s">
        <v>1014</v>
      </c>
      <c r="M1987" s="38" t="s">
        <v>1803</v>
      </c>
      <c r="N1987" s="38" t="s">
        <v>2211</v>
      </c>
    </row>
    <row r="1988" spans="1:14" x14ac:dyDescent="0.2">
      <c r="A1988" s="38" t="s">
        <v>1803</v>
      </c>
      <c r="B1988" s="38">
        <v>2122</v>
      </c>
      <c r="C1988" s="38" t="s">
        <v>2215</v>
      </c>
      <c r="D1988" s="279">
        <v>100000</v>
      </c>
      <c r="F1988" s="40">
        <v>3.0599999999999999E-2</v>
      </c>
      <c r="G1988" s="41">
        <v>39504</v>
      </c>
      <c r="H1988" s="41">
        <v>43157</v>
      </c>
      <c r="I1988" s="39">
        <v>10</v>
      </c>
      <c r="J1988" s="39" t="s">
        <v>1716</v>
      </c>
      <c r="K1988" s="39" t="s">
        <v>1716</v>
      </c>
      <c r="L1988" s="39" t="s">
        <v>1014</v>
      </c>
      <c r="M1988" s="38" t="s">
        <v>1803</v>
      </c>
      <c r="N1988" s="38" t="s">
        <v>1042</v>
      </c>
    </row>
    <row r="1989" spans="1:14" x14ac:dyDescent="0.2">
      <c r="A1989" s="38" t="s">
        <v>1803</v>
      </c>
      <c r="B1989" s="38">
        <v>9119</v>
      </c>
      <c r="C1989" s="38" t="s">
        <v>2216</v>
      </c>
      <c r="D1989" s="279">
        <v>100000</v>
      </c>
      <c r="F1989" s="40">
        <v>4.7500000000000001E-2</v>
      </c>
      <c r="G1989" s="41">
        <v>40511</v>
      </c>
      <c r="H1989" s="41">
        <v>47816</v>
      </c>
      <c r="I1989" s="39">
        <v>20</v>
      </c>
      <c r="J1989" s="39" t="s">
        <v>1716</v>
      </c>
      <c r="K1989" s="39" t="s">
        <v>1716</v>
      </c>
      <c r="L1989" s="39" t="s">
        <v>1014</v>
      </c>
      <c r="M1989" s="38" t="s">
        <v>1803</v>
      </c>
      <c r="N1989" s="38" t="s">
        <v>1804</v>
      </c>
    </row>
    <row r="1990" spans="1:14" x14ac:dyDescent="0.2">
      <c r="A1990" s="38" t="s">
        <v>1803</v>
      </c>
      <c r="B1990" s="38">
        <v>9118</v>
      </c>
      <c r="C1990" s="38" t="s">
        <v>2217</v>
      </c>
      <c r="D1990" s="279">
        <v>100000</v>
      </c>
      <c r="F1990" s="40">
        <v>4.65E-2</v>
      </c>
      <c r="G1990" s="41">
        <v>40511</v>
      </c>
      <c r="H1990" s="41">
        <v>47816</v>
      </c>
      <c r="I1990" s="39">
        <v>20</v>
      </c>
      <c r="J1990" s="39" t="s">
        <v>1716</v>
      </c>
      <c r="K1990" s="39" t="s">
        <v>1716</v>
      </c>
      <c r="L1990" s="39" t="s">
        <v>1014</v>
      </c>
      <c r="M1990" s="38" t="s">
        <v>1803</v>
      </c>
      <c r="N1990" s="38" t="s">
        <v>1804</v>
      </c>
    </row>
    <row r="1991" spans="1:14" x14ac:dyDescent="0.2">
      <c r="A1991" s="38" t="s">
        <v>1803</v>
      </c>
      <c r="B1991" s="38">
        <v>9133</v>
      </c>
      <c r="C1991" s="38" t="s">
        <v>2218</v>
      </c>
      <c r="D1991" s="279">
        <v>100000</v>
      </c>
      <c r="F1991" s="40">
        <v>4.5499999999999999E-2</v>
      </c>
      <c r="G1991" s="41">
        <v>40651</v>
      </c>
      <c r="H1991" s="41">
        <v>47956</v>
      </c>
      <c r="I1991" s="39">
        <v>20</v>
      </c>
      <c r="J1991" s="39" t="s">
        <v>1716</v>
      </c>
      <c r="K1991" s="39" t="s">
        <v>1716</v>
      </c>
      <c r="L1991" s="39" t="s">
        <v>1014</v>
      </c>
      <c r="M1991" s="38" t="s">
        <v>1803</v>
      </c>
      <c r="N1991" s="38" t="s">
        <v>1804</v>
      </c>
    </row>
    <row r="1992" spans="1:14" x14ac:dyDescent="0.2">
      <c r="A1992" s="38" t="s">
        <v>1803</v>
      </c>
      <c r="B1992" s="38">
        <v>9248</v>
      </c>
      <c r="C1992" s="38" t="s">
        <v>2219</v>
      </c>
      <c r="D1992" s="279">
        <v>100000</v>
      </c>
      <c r="F1992" s="40">
        <v>5.67E-2</v>
      </c>
      <c r="G1992" s="41">
        <v>42068</v>
      </c>
      <c r="H1992" s="41">
        <v>43895</v>
      </c>
      <c r="I1992" s="39">
        <v>5</v>
      </c>
      <c r="J1992" s="39" t="s">
        <v>1716</v>
      </c>
      <c r="K1992" s="39" t="s">
        <v>1716</v>
      </c>
      <c r="L1992" s="39" t="s">
        <v>1014</v>
      </c>
      <c r="M1992" s="38" t="s">
        <v>1803</v>
      </c>
      <c r="N1992" s="38" t="s">
        <v>2220</v>
      </c>
    </row>
    <row r="1993" spans="1:14" x14ac:dyDescent="0.2">
      <c r="A1993" s="38" t="s">
        <v>1803</v>
      </c>
      <c r="B1993" s="38">
        <v>9252</v>
      </c>
      <c r="C1993" s="38" t="s">
        <v>2221</v>
      </c>
      <c r="D1993" s="279">
        <v>100000</v>
      </c>
      <c r="F1993" s="40">
        <v>4.4499999999999998E-2</v>
      </c>
      <c r="G1993" s="41">
        <v>42165</v>
      </c>
      <c r="H1993" s="41">
        <v>47644</v>
      </c>
      <c r="I1993" s="39">
        <v>15</v>
      </c>
      <c r="J1993" s="39" t="s">
        <v>1716</v>
      </c>
      <c r="K1993" s="39" t="s">
        <v>1716</v>
      </c>
      <c r="L1993" s="39" t="s">
        <v>1014</v>
      </c>
      <c r="M1993" s="38" t="s">
        <v>1803</v>
      </c>
      <c r="N1993" s="38" t="s">
        <v>1804</v>
      </c>
    </row>
    <row r="1994" spans="1:14" x14ac:dyDescent="0.2">
      <c r="A1994" s="38" t="s">
        <v>1803</v>
      </c>
      <c r="B1994" s="38">
        <v>9263</v>
      </c>
      <c r="C1994" s="38" t="s">
        <v>2222</v>
      </c>
      <c r="D1994" s="279">
        <v>100000</v>
      </c>
      <c r="F1994" s="40">
        <v>4.5999999999999999E-2</v>
      </c>
      <c r="G1994" s="41">
        <v>42198</v>
      </c>
      <c r="H1994" s="41">
        <v>47677</v>
      </c>
      <c r="I1994" s="39">
        <v>15</v>
      </c>
      <c r="J1994" s="39" t="s">
        <v>1716</v>
      </c>
      <c r="K1994" s="39" t="s">
        <v>1716</v>
      </c>
      <c r="L1994" s="39" t="s">
        <v>1014</v>
      </c>
      <c r="M1994" s="38" t="s">
        <v>1803</v>
      </c>
      <c r="N1994" s="38" t="s">
        <v>1004</v>
      </c>
    </row>
    <row r="1995" spans="1:14" x14ac:dyDescent="0.2">
      <c r="A1995" s="38" t="s">
        <v>1803</v>
      </c>
      <c r="B1995" s="38">
        <v>9277</v>
      </c>
      <c r="C1995" s="38" t="s">
        <v>2223</v>
      </c>
      <c r="D1995" s="279">
        <v>100000</v>
      </c>
      <c r="F1995" s="40">
        <v>4.5199999999999997E-2</v>
      </c>
      <c r="G1995" s="41">
        <v>42360</v>
      </c>
      <c r="H1995" s="41">
        <v>46013</v>
      </c>
      <c r="I1995" s="39">
        <v>10</v>
      </c>
      <c r="J1995" s="39" t="s">
        <v>1716</v>
      </c>
      <c r="K1995" s="39" t="s">
        <v>1716</v>
      </c>
      <c r="L1995" s="39" t="s">
        <v>1014</v>
      </c>
      <c r="M1995" s="38" t="s">
        <v>1803</v>
      </c>
      <c r="N1995" s="38" t="s">
        <v>1481</v>
      </c>
    </row>
    <row r="1996" spans="1:14" x14ac:dyDescent="0.2">
      <c r="A1996" s="38" t="s">
        <v>1803</v>
      </c>
      <c r="B1996" s="38">
        <v>2175</v>
      </c>
      <c r="C1996" s="38" t="s">
        <v>2224</v>
      </c>
      <c r="D1996" s="279">
        <v>100000</v>
      </c>
      <c r="F1996" s="40">
        <v>3.7400000000000003E-2</v>
      </c>
      <c r="G1996" s="41">
        <v>42549</v>
      </c>
      <c r="H1996" s="41">
        <v>46201</v>
      </c>
      <c r="I1996" s="39">
        <v>10</v>
      </c>
      <c r="J1996" s="39" t="s">
        <v>1716</v>
      </c>
      <c r="K1996" s="39" t="s">
        <v>1716</v>
      </c>
      <c r="L1996" s="39" t="s">
        <v>1014</v>
      </c>
      <c r="M1996" s="38" t="s">
        <v>1803</v>
      </c>
      <c r="N1996" s="38" t="s">
        <v>1481</v>
      </c>
    </row>
    <row r="1997" spans="1:14" x14ac:dyDescent="0.2">
      <c r="A1997" s="38" t="s">
        <v>1803</v>
      </c>
      <c r="B1997" s="38">
        <v>2195</v>
      </c>
      <c r="C1997" s="38" t="s">
        <v>2225</v>
      </c>
      <c r="D1997" s="279">
        <v>100000</v>
      </c>
      <c r="F1997" s="40">
        <v>3.7400000000000003E-2</v>
      </c>
      <c r="G1997" s="41">
        <v>42549</v>
      </c>
      <c r="H1997" s="41">
        <v>46201</v>
      </c>
      <c r="I1997" s="39">
        <v>10</v>
      </c>
      <c r="J1997" s="39" t="s">
        <v>1716</v>
      </c>
      <c r="K1997" s="39" t="s">
        <v>1716</v>
      </c>
      <c r="L1997" s="39" t="s">
        <v>1014</v>
      </c>
      <c r="M1997" s="38" t="s">
        <v>1803</v>
      </c>
      <c r="N1997" s="38" t="s">
        <v>1042</v>
      </c>
    </row>
    <row r="1998" spans="1:14" x14ac:dyDescent="0.2">
      <c r="A1998" s="38" t="s">
        <v>1803</v>
      </c>
      <c r="B1998" s="38">
        <v>9295</v>
      </c>
      <c r="C1998" s="38" t="s">
        <v>2226</v>
      </c>
      <c r="D1998" s="279">
        <v>100000</v>
      </c>
      <c r="F1998" s="40">
        <v>3.9199999999999999E-2</v>
      </c>
      <c r="G1998" s="41">
        <v>42656</v>
      </c>
      <c r="H1998" s="41">
        <v>48134</v>
      </c>
      <c r="I1998" s="39">
        <v>15</v>
      </c>
      <c r="J1998" s="39" t="s">
        <v>1716</v>
      </c>
      <c r="K1998" s="39" t="s">
        <v>1716</v>
      </c>
      <c r="L1998" s="39" t="s">
        <v>1014</v>
      </c>
      <c r="M1998" s="38" t="s">
        <v>1803</v>
      </c>
      <c r="N1998" s="38" t="s">
        <v>1004</v>
      </c>
    </row>
    <row r="1999" spans="1:14" x14ac:dyDescent="0.2">
      <c r="A1999" s="38" t="s">
        <v>1803</v>
      </c>
      <c r="B1999" s="38">
        <v>9217</v>
      </c>
      <c r="C1999" s="38" t="s">
        <v>2227</v>
      </c>
      <c r="D1999" s="279">
        <v>100000</v>
      </c>
      <c r="F1999" s="40">
        <v>3.7999999999999999E-2</v>
      </c>
      <c r="G1999" s="41">
        <v>41829</v>
      </c>
      <c r="H1999" s="41">
        <v>43655</v>
      </c>
      <c r="I1999" s="39">
        <v>5</v>
      </c>
      <c r="J1999" s="39" t="s">
        <v>1716</v>
      </c>
      <c r="K1999" s="39" t="s">
        <v>1716</v>
      </c>
      <c r="L1999" s="39" t="s">
        <v>1014</v>
      </c>
      <c r="M1999" s="38" t="s">
        <v>1803</v>
      </c>
      <c r="N1999" s="38" t="s">
        <v>2175</v>
      </c>
    </row>
    <row r="2000" spans="1:14" x14ac:dyDescent="0.2">
      <c r="A2000" s="38" t="s">
        <v>1803</v>
      </c>
      <c r="B2000" s="38">
        <v>9223</v>
      </c>
      <c r="C2000" s="38" t="s">
        <v>2228</v>
      </c>
      <c r="D2000" s="279">
        <v>100000</v>
      </c>
      <c r="F2000" s="40">
        <v>4.7600000000000003E-2</v>
      </c>
      <c r="G2000" s="41">
        <v>41862</v>
      </c>
      <c r="H2000" s="41">
        <v>44784</v>
      </c>
      <c r="I2000" s="39">
        <v>5</v>
      </c>
      <c r="J2000" s="39" t="s">
        <v>1716</v>
      </c>
      <c r="K2000" s="39" t="s">
        <v>1716</v>
      </c>
      <c r="L2000" s="39" t="s">
        <v>1014</v>
      </c>
      <c r="M2000" s="38" t="s">
        <v>1803</v>
      </c>
      <c r="N2000" s="38" t="s">
        <v>2229</v>
      </c>
    </row>
    <row r="2001" spans="1:14" x14ac:dyDescent="0.2">
      <c r="A2001" s="38" t="s">
        <v>1803</v>
      </c>
      <c r="B2001" s="38">
        <v>2172</v>
      </c>
      <c r="C2001" s="38" t="s">
        <v>2230</v>
      </c>
      <c r="D2001" s="279">
        <v>100000</v>
      </c>
      <c r="F2001" s="40">
        <v>4.5199999999999997E-2</v>
      </c>
      <c r="G2001" s="41">
        <v>42360</v>
      </c>
      <c r="H2001" s="41">
        <v>46013</v>
      </c>
      <c r="I2001" s="39">
        <v>10</v>
      </c>
      <c r="J2001" s="39" t="s">
        <v>1716</v>
      </c>
      <c r="K2001" s="39" t="s">
        <v>1716</v>
      </c>
      <c r="L2001" s="39" t="s">
        <v>1014</v>
      </c>
      <c r="M2001" s="38" t="s">
        <v>1803</v>
      </c>
      <c r="N2001" s="38" t="s">
        <v>1481</v>
      </c>
    </row>
    <row r="2002" spans="1:14" x14ac:dyDescent="0.2">
      <c r="A2002" s="38" t="s">
        <v>1803</v>
      </c>
      <c r="B2002" s="38">
        <v>9090</v>
      </c>
      <c r="C2002" s="38" t="s">
        <v>2231</v>
      </c>
      <c r="D2002" s="279">
        <v>100000</v>
      </c>
      <c r="F2002" s="40">
        <v>4.2700000000000002E-2</v>
      </c>
      <c r="G2002" s="41">
        <v>40007</v>
      </c>
      <c r="H2002" s="41">
        <v>43659</v>
      </c>
      <c r="I2002" s="39">
        <v>10</v>
      </c>
      <c r="J2002" s="39" t="s">
        <v>1716</v>
      </c>
      <c r="K2002" s="39" t="s">
        <v>1716</v>
      </c>
      <c r="L2002" s="39" t="s">
        <v>1014</v>
      </c>
      <c r="M2002" s="38" t="s">
        <v>1803</v>
      </c>
      <c r="N2002" s="38" t="s">
        <v>1804</v>
      </c>
    </row>
    <row r="2003" spans="1:14" x14ac:dyDescent="0.2">
      <c r="A2003" s="38" t="s">
        <v>557</v>
      </c>
      <c r="B2003" s="38">
        <v>151852</v>
      </c>
      <c r="C2003" s="38" t="s">
        <v>2232</v>
      </c>
      <c r="D2003" s="279">
        <v>100000</v>
      </c>
      <c r="F2003" s="40">
        <v>3.15E-2</v>
      </c>
      <c r="G2003" s="41">
        <v>42916</v>
      </c>
      <c r="H2003" s="41">
        <v>44377</v>
      </c>
      <c r="I2003" s="39">
        <v>4</v>
      </c>
      <c r="J2003" s="39" t="s">
        <v>1716</v>
      </c>
      <c r="K2003" s="39" t="s">
        <v>1716</v>
      </c>
      <c r="L2003" s="39" t="s">
        <v>1014</v>
      </c>
      <c r="M2003" s="38" t="s">
        <v>557</v>
      </c>
      <c r="N2003" s="38" t="s">
        <v>1473</v>
      </c>
    </row>
    <row r="2004" spans="1:14" x14ac:dyDescent="0.2">
      <c r="A2004" s="38" t="s">
        <v>1803</v>
      </c>
      <c r="B2004" s="38">
        <v>5060</v>
      </c>
      <c r="C2004" s="38" t="s">
        <v>2233</v>
      </c>
      <c r="D2004" s="279">
        <v>100000</v>
      </c>
      <c r="F2004" s="40">
        <v>3.2199999999999999E-2</v>
      </c>
      <c r="G2004" s="41">
        <v>43054</v>
      </c>
      <c r="H2004" s="41">
        <v>46380</v>
      </c>
      <c r="I2004" s="39">
        <v>9</v>
      </c>
      <c r="J2004" s="39" t="s">
        <v>1716</v>
      </c>
      <c r="K2004" s="39" t="s">
        <v>1716</v>
      </c>
      <c r="L2004" s="39" t="s">
        <v>1014</v>
      </c>
      <c r="M2004" s="38" t="s">
        <v>1803</v>
      </c>
      <c r="N2004" s="38" t="s">
        <v>2234</v>
      </c>
    </row>
    <row r="2005" spans="1:14" x14ac:dyDescent="0.2">
      <c r="A2005" s="38" t="s">
        <v>1803</v>
      </c>
      <c r="B2005" s="38">
        <v>5061</v>
      </c>
      <c r="C2005" s="38" t="s">
        <v>2235</v>
      </c>
      <c r="D2005" s="279">
        <v>100000</v>
      </c>
      <c r="F2005" s="40">
        <v>4.0300000000000002E-2</v>
      </c>
      <c r="G2005" s="41">
        <v>43054</v>
      </c>
      <c r="H2005" s="41">
        <v>49667</v>
      </c>
      <c r="I2005" s="39">
        <v>9</v>
      </c>
      <c r="J2005" s="39" t="s">
        <v>1716</v>
      </c>
      <c r="K2005" s="39" t="s">
        <v>1716</v>
      </c>
      <c r="L2005" s="39" t="s">
        <v>1014</v>
      </c>
      <c r="M2005" s="38" t="s">
        <v>1803</v>
      </c>
      <c r="N2005" s="38" t="s">
        <v>2234</v>
      </c>
    </row>
    <row r="2006" spans="1:14" x14ac:dyDescent="0.2">
      <c r="A2006" s="38" t="s">
        <v>1035</v>
      </c>
      <c r="B2006" s="38">
        <v>201508</v>
      </c>
      <c r="C2006" s="38" t="s">
        <v>2236</v>
      </c>
      <c r="D2006" s="279">
        <v>100000</v>
      </c>
      <c r="F2006" s="40">
        <v>2.35E-2</v>
      </c>
      <c r="G2006" s="41">
        <v>43024</v>
      </c>
      <c r="H2006" s="41">
        <v>43479</v>
      </c>
      <c r="I2006" s="39">
        <v>52</v>
      </c>
      <c r="J2006" s="39" t="s">
        <v>369</v>
      </c>
      <c r="K2006" s="39" t="s">
        <v>1716</v>
      </c>
      <c r="L2006" s="39" t="s">
        <v>1014</v>
      </c>
      <c r="M2006" s="38" t="s">
        <v>1035</v>
      </c>
      <c r="N2006" s="38" t="s">
        <v>68</v>
      </c>
    </row>
    <row r="2007" spans="1:14" x14ac:dyDescent="0.2">
      <c r="A2007" s="38" t="s">
        <v>557</v>
      </c>
      <c r="B2007" s="38">
        <v>151893</v>
      </c>
      <c r="C2007" s="38" t="s">
        <v>2237</v>
      </c>
      <c r="D2007" s="279">
        <v>100000</v>
      </c>
      <c r="F2007" s="40">
        <v>2.75E-2</v>
      </c>
      <c r="G2007" s="41">
        <v>43062</v>
      </c>
      <c r="H2007" s="41">
        <v>43792</v>
      </c>
      <c r="I2007" s="39">
        <v>2</v>
      </c>
      <c r="J2007" s="39" t="s">
        <v>1716</v>
      </c>
      <c r="K2007" s="39" t="s">
        <v>1716</v>
      </c>
      <c r="L2007" s="39" t="s">
        <v>1014</v>
      </c>
      <c r="M2007" s="38" t="s">
        <v>557</v>
      </c>
      <c r="N2007" s="38" t="s">
        <v>1042</v>
      </c>
    </row>
    <row r="2008" spans="1:14" x14ac:dyDescent="0.2">
      <c r="A2008" s="38" t="s">
        <v>1015</v>
      </c>
      <c r="B2008" s="38">
        <v>100699</v>
      </c>
      <c r="C2008" s="38" t="s">
        <v>2238</v>
      </c>
      <c r="D2008" s="279">
        <v>100000</v>
      </c>
      <c r="F2008" s="40">
        <v>3.3799999999999997E-2</v>
      </c>
      <c r="G2008" s="41">
        <v>43063</v>
      </c>
      <c r="H2008" s="41">
        <v>44889</v>
      </c>
      <c r="I2008" s="39">
        <v>5</v>
      </c>
      <c r="J2008" s="39" t="s">
        <v>1716</v>
      </c>
      <c r="K2008" s="39" t="s">
        <v>1716</v>
      </c>
      <c r="L2008" s="39" t="s">
        <v>1014</v>
      </c>
      <c r="M2008" s="38" t="s">
        <v>1015</v>
      </c>
      <c r="N2008" s="38" t="s">
        <v>132</v>
      </c>
    </row>
    <row r="2009" spans="1:14" x14ac:dyDescent="0.2">
      <c r="A2009" s="38" t="s">
        <v>1803</v>
      </c>
      <c r="B2009" s="38">
        <v>9236</v>
      </c>
      <c r="C2009" s="38" t="s">
        <v>2239</v>
      </c>
      <c r="D2009" s="279">
        <v>100000</v>
      </c>
      <c r="F2009" s="40">
        <v>4.9500000000000002E-2</v>
      </c>
      <c r="G2009" s="41">
        <v>41978</v>
      </c>
      <c r="H2009" s="41">
        <v>44535</v>
      </c>
      <c r="I2009" s="39">
        <v>7</v>
      </c>
      <c r="J2009" s="39" t="s">
        <v>1716</v>
      </c>
      <c r="K2009" s="39" t="s">
        <v>1716</v>
      </c>
      <c r="L2009" s="39" t="s">
        <v>1014</v>
      </c>
      <c r="M2009" s="38" t="s">
        <v>1803</v>
      </c>
      <c r="N2009" s="38" t="s">
        <v>2240</v>
      </c>
    </row>
    <row r="2010" spans="1:14" x14ac:dyDescent="0.2">
      <c r="A2010" s="38" t="s">
        <v>1015</v>
      </c>
      <c r="B2010" s="38">
        <v>100700</v>
      </c>
      <c r="C2010" s="38" t="s">
        <v>2241</v>
      </c>
      <c r="D2010" s="279">
        <v>100000</v>
      </c>
      <c r="F2010" s="40">
        <v>2.8899999999999999E-2</v>
      </c>
      <c r="G2010" s="41">
        <v>43067</v>
      </c>
      <c r="H2010" s="41">
        <v>43797</v>
      </c>
      <c r="I2010" s="39">
        <v>2</v>
      </c>
      <c r="J2010" s="39" t="s">
        <v>1716</v>
      </c>
      <c r="K2010" s="39" t="s">
        <v>1716</v>
      </c>
      <c r="L2010" s="39" t="s">
        <v>1014</v>
      </c>
      <c r="M2010" s="38" t="s">
        <v>1015</v>
      </c>
      <c r="N2010" s="38" t="s">
        <v>640</v>
      </c>
    </row>
    <row r="2011" spans="1:14" x14ac:dyDescent="0.2">
      <c r="A2011" s="38" t="s">
        <v>1803</v>
      </c>
      <c r="B2011" s="38">
        <v>9351</v>
      </c>
      <c r="C2011" s="38" t="s">
        <v>2242</v>
      </c>
      <c r="D2011" s="279">
        <v>100000</v>
      </c>
      <c r="F2011" s="40">
        <v>3.9300000000000002E-2</v>
      </c>
      <c r="G2011" s="41">
        <v>43075</v>
      </c>
      <c r="H2011" s="41">
        <v>48554</v>
      </c>
      <c r="I2011" s="39">
        <v>15</v>
      </c>
      <c r="J2011" s="39" t="s">
        <v>1716</v>
      </c>
      <c r="K2011" s="39" t="s">
        <v>1716</v>
      </c>
      <c r="L2011" s="39" t="s">
        <v>1014</v>
      </c>
      <c r="M2011" s="38" t="s">
        <v>1803</v>
      </c>
      <c r="N2011" s="38" t="s">
        <v>1004</v>
      </c>
    </row>
    <row r="2012" spans="1:14" x14ac:dyDescent="0.2">
      <c r="A2012" s="38" t="s">
        <v>1803</v>
      </c>
      <c r="B2012" s="38">
        <v>9352</v>
      </c>
      <c r="C2012" s="38" t="s">
        <v>2243</v>
      </c>
      <c r="D2012" s="279">
        <v>100000</v>
      </c>
      <c r="F2012" s="40">
        <v>2.7699999999999999E-2</v>
      </c>
      <c r="G2012" s="41">
        <v>43075</v>
      </c>
      <c r="H2012" s="41">
        <v>46727</v>
      </c>
      <c r="I2012" s="39">
        <v>10</v>
      </c>
      <c r="J2012" s="39" t="s">
        <v>1716</v>
      </c>
      <c r="K2012" s="39" t="s">
        <v>1716</v>
      </c>
      <c r="L2012" s="39" t="s">
        <v>1014</v>
      </c>
      <c r="M2012" s="38" t="s">
        <v>1803</v>
      </c>
      <c r="N2012" s="38" t="s">
        <v>1004</v>
      </c>
    </row>
    <row r="2013" spans="1:14" x14ac:dyDescent="0.2">
      <c r="A2013" s="38" t="s">
        <v>557</v>
      </c>
      <c r="B2013" s="38">
        <v>151902</v>
      </c>
      <c r="C2013" s="38" t="s">
        <v>2244</v>
      </c>
      <c r="D2013" s="279">
        <v>100000</v>
      </c>
      <c r="F2013" s="40">
        <v>2.9000000000000001E-2</v>
      </c>
      <c r="G2013" s="41">
        <v>43087</v>
      </c>
      <c r="H2013" s="41">
        <v>43817</v>
      </c>
      <c r="I2013" s="39">
        <v>2</v>
      </c>
      <c r="J2013" s="39" t="s">
        <v>1716</v>
      </c>
      <c r="K2013" s="39" t="s">
        <v>1716</v>
      </c>
      <c r="L2013" s="39" t="s">
        <v>1014</v>
      </c>
      <c r="M2013" s="38" t="s">
        <v>557</v>
      </c>
      <c r="N2013" s="38" t="s">
        <v>1042</v>
      </c>
    </row>
    <row r="2014" spans="1:14" x14ac:dyDescent="0.2">
      <c r="A2014" s="38" t="s">
        <v>1015</v>
      </c>
      <c r="B2014" s="38">
        <v>100702</v>
      </c>
      <c r="C2014" s="38" t="s">
        <v>2245</v>
      </c>
      <c r="D2014" s="279">
        <v>100000</v>
      </c>
      <c r="F2014" s="40">
        <v>2.9600000000000001E-2</v>
      </c>
      <c r="G2014" s="41">
        <v>43096</v>
      </c>
      <c r="H2014" s="41">
        <v>43826</v>
      </c>
      <c r="I2014" s="39">
        <v>2</v>
      </c>
      <c r="J2014" s="39" t="s">
        <v>1716</v>
      </c>
      <c r="K2014" s="39" t="s">
        <v>1716</v>
      </c>
      <c r="L2014" s="39" t="s">
        <v>1014</v>
      </c>
      <c r="M2014" s="38" t="s">
        <v>1015</v>
      </c>
      <c r="N2014" s="38" t="s">
        <v>640</v>
      </c>
    </row>
    <row r="2015" spans="1:14" x14ac:dyDescent="0.2">
      <c r="A2015" s="38" t="s">
        <v>557</v>
      </c>
      <c r="B2015" s="38">
        <v>151910</v>
      </c>
      <c r="C2015" s="38" t="s">
        <v>2246</v>
      </c>
      <c r="D2015" s="279">
        <v>100000</v>
      </c>
      <c r="F2015" s="40">
        <v>2.4E-2</v>
      </c>
      <c r="G2015" s="41">
        <v>43097</v>
      </c>
      <c r="H2015" s="41">
        <v>43188</v>
      </c>
      <c r="I2015" s="39">
        <v>13</v>
      </c>
      <c r="J2015" s="39" t="s">
        <v>369</v>
      </c>
      <c r="K2015" s="39" t="s">
        <v>369</v>
      </c>
      <c r="L2015" s="39" t="s">
        <v>1014</v>
      </c>
      <c r="M2015" s="38" t="s">
        <v>557</v>
      </c>
      <c r="N2015" s="38" t="s">
        <v>1871</v>
      </c>
    </row>
    <row r="2016" spans="1:14" x14ac:dyDescent="0.2">
      <c r="A2016" s="38" t="s">
        <v>1803</v>
      </c>
      <c r="B2016" s="38">
        <v>9355</v>
      </c>
      <c r="C2016" s="38" t="s">
        <v>2247</v>
      </c>
      <c r="D2016" s="279">
        <v>100000</v>
      </c>
      <c r="F2016" s="40">
        <v>2.92E-2</v>
      </c>
      <c r="G2016" s="41">
        <v>43097</v>
      </c>
      <c r="H2016" s="41">
        <v>45654</v>
      </c>
      <c r="I2016" s="39">
        <v>7</v>
      </c>
      <c r="J2016" s="39" t="s">
        <v>1716</v>
      </c>
      <c r="K2016" s="39" t="s">
        <v>1716</v>
      </c>
      <c r="L2016" s="39" t="s">
        <v>1014</v>
      </c>
      <c r="M2016" s="38" t="s">
        <v>1803</v>
      </c>
      <c r="N2016" s="38" t="s">
        <v>1481</v>
      </c>
    </row>
    <row r="2017" spans="1:14" x14ac:dyDescent="0.2">
      <c r="A2017" s="38" t="s">
        <v>1803</v>
      </c>
      <c r="B2017" s="38">
        <v>9358</v>
      </c>
      <c r="C2017" s="38" t="s">
        <v>2248</v>
      </c>
      <c r="D2017" s="279">
        <v>100000</v>
      </c>
      <c r="F2017" s="40">
        <v>2.7900000000000001E-2</v>
      </c>
      <c r="G2017" s="41">
        <v>43097</v>
      </c>
      <c r="H2017" s="41">
        <v>45654</v>
      </c>
      <c r="I2017" s="39">
        <v>7</v>
      </c>
      <c r="J2017" s="39" t="s">
        <v>1716</v>
      </c>
      <c r="K2017" s="39" t="s">
        <v>1716</v>
      </c>
      <c r="L2017" s="39" t="s">
        <v>1014</v>
      </c>
      <c r="M2017" s="38" t="s">
        <v>1803</v>
      </c>
      <c r="N2017" s="38" t="s">
        <v>597</v>
      </c>
    </row>
    <row r="2018" spans="1:14" x14ac:dyDescent="0.2">
      <c r="A2018" s="38" t="s">
        <v>1713</v>
      </c>
      <c r="B2018" s="38">
        <v>140809</v>
      </c>
      <c r="C2018" s="38" t="s">
        <v>2249</v>
      </c>
      <c r="D2018" s="279">
        <v>100000</v>
      </c>
      <c r="F2018" s="40">
        <v>2.7699999999999999E-2</v>
      </c>
      <c r="G2018" s="41">
        <v>43098</v>
      </c>
      <c r="H2018" s="41">
        <v>43462</v>
      </c>
      <c r="I2018" s="39">
        <v>364</v>
      </c>
      <c r="J2018" s="39" t="s">
        <v>1396</v>
      </c>
      <c r="K2018" s="39" t="s">
        <v>1716</v>
      </c>
      <c r="L2018" s="39" t="s">
        <v>1014</v>
      </c>
      <c r="M2018" s="38" t="s">
        <v>1713</v>
      </c>
      <c r="N2018" s="38" t="s">
        <v>1006</v>
      </c>
    </row>
    <row r="2019" spans="1:14" x14ac:dyDescent="0.2">
      <c r="A2019" s="38" t="s">
        <v>1035</v>
      </c>
      <c r="B2019" s="38">
        <v>201512</v>
      </c>
      <c r="C2019" s="38" t="s">
        <v>2250</v>
      </c>
      <c r="D2019" s="279">
        <v>100000</v>
      </c>
      <c r="F2019" s="40">
        <v>2.4E-2</v>
      </c>
      <c r="G2019" s="41">
        <v>43046</v>
      </c>
      <c r="H2019" s="41">
        <v>43776</v>
      </c>
      <c r="I2019" s="39">
        <v>2</v>
      </c>
      <c r="J2019" s="39" t="s">
        <v>1716</v>
      </c>
      <c r="K2019" s="39" t="s">
        <v>1716</v>
      </c>
      <c r="L2019" s="39" t="s">
        <v>1014</v>
      </c>
      <c r="M2019" s="38" t="s">
        <v>1035</v>
      </c>
      <c r="N2019" s="38" t="s">
        <v>68</v>
      </c>
    </row>
    <row r="2020" spans="1:14" x14ac:dyDescent="0.2">
      <c r="A2020" s="38" t="s">
        <v>1803</v>
      </c>
      <c r="B2020" s="38">
        <v>9308</v>
      </c>
      <c r="C2020" s="38" t="s">
        <v>2251</v>
      </c>
      <c r="D2020" s="279">
        <v>100000</v>
      </c>
      <c r="F2020" s="40">
        <v>3.3399999999999999E-2</v>
      </c>
      <c r="G2020" s="41">
        <v>42750</v>
      </c>
      <c r="H2020" s="41">
        <v>49324</v>
      </c>
      <c r="I2020" s="39">
        <v>18</v>
      </c>
      <c r="J2020" s="39" t="s">
        <v>1716</v>
      </c>
      <c r="K2020" s="39" t="s">
        <v>1716</v>
      </c>
      <c r="L2020" s="39" t="s">
        <v>1014</v>
      </c>
      <c r="M2020" s="38" t="s">
        <v>1803</v>
      </c>
      <c r="N2020" s="38" t="s">
        <v>2252</v>
      </c>
    </row>
    <row r="2021" spans="1:14" x14ac:dyDescent="0.2">
      <c r="A2021" s="38" t="s">
        <v>1803</v>
      </c>
      <c r="B2021" s="38">
        <v>9360</v>
      </c>
      <c r="C2021" s="38" t="s">
        <v>2253</v>
      </c>
      <c r="D2021" s="279">
        <v>100000</v>
      </c>
      <c r="F2021" s="40">
        <v>4.0800000000000003E-2</v>
      </c>
      <c r="G2021" s="41">
        <v>43117</v>
      </c>
      <c r="H2021" s="41">
        <v>46769</v>
      </c>
      <c r="I2021" s="39">
        <v>10</v>
      </c>
      <c r="J2021" s="39" t="s">
        <v>1716</v>
      </c>
      <c r="K2021" s="39" t="s">
        <v>1716</v>
      </c>
      <c r="L2021" s="39" t="s">
        <v>1014</v>
      </c>
      <c r="M2021" s="38" t="s">
        <v>1803</v>
      </c>
      <c r="N2021" s="38" t="s">
        <v>231</v>
      </c>
    </row>
    <row r="2022" spans="1:14" x14ac:dyDescent="0.2">
      <c r="A2022" s="38" t="s">
        <v>1035</v>
      </c>
      <c r="B2022" s="38">
        <v>201517</v>
      </c>
      <c r="C2022" s="38" t="s">
        <v>2254</v>
      </c>
      <c r="D2022" s="279">
        <v>100000</v>
      </c>
      <c r="F2022" s="40">
        <v>2.4E-2</v>
      </c>
      <c r="G2022" s="41">
        <v>43122</v>
      </c>
      <c r="H2022" s="41">
        <v>43605</v>
      </c>
      <c r="I2022" s="39">
        <v>1</v>
      </c>
      <c r="J2022" s="39" t="s">
        <v>1716</v>
      </c>
      <c r="K2022" s="39" t="s">
        <v>1716</v>
      </c>
      <c r="L2022" s="39" t="s">
        <v>1014</v>
      </c>
      <c r="M2022" s="38" t="s">
        <v>1803</v>
      </c>
      <c r="N2022" s="38" t="s">
        <v>68</v>
      </c>
    </row>
    <row r="2023" spans="1:14" x14ac:dyDescent="0.2">
      <c r="A2023" s="38" t="s">
        <v>1015</v>
      </c>
      <c r="B2023" s="38">
        <v>100705</v>
      </c>
      <c r="C2023" s="38" t="s">
        <v>2255</v>
      </c>
      <c r="D2023" s="279">
        <v>100000</v>
      </c>
      <c r="F2023" s="40">
        <v>2.9600000000000001E-2</v>
      </c>
      <c r="G2023" s="41">
        <v>43126</v>
      </c>
      <c r="H2023" s="41">
        <v>43856</v>
      </c>
      <c r="I2023" s="39">
        <v>2</v>
      </c>
      <c r="J2023" s="39" t="s">
        <v>1716</v>
      </c>
      <c r="K2023" s="39" t="s">
        <v>1716</v>
      </c>
      <c r="L2023" s="39" t="s">
        <v>1014</v>
      </c>
      <c r="M2023" s="38" t="s">
        <v>1015</v>
      </c>
      <c r="N2023" s="38" t="s">
        <v>1226</v>
      </c>
    </row>
    <row r="2024" spans="1:14" x14ac:dyDescent="0.2">
      <c r="A2024" s="38" t="s">
        <v>1015</v>
      </c>
      <c r="B2024" s="38">
        <v>201518</v>
      </c>
      <c r="C2024" s="38" t="s">
        <v>2256</v>
      </c>
      <c r="D2024" s="279">
        <v>100000</v>
      </c>
      <c r="F2024" s="40">
        <v>2.5499999999999998E-2</v>
      </c>
      <c r="G2024" s="41">
        <v>43136</v>
      </c>
      <c r="H2024" s="41">
        <v>43969</v>
      </c>
      <c r="I2024" s="39">
        <v>2</v>
      </c>
      <c r="J2024" s="39" t="s">
        <v>1716</v>
      </c>
      <c r="K2024" s="39" t="s">
        <v>1716</v>
      </c>
      <c r="L2024" s="39" t="s">
        <v>1014</v>
      </c>
      <c r="M2024" s="38" t="s">
        <v>1015</v>
      </c>
      <c r="N2024" s="38" t="s">
        <v>68</v>
      </c>
    </row>
    <row r="2025" spans="1:14" x14ac:dyDescent="0.2">
      <c r="A2025" s="38" t="s">
        <v>557</v>
      </c>
      <c r="B2025" s="38">
        <v>151916</v>
      </c>
      <c r="C2025" s="38" t="s">
        <v>2257</v>
      </c>
      <c r="D2025" s="279">
        <v>100000</v>
      </c>
      <c r="F2025" s="40">
        <v>2.86E-2</v>
      </c>
      <c r="G2025" s="41">
        <v>43144</v>
      </c>
      <c r="H2025" s="41">
        <v>43874</v>
      </c>
      <c r="I2025" s="39">
        <v>2</v>
      </c>
      <c r="J2025" s="39" t="s">
        <v>1716</v>
      </c>
      <c r="K2025" s="39" t="s">
        <v>1716</v>
      </c>
      <c r="L2025" s="39" t="s">
        <v>1014</v>
      </c>
      <c r="M2025" s="38" t="s">
        <v>557</v>
      </c>
      <c r="N2025" s="38" t="s">
        <v>1481</v>
      </c>
    </row>
    <row r="2026" spans="1:14" x14ac:dyDescent="0.2">
      <c r="A2026" s="38" t="s">
        <v>1015</v>
      </c>
      <c r="B2026" s="38">
        <v>100708</v>
      </c>
      <c r="C2026" s="38" t="s">
        <v>2261</v>
      </c>
      <c r="D2026" s="279">
        <v>100000</v>
      </c>
      <c r="F2026" s="40">
        <v>2.8500000000000001E-2</v>
      </c>
      <c r="G2026" s="41">
        <v>43151</v>
      </c>
      <c r="H2026" s="41">
        <v>43881</v>
      </c>
      <c r="I2026" s="39">
        <v>2</v>
      </c>
      <c r="J2026" s="39" t="s">
        <v>1716</v>
      </c>
      <c r="K2026" s="39" t="s">
        <v>1716</v>
      </c>
      <c r="L2026" s="39" t="s">
        <v>1014</v>
      </c>
      <c r="M2026" s="38" t="s">
        <v>1015</v>
      </c>
      <c r="N2026" s="38" t="s">
        <v>1226</v>
      </c>
    </row>
    <row r="2027" spans="1:14" x14ac:dyDescent="0.2">
      <c r="A2027" s="38" t="s">
        <v>1015</v>
      </c>
      <c r="B2027" s="38">
        <v>100709</v>
      </c>
      <c r="C2027" s="38" t="s">
        <v>2260</v>
      </c>
      <c r="D2027" s="279">
        <v>100000</v>
      </c>
      <c r="F2027" s="40">
        <v>3.3000000000000002E-2</v>
      </c>
      <c r="G2027" s="41">
        <v>43151</v>
      </c>
      <c r="H2027" s="41">
        <v>44977</v>
      </c>
      <c r="I2027" s="39">
        <v>5</v>
      </c>
      <c r="J2027" s="39" t="s">
        <v>1716</v>
      </c>
      <c r="K2027" s="39" t="s">
        <v>1716</v>
      </c>
      <c r="L2027" s="39" t="s">
        <v>1014</v>
      </c>
      <c r="M2027" s="38" t="s">
        <v>1015</v>
      </c>
      <c r="N2027" s="38" t="s">
        <v>1226</v>
      </c>
    </row>
    <row r="2028" spans="1:14" x14ac:dyDescent="0.2">
      <c r="A2028" s="38" t="s">
        <v>1035</v>
      </c>
      <c r="B2028" s="38">
        <v>201519</v>
      </c>
      <c r="C2028" s="38" t="s">
        <v>2262</v>
      </c>
      <c r="D2028" s="279">
        <v>100000</v>
      </c>
      <c r="F2028" s="40">
        <v>3.3000000000000002E-2</v>
      </c>
      <c r="G2028" s="41">
        <v>43136</v>
      </c>
      <c r="H2028" s="41">
        <v>46923</v>
      </c>
      <c r="I2028" s="39">
        <v>10</v>
      </c>
      <c r="J2028" s="39" t="s">
        <v>1716</v>
      </c>
      <c r="K2028" s="39" t="s">
        <v>1716</v>
      </c>
      <c r="L2028" s="39" t="s">
        <v>1014</v>
      </c>
      <c r="M2028" s="38" t="s">
        <v>1035</v>
      </c>
      <c r="N2028" s="38" t="s">
        <v>68</v>
      </c>
    </row>
    <row r="2029" spans="1:14" x14ac:dyDescent="0.2">
      <c r="A2029" s="38" t="s">
        <v>1015</v>
      </c>
      <c r="B2029" s="38">
        <v>100712</v>
      </c>
      <c r="C2029" s="38" t="s">
        <v>2264</v>
      </c>
      <c r="D2029" s="279">
        <v>100000</v>
      </c>
      <c r="F2029" s="40">
        <v>2.9399999999999999E-2</v>
      </c>
      <c r="G2029" s="41">
        <v>43161</v>
      </c>
      <c r="H2029" s="41">
        <v>43892</v>
      </c>
      <c r="I2029" s="39">
        <v>2</v>
      </c>
      <c r="J2029" s="39" t="s">
        <v>1716</v>
      </c>
      <c r="K2029" s="39" t="s">
        <v>1716</v>
      </c>
      <c r="L2029" s="39" t="s">
        <v>1014</v>
      </c>
      <c r="M2029" s="38" t="s">
        <v>1015</v>
      </c>
      <c r="N2029" s="38" t="s">
        <v>640</v>
      </c>
    </row>
    <row r="2030" spans="1:14" x14ac:dyDescent="0.2">
      <c r="A2030" s="38" t="s">
        <v>557</v>
      </c>
      <c r="B2030" s="38">
        <v>151925</v>
      </c>
      <c r="C2030" s="38" t="s">
        <v>2273</v>
      </c>
      <c r="D2030" s="279">
        <v>100000</v>
      </c>
      <c r="F2030" s="40">
        <v>2.58E-2</v>
      </c>
      <c r="G2030" s="41">
        <v>43175</v>
      </c>
      <c r="H2030" s="41">
        <v>43539</v>
      </c>
      <c r="I2030" s="39">
        <v>52</v>
      </c>
      <c r="J2030" s="39" t="s">
        <v>369</v>
      </c>
      <c r="K2030" s="39" t="s">
        <v>1716</v>
      </c>
      <c r="L2030" s="39" t="s">
        <v>1014</v>
      </c>
      <c r="M2030" s="38" t="s">
        <v>557</v>
      </c>
      <c r="N2030" s="38" t="s">
        <v>1871</v>
      </c>
    </row>
    <row r="2031" spans="1:14" x14ac:dyDescent="0.2">
      <c r="A2031" s="38" t="s">
        <v>1803</v>
      </c>
      <c r="B2031" s="38">
        <v>9314</v>
      </c>
      <c r="C2031" s="38" t="s">
        <v>2274</v>
      </c>
      <c r="D2031" s="279">
        <v>100000</v>
      </c>
      <c r="F2031" s="40">
        <v>4.4200000000000003E-2</v>
      </c>
      <c r="G2031" s="41">
        <v>42817</v>
      </c>
      <c r="H2031" s="41">
        <v>50122</v>
      </c>
      <c r="I2031" s="39">
        <v>20</v>
      </c>
      <c r="J2031" s="39" t="s">
        <v>1716</v>
      </c>
      <c r="K2031" s="39" t="s">
        <v>1716</v>
      </c>
      <c r="L2031" s="39" t="s">
        <v>1014</v>
      </c>
      <c r="M2031" s="38" t="s">
        <v>1803</v>
      </c>
      <c r="N2031" s="38" t="s">
        <v>2275</v>
      </c>
    </row>
    <row r="2032" spans="1:14" x14ac:dyDescent="0.2">
      <c r="A2032" s="38" t="s">
        <v>557</v>
      </c>
      <c r="B2032" s="38">
        <v>151926</v>
      </c>
      <c r="C2032" s="38" t="s">
        <v>2276</v>
      </c>
      <c r="D2032" s="279">
        <v>100000</v>
      </c>
      <c r="F2032" s="40">
        <v>2.35E-2</v>
      </c>
      <c r="G2032" s="41">
        <v>43181</v>
      </c>
      <c r="H2032" s="41">
        <v>43272</v>
      </c>
      <c r="I2032" s="39">
        <v>13</v>
      </c>
      <c r="J2032" s="39" t="s">
        <v>369</v>
      </c>
      <c r="K2032" s="39" t="s">
        <v>1716</v>
      </c>
      <c r="L2032" s="39" t="s">
        <v>1014</v>
      </c>
      <c r="M2032" s="38" t="s">
        <v>557</v>
      </c>
      <c r="N2032" s="38" t="s">
        <v>916</v>
      </c>
    </row>
    <row r="2033" spans="1:14" x14ac:dyDescent="0.2">
      <c r="A2033" s="38" t="s">
        <v>557</v>
      </c>
      <c r="B2033" s="38">
        <v>151927</v>
      </c>
      <c r="C2033" s="38" t="s">
        <v>2277</v>
      </c>
      <c r="D2033" s="279">
        <v>100000</v>
      </c>
      <c r="F2033" s="40">
        <v>2.4E-2</v>
      </c>
      <c r="G2033" s="41">
        <v>43181</v>
      </c>
      <c r="H2033" s="41">
        <v>43363</v>
      </c>
      <c r="I2033" s="39">
        <v>26</v>
      </c>
      <c r="J2033" s="39" t="s">
        <v>369</v>
      </c>
      <c r="K2033" s="39" t="s">
        <v>1716</v>
      </c>
      <c r="L2033" s="39" t="s">
        <v>1014</v>
      </c>
      <c r="M2033" s="38" t="s">
        <v>557</v>
      </c>
      <c r="N2033" s="38" t="s">
        <v>916</v>
      </c>
    </row>
    <row r="2034" spans="1:14" x14ac:dyDescent="0.2">
      <c r="A2034" s="38" t="s">
        <v>557</v>
      </c>
      <c r="B2034" s="38">
        <v>151928</v>
      </c>
      <c r="C2034" s="38" t="s">
        <v>2278</v>
      </c>
      <c r="D2034" s="279">
        <v>100000</v>
      </c>
      <c r="F2034" s="40">
        <v>2.8000000000000001E-2</v>
      </c>
      <c r="G2034" s="41">
        <v>43181</v>
      </c>
      <c r="H2034" s="41">
        <v>43912</v>
      </c>
      <c r="I2034" s="39">
        <v>2</v>
      </c>
      <c r="J2034" s="39" t="s">
        <v>1716</v>
      </c>
      <c r="K2034" s="39" t="s">
        <v>1716</v>
      </c>
      <c r="L2034" s="39" t="s">
        <v>1014</v>
      </c>
      <c r="M2034" s="38" t="s">
        <v>557</v>
      </c>
      <c r="N2034" s="38" t="s">
        <v>1050</v>
      </c>
    </row>
    <row r="2035" spans="1:14" x14ac:dyDescent="0.2">
      <c r="A2035" s="38" t="s">
        <v>557</v>
      </c>
      <c r="B2035" s="38">
        <v>151929</v>
      </c>
      <c r="C2035" s="38" t="s">
        <v>2279</v>
      </c>
      <c r="D2035" s="279">
        <v>100000</v>
      </c>
      <c r="F2035" s="40">
        <v>2.8299999999999999E-2</v>
      </c>
      <c r="G2035" s="41">
        <v>43181</v>
      </c>
      <c r="H2035" s="41">
        <v>44004</v>
      </c>
      <c r="I2035" s="39">
        <v>3</v>
      </c>
      <c r="J2035" s="39" t="s">
        <v>1716</v>
      </c>
      <c r="K2035" s="39" t="s">
        <v>1716</v>
      </c>
      <c r="L2035" s="39" t="s">
        <v>1014</v>
      </c>
      <c r="M2035" s="38" t="s">
        <v>557</v>
      </c>
      <c r="N2035" s="38" t="s">
        <v>1050</v>
      </c>
    </row>
    <row r="2036" spans="1:14" x14ac:dyDescent="0.2">
      <c r="A2036" s="38" t="s">
        <v>557</v>
      </c>
      <c r="B2036" s="38">
        <v>151930</v>
      </c>
      <c r="C2036" s="38" t="s">
        <v>2280</v>
      </c>
      <c r="D2036" s="279">
        <v>100000</v>
      </c>
      <c r="F2036" s="40">
        <v>2.8500000000000001E-2</v>
      </c>
      <c r="G2036" s="41">
        <v>43181</v>
      </c>
      <c r="H2036" s="41">
        <v>44096</v>
      </c>
      <c r="I2036" s="39">
        <v>3</v>
      </c>
      <c r="J2036" s="39" t="s">
        <v>1716</v>
      </c>
      <c r="K2036" s="39" t="s">
        <v>1716</v>
      </c>
      <c r="L2036" s="39" t="s">
        <v>1014</v>
      </c>
      <c r="M2036" s="38" t="s">
        <v>557</v>
      </c>
      <c r="N2036" s="38" t="s">
        <v>1050</v>
      </c>
    </row>
    <row r="2037" spans="1:14" x14ac:dyDescent="0.2">
      <c r="A2037" s="38" t="s">
        <v>557</v>
      </c>
      <c r="B2037" s="38">
        <v>151934</v>
      </c>
      <c r="C2037" s="38" t="s">
        <v>2281</v>
      </c>
      <c r="D2037" s="279">
        <v>100000</v>
      </c>
      <c r="F2037" s="40">
        <v>2.5499999999999998E-2</v>
      </c>
      <c r="G2037" s="41">
        <v>43188</v>
      </c>
      <c r="H2037" s="41">
        <v>43552</v>
      </c>
      <c r="I2037" s="39">
        <v>52</v>
      </c>
      <c r="J2037" s="39" t="s">
        <v>369</v>
      </c>
      <c r="K2037" s="39" t="s">
        <v>1716</v>
      </c>
      <c r="L2037" s="39" t="s">
        <v>1014</v>
      </c>
      <c r="M2037" s="38" t="s">
        <v>557</v>
      </c>
      <c r="N2037" s="38" t="s">
        <v>1042</v>
      </c>
    </row>
    <row r="2038" spans="1:14" x14ac:dyDescent="0.2">
      <c r="A2038" s="38" t="s">
        <v>557</v>
      </c>
      <c r="B2038" s="38">
        <v>151933</v>
      </c>
      <c r="C2038" s="38" t="s">
        <v>2282</v>
      </c>
      <c r="D2038" s="279">
        <v>100000</v>
      </c>
      <c r="F2038" s="40">
        <v>2.75E-2</v>
      </c>
      <c r="G2038" s="41">
        <v>43188</v>
      </c>
      <c r="H2038" s="41">
        <v>43919</v>
      </c>
      <c r="I2038" s="39">
        <v>2</v>
      </c>
      <c r="J2038" s="39" t="s">
        <v>1716</v>
      </c>
      <c r="K2038" s="39" t="s">
        <v>1716</v>
      </c>
      <c r="L2038" s="39" t="s">
        <v>1014</v>
      </c>
      <c r="M2038" s="38" t="s">
        <v>557</v>
      </c>
      <c r="N2038" s="38" t="s">
        <v>1042</v>
      </c>
    </row>
    <row r="2039" spans="1:14" x14ac:dyDescent="0.2">
      <c r="A2039" s="38" t="s">
        <v>1035</v>
      </c>
      <c r="B2039" s="38">
        <v>201516</v>
      </c>
      <c r="C2039" s="38" t="s">
        <v>2283</v>
      </c>
      <c r="D2039" s="279">
        <v>100000</v>
      </c>
      <c r="F2039" s="40">
        <v>3.6999999999999998E-2</v>
      </c>
      <c r="G2039" s="41">
        <v>43115</v>
      </c>
      <c r="H2039" s="41">
        <v>48778</v>
      </c>
      <c r="I2039" s="39">
        <v>15</v>
      </c>
      <c r="J2039" s="39" t="s">
        <v>1716</v>
      </c>
      <c r="K2039" s="39" t="s">
        <v>1716</v>
      </c>
      <c r="L2039" s="39" t="s">
        <v>1014</v>
      </c>
      <c r="M2039" s="38" t="s">
        <v>1035</v>
      </c>
      <c r="N2039" s="38" t="s">
        <v>68</v>
      </c>
    </row>
    <row r="2040" spans="1:14" x14ac:dyDescent="0.2">
      <c r="A2040" s="38" t="s">
        <v>1015</v>
      </c>
      <c r="B2040" s="38">
        <v>100651</v>
      </c>
      <c r="C2040" s="38" t="s">
        <v>2284</v>
      </c>
      <c r="D2040" s="279">
        <v>100000</v>
      </c>
      <c r="F2040" s="40">
        <v>3.7199999999999997E-2</v>
      </c>
      <c r="G2040" s="41">
        <v>42472</v>
      </c>
      <c r="H2040" s="41">
        <v>44298</v>
      </c>
      <c r="I2040" s="39">
        <v>5</v>
      </c>
      <c r="J2040" s="39" t="s">
        <v>1716</v>
      </c>
      <c r="K2040" s="39" t="s">
        <v>1716</v>
      </c>
      <c r="L2040" s="39" t="s">
        <v>1014</v>
      </c>
      <c r="M2040" s="38" t="s">
        <v>1015</v>
      </c>
      <c r="N2040" s="38" t="s">
        <v>2285</v>
      </c>
    </row>
    <row r="2041" spans="1:14" x14ac:dyDescent="0.2">
      <c r="A2041" s="38" t="s">
        <v>557</v>
      </c>
      <c r="B2041" s="38">
        <v>151941</v>
      </c>
      <c r="C2041" s="38" t="s">
        <v>2287</v>
      </c>
      <c r="D2041" s="279">
        <v>100000</v>
      </c>
      <c r="F2041" s="40">
        <v>2.5600000000000001E-2</v>
      </c>
      <c r="G2041" s="41">
        <v>43207</v>
      </c>
      <c r="H2041" s="41">
        <v>43571</v>
      </c>
      <c r="I2041" s="39">
        <v>52</v>
      </c>
      <c r="J2041" s="39" t="s">
        <v>369</v>
      </c>
      <c r="K2041" s="39" t="s">
        <v>1716</v>
      </c>
      <c r="L2041" s="39" t="s">
        <v>1014</v>
      </c>
      <c r="M2041" s="38" t="s">
        <v>557</v>
      </c>
      <c r="N2041" s="38" t="s">
        <v>1042</v>
      </c>
    </row>
    <row r="2042" spans="1:14" x14ac:dyDescent="0.2">
      <c r="A2042" s="38" t="s">
        <v>557</v>
      </c>
      <c r="B2042" s="38">
        <v>151942</v>
      </c>
      <c r="C2042" s="38" t="s">
        <v>2288</v>
      </c>
      <c r="D2042" s="279">
        <v>100000</v>
      </c>
      <c r="F2042" s="40">
        <v>2.75E-2</v>
      </c>
      <c r="G2042" s="41">
        <v>43207</v>
      </c>
      <c r="H2042" s="41">
        <v>43938</v>
      </c>
      <c r="I2042" s="39">
        <v>2</v>
      </c>
      <c r="J2042" s="39" t="s">
        <v>1716</v>
      </c>
      <c r="K2042" s="39" t="s">
        <v>1716</v>
      </c>
      <c r="L2042" s="39" t="s">
        <v>1014</v>
      </c>
      <c r="M2042" s="38" t="s">
        <v>557</v>
      </c>
      <c r="N2042" s="38" t="s">
        <v>1042</v>
      </c>
    </row>
    <row r="2043" spans="1:14" x14ac:dyDescent="0.2">
      <c r="A2043" s="38" t="s">
        <v>1015</v>
      </c>
      <c r="B2043" s="38">
        <v>100713</v>
      </c>
      <c r="C2043" s="38" t="s">
        <v>2290</v>
      </c>
      <c r="D2043" s="279">
        <v>100000</v>
      </c>
      <c r="F2043" s="40">
        <v>3.1800000000000002E-2</v>
      </c>
      <c r="G2043" s="41">
        <v>43214</v>
      </c>
      <c r="H2043" s="41">
        <v>44036</v>
      </c>
      <c r="I2043" s="39">
        <v>2</v>
      </c>
      <c r="J2043" s="39" t="s">
        <v>1716</v>
      </c>
      <c r="K2043" s="39" t="s">
        <v>1716</v>
      </c>
      <c r="L2043" s="39" t="s">
        <v>1014</v>
      </c>
      <c r="M2043" s="38" t="s">
        <v>1015</v>
      </c>
      <c r="N2043" s="38" t="s">
        <v>2291</v>
      </c>
    </row>
    <row r="2044" spans="1:14" x14ac:dyDescent="0.2">
      <c r="A2044" s="38" t="s">
        <v>557</v>
      </c>
      <c r="B2044" s="38">
        <v>151944</v>
      </c>
      <c r="C2044" s="38" t="s">
        <v>2292</v>
      </c>
      <c r="D2044" s="279">
        <v>100000</v>
      </c>
      <c r="F2044" s="40">
        <v>2.7699999999999999E-2</v>
      </c>
      <c r="G2044" s="41">
        <v>43220</v>
      </c>
      <c r="H2044" s="41">
        <v>43951</v>
      </c>
      <c r="I2044" s="39">
        <v>2</v>
      </c>
      <c r="J2044" s="39" t="s">
        <v>1716</v>
      </c>
      <c r="K2044" s="39" t="s">
        <v>1716</v>
      </c>
      <c r="L2044" s="39" t="s">
        <v>1014</v>
      </c>
      <c r="M2044" s="38" t="s">
        <v>557</v>
      </c>
      <c r="N2044" s="38" t="s">
        <v>918</v>
      </c>
    </row>
    <row r="2045" spans="1:14" x14ac:dyDescent="0.2">
      <c r="A2045" s="38" t="s">
        <v>1015</v>
      </c>
      <c r="B2045" s="38">
        <v>100714</v>
      </c>
      <c r="C2045" s="38" t="s">
        <v>2294</v>
      </c>
      <c r="D2045" s="279">
        <v>100000</v>
      </c>
      <c r="F2045" s="40">
        <v>3.3599999999999998E-2</v>
      </c>
      <c r="G2045" s="41">
        <v>43222</v>
      </c>
      <c r="H2045" s="41">
        <v>45048</v>
      </c>
      <c r="I2045" s="39">
        <v>5</v>
      </c>
      <c r="J2045" s="39" t="s">
        <v>1716</v>
      </c>
      <c r="K2045" s="39" t="s">
        <v>1716</v>
      </c>
      <c r="L2045" s="39" t="s">
        <v>1014</v>
      </c>
      <c r="M2045" s="38" t="s">
        <v>1015</v>
      </c>
      <c r="N2045" s="38" t="s">
        <v>132</v>
      </c>
    </row>
    <row r="2046" spans="1:14" x14ac:dyDescent="0.2">
      <c r="A2046" s="38" t="s">
        <v>1803</v>
      </c>
      <c r="B2046" s="38">
        <v>2185</v>
      </c>
      <c r="C2046" s="38" t="s">
        <v>2295</v>
      </c>
      <c r="D2046" s="279">
        <v>100000</v>
      </c>
      <c r="F2046" s="40">
        <v>4.0300000000000002E-2</v>
      </c>
      <c r="G2046" s="41">
        <v>43234</v>
      </c>
      <c r="H2046" s="41">
        <v>46887</v>
      </c>
      <c r="I2046" s="39">
        <v>10</v>
      </c>
      <c r="J2046" s="39" t="s">
        <v>1716</v>
      </c>
      <c r="K2046" s="39" t="s">
        <v>1716</v>
      </c>
      <c r="L2046" s="39" t="s">
        <v>1014</v>
      </c>
      <c r="M2046" s="38" t="s">
        <v>1803</v>
      </c>
      <c r="N2046" s="38" t="s">
        <v>626</v>
      </c>
    </row>
    <row r="2047" spans="1:14" x14ac:dyDescent="0.2">
      <c r="A2047" s="38" t="s">
        <v>1803</v>
      </c>
      <c r="B2047" s="38">
        <v>9362</v>
      </c>
      <c r="C2047" s="38" t="s">
        <v>2296</v>
      </c>
      <c r="D2047" s="279">
        <v>100000</v>
      </c>
      <c r="F2047" s="40">
        <v>0.03</v>
      </c>
      <c r="G2047" s="41">
        <v>43234</v>
      </c>
      <c r="H2047" s="41">
        <v>46887</v>
      </c>
      <c r="I2047" s="39">
        <v>52</v>
      </c>
      <c r="J2047" s="39" t="s">
        <v>369</v>
      </c>
      <c r="K2047" s="39" t="s">
        <v>1716</v>
      </c>
      <c r="L2047" s="39" t="s">
        <v>1014</v>
      </c>
      <c r="M2047" s="38" t="s">
        <v>1803</v>
      </c>
      <c r="N2047" s="38" t="s">
        <v>626</v>
      </c>
    </row>
    <row r="2048" spans="1:14" x14ac:dyDescent="0.2">
      <c r="A2048" s="38" t="s">
        <v>1803</v>
      </c>
      <c r="B2048" s="38">
        <v>9363</v>
      </c>
      <c r="C2048" s="38" t="s">
        <v>2298</v>
      </c>
      <c r="D2048" s="279">
        <v>100000</v>
      </c>
      <c r="F2048" s="40">
        <v>4.7199999999999999E-2</v>
      </c>
      <c r="G2048" s="41">
        <v>43234</v>
      </c>
      <c r="H2048" s="41">
        <v>48713</v>
      </c>
      <c r="I2048" s="39">
        <v>15</v>
      </c>
      <c r="J2048" s="39" t="s">
        <v>1716</v>
      </c>
      <c r="K2048" s="39" t="s">
        <v>1716</v>
      </c>
      <c r="L2048" s="39" t="s">
        <v>1014</v>
      </c>
      <c r="M2048" s="38" t="s">
        <v>1803</v>
      </c>
      <c r="N2048" s="38" t="s">
        <v>626</v>
      </c>
    </row>
    <row r="2049" spans="1:15" x14ac:dyDescent="0.2">
      <c r="A2049" s="38" t="s">
        <v>1015</v>
      </c>
      <c r="B2049" s="38">
        <v>100715</v>
      </c>
      <c r="C2049" s="38" t="s">
        <v>2300</v>
      </c>
      <c r="D2049" s="279">
        <v>100000</v>
      </c>
      <c r="F2049" s="40">
        <v>2.8500000000000001E-2</v>
      </c>
      <c r="G2049" s="41">
        <v>43245</v>
      </c>
      <c r="H2049" s="41">
        <v>43976</v>
      </c>
      <c r="I2049" s="39">
        <v>2</v>
      </c>
      <c r="J2049" s="39" t="s">
        <v>1716</v>
      </c>
      <c r="K2049" s="39" t="s">
        <v>1716</v>
      </c>
      <c r="L2049" s="39" t="s">
        <v>1014</v>
      </c>
      <c r="M2049" s="38" t="s">
        <v>1015</v>
      </c>
      <c r="N2049" s="38" t="s">
        <v>1226</v>
      </c>
    </row>
    <row r="2050" spans="1:15" x14ac:dyDescent="0.2">
      <c r="A2050" s="38" t="s">
        <v>557</v>
      </c>
      <c r="B2050" s="38">
        <v>151949</v>
      </c>
      <c r="C2050" s="38" t="s">
        <v>2301</v>
      </c>
      <c r="D2050" s="279">
        <v>100000</v>
      </c>
      <c r="F2050" s="40">
        <v>2.4500000000000001E-2</v>
      </c>
      <c r="G2050" s="41">
        <v>43250</v>
      </c>
      <c r="H2050" s="41">
        <v>43432</v>
      </c>
      <c r="I2050" s="39">
        <v>26</v>
      </c>
      <c r="J2050" s="39" t="s">
        <v>369</v>
      </c>
      <c r="K2050" s="39" t="s">
        <v>1716</v>
      </c>
      <c r="L2050" s="39" t="s">
        <v>1014</v>
      </c>
      <c r="M2050" s="38" t="s">
        <v>557</v>
      </c>
      <c r="N2050" s="38" t="s">
        <v>916</v>
      </c>
    </row>
    <row r="2051" spans="1:15" x14ac:dyDescent="0.2">
      <c r="A2051" s="38" t="s">
        <v>1015</v>
      </c>
      <c r="B2051" s="38">
        <v>100716</v>
      </c>
      <c r="C2051" s="38" t="s">
        <v>2302</v>
      </c>
      <c r="D2051" s="279">
        <v>100000</v>
      </c>
      <c r="F2051" s="40">
        <v>2.98E-2</v>
      </c>
      <c r="G2051" s="41">
        <v>43251</v>
      </c>
      <c r="H2051" s="41">
        <v>43982</v>
      </c>
      <c r="I2051" s="39">
        <v>2</v>
      </c>
      <c r="J2051" s="39" t="s">
        <v>1716</v>
      </c>
      <c r="K2051" s="39" t="s">
        <v>1716</v>
      </c>
      <c r="L2051" s="39" t="s">
        <v>1014</v>
      </c>
      <c r="M2051" s="38" t="s">
        <v>1015</v>
      </c>
      <c r="N2051" s="38" t="s">
        <v>640</v>
      </c>
    </row>
    <row r="2052" spans="1:15" x14ac:dyDescent="0.2">
      <c r="A2052" s="38" t="s">
        <v>557</v>
      </c>
      <c r="B2052" s="38">
        <v>151938</v>
      </c>
      <c r="C2052" s="38" t="s">
        <v>2303</v>
      </c>
      <c r="D2052" s="279">
        <v>100000</v>
      </c>
      <c r="F2052" s="40">
        <v>2.8000000000000001E-2</v>
      </c>
      <c r="G2052" s="41">
        <v>43192</v>
      </c>
      <c r="H2052" s="41">
        <v>43923</v>
      </c>
      <c r="I2052" s="39">
        <v>2</v>
      </c>
      <c r="J2052" s="39" t="s">
        <v>1716</v>
      </c>
      <c r="K2052" s="39" t="s">
        <v>1716</v>
      </c>
      <c r="L2052" s="39" t="s">
        <v>1014</v>
      </c>
      <c r="M2052" s="38" t="s">
        <v>557</v>
      </c>
      <c r="N2052" s="38" t="s">
        <v>1504</v>
      </c>
    </row>
    <row r="2053" spans="1:15" x14ac:dyDescent="0.2">
      <c r="A2053" s="38" t="s">
        <v>557</v>
      </c>
      <c r="B2053" s="38">
        <v>151951</v>
      </c>
      <c r="C2053" s="38" t="s">
        <v>2304</v>
      </c>
      <c r="D2053" s="279">
        <v>100000</v>
      </c>
      <c r="F2053" s="40">
        <v>2.6800000000000001E-2</v>
      </c>
      <c r="G2053" s="41">
        <v>43258</v>
      </c>
      <c r="H2053" s="41">
        <v>43622</v>
      </c>
      <c r="I2053" s="39">
        <v>52</v>
      </c>
      <c r="J2053" s="39" t="s">
        <v>369</v>
      </c>
      <c r="K2053" s="39" t="s">
        <v>1716</v>
      </c>
      <c r="L2053" s="39" t="s">
        <v>1014</v>
      </c>
      <c r="M2053" s="38" t="s">
        <v>557</v>
      </c>
      <c r="N2053" s="38" t="s">
        <v>1050</v>
      </c>
    </row>
    <row r="2054" spans="1:15" x14ac:dyDescent="0.2">
      <c r="A2054" s="38" t="s">
        <v>557</v>
      </c>
      <c r="B2054" s="38">
        <v>151952</v>
      </c>
      <c r="C2054" s="38" t="s">
        <v>2305</v>
      </c>
      <c r="D2054" s="279">
        <v>100000</v>
      </c>
      <c r="F2054" s="40">
        <v>2.7900000000000001E-2</v>
      </c>
      <c r="G2054" s="41">
        <v>43258</v>
      </c>
      <c r="H2054" s="41">
        <v>43714</v>
      </c>
      <c r="I2054" s="39">
        <v>2</v>
      </c>
      <c r="J2054" s="39" t="s">
        <v>1716</v>
      </c>
      <c r="K2054" s="39" t="s">
        <v>1716</v>
      </c>
      <c r="L2054" s="39" t="s">
        <v>1014</v>
      </c>
      <c r="M2054" s="38" t="s">
        <v>557</v>
      </c>
      <c r="N2054" s="38" t="s">
        <v>1050</v>
      </c>
      <c r="O2054" s="35">
        <v>43234</v>
      </c>
    </row>
    <row r="2055" spans="1:15" x14ac:dyDescent="0.2">
      <c r="A2055" s="38" t="s">
        <v>557</v>
      </c>
      <c r="B2055" s="38">
        <v>151953</v>
      </c>
      <c r="C2055" s="38" t="s">
        <v>2306</v>
      </c>
      <c r="D2055" s="279">
        <v>100000</v>
      </c>
      <c r="F2055" s="40">
        <v>2.86E-2</v>
      </c>
      <c r="G2055" s="41">
        <v>43258</v>
      </c>
      <c r="H2055" s="41">
        <v>43837</v>
      </c>
      <c r="I2055" s="39">
        <v>19</v>
      </c>
      <c r="J2055" s="39" t="s">
        <v>288</v>
      </c>
      <c r="K2055" s="39" t="s">
        <v>1716</v>
      </c>
      <c r="L2055" s="39" t="s">
        <v>1014</v>
      </c>
      <c r="M2055" s="38" t="s">
        <v>557</v>
      </c>
      <c r="N2055" s="38" t="s">
        <v>1050</v>
      </c>
      <c r="O2055" s="35">
        <v>43599</v>
      </c>
    </row>
    <row r="2056" spans="1:15" x14ac:dyDescent="0.2">
      <c r="A2056" s="38" t="s">
        <v>557</v>
      </c>
      <c r="B2056" s="38">
        <v>151954</v>
      </c>
      <c r="C2056" s="38" t="s">
        <v>2307</v>
      </c>
      <c r="D2056" s="279">
        <v>100000</v>
      </c>
      <c r="F2056" s="40">
        <v>2.9000000000000001E-2</v>
      </c>
      <c r="G2056" s="41">
        <v>43258</v>
      </c>
      <c r="H2056" s="41">
        <v>43928</v>
      </c>
      <c r="I2056" s="39">
        <v>22</v>
      </c>
      <c r="J2056" s="39" t="s">
        <v>288</v>
      </c>
      <c r="K2056" s="39" t="s">
        <v>1716</v>
      </c>
      <c r="L2056" s="39" t="s">
        <v>1014</v>
      </c>
      <c r="M2056" s="38" t="s">
        <v>557</v>
      </c>
      <c r="N2056" s="38" t="s">
        <v>1050</v>
      </c>
      <c r="O2056" s="252">
        <f>D2048*F2048*(O2055-O2054)</f>
        <v>1722800</v>
      </c>
    </row>
    <row r="2057" spans="1:15" x14ac:dyDescent="0.2">
      <c r="A2057" s="38" t="s">
        <v>1035</v>
      </c>
      <c r="B2057" s="38">
        <v>201525</v>
      </c>
      <c r="C2057" s="38" t="s">
        <v>2308</v>
      </c>
      <c r="D2057" s="279">
        <v>100000</v>
      </c>
      <c r="F2057" s="40">
        <v>2.5000000000000001E-2</v>
      </c>
      <c r="G2057" s="41">
        <v>43255</v>
      </c>
      <c r="H2057" s="41">
        <v>44060</v>
      </c>
      <c r="I2057" s="39">
        <v>2</v>
      </c>
      <c r="J2057" s="39" t="s">
        <v>1716</v>
      </c>
      <c r="K2057" s="39" t="s">
        <v>1716</v>
      </c>
      <c r="L2057" s="39" t="s">
        <v>1014</v>
      </c>
      <c r="M2057" s="38" t="s">
        <v>1035</v>
      </c>
      <c r="N2057" s="38" t="s">
        <v>68</v>
      </c>
    </row>
    <row r="2058" spans="1:15" x14ac:dyDescent="0.2">
      <c r="A2058" s="38" t="s">
        <v>557</v>
      </c>
      <c r="B2058" s="38">
        <v>151956</v>
      </c>
      <c r="C2058" s="38" t="s">
        <v>2309</v>
      </c>
      <c r="D2058" s="279">
        <v>100000</v>
      </c>
      <c r="F2058" s="40">
        <v>2.4500000000000001E-2</v>
      </c>
      <c r="G2058" s="41">
        <v>43264</v>
      </c>
      <c r="H2058" s="41">
        <v>43454</v>
      </c>
      <c r="I2058" s="39">
        <v>26</v>
      </c>
      <c r="J2058" s="39" t="s">
        <v>369</v>
      </c>
      <c r="K2058" s="39" t="s">
        <v>1716</v>
      </c>
      <c r="L2058" s="39" t="s">
        <v>1014</v>
      </c>
      <c r="M2058" s="38" t="s">
        <v>557</v>
      </c>
      <c r="N2058" s="38" t="s">
        <v>916</v>
      </c>
    </row>
    <row r="2059" spans="1:15" x14ac:dyDescent="0.2">
      <c r="A2059" s="38" t="s">
        <v>557</v>
      </c>
      <c r="B2059" s="38">
        <v>151957</v>
      </c>
      <c r="C2059" s="38" t="s">
        <v>2310</v>
      </c>
      <c r="D2059" s="279">
        <v>100000</v>
      </c>
      <c r="F2059" s="40">
        <v>2.5600000000000001E-2</v>
      </c>
      <c r="G2059" s="41">
        <v>43264</v>
      </c>
      <c r="H2059" s="41">
        <v>43628</v>
      </c>
      <c r="I2059" s="39">
        <v>52</v>
      </c>
      <c r="J2059" s="39" t="s">
        <v>369</v>
      </c>
      <c r="K2059" s="39" t="s">
        <v>1716</v>
      </c>
      <c r="L2059" s="39" t="s">
        <v>1014</v>
      </c>
      <c r="M2059" s="38" t="s">
        <v>557</v>
      </c>
      <c r="N2059" s="38" t="s">
        <v>916</v>
      </c>
    </row>
    <row r="2060" spans="1:15" x14ac:dyDescent="0.2">
      <c r="A2060" s="38" t="s">
        <v>1803</v>
      </c>
      <c r="B2060" s="38">
        <v>9367</v>
      </c>
      <c r="C2060" s="38" t="s">
        <v>2311</v>
      </c>
      <c r="D2060" s="279">
        <v>112</v>
      </c>
      <c r="F2060" s="40">
        <v>3.5000000000000003E-2</v>
      </c>
      <c r="G2060" s="41">
        <v>43264</v>
      </c>
      <c r="H2060" s="41">
        <v>45090</v>
      </c>
      <c r="I2060" s="39">
        <v>5</v>
      </c>
      <c r="J2060" s="39" t="s">
        <v>1716</v>
      </c>
      <c r="K2060" s="39" t="s">
        <v>1716</v>
      </c>
      <c r="L2060" s="39" t="s">
        <v>1014</v>
      </c>
      <c r="M2060" s="38" t="s">
        <v>1803</v>
      </c>
      <c r="N2060" s="38" t="s">
        <v>2312</v>
      </c>
    </row>
    <row r="2061" spans="1:15" x14ac:dyDescent="0.2">
      <c r="A2061" s="38" t="s">
        <v>1035</v>
      </c>
      <c r="B2061" s="38">
        <v>201526</v>
      </c>
      <c r="C2061" s="38" t="s">
        <v>2313</v>
      </c>
      <c r="D2061" s="279">
        <v>100000</v>
      </c>
      <c r="F2061" s="40">
        <v>2.8000000000000001E-2</v>
      </c>
      <c r="G2061" s="41">
        <v>43269</v>
      </c>
      <c r="H2061" s="41">
        <v>45215</v>
      </c>
      <c r="I2061" s="39">
        <v>5</v>
      </c>
      <c r="J2061" s="39" t="s">
        <v>1716</v>
      </c>
      <c r="K2061" s="39" t="s">
        <v>1716</v>
      </c>
      <c r="L2061" s="39" t="s">
        <v>1014</v>
      </c>
      <c r="M2061" s="38" t="s">
        <v>1035</v>
      </c>
      <c r="N2061" s="38" t="s">
        <v>68</v>
      </c>
    </row>
    <row r="2062" spans="1:15" x14ac:dyDescent="0.2">
      <c r="A2062" s="38" t="s">
        <v>1803</v>
      </c>
      <c r="B2062" s="38">
        <v>2136</v>
      </c>
      <c r="C2062" s="38" t="s">
        <v>2314</v>
      </c>
      <c r="D2062" s="279">
        <v>100000</v>
      </c>
      <c r="F2062" s="40">
        <v>5.1200000000000002E-2</v>
      </c>
      <c r="G2062" s="41">
        <v>40203</v>
      </c>
      <c r="H2062" s="41">
        <v>45682</v>
      </c>
      <c r="I2062" s="39">
        <v>15</v>
      </c>
      <c r="J2062" s="39" t="s">
        <v>1716</v>
      </c>
      <c r="K2062" s="39" t="s">
        <v>1716</v>
      </c>
      <c r="L2062" s="39" t="s">
        <v>1014</v>
      </c>
      <c r="M2062" s="38" t="s">
        <v>1803</v>
      </c>
      <c r="N2062" s="38" t="s">
        <v>1889</v>
      </c>
    </row>
    <row r="2063" spans="1:15" x14ac:dyDescent="0.2">
      <c r="A2063" s="38" t="s">
        <v>1803</v>
      </c>
      <c r="B2063" s="38">
        <v>9335</v>
      </c>
      <c r="C2063" s="38" t="s">
        <v>2318</v>
      </c>
      <c r="D2063" s="279">
        <v>100000</v>
      </c>
      <c r="F2063" s="40">
        <v>0.04</v>
      </c>
      <c r="G2063" s="41">
        <v>42915</v>
      </c>
      <c r="H2063" s="41">
        <v>46567</v>
      </c>
      <c r="I2063" s="39">
        <v>10</v>
      </c>
      <c r="J2063" s="39" t="s">
        <v>1716</v>
      </c>
      <c r="K2063" s="39" t="s">
        <v>1716</v>
      </c>
      <c r="L2063" s="39" t="s">
        <v>1014</v>
      </c>
      <c r="M2063" s="38" t="s">
        <v>1803</v>
      </c>
      <c r="N2063" s="38" t="s">
        <v>597</v>
      </c>
    </row>
    <row r="2064" spans="1:15" x14ac:dyDescent="0.2">
      <c r="A2064" s="38" t="s">
        <v>557</v>
      </c>
      <c r="B2064" s="38">
        <v>151961</v>
      </c>
      <c r="C2064" s="38" t="s">
        <v>2319</v>
      </c>
      <c r="D2064" s="279">
        <v>100000</v>
      </c>
      <c r="F2064" s="40">
        <v>2.5700000000000001E-2</v>
      </c>
      <c r="G2064" s="41">
        <v>43278</v>
      </c>
      <c r="H2064" s="41">
        <v>43642</v>
      </c>
      <c r="I2064" s="39">
        <v>52</v>
      </c>
      <c r="J2064" s="39" t="s">
        <v>369</v>
      </c>
      <c r="K2064" s="39" t="s">
        <v>1716</v>
      </c>
      <c r="L2064" s="39" t="s">
        <v>1014</v>
      </c>
      <c r="M2064" s="38" t="s">
        <v>557</v>
      </c>
      <c r="N2064" s="38" t="s">
        <v>916</v>
      </c>
    </row>
    <row r="2065" spans="1:14" x14ac:dyDescent="0.2">
      <c r="A2065" s="38" t="s">
        <v>557</v>
      </c>
      <c r="B2065" s="38">
        <v>151962</v>
      </c>
      <c r="C2065" s="38" t="s">
        <v>2320</v>
      </c>
      <c r="D2065" s="279">
        <v>100000</v>
      </c>
      <c r="F2065" s="40">
        <v>2.4799999999999999E-2</v>
      </c>
      <c r="G2065" s="41">
        <v>43278</v>
      </c>
      <c r="H2065" s="41">
        <v>43551</v>
      </c>
      <c r="I2065" s="39">
        <v>26</v>
      </c>
      <c r="J2065" s="39" t="s">
        <v>369</v>
      </c>
      <c r="K2065" s="39" t="s">
        <v>1716</v>
      </c>
      <c r="L2065" s="39" t="s">
        <v>1014</v>
      </c>
      <c r="M2065" s="38" t="s">
        <v>557</v>
      </c>
      <c r="N2065" s="38" t="s">
        <v>916</v>
      </c>
    </row>
    <row r="2066" spans="1:14" x14ac:dyDescent="0.2">
      <c r="A2066" s="38" t="s">
        <v>557</v>
      </c>
      <c r="B2066" s="38">
        <v>151960</v>
      </c>
      <c r="C2066" s="38" t="s">
        <v>2321</v>
      </c>
      <c r="D2066" s="279">
        <v>100000</v>
      </c>
      <c r="F2066" s="40">
        <v>2.7E-2</v>
      </c>
      <c r="G2066" s="41">
        <v>43276</v>
      </c>
      <c r="H2066" s="41">
        <v>43819</v>
      </c>
      <c r="I2066" s="39">
        <v>18</v>
      </c>
      <c r="J2066" s="39" t="s">
        <v>288</v>
      </c>
      <c r="K2066" s="39" t="s">
        <v>1716</v>
      </c>
      <c r="L2066" s="39" t="s">
        <v>1014</v>
      </c>
      <c r="M2066" s="38" t="s">
        <v>557</v>
      </c>
      <c r="N2066" s="38" t="s">
        <v>918</v>
      </c>
    </row>
    <row r="2067" spans="1:14" x14ac:dyDescent="0.2">
      <c r="A2067" s="38" t="s">
        <v>1803</v>
      </c>
      <c r="B2067" s="38">
        <v>9369</v>
      </c>
      <c r="C2067" s="38" t="s">
        <v>2322</v>
      </c>
      <c r="D2067" s="279">
        <v>100000</v>
      </c>
      <c r="F2067" s="40">
        <v>0.04</v>
      </c>
      <c r="G2067" s="41">
        <v>43279</v>
      </c>
      <c r="H2067" s="41">
        <v>46932</v>
      </c>
      <c r="I2067" s="39">
        <v>10</v>
      </c>
      <c r="J2067" s="39" t="s">
        <v>1716</v>
      </c>
      <c r="K2067" s="39" t="s">
        <v>1716</v>
      </c>
      <c r="L2067" s="39" t="s">
        <v>1014</v>
      </c>
      <c r="M2067" s="38" t="s">
        <v>1803</v>
      </c>
      <c r="N2067" s="38" t="s">
        <v>1050</v>
      </c>
    </row>
    <row r="2068" spans="1:14" x14ac:dyDescent="0.2">
      <c r="A2068" s="38" t="s">
        <v>1015</v>
      </c>
      <c r="B2068" s="38">
        <v>100717</v>
      </c>
      <c r="C2068" s="38" t="s">
        <v>2323</v>
      </c>
      <c r="D2068" s="279">
        <v>100000</v>
      </c>
      <c r="F2068" s="40">
        <v>3.1199999999999999E-2</v>
      </c>
      <c r="G2068" s="41">
        <v>43280</v>
      </c>
      <c r="H2068" s="41">
        <v>44376</v>
      </c>
      <c r="I2068" s="39">
        <v>3</v>
      </c>
      <c r="J2068" s="39" t="s">
        <v>1716</v>
      </c>
      <c r="K2068" s="39" t="s">
        <v>1716</v>
      </c>
      <c r="L2068" s="39" t="s">
        <v>1014</v>
      </c>
      <c r="M2068" s="38" t="s">
        <v>1015</v>
      </c>
      <c r="N2068" s="38" t="s">
        <v>640</v>
      </c>
    </row>
    <row r="2069" spans="1:14" x14ac:dyDescent="0.2">
      <c r="A2069" s="38" t="s">
        <v>1803</v>
      </c>
      <c r="B2069" s="38">
        <v>9371</v>
      </c>
      <c r="C2069" s="38" t="s">
        <v>2324</v>
      </c>
      <c r="D2069" s="279">
        <v>100000</v>
      </c>
      <c r="F2069" s="40">
        <v>3.32E-2</v>
      </c>
      <c r="G2069" s="41">
        <v>43280</v>
      </c>
      <c r="H2069" s="41">
        <v>45837</v>
      </c>
      <c r="I2069" s="39">
        <v>7</v>
      </c>
      <c r="J2069" s="39" t="s">
        <v>1716</v>
      </c>
      <c r="K2069" s="39" t="s">
        <v>1716</v>
      </c>
      <c r="L2069" s="39" t="s">
        <v>1014</v>
      </c>
      <c r="M2069" s="38" t="s">
        <v>1803</v>
      </c>
      <c r="N2069" s="38" t="s">
        <v>1481</v>
      </c>
    </row>
    <row r="2070" spans="1:14" x14ac:dyDescent="0.2">
      <c r="A2070" s="38" t="s">
        <v>1035</v>
      </c>
      <c r="B2070" s="38">
        <v>201527</v>
      </c>
      <c r="C2070" s="38" t="s">
        <v>2326</v>
      </c>
      <c r="D2070" s="279">
        <v>100000</v>
      </c>
      <c r="F2070" s="40">
        <v>2.5000000000000001E-2</v>
      </c>
      <c r="G2070" s="41">
        <v>43290</v>
      </c>
      <c r="H2070" s="41">
        <v>44088</v>
      </c>
      <c r="I2070" s="39">
        <v>2</v>
      </c>
      <c r="J2070" s="39" t="s">
        <v>1716</v>
      </c>
      <c r="K2070" s="39" t="s">
        <v>1716</v>
      </c>
      <c r="L2070" s="39" t="s">
        <v>1014</v>
      </c>
      <c r="M2070" s="38" t="s">
        <v>1035</v>
      </c>
      <c r="N2070" s="38" t="s">
        <v>68</v>
      </c>
    </row>
    <row r="2071" spans="1:14" x14ac:dyDescent="0.2">
      <c r="A2071" s="38" t="s">
        <v>1713</v>
      </c>
      <c r="B2071" s="38">
        <v>140829</v>
      </c>
      <c r="C2071" s="38" t="s">
        <v>2328</v>
      </c>
      <c r="D2071" s="279">
        <v>100000</v>
      </c>
      <c r="F2071" s="40">
        <v>2.5600000000000001E-2</v>
      </c>
      <c r="G2071" s="41">
        <v>43294</v>
      </c>
      <c r="H2071" s="41">
        <v>43479</v>
      </c>
      <c r="I2071" s="39">
        <v>26</v>
      </c>
      <c r="J2071" s="39" t="s">
        <v>369</v>
      </c>
      <c r="K2071" s="39" t="s">
        <v>1716</v>
      </c>
      <c r="L2071" s="39" t="s">
        <v>1014</v>
      </c>
      <c r="M2071" s="38" t="s">
        <v>1713</v>
      </c>
      <c r="N2071" s="38" t="s">
        <v>1006</v>
      </c>
    </row>
    <row r="2072" spans="1:14" x14ac:dyDescent="0.2">
      <c r="A2072" s="38" t="s">
        <v>1803</v>
      </c>
      <c r="B2072" s="38">
        <v>9375</v>
      </c>
      <c r="C2072" s="38" t="s">
        <v>2330</v>
      </c>
      <c r="D2072" s="279">
        <v>100000</v>
      </c>
      <c r="F2072" s="40">
        <v>5.6899999999999999E-2</v>
      </c>
      <c r="G2072" s="41">
        <v>43306</v>
      </c>
      <c r="H2072" s="41">
        <v>45132</v>
      </c>
      <c r="I2072" s="39">
        <v>5</v>
      </c>
      <c r="J2072" s="39" t="s">
        <v>1716</v>
      </c>
      <c r="K2072" s="39" t="s">
        <v>1716</v>
      </c>
      <c r="L2072" s="39" t="s">
        <v>1014</v>
      </c>
      <c r="M2072" s="38" t="s">
        <v>1803</v>
      </c>
      <c r="N2072" s="38" t="s">
        <v>243</v>
      </c>
    </row>
    <row r="2073" spans="1:14" x14ac:dyDescent="0.2">
      <c r="A2073" s="38" t="s">
        <v>557</v>
      </c>
      <c r="B2073" s="38">
        <v>151981</v>
      </c>
      <c r="C2073" s="38" t="s">
        <v>2331</v>
      </c>
      <c r="D2073" s="279">
        <v>100000</v>
      </c>
      <c r="F2073" s="40">
        <v>2.98E-2</v>
      </c>
      <c r="G2073" s="41">
        <v>43314</v>
      </c>
      <c r="H2073" s="41">
        <v>44410</v>
      </c>
      <c r="I2073" s="39">
        <v>3</v>
      </c>
      <c r="J2073" s="39" t="s">
        <v>1716</v>
      </c>
      <c r="K2073" s="39" t="s">
        <v>1716</v>
      </c>
      <c r="L2073" s="39" t="s">
        <v>1014</v>
      </c>
      <c r="M2073" s="38" t="s">
        <v>557</v>
      </c>
      <c r="N2073" s="38" t="s">
        <v>918</v>
      </c>
    </row>
    <row r="2074" spans="1:14" x14ac:dyDescent="0.2">
      <c r="A2074" s="38" t="s">
        <v>1015</v>
      </c>
      <c r="B2074" s="38">
        <v>100720</v>
      </c>
      <c r="C2074" s="38" t="s">
        <v>2332</v>
      </c>
      <c r="D2074" s="279">
        <v>100000</v>
      </c>
      <c r="F2074" s="40">
        <v>3.2800000000000003E-2</v>
      </c>
      <c r="G2074" s="41">
        <v>43318</v>
      </c>
      <c r="H2074" s="41">
        <v>45144</v>
      </c>
      <c r="I2074" s="39">
        <v>5</v>
      </c>
      <c r="J2074" s="39" t="s">
        <v>1716</v>
      </c>
      <c r="K2074" s="39" t="s">
        <v>1716</v>
      </c>
      <c r="L2074" s="39" t="s">
        <v>1014</v>
      </c>
      <c r="M2074" s="38" t="s">
        <v>1015</v>
      </c>
      <c r="N2074" s="38" t="s">
        <v>1226</v>
      </c>
    </row>
    <row r="2075" spans="1:14" x14ac:dyDescent="0.2">
      <c r="A2075" s="38" t="s">
        <v>557</v>
      </c>
      <c r="B2075" s="38">
        <v>151869</v>
      </c>
      <c r="C2075" s="38" t="s">
        <v>2334</v>
      </c>
      <c r="D2075" s="279">
        <v>100000</v>
      </c>
      <c r="F2075" s="40">
        <v>2.6100000000000002E-2</v>
      </c>
      <c r="G2075" s="41">
        <v>42989</v>
      </c>
      <c r="H2075" s="41">
        <v>43353</v>
      </c>
      <c r="I2075" s="39">
        <v>52</v>
      </c>
      <c r="J2075" s="39" t="s">
        <v>369</v>
      </c>
      <c r="K2075" s="39" t="s">
        <v>1716</v>
      </c>
      <c r="L2075" s="39" t="s">
        <v>1014</v>
      </c>
      <c r="M2075" s="38" t="s">
        <v>557</v>
      </c>
      <c r="N2075" s="38" t="s">
        <v>1481</v>
      </c>
    </row>
    <row r="2076" spans="1:14" x14ac:dyDescent="0.2">
      <c r="A2076" s="38" t="s">
        <v>1035</v>
      </c>
      <c r="B2076" s="38">
        <v>201530</v>
      </c>
      <c r="C2076" s="38" t="s">
        <v>2335</v>
      </c>
      <c r="D2076" s="279">
        <v>100000</v>
      </c>
      <c r="F2076" s="40">
        <v>2.5000000000000001E-2</v>
      </c>
      <c r="G2076" s="41">
        <v>43325</v>
      </c>
      <c r="H2076" s="41">
        <v>44144</v>
      </c>
      <c r="I2076" s="39">
        <v>2</v>
      </c>
      <c r="J2076" s="39" t="s">
        <v>1716</v>
      </c>
      <c r="K2076" s="39" t="s">
        <v>1716</v>
      </c>
      <c r="L2076" s="39" t="s">
        <v>1014</v>
      </c>
      <c r="M2076" s="38" t="s">
        <v>1035</v>
      </c>
      <c r="N2076" s="38" t="s">
        <v>68</v>
      </c>
    </row>
    <row r="2077" spans="1:14" x14ac:dyDescent="0.2">
      <c r="A2077" s="38" t="s">
        <v>557</v>
      </c>
      <c r="B2077" s="38">
        <v>151992</v>
      </c>
      <c r="C2077" s="38" t="s">
        <v>2336</v>
      </c>
      <c r="D2077" s="279">
        <v>100000</v>
      </c>
      <c r="F2077" s="40">
        <v>2.8899999999999999E-2</v>
      </c>
      <c r="G2077" s="41">
        <v>43343</v>
      </c>
      <c r="H2077" s="41">
        <v>44074</v>
      </c>
      <c r="I2077" s="39">
        <v>2</v>
      </c>
      <c r="J2077" s="39" t="s">
        <v>1716</v>
      </c>
      <c r="K2077" s="39" t="s">
        <v>1716</v>
      </c>
      <c r="L2077" s="39" t="s">
        <v>1014</v>
      </c>
      <c r="M2077" s="38" t="s">
        <v>557</v>
      </c>
      <c r="N2077" s="38" t="s">
        <v>1481</v>
      </c>
    </row>
    <row r="2078" spans="1:14" x14ac:dyDescent="0.2">
      <c r="A2078" s="38" t="s">
        <v>1035</v>
      </c>
      <c r="B2078" s="38">
        <v>201529</v>
      </c>
      <c r="C2078" s="38" t="s">
        <v>2337</v>
      </c>
      <c r="D2078" s="279">
        <v>100000</v>
      </c>
      <c r="F2078" s="40">
        <v>2.4E-2</v>
      </c>
      <c r="G2078" s="41">
        <v>43325</v>
      </c>
      <c r="H2078" s="41">
        <v>43815</v>
      </c>
      <c r="I2078" s="39">
        <v>52</v>
      </c>
      <c r="J2078" s="39" t="s">
        <v>369</v>
      </c>
      <c r="K2078" s="39" t="s">
        <v>1716</v>
      </c>
      <c r="L2078" s="39" t="s">
        <v>1014</v>
      </c>
      <c r="M2078" s="38" t="s">
        <v>1035</v>
      </c>
      <c r="N2078" s="38" t="s">
        <v>68</v>
      </c>
    </row>
    <row r="2079" spans="1:14" x14ac:dyDescent="0.2">
      <c r="A2079" s="38" t="s">
        <v>1015</v>
      </c>
      <c r="B2079" s="38">
        <v>100722</v>
      </c>
      <c r="C2079" s="38" t="s">
        <v>2338</v>
      </c>
      <c r="D2079" s="279">
        <v>100000</v>
      </c>
      <c r="F2079" s="40">
        <v>3.2800000000000003E-2</v>
      </c>
      <c r="G2079" s="41">
        <v>43350</v>
      </c>
      <c r="H2079" s="41">
        <v>45176</v>
      </c>
      <c r="I2079" s="39">
        <v>5</v>
      </c>
      <c r="J2079" s="39" t="s">
        <v>1716</v>
      </c>
      <c r="K2079" s="39" t="s">
        <v>1716</v>
      </c>
      <c r="L2079" s="39" t="s">
        <v>1014</v>
      </c>
      <c r="M2079" s="38" t="s">
        <v>1015</v>
      </c>
      <c r="N2079" s="38" t="s">
        <v>2339</v>
      </c>
    </row>
    <row r="2080" spans="1:14" x14ac:dyDescent="0.2">
      <c r="A2080" s="38" t="s">
        <v>1015</v>
      </c>
      <c r="B2080" s="38">
        <v>100721</v>
      </c>
      <c r="C2080" s="38" t="s">
        <v>2340</v>
      </c>
      <c r="D2080" s="279">
        <v>100000</v>
      </c>
      <c r="F2080" s="40">
        <v>2.87E-2</v>
      </c>
      <c r="G2080" s="41">
        <v>43350</v>
      </c>
      <c r="H2080" s="41">
        <v>44081</v>
      </c>
      <c r="I2080" s="39">
        <v>2</v>
      </c>
      <c r="J2080" s="39" t="s">
        <v>1716</v>
      </c>
      <c r="K2080" s="39" t="s">
        <v>1716</v>
      </c>
      <c r="L2080" s="39" t="s">
        <v>1014</v>
      </c>
      <c r="M2080" s="38" t="s">
        <v>1015</v>
      </c>
      <c r="N2080" s="38" t="s">
        <v>2339</v>
      </c>
    </row>
    <row r="2081" spans="1:15" x14ac:dyDescent="0.2">
      <c r="A2081" s="38" t="s">
        <v>557</v>
      </c>
      <c r="B2081" s="38">
        <v>151879</v>
      </c>
      <c r="C2081" s="38" t="s">
        <v>2341</v>
      </c>
      <c r="D2081" s="279">
        <v>100000</v>
      </c>
      <c r="F2081" s="40">
        <v>3.3000000000000002E-2</v>
      </c>
      <c r="G2081" s="41">
        <v>43006</v>
      </c>
      <c r="H2081" s="41">
        <v>44832</v>
      </c>
      <c r="I2081" s="39">
        <v>5</v>
      </c>
      <c r="J2081" s="39" t="s">
        <v>1716</v>
      </c>
      <c r="K2081" s="39" t="s">
        <v>1716</v>
      </c>
      <c r="L2081" s="39" t="s">
        <v>1014</v>
      </c>
      <c r="M2081" s="38" t="s">
        <v>557</v>
      </c>
      <c r="N2081" s="38" t="s">
        <v>1473</v>
      </c>
    </row>
    <row r="2082" spans="1:15" x14ac:dyDescent="0.2">
      <c r="A2082" s="38" t="s">
        <v>557</v>
      </c>
      <c r="B2082" s="38">
        <v>151996</v>
      </c>
      <c r="C2082" s="38" t="s">
        <v>2342</v>
      </c>
      <c r="D2082" s="279">
        <v>100000</v>
      </c>
      <c r="F2082" s="40">
        <v>3.0200000000000001E-2</v>
      </c>
      <c r="G2082" s="41">
        <v>43371</v>
      </c>
      <c r="H2082" s="41">
        <v>44467</v>
      </c>
      <c r="I2082" s="39">
        <v>3</v>
      </c>
      <c r="J2082" s="39" t="s">
        <v>1716</v>
      </c>
      <c r="K2082" s="39" t="s">
        <v>1716</v>
      </c>
      <c r="L2082" s="39" t="s">
        <v>1014</v>
      </c>
      <c r="M2082" s="38" t="s">
        <v>557</v>
      </c>
      <c r="N2082" s="38" t="s">
        <v>918</v>
      </c>
    </row>
    <row r="2083" spans="1:15" x14ac:dyDescent="0.2">
      <c r="A2083" s="38" t="s">
        <v>557</v>
      </c>
      <c r="B2083" s="38">
        <v>151999</v>
      </c>
      <c r="C2083" s="38" t="s">
        <v>2343</v>
      </c>
      <c r="D2083" s="279">
        <v>100000</v>
      </c>
      <c r="F2083" s="40">
        <v>2.5600000000000001E-2</v>
      </c>
      <c r="G2083" s="41">
        <v>43376</v>
      </c>
      <c r="H2083" s="41">
        <v>43558</v>
      </c>
      <c r="I2083" s="39">
        <v>26</v>
      </c>
      <c r="J2083" s="39" t="s">
        <v>369</v>
      </c>
      <c r="K2083" s="39" t="s">
        <v>369</v>
      </c>
      <c r="L2083" s="39" t="s">
        <v>1014</v>
      </c>
      <c r="M2083" s="38" t="s">
        <v>557</v>
      </c>
      <c r="N2083" s="38" t="s">
        <v>1871</v>
      </c>
    </row>
    <row r="2084" spans="1:15" x14ac:dyDescent="0.2">
      <c r="A2084" s="38" t="s">
        <v>557</v>
      </c>
      <c r="B2084" s="38">
        <v>152000</v>
      </c>
      <c r="C2084" s="38" t="s">
        <v>2344</v>
      </c>
      <c r="D2084" s="279">
        <v>100000</v>
      </c>
      <c r="F2084" s="40">
        <v>2.4899999999999999E-2</v>
      </c>
      <c r="G2084" s="41">
        <v>43376</v>
      </c>
      <c r="H2084" s="41">
        <v>43467</v>
      </c>
      <c r="I2084" s="39">
        <v>13</v>
      </c>
      <c r="J2084" s="39" t="s">
        <v>369</v>
      </c>
      <c r="K2084" s="39" t="s">
        <v>369</v>
      </c>
      <c r="L2084" s="39" t="s">
        <v>1014</v>
      </c>
      <c r="M2084" s="38" t="s">
        <v>557</v>
      </c>
      <c r="N2084" s="38" t="s">
        <v>1871</v>
      </c>
    </row>
    <row r="2085" spans="1:15" x14ac:dyDescent="0.2">
      <c r="A2085" s="38" t="s">
        <v>2347</v>
      </c>
      <c r="B2085" s="38">
        <v>7000</v>
      </c>
      <c r="C2085" s="38" t="s">
        <v>2348</v>
      </c>
      <c r="D2085" s="279">
        <v>100000</v>
      </c>
      <c r="F2085" s="40">
        <v>2.6599999999999999E-2</v>
      </c>
      <c r="G2085" s="41">
        <v>43388</v>
      </c>
      <c r="H2085" s="41">
        <v>45214</v>
      </c>
      <c r="I2085" s="39">
        <v>5</v>
      </c>
      <c r="J2085" s="39" t="s">
        <v>1716</v>
      </c>
      <c r="K2085" s="39" t="s">
        <v>1716</v>
      </c>
      <c r="L2085" s="39" t="s">
        <v>1014</v>
      </c>
      <c r="M2085" s="38" t="s">
        <v>2349</v>
      </c>
      <c r="N2085" s="38" t="s">
        <v>68</v>
      </c>
    </row>
    <row r="2086" spans="1:15" x14ac:dyDescent="0.2">
      <c r="A2086" s="38" t="s">
        <v>557</v>
      </c>
      <c r="B2086" s="38">
        <v>152003</v>
      </c>
      <c r="C2086" s="38" t="s">
        <v>2351</v>
      </c>
      <c r="D2086" s="279">
        <v>100000</v>
      </c>
      <c r="F2086" s="40">
        <v>2.41E-2</v>
      </c>
      <c r="G2086" s="41">
        <v>43392</v>
      </c>
      <c r="H2086" s="41">
        <v>43453</v>
      </c>
      <c r="I2086" s="39">
        <v>13</v>
      </c>
      <c r="J2086" s="39" t="s">
        <v>369</v>
      </c>
      <c r="K2086" s="39" t="s">
        <v>1525</v>
      </c>
      <c r="L2086" s="39" t="s">
        <v>1014</v>
      </c>
      <c r="M2086" s="38" t="s">
        <v>557</v>
      </c>
      <c r="N2086" s="38" t="s">
        <v>918</v>
      </c>
    </row>
    <row r="2087" spans="1:15" x14ac:dyDescent="0.2">
      <c r="A2087" s="38" t="s">
        <v>557</v>
      </c>
      <c r="B2087" s="38">
        <v>152004</v>
      </c>
      <c r="C2087" s="38" t="s">
        <v>2352</v>
      </c>
      <c r="D2087" s="279">
        <v>100000</v>
      </c>
      <c r="F2087" s="40">
        <v>2.8799999999999999E-2</v>
      </c>
      <c r="G2087" s="41">
        <v>43392</v>
      </c>
      <c r="H2087" s="41">
        <v>44123</v>
      </c>
      <c r="I2087" s="39">
        <v>2</v>
      </c>
      <c r="J2087" s="39" t="s">
        <v>1716</v>
      </c>
      <c r="K2087" s="39" t="s">
        <v>1716</v>
      </c>
      <c r="L2087" s="39" t="s">
        <v>1014</v>
      </c>
      <c r="M2087" s="38" t="s">
        <v>557</v>
      </c>
      <c r="N2087" s="38" t="s">
        <v>918</v>
      </c>
    </row>
    <row r="2088" spans="1:15" x14ac:dyDescent="0.2">
      <c r="A2088" s="38" t="s">
        <v>557</v>
      </c>
      <c r="B2088" s="38">
        <v>151972</v>
      </c>
      <c r="C2088" s="38" t="s">
        <v>2353</v>
      </c>
      <c r="D2088" s="279">
        <v>100000</v>
      </c>
      <c r="F2088" s="40">
        <v>2.64E-2</v>
      </c>
      <c r="G2088" s="41">
        <v>43301</v>
      </c>
      <c r="H2088" s="41">
        <v>43665</v>
      </c>
      <c r="I2088" s="39">
        <v>52</v>
      </c>
      <c r="J2088" s="39" t="s">
        <v>369</v>
      </c>
      <c r="K2088" s="39" t="s">
        <v>1716</v>
      </c>
      <c r="L2088" s="39" t="s">
        <v>1014</v>
      </c>
      <c r="M2088" s="38" t="s">
        <v>557</v>
      </c>
      <c r="N2088" s="38" t="s">
        <v>1481</v>
      </c>
    </row>
    <row r="2089" spans="1:15" x14ac:dyDescent="0.2">
      <c r="A2089" s="38" t="s">
        <v>1035</v>
      </c>
      <c r="B2089" s="38">
        <v>201531</v>
      </c>
      <c r="C2089" s="38" t="s">
        <v>2354</v>
      </c>
      <c r="D2089" s="279">
        <v>100000</v>
      </c>
      <c r="F2089" s="40">
        <v>2.5999999999999999E-2</v>
      </c>
      <c r="G2089" s="41">
        <v>43395</v>
      </c>
      <c r="H2089" s="41">
        <v>44242</v>
      </c>
      <c r="I2089" s="39">
        <v>2</v>
      </c>
      <c r="J2089" s="39" t="s">
        <v>1716</v>
      </c>
      <c r="K2089" s="39" t="s">
        <v>1716</v>
      </c>
      <c r="L2089" s="39" t="s">
        <v>1014</v>
      </c>
      <c r="M2089" s="38" t="s">
        <v>1035</v>
      </c>
      <c r="N2089" s="38" t="s">
        <v>68</v>
      </c>
      <c r="O2089" s="35"/>
    </row>
    <row r="2090" spans="1:15" x14ac:dyDescent="0.2">
      <c r="A2090" s="38" t="s">
        <v>1803</v>
      </c>
      <c r="B2090" s="38">
        <v>9347</v>
      </c>
      <c r="C2090" s="38" t="s">
        <v>2361</v>
      </c>
      <c r="D2090" s="279">
        <v>100000</v>
      </c>
      <c r="F2090" s="40">
        <v>3.3700000000000001E-2</v>
      </c>
      <c r="G2090" s="41">
        <v>43061</v>
      </c>
      <c r="H2090" s="41">
        <v>44157</v>
      </c>
      <c r="I2090" s="39">
        <v>3</v>
      </c>
      <c r="J2090" s="39" t="s">
        <v>1716</v>
      </c>
      <c r="K2090" s="39" t="s">
        <v>1716</v>
      </c>
      <c r="L2090" s="39" t="s">
        <v>1014</v>
      </c>
      <c r="M2090" s="38" t="s">
        <v>1803</v>
      </c>
      <c r="N2090" s="38" t="s">
        <v>2362</v>
      </c>
      <c r="O2090" s="252"/>
    </row>
    <row r="2091" spans="1:15" x14ac:dyDescent="0.2">
      <c r="A2091" s="38" t="s">
        <v>1015</v>
      </c>
      <c r="B2091" s="38">
        <v>100726</v>
      </c>
      <c r="C2091" s="38" t="s">
        <v>2363</v>
      </c>
      <c r="D2091" s="279">
        <v>100000</v>
      </c>
      <c r="F2091" s="40">
        <v>3.1099999999999999E-2</v>
      </c>
      <c r="G2091" s="41">
        <v>43430</v>
      </c>
      <c r="H2091" s="41">
        <v>44253</v>
      </c>
      <c r="I2091" s="39">
        <v>2</v>
      </c>
      <c r="J2091" s="39" t="s">
        <v>1716</v>
      </c>
      <c r="K2091" s="39" t="s">
        <v>1716</v>
      </c>
      <c r="L2091" s="39" t="s">
        <v>1014</v>
      </c>
      <c r="M2091" s="38" t="s">
        <v>1015</v>
      </c>
      <c r="N2091" s="38" t="s">
        <v>2291</v>
      </c>
    </row>
    <row r="2092" spans="1:15" x14ac:dyDescent="0.2">
      <c r="A2092" s="38" t="s">
        <v>1015</v>
      </c>
      <c r="B2092" s="38">
        <v>100727</v>
      </c>
      <c r="C2092" s="38" t="s">
        <v>2364</v>
      </c>
      <c r="D2092" s="279">
        <v>100000</v>
      </c>
      <c r="F2092" s="40">
        <v>3.2300000000000002E-2</v>
      </c>
      <c r="G2092" s="41">
        <v>43430</v>
      </c>
      <c r="H2092" s="41">
        <v>44526</v>
      </c>
      <c r="I2092" s="39">
        <v>3</v>
      </c>
      <c r="J2092" s="39" t="s">
        <v>1716</v>
      </c>
      <c r="K2092" s="39" t="s">
        <v>1716</v>
      </c>
      <c r="L2092" s="39" t="s">
        <v>1014</v>
      </c>
      <c r="M2092" s="38" t="s">
        <v>1015</v>
      </c>
      <c r="N2092" s="38" t="s">
        <v>2291</v>
      </c>
    </row>
    <row r="2093" spans="1:15" x14ac:dyDescent="0.2">
      <c r="A2093" s="38" t="s">
        <v>1035</v>
      </c>
      <c r="B2093" s="38">
        <v>201532</v>
      </c>
      <c r="C2093" s="38" t="s">
        <v>2368</v>
      </c>
      <c r="D2093" s="279">
        <v>100000</v>
      </c>
      <c r="F2093" s="40">
        <v>2.4500000000000001E-2</v>
      </c>
      <c r="G2093" s="41">
        <v>43430</v>
      </c>
      <c r="H2093" s="41">
        <v>43850</v>
      </c>
      <c r="I2093" s="39">
        <v>52</v>
      </c>
      <c r="J2093" s="39" t="s">
        <v>369</v>
      </c>
      <c r="K2093" s="39" t="s">
        <v>1716</v>
      </c>
      <c r="L2093" s="39" t="s">
        <v>1014</v>
      </c>
      <c r="M2093" s="38" t="s">
        <v>1035</v>
      </c>
      <c r="N2093" s="38" t="s">
        <v>68</v>
      </c>
    </row>
    <row r="2094" spans="1:15" x14ac:dyDescent="0.2">
      <c r="A2094" s="38" t="s">
        <v>1803</v>
      </c>
      <c r="B2094" s="38">
        <v>5099</v>
      </c>
      <c r="C2094" s="38" t="s">
        <v>2369</v>
      </c>
      <c r="D2094" s="279">
        <v>100000</v>
      </c>
      <c r="F2094" s="40">
        <v>2.9700000000000001E-2</v>
      </c>
      <c r="G2094" s="41">
        <v>43446</v>
      </c>
      <c r="H2094" s="41">
        <v>43446</v>
      </c>
      <c r="I2094" s="39">
        <v>5</v>
      </c>
      <c r="J2094" s="39" t="s">
        <v>1716</v>
      </c>
      <c r="K2094" s="39" t="s">
        <v>1716</v>
      </c>
      <c r="L2094" s="39" t="s">
        <v>1014</v>
      </c>
      <c r="M2094" s="38" t="s">
        <v>1803</v>
      </c>
      <c r="N2094" s="38" t="s">
        <v>2370</v>
      </c>
    </row>
    <row r="2095" spans="1:15" x14ac:dyDescent="0.2">
      <c r="A2095" s="38" t="s">
        <v>557</v>
      </c>
      <c r="B2095" s="38">
        <v>152016</v>
      </c>
      <c r="C2095" s="38" t="s">
        <v>2371</v>
      </c>
      <c r="D2095" s="279">
        <v>100000</v>
      </c>
      <c r="F2095" s="40">
        <v>2.7E-2</v>
      </c>
      <c r="G2095" s="41">
        <v>43451</v>
      </c>
      <c r="H2095" s="41">
        <v>43815</v>
      </c>
      <c r="I2095" s="39">
        <v>52</v>
      </c>
      <c r="J2095" s="39" t="s">
        <v>369</v>
      </c>
      <c r="K2095" s="39" t="s">
        <v>1716</v>
      </c>
      <c r="L2095" s="39" t="s">
        <v>1014</v>
      </c>
      <c r="M2095" s="38" t="s">
        <v>557</v>
      </c>
      <c r="N2095" s="38" t="s">
        <v>1042</v>
      </c>
    </row>
    <row r="2096" spans="1:15" x14ac:dyDescent="0.2">
      <c r="A2096" s="38" t="s">
        <v>2372</v>
      </c>
      <c r="B2096" s="38">
        <v>9385</v>
      </c>
      <c r="C2096" s="38" t="s">
        <v>2373</v>
      </c>
      <c r="D2096" s="279">
        <v>100000</v>
      </c>
      <c r="F2096" s="40">
        <v>4.0500000000000001E-2</v>
      </c>
      <c r="G2096" s="41">
        <v>43451</v>
      </c>
      <c r="H2096" s="41">
        <v>47104</v>
      </c>
      <c r="I2096" s="39">
        <v>10</v>
      </c>
      <c r="J2096" s="39" t="s">
        <v>1716</v>
      </c>
      <c r="K2096" s="39" t="s">
        <v>1716</v>
      </c>
      <c r="L2096" s="39" t="s">
        <v>1014</v>
      </c>
      <c r="M2096" s="38" t="s">
        <v>2372</v>
      </c>
      <c r="N2096" s="38" t="s">
        <v>918</v>
      </c>
    </row>
    <row r="2097" spans="1:14" x14ac:dyDescent="0.2">
      <c r="A2097" s="38" t="s">
        <v>1803</v>
      </c>
      <c r="B2097" s="38">
        <v>9387</v>
      </c>
      <c r="C2097" s="38" t="s">
        <v>2375</v>
      </c>
      <c r="D2097" s="279">
        <v>100000</v>
      </c>
      <c r="F2097" s="40">
        <v>3.9699999999999999E-2</v>
      </c>
      <c r="G2097" s="41">
        <v>43452</v>
      </c>
      <c r="H2097" s="41">
        <v>46009</v>
      </c>
      <c r="I2097" s="39">
        <v>7</v>
      </c>
      <c r="J2097" s="39" t="s">
        <v>1716</v>
      </c>
      <c r="K2097" s="39" t="s">
        <v>1716</v>
      </c>
      <c r="L2097" s="39" t="s">
        <v>1014</v>
      </c>
      <c r="M2097" s="38" t="s">
        <v>1803</v>
      </c>
      <c r="N2097" s="38" t="s">
        <v>1096</v>
      </c>
    </row>
    <row r="2098" spans="1:14" x14ac:dyDescent="0.2">
      <c r="A2098" s="38" t="s">
        <v>2378</v>
      </c>
      <c r="B2098" s="38">
        <v>9388</v>
      </c>
      <c r="C2098" s="38" t="s">
        <v>2379</v>
      </c>
      <c r="D2098" s="279">
        <v>100000</v>
      </c>
      <c r="F2098" s="40">
        <v>2.9399999999999999E-2</v>
      </c>
      <c r="G2098" s="41">
        <v>43454</v>
      </c>
      <c r="H2098" s="41">
        <v>43819</v>
      </c>
      <c r="I2098" s="39">
        <v>52</v>
      </c>
      <c r="J2098" s="39" t="s">
        <v>369</v>
      </c>
      <c r="K2098" s="39" t="s">
        <v>369</v>
      </c>
      <c r="L2098" s="39" t="s">
        <v>1014</v>
      </c>
      <c r="M2098" s="38" t="s">
        <v>2380</v>
      </c>
      <c r="N2098" s="38" t="s">
        <v>2381</v>
      </c>
    </row>
    <row r="2099" spans="1:14" x14ac:dyDescent="0.2">
      <c r="A2099" s="38" t="s">
        <v>557</v>
      </c>
      <c r="B2099" s="38">
        <v>152018</v>
      </c>
      <c r="C2099" s="38" t="s">
        <v>2383</v>
      </c>
      <c r="D2099" s="279">
        <v>100000</v>
      </c>
      <c r="F2099" s="40">
        <v>2.5100000000000001E-2</v>
      </c>
      <c r="G2099" s="41">
        <v>43455</v>
      </c>
      <c r="H2099" s="41">
        <v>43637</v>
      </c>
      <c r="I2099" s="39">
        <v>26</v>
      </c>
      <c r="J2099" s="39" t="s">
        <v>369</v>
      </c>
      <c r="K2099" s="39" t="s">
        <v>369</v>
      </c>
      <c r="L2099" s="39" t="s">
        <v>1014</v>
      </c>
      <c r="M2099" s="38" t="s">
        <v>557</v>
      </c>
      <c r="N2099" s="38" t="s">
        <v>2381</v>
      </c>
    </row>
    <row r="2100" spans="1:14" x14ac:dyDescent="0.2">
      <c r="A2100" s="38" t="s">
        <v>557</v>
      </c>
      <c r="B2100" s="38">
        <v>152019</v>
      </c>
      <c r="C2100" s="38" t="s">
        <v>2384</v>
      </c>
      <c r="D2100" s="279">
        <v>100000</v>
      </c>
      <c r="F2100" s="40">
        <v>2.64E-2</v>
      </c>
      <c r="G2100" s="41">
        <v>43455</v>
      </c>
      <c r="H2100" s="41">
        <v>43819</v>
      </c>
      <c r="I2100" s="39">
        <v>52</v>
      </c>
      <c r="J2100" s="39" t="s">
        <v>369</v>
      </c>
      <c r="K2100" s="39" t="s">
        <v>369</v>
      </c>
      <c r="L2100" s="39" t="s">
        <v>1014</v>
      </c>
      <c r="M2100" s="38" t="s">
        <v>557</v>
      </c>
      <c r="N2100" s="38" t="s">
        <v>2381</v>
      </c>
    </row>
    <row r="2101" spans="1:14" x14ac:dyDescent="0.2">
      <c r="A2101" s="38" t="s">
        <v>2378</v>
      </c>
      <c r="B2101" s="38">
        <v>9389</v>
      </c>
      <c r="C2101" s="38" t="s">
        <v>2388</v>
      </c>
      <c r="D2101" s="279">
        <v>100000</v>
      </c>
      <c r="F2101" s="40">
        <v>5.9799999999999999E-2</v>
      </c>
      <c r="G2101" s="41">
        <v>43461</v>
      </c>
      <c r="H2101" s="41">
        <v>47114</v>
      </c>
      <c r="I2101" s="39">
        <v>10</v>
      </c>
      <c r="J2101" s="39" t="s">
        <v>1716</v>
      </c>
      <c r="K2101" s="39" t="s">
        <v>1716</v>
      </c>
      <c r="L2101" s="39" t="s">
        <v>1014</v>
      </c>
      <c r="M2101" s="38" t="s">
        <v>2380</v>
      </c>
      <c r="N2101" s="38" t="s">
        <v>1481</v>
      </c>
    </row>
    <row r="2102" spans="1:14" x14ac:dyDescent="0.2">
      <c r="A2102" s="38" t="s">
        <v>2378</v>
      </c>
      <c r="B2102" s="38">
        <v>9390</v>
      </c>
      <c r="C2102" s="38" t="s">
        <v>2390</v>
      </c>
      <c r="D2102" s="279">
        <v>100000</v>
      </c>
      <c r="F2102" s="40">
        <v>4.7899999999999998E-2</v>
      </c>
      <c r="G2102" s="41">
        <v>43461</v>
      </c>
      <c r="H2102" s="41">
        <v>43826</v>
      </c>
      <c r="I2102" s="39">
        <v>52</v>
      </c>
      <c r="J2102" s="39" t="s">
        <v>369</v>
      </c>
      <c r="K2102" s="39" t="s">
        <v>1716</v>
      </c>
      <c r="L2102" s="39" t="s">
        <v>1014</v>
      </c>
      <c r="M2102" s="38" t="s">
        <v>2380</v>
      </c>
      <c r="N2102" s="38" t="s">
        <v>1481</v>
      </c>
    </row>
    <row r="2103" spans="1:14" x14ac:dyDescent="0.2">
      <c r="A2103" s="38" t="s">
        <v>1713</v>
      </c>
      <c r="B2103" s="38">
        <v>140849</v>
      </c>
      <c r="C2103" s="38" t="s">
        <v>2394</v>
      </c>
      <c r="D2103" s="279">
        <v>100000</v>
      </c>
      <c r="F2103" s="40">
        <v>2.9499999999999998E-2</v>
      </c>
      <c r="G2103" s="41">
        <v>43486</v>
      </c>
      <c r="H2103" s="41">
        <v>43850</v>
      </c>
      <c r="I2103" s="39">
        <v>52</v>
      </c>
      <c r="J2103" s="39" t="s">
        <v>369</v>
      </c>
      <c r="K2103" s="39" t="s">
        <v>1716</v>
      </c>
      <c r="L2103" s="39" t="s">
        <v>1014</v>
      </c>
      <c r="M2103" s="38" t="s">
        <v>1713</v>
      </c>
      <c r="N2103" s="38" t="s">
        <v>2395</v>
      </c>
    </row>
    <row r="2104" spans="1:14" x14ac:dyDescent="0.2">
      <c r="A2104" s="38" t="s">
        <v>557</v>
      </c>
      <c r="B2104" s="38">
        <v>152031</v>
      </c>
      <c r="C2104" s="38" t="s">
        <v>2396</v>
      </c>
      <c r="D2104" s="279">
        <v>100000</v>
      </c>
      <c r="F2104" s="40">
        <v>3.0800000000000001E-2</v>
      </c>
      <c r="G2104" s="41">
        <v>43490</v>
      </c>
      <c r="H2104" s="41">
        <v>44586</v>
      </c>
      <c r="I2104" s="39">
        <v>3</v>
      </c>
      <c r="J2104" s="39" t="s">
        <v>1716</v>
      </c>
      <c r="K2104" s="39" t="s">
        <v>1716</v>
      </c>
      <c r="L2104" s="39" t="s">
        <v>1014</v>
      </c>
      <c r="M2104" s="38" t="s">
        <v>557</v>
      </c>
      <c r="N2104" s="38" t="s">
        <v>1481</v>
      </c>
    </row>
    <row r="2105" spans="1:14" x14ac:dyDescent="0.2">
      <c r="A2105" s="38" t="s">
        <v>557</v>
      </c>
      <c r="B2105" s="38">
        <v>152030</v>
      </c>
      <c r="C2105" s="38" t="s">
        <v>2397</v>
      </c>
      <c r="D2105" s="279">
        <v>100000</v>
      </c>
      <c r="F2105" s="40">
        <v>2.9399999999999999E-2</v>
      </c>
      <c r="G2105" s="41">
        <v>43490</v>
      </c>
      <c r="H2105" s="41">
        <v>44221</v>
      </c>
      <c r="I2105" s="39">
        <v>2</v>
      </c>
      <c r="J2105" s="39" t="s">
        <v>1716</v>
      </c>
      <c r="K2105" s="39" t="s">
        <v>1716</v>
      </c>
      <c r="L2105" s="39" t="s">
        <v>1014</v>
      </c>
      <c r="M2105" s="38" t="s">
        <v>557</v>
      </c>
      <c r="N2105" s="38" t="s">
        <v>1481</v>
      </c>
    </row>
    <row r="2106" spans="1:14" x14ac:dyDescent="0.2">
      <c r="A2106" s="38" t="s">
        <v>1035</v>
      </c>
      <c r="B2106" s="38">
        <v>201533</v>
      </c>
      <c r="C2106" s="38" t="s">
        <v>2398</v>
      </c>
      <c r="D2106" s="279">
        <v>100000</v>
      </c>
      <c r="F2106" s="40">
        <v>2.5999999999999999E-2</v>
      </c>
      <c r="G2106" s="41">
        <v>43539</v>
      </c>
      <c r="H2106" s="41">
        <v>44270</v>
      </c>
      <c r="I2106" s="39">
        <v>2</v>
      </c>
      <c r="J2106" s="39" t="s">
        <v>1716</v>
      </c>
      <c r="K2106" s="39" t="s">
        <v>1716</v>
      </c>
      <c r="L2106" s="39" t="s">
        <v>1014</v>
      </c>
      <c r="M2106" s="38" t="s">
        <v>1035</v>
      </c>
      <c r="N2106" s="38" t="s">
        <v>68</v>
      </c>
    </row>
    <row r="2107" spans="1:14" x14ac:dyDescent="0.2">
      <c r="A2107" s="38" t="s">
        <v>1035</v>
      </c>
      <c r="B2107" s="38">
        <v>201534</v>
      </c>
      <c r="C2107" s="38" t="s">
        <v>2399</v>
      </c>
      <c r="D2107" s="279">
        <v>100000</v>
      </c>
      <c r="F2107" s="40">
        <v>2.8500000000000001E-2</v>
      </c>
      <c r="G2107" s="41">
        <v>43479</v>
      </c>
      <c r="H2107" s="41">
        <v>45397</v>
      </c>
      <c r="I2107" s="39">
        <v>5</v>
      </c>
      <c r="J2107" s="39" t="s">
        <v>1716</v>
      </c>
      <c r="K2107" s="39" t="s">
        <v>1716</v>
      </c>
      <c r="L2107" s="39" t="s">
        <v>1014</v>
      </c>
      <c r="M2107" s="38" t="s">
        <v>1035</v>
      </c>
      <c r="N2107" s="38" t="s">
        <v>68</v>
      </c>
    </row>
    <row r="2108" spans="1:14" x14ac:dyDescent="0.2">
      <c r="A2108" s="38" t="s">
        <v>1015</v>
      </c>
      <c r="B2108" s="38">
        <v>100734</v>
      </c>
      <c r="C2108" s="38" t="s">
        <v>2400</v>
      </c>
      <c r="D2108" s="279">
        <v>100000</v>
      </c>
      <c r="F2108" s="40">
        <v>3.3500000000000002E-2</v>
      </c>
      <c r="G2108" s="41">
        <v>43509</v>
      </c>
      <c r="H2108" s="41">
        <v>45335</v>
      </c>
      <c r="I2108" s="39">
        <v>5</v>
      </c>
      <c r="J2108" s="39" t="s">
        <v>1716</v>
      </c>
      <c r="K2108" s="39" t="s">
        <v>1716</v>
      </c>
      <c r="L2108" s="39" t="s">
        <v>1014</v>
      </c>
      <c r="M2108" s="38" t="s">
        <v>1015</v>
      </c>
      <c r="N2108" s="38" t="s">
        <v>132</v>
      </c>
    </row>
    <row r="2109" spans="1:14" x14ac:dyDescent="0.2">
      <c r="A2109" s="38" t="s">
        <v>557</v>
      </c>
      <c r="B2109" s="38">
        <v>152036</v>
      </c>
      <c r="C2109" s="38" t="s">
        <v>2404</v>
      </c>
      <c r="D2109" s="279">
        <v>100000</v>
      </c>
      <c r="F2109" s="40">
        <v>3.15E-2</v>
      </c>
      <c r="G2109" s="41">
        <v>43518</v>
      </c>
      <c r="H2109" s="41">
        <v>45344</v>
      </c>
      <c r="I2109" s="39">
        <v>5</v>
      </c>
      <c r="J2109" s="39" t="s">
        <v>1716</v>
      </c>
      <c r="K2109" s="39" t="s">
        <v>1716</v>
      </c>
      <c r="L2109" s="39" t="s">
        <v>1014</v>
      </c>
      <c r="M2109" s="38" t="s">
        <v>557</v>
      </c>
      <c r="N2109" s="38" t="s">
        <v>1050</v>
      </c>
    </row>
    <row r="2110" spans="1:14" x14ac:dyDescent="0.2">
      <c r="A2110" s="38" t="s">
        <v>557</v>
      </c>
      <c r="B2110" s="38">
        <v>152037</v>
      </c>
      <c r="C2110" s="38" t="s">
        <v>2405</v>
      </c>
      <c r="D2110" s="279">
        <v>100000</v>
      </c>
      <c r="F2110" s="40">
        <v>3.3099999999999997E-2</v>
      </c>
      <c r="G2110" s="41">
        <v>43518</v>
      </c>
      <c r="H2110" s="41">
        <v>45830</v>
      </c>
      <c r="I2110" s="39">
        <v>6</v>
      </c>
      <c r="J2110" s="39" t="s">
        <v>1716</v>
      </c>
      <c r="K2110" s="39" t="s">
        <v>1716</v>
      </c>
      <c r="L2110" s="39" t="s">
        <v>1014</v>
      </c>
      <c r="M2110" s="38" t="s">
        <v>557</v>
      </c>
      <c r="N2110" s="38" t="s">
        <v>1050</v>
      </c>
    </row>
    <row r="2111" spans="1:14" x14ac:dyDescent="0.2">
      <c r="A2111" s="38" t="s">
        <v>1035</v>
      </c>
      <c r="B2111" s="38">
        <v>201524</v>
      </c>
      <c r="C2111" s="38" t="s">
        <v>2406</v>
      </c>
      <c r="D2111" s="279">
        <v>100000</v>
      </c>
      <c r="F2111" s="40">
        <v>3.95E-2</v>
      </c>
      <c r="G2111" s="41">
        <v>43192</v>
      </c>
      <c r="H2111" s="41">
        <v>50633</v>
      </c>
      <c r="I2111" s="39">
        <v>20</v>
      </c>
      <c r="J2111" s="39" t="s">
        <v>1716</v>
      </c>
      <c r="K2111" s="39" t="s">
        <v>1716</v>
      </c>
      <c r="L2111" s="39" t="s">
        <v>1014</v>
      </c>
      <c r="M2111" s="38" t="s">
        <v>1035</v>
      </c>
      <c r="N2111" s="38" t="s">
        <v>68</v>
      </c>
    </row>
    <row r="2112" spans="1:14" x14ac:dyDescent="0.2">
      <c r="A2112" s="38" t="s">
        <v>1035</v>
      </c>
      <c r="B2112" s="38">
        <v>201535</v>
      </c>
      <c r="C2112" s="38" t="s">
        <v>2407</v>
      </c>
      <c r="D2112" s="279">
        <v>100000</v>
      </c>
      <c r="F2112" s="40">
        <v>3.3500000000000002E-2</v>
      </c>
      <c r="G2112" s="41">
        <v>43500</v>
      </c>
      <c r="H2112" s="41">
        <v>47287</v>
      </c>
      <c r="I2112" s="39">
        <v>10</v>
      </c>
      <c r="J2112" s="39" t="s">
        <v>1716</v>
      </c>
      <c r="K2112" s="39" t="s">
        <v>1716</v>
      </c>
      <c r="L2112" s="39" t="s">
        <v>1014</v>
      </c>
      <c r="M2112" s="38" t="s">
        <v>1035</v>
      </c>
      <c r="N2112" s="38" t="s">
        <v>68</v>
      </c>
    </row>
    <row r="2113" spans="1:14" x14ac:dyDescent="0.2">
      <c r="A2113" s="38" t="s">
        <v>1015</v>
      </c>
      <c r="B2113" s="38">
        <v>100737</v>
      </c>
      <c r="C2113" s="38" t="s">
        <v>2408</v>
      </c>
      <c r="D2113" s="279">
        <v>100000</v>
      </c>
      <c r="F2113" s="40">
        <v>3.04E-2</v>
      </c>
      <c r="G2113" s="41">
        <v>43542</v>
      </c>
      <c r="H2113" s="41">
        <v>44638</v>
      </c>
      <c r="I2113" s="39">
        <v>3</v>
      </c>
      <c r="J2113" s="39" t="s">
        <v>1716</v>
      </c>
      <c r="K2113" s="39" t="s">
        <v>1716</v>
      </c>
      <c r="L2113" s="39" t="s">
        <v>1014</v>
      </c>
      <c r="M2113" s="38" t="s">
        <v>1015</v>
      </c>
      <c r="N2113" s="38" t="s">
        <v>2291</v>
      </c>
    </row>
    <row r="2114" spans="1:14" x14ac:dyDescent="0.2">
      <c r="A2114" s="38" t="s">
        <v>557</v>
      </c>
      <c r="B2114" s="38">
        <v>152043</v>
      </c>
      <c r="C2114" s="38" t="s">
        <v>2409</v>
      </c>
      <c r="D2114" s="279">
        <v>100000</v>
      </c>
      <c r="F2114" s="40">
        <v>2.5899999999999999E-2</v>
      </c>
      <c r="G2114" s="41">
        <v>43539</v>
      </c>
      <c r="H2114" s="41">
        <v>43902</v>
      </c>
      <c r="I2114" s="39">
        <v>52</v>
      </c>
      <c r="J2114" s="39" t="s">
        <v>369</v>
      </c>
      <c r="K2114" s="39" t="s">
        <v>1716</v>
      </c>
      <c r="L2114" s="39" t="s">
        <v>1014</v>
      </c>
      <c r="M2114" s="38" t="s">
        <v>557</v>
      </c>
      <c r="N2114" s="38" t="s">
        <v>2187</v>
      </c>
    </row>
    <row r="2115" spans="1:14" x14ac:dyDescent="0.2">
      <c r="A2115" s="38" t="s">
        <v>557</v>
      </c>
      <c r="B2115" s="38">
        <v>152048</v>
      </c>
      <c r="C2115" s="38" t="s">
        <v>2411</v>
      </c>
      <c r="D2115" s="279">
        <v>100000</v>
      </c>
      <c r="F2115" s="40">
        <v>3.0599999999999999E-2</v>
      </c>
      <c r="G2115" s="41">
        <v>43552</v>
      </c>
      <c r="H2115" s="41">
        <v>45013</v>
      </c>
      <c r="I2115" s="39">
        <v>4</v>
      </c>
      <c r="J2115" s="39" t="s">
        <v>1716</v>
      </c>
      <c r="K2115" s="39" t="s">
        <v>1716</v>
      </c>
      <c r="L2115" s="39" t="s">
        <v>1014</v>
      </c>
      <c r="M2115" s="38" t="s">
        <v>557</v>
      </c>
      <c r="N2115" s="38" t="s">
        <v>1481</v>
      </c>
    </row>
    <row r="2116" spans="1:14" x14ac:dyDescent="0.2">
      <c r="A2116" s="38" t="s">
        <v>557</v>
      </c>
      <c r="B2116" s="38">
        <v>152049</v>
      </c>
      <c r="C2116" s="38" t="s">
        <v>2412</v>
      </c>
      <c r="D2116" s="279">
        <v>100000</v>
      </c>
      <c r="F2116" s="40">
        <v>2.5899999999999999E-2</v>
      </c>
      <c r="G2116" s="41">
        <v>43552</v>
      </c>
      <c r="H2116" s="41">
        <v>43916</v>
      </c>
      <c r="I2116" s="39">
        <v>52</v>
      </c>
      <c r="J2116" s="39" t="s">
        <v>369</v>
      </c>
      <c r="K2116" s="39" t="s">
        <v>1716</v>
      </c>
      <c r="L2116" s="39" t="s">
        <v>1014</v>
      </c>
      <c r="M2116" s="38" t="s">
        <v>557</v>
      </c>
      <c r="N2116" s="38" t="s">
        <v>1042</v>
      </c>
    </row>
    <row r="2117" spans="1:14" x14ac:dyDescent="0.2">
      <c r="A2117" s="38" t="s">
        <v>1015</v>
      </c>
      <c r="B2117" s="38">
        <v>100742</v>
      </c>
      <c r="C2117" s="38" t="s">
        <v>2413</v>
      </c>
      <c r="D2117" s="279">
        <v>100000</v>
      </c>
      <c r="F2117" s="40">
        <v>3.15E-2</v>
      </c>
      <c r="G2117" s="41">
        <v>43553</v>
      </c>
      <c r="H2117" s="41">
        <v>45380</v>
      </c>
      <c r="I2117" s="39">
        <v>5</v>
      </c>
      <c r="J2117" s="39" t="s">
        <v>1716</v>
      </c>
      <c r="K2117" s="39" t="s">
        <v>1716</v>
      </c>
      <c r="L2117" s="39" t="s">
        <v>1014</v>
      </c>
      <c r="M2117" s="38" t="s">
        <v>1015</v>
      </c>
      <c r="N2117" s="38" t="s">
        <v>1226</v>
      </c>
    </row>
    <row r="2118" spans="1:14" x14ac:dyDescent="0.2">
      <c r="A2118" s="38" t="s">
        <v>557</v>
      </c>
      <c r="B2118" s="38">
        <v>152051</v>
      </c>
      <c r="C2118" s="38" t="s">
        <v>2414</v>
      </c>
      <c r="D2118" s="279">
        <v>100000</v>
      </c>
      <c r="F2118" s="40">
        <v>3.2099999999999997E-2</v>
      </c>
      <c r="G2118" s="41">
        <v>43553</v>
      </c>
      <c r="H2118" s="41">
        <v>45555</v>
      </c>
      <c r="I2118" s="39">
        <v>5</v>
      </c>
      <c r="J2118" s="39" t="s">
        <v>1716</v>
      </c>
      <c r="K2118" s="39" t="s">
        <v>1716</v>
      </c>
      <c r="L2118" s="39" t="s">
        <v>1014</v>
      </c>
      <c r="M2118" s="38" t="s">
        <v>557</v>
      </c>
      <c r="N2118" s="38" t="s">
        <v>1050</v>
      </c>
    </row>
    <row r="2119" spans="1:14" x14ac:dyDescent="0.2">
      <c r="A2119" s="38" t="s">
        <v>557</v>
      </c>
      <c r="B2119" s="38">
        <v>152052</v>
      </c>
      <c r="C2119" s="38" t="s">
        <v>2415</v>
      </c>
      <c r="D2119" s="279">
        <v>100000</v>
      </c>
      <c r="F2119" s="40">
        <v>3.3799999999999997E-2</v>
      </c>
      <c r="G2119" s="41">
        <v>43553</v>
      </c>
      <c r="H2119" s="41">
        <v>46009</v>
      </c>
      <c r="I2119" s="39">
        <v>6</v>
      </c>
      <c r="J2119" s="39" t="s">
        <v>1716</v>
      </c>
      <c r="K2119" s="39" t="s">
        <v>1716</v>
      </c>
      <c r="L2119" s="39" t="s">
        <v>1014</v>
      </c>
      <c r="M2119" s="38" t="s">
        <v>557</v>
      </c>
      <c r="N2119" s="38" t="s">
        <v>1050</v>
      </c>
    </row>
    <row r="2120" spans="1:14" x14ac:dyDescent="0.2">
      <c r="A2120" s="38" t="s">
        <v>557</v>
      </c>
      <c r="B2120" s="38">
        <v>152053</v>
      </c>
      <c r="C2120" s="38" t="s">
        <v>2416</v>
      </c>
      <c r="D2120" s="279">
        <v>100000</v>
      </c>
      <c r="F2120" s="40">
        <v>2.92E-2</v>
      </c>
      <c r="G2120" s="41">
        <v>44284</v>
      </c>
      <c r="H2120" s="41">
        <v>43919</v>
      </c>
      <c r="I2120" s="39">
        <v>7</v>
      </c>
      <c r="J2120" s="39" t="s">
        <v>1716</v>
      </c>
      <c r="K2120" s="39" t="s">
        <v>1716</v>
      </c>
      <c r="L2120" s="39" t="s">
        <v>1014</v>
      </c>
      <c r="M2120" s="38" t="s">
        <v>557</v>
      </c>
      <c r="N2120" s="38" t="s">
        <v>1050</v>
      </c>
    </row>
    <row r="2121" spans="1:14" x14ac:dyDescent="0.2">
      <c r="A2121" s="38" t="s">
        <v>557</v>
      </c>
      <c r="B2121" s="2">
        <v>152054</v>
      </c>
      <c r="C2121" s="38" t="s">
        <v>2417</v>
      </c>
      <c r="D2121" s="279">
        <v>100000</v>
      </c>
      <c r="F2121" s="40">
        <v>2.53E-2</v>
      </c>
      <c r="G2121" s="41">
        <v>43553</v>
      </c>
      <c r="H2121" s="41">
        <v>43624</v>
      </c>
      <c r="I2121" s="39">
        <v>13</v>
      </c>
      <c r="J2121" s="39" t="s">
        <v>369</v>
      </c>
      <c r="K2121" s="39" t="s">
        <v>1525</v>
      </c>
      <c r="L2121" s="39" t="s">
        <v>1014</v>
      </c>
      <c r="M2121" s="38" t="s">
        <v>557</v>
      </c>
      <c r="N2121" s="38" t="s">
        <v>1042</v>
      </c>
    </row>
    <row r="2122" spans="1:14" x14ac:dyDescent="0.2">
      <c r="A2122" s="38" t="s">
        <v>1015</v>
      </c>
      <c r="B2122" s="38">
        <v>100741</v>
      </c>
      <c r="C2122" s="38" t="s">
        <v>2418</v>
      </c>
      <c r="D2122" s="279">
        <v>100000</v>
      </c>
      <c r="F2122" s="40">
        <v>3.0499999999999999E-2</v>
      </c>
      <c r="G2122" s="41">
        <v>43553</v>
      </c>
      <c r="H2122" s="41">
        <v>45014</v>
      </c>
      <c r="I2122" s="39">
        <v>4</v>
      </c>
      <c r="J2122" s="39" t="s">
        <v>1716</v>
      </c>
      <c r="K2122" s="39" t="s">
        <v>1716</v>
      </c>
      <c r="L2122" s="39" t="s">
        <v>1014</v>
      </c>
      <c r="M2122" s="38" t="s">
        <v>1015</v>
      </c>
      <c r="N2122" s="38" t="s">
        <v>640</v>
      </c>
    </row>
    <row r="2123" spans="1:14" x14ac:dyDescent="0.2">
      <c r="A2123" s="38" t="s">
        <v>557</v>
      </c>
      <c r="B2123" s="38">
        <v>152062</v>
      </c>
      <c r="C2123" s="38" t="s">
        <v>2419</v>
      </c>
      <c r="D2123" s="279">
        <v>100000</v>
      </c>
      <c r="F2123" s="40">
        <v>2.5000000000000001E-2</v>
      </c>
      <c r="G2123" s="41">
        <v>43558</v>
      </c>
      <c r="H2123" s="41">
        <v>43741</v>
      </c>
      <c r="I2123" s="39">
        <v>26</v>
      </c>
      <c r="J2123" s="39" t="s">
        <v>369</v>
      </c>
      <c r="K2123" s="39" t="s">
        <v>369</v>
      </c>
      <c r="L2123" s="39" t="s">
        <v>1014</v>
      </c>
      <c r="M2123" s="38" t="s">
        <v>557</v>
      </c>
      <c r="N2123" s="38" t="s">
        <v>2187</v>
      </c>
    </row>
    <row r="2124" spans="1:14" x14ac:dyDescent="0.2">
      <c r="A2124" s="38" t="s">
        <v>1015</v>
      </c>
      <c r="B2124" s="38">
        <v>100743</v>
      </c>
      <c r="C2124" s="38" t="s">
        <v>2420</v>
      </c>
      <c r="D2124" s="279">
        <v>100000</v>
      </c>
      <c r="F2124" s="40">
        <v>2.8400000000000002E-2</v>
      </c>
      <c r="G2124" s="41">
        <v>43560</v>
      </c>
      <c r="H2124" s="41">
        <v>44291</v>
      </c>
      <c r="I2124" s="39">
        <v>2</v>
      </c>
      <c r="J2124" s="39" t="s">
        <v>1716</v>
      </c>
      <c r="K2124" s="39" t="s">
        <v>1716</v>
      </c>
      <c r="L2124" s="39" t="s">
        <v>1014</v>
      </c>
      <c r="M2124" s="38" t="s">
        <v>1015</v>
      </c>
      <c r="N2124" s="38" t="s">
        <v>1457</v>
      </c>
    </row>
    <row r="2125" spans="1:14" x14ac:dyDescent="0.2">
      <c r="A2125" s="38" t="s">
        <v>1015</v>
      </c>
      <c r="B2125" s="38">
        <v>100744</v>
      </c>
      <c r="C2125" s="38" t="s">
        <v>2421</v>
      </c>
      <c r="D2125" s="279">
        <v>100000</v>
      </c>
      <c r="F2125" s="40">
        <v>3.1E-2</v>
      </c>
      <c r="G2125" s="41">
        <v>43560</v>
      </c>
      <c r="H2125" s="41">
        <v>45021</v>
      </c>
      <c r="I2125" s="39">
        <v>4</v>
      </c>
      <c r="J2125" s="39" t="s">
        <v>1716</v>
      </c>
      <c r="K2125" s="39" t="s">
        <v>1716</v>
      </c>
      <c r="L2125" s="39" t="s">
        <v>1014</v>
      </c>
      <c r="M2125" s="38" t="s">
        <v>1015</v>
      </c>
      <c r="N2125" s="38" t="s">
        <v>1457</v>
      </c>
    </row>
    <row r="2126" spans="1:14" x14ac:dyDescent="0.2">
      <c r="A2126" s="38" t="s">
        <v>1015</v>
      </c>
      <c r="B2126" s="38">
        <v>100752</v>
      </c>
      <c r="C2126" s="38" t="s">
        <v>2422</v>
      </c>
      <c r="D2126" s="279">
        <v>100000</v>
      </c>
      <c r="F2126" s="40">
        <v>3.1300000000000001E-2</v>
      </c>
      <c r="G2126" s="41">
        <v>43570</v>
      </c>
      <c r="H2126" s="41">
        <v>45397</v>
      </c>
      <c r="I2126" s="39">
        <v>5</v>
      </c>
      <c r="J2126" s="39" t="s">
        <v>1716</v>
      </c>
      <c r="K2126" s="39" t="s">
        <v>1716</v>
      </c>
      <c r="L2126" s="39" t="s">
        <v>1014</v>
      </c>
      <c r="M2126" s="38" t="s">
        <v>1015</v>
      </c>
      <c r="N2126" s="38" t="s">
        <v>1226</v>
      </c>
    </row>
    <row r="2127" spans="1:14" x14ac:dyDescent="0.2">
      <c r="A2127" s="38" t="s">
        <v>557</v>
      </c>
      <c r="B2127" s="38">
        <v>152068</v>
      </c>
      <c r="C2127" s="38" t="s">
        <v>2423</v>
      </c>
      <c r="D2127" s="279">
        <v>100000</v>
      </c>
      <c r="F2127" s="40">
        <v>2.5499999999999998E-2</v>
      </c>
      <c r="G2127" s="41">
        <v>43573</v>
      </c>
      <c r="H2127" s="41">
        <v>43755</v>
      </c>
      <c r="I2127" s="39">
        <v>26</v>
      </c>
      <c r="J2127" s="39" t="s">
        <v>369</v>
      </c>
      <c r="K2127" s="39" t="s">
        <v>369</v>
      </c>
      <c r="L2127" s="39" t="s">
        <v>1014</v>
      </c>
      <c r="M2127" s="38" t="s">
        <v>557</v>
      </c>
      <c r="N2127" s="38" t="s">
        <v>1481</v>
      </c>
    </row>
    <row r="2128" spans="1:14" x14ac:dyDescent="0.2">
      <c r="A2128" s="38" t="s">
        <v>2378</v>
      </c>
      <c r="B2128" s="38">
        <v>9394</v>
      </c>
      <c r="C2128" s="38" t="s">
        <v>2424</v>
      </c>
      <c r="D2128" s="279">
        <v>100000</v>
      </c>
      <c r="F2128" s="40">
        <v>4.3299999999999998E-2</v>
      </c>
      <c r="G2128" s="41">
        <v>43584</v>
      </c>
      <c r="H2128" s="41">
        <v>54542</v>
      </c>
      <c r="I2128" s="39">
        <f>49-19</f>
        <v>30</v>
      </c>
      <c r="J2128" s="39" t="s">
        <v>1716</v>
      </c>
      <c r="K2128" s="39" t="s">
        <v>1716</v>
      </c>
      <c r="L2128" s="39" t="s">
        <v>1014</v>
      </c>
      <c r="M2128" s="38" t="s">
        <v>2380</v>
      </c>
      <c r="N2128" s="38" t="s">
        <v>1804</v>
      </c>
    </row>
    <row r="2129" spans="1:14" x14ac:dyDescent="0.2">
      <c r="A2129" s="38" t="s">
        <v>1035</v>
      </c>
      <c r="B2129" s="38">
        <v>201536</v>
      </c>
      <c r="C2129" s="38" t="s">
        <v>2427</v>
      </c>
      <c r="D2129" s="279">
        <v>100000</v>
      </c>
      <c r="F2129" s="40">
        <v>3.5000000000000003E-2</v>
      </c>
      <c r="G2129" s="41">
        <v>43570</v>
      </c>
      <c r="H2129" s="41">
        <v>49142</v>
      </c>
      <c r="I2129" s="39">
        <v>15</v>
      </c>
      <c r="J2129" s="39" t="s">
        <v>1716</v>
      </c>
      <c r="K2129" s="39" t="s">
        <v>1716</v>
      </c>
      <c r="L2129" s="39" t="s">
        <v>1014</v>
      </c>
      <c r="M2129" s="38" t="s">
        <v>1035</v>
      </c>
      <c r="N2129" s="38" t="s">
        <v>68</v>
      </c>
    </row>
    <row r="2130" spans="1:14" x14ac:dyDescent="0.2">
      <c r="A2130" s="38" t="s">
        <v>1035</v>
      </c>
      <c r="B2130" s="38">
        <v>201537</v>
      </c>
      <c r="C2130" s="38" t="s">
        <v>2430</v>
      </c>
      <c r="D2130" s="279">
        <v>100000</v>
      </c>
      <c r="F2130" s="40">
        <v>2.35E-2</v>
      </c>
      <c r="G2130" s="41">
        <v>43584</v>
      </c>
      <c r="H2130" s="41">
        <v>43969</v>
      </c>
      <c r="I2130" s="39">
        <v>1</v>
      </c>
      <c r="J2130" s="39" t="s">
        <v>1716</v>
      </c>
      <c r="K2130" s="39" t="s">
        <v>1716</v>
      </c>
      <c r="L2130" s="39" t="s">
        <v>1014</v>
      </c>
      <c r="M2130" s="38" t="s">
        <v>1035</v>
      </c>
      <c r="N2130" s="38" t="s">
        <v>68</v>
      </c>
    </row>
    <row r="2131" spans="1:14" x14ac:dyDescent="0.2">
      <c r="A2131" s="38" t="s">
        <v>557</v>
      </c>
      <c r="B2131" s="38">
        <v>152085</v>
      </c>
      <c r="C2131" s="38" t="s">
        <v>2432</v>
      </c>
      <c r="D2131" s="279">
        <v>100000</v>
      </c>
      <c r="F2131" s="40">
        <v>2.4E-2</v>
      </c>
      <c r="G2131" s="41">
        <v>43615</v>
      </c>
      <c r="H2131" s="41">
        <v>43797</v>
      </c>
      <c r="I2131" s="39">
        <v>26</v>
      </c>
      <c r="J2131" s="39" t="s">
        <v>369</v>
      </c>
      <c r="K2131" s="39" t="s">
        <v>369</v>
      </c>
      <c r="L2131" s="39" t="s">
        <v>1014</v>
      </c>
      <c r="M2131" s="38" t="s">
        <v>557</v>
      </c>
      <c r="N2131" s="38" t="s">
        <v>1473</v>
      </c>
    </row>
    <row r="2132" spans="1:14" x14ac:dyDescent="0.2">
      <c r="A2132" s="38" t="s">
        <v>557</v>
      </c>
      <c r="B2132" s="38">
        <v>152086</v>
      </c>
      <c r="C2132" s="38" t="s">
        <v>2433</v>
      </c>
      <c r="D2132" s="279">
        <v>100000</v>
      </c>
      <c r="F2132" s="40">
        <v>2.5000000000000001E-2</v>
      </c>
      <c r="G2132" s="41">
        <v>43615</v>
      </c>
      <c r="H2132" s="41">
        <v>43979</v>
      </c>
      <c r="I2132" s="39">
        <v>52</v>
      </c>
      <c r="J2132" s="39" t="s">
        <v>369</v>
      </c>
      <c r="K2132" s="39" t="s">
        <v>369</v>
      </c>
      <c r="L2132" s="39" t="s">
        <v>1014</v>
      </c>
      <c r="M2132" s="38" t="s">
        <v>557</v>
      </c>
      <c r="N2132" s="38" t="s">
        <v>1473</v>
      </c>
    </row>
    <row r="2133" spans="1:14" x14ac:dyDescent="0.2">
      <c r="A2133" s="38" t="s">
        <v>2437</v>
      </c>
      <c r="B2133" s="38">
        <v>9395</v>
      </c>
      <c r="C2133" s="38" t="s">
        <v>2435</v>
      </c>
      <c r="D2133" s="279">
        <v>100000</v>
      </c>
      <c r="F2133" s="40">
        <v>3.9100000000000003E-2</v>
      </c>
      <c r="G2133" s="41">
        <v>43620</v>
      </c>
      <c r="H2133" s="41">
        <v>49099</v>
      </c>
      <c r="I2133" s="39">
        <v>15</v>
      </c>
      <c r="J2133" s="39" t="s">
        <v>1716</v>
      </c>
      <c r="K2133" s="39" t="s">
        <v>1716</v>
      </c>
      <c r="L2133" s="39" t="s">
        <v>1014</v>
      </c>
      <c r="M2133" s="38" t="s">
        <v>2436</v>
      </c>
      <c r="N2133" s="38" t="s">
        <v>2211</v>
      </c>
    </row>
    <row r="2134" spans="1:14" x14ac:dyDescent="0.2">
      <c r="A2134" s="38" t="s">
        <v>2437</v>
      </c>
      <c r="B2134" s="38">
        <v>9396</v>
      </c>
      <c r="C2134" s="38" t="s">
        <v>2438</v>
      </c>
      <c r="D2134" s="279">
        <v>100000</v>
      </c>
      <c r="F2134" s="40">
        <v>3.0200000000000001E-2</v>
      </c>
      <c r="G2134" s="41">
        <v>43620</v>
      </c>
      <c r="H2134" s="41">
        <v>47273</v>
      </c>
      <c r="I2134" s="39">
        <v>10</v>
      </c>
      <c r="J2134" s="39" t="s">
        <v>1716</v>
      </c>
      <c r="K2134" s="39" t="s">
        <v>1716</v>
      </c>
      <c r="L2134" s="39" t="s">
        <v>1014</v>
      </c>
      <c r="M2134" s="38" t="s">
        <v>2436</v>
      </c>
      <c r="N2134" s="38" t="s">
        <v>2211</v>
      </c>
    </row>
    <row r="2135" spans="1:14" x14ac:dyDescent="0.2">
      <c r="A2135" s="38" t="s">
        <v>557</v>
      </c>
      <c r="B2135" s="38">
        <v>152088</v>
      </c>
      <c r="C2135" s="38" t="s">
        <v>2440</v>
      </c>
      <c r="D2135" s="279">
        <v>100000</v>
      </c>
      <c r="F2135" s="40">
        <v>2.4500000000000001E-2</v>
      </c>
      <c r="G2135" s="41">
        <v>43628</v>
      </c>
      <c r="H2135" s="41">
        <v>43811</v>
      </c>
      <c r="I2135" s="39">
        <v>26</v>
      </c>
      <c r="J2135" s="39" t="s">
        <v>369</v>
      </c>
      <c r="K2135" s="39" t="s">
        <v>369</v>
      </c>
      <c r="L2135" s="39" t="s">
        <v>1014</v>
      </c>
      <c r="M2135" s="38" t="s">
        <v>557</v>
      </c>
      <c r="N2135" s="38" t="s">
        <v>916</v>
      </c>
    </row>
    <row r="2136" spans="1:14" x14ac:dyDescent="0.2">
      <c r="A2136" s="38" t="s">
        <v>557</v>
      </c>
      <c r="B2136" s="38">
        <v>152089</v>
      </c>
      <c r="C2136" s="38" t="s">
        <v>2441</v>
      </c>
      <c r="D2136" s="279">
        <v>100000</v>
      </c>
      <c r="F2136" s="40">
        <v>2.5000000000000001E-2</v>
      </c>
      <c r="G2136" s="41">
        <v>43628</v>
      </c>
      <c r="H2136" s="41">
        <v>43993</v>
      </c>
      <c r="I2136" s="39">
        <v>52</v>
      </c>
      <c r="J2136" s="39" t="s">
        <v>369</v>
      </c>
      <c r="K2136" s="39" t="s">
        <v>1716</v>
      </c>
      <c r="L2136" s="39" t="s">
        <v>1014</v>
      </c>
      <c r="M2136" s="38" t="s">
        <v>557</v>
      </c>
      <c r="N2136" s="38" t="s">
        <v>916</v>
      </c>
    </row>
    <row r="2137" spans="1:14" x14ac:dyDescent="0.2">
      <c r="A2137" s="38" t="s">
        <v>557</v>
      </c>
      <c r="B2137" s="38">
        <v>152091</v>
      </c>
      <c r="C2137" s="38" t="s">
        <v>2442</v>
      </c>
      <c r="D2137" s="279">
        <v>100000</v>
      </c>
      <c r="F2137" s="40">
        <v>2.4500000000000001E-2</v>
      </c>
      <c r="G2137" s="41">
        <v>43630</v>
      </c>
      <c r="H2137" s="41">
        <v>43721</v>
      </c>
      <c r="I2137" s="39">
        <v>13</v>
      </c>
      <c r="J2137" s="39" t="s">
        <v>1525</v>
      </c>
      <c r="K2137" s="39" t="s">
        <v>1525</v>
      </c>
      <c r="L2137" s="39" t="s">
        <v>1014</v>
      </c>
      <c r="M2137" s="38" t="s">
        <v>557</v>
      </c>
      <c r="N2137" s="38" t="s">
        <v>916</v>
      </c>
    </row>
    <row r="2138" spans="1:14" x14ac:dyDescent="0.2">
      <c r="A2138" s="38" t="s">
        <v>1015</v>
      </c>
      <c r="B2138" s="38">
        <v>100761</v>
      </c>
      <c r="C2138" s="38" t="s">
        <v>2443</v>
      </c>
      <c r="D2138" s="279">
        <v>100000</v>
      </c>
      <c r="F2138" s="40">
        <v>3.0200000000000001E-2</v>
      </c>
      <c r="G2138" s="41">
        <v>43635</v>
      </c>
      <c r="H2138" s="41">
        <v>45462</v>
      </c>
      <c r="I2138" s="39">
        <v>5</v>
      </c>
      <c r="J2138" s="39" t="s">
        <v>1716</v>
      </c>
      <c r="K2138" s="39" t="s">
        <v>1716</v>
      </c>
      <c r="L2138" s="39" t="s">
        <v>1014</v>
      </c>
      <c r="M2138" s="38" t="s">
        <v>1015</v>
      </c>
      <c r="N2138" s="38" t="s">
        <v>1226</v>
      </c>
    </row>
    <row r="2139" spans="1:14" s="342" customFormat="1" x14ac:dyDescent="0.2">
      <c r="A2139" s="339" t="s">
        <v>557</v>
      </c>
      <c r="B2139" s="339">
        <v>152038</v>
      </c>
      <c r="C2139" s="339" t="s">
        <v>2403</v>
      </c>
      <c r="D2139" s="583">
        <v>100000</v>
      </c>
      <c r="E2139" s="339"/>
      <c r="F2139" s="673">
        <v>3.1099999999999999E-2</v>
      </c>
      <c r="G2139" s="340">
        <v>43518</v>
      </c>
      <c r="H2139" s="340">
        <v>46075</v>
      </c>
      <c r="I2139" s="341">
        <v>52</v>
      </c>
      <c r="J2139" s="341" t="s">
        <v>369</v>
      </c>
      <c r="K2139" s="341" t="s">
        <v>1716</v>
      </c>
      <c r="L2139" s="341" t="s">
        <v>1014</v>
      </c>
      <c r="M2139" s="339" t="s">
        <v>557</v>
      </c>
      <c r="N2139" s="339" t="s">
        <v>1050</v>
      </c>
    </row>
    <row r="2140" spans="1:14" x14ac:dyDescent="0.2">
      <c r="A2140" s="38" t="s">
        <v>2378</v>
      </c>
      <c r="B2140" s="38">
        <v>9397</v>
      </c>
      <c r="C2140" s="38" t="s">
        <v>2444</v>
      </c>
      <c r="D2140" s="279">
        <v>100000</v>
      </c>
      <c r="F2140" s="40">
        <v>2.9100000000000001E-2</v>
      </c>
      <c r="G2140" s="41">
        <v>43643</v>
      </c>
      <c r="H2140" s="41">
        <v>46200</v>
      </c>
      <c r="I2140" s="39">
        <v>52</v>
      </c>
      <c r="J2140" s="39" t="s">
        <v>369</v>
      </c>
      <c r="K2140" s="39" t="s">
        <v>1716</v>
      </c>
      <c r="L2140" s="39" t="s">
        <v>1014</v>
      </c>
      <c r="M2140" s="38" t="s">
        <v>2380</v>
      </c>
      <c r="N2140" s="38" t="s">
        <v>1226</v>
      </c>
    </row>
    <row r="2141" spans="1:14" x14ac:dyDescent="0.2">
      <c r="A2141" s="38" t="s">
        <v>557</v>
      </c>
      <c r="B2141" s="38">
        <v>152104</v>
      </c>
      <c r="C2141" s="38" t="s">
        <v>2445</v>
      </c>
      <c r="D2141" s="279">
        <v>100000</v>
      </c>
      <c r="F2141" s="40">
        <v>2.5000000000000001E-2</v>
      </c>
      <c r="G2141" s="41">
        <v>43644</v>
      </c>
      <c r="H2141" s="41">
        <v>44009</v>
      </c>
      <c r="I2141" s="39">
        <v>52</v>
      </c>
      <c r="J2141" s="39" t="s">
        <v>369</v>
      </c>
      <c r="K2141" s="39" t="s">
        <v>1716</v>
      </c>
      <c r="L2141" s="39" t="s">
        <v>1014</v>
      </c>
      <c r="M2141" s="38" t="s">
        <v>557</v>
      </c>
      <c r="N2141" s="38" t="s">
        <v>597</v>
      </c>
    </row>
    <row r="2142" spans="1:14" x14ac:dyDescent="0.2">
      <c r="A2142" s="38" t="s">
        <v>2446</v>
      </c>
      <c r="B2142" s="38">
        <v>9398</v>
      </c>
      <c r="C2142" s="38" t="s">
        <v>2447</v>
      </c>
      <c r="D2142" s="279">
        <v>100000</v>
      </c>
      <c r="F2142" s="40">
        <v>5.4800000000000001E-2</v>
      </c>
      <c r="G2142" s="41">
        <v>43644</v>
      </c>
      <c r="H2142" s="41">
        <v>47297</v>
      </c>
      <c r="I2142" s="39">
        <v>10</v>
      </c>
      <c r="J2142" s="39" t="s">
        <v>1716</v>
      </c>
      <c r="K2142" s="39" t="s">
        <v>1716</v>
      </c>
      <c r="L2142" s="39" t="s">
        <v>1014</v>
      </c>
      <c r="M2142" s="38" t="s">
        <v>2448</v>
      </c>
      <c r="N2142" s="38" t="s">
        <v>1481</v>
      </c>
    </row>
    <row r="2143" spans="1:14" x14ac:dyDescent="0.2">
      <c r="A2143" s="38" t="s">
        <v>2446</v>
      </c>
      <c r="B2143" s="38">
        <v>9399</v>
      </c>
      <c r="C2143" s="38" t="s">
        <v>2449</v>
      </c>
      <c r="D2143" s="279">
        <v>100000</v>
      </c>
      <c r="F2143" s="40">
        <v>4.5999999999999999E-2</v>
      </c>
      <c r="G2143" s="41">
        <v>43644</v>
      </c>
      <c r="H2143" s="41">
        <v>44010</v>
      </c>
      <c r="I2143" s="39">
        <v>52</v>
      </c>
      <c r="J2143" s="39" t="s">
        <v>369</v>
      </c>
      <c r="K2143" s="39" t="s">
        <v>1716</v>
      </c>
      <c r="L2143" s="39" t="s">
        <v>1014</v>
      </c>
      <c r="M2143" s="38" t="s">
        <v>2448</v>
      </c>
      <c r="N2143" s="38" t="s">
        <v>1481</v>
      </c>
    </row>
    <row r="2144" spans="1:14" x14ac:dyDescent="0.2">
      <c r="A2144" s="38" t="s">
        <v>557</v>
      </c>
      <c r="B2144" s="38">
        <v>152109</v>
      </c>
      <c r="C2144" s="38" t="s">
        <v>2452</v>
      </c>
      <c r="D2144" s="279">
        <v>100000</v>
      </c>
      <c r="F2144" s="40">
        <v>2.6599999999999999E-2</v>
      </c>
      <c r="G2144" s="41">
        <v>43656</v>
      </c>
      <c r="H2144" s="41">
        <v>44387</v>
      </c>
      <c r="I2144" s="39">
        <v>2</v>
      </c>
      <c r="J2144" s="39" t="s">
        <v>1716</v>
      </c>
      <c r="K2144" s="39" t="s">
        <v>1716</v>
      </c>
      <c r="L2144" s="39" t="s">
        <v>1014</v>
      </c>
      <c r="M2144" s="38" t="s">
        <v>557</v>
      </c>
      <c r="N2144" s="38" t="s">
        <v>1481</v>
      </c>
    </row>
    <row r="2145" spans="1:14" x14ac:dyDescent="0.2">
      <c r="A2145" s="38" t="s">
        <v>557</v>
      </c>
      <c r="B2145" s="38">
        <v>152110</v>
      </c>
      <c r="C2145" s="38" t="s">
        <v>2453</v>
      </c>
      <c r="D2145" s="279">
        <v>100000</v>
      </c>
      <c r="F2145" s="40">
        <v>2.8799999999999999E-2</v>
      </c>
      <c r="G2145" s="41">
        <v>43656</v>
      </c>
      <c r="H2145" s="41">
        <v>45117</v>
      </c>
      <c r="I2145" s="39">
        <v>4</v>
      </c>
      <c r="J2145" s="39" t="s">
        <v>1716</v>
      </c>
      <c r="K2145" s="39" t="s">
        <v>1716</v>
      </c>
      <c r="L2145" s="39" t="s">
        <v>1014</v>
      </c>
      <c r="M2145" s="38" t="s">
        <v>557</v>
      </c>
      <c r="N2145" s="38" t="s">
        <v>1481</v>
      </c>
    </row>
    <row r="2146" spans="1:14" x14ac:dyDescent="0.2">
      <c r="A2146" s="38" t="s">
        <v>1015</v>
      </c>
      <c r="B2146" s="38">
        <v>100636</v>
      </c>
      <c r="C2146" s="38" t="s">
        <v>2454</v>
      </c>
      <c r="D2146" s="279">
        <v>100000</v>
      </c>
      <c r="F2146" s="40">
        <v>3.85E-2</v>
      </c>
      <c r="G2146" s="41">
        <v>42194</v>
      </c>
      <c r="H2146" s="41">
        <v>44021</v>
      </c>
      <c r="I2146" s="39">
        <v>5</v>
      </c>
      <c r="J2146" s="39" t="s">
        <v>1716</v>
      </c>
      <c r="K2146" s="39" t="s">
        <v>1716</v>
      </c>
      <c r="L2146" s="39" t="s">
        <v>1014</v>
      </c>
      <c r="M2146" s="38" t="s">
        <v>1015</v>
      </c>
      <c r="N2146" s="38" t="s">
        <v>132</v>
      </c>
    </row>
    <row r="2147" spans="1:14" x14ac:dyDescent="0.2">
      <c r="A2147" s="38" t="s">
        <v>2457</v>
      </c>
      <c r="B2147" s="38">
        <v>9402</v>
      </c>
      <c r="C2147" s="38" t="s">
        <v>2456</v>
      </c>
      <c r="D2147" s="279">
        <v>100000</v>
      </c>
      <c r="F2147" s="40">
        <v>3.49E-2</v>
      </c>
      <c r="G2147" s="41">
        <v>43658</v>
      </c>
      <c r="H2147" s="41">
        <v>49137</v>
      </c>
      <c r="I2147" s="39">
        <v>5</v>
      </c>
      <c r="J2147" s="39" t="s">
        <v>1716</v>
      </c>
      <c r="K2147" s="39" t="s">
        <v>1716</v>
      </c>
      <c r="L2147" s="39" t="s">
        <v>1014</v>
      </c>
      <c r="M2147" s="38" t="s">
        <v>2436</v>
      </c>
      <c r="N2147" s="38" t="s">
        <v>1004</v>
      </c>
    </row>
    <row r="2148" spans="1:14" x14ac:dyDescent="0.2">
      <c r="A2148" s="38" t="s">
        <v>557</v>
      </c>
      <c r="B2148" s="38">
        <v>152114</v>
      </c>
      <c r="C2148" s="38" t="s">
        <v>2460</v>
      </c>
      <c r="D2148" s="279">
        <v>100000</v>
      </c>
      <c r="F2148" s="40">
        <v>2.46E-2</v>
      </c>
      <c r="G2148" s="41">
        <v>43677</v>
      </c>
      <c r="H2148" s="41">
        <v>43768</v>
      </c>
      <c r="I2148" s="39">
        <v>13</v>
      </c>
      <c r="J2148" s="39" t="s">
        <v>369</v>
      </c>
      <c r="K2148" s="39" t="s">
        <v>1716</v>
      </c>
      <c r="L2148" s="39" t="s">
        <v>1014</v>
      </c>
      <c r="M2148" s="38" t="s">
        <v>557</v>
      </c>
      <c r="N2148" s="38" t="s">
        <v>1481</v>
      </c>
    </row>
    <row r="2149" spans="1:14" x14ac:dyDescent="0.2">
      <c r="A2149" s="38" t="s">
        <v>1015</v>
      </c>
      <c r="B2149" s="38">
        <v>100765</v>
      </c>
      <c r="C2149" s="38" t="s">
        <v>2459</v>
      </c>
      <c r="D2149" s="279">
        <v>100000</v>
      </c>
      <c r="F2149" s="40">
        <v>3.0200000000000001E-2</v>
      </c>
      <c r="G2149" s="41">
        <v>43677</v>
      </c>
      <c r="H2149" s="41">
        <v>45504</v>
      </c>
      <c r="I2149" s="39">
        <v>5</v>
      </c>
      <c r="J2149" s="39" t="s">
        <v>1716</v>
      </c>
      <c r="K2149" s="39" t="s">
        <v>1716</v>
      </c>
      <c r="L2149" s="39" t="s">
        <v>1014</v>
      </c>
      <c r="M2149" s="38" t="s">
        <v>1015</v>
      </c>
      <c r="N2149" s="38" t="s">
        <v>918</v>
      </c>
    </row>
    <row r="2150" spans="1:14" x14ac:dyDescent="0.2">
      <c r="A2150" s="38" t="s">
        <v>557</v>
      </c>
      <c r="B2150" s="38">
        <v>152111</v>
      </c>
      <c r="C2150" s="38" t="s">
        <v>2458</v>
      </c>
      <c r="D2150" s="279">
        <v>100000</v>
      </c>
      <c r="F2150" s="40">
        <v>2.5600000000000001E-2</v>
      </c>
      <c r="G2150" s="41">
        <v>43677</v>
      </c>
      <c r="H2150" s="41">
        <v>44105</v>
      </c>
      <c r="I2150" s="39">
        <v>14</v>
      </c>
      <c r="J2150" s="39" t="s">
        <v>288</v>
      </c>
      <c r="K2150" s="39" t="s">
        <v>1716</v>
      </c>
      <c r="L2150" s="39" t="s">
        <v>1014</v>
      </c>
      <c r="M2150" s="38" t="s">
        <v>557</v>
      </c>
      <c r="N2150" s="38" t="s">
        <v>1473</v>
      </c>
    </row>
    <row r="2151" spans="1:14" x14ac:dyDescent="0.2">
      <c r="A2151" s="38" t="s">
        <v>1015</v>
      </c>
      <c r="B2151" s="38">
        <v>100767</v>
      </c>
      <c r="C2151" s="38" t="s">
        <v>2461</v>
      </c>
      <c r="D2151" s="279">
        <v>100000</v>
      </c>
      <c r="F2151" s="40">
        <v>2.7900000000000001E-2</v>
      </c>
      <c r="G2151" s="41">
        <v>43679</v>
      </c>
      <c r="H2151" s="41">
        <v>44775</v>
      </c>
      <c r="I2151" s="39">
        <v>3</v>
      </c>
      <c r="J2151" s="39" t="s">
        <v>1716</v>
      </c>
      <c r="K2151" s="39" t="s">
        <v>1716</v>
      </c>
      <c r="L2151" s="39" t="s">
        <v>1014</v>
      </c>
      <c r="M2151" s="38" t="s">
        <v>1015</v>
      </c>
      <c r="N2151" s="38" t="s">
        <v>1226</v>
      </c>
    </row>
    <row r="2152" spans="1:14" x14ac:dyDescent="0.2">
      <c r="A2152" s="38" t="s">
        <v>1015</v>
      </c>
      <c r="B2152" s="38">
        <v>100768</v>
      </c>
      <c r="C2152" s="38" t="s">
        <v>2462</v>
      </c>
      <c r="D2152" s="279">
        <v>100000</v>
      </c>
      <c r="F2152" s="40">
        <v>3.04E-2</v>
      </c>
      <c r="G2152" s="41">
        <v>43679</v>
      </c>
      <c r="H2152" s="41">
        <v>45506</v>
      </c>
      <c r="I2152" s="39">
        <v>5</v>
      </c>
      <c r="J2152" s="39" t="s">
        <v>1716</v>
      </c>
      <c r="K2152" s="39" t="s">
        <v>1716</v>
      </c>
      <c r="L2152" s="39" t="s">
        <v>1014</v>
      </c>
      <c r="M2152" s="38" t="s">
        <v>1015</v>
      </c>
      <c r="N2152" s="38" t="s">
        <v>1226</v>
      </c>
    </row>
    <row r="2153" spans="1:14" x14ac:dyDescent="0.2">
      <c r="A2153" s="38" t="s">
        <v>1035</v>
      </c>
      <c r="B2153" s="38">
        <v>201538</v>
      </c>
      <c r="C2153" s="38" t="s">
        <v>2463</v>
      </c>
      <c r="D2153" s="279">
        <v>100000</v>
      </c>
      <c r="F2153" s="40">
        <v>2.5999999999999999E-2</v>
      </c>
      <c r="G2153" s="41">
        <v>43605</v>
      </c>
      <c r="H2153" s="41">
        <v>45579</v>
      </c>
      <c r="I2153" s="39">
        <v>5</v>
      </c>
      <c r="J2153" s="39" t="s">
        <v>1716</v>
      </c>
      <c r="K2153" s="39" t="s">
        <v>1716</v>
      </c>
      <c r="L2153" s="39" t="s">
        <v>1014</v>
      </c>
      <c r="M2153" s="38" t="s">
        <v>1035</v>
      </c>
      <c r="N2153" s="38" t="s">
        <v>68</v>
      </c>
    </row>
    <row r="2154" spans="1:14" x14ac:dyDescent="0.2">
      <c r="A2154" s="38" t="s">
        <v>1035</v>
      </c>
      <c r="B2154" s="38">
        <v>201539</v>
      </c>
      <c r="C2154" s="38" t="s">
        <v>2464</v>
      </c>
      <c r="D2154" s="279">
        <v>100000</v>
      </c>
      <c r="F2154" s="40">
        <v>2.4E-2</v>
      </c>
      <c r="G2154" s="41">
        <v>43668</v>
      </c>
      <c r="H2154" s="41">
        <v>44459</v>
      </c>
      <c r="I2154" s="39">
        <v>2</v>
      </c>
      <c r="J2154" s="39" t="s">
        <v>1716</v>
      </c>
      <c r="K2154" s="39" t="s">
        <v>1716</v>
      </c>
      <c r="L2154" s="39" t="s">
        <v>1014</v>
      </c>
      <c r="M2154" s="38" t="s">
        <v>1035</v>
      </c>
      <c r="N2154" s="38" t="s">
        <v>68</v>
      </c>
    </row>
    <row r="2155" spans="1:14" x14ac:dyDescent="0.2">
      <c r="A2155" s="38" t="s">
        <v>557</v>
      </c>
      <c r="B2155" s="38">
        <v>152128</v>
      </c>
      <c r="C2155" s="38" t="s">
        <v>2465</v>
      </c>
      <c r="D2155" s="279">
        <v>100000</v>
      </c>
      <c r="F2155" s="40">
        <v>2.6800000000000001E-2</v>
      </c>
      <c r="G2155" s="41">
        <v>43717</v>
      </c>
      <c r="H2155" s="41">
        <v>44448</v>
      </c>
      <c r="I2155" s="39">
        <v>2</v>
      </c>
      <c r="J2155" s="39" t="s">
        <v>1716</v>
      </c>
      <c r="K2155" s="39" t="s">
        <v>1716</v>
      </c>
      <c r="L2155" s="39" t="s">
        <v>1014</v>
      </c>
      <c r="M2155" s="38" t="s">
        <v>557</v>
      </c>
      <c r="N2155" s="38" t="s">
        <v>1481</v>
      </c>
    </row>
    <row r="2156" spans="1:14" x14ac:dyDescent="0.2">
      <c r="A2156" s="38" t="s">
        <v>557</v>
      </c>
      <c r="B2156" s="38">
        <v>152123</v>
      </c>
      <c r="C2156" s="38" t="s">
        <v>2466</v>
      </c>
      <c r="D2156" s="279">
        <v>100000</v>
      </c>
      <c r="F2156" s="40">
        <v>2.4500000000000001E-2</v>
      </c>
      <c r="G2156" s="41">
        <v>43717</v>
      </c>
      <c r="H2156" s="41">
        <v>43899</v>
      </c>
      <c r="I2156" s="39">
        <v>26</v>
      </c>
      <c r="J2156" s="39" t="s">
        <v>369</v>
      </c>
      <c r="K2156" s="39" t="s">
        <v>369</v>
      </c>
      <c r="L2156" s="39" t="s">
        <v>1014</v>
      </c>
      <c r="M2156" s="38" t="s">
        <v>557</v>
      </c>
      <c r="N2156" s="38" t="s">
        <v>916</v>
      </c>
    </row>
    <row r="2157" spans="1:14" x14ac:dyDescent="0.2">
      <c r="A2157" s="38" t="s">
        <v>1015</v>
      </c>
      <c r="B2157" s="38">
        <v>100774</v>
      </c>
      <c r="C2157" s="38" t="s">
        <v>2467</v>
      </c>
      <c r="D2157" s="279">
        <v>100000</v>
      </c>
      <c r="F2157" s="40">
        <v>2.7900000000000001E-2</v>
      </c>
      <c r="G2157" s="41">
        <v>43732</v>
      </c>
      <c r="H2157" s="41">
        <v>44828</v>
      </c>
      <c r="I2157" s="39">
        <v>3</v>
      </c>
      <c r="J2157" s="39" t="s">
        <v>1716</v>
      </c>
      <c r="K2157" s="39" t="s">
        <v>1716</v>
      </c>
      <c r="L2157" s="39" t="s">
        <v>1014</v>
      </c>
      <c r="M2157" s="38" t="s">
        <v>1015</v>
      </c>
      <c r="N2157" s="38" t="s">
        <v>1226</v>
      </c>
    </row>
    <row r="2158" spans="1:14" x14ac:dyDescent="0.2">
      <c r="A2158" s="38" t="s">
        <v>1035</v>
      </c>
      <c r="B2158" s="38">
        <v>201540</v>
      </c>
      <c r="C2158" s="38" t="s">
        <v>2468</v>
      </c>
      <c r="D2158" s="279">
        <v>100000</v>
      </c>
      <c r="F2158" s="40">
        <v>2.35E-2</v>
      </c>
      <c r="G2158" s="41">
        <v>43692</v>
      </c>
      <c r="H2158" s="41">
        <v>44172</v>
      </c>
      <c r="I2158" s="39">
        <v>1</v>
      </c>
      <c r="J2158" s="39" t="s">
        <v>369</v>
      </c>
      <c r="K2158" s="39" t="s">
        <v>1716</v>
      </c>
      <c r="L2158" s="39" t="s">
        <v>1014</v>
      </c>
      <c r="M2158" s="38" t="s">
        <v>1035</v>
      </c>
      <c r="N2158" s="38" t="s">
        <v>68</v>
      </c>
    </row>
    <row r="2159" spans="1:14" x14ac:dyDescent="0.2">
      <c r="A2159" s="38" t="s">
        <v>557</v>
      </c>
      <c r="B2159" s="38">
        <v>152069</v>
      </c>
      <c r="C2159" s="38" t="s">
        <v>2469</v>
      </c>
      <c r="D2159" s="279">
        <v>100000</v>
      </c>
      <c r="F2159" s="40">
        <v>2.6100000000000002E-2</v>
      </c>
      <c r="G2159" s="41">
        <v>43573</v>
      </c>
      <c r="H2159" s="41">
        <v>43937</v>
      </c>
      <c r="I2159" s="39">
        <v>52</v>
      </c>
      <c r="J2159" s="39" t="s">
        <v>369</v>
      </c>
      <c r="K2159" s="39" t="s">
        <v>1716</v>
      </c>
      <c r="L2159" s="39" t="s">
        <v>1014</v>
      </c>
      <c r="M2159" s="38" t="s">
        <v>557</v>
      </c>
      <c r="N2159" s="38" t="s">
        <v>1481</v>
      </c>
    </row>
    <row r="2160" spans="1:14" x14ac:dyDescent="0.2">
      <c r="A2160" s="38" t="s">
        <v>2457</v>
      </c>
      <c r="B2160" s="38">
        <v>9229</v>
      </c>
      <c r="C2160" s="38" t="s">
        <v>2470</v>
      </c>
      <c r="D2160" s="279">
        <v>100000</v>
      </c>
      <c r="F2160" s="40">
        <v>3.8399999999999997E-2</v>
      </c>
      <c r="G2160" s="41">
        <v>43411</v>
      </c>
      <c r="H2160" s="41">
        <v>43776</v>
      </c>
      <c r="I2160" s="39">
        <v>53</v>
      </c>
      <c r="J2160" s="39" t="s">
        <v>369</v>
      </c>
      <c r="K2160" s="39" t="s">
        <v>1716</v>
      </c>
      <c r="L2160" s="39" t="s">
        <v>1014</v>
      </c>
      <c r="M2160" s="38" t="s">
        <v>2436</v>
      </c>
      <c r="N2160" s="38" t="s">
        <v>1226</v>
      </c>
    </row>
    <row r="2161" spans="1:14" x14ac:dyDescent="0.2">
      <c r="A2161" s="38" t="s">
        <v>1015</v>
      </c>
      <c r="B2161" s="38">
        <v>100776</v>
      </c>
      <c r="C2161" s="38" t="s">
        <v>2471</v>
      </c>
      <c r="D2161" s="279">
        <v>100000</v>
      </c>
      <c r="F2161" s="40">
        <v>2.6700000000000002E-2</v>
      </c>
      <c r="G2161" s="41">
        <v>43748</v>
      </c>
      <c r="H2161" s="41">
        <v>44479</v>
      </c>
      <c r="I2161" s="39">
        <v>2</v>
      </c>
      <c r="J2161" s="39" t="s">
        <v>1716</v>
      </c>
      <c r="K2161" s="39" t="s">
        <v>1716</v>
      </c>
      <c r="L2161" s="39" t="s">
        <v>1014</v>
      </c>
      <c r="M2161" s="38" t="s">
        <v>1015</v>
      </c>
      <c r="N2161" s="38" t="s">
        <v>1226</v>
      </c>
    </row>
    <row r="2162" spans="1:14" x14ac:dyDescent="0.2">
      <c r="A2162" s="38" t="s">
        <v>1015</v>
      </c>
      <c r="B2162" s="38">
        <v>100777</v>
      </c>
      <c r="C2162" s="38" t="s">
        <v>2472</v>
      </c>
      <c r="D2162" s="279">
        <v>100000</v>
      </c>
      <c r="F2162" s="40">
        <v>2.7900000000000001E-2</v>
      </c>
      <c r="G2162" s="41">
        <v>43748</v>
      </c>
      <c r="H2162" s="41">
        <v>44844</v>
      </c>
      <c r="I2162" s="39">
        <v>3</v>
      </c>
      <c r="J2162" s="39" t="s">
        <v>1716</v>
      </c>
      <c r="K2162" s="39" t="s">
        <v>1716</v>
      </c>
      <c r="L2162" s="39" t="s">
        <v>1014</v>
      </c>
      <c r="M2162" s="38" t="s">
        <v>1015</v>
      </c>
      <c r="N2162" s="38" t="s">
        <v>1226</v>
      </c>
    </row>
    <row r="2163" spans="1:14" x14ac:dyDescent="0.2">
      <c r="A2163" s="38" t="s">
        <v>2479</v>
      </c>
      <c r="B2163" s="38">
        <v>9411</v>
      </c>
      <c r="C2163" s="38" t="s">
        <v>2480</v>
      </c>
      <c r="D2163" s="279">
        <v>100000</v>
      </c>
      <c r="F2163" s="40">
        <v>4.02E-2</v>
      </c>
      <c r="G2163" s="41">
        <v>43769</v>
      </c>
      <c r="H2163" s="41">
        <v>54727</v>
      </c>
      <c r="I2163" s="39">
        <v>30</v>
      </c>
      <c r="J2163" s="39" t="s">
        <v>1716</v>
      </c>
      <c r="K2163" s="39" t="s">
        <v>1716</v>
      </c>
      <c r="L2163" s="39" t="s">
        <v>1014</v>
      </c>
      <c r="M2163" s="38" t="s">
        <v>2479</v>
      </c>
      <c r="N2163" s="38" t="s">
        <v>2366</v>
      </c>
    </row>
    <row r="2164" spans="1:14" x14ac:dyDescent="0.2">
      <c r="A2164" s="38" t="s">
        <v>207</v>
      </c>
      <c r="B2164" s="38">
        <v>152148</v>
      </c>
      <c r="C2164" s="38" t="s">
        <v>2481</v>
      </c>
      <c r="D2164" s="279">
        <v>100000</v>
      </c>
      <c r="F2164" s="40">
        <v>2.7400000000000001E-2</v>
      </c>
      <c r="G2164" s="41">
        <v>43769</v>
      </c>
      <c r="H2164" s="41">
        <v>44865</v>
      </c>
      <c r="I2164" s="39">
        <v>3</v>
      </c>
      <c r="J2164" s="39" t="s">
        <v>1716</v>
      </c>
      <c r="K2164" s="39" t="s">
        <v>1716</v>
      </c>
      <c r="L2164" s="39" t="s">
        <v>1014</v>
      </c>
      <c r="M2164" s="38" t="s">
        <v>2482</v>
      </c>
      <c r="N2164" s="38" t="s">
        <v>808</v>
      </c>
    </row>
    <row r="2165" spans="1:14" x14ac:dyDescent="0.2">
      <c r="A2165" s="38" t="s">
        <v>207</v>
      </c>
      <c r="B2165" s="38">
        <v>152147</v>
      </c>
      <c r="C2165" s="38" t="s">
        <v>2483</v>
      </c>
      <c r="D2165" s="279">
        <v>100000</v>
      </c>
      <c r="F2165" s="40">
        <v>2.63E-2</v>
      </c>
      <c r="G2165" s="41">
        <v>43769</v>
      </c>
      <c r="H2165" s="41">
        <v>44501</v>
      </c>
      <c r="I2165" s="39">
        <v>2</v>
      </c>
      <c r="J2165" s="39" t="s">
        <v>1716</v>
      </c>
      <c r="K2165" s="39" t="s">
        <v>1716</v>
      </c>
      <c r="L2165" s="39" t="s">
        <v>1014</v>
      </c>
      <c r="M2165" s="38" t="s">
        <v>2482</v>
      </c>
      <c r="N2165" s="38" t="s">
        <v>808</v>
      </c>
    </row>
    <row r="2166" spans="1:14" x14ac:dyDescent="0.2">
      <c r="A2166" s="38" t="s">
        <v>1674</v>
      </c>
      <c r="B2166" s="38">
        <v>100780</v>
      </c>
      <c r="C2166" s="38" t="s">
        <v>2484</v>
      </c>
      <c r="D2166" s="279">
        <v>100000</v>
      </c>
      <c r="F2166" s="40">
        <v>2.6599999999999999E-2</v>
      </c>
      <c r="G2166" s="41">
        <v>43776</v>
      </c>
      <c r="H2166" s="41">
        <v>44507</v>
      </c>
      <c r="I2166" s="39">
        <v>3</v>
      </c>
      <c r="J2166" s="39" t="s">
        <v>1716</v>
      </c>
      <c r="K2166" s="39" t="s">
        <v>1716</v>
      </c>
      <c r="L2166" s="39" t="s">
        <v>1014</v>
      </c>
      <c r="M2166" s="38" t="s">
        <v>1674</v>
      </c>
      <c r="N2166" s="38" t="s">
        <v>1226</v>
      </c>
    </row>
    <row r="2167" spans="1:14" x14ac:dyDescent="0.2">
      <c r="A2167" s="38" t="s">
        <v>2479</v>
      </c>
      <c r="B2167" s="38">
        <v>9416</v>
      </c>
      <c r="C2167" s="38" t="s">
        <v>2485</v>
      </c>
      <c r="D2167" s="279">
        <v>100000</v>
      </c>
      <c r="F2167" s="40">
        <v>2.86E-2</v>
      </c>
      <c r="G2167" s="41">
        <v>43781</v>
      </c>
      <c r="H2167" s="41">
        <v>44147</v>
      </c>
      <c r="I2167" s="39">
        <v>52</v>
      </c>
      <c r="J2167" s="39" t="s">
        <v>369</v>
      </c>
      <c r="K2167" s="39" t="s">
        <v>1716</v>
      </c>
      <c r="L2167" s="39" t="s">
        <v>1014</v>
      </c>
      <c r="M2167" s="38" t="s">
        <v>2479</v>
      </c>
      <c r="N2167" s="38" t="s">
        <v>6</v>
      </c>
    </row>
    <row r="2168" spans="1:14" x14ac:dyDescent="0.2">
      <c r="A2168" s="38" t="s">
        <v>2487</v>
      </c>
      <c r="B2168" s="38">
        <v>201545</v>
      </c>
      <c r="C2168" s="38" t="s">
        <v>2486</v>
      </c>
      <c r="D2168" s="279">
        <v>100000</v>
      </c>
      <c r="F2168" s="40">
        <v>2.1700000000000001E-2</v>
      </c>
      <c r="G2168" s="41">
        <v>43759</v>
      </c>
      <c r="H2168" s="41">
        <v>43850</v>
      </c>
      <c r="I2168" s="39">
        <v>13</v>
      </c>
      <c r="J2168" s="39" t="s">
        <v>369</v>
      </c>
      <c r="K2168" s="39" t="s">
        <v>1716</v>
      </c>
      <c r="L2168" s="39" t="s">
        <v>1014</v>
      </c>
      <c r="M2168" s="38" t="s">
        <v>2487</v>
      </c>
    </row>
    <row r="2169" spans="1:14" x14ac:dyDescent="0.2">
      <c r="A2169" s="38" t="s">
        <v>2487</v>
      </c>
      <c r="B2169" s="38">
        <v>201546</v>
      </c>
      <c r="C2169" s="38" t="s">
        <v>2488</v>
      </c>
      <c r="D2169" s="279">
        <v>100000</v>
      </c>
      <c r="F2169" s="40">
        <v>2.1600000000000001E-2</v>
      </c>
      <c r="G2169" s="41">
        <v>43759</v>
      </c>
      <c r="H2169" s="41">
        <v>43850</v>
      </c>
      <c r="I2169" s="39">
        <v>13</v>
      </c>
      <c r="J2169" s="39" t="s">
        <v>369</v>
      </c>
      <c r="K2169" s="39" t="s">
        <v>1716</v>
      </c>
      <c r="L2169" s="39" t="s">
        <v>1014</v>
      </c>
      <c r="M2169" s="38" t="s">
        <v>2487</v>
      </c>
    </row>
    <row r="2170" spans="1:14" x14ac:dyDescent="0.2">
      <c r="A2170" s="38" t="s">
        <v>1674</v>
      </c>
      <c r="B2170" s="38">
        <v>100782</v>
      </c>
      <c r="C2170" s="38" t="s">
        <v>2489</v>
      </c>
      <c r="D2170" s="279">
        <v>100000</v>
      </c>
      <c r="F2170" s="40">
        <v>2.7300000000000001E-2</v>
      </c>
      <c r="G2170" s="41">
        <v>43795</v>
      </c>
      <c r="H2170" s="41">
        <v>44891</v>
      </c>
      <c r="I2170" s="39">
        <v>3</v>
      </c>
      <c r="J2170" s="39" t="s">
        <v>1716</v>
      </c>
      <c r="K2170" s="39" t="s">
        <v>1716</v>
      </c>
      <c r="L2170" s="39" t="s">
        <v>1014</v>
      </c>
      <c r="M2170" s="38" t="s">
        <v>1674</v>
      </c>
    </row>
    <row r="2171" spans="1:14" x14ac:dyDescent="0.2">
      <c r="A2171" s="38" t="s">
        <v>2479</v>
      </c>
      <c r="B2171" s="38">
        <v>9417</v>
      </c>
      <c r="C2171" s="38" t="s">
        <v>2490</v>
      </c>
      <c r="D2171" s="279">
        <v>100000</v>
      </c>
      <c r="F2171" s="40">
        <v>2.7199999999999998E-2</v>
      </c>
      <c r="G2171" s="41">
        <v>43796</v>
      </c>
      <c r="H2171" s="41">
        <v>45257</v>
      </c>
      <c r="I2171" s="39">
        <v>4</v>
      </c>
      <c r="J2171" s="39" t="s">
        <v>1716</v>
      </c>
      <c r="K2171" s="39" t="s">
        <v>1716</v>
      </c>
      <c r="L2171" s="39" t="s">
        <v>1014</v>
      </c>
      <c r="M2171" s="38" t="s">
        <v>2479</v>
      </c>
      <c r="N2171" s="38" t="s">
        <v>2491</v>
      </c>
    </row>
    <row r="2172" spans="1:14" x14ac:dyDescent="0.2">
      <c r="A2172" s="38" t="s">
        <v>2493</v>
      </c>
      <c r="B2172" s="38">
        <v>152154</v>
      </c>
      <c r="C2172" s="38" t="s">
        <v>2492</v>
      </c>
      <c r="D2172" s="279">
        <v>100000</v>
      </c>
      <c r="F2172" s="40">
        <v>2.7799999999999998E-2</v>
      </c>
      <c r="G2172" s="41">
        <v>43797</v>
      </c>
      <c r="H2172" s="41">
        <v>45258</v>
      </c>
      <c r="I2172" s="39">
        <v>4</v>
      </c>
      <c r="J2172" s="39" t="s">
        <v>1716</v>
      </c>
      <c r="K2172" s="39" t="s">
        <v>1716</v>
      </c>
      <c r="L2172" s="39" t="s">
        <v>1014</v>
      </c>
      <c r="M2172" s="38" t="s">
        <v>2493</v>
      </c>
      <c r="N2172" s="38" t="s">
        <v>2494</v>
      </c>
    </row>
    <row r="2173" spans="1:14" x14ac:dyDescent="0.2">
      <c r="B2173" s="38">
        <v>201549</v>
      </c>
      <c r="C2173" s="38" t="s">
        <v>2495</v>
      </c>
      <c r="D2173" s="279">
        <v>100000</v>
      </c>
      <c r="F2173" s="40">
        <v>2.35E-2</v>
      </c>
      <c r="G2173" s="41">
        <v>43781</v>
      </c>
      <c r="H2173" s="41">
        <v>44512</v>
      </c>
      <c r="I2173" s="39">
        <v>2</v>
      </c>
      <c r="J2173" s="39" t="s">
        <v>1716</v>
      </c>
      <c r="K2173" s="39" t="s">
        <v>1716</v>
      </c>
      <c r="L2173" s="39" t="s">
        <v>1014</v>
      </c>
      <c r="M2173" s="38" t="s">
        <v>2496</v>
      </c>
    </row>
    <row r="2174" spans="1:14" x14ac:dyDescent="0.2">
      <c r="A2174" s="38" t="s">
        <v>2493</v>
      </c>
      <c r="B2174" s="38">
        <v>152161</v>
      </c>
      <c r="C2174" s="38" t="s">
        <v>2497</v>
      </c>
      <c r="D2174" s="279">
        <v>100000</v>
      </c>
      <c r="F2174" s="40">
        <v>2.4899999999999999E-2</v>
      </c>
      <c r="G2174" s="41">
        <v>43805</v>
      </c>
      <c r="H2174" s="41">
        <v>44075</v>
      </c>
      <c r="I2174" s="39">
        <v>9</v>
      </c>
      <c r="J2174" s="39" t="s">
        <v>288</v>
      </c>
      <c r="K2174" s="39" t="s">
        <v>1716</v>
      </c>
      <c r="L2174" s="39" t="s">
        <v>1014</v>
      </c>
      <c r="M2174" s="38" t="s">
        <v>2493</v>
      </c>
    </row>
    <row r="2175" spans="1:14" x14ac:dyDescent="0.2">
      <c r="B2175" s="38">
        <v>152162</v>
      </c>
      <c r="C2175" s="38" t="s">
        <v>2498</v>
      </c>
      <c r="D2175" s="279">
        <v>100000</v>
      </c>
      <c r="F2175" s="40">
        <v>2.52E-2</v>
      </c>
      <c r="G2175" s="41">
        <v>43805</v>
      </c>
      <c r="H2175" s="41">
        <v>44166</v>
      </c>
      <c r="I2175" s="39">
        <v>52</v>
      </c>
      <c r="J2175" s="39" t="s">
        <v>369</v>
      </c>
      <c r="K2175" s="39" t="s">
        <v>1716</v>
      </c>
      <c r="L2175" s="39" t="s">
        <v>1014</v>
      </c>
      <c r="M2175" s="38" t="s">
        <v>2493</v>
      </c>
    </row>
    <row r="2176" spans="1:14" x14ac:dyDescent="0.2">
      <c r="A2176" s="38" t="s">
        <v>2499</v>
      </c>
      <c r="B2176" s="38">
        <v>5106</v>
      </c>
      <c r="C2176" s="38" t="s">
        <v>2500</v>
      </c>
      <c r="D2176" s="279">
        <v>100000</v>
      </c>
      <c r="F2176" s="40">
        <v>3.0300000000000001E-2</v>
      </c>
      <c r="G2176" s="41">
        <v>43808</v>
      </c>
      <c r="H2176" s="41">
        <v>48023</v>
      </c>
      <c r="I2176" s="39">
        <v>12</v>
      </c>
      <c r="J2176" s="39" t="s">
        <v>1716</v>
      </c>
      <c r="K2176" s="39" t="s">
        <v>1716</v>
      </c>
      <c r="L2176" s="39" t="s">
        <v>1014</v>
      </c>
    </row>
    <row r="2177" spans="2:12" x14ac:dyDescent="0.2">
      <c r="B2177" s="38">
        <v>152167</v>
      </c>
      <c r="C2177" s="38" t="s">
        <v>2506</v>
      </c>
      <c r="D2177" s="279">
        <v>100000</v>
      </c>
      <c r="F2177" s="40">
        <v>2.5000000000000001E-2</v>
      </c>
      <c r="G2177" s="41">
        <v>43815</v>
      </c>
      <c r="H2177" s="41">
        <v>44179</v>
      </c>
      <c r="I2177" s="39">
        <v>52</v>
      </c>
      <c r="J2177" s="39" t="s">
        <v>369</v>
      </c>
      <c r="K2177" s="39" t="s">
        <v>1716</v>
      </c>
      <c r="L2177" s="39" t="s">
        <v>1014</v>
      </c>
    </row>
    <row r="2178" spans="2:12" x14ac:dyDescent="0.2">
      <c r="B2178" s="38">
        <v>151904</v>
      </c>
      <c r="C2178" s="38" t="s">
        <v>2507</v>
      </c>
      <c r="D2178" s="279">
        <v>100000</v>
      </c>
      <c r="F2178" s="40">
        <v>2.8500000000000001E-2</v>
      </c>
      <c r="G2178" s="41">
        <v>43094</v>
      </c>
      <c r="H2178" s="41">
        <v>43824</v>
      </c>
      <c r="I2178" s="39">
        <v>2</v>
      </c>
      <c r="J2178" s="39" t="s">
        <v>1716</v>
      </c>
      <c r="K2178" s="39" t="s">
        <v>1716</v>
      </c>
      <c r="L2178" s="39" t="s">
        <v>1014</v>
      </c>
    </row>
    <row r="2179" spans="2:12" x14ac:dyDescent="0.2">
      <c r="B2179" s="38">
        <v>152172</v>
      </c>
      <c r="C2179" s="38" t="s">
        <v>2508</v>
      </c>
      <c r="D2179" s="279">
        <v>100000</v>
      </c>
      <c r="F2179" s="40">
        <v>2.5399999999999999E-2</v>
      </c>
      <c r="G2179" s="41">
        <v>43818</v>
      </c>
      <c r="H2179" s="41">
        <v>44093</v>
      </c>
      <c r="I2179" s="39">
        <v>39</v>
      </c>
      <c r="J2179" s="39" t="s">
        <v>369</v>
      </c>
      <c r="K2179" s="39" t="s">
        <v>1716</v>
      </c>
      <c r="L2179" s="39" t="s">
        <v>1014</v>
      </c>
    </row>
    <row r="2180" spans="2:12" x14ac:dyDescent="0.2">
      <c r="B2180" s="38">
        <v>152171</v>
      </c>
      <c r="C2180" s="38" t="s">
        <v>2509</v>
      </c>
      <c r="D2180" s="279">
        <v>100000</v>
      </c>
      <c r="F2180" s="40">
        <v>2.5100000000000001E-2</v>
      </c>
      <c r="G2180" s="41">
        <v>43818</v>
      </c>
      <c r="H2180" s="41">
        <v>44001</v>
      </c>
      <c r="I2180" s="39">
        <v>26</v>
      </c>
      <c r="J2180" s="39" t="s">
        <v>369</v>
      </c>
      <c r="K2180" s="39" t="s">
        <v>369</v>
      </c>
      <c r="L2180" s="39" t="s">
        <v>1014</v>
      </c>
    </row>
    <row r="2181" spans="2:12" x14ac:dyDescent="0.2">
      <c r="B2181" s="38">
        <v>152170</v>
      </c>
      <c r="C2181" s="38" t="s">
        <v>2510</v>
      </c>
      <c r="D2181" s="279">
        <v>100000</v>
      </c>
      <c r="F2181" s="40">
        <v>2.4400000000000002E-2</v>
      </c>
      <c r="G2181" s="41">
        <v>43818</v>
      </c>
      <c r="H2181" s="41">
        <v>43909</v>
      </c>
      <c r="I2181" s="39">
        <v>13</v>
      </c>
      <c r="J2181" s="39" t="s">
        <v>369</v>
      </c>
      <c r="K2181" s="39" t="s">
        <v>369</v>
      </c>
      <c r="L2181" s="39" t="s">
        <v>1014</v>
      </c>
    </row>
    <row r="2182" spans="2:12" x14ac:dyDescent="0.2">
      <c r="B2182" s="38">
        <v>9425</v>
      </c>
      <c r="C2182" s="38" t="s">
        <v>2511</v>
      </c>
      <c r="D2182" s="279">
        <v>100000</v>
      </c>
      <c r="F2182" s="40">
        <v>3.2800000000000003E-2</v>
      </c>
      <c r="G2182" s="41">
        <v>43825</v>
      </c>
      <c r="H2182" s="41">
        <v>47478</v>
      </c>
      <c r="I2182" s="39">
        <v>10</v>
      </c>
      <c r="J2182" s="39" t="s">
        <v>1716</v>
      </c>
      <c r="K2182" s="39" t="s">
        <v>1716</v>
      </c>
      <c r="L2182" s="39" t="s">
        <v>1014</v>
      </c>
    </row>
    <row r="2183" spans="2:12" x14ac:dyDescent="0.2">
      <c r="B2183" s="38">
        <v>9428</v>
      </c>
      <c r="C2183" s="38" t="s">
        <v>2513</v>
      </c>
      <c r="D2183" s="279">
        <v>100000</v>
      </c>
      <c r="F2183" s="40">
        <v>5.2299999999999999E-2</v>
      </c>
      <c r="G2183" s="41">
        <v>43826</v>
      </c>
      <c r="H2183" s="41">
        <v>47479</v>
      </c>
      <c r="I2183" s="39">
        <v>10</v>
      </c>
      <c r="J2183" s="39" t="s">
        <v>1716</v>
      </c>
      <c r="K2183" s="39" t="s">
        <v>1716</v>
      </c>
      <c r="L2183" s="39" t="s">
        <v>1014</v>
      </c>
    </row>
    <row r="2184" spans="2:12" x14ac:dyDescent="0.2">
      <c r="B2184" s="38">
        <v>9429</v>
      </c>
      <c r="C2184" s="38" t="s">
        <v>2515</v>
      </c>
      <c r="D2184" s="279">
        <v>100000</v>
      </c>
      <c r="F2184" s="40">
        <v>4.6199999999999998E-2</v>
      </c>
      <c r="G2184" s="41">
        <v>43826</v>
      </c>
      <c r="H2184" s="41">
        <v>47479</v>
      </c>
      <c r="I2184" s="39">
        <v>10</v>
      </c>
      <c r="J2184" s="39" t="s">
        <v>1716</v>
      </c>
      <c r="K2184" s="39" t="s">
        <v>1716</v>
      </c>
      <c r="L2184" s="39" t="s">
        <v>1014</v>
      </c>
    </row>
    <row r="2185" spans="2:12" x14ac:dyDescent="0.2">
      <c r="B2185" s="38">
        <v>152176</v>
      </c>
      <c r="C2185" s="38" t="s">
        <v>2517</v>
      </c>
      <c r="D2185" s="279">
        <v>100000</v>
      </c>
      <c r="F2185" s="40">
        <v>2.5499999999999998E-2</v>
      </c>
      <c r="G2185" s="41">
        <v>43829</v>
      </c>
      <c r="H2185" s="41">
        <v>44195</v>
      </c>
      <c r="I2185" s="39">
        <v>1</v>
      </c>
      <c r="J2185" s="39" t="s">
        <v>1716</v>
      </c>
      <c r="K2185" s="39" t="s">
        <v>1716</v>
      </c>
      <c r="L2185" s="39" t="s">
        <v>1014</v>
      </c>
    </row>
    <row r="2186" spans="2:12" x14ac:dyDescent="0.2">
      <c r="B2186" s="38">
        <v>152179</v>
      </c>
      <c r="C2186" s="38" t="s">
        <v>2518</v>
      </c>
      <c r="D2186" s="279">
        <v>100000</v>
      </c>
      <c r="F2186" s="40">
        <v>2.8199999999999999E-2</v>
      </c>
      <c r="G2186" s="41">
        <v>43829</v>
      </c>
      <c r="H2186" s="41">
        <v>45656</v>
      </c>
      <c r="I2186" s="39">
        <v>5</v>
      </c>
      <c r="J2186" s="39" t="s">
        <v>1716</v>
      </c>
      <c r="K2186" s="39" t="s">
        <v>1716</v>
      </c>
      <c r="L2186" s="39" t="s">
        <v>1014</v>
      </c>
    </row>
    <row r="2187" spans="2:12" x14ac:dyDescent="0.2">
      <c r="B2187" s="38">
        <v>152177</v>
      </c>
      <c r="C2187" s="38" t="s">
        <v>2519</v>
      </c>
      <c r="D2187" s="279">
        <v>100000</v>
      </c>
      <c r="F2187" s="40">
        <v>2.6100000000000002E-2</v>
      </c>
      <c r="G2187" s="41">
        <v>43829</v>
      </c>
      <c r="H2187" s="41">
        <v>44377</v>
      </c>
      <c r="I2187" s="39">
        <v>1</v>
      </c>
      <c r="J2187" s="39" t="s">
        <v>1716</v>
      </c>
      <c r="K2187" s="39" t="s">
        <v>1716</v>
      </c>
      <c r="L2187" s="39" t="s">
        <v>1014</v>
      </c>
    </row>
    <row r="2188" spans="2:12" x14ac:dyDescent="0.2">
      <c r="B2188" s="38">
        <v>9431</v>
      </c>
      <c r="C2188" s="38" t="s">
        <v>2520</v>
      </c>
      <c r="D2188" s="279">
        <v>100000</v>
      </c>
      <c r="F2188" s="40">
        <v>2.9700000000000001E-2</v>
      </c>
      <c r="G2188" s="41">
        <v>43830</v>
      </c>
      <c r="H2188" s="41">
        <v>46387</v>
      </c>
      <c r="I2188" s="39">
        <v>7</v>
      </c>
      <c r="J2188" s="39" t="s">
        <v>1716</v>
      </c>
      <c r="K2188" s="39" t="s">
        <v>1716</v>
      </c>
      <c r="L2188" s="39" t="s">
        <v>1014</v>
      </c>
    </row>
    <row r="2189" spans="2:12" x14ac:dyDescent="0.2">
      <c r="B2189" s="38">
        <v>201551</v>
      </c>
      <c r="C2189" s="38" t="s">
        <v>2522</v>
      </c>
      <c r="D2189" s="279">
        <v>100000</v>
      </c>
      <c r="F2189" s="40">
        <v>3.3500000000000002E-2</v>
      </c>
      <c r="G2189" s="41">
        <v>43836</v>
      </c>
      <c r="H2189" s="41">
        <v>51242</v>
      </c>
      <c r="I2189" s="39">
        <v>20</v>
      </c>
      <c r="J2189" s="39" t="s">
        <v>1716</v>
      </c>
      <c r="K2189" s="39" t="s">
        <v>1716</v>
      </c>
      <c r="L2189" s="39" t="s">
        <v>1014</v>
      </c>
    </row>
    <row r="2190" spans="2:12" x14ac:dyDescent="0.2">
      <c r="B2190" s="38">
        <v>201553</v>
      </c>
      <c r="C2190" s="38" t="s">
        <v>2523</v>
      </c>
      <c r="D2190" s="279">
        <v>100000</v>
      </c>
      <c r="F2190" s="40">
        <v>0.04</v>
      </c>
      <c r="G2190" s="41">
        <v>43836</v>
      </c>
      <c r="H2190" s="41">
        <v>54833</v>
      </c>
      <c r="I2190" s="39">
        <v>30</v>
      </c>
      <c r="J2190" s="39" t="s">
        <v>1716</v>
      </c>
      <c r="K2190" s="39" t="s">
        <v>1716</v>
      </c>
      <c r="L2190" s="39" t="s">
        <v>1014</v>
      </c>
    </row>
    <row r="2191" spans="2:12" x14ac:dyDescent="0.2">
      <c r="B2191" s="38">
        <v>201552</v>
      </c>
      <c r="C2191" s="38" t="s">
        <v>2524</v>
      </c>
      <c r="D2191" s="279">
        <v>100000</v>
      </c>
      <c r="F2191" s="40">
        <v>2.7E-2</v>
      </c>
      <c r="G2191" s="41">
        <v>43836</v>
      </c>
      <c r="H2191" s="41">
        <v>47651</v>
      </c>
      <c r="I2191" s="39">
        <v>10</v>
      </c>
      <c r="J2191" s="39" t="s">
        <v>1716</v>
      </c>
      <c r="K2191" s="39" t="s">
        <v>1716</v>
      </c>
      <c r="L2191" s="39" t="s">
        <v>1014</v>
      </c>
    </row>
    <row r="2192" spans="2:12" x14ac:dyDescent="0.2">
      <c r="B2192" s="38">
        <v>201554</v>
      </c>
      <c r="C2192" s="38" t="s">
        <v>2529</v>
      </c>
      <c r="D2192" s="279">
        <v>100000</v>
      </c>
      <c r="F2192" s="40">
        <v>0.03</v>
      </c>
      <c r="G2192" s="41">
        <v>43850</v>
      </c>
      <c r="H2192" s="41">
        <v>49506</v>
      </c>
      <c r="I2192" s="39">
        <v>15</v>
      </c>
      <c r="J2192" s="39" t="s">
        <v>1716</v>
      </c>
      <c r="K2192" s="39" t="s">
        <v>1716</v>
      </c>
      <c r="L2192" s="39" t="s">
        <v>1014</v>
      </c>
    </row>
    <row r="2193" spans="1:12" x14ac:dyDescent="0.2">
      <c r="B2193" s="38">
        <v>100788</v>
      </c>
      <c r="C2193" s="38" t="s">
        <v>2530</v>
      </c>
      <c r="D2193" s="279">
        <v>100000</v>
      </c>
      <c r="F2193" s="40">
        <v>2.7199999999999998E-2</v>
      </c>
      <c r="G2193" s="41">
        <v>43851</v>
      </c>
      <c r="H2193" s="41">
        <v>44947</v>
      </c>
      <c r="I2193" s="39">
        <v>3</v>
      </c>
      <c r="J2193" s="39" t="s">
        <v>1716</v>
      </c>
      <c r="K2193" s="39" t="s">
        <v>1716</v>
      </c>
      <c r="L2193" s="39" t="s">
        <v>1014</v>
      </c>
    </row>
    <row r="2194" spans="1:12" x14ac:dyDescent="0.2">
      <c r="B2194" s="38">
        <v>140909</v>
      </c>
      <c r="C2194" s="38" t="s">
        <v>2531</v>
      </c>
      <c r="D2194" s="279">
        <v>100000</v>
      </c>
      <c r="F2194" s="40">
        <v>2.7900000000000001E-2</v>
      </c>
      <c r="G2194" s="41">
        <v>43851</v>
      </c>
      <c r="H2194" s="41">
        <v>44216</v>
      </c>
      <c r="I2194" s="39">
        <v>52</v>
      </c>
      <c r="J2194" s="39" t="s">
        <v>369</v>
      </c>
      <c r="K2194" s="39" t="s">
        <v>1716</v>
      </c>
      <c r="L2194" s="39" t="s">
        <v>1014</v>
      </c>
    </row>
    <row r="2195" spans="1:12" x14ac:dyDescent="0.2">
      <c r="B2195" s="38">
        <v>100790</v>
      </c>
      <c r="C2195" s="38" t="s">
        <v>2532</v>
      </c>
      <c r="D2195" s="279">
        <v>100000</v>
      </c>
      <c r="F2195" s="40">
        <v>2.8799999999999999E-2</v>
      </c>
      <c r="G2195" s="41">
        <v>43854</v>
      </c>
      <c r="H2195" s="41">
        <v>45681</v>
      </c>
      <c r="I2195" s="39">
        <v>5</v>
      </c>
      <c r="J2195" s="39" t="s">
        <v>1716</v>
      </c>
      <c r="K2195" s="39" t="s">
        <v>1716</v>
      </c>
      <c r="L2195" s="39" t="s">
        <v>1014</v>
      </c>
    </row>
    <row r="2196" spans="1:12" x14ac:dyDescent="0.2">
      <c r="B2196" s="38">
        <v>100792</v>
      </c>
      <c r="C2196" s="38" t="s">
        <v>2534</v>
      </c>
      <c r="D2196" s="279">
        <v>100000</v>
      </c>
      <c r="F2196" s="40">
        <v>2.92E-2</v>
      </c>
      <c r="G2196" s="41">
        <v>43872</v>
      </c>
      <c r="H2196" s="41">
        <v>45699</v>
      </c>
      <c r="I2196" s="39">
        <v>5</v>
      </c>
      <c r="J2196" s="39" t="s">
        <v>1716</v>
      </c>
      <c r="K2196" s="39" t="s">
        <v>1716</v>
      </c>
      <c r="L2196" s="39" t="s">
        <v>1014</v>
      </c>
    </row>
    <row r="2197" spans="1:12" x14ac:dyDescent="0.2">
      <c r="B2197" s="38">
        <v>201555</v>
      </c>
      <c r="C2197" s="38" t="s">
        <v>2535</v>
      </c>
      <c r="D2197" s="279">
        <v>100000</v>
      </c>
      <c r="F2197" s="40">
        <v>2.3E-2</v>
      </c>
      <c r="G2197" s="41">
        <v>43857</v>
      </c>
      <c r="H2197" s="41">
        <v>44333</v>
      </c>
      <c r="I2197" s="39">
        <v>1</v>
      </c>
      <c r="J2197" s="39" t="s">
        <v>1716</v>
      </c>
      <c r="K2197" s="39" t="s">
        <v>1716</v>
      </c>
      <c r="L2197" s="39" t="s">
        <v>1014</v>
      </c>
    </row>
    <row r="2198" spans="1:12" x14ac:dyDescent="0.2">
      <c r="B2198" s="38">
        <v>9436</v>
      </c>
      <c r="C2198" s="38" t="s">
        <v>2536</v>
      </c>
      <c r="D2198" s="279">
        <v>100000</v>
      </c>
      <c r="F2198" s="40">
        <v>3.8300000000000001E-2</v>
      </c>
      <c r="G2198" s="41">
        <v>43886</v>
      </c>
      <c r="H2198" s="41">
        <v>54844</v>
      </c>
      <c r="I2198" s="39">
        <v>30</v>
      </c>
      <c r="J2198" s="39" t="s">
        <v>1716</v>
      </c>
      <c r="K2198" s="39" t="s">
        <v>1716</v>
      </c>
      <c r="L2198" s="39" t="s">
        <v>1014</v>
      </c>
    </row>
    <row r="2199" spans="1:12" x14ac:dyDescent="0.2">
      <c r="B2199" s="38">
        <v>100796</v>
      </c>
      <c r="C2199" s="38" t="s">
        <v>2537</v>
      </c>
      <c r="D2199" s="279">
        <v>100000</v>
      </c>
      <c r="F2199" s="40">
        <v>2.69E-2</v>
      </c>
      <c r="G2199" s="41">
        <v>43892</v>
      </c>
      <c r="H2199" s="41">
        <v>44622</v>
      </c>
      <c r="I2199" s="39">
        <v>2</v>
      </c>
      <c r="J2199" s="39" t="s">
        <v>1716</v>
      </c>
      <c r="K2199" s="39" t="s">
        <v>1716</v>
      </c>
      <c r="L2199" s="39" t="s">
        <v>1014</v>
      </c>
    </row>
    <row r="2200" spans="1:12" x14ac:dyDescent="0.2">
      <c r="B2200" s="38">
        <v>152194</v>
      </c>
      <c r="C2200" s="38" t="s">
        <v>2539</v>
      </c>
      <c r="D2200" s="279">
        <v>100000</v>
      </c>
      <c r="F2200" s="40">
        <v>2.75E-2</v>
      </c>
      <c r="G2200" s="41">
        <v>43902</v>
      </c>
      <c r="H2200" s="41">
        <v>44997</v>
      </c>
      <c r="I2200" s="39">
        <v>3</v>
      </c>
      <c r="J2200" s="39" t="s">
        <v>1716</v>
      </c>
      <c r="K2200" s="39" t="s">
        <v>1716</v>
      </c>
      <c r="L2200" s="39" t="s">
        <v>1014</v>
      </c>
    </row>
    <row r="2201" spans="1:12" x14ac:dyDescent="0.2">
      <c r="B2201" s="38">
        <v>152193</v>
      </c>
      <c r="C2201" s="38" t="s">
        <v>2540</v>
      </c>
      <c r="D2201" s="279">
        <v>100000</v>
      </c>
      <c r="F2201" s="40">
        <v>2.6700000000000002E-2</v>
      </c>
      <c r="G2201" s="41">
        <v>43902</v>
      </c>
      <c r="H2201" s="41">
        <v>44632</v>
      </c>
      <c r="I2201" s="39">
        <v>2</v>
      </c>
      <c r="J2201" s="39" t="s">
        <v>1716</v>
      </c>
      <c r="K2201" s="39" t="s">
        <v>1716</v>
      </c>
      <c r="L2201" s="39" t="s">
        <v>1014</v>
      </c>
    </row>
    <row r="2202" spans="1:12" x14ac:dyDescent="0.2">
      <c r="B2202" s="38">
        <v>152195</v>
      </c>
      <c r="C2202" s="38" t="s">
        <v>2541</v>
      </c>
      <c r="D2202" s="279">
        <v>100000</v>
      </c>
      <c r="F2202" s="40">
        <v>2.4899999999999999E-2</v>
      </c>
      <c r="G2202" s="41">
        <v>43903</v>
      </c>
      <c r="H2202" s="41">
        <v>44085</v>
      </c>
      <c r="I2202" s="39">
        <v>26</v>
      </c>
      <c r="J2202" s="39" t="s">
        <v>369</v>
      </c>
      <c r="K2202" s="39" t="s">
        <v>1716</v>
      </c>
      <c r="L2202" s="39" t="s">
        <v>1014</v>
      </c>
    </row>
    <row r="2203" spans="1:12" x14ac:dyDescent="0.2">
      <c r="B2203" s="38">
        <v>100797</v>
      </c>
      <c r="C2203" s="38" t="s">
        <v>2542</v>
      </c>
      <c r="D2203" s="279">
        <v>100000</v>
      </c>
      <c r="F2203" s="40">
        <v>2.7099999999999999E-2</v>
      </c>
      <c r="G2203" s="41">
        <v>43907</v>
      </c>
      <c r="H2203" s="41">
        <v>44637</v>
      </c>
      <c r="I2203" s="39">
        <v>2</v>
      </c>
      <c r="J2203" s="39" t="s">
        <v>1716</v>
      </c>
      <c r="K2203" s="39" t="s">
        <v>1716</v>
      </c>
      <c r="L2203" s="39" t="s">
        <v>1014</v>
      </c>
    </row>
    <row r="2204" spans="1:12" x14ac:dyDescent="0.2">
      <c r="A2204" s="38" t="s">
        <v>2544</v>
      </c>
      <c r="B2204" s="38">
        <v>100798</v>
      </c>
      <c r="C2204" s="38" t="s">
        <v>2545</v>
      </c>
      <c r="D2204" s="279">
        <v>100000</v>
      </c>
      <c r="F2204" s="40">
        <v>3.1300000000000001E-2</v>
      </c>
      <c r="G2204" s="41">
        <v>43914</v>
      </c>
      <c r="H2204" s="41">
        <v>45740</v>
      </c>
      <c r="I2204" s="39">
        <v>5</v>
      </c>
      <c r="J2204" s="39" t="s">
        <v>1716</v>
      </c>
      <c r="K2204" s="39" t="s">
        <v>1716</v>
      </c>
      <c r="L2204" s="39" t="s">
        <v>1014</v>
      </c>
    </row>
    <row r="2205" spans="1:12" x14ac:dyDescent="0.2">
      <c r="B2205" s="38">
        <v>100799</v>
      </c>
      <c r="C2205" s="38" t="s">
        <v>2546</v>
      </c>
      <c r="D2205" s="279">
        <v>100000</v>
      </c>
      <c r="F2205" s="40">
        <v>3.3599999999999998E-2</v>
      </c>
      <c r="G2205" s="41">
        <v>43914</v>
      </c>
      <c r="H2205" s="41">
        <v>45740</v>
      </c>
      <c r="I2205" s="39">
        <v>5</v>
      </c>
      <c r="J2205" s="39" t="s">
        <v>1716</v>
      </c>
      <c r="K2205" s="39" t="s">
        <v>1716</v>
      </c>
      <c r="L2205" s="39" t="s">
        <v>1014</v>
      </c>
    </row>
    <row r="2206" spans="1:12" x14ac:dyDescent="0.2">
      <c r="B2206" s="38">
        <v>9202</v>
      </c>
      <c r="C2206" s="38" t="s">
        <v>2548</v>
      </c>
      <c r="D2206" s="279">
        <v>1000</v>
      </c>
      <c r="F2206" s="40">
        <v>4.4999999999999998E-2</v>
      </c>
      <c r="G2206" s="41">
        <v>41639</v>
      </c>
      <c r="H2206" s="41">
        <v>46600</v>
      </c>
      <c r="I2206" s="39">
        <v>14</v>
      </c>
      <c r="J2206" s="39" t="s">
        <v>1716</v>
      </c>
      <c r="K2206" s="39" t="s">
        <v>1716</v>
      </c>
      <c r="L2206" s="39" t="s">
        <v>1014</v>
      </c>
    </row>
    <row r="2207" spans="1:12" x14ac:dyDescent="0.2">
      <c r="B2207" s="38">
        <v>9434</v>
      </c>
      <c r="C2207" s="38" t="s">
        <v>2767</v>
      </c>
      <c r="D2207" s="279">
        <v>100</v>
      </c>
      <c r="F2207" s="40">
        <v>0.03</v>
      </c>
      <c r="G2207" s="41">
        <v>43861</v>
      </c>
      <c r="H2207" s="41">
        <v>47514</v>
      </c>
      <c r="I2207" s="39">
        <v>10</v>
      </c>
      <c r="J2207" s="39" t="s">
        <v>1716</v>
      </c>
      <c r="K2207" s="39" t="s">
        <v>1716</v>
      </c>
      <c r="L2207" s="39" t="s">
        <v>1014</v>
      </c>
    </row>
    <row r="2208" spans="1:12" x14ac:dyDescent="0.2">
      <c r="B2208" s="38">
        <v>100748</v>
      </c>
      <c r="C2208" s="38" t="s">
        <v>2549</v>
      </c>
      <c r="D2208" s="279">
        <v>100000</v>
      </c>
      <c r="F2208" s="40">
        <v>3.7199999999999997E-2</v>
      </c>
      <c r="G2208" s="41">
        <v>42472</v>
      </c>
      <c r="H2208" s="41">
        <v>44298</v>
      </c>
      <c r="I2208" s="39">
        <v>5</v>
      </c>
      <c r="J2208" s="39" t="s">
        <v>1716</v>
      </c>
      <c r="K2208" s="39" t="s">
        <v>1716</v>
      </c>
      <c r="L2208" s="39" t="s">
        <v>1014</v>
      </c>
    </row>
    <row r="2209" spans="1:12" x14ac:dyDescent="0.2">
      <c r="B2209" s="38">
        <v>100801</v>
      </c>
      <c r="C2209" s="38" t="s">
        <v>2551</v>
      </c>
      <c r="D2209" s="279">
        <v>100000</v>
      </c>
      <c r="F2209" s="40">
        <v>2.7099999999999999E-2</v>
      </c>
      <c r="G2209" s="41">
        <v>43922</v>
      </c>
      <c r="H2209" s="41">
        <v>44652</v>
      </c>
      <c r="I2209" s="39">
        <v>2</v>
      </c>
      <c r="J2209" s="39" t="s">
        <v>1716</v>
      </c>
      <c r="K2209" s="39" t="s">
        <v>1716</v>
      </c>
      <c r="L2209" s="39" t="s">
        <v>1014</v>
      </c>
    </row>
    <row r="2210" spans="1:12" x14ac:dyDescent="0.2">
      <c r="B2210" s="38">
        <v>9424</v>
      </c>
      <c r="D2210" s="279">
        <v>100000</v>
      </c>
      <c r="F2210" s="40">
        <v>2.4E-2</v>
      </c>
      <c r="G2210" s="41">
        <v>43899</v>
      </c>
      <c r="H2210" s="41">
        <v>44629</v>
      </c>
      <c r="I2210" s="39">
        <v>2</v>
      </c>
      <c r="J2210" s="39" t="s">
        <v>1716</v>
      </c>
      <c r="K2210" s="39" t="s">
        <v>1716</v>
      </c>
      <c r="L2210" s="39" t="s">
        <v>1014</v>
      </c>
    </row>
    <row r="2211" spans="1:12" x14ac:dyDescent="0.2">
      <c r="B2211" s="38">
        <v>201557</v>
      </c>
      <c r="C2211" s="38" t="s">
        <v>2552</v>
      </c>
    </row>
    <row r="2212" spans="1:12" x14ac:dyDescent="0.2">
      <c r="B2212" s="38">
        <v>9377</v>
      </c>
    </row>
    <row r="2213" spans="1:12" x14ac:dyDescent="0.2">
      <c r="B2213" s="38">
        <v>152165</v>
      </c>
      <c r="C2213" s="38" t="s">
        <v>2553</v>
      </c>
      <c r="D2213" s="279">
        <v>100000</v>
      </c>
      <c r="F2213" s="40">
        <v>3.4000000000000002E-2</v>
      </c>
      <c r="G2213" s="41">
        <v>43810</v>
      </c>
      <c r="H2213" s="41">
        <v>45637</v>
      </c>
      <c r="I2213" s="39">
        <v>5</v>
      </c>
      <c r="J2213" s="39" t="s">
        <v>1716</v>
      </c>
      <c r="K2213" s="39" t="s">
        <v>1716</v>
      </c>
      <c r="L2213" s="39" t="s">
        <v>1014</v>
      </c>
    </row>
    <row r="2214" spans="1:12" x14ac:dyDescent="0.2">
      <c r="B2214" s="38">
        <v>9408</v>
      </c>
      <c r="C2214" s="38" t="s">
        <v>2554</v>
      </c>
      <c r="D2214" s="279">
        <v>100000</v>
      </c>
      <c r="F2214" s="40">
        <v>5.7799999999999997E-2</v>
      </c>
      <c r="G2214" s="41">
        <v>43766</v>
      </c>
      <c r="H2214" s="41">
        <v>47419</v>
      </c>
      <c r="I2214" s="39">
        <v>10</v>
      </c>
      <c r="J2214" s="39" t="s">
        <v>1716</v>
      </c>
      <c r="K2214" s="39" t="s">
        <v>1716</v>
      </c>
      <c r="L2214" s="39" t="s">
        <v>1014</v>
      </c>
    </row>
    <row r="2215" spans="1:12" x14ac:dyDescent="0.2">
      <c r="B2215" s="38">
        <v>201560</v>
      </c>
      <c r="C2215" s="38" t="s">
        <v>2557</v>
      </c>
      <c r="D2215" s="279">
        <v>100000</v>
      </c>
      <c r="F2215" s="40">
        <v>2.18E-2</v>
      </c>
      <c r="G2215" s="41">
        <v>43955</v>
      </c>
      <c r="H2215" s="41">
        <v>44137</v>
      </c>
      <c r="I2215" s="39">
        <v>26</v>
      </c>
      <c r="J2215" s="39" t="s">
        <v>369</v>
      </c>
      <c r="K2215" s="39" t="s">
        <v>369</v>
      </c>
      <c r="L2215" s="39" t="s">
        <v>1014</v>
      </c>
    </row>
    <row r="2216" spans="1:12" x14ac:dyDescent="0.2">
      <c r="B2216" s="38">
        <v>9444</v>
      </c>
      <c r="C2216" s="38" t="s">
        <v>2558</v>
      </c>
      <c r="D2216" s="279">
        <v>100000</v>
      </c>
      <c r="F2216" s="40">
        <v>3.44E-2</v>
      </c>
      <c r="G2216" s="41">
        <v>43962</v>
      </c>
      <c r="H2216" s="41">
        <v>47614</v>
      </c>
      <c r="I2216" s="39">
        <v>10</v>
      </c>
      <c r="J2216" s="39" t="s">
        <v>1716</v>
      </c>
      <c r="K2216" s="39" t="s">
        <v>1716</v>
      </c>
      <c r="L2216" s="39" t="s">
        <v>1014</v>
      </c>
    </row>
    <row r="2217" spans="1:12" x14ac:dyDescent="0.2">
      <c r="B2217" s="38">
        <v>201564</v>
      </c>
      <c r="C2217" s="38" t="s">
        <v>2559</v>
      </c>
      <c r="D2217" s="279">
        <v>100000</v>
      </c>
      <c r="F2217" s="40">
        <v>2.2499999999999999E-2</v>
      </c>
      <c r="G2217" s="41">
        <v>43962</v>
      </c>
      <c r="H2217" s="41">
        <v>44361</v>
      </c>
      <c r="I2217" s="39">
        <v>1</v>
      </c>
      <c r="J2217" s="39" t="s">
        <v>1716</v>
      </c>
      <c r="K2217" s="39" t="s">
        <v>1716</v>
      </c>
      <c r="L2217" s="39" t="s">
        <v>1014</v>
      </c>
    </row>
    <row r="2218" spans="1:12" x14ac:dyDescent="0.2">
      <c r="A2218" s="38" t="s">
        <v>2493</v>
      </c>
      <c r="B2218" s="38">
        <v>152223</v>
      </c>
      <c r="C2218" s="38" t="s">
        <v>2560</v>
      </c>
      <c r="D2218" s="279">
        <v>100000</v>
      </c>
      <c r="F2218" s="40">
        <v>2.63E-2</v>
      </c>
      <c r="G2218" s="41">
        <v>43969</v>
      </c>
      <c r="H2218" s="41">
        <v>44699</v>
      </c>
      <c r="I2218" s="39">
        <v>2</v>
      </c>
      <c r="J2218" s="39" t="s">
        <v>1716</v>
      </c>
      <c r="K2218" s="39" t="s">
        <v>1716</v>
      </c>
      <c r="L2218" s="39" t="s">
        <v>1014</v>
      </c>
    </row>
    <row r="2219" spans="1:12" x14ac:dyDescent="0.2">
      <c r="B2219" s="38">
        <v>201558</v>
      </c>
      <c r="C2219" s="38" t="s">
        <v>2561</v>
      </c>
      <c r="D2219" s="279">
        <v>100000</v>
      </c>
      <c r="F2219" s="40">
        <v>2.5000000000000001E-2</v>
      </c>
      <c r="G2219" s="41">
        <v>43906</v>
      </c>
      <c r="H2219" s="41">
        <v>45761</v>
      </c>
      <c r="I2219" s="39">
        <v>5</v>
      </c>
      <c r="J2219" s="39" t="s">
        <v>1716</v>
      </c>
      <c r="K2219" s="39" t="s">
        <v>1716</v>
      </c>
      <c r="L2219" s="39" t="s">
        <v>1014</v>
      </c>
    </row>
    <row r="2220" spans="1:12" x14ac:dyDescent="0.2">
      <c r="B2220" s="38">
        <v>152165</v>
      </c>
      <c r="C2220" s="38" t="s">
        <v>2553</v>
      </c>
      <c r="D2220" s="279">
        <v>100000</v>
      </c>
      <c r="F2220" s="40">
        <v>3.4000000000000002E-2</v>
      </c>
      <c r="G2220" s="41">
        <v>43810</v>
      </c>
      <c r="H2220" s="41">
        <v>45637</v>
      </c>
      <c r="I2220" s="39">
        <v>5</v>
      </c>
      <c r="J2220" s="39" t="s">
        <v>1716</v>
      </c>
      <c r="K2220" s="39" t="s">
        <v>1716</v>
      </c>
      <c r="L2220" s="39" t="s">
        <v>1014</v>
      </c>
    </row>
    <row r="2221" spans="1:12" x14ac:dyDescent="0.2">
      <c r="B2221" s="38">
        <v>9408</v>
      </c>
      <c r="C2221" s="38" t="s">
        <v>2554</v>
      </c>
      <c r="D2221" s="279">
        <v>100000</v>
      </c>
      <c r="F2221" s="40">
        <v>5.7799999999999997E-2</v>
      </c>
      <c r="G2221" s="724">
        <v>43766</v>
      </c>
      <c r="H2221" s="41">
        <v>47419</v>
      </c>
      <c r="I2221" s="39">
        <v>10</v>
      </c>
      <c r="J2221" s="39" t="s">
        <v>1716</v>
      </c>
      <c r="K2221" s="39" t="s">
        <v>1716</v>
      </c>
      <c r="L2221" s="39" t="s">
        <v>1014</v>
      </c>
    </row>
    <row r="2222" spans="1:12" x14ac:dyDescent="0.2">
      <c r="B2222" s="38">
        <v>201563</v>
      </c>
      <c r="C2222" s="38" t="s">
        <v>2562</v>
      </c>
      <c r="D2222" s="279">
        <v>100000</v>
      </c>
      <c r="F2222" s="40">
        <v>2.35E-2</v>
      </c>
      <c r="G2222" s="41">
        <v>43962</v>
      </c>
      <c r="H2222" s="41">
        <v>44760</v>
      </c>
      <c r="I2222" s="39">
        <v>2</v>
      </c>
      <c r="J2222" s="39" t="s">
        <v>1716</v>
      </c>
      <c r="K2222" s="39" t="s">
        <v>1716</v>
      </c>
      <c r="L2222" s="39" t="s">
        <v>1014</v>
      </c>
    </row>
    <row r="2223" spans="1:12" x14ac:dyDescent="0.2">
      <c r="B2223" s="38">
        <v>201534</v>
      </c>
      <c r="C2223" s="38" t="s">
        <v>2559</v>
      </c>
      <c r="D2223" s="279">
        <v>100000</v>
      </c>
      <c r="F2223" s="40">
        <v>2.2499999999999999E-2</v>
      </c>
      <c r="G2223" s="41">
        <v>43962</v>
      </c>
      <c r="H2223" s="41">
        <v>44361</v>
      </c>
      <c r="I2223" s="39">
        <v>1</v>
      </c>
      <c r="J2223" s="39" t="s">
        <v>1716</v>
      </c>
      <c r="K2223" s="39" t="s">
        <v>1716</v>
      </c>
      <c r="L2223" s="39" t="s">
        <v>1014</v>
      </c>
    </row>
    <row r="2224" spans="1:12" x14ac:dyDescent="0.2">
      <c r="B2224" s="38">
        <v>201567</v>
      </c>
      <c r="C2224" s="38" t="s">
        <v>2563</v>
      </c>
      <c r="D2224" s="279">
        <v>100000</v>
      </c>
      <c r="F2224" s="40">
        <v>2.0500000000000001E-2</v>
      </c>
      <c r="G2224" s="41">
        <v>43977</v>
      </c>
      <c r="H2224" s="41">
        <v>44068</v>
      </c>
      <c r="I2224" s="39">
        <v>13</v>
      </c>
      <c r="J2224" s="39" t="s">
        <v>369</v>
      </c>
      <c r="K2224" s="39" t="s">
        <v>1525</v>
      </c>
      <c r="L2224" s="39" t="s">
        <v>1014</v>
      </c>
    </row>
    <row r="2225" spans="1:95" x14ac:dyDescent="0.2">
      <c r="B2225" s="38">
        <v>152227</v>
      </c>
      <c r="C2225" s="38" t="s">
        <v>2564</v>
      </c>
      <c r="D2225" s="279">
        <v>100000</v>
      </c>
      <c r="F2225" s="40">
        <v>2.7E-2</v>
      </c>
      <c r="G2225" s="41">
        <v>43978</v>
      </c>
      <c r="H2225" s="41">
        <v>44708</v>
      </c>
      <c r="I2225" s="39">
        <v>2</v>
      </c>
      <c r="J2225" s="39" t="s">
        <v>1716</v>
      </c>
      <c r="K2225" s="39" t="s">
        <v>1716</v>
      </c>
      <c r="L2225" s="39" t="s">
        <v>1014</v>
      </c>
    </row>
    <row r="2226" spans="1:95" x14ac:dyDescent="0.2">
      <c r="B2226" s="38">
        <v>152226</v>
      </c>
      <c r="C2226" s="38" t="s">
        <v>2565</v>
      </c>
      <c r="D2226" s="279">
        <v>100000</v>
      </c>
      <c r="F2226" s="40">
        <v>2.6499999999999999E-2</v>
      </c>
      <c r="G2226" s="41">
        <v>43978</v>
      </c>
      <c r="H2226" s="41">
        <v>44529</v>
      </c>
      <c r="I2226" s="39">
        <v>2</v>
      </c>
      <c r="J2226" s="39" t="s">
        <v>1716</v>
      </c>
      <c r="K2226" s="39" t="s">
        <v>1716</v>
      </c>
      <c r="L2226" s="39" t="s">
        <v>1014</v>
      </c>
    </row>
    <row r="2227" spans="1:95" x14ac:dyDescent="0.2">
      <c r="B2227" s="38">
        <v>9452</v>
      </c>
      <c r="C2227" s="38" t="s">
        <v>2566</v>
      </c>
      <c r="D2227" s="279">
        <v>100000</v>
      </c>
      <c r="F2227" s="40">
        <v>3.6700000000000003E-2</v>
      </c>
      <c r="G2227" s="41">
        <v>43991</v>
      </c>
      <c r="H2227" s="41">
        <v>47643</v>
      </c>
      <c r="I2227" s="39">
        <v>10</v>
      </c>
      <c r="J2227" s="39" t="s">
        <v>1716</v>
      </c>
      <c r="K2227" s="39" t="s">
        <v>1716</v>
      </c>
      <c r="L2227" s="39" t="s">
        <v>1014</v>
      </c>
    </row>
    <row r="2228" spans="1:95" x14ac:dyDescent="0.2">
      <c r="B2228" s="38">
        <v>152232</v>
      </c>
      <c r="C2228" s="38" t="s">
        <v>2567</v>
      </c>
      <c r="D2228" s="279">
        <v>100000</v>
      </c>
      <c r="F2228" s="40">
        <v>2.3E-2</v>
      </c>
      <c r="G2228" s="41">
        <v>43992</v>
      </c>
      <c r="H2228" s="41">
        <v>44175</v>
      </c>
      <c r="I2228" s="39">
        <v>26</v>
      </c>
      <c r="J2228" s="39" t="s">
        <v>369</v>
      </c>
      <c r="K2228" s="39" t="s">
        <v>369</v>
      </c>
      <c r="L2228" s="39" t="s">
        <v>1014</v>
      </c>
    </row>
    <row r="2229" spans="1:95" x14ac:dyDescent="0.2">
      <c r="B2229" s="38">
        <v>152239</v>
      </c>
      <c r="C2229" s="38" t="s">
        <v>2569</v>
      </c>
      <c r="D2229" s="279">
        <v>100000</v>
      </c>
      <c r="F2229" s="40">
        <v>2.29E-2</v>
      </c>
      <c r="G2229" s="41">
        <v>43998</v>
      </c>
      <c r="H2229" s="41">
        <v>44271</v>
      </c>
      <c r="I2229" s="39">
        <v>39</v>
      </c>
      <c r="J2229" s="39" t="s">
        <v>369</v>
      </c>
      <c r="K2229" s="39" t="s">
        <v>369</v>
      </c>
      <c r="L2229" s="39" t="s">
        <v>1014</v>
      </c>
    </row>
    <row r="2230" spans="1:95" s="108" customFormat="1" x14ac:dyDescent="0.2">
      <c r="A2230" s="38" t="s">
        <v>1523</v>
      </c>
      <c r="B2230" s="38">
        <v>5109</v>
      </c>
      <c r="C2230" s="38" t="s">
        <v>2022</v>
      </c>
      <c r="D2230" s="279">
        <v>100000</v>
      </c>
      <c r="E2230" s="38"/>
      <c r="F2230" s="40">
        <v>4.8300000000000003E-2</v>
      </c>
      <c r="G2230" s="41">
        <v>39804</v>
      </c>
      <c r="H2230" s="41">
        <v>43996</v>
      </c>
      <c r="I2230" s="39">
        <f>+YEAR(H2230)-YEAR(G2230)</f>
        <v>12</v>
      </c>
      <c r="J2230" s="39" t="s">
        <v>1716</v>
      </c>
      <c r="K2230" s="39" t="s">
        <v>1525</v>
      </c>
      <c r="L2230" s="39" t="s">
        <v>1014</v>
      </c>
      <c r="M2230" s="38" t="str">
        <f>+A2230</f>
        <v>FPCT</v>
      </c>
      <c r="N2230" s="38"/>
      <c r="O2230" s="2"/>
      <c r="P2230" s="2"/>
      <c r="Q2230" s="2"/>
      <c r="R2230" s="2"/>
      <c r="S2230" s="2"/>
      <c r="T2230" s="2"/>
      <c r="U2230" s="2"/>
      <c r="V2230" s="2"/>
      <c r="W2230" s="2"/>
      <c r="X2230" s="2"/>
      <c r="Y2230" s="2"/>
      <c r="Z2230" s="2"/>
      <c r="AA2230" s="2"/>
      <c r="AB2230" s="2"/>
      <c r="AC2230" s="2"/>
      <c r="AD2230" s="2"/>
      <c r="AE2230" s="2"/>
      <c r="AF2230" s="2"/>
      <c r="AG2230" s="2"/>
      <c r="AH2230" s="2"/>
      <c r="AI2230" s="2"/>
      <c r="AJ2230" s="2"/>
      <c r="AK2230" s="2"/>
      <c r="AL2230" s="2"/>
      <c r="AM2230" s="2"/>
      <c r="AN2230" s="2"/>
      <c r="AO2230" s="2"/>
      <c r="AP2230" s="2"/>
      <c r="AQ2230" s="2"/>
      <c r="AR2230" s="2"/>
      <c r="AS2230" s="2"/>
      <c r="AT2230" s="2"/>
      <c r="AU2230" s="2"/>
      <c r="AV2230" s="2"/>
      <c r="AW2230" s="2"/>
      <c r="AX2230" s="2"/>
      <c r="AY2230" s="2"/>
      <c r="AZ2230" s="2"/>
      <c r="BA2230" s="2"/>
      <c r="BB2230" s="2"/>
      <c r="BC2230" s="2"/>
      <c r="BD2230" s="2"/>
      <c r="BE2230" s="2"/>
      <c r="BF2230" s="2"/>
      <c r="BG2230" s="2"/>
      <c r="BH2230" s="2"/>
      <c r="BI2230" s="2"/>
      <c r="BJ2230" s="2"/>
      <c r="BK2230" s="2"/>
      <c r="BL2230" s="2"/>
      <c r="BM2230" s="2"/>
      <c r="BN2230" s="2"/>
      <c r="BO2230" s="2"/>
      <c r="BP2230" s="2"/>
      <c r="BQ2230" s="2"/>
      <c r="BR2230" s="2"/>
      <c r="BS2230" s="2"/>
      <c r="BT2230" s="2"/>
      <c r="BU2230" s="2"/>
      <c r="BV2230" s="2"/>
      <c r="BW2230" s="2"/>
      <c r="BX2230" s="2"/>
      <c r="BY2230" s="2"/>
      <c r="BZ2230" s="2"/>
      <c r="CA2230" s="2"/>
      <c r="CB2230" s="2"/>
      <c r="CC2230" s="2"/>
      <c r="CD2230" s="2"/>
      <c r="CE2230" s="2"/>
      <c r="CF2230" s="2"/>
      <c r="CG2230" s="2"/>
      <c r="CH2230" s="2"/>
      <c r="CI2230" s="2"/>
      <c r="CJ2230" s="2"/>
      <c r="CK2230" s="2"/>
      <c r="CL2230" s="2"/>
      <c r="CM2230" s="2"/>
      <c r="CN2230" s="2"/>
      <c r="CO2230" s="2"/>
      <c r="CP2230" s="2"/>
      <c r="CQ2230" s="2"/>
    </row>
    <row r="2231" spans="1:95" x14ac:dyDescent="0.2">
      <c r="B2231" s="38">
        <v>9455</v>
      </c>
      <c r="C2231" s="38" t="s">
        <v>2576</v>
      </c>
      <c r="D2231" s="279">
        <v>100000</v>
      </c>
      <c r="F2231" s="40">
        <v>4.48E-2</v>
      </c>
      <c r="G2231" s="41">
        <v>44372</v>
      </c>
      <c r="H2231" s="41">
        <v>44737</v>
      </c>
      <c r="I2231" s="39">
        <v>52</v>
      </c>
      <c r="J2231" s="39" t="s">
        <v>1716</v>
      </c>
      <c r="K2231" s="39" t="s">
        <v>1716</v>
      </c>
      <c r="L2231" s="39" t="s">
        <v>1014</v>
      </c>
    </row>
    <row r="2232" spans="1:95" x14ac:dyDescent="0.2">
      <c r="B2232" s="38">
        <v>100811</v>
      </c>
      <c r="C2232" s="38" t="s">
        <v>2579</v>
      </c>
      <c r="D2232" s="279">
        <v>100000</v>
      </c>
      <c r="F2232" s="40">
        <v>2.1899999999999999E-2</v>
      </c>
      <c r="G2232" s="41">
        <v>44012</v>
      </c>
      <c r="H2232" s="41">
        <v>44742</v>
      </c>
      <c r="I2232" s="39">
        <v>2</v>
      </c>
      <c r="J2232" s="39" t="s">
        <v>1716</v>
      </c>
      <c r="K2232" s="39" t="s">
        <v>1716</v>
      </c>
      <c r="L2232" s="39" t="s">
        <v>1014</v>
      </c>
    </row>
    <row r="2233" spans="1:95" x14ac:dyDescent="0.2">
      <c r="B2233" s="38">
        <v>9204</v>
      </c>
      <c r="C2233" s="38" t="s">
        <v>2580</v>
      </c>
      <c r="D2233" s="279">
        <v>100000</v>
      </c>
      <c r="F2233" s="40">
        <v>6.0299999999999999E-2</v>
      </c>
      <c r="G2233" s="41">
        <v>41680</v>
      </c>
      <c r="H2233" s="41">
        <v>47159</v>
      </c>
      <c r="I2233" s="39">
        <v>15</v>
      </c>
      <c r="J2233" s="39" t="s">
        <v>1716</v>
      </c>
      <c r="K2233" s="39" t="s">
        <v>1716</v>
      </c>
      <c r="L2233" s="39" t="s">
        <v>1014</v>
      </c>
    </row>
    <row r="2234" spans="1:95" x14ac:dyDescent="0.2">
      <c r="B2234" s="38">
        <v>9437</v>
      </c>
      <c r="C2234" s="38" t="s">
        <v>2581</v>
      </c>
      <c r="D2234" s="279">
        <v>100000</v>
      </c>
      <c r="F2234" s="40">
        <v>3.8699999999999998E-2</v>
      </c>
      <c r="G2234" s="41">
        <v>43886</v>
      </c>
      <c r="H2234" s="41">
        <v>54844</v>
      </c>
      <c r="I2234" s="39">
        <v>30</v>
      </c>
      <c r="J2234" s="39" t="s">
        <v>1716</v>
      </c>
      <c r="K2234" s="39" t="s">
        <v>1716</v>
      </c>
      <c r="L2234" s="39" t="s">
        <v>1014</v>
      </c>
    </row>
    <row r="2235" spans="1:95" x14ac:dyDescent="0.2">
      <c r="B2235" s="38">
        <v>9209</v>
      </c>
      <c r="C2235" s="38" t="s">
        <v>2582</v>
      </c>
      <c r="D2235" s="279">
        <v>100000</v>
      </c>
      <c r="F2235" s="40">
        <v>6.0299999999999999E-2</v>
      </c>
      <c r="G2235" s="41">
        <v>41680</v>
      </c>
      <c r="H2235" s="41">
        <v>48985</v>
      </c>
      <c r="I2235" s="39">
        <v>20</v>
      </c>
      <c r="J2235" s="39" t="s">
        <v>1716</v>
      </c>
      <c r="K2235" s="39" t="s">
        <v>1716</v>
      </c>
      <c r="L2235" s="39" t="s">
        <v>1014</v>
      </c>
    </row>
    <row r="2236" spans="1:95" x14ac:dyDescent="0.2">
      <c r="B2236" s="38">
        <v>9251</v>
      </c>
      <c r="C2236" s="38" t="s">
        <v>2583</v>
      </c>
      <c r="D2236" s="279">
        <v>100000</v>
      </c>
      <c r="F2236" s="40">
        <v>3.9600000000000003E-2</v>
      </c>
      <c r="G2236" s="41">
        <v>42165</v>
      </c>
      <c r="H2236" s="41">
        <v>45818</v>
      </c>
      <c r="I2236" s="39">
        <v>10</v>
      </c>
      <c r="J2236" s="39" t="s">
        <v>1716</v>
      </c>
      <c r="K2236" s="39" t="s">
        <v>1716</v>
      </c>
      <c r="L2236" s="39" t="s">
        <v>1014</v>
      </c>
    </row>
    <row r="2237" spans="1:95" x14ac:dyDescent="0.2">
      <c r="B2237" s="38">
        <v>9460</v>
      </c>
      <c r="C2237" s="38" t="s">
        <v>2584</v>
      </c>
      <c r="D2237" s="279">
        <v>100000</v>
      </c>
      <c r="F2237" s="40">
        <v>2.63E-2</v>
      </c>
      <c r="G2237" s="41">
        <v>44027</v>
      </c>
      <c r="H2237" s="41">
        <v>45853</v>
      </c>
      <c r="I2237" s="39">
        <v>5</v>
      </c>
      <c r="J2237" s="39" t="s">
        <v>1716</v>
      </c>
      <c r="K2237" s="39" t="s">
        <v>1716</v>
      </c>
      <c r="L2237" s="39" t="s">
        <v>1014</v>
      </c>
    </row>
    <row r="2238" spans="1:95" x14ac:dyDescent="0.2">
      <c r="B2238" s="38">
        <v>9461</v>
      </c>
    </row>
    <row r="2239" spans="1:95" x14ac:dyDescent="0.2">
      <c r="B2239" s="38">
        <v>201568</v>
      </c>
      <c r="C2239" s="38" t="s">
        <v>2587</v>
      </c>
      <c r="D2239" s="279">
        <v>100000</v>
      </c>
      <c r="F2239" s="40">
        <v>1.9900000000000001E-2</v>
      </c>
      <c r="G2239" s="41">
        <v>43990</v>
      </c>
      <c r="H2239" s="41">
        <v>44081</v>
      </c>
      <c r="I2239" s="39">
        <v>13</v>
      </c>
      <c r="J2239" s="39" t="s">
        <v>369</v>
      </c>
      <c r="K2239" s="39" t="s">
        <v>1716</v>
      </c>
      <c r="L2239" s="39" t="s">
        <v>1014</v>
      </c>
    </row>
    <row r="2240" spans="1:95" x14ac:dyDescent="0.2">
      <c r="B2240" s="38">
        <v>201571</v>
      </c>
      <c r="C2240" s="38" t="s">
        <v>2588</v>
      </c>
      <c r="D2240" s="279">
        <v>100000</v>
      </c>
      <c r="F2240" s="40">
        <v>1.7999999999999999E-2</v>
      </c>
      <c r="G2240" s="41">
        <v>44011</v>
      </c>
      <c r="H2240" s="41">
        <v>44788</v>
      </c>
      <c r="I2240" s="39">
        <v>2</v>
      </c>
      <c r="J2240" s="39" t="s">
        <v>1716</v>
      </c>
      <c r="K2240" s="39" t="s">
        <v>1716</v>
      </c>
      <c r="L2240" s="39" t="s">
        <v>1014</v>
      </c>
    </row>
    <row r="2241" spans="2:12" x14ac:dyDescent="0.2">
      <c r="B2241" s="38">
        <v>201577</v>
      </c>
      <c r="C2241" s="38" t="s">
        <v>2585</v>
      </c>
      <c r="D2241" s="279">
        <v>100000</v>
      </c>
      <c r="F2241" s="40">
        <v>1.4999999999999999E-2</v>
      </c>
      <c r="G2241" s="41">
        <v>44039</v>
      </c>
      <c r="H2241" s="41">
        <v>44130</v>
      </c>
      <c r="I2241" s="39">
        <v>13</v>
      </c>
      <c r="J2241" s="39" t="s">
        <v>369</v>
      </c>
      <c r="K2241" s="39" t="s">
        <v>1716</v>
      </c>
      <c r="L2241" s="39" t="s">
        <v>1014</v>
      </c>
    </row>
    <row r="2242" spans="2:12" x14ac:dyDescent="0.2">
      <c r="B2242" s="38">
        <v>152247</v>
      </c>
      <c r="C2242" s="38" t="s">
        <v>2589</v>
      </c>
      <c r="D2242" s="279">
        <v>100000</v>
      </c>
      <c r="F2242" s="40">
        <v>2.01E-2</v>
      </c>
      <c r="G2242" s="41">
        <v>44041</v>
      </c>
      <c r="H2242" s="41">
        <v>44406</v>
      </c>
      <c r="I2242" s="39">
        <v>1</v>
      </c>
      <c r="J2242" s="39" t="s">
        <v>1716</v>
      </c>
      <c r="K2242" s="39" t="s">
        <v>1716</v>
      </c>
      <c r="L2242" s="39" t="s">
        <v>1014</v>
      </c>
    </row>
    <row r="2243" spans="2:12" x14ac:dyDescent="0.2">
      <c r="B2243" s="38">
        <v>152248</v>
      </c>
      <c r="C2243" s="38" t="s">
        <v>2590</v>
      </c>
      <c r="D2243" s="279">
        <v>100000</v>
      </c>
      <c r="F2243" s="40">
        <v>2.1499999999999998E-2</v>
      </c>
      <c r="G2243" s="41">
        <v>44041</v>
      </c>
      <c r="H2243" s="41">
        <v>44592</v>
      </c>
      <c r="I2243" s="39">
        <v>2</v>
      </c>
      <c r="J2243" s="39" t="s">
        <v>1716</v>
      </c>
      <c r="K2243" s="39" t="s">
        <v>1716</v>
      </c>
      <c r="L2243" s="39" t="s">
        <v>1014</v>
      </c>
    </row>
    <row r="2244" spans="2:12" x14ac:dyDescent="0.2">
      <c r="B2244" s="38">
        <v>152249</v>
      </c>
      <c r="C2244" s="38" t="s">
        <v>2591</v>
      </c>
      <c r="D2244" s="279">
        <v>100000</v>
      </c>
      <c r="F2244" s="40">
        <v>2.2200000000000001E-2</v>
      </c>
      <c r="G2244" s="41">
        <v>44041</v>
      </c>
      <c r="H2244" s="41">
        <v>44771</v>
      </c>
      <c r="I2244" s="39">
        <v>2</v>
      </c>
      <c r="J2244" s="39" t="s">
        <v>1716</v>
      </c>
      <c r="K2244" s="39" t="s">
        <v>1716</v>
      </c>
      <c r="L2244" s="39" t="s">
        <v>1014</v>
      </c>
    </row>
    <row r="2245" spans="2:12" x14ac:dyDescent="0.2">
      <c r="B2245" s="38">
        <v>201570</v>
      </c>
      <c r="C2245" s="38" t="s">
        <v>2592</v>
      </c>
      <c r="D2245" s="279">
        <v>100000</v>
      </c>
      <c r="F2245" s="40">
        <v>2.4E-2</v>
      </c>
      <c r="G2245" s="41">
        <v>43997</v>
      </c>
      <c r="H2245" s="41">
        <v>45950</v>
      </c>
      <c r="I2245" s="39">
        <v>5</v>
      </c>
      <c r="J2245" s="39" t="s">
        <v>1716</v>
      </c>
      <c r="K2245" s="39" t="s">
        <v>1716</v>
      </c>
      <c r="L2245" s="39" t="s">
        <v>1014</v>
      </c>
    </row>
    <row r="2246" spans="2:12" x14ac:dyDescent="0.2">
      <c r="B2246" s="38">
        <v>201575</v>
      </c>
      <c r="C2246" s="38" t="s">
        <v>2593</v>
      </c>
      <c r="D2246" s="279">
        <v>100000</v>
      </c>
      <c r="F2246" s="40">
        <v>1.55E-2</v>
      </c>
      <c r="G2246" s="41">
        <v>44032</v>
      </c>
      <c r="H2246" s="41">
        <v>44214</v>
      </c>
      <c r="I2246" s="39">
        <v>26</v>
      </c>
      <c r="J2246" s="39" t="s">
        <v>369</v>
      </c>
      <c r="K2246" s="39" t="s">
        <v>1716</v>
      </c>
      <c r="L2246" s="39" t="s">
        <v>1014</v>
      </c>
    </row>
    <row r="2247" spans="2:12" x14ac:dyDescent="0.2">
      <c r="B2247" s="38">
        <v>100814</v>
      </c>
      <c r="C2247" s="38" t="s">
        <v>2594</v>
      </c>
      <c r="D2247" s="279">
        <v>100000</v>
      </c>
      <c r="F2247" s="40">
        <v>2.52E-2</v>
      </c>
      <c r="G2247" s="41">
        <v>44053</v>
      </c>
      <c r="H2247" s="41">
        <v>45148</v>
      </c>
      <c r="I2247" s="39">
        <v>3</v>
      </c>
      <c r="J2247" s="39" t="s">
        <v>1716</v>
      </c>
      <c r="K2247" s="39" t="s">
        <v>1716</v>
      </c>
      <c r="L2247" s="39" t="s">
        <v>1014</v>
      </c>
    </row>
    <row r="2248" spans="2:12" x14ac:dyDescent="0.2">
      <c r="B2248" s="38">
        <v>100815</v>
      </c>
      <c r="C2248" s="38" t="s">
        <v>2595</v>
      </c>
      <c r="D2248" s="279">
        <v>100000</v>
      </c>
      <c r="F2248" s="40">
        <v>2.6700000000000002E-2</v>
      </c>
      <c r="G2248" s="41">
        <v>44053</v>
      </c>
      <c r="H2248" s="41">
        <v>45879</v>
      </c>
      <c r="I2248" s="39">
        <v>5</v>
      </c>
      <c r="J2248" s="39" t="s">
        <v>1716</v>
      </c>
      <c r="K2248" s="39" t="s">
        <v>1716</v>
      </c>
      <c r="L2248" s="39" t="s">
        <v>1014</v>
      </c>
    </row>
    <row r="2249" spans="2:12" x14ac:dyDescent="0.2">
      <c r="B2249" s="38">
        <v>100817</v>
      </c>
      <c r="C2249" s="38" t="s">
        <v>2596</v>
      </c>
      <c r="D2249" s="279">
        <v>100000</v>
      </c>
      <c r="F2249" s="40">
        <v>2.1600000000000001E-2</v>
      </c>
      <c r="G2249" s="41">
        <v>44071</v>
      </c>
      <c r="H2249" s="41">
        <v>44801</v>
      </c>
      <c r="I2249" s="39">
        <v>2</v>
      </c>
      <c r="J2249" s="39" t="s">
        <v>1716</v>
      </c>
      <c r="K2249" s="39" t="s">
        <v>1716</v>
      </c>
      <c r="L2249" s="39" t="s">
        <v>1014</v>
      </c>
    </row>
    <row r="2250" spans="2:12" x14ac:dyDescent="0.2">
      <c r="B2250" s="38">
        <v>100816</v>
      </c>
      <c r="C2250" s="38" t="s">
        <v>2597</v>
      </c>
      <c r="D2250" s="279">
        <v>100000</v>
      </c>
      <c r="F2250" s="40">
        <v>2.5399999999999999E-2</v>
      </c>
      <c r="G2250" s="41">
        <v>44071</v>
      </c>
      <c r="H2250" s="41">
        <v>45897</v>
      </c>
      <c r="I2250" s="39">
        <v>5</v>
      </c>
      <c r="J2250" s="39" t="s">
        <v>1716</v>
      </c>
      <c r="K2250" s="39" t="s">
        <v>1716</v>
      </c>
      <c r="L2250" s="39" t="s">
        <v>1014</v>
      </c>
    </row>
    <row r="2251" spans="2:12" x14ac:dyDescent="0.2">
      <c r="B2251" s="38">
        <v>152262</v>
      </c>
      <c r="C2251" s="38" t="s">
        <v>2598</v>
      </c>
      <c r="D2251" s="279">
        <v>100000</v>
      </c>
      <c r="F2251" s="40">
        <v>2.1600000000000001E-2</v>
      </c>
      <c r="G2251" s="41">
        <v>44081</v>
      </c>
      <c r="H2251" s="41">
        <v>44811</v>
      </c>
      <c r="I2251" s="39">
        <v>2</v>
      </c>
      <c r="J2251" s="39" t="s">
        <v>1716</v>
      </c>
      <c r="K2251" s="39" t="s">
        <v>1716</v>
      </c>
      <c r="L2251" s="39" t="s">
        <v>1014</v>
      </c>
    </row>
    <row r="2252" spans="2:12" x14ac:dyDescent="0.2">
      <c r="B2252" s="38">
        <v>152263</v>
      </c>
      <c r="C2252" s="38" t="s">
        <v>2599</v>
      </c>
      <c r="D2252" s="279">
        <v>100000</v>
      </c>
      <c r="F2252" s="40">
        <v>2.3900000000000001E-2</v>
      </c>
      <c r="G2252" s="41">
        <v>44081</v>
      </c>
      <c r="H2252" s="41">
        <v>45542</v>
      </c>
      <c r="I2252" s="39">
        <v>4</v>
      </c>
      <c r="J2252" s="39" t="s">
        <v>1716</v>
      </c>
      <c r="K2252" s="39" t="s">
        <v>1716</v>
      </c>
      <c r="L2252" s="39" t="s">
        <v>1014</v>
      </c>
    </row>
    <row r="2253" spans="2:12" x14ac:dyDescent="0.2">
      <c r="B2253" s="38">
        <v>100818</v>
      </c>
      <c r="C2253" s="38" t="s">
        <v>2600</v>
      </c>
      <c r="D2253" s="279">
        <v>100000</v>
      </c>
      <c r="F2253" s="40">
        <v>2.1999999999999999E-2</v>
      </c>
      <c r="G2253" s="41">
        <v>44081</v>
      </c>
      <c r="H2253" s="41">
        <v>44811</v>
      </c>
      <c r="I2253" s="39">
        <v>2</v>
      </c>
      <c r="J2253" s="39" t="s">
        <v>1716</v>
      </c>
      <c r="K2253" s="39" t="s">
        <v>1716</v>
      </c>
      <c r="L2253" s="39" t="s">
        <v>1014</v>
      </c>
    </row>
    <row r="2254" spans="2:12" x14ac:dyDescent="0.2">
      <c r="B2254" s="38">
        <v>9473</v>
      </c>
      <c r="C2254" s="38" t="s">
        <v>2601</v>
      </c>
      <c r="D2254" s="279">
        <v>100000</v>
      </c>
      <c r="F2254" s="40">
        <v>3.7499999999999999E-2</v>
      </c>
      <c r="G2254" s="41">
        <v>44081</v>
      </c>
      <c r="H2254" s="41">
        <v>50495</v>
      </c>
      <c r="I2254" s="39">
        <v>18</v>
      </c>
      <c r="J2254" s="39" t="s">
        <v>1716</v>
      </c>
      <c r="K2254" s="39" t="s">
        <v>1716</v>
      </c>
      <c r="L2254" s="39" t="s">
        <v>1014</v>
      </c>
    </row>
    <row r="2255" spans="2:12" x14ac:dyDescent="0.2">
      <c r="B2255" s="38">
        <v>201574</v>
      </c>
      <c r="C2255" s="38" t="s">
        <v>2603</v>
      </c>
      <c r="D2255" s="279">
        <v>100000</v>
      </c>
      <c r="F2255" s="40">
        <v>1.55E-2</v>
      </c>
      <c r="G2255" s="41">
        <v>44018</v>
      </c>
      <c r="H2255" s="41">
        <v>44200</v>
      </c>
      <c r="I2255" s="39">
        <v>26</v>
      </c>
      <c r="J2255" s="39" t="s">
        <v>369</v>
      </c>
      <c r="K2255" s="39" t="s">
        <v>1716</v>
      </c>
      <c r="L2255" s="39" t="s">
        <v>1014</v>
      </c>
    </row>
    <row r="2256" spans="2:12" x14ac:dyDescent="0.2">
      <c r="B2256" s="38">
        <v>201587</v>
      </c>
      <c r="C2256" s="38" t="s">
        <v>2604</v>
      </c>
      <c r="D2256" s="279">
        <v>100000</v>
      </c>
      <c r="F2256" s="40">
        <v>1.6299999999999999E-2</v>
      </c>
      <c r="G2256" s="41">
        <v>44074</v>
      </c>
      <c r="H2256" s="41">
        <v>44256</v>
      </c>
      <c r="I2256" s="39">
        <v>26</v>
      </c>
      <c r="J2256" s="39" t="s">
        <v>369</v>
      </c>
      <c r="K2256" s="39" t="s">
        <v>1716</v>
      </c>
      <c r="L2256" s="39" t="s">
        <v>1014</v>
      </c>
    </row>
    <row r="2257" spans="2:12" x14ac:dyDescent="0.2">
      <c r="B2257" s="38">
        <v>201595</v>
      </c>
      <c r="C2257" s="38" t="s">
        <v>2605</v>
      </c>
      <c r="D2257" s="279">
        <v>100000</v>
      </c>
      <c r="F2257" s="40">
        <v>1.5900000000000001E-2</v>
      </c>
      <c r="G2257" s="41">
        <v>44088</v>
      </c>
      <c r="H2257" s="41">
        <v>44270</v>
      </c>
      <c r="I2257" s="39">
        <v>26</v>
      </c>
      <c r="J2257" s="39" t="s">
        <v>369</v>
      </c>
      <c r="K2257" s="39" t="s">
        <v>1716</v>
      </c>
      <c r="L2257" s="39" t="s">
        <v>1014</v>
      </c>
    </row>
    <row r="2258" spans="2:12" x14ac:dyDescent="0.2">
      <c r="B2258" s="38">
        <v>201598</v>
      </c>
      <c r="C2258" s="38" t="s">
        <v>2606</v>
      </c>
      <c r="D2258" s="279">
        <v>100000</v>
      </c>
      <c r="F2258" s="40">
        <v>1.7000000000000001E-2</v>
      </c>
      <c r="G2258" s="41">
        <v>44088</v>
      </c>
      <c r="H2258" s="41">
        <v>44452</v>
      </c>
      <c r="I2258" s="39">
        <v>52</v>
      </c>
      <c r="J2258" s="39" t="s">
        <v>369</v>
      </c>
      <c r="K2258" s="39" t="s">
        <v>1716</v>
      </c>
      <c r="L2258" s="39" t="s">
        <v>1014</v>
      </c>
    </row>
    <row r="2259" spans="2:12" x14ac:dyDescent="0.2">
      <c r="B2259" s="38">
        <v>201592</v>
      </c>
      <c r="C2259" s="38" t="s">
        <v>2607</v>
      </c>
      <c r="D2259" s="279">
        <v>100000</v>
      </c>
      <c r="F2259" s="40">
        <v>1.5599999999999999E-2</v>
      </c>
      <c r="G2259" s="41">
        <v>44081</v>
      </c>
      <c r="H2259" s="41">
        <v>44172</v>
      </c>
      <c r="I2259" s="39">
        <v>13</v>
      </c>
      <c r="J2259" s="39" t="s">
        <v>369</v>
      </c>
      <c r="K2259" s="39" t="s">
        <v>1716</v>
      </c>
      <c r="L2259" s="39" t="s">
        <v>1014</v>
      </c>
    </row>
    <row r="2260" spans="2:12" x14ac:dyDescent="0.2">
      <c r="B2260" s="38">
        <v>152272</v>
      </c>
      <c r="C2260" s="38" t="s">
        <v>2608</v>
      </c>
      <c r="D2260" s="279">
        <v>100000</v>
      </c>
      <c r="F2260" s="40">
        <v>1.72E-2</v>
      </c>
      <c r="G2260" s="41">
        <v>44096</v>
      </c>
      <c r="H2260" s="41">
        <v>44187</v>
      </c>
      <c r="I2260" s="39">
        <v>13</v>
      </c>
      <c r="J2260" s="39" t="s">
        <v>369</v>
      </c>
      <c r="K2260" s="39" t="s">
        <v>1525</v>
      </c>
      <c r="L2260" s="39" t="s">
        <v>1014</v>
      </c>
    </row>
    <row r="2261" spans="2:12" x14ac:dyDescent="0.2">
      <c r="B2261" s="38">
        <v>100819</v>
      </c>
      <c r="C2261" s="38" t="s">
        <v>2609</v>
      </c>
      <c r="D2261" s="279">
        <v>100000</v>
      </c>
      <c r="F2261" s="40">
        <v>2.5899999999999999E-2</v>
      </c>
      <c r="G2261" s="41">
        <v>44098</v>
      </c>
      <c r="H2261" s="41">
        <v>45924</v>
      </c>
      <c r="I2261" s="39">
        <v>5</v>
      </c>
      <c r="J2261" s="39" t="s">
        <v>1716</v>
      </c>
      <c r="K2261" s="39" t="s">
        <v>1716</v>
      </c>
      <c r="L2261" s="39" t="s">
        <v>1014</v>
      </c>
    </row>
    <row r="2262" spans="2:12" x14ac:dyDescent="0.2">
      <c r="B2262" s="38">
        <v>201600</v>
      </c>
      <c r="C2262" s="38" t="s">
        <v>2610</v>
      </c>
      <c r="D2262" s="279">
        <v>100000</v>
      </c>
      <c r="F2262" s="40">
        <v>1.8499999999999999E-2</v>
      </c>
      <c r="G2262" s="41">
        <v>44102</v>
      </c>
      <c r="H2262" s="41">
        <v>44879</v>
      </c>
      <c r="I2262" s="39">
        <v>2</v>
      </c>
      <c r="J2262" s="39" t="s">
        <v>1716</v>
      </c>
      <c r="K2262" s="39" t="s">
        <v>1716</v>
      </c>
      <c r="L2262" s="39" t="s">
        <v>1014</v>
      </c>
    </row>
    <row r="2263" spans="2:12" x14ac:dyDescent="0.2">
      <c r="B2263" s="38">
        <v>201583</v>
      </c>
      <c r="D2263" s="279">
        <v>100000</v>
      </c>
      <c r="F2263" s="40">
        <v>1.61E-2</v>
      </c>
      <c r="G2263" s="41">
        <v>44060</v>
      </c>
      <c r="H2263" s="41">
        <v>44242</v>
      </c>
      <c r="I2263" s="39">
        <v>26</v>
      </c>
      <c r="J2263" s="39" t="s">
        <v>369</v>
      </c>
      <c r="K2263" s="39" t="s">
        <v>1716</v>
      </c>
      <c r="L2263" s="39" t="s">
        <v>1014</v>
      </c>
    </row>
    <row r="2264" spans="2:12" x14ac:dyDescent="0.2">
      <c r="B2264" s="38">
        <v>201599</v>
      </c>
      <c r="D2264" s="279">
        <v>100000</v>
      </c>
      <c r="F2264" s="40">
        <v>1.4800000000000001E-2</v>
      </c>
      <c r="G2264" s="41">
        <v>44095</v>
      </c>
      <c r="H2264" s="41">
        <v>44186</v>
      </c>
      <c r="I2264" s="39">
        <v>13</v>
      </c>
      <c r="J2264" s="39" t="s">
        <v>369</v>
      </c>
      <c r="K2264" s="39" t="s">
        <v>1716</v>
      </c>
      <c r="L2264" s="39" t="s">
        <v>1014</v>
      </c>
    </row>
    <row r="2265" spans="2:12" x14ac:dyDescent="0.2">
      <c r="B2265" s="38">
        <v>201579</v>
      </c>
      <c r="C2265" s="38" t="s">
        <v>2611</v>
      </c>
      <c r="D2265" s="279">
        <v>100000</v>
      </c>
      <c r="F2265" s="40">
        <v>1.5900000000000001E-2</v>
      </c>
      <c r="G2265" s="41">
        <v>44053</v>
      </c>
      <c r="H2265" s="41">
        <v>44144</v>
      </c>
      <c r="I2265" s="39">
        <v>13</v>
      </c>
      <c r="J2265" s="39" t="s">
        <v>369</v>
      </c>
      <c r="K2265" s="39" t="s">
        <v>1716</v>
      </c>
      <c r="L2265" s="39" t="s">
        <v>1014</v>
      </c>
    </row>
    <row r="2266" spans="2:12" x14ac:dyDescent="0.2">
      <c r="B2266" s="38">
        <v>152278</v>
      </c>
      <c r="C2266" s="38" t="s">
        <v>2612</v>
      </c>
      <c r="D2266" s="279">
        <v>100000</v>
      </c>
      <c r="F2266" s="40">
        <v>2.5899999999999999E-2</v>
      </c>
      <c r="G2266" s="41">
        <v>44103</v>
      </c>
      <c r="H2266" s="41">
        <v>45929</v>
      </c>
      <c r="I2266" s="39">
        <v>5</v>
      </c>
      <c r="J2266" s="39" t="s">
        <v>1716</v>
      </c>
      <c r="K2266" s="39" t="s">
        <v>1716</v>
      </c>
      <c r="L2266" s="39" t="s">
        <v>1014</v>
      </c>
    </row>
    <row r="2267" spans="2:12" x14ac:dyDescent="0.2">
      <c r="B2267" s="38">
        <v>9378</v>
      </c>
      <c r="C2267" s="38" t="s">
        <v>2613</v>
      </c>
      <c r="D2267" s="279">
        <v>100000</v>
      </c>
      <c r="F2267" s="40">
        <v>2.3400000000000001E-2</v>
      </c>
      <c r="G2267" s="41">
        <v>43367</v>
      </c>
      <c r="H2267" s="41">
        <v>47020</v>
      </c>
      <c r="I2267" s="39">
        <v>10</v>
      </c>
      <c r="J2267" s="39" t="s">
        <v>1716</v>
      </c>
      <c r="K2267" s="39" t="s">
        <v>1716</v>
      </c>
      <c r="L2267" s="39" t="s">
        <v>1014</v>
      </c>
    </row>
    <row r="2268" spans="2:12" x14ac:dyDescent="0.2">
      <c r="B2268" s="38">
        <v>100820</v>
      </c>
      <c r="C2268" s="38" t="s">
        <v>2614</v>
      </c>
      <c r="D2268" s="279">
        <v>100000</v>
      </c>
      <c r="F2268" s="40">
        <v>2.1999999999999999E-2</v>
      </c>
      <c r="G2268" s="41">
        <v>44104</v>
      </c>
      <c r="H2268" s="41">
        <v>44834</v>
      </c>
      <c r="I2268" s="39">
        <v>2</v>
      </c>
      <c r="J2268" s="39" t="s">
        <v>1716</v>
      </c>
      <c r="K2268" s="39" t="s">
        <v>1716</v>
      </c>
      <c r="L2268" s="39" t="s">
        <v>1014</v>
      </c>
    </row>
    <row r="2269" spans="2:12" x14ac:dyDescent="0.2">
      <c r="B2269" s="38">
        <v>152295</v>
      </c>
      <c r="C2269" s="38" t="s">
        <v>2616</v>
      </c>
      <c r="D2269" s="279">
        <v>100000</v>
      </c>
      <c r="F2269" s="40">
        <v>2.4E-2</v>
      </c>
      <c r="G2269" s="41">
        <v>44119</v>
      </c>
      <c r="H2269" s="41">
        <v>44849</v>
      </c>
      <c r="I2269" s="39">
        <v>2</v>
      </c>
      <c r="J2269" s="39" t="s">
        <v>1716</v>
      </c>
      <c r="K2269" s="39" t="s">
        <v>1716</v>
      </c>
      <c r="L2269" s="39" t="s">
        <v>1014</v>
      </c>
    </row>
    <row r="2270" spans="2:12" x14ac:dyDescent="0.2">
      <c r="B2270" s="38">
        <v>152293</v>
      </c>
      <c r="C2270" s="38" t="s">
        <v>2617</v>
      </c>
      <c r="D2270" s="279">
        <v>100000</v>
      </c>
      <c r="F2270" s="40">
        <v>1.9199999999999998E-2</v>
      </c>
      <c r="G2270" s="41">
        <v>44119</v>
      </c>
      <c r="H2270" s="41">
        <v>44301</v>
      </c>
      <c r="I2270" s="39">
        <v>26</v>
      </c>
      <c r="J2270" s="39" t="s">
        <v>369</v>
      </c>
      <c r="K2270" s="39" t="s">
        <v>1716</v>
      </c>
      <c r="L2270" s="39" t="s">
        <v>1014</v>
      </c>
    </row>
    <row r="2271" spans="2:12" x14ac:dyDescent="0.2">
      <c r="B2271" s="38">
        <v>100823</v>
      </c>
      <c r="D2271" s="279">
        <v>100000</v>
      </c>
      <c r="F2271" s="40">
        <v>2.1499999999999998E-2</v>
      </c>
      <c r="G2271" s="41">
        <v>44125</v>
      </c>
      <c r="H2271" s="41">
        <v>44855</v>
      </c>
      <c r="I2271" s="39">
        <v>2</v>
      </c>
      <c r="J2271" s="39" t="s">
        <v>1716</v>
      </c>
      <c r="K2271" s="39" t="s">
        <v>1716</v>
      </c>
      <c r="L2271" s="39" t="s">
        <v>1014</v>
      </c>
    </row>
    <row r="2272" spans="2:12" x14ac:dyDescent="0.2">
      <c r="B2272" s="38">
        <v>100824</v>
      </c>
      <c r="D2272" s="279">
        <v>100000</v>
      </c>
      <c r="F2272" s="40">
        <v>2.5499999999999998E-2</v>
      </c>
      <c r="G2272" s="41">
        <v>44125</v>
      </c>
      <c r="H2272" s="41">
        <v>45951</v>
      </c>
      <c r="I2272" s="39">
        <v>5</v>
      </c>
      <c r="J2272" s="39" t="s">
        <v>1716</v>
      </c>
      <c r="K2272" s="39" t="s">
        <v>1716</v>
      </c>
      <c r="L2272" s="39" t="s">
        <v>1014</v>
      </c>
    </row>
    <row r="2273" spans="2:12" x14ac:dyDescent="0.2">
      <c r="B2273" s="38">
        <v>152301</v>
      </c>
      <c r="D2273" s="279">
        <v>100000</v>
      </c>
      <c r="F2273" s="40">
        <v>1.7000000000000001E-2</v>
      </c>
      <c r="G2273" s="41">
        <v>44140</v>
      </c>
      <c r="H2273" s="41">
        <v>44322</v>
      </c>
      <c r="I2273" s="39">
        <v>26</v>
      </c>
      <c r="J2273" s="39" t="s">
        <v>369</v>
      </c>
      <c r="K2273" s="39" t="s">
        <v>1716</v>
      </c>
      <c r="L2273" s="39" t="s">
        <v>1014</v>
      </c>
    </row>
    <row r="2274" spans="2:12" x14ac:dyDescent="0.2">
      <c r="B2274" s="38">
        <v>152305</v>
      </c>
      <c r="D2274" s="279">
        <v>100000</v>
      </c>
      <c r="F2274" s="40">
        <v>1.8499999999999999E-2</v>
      </c>
      <c r="G2274" s="41">
        <v>44154</v>
      </c>
      <c r="H2274" s="41">
        <v>44336</v>
      </c>
      <c r="I2274" s="39">
        <v>26</v>
      </c>
      <c r="J2274" s="39" t="s">
        <v>369</v>
      </c>
      <c r="K2274" s="39" t="s">
        <v>1716</v>
      </c>
      <c r="L2274" s="39" t="s">
        <v>1014</v>
      </c>
    </row>
    <row r="2275" spans="2:12" x14ac:dyDescent="0.2">
      <c r="B2275" s="38">
        <v>201614</v>
      </c>
      <c r="D2275" s="279">
        <v>100000</v>
      </c>
      <c r="F2275" s="40">
        <v>1.7000000000000001E-2</v>
      </c>
      <c r="G2275" s="41">
        <v>44144</v>
      </c>
      <c r="H2275" s="41">
        <v>44578</v>
      </c>
      <c r="I2275" s="39">
        <v>2</v>
      </c>
      <c r="J2275" s="39" t="s">
        <v>1716</v>
      </c>
      <c r="K2275" s="39" t="s">
        <v>1716</v>
      </c>
      <c r="L2275" s="39" t="s">
        <v>1014</v>
      </c>
    </row>
    <row r="2276" spans="2:12" x14ac:dyDescent="0.2">
      <c r="B2276" s="38">
        <v>201618</v>
      </c>
      <c r="D2276" s="279">
        <v>100000</v>
      </c>
      <c r="F2276" s="40">
        <v>1.7000000000000001E-2</v>
      </c>
      <c r="G2276" s="41">
        <v>44151</v>
      </c>
      <c r="H2276" s="41">
        <v>44333</v>
      </c>
      <c r="I2276" s="39">
        <v>26</v>
      </c>
      <c r="J2276" s="39" t="s">
        <v>369</v>
      </c>
      <c r="K2276" s="39" t="s">
        <v>1716</v>
      </c>
      <c r="L2276" s="39" t="s">
        <v>1014</v>
      </c>
    </row>
    <row r="2277" spans="2:12" x14ac:dyDescent="0.2">
      <c r="B2277" s="38">
        <v>201604</v>
      </c>
      <c r="D2277" s="279">
        <v>100000</v>
      </c>
      <c r="F2277" s="40">
        <v>1.5699999999999999E-2</v>
      </c>
      <c r="G2277" s="41">
        <v>44137</v>
      </c>
      <c r="H2277" s="41">
        <v>44319</v>
      </c>
      <c r="I2277" s="39">
        <v>26</v>
      </c>
      <c r="J2277" s="39" t="s">
        <v>369</v>
      </c>
      <c r="K2277" s="39" t="s">
        <v>1716</v>
      </c>
      <c r="L2277" s="39" t="s">
        <v>1014</v>
      </c>
    </row>
    <row r="2278" spans="2:12" x14ac:dyDescent="0.2">
      <c r="B2278" s="38">
        <v>9479</v>
      </c>
      <c r="C2278" s="38" t="s">
        <v>2618</v>
      </c>
      <c r="D2278" s="279">
        <v>100000</v>
      </c>
      <c r="F2278" s="40">
        <v>3.3399999999999999E-2</v>
      </c>
      <c r="G2278" s="41">
        <v>44172</v>
      </c>
      <c r="H2278" s="41">
        <v>45998</v>
      </c>
      <c r="I2278" s="39">
        <v>5</v>
      </c>
      <c r="J2278" s="39" t="s">
        <v>1716</v>
      </c>
      <c r="K2278" s="39" t="s">
        <v>1716</v>
      </c>
      <c r="L2278" s="39" t="s">
        <v>1014</v>
      </c>
    </row>
    <row r="2279" spans="2:12" x14ac:dyDescent="0.2">
      <c r="B2279" s="38">
        <v>201625</v>
      </c>
      <c r="C2279" s="38" t="s">
        <v>2619</v>
      </c>
      <c r="D2279" s="279">
        <v>100000</v>
      </c>
      <c r="F2279" s="40">
        <v>2.0500000000000001E-2</v>
      </c>
      <c r="G2279" s="41">
        <v>44172</v>
      </c>
      <c r="H2279" s="41">
        <v>45005</v>
      </c>
      <c r="I2279" s="39">
        <v>2</v>
      </c>
      <c r="J2279" s="39" t="s">
        <v>1716</v>
      </c>
      <c r="K2279" s="39" t="s">
        <v>1716</v>
      </c>
      <c r="L2279" s="39" t="s">
        <v>1014</v>
      </c>
    </row>
    <row r="2280" spans="2:12" x14ac:dyDescent="0.2">
      <c r="B2280" s="38">
        <v>201623</v>
      </c>
      <c r="D2280" s="279">
        <v>100000</v>
      </c>
      <c r="F2280" s="40">
        <v>1.7500000000000002E-2</v>
      </c>
      <c r="G2280" s="41">
        <v>44165</v>
      </c>
      <c r="H2280" s="41">
        <v>44347</v>
      </c>
      <c r="I2280" s="39">
        <v>26</v>
      </c>
      <c r="J2280" s="39" t="s">
        <v>369</v>
      </c>
      <c r="K2280" s="39" t="s">
        <v>1716</v>
      </c>
      <c r="L2280" s="39" t="s">
        <v>1014</v>
      </c>
    </row>
    <row r="2281" spans="2:12" x14ac:dyDescent="0.2">
      <c r="B2281" s="38">
        <v>201616</v>
      </c>
      <c r="D2281" s="279">
        <v>100000</v>
      </c>
      <c r="F2281" s="40">
        <v>1.6199999999999999E-2</v>
      </c>
      <c r="G2281" s="41">
        <v>44151</v>
      </c>
      <c r="H2281" s="41">
        <v>44333</v>
      </c>
      <c r="I2281" s="39">
        <v>26</v>
      </c>
      <c r="J2281" s="39" t="s">
        <v>369</v>
      </c>
      <c r="K2281" s="39" t="s">
        <v>1716</v>
      </c>
      <c r="L2281" s="39" t="s">
        <v>1014</v>
      </c>
    </row>
    <row r="2282" spans="2:12" x14ac:dyDescent="0.2">
      <c r="B2282" s="38">
        <v>201612</v>
      </c>
      <c r="D2282" s="279">
        <v>100000</v>
      </c>
      <c r="F2282" s="40">
        <v>1.5299999999999999E-2</v>
      </c>
      <c r="G2282" s="41">
        <v>44144</v>
      </c>
      <c r="H2282" s="41">
        <v>44235</v>
      </c>
      <c r="I2282" s="39">
        <v>13</v>
      </c>
      <c r="J2282" s="39" t="s">
        <v>369</v>
      </c>
      <c r="K2282" s="39" t="s">
        <v>1716</v>
      </c>
      <c r="L2282" s="39" t="s">
        <v>1014</v>
      </c>
    </row>
    <row r="2283" spans="2:12" x14ac:dyDescent="0.2">
      <c r="B2283" s="38">
        <v>201613</v>
      </c>
      <c r="D2283" s="279">
        <v>100000</v>
      </c>
      <c r="F2283" s="40">
        <v>1.5100000000000001E-2</v>
      </c>
      <c r="G2283" s="41">
        <v>44144</v>
      </c>
      <c r="H2283" s="41">
        <v>44235</v>
      </c>
      <c r="I2283" s="39">
        <v>13</v>
      </c>
      <c r="J2283" s="39" t="s">
        <v>369</v>
      </c>
      <c r="K2283" s="39" t="s">
        <v>1716</v>
      </c>
      <c r="L2283" s="39" t="s">
        <v>1014</v>
      </c>
    </row>
    <row r="2284" spans="2:12" x14ac:dyDescent="0.2">
      <c r="B2284" s="38">
        <v>201610</v>
      </c>
      <c r="D2284" s="279">
        <v>100000</v>
      </c>
      <c r="F2284" s="40">
        <v>1.52E-2</v>
      </c>
      <c r="G2284" s="41">
        <v>44144</v>
      </c>
      <c r="H2284" s="41">
        <v>44235</v>
      </c>
      <c r="I2284" s="39">
        <v>26</v>
      </c>
      <c r="J2284" s="39" t="s">
        <v>369</v>
      </c>
      <c r="K2284" s="39" t="s">
        <v>1716</v>
      </c>
      <c r="L2284" s="39" t="s">
        <v>1014</v>
      </c>
    </row>
    <row r="2285" spans="2:12" x14ac:dyDescent="0.2">
      <c r="B2285" s="38">
        <v>201607</v>
      </c>
      <c r="D2285" s="279">
        <v>100000</v>
      </c>
      <c r="F2285" s="40">
        <v>1.52E-2</v>
      </c>
      <c r="G2285" s="41">
        <v>44137</v>
      </c>
      <c r="H2285" s="41">
        <v>44319</v>
      </c>
      <c r="I2285" s="39">
        <v>26</v>
      </c>
      <c r="J2285" s="39" t="s">
        <v>369</v>
      </c>
      <c r="K2285" s="39" t="s">
        <v>1716</v>
      </c>
      <c r="L2285" s="39" t="s">
        <v>1014</v>
      </c>
    </row>
    <row r="2286" spans="2:12" x14ac:dyDescent="0.2">
      <c r="B2286" s="38">
        <v>201605</v>
      </c>
      <c r="D2286" s="279">
        <v>100000</v>
      </c>
      <c r="F2286" s="40">
        <v>1.55E-2</v>
      </c>
      <c r="G2286" s="41">
        <v>44137</v>
      </c>
      <c r="H2286" s="41">
        <v>44319</v>
      </c>
      <c r="I2286" s="39">
        <v>26</v>
      </c>
      <c r="J2286" s="39" t="s">
        <v>369</v>
      </c>
      <c r="K2286" s="39" t="s">
        <v>1716</v>
      </c>
      <c r="L2286" s="39" t="s">
        <v>1014</v>
      </c>
    </row>
    <row r="2287" spans="2:12" x14ac:dyDescent="0.2">
      <c r="B2287" s="38">
        <v>201611</v>
      </c>
      <c r="D2287" s="279">
        <v>100000</v>
      </c>
      <c r="F2287" s="40">
        <v>1.4999999999999999E-2</v>
      </c>
      <c r="G2287" s="41">
        <v>44144</v>
      </c>
      <c r="H2287" s="41">
        <v>44235</v>
      </c>
      <c r="I2287" s="39">
        <v>13</v>
      </c>
      <c r="J2287" s="39" t="s">
        <v>369</v>
      </c>
      <c r="K2287" s="39" t="s">
        <v>1716</v>
      </c>
      <c r="L2287" s="39" t="s">
        <v>1014</v>
      </c>
    </row>
    <row r="2288" spans="2:12" x14ac:dyDescent="0.2">
      <c r="B2288" s="38">
        <v>9488</v>
      </c>
      <c r="C2288" s="38" t="s">
        <v>2620</v>
      </c>
      <c r="D2288" s="279">
        <v>100000</v>
      </c>
      <c r="F2288" s="40">
        <v>4.1200000000000001E-2</v>
      </c>
      <c r="G2288" s="41">
        <v>44190</v>
      </c>
      <c r="H2288" s="41">
        <v>47842</v>
      </c>
      <c r="I2288" s="39">
        <v>10</v>
      </c>
      <c r="J2288" s="39" t="s">
        <v>1716</v>
      </c>
      <c r="K2288" s="39" t="s">
        <v>1716</v>
      </c>
      <c r="L2288" s="39" t="s">
        <v>1014</v>
      </c>
    </row>
    <row r="2289" spans="2:12" x14ac:dyDescent="0.2">
      <c r="B2289" s="38">
        <v>152317</v>
      </c>
      <c r="C2289" s="38" t="s">
        <v>2622</v>
      </c>
      <c r="D2289" s="279">
        <v>100000</v>
      </c>
      <c r="F2289" s="40">
        <v>2.24E-2</v>
      </c>
      <c r="G2289" s="41">
        <v>44194</v>
      </c>
      <c r="H2289" s="41">
        <v>44924</v>
      </c>
      <c r="I2289" s="39">
        <v>2</v>
      </c>
      <c r="J2289" s="39" t="s">
        <v>1716</v>
      </c>
      <c r="K2289" s="39" t="s">
        <v>1716</v>
      </c>
      <c r="L2289" s="39" t="s">
        <v>1014</v>
      </c>
    </row>
    <row r="2290" spans="2:12" x14ac:dyDescent="0.2">
      <c r="B2290" s="38">
        <v>152316</v>
      </c>
      <c r="C2290" s="38" t="s">
        <v>2623</v>
      </c>
      <c r="D2290" s="279">
        <v>100000</v>
      </c>
      <c r="F2290" s="40">
        <v>1.9800000000000002E-2</v>
      </c>
      <c r="G2290" s="41">
        <v>44194</v>
      </c>
      <c r="H2290" s="41">
        <v>44559</v>
      </c>
      <c r="I2290" s="39">
        <v>52</v>
      </c>
      <c r="J2290" s="39" t="s">
        <v>369</v>
      </c>
      <c r="K2290" s="39" t="s">
        <v>1716</v>
      </c>
      <c r="L2290" s="39" t="s">
        <v>1014</v>
      </c>
    </row>
    <row r="2291" spans="2:12" x14ac:dyDescent="0.2">
      <c r="B2291" s="38">
        <v>9489</v>
      </c>
      <c r="C2291" s="38" t="s">
        <v>2624</v>
      </c>
      <c r="D2291" s="279">
        <v>100000</v>
      </c>
      <c r="F2291" s="40">
        <v>2.9700000000000001E-2</v>
      </c>
      <c r="G2291" s="41">
        <v>44194</v>
      </c>
      <c r="H2291" s="41">
        <v>46750</v>
      </c>
      <c r="I2291" s="39">
        <v>7</v>
      </c>
      <c r="J2291" s="39" t="s">
        <v>1716</v>
      </c>
      <c r="K2291" s="39" t="s">
        <v>1716</v>
      </c>
      <c r="L2291" s="39" t="s">
        <v>1014</v>
      </c>
    </row>
    <row r="2292" spans="2:12" x14ac:dyDescent="0.2">
      <c r="B2292" s="38">
        <v>9491</v>
      </c>
      <c r="C2292" s="38" t="s">
        <v>2625</v>
      </c>
      <c r="D2292" s="279">
        <v>100000</v>
      </c>
      <c r="F2292" s="40">
        <v>2.3699999999999999E-2</v>
      </c>
      <c r="G2292" s="41">
        <v>44194</v>
      </c>
      <c r="H2292" s="41">
        <v>44559</v>
      </c>
      <c r="I2292" s="39">
        <v>52</v>
      </c>
      <c r="J2292" s="39" t="s">
        <v>369</v>
      </c>
      <c r="K2292" s="39" t="s">
        <v>1716</v>
      </c>
      <c r="L2292" s="39" t="s">
        <v>1014</v>
      </c>
    </row>
    <row r="2293" spans="2:12" x14ac:dyDescent="0.2">
      <c r="B2293" s="38">
        <v>9492</v>
      </c>
      <c r="C2293" s="38" t="s">
        <v>2626</v>
      </c>
      <c r="D2293" s="279">
        <v>100000</v>
      </c>
      <c r="F2293" s="40">
        <v>2.1700000000000001E-2</v>
      </c>
      <c r="G2293" s="41">
        <v>44195</v>
      </c>
      <c r="H2293" s="41">
        <v>44560</v>
      </c>
      <c r="I2293" s="39">
        <v>52</v>
      </c>
      <c r="J2293" s="39" t="s">
        <v>369</v>
      </c>
      <c r="K2293" s="39" t="s">
        <v>1716</v>
      </c>
      <c r="L2293" s="39" t="s">
        <v>1014</v>
      </c>
    </row>
    <row r="2294" spans="2:12" x14ac:dyDescent="0.2">
      <c r="B2294" s="38">
        <v>9493</v>
      </c>
      <c r="C2294" s="38" t="s">
        <v>2627</v>
      </c>
      <c r="D2294" s="279">
        <v>100000</v>
      </c>
      <c r="F2294" s="40">
        <v>3.2899999999999999E-2</v>
      </c>
      <c r="G2294" s="41">
        <v>44195</v>
      </c>
      <c r="H2294" s="41">
        <v>44560</v>
      </c>
      <c r="I2294" s="39">
        <v>52</v>
      </c>
      <c r="J2294" s="39" t="s">
        <v>369</v>
      </c>
      <c r="K2294" s="39" t="s">
        <v>1716</v>
      </c>
      <c r="L2294" s="39" t="s">
        <v>1014</v>
      </c>
    </row>
    <row r="2295" spans="2:12" x14ac:dyDescent="0.2">
      <c r="B2295" s="38">
        <v>100827</v>
      </c>
      <c r="C2295" s="38" t="s">
        <v>2628</v>
      </c>
      <c r="D2295" s="279">
        <v>100000</v>
      </c>
      <c r="F2295" s="40">
        <v>2.8000000000000001E-2</v>
      </c>
      <c r="G2295" s="41">
        <v>44195</v>
      </c>
      <c r="H2295" s="41">
        <v>45656</v>
      </c>
      <c r="I2295" s="39">
        <v>4</v>
      </c>
      <c r="J2295" s="39" t="s">
        <v>1716</v>
      </c>
      <c r="K2295" s="39" t="s">
        <v>1716</v>
      </c>
      <c r="L2295" s="39" t="s">
        <v>1014</v>
      </c>
    </row>
    <row r="2296" spans="2:12" x14ac:dyDescent="0.2">
      <c r="B2296" s="38">
        <v>201624</v>
      </c>
      <c r="C2296" s="38" t="s">
        <v>2629</v>
      </c>
      <c r="D2296" s="279">
        <v>100000</v>
      </c>
      <c r="F2296" s="40">
        <v>1.8499999999999999E-2</v>
      </c>
      <c r="G2296" s="41">
        <v>44172</v>
      </c>
      <c r="H2296" s="41">
        <v>44606</v>
      </c>
      <c r="I2296" s="39">
        <v>2</v>
      </c>
      <c r="J2296" s="39" t="s">
        <v>1716</v>
      </c>
      <c r="K2296" s="39" t="s">
        <v>1716</v>
      </c>
      <c r="L2296" s="39" t="s">
        <v>1014</v>
      </c>
    </row>
    <row r="2297" spans="2:12" x14ac:dyDescent="0.2">
      <c r="B2297" s="38">
        <v>201630</v>
      </c>
      <c r="C2297" s="38" t="s">
        <v>2630</v>
      </c>
      <c r="D2297" s="279">
        <v>100000</v>
      </c>
      <c r="F2297" s="40">
        <v>2.0500000000000001E-2</v>
      </c>
      <c r="G2297" s="41">
        <v>44214</v>
      </c>
      <c r="H2297" s="41">
        <v>46132</v>
      </c>
      <c r="I2297" s="39">
        <v>5</v>
      </c>
      <c r="J2297" s="39" t="s">
        <v>1716</v>
      </c>
      <c r="K2297" s="39" t="s">
        <v>1716</v>
      </c>
      <c r="L2297" s="39" t="s">
        <v>1014</v>
      </c>
    </row>
    <row r="2298" spans="2:12" x14ac:dyDescent="0.2">
      <c r="B2298" s="38">
        <v>140990</v>
      </c>
      <c r="C2298" s="38" t="s">
        <v>2631</v>
      </c>
      <c r="D2298" s="279">
        <v>100000</v>
      </c>
      <c r="F2298" s="40">
        <v>2.0500000000000001E-2</v>
      </c>
      <c r="G2298" s="41">
        <v>44218</v>
      </c>
      <c r="H2298" s="41">
        <v>44583</v>
      </c>
      <c r="I2298" s="39">
        <v>52</v>
      </c>
      <c r="J2298" s="39" t="s">
        <v>369</v>
      </c>
      <c r="K2298" s="39" t="s">
        <v>1716</v>
      </c>
      <c r="L2298" s="39" t="s">
        <v>1014</v>
      </c>
    </row>
    <row r="2299" spans="2:12" x14ac:dyDescent="0.2">
      <c r="B2299" s="38">
        <v>9496</v>
      </c>
      <c r="C2299" s="38" t="s">
        <v>2632</v>
      </c>
      <c r="D2299" s="279">
        <v>100000</v>
      </c>
    </row>
    <row r="2300" spans="2:12" x14ac:dyDescent="0.2">
      <c r="B2300" s="38">
        <v>152330</v>
      </c>
      <c r="C2300" s="38" t="s">
        <v>2634</v>
      </c>
      <c r="D2300" s="279">
        <v>100000</v>
      </c>
      <c r="F2300" s="40">
        <v>2.41E-2</v>
      </c>
      <c r="G2300" s="41">
        <v>44228</v>
      </c>
      <c r="H2300" s="41">
        <v>46055</v>
      </c>
      <c r="I2300" s="39">
        <v>5</v>
      </c>
      <c r="J2300" s="39" t="s">
        <v>1716</v>
      </c>
      <c r="K2300" s="39" t="s">
        <v>1716</v>
      </c>
      <c r="L2300" s="39" t="s">
        <v>1014</v>
      </c>
    </row>
    <row r="2301" spans="2:12" x14ac:dyDescent="0.2">
      <c r="B2301" s="38">
        <v>9409</v>
      </c>
      <c r="C2301" s="38" t="s">
        <v>2635</v>
      </c>
      <c r="D2301" s="279">
        <v>100000</v>
      </c>
      <c r="F2301" s="40">
        <v>5.11E-2</v>
      </c>
      <c r="G2301" s="41">
        <v>44132</v>
      </c>
      <c r="H2301" s="41">
        <v>44497</v>
      </c>
      <c r="I2301" s="39">
        <v>52</v>
      </c>
      <c r="J2301" s="39" t="s">
        <v>369</v>
      </c>
      <c r="K2301" s="39" t="s">
        <v>1716</v>
      </c>
      <c r="L2301" s="39" t="s">
        <v>1014</v>
      </c>
    </row>
    <row r="2302" spans="2:12" x14ac:dyDescent="0.2">
      <c r="B2302" s="38">
        <v>201602</v>
      </c>
      <c r="C2302" s="38" t="s">
        <v>2636</v>
      </c>
      <c r="D2302" s="279">
        <v>100000</v>
      </c>
      <c r="F2302" s="40">
        <v>1.55E-2</v>
      </c>
      <c r="G2302" s="41">
        <v>44109</v>
      </c>
      <c r="H2302" s="41">
        <v>44291</v>
      </c>
      <c r="I2302" s="39">
        <v>26</v>
      </c>
      <c r="J2302" s="39" t="s">
        <v>369</v>
      </c>
      <c r="K2302" s="39" t="s">
        <v>1716</v>
      </c>
      <c r="L2302" s="39" t="s">
        <v>1014</v>
      </c>
    </row>
    <row r="2303" spans="2:12" x14ac:dyDescent="0.2">
      <c r="B2303" s="38">
        <v>201627</v>
      </c>
      <c r="C2303" s="38" t="s">
        <v>2637</v>
      </c>
      <c r="D2303" s="279">
        <v>100000</v>
      </c>
      <c r="F2303" s="40">
        <v>3.4500000000000003E-2</v>
      </c>
      <c r="G2303" s="41">
        <v>44200</v>
      </c>
      <c r="H2303" s="41">
        <v>55204</v>
      </c>
      <c r="I2303" s="39">
        <v>30</v>
      </c>
      <c r="J2303" s="39" t="s">
        <v>1716</v>
      </c>
      <c r="K2303" s="39" t="s">
        <v>1716</v>
      </c>
      <c r="L2303" s="39" t="s">
        <v>1014</v>
      </c>
    </row>
    <row r="2304" spans="2:12" x14ac:dyDescent="0.2">
      <c r="B2304" s="38">
        <v>201631</v>
      </c>
      <c r="C2304" s="38" t="s">
        <v>2638</v>
      </c>
      <c r="D2304" s="279">
        <v>100000</v>
      </c>
      <c r="F2304" s="40">
        <v>2.75E-2</v>
      </c>
      <c r="G2304" s="41">
        <v>44214</v>
      </c>
      <c r="H2304" s="41">
        <v>49870</v>
      </c>
      <c r="I2304" s="39">
        <v>15</v>
      </c>
      <c r="J2304" s="39" t="s">
        <v>1716</v>
      </c>
      <c r="K2304" s="39" t="s">
        <v>1716</v>
      </c>
      <c r="L2304" s="39" t="s">
        <v>1014</v>
      </c>
    </row>
    <row r="2305" spans="2:12" x14ac:dyDescent="0.2">
      <c r="B2305" s="38">
        <v>9475</v>
      </c>
      <c r="C2305" s="38" t="s">
        <v>2639</v>
      </c>
      <c r="D2305" s="279">
        <v>100000</v>
      </c>
      <c r="F2305" s="40">
        <v>3.1399999999999997E-2</v>
      </c>
      <c r="G2305" s="41">
        <v>44172</v>
      </c>
      <c r="H2305" s="41">
        <v>45998</v>
      </c>
      <c r="I2305" s="39">
        <v>5</v>
      </c>
      <c r="J2305" s="39" t="s">
        <v>1716</v>
      </c>
      <c r="K2305" s="39" t="s">
        <v>1716</v>
      </c>
      <c r="L2305" s="39" t="s">
        <v>1014</v>
      </c>
    </row>
    <row r="2306" spans="2:12" x14ac:dyDescent="0.2">
      <c r="B2306" s="38">
        <v>201633</v>
      </c>
      <c r="D2306" s="279">
        <v>100000</v>
      </c>
      <c r="F2306" s="40">
        <v>1.43E-2</v>
      </c>
      <c r="G2306" s="41">
        <v>44228</v>
      </c>
      <c r="H2306" s="41">
        <v>44410</v>
      </c>
      <c r="I2306" s="39">
        <v>26</v>
      </c>
      <c r="J2306" s="39" t="s">
        <v>369</v>
      </c>
      <c r="K2306" s="39" t="s">
        <v>1716</v>
      </c>
      <c r="L2306" s="39" t="s">
        <v>1014</v>
      </c>
    </row>
    <row r="2307" spans="2:12" x14ac:dyDescent="0.2">
      <c r="B2307" s="38">
        <v>201635</v>
      </c>
      <c r="D2307" s="279">
        <v>100000</v>
      </c>
      <c r="F2307" s="40">
        <v>1.7000000000000001E-2</v>
      </c>
      <c r="G2307" s="41">
        <v>44235</v>
      </c>
      <c r="H2307" s="41">
        <v>45061</v>
      </c>
      <c r="I2307" s="39">
        <v>2</v>
      </c>
      <c r="J2307" s="39" t="s">
        <v>1716</v>
      </c>
      <c r="K2307" s="39" t="s">
        <v>1716</v>
      </c>
      <c r="L2307" s="39" t="s">
        <v>1014</v>
      </c>
    </row>
    <row r="2308" spans="2:12" x14ac:dyDescent="0.2">
      <c r="B2308" s="38">
        <v>9499</v>
      </c>
      <c r="D2308" s="279">
        <v>100000</v>
      </c>
      <c r="F2308" s="40">
        <v>3.1399999999999997E-2</v>
      </c>
      <c r="G2308" s="41">
        <v>44264</v>
      </c>
      <c r="H2308" s="41">
        <v>47916</v>
      </c>
      <c r="I2308" s="39">
        <v>10</v>
      </c>
      <c r="J2308" s="39" t="s">
        <v>1716</v>
      </c>
      <c r="K2308" s="39" t="s">
        <v>1716</v>
      </c>
      <c r="L2308" s="39" t="s">
        <v>1014</v>
      </c>
    </row>
    <row r="2309" spans="2:12" x14ac:dyDescent="0.2">
      <c r="B2309" s="38">
        <v>152202</v>
      </c>
      <c r="D2309" s="279">
        <v>100000</v>
      </c>
      <c r="F2309" s="40">
        <v>2.75E-2</v>
      </c>
      <c r="G2309" s="41">
        <v>43920</v>
      </c>
      <c r="H2309" s="41">
        <v>44285</v>
      </c>
      <c r="I2309" s="39">
        <v>52</v>
      </c>
      <c r="J2309" s="39" t="s">
        <v>369</v>
      </c>
      <c r="K2309" s="39" t="s">
        <v>1716</v>
      </c>
      <c r="L2309" s="39" t="s">
        <v>1014</v>
      </c>
    </row>
    <row r="2310" spans="2:12" x14ac:dyDescent="0.2">
      <c r="B2310" s="38">
        <v>201643</v>
      </c>
      <c r="C2310" s="38" t="s">
        <v>2641</v>
      </c>
      <c r="D2310" s="279">
        <v>100000</v>
      </c>
      <c r="F2310" s="40">
        <v>1.55E-2</v>
      </c>
      <c r="G2310" s="41">
        <v>44277</v>
      </c>
      <c r="H2310" s="41">
        <v>44732</v>
      </c>
      <c r="I2310" s="39">
        <v>52</v>
      </c>
      <c r="J2310" s="39" t="s">
        <v>369</v>
      </c>
      <c r="K2310" s="39" t="s">
        <v>1716</v>
      </c>
      <c r="L2310" s="39" t="s">
        <v>1014</v>
      </c>
    </row>
    <row r="2311" spans="2:12" x14ac:dyDescent="0.2">
      <c r="B2311" s="38">
        <v>100838</v>
      </c>
      <c r="C2311" s="38" t="s">
        <v>2642</v>
      </c>
      <c r="D2311" s="279">
        <v>100000</v>
      </c>
      <c r="F2311" s="40">
        <v>1.9800000000000002E-2</v>
      </c>
      <c r="G2311" s="41">
        <v>44291</v>
      </c>
      <c r="H2311" s="41">
        <v>45021</v>
      </c>
      <c r="I2311" s="39">
        <v>2</v>
      </c>
      <c r="J2311" s="39" t="s">
        <v>1716</v>
      </c>
      <c r="K2311" s="39" t="s">
        <v>1716</v>
      </c>
      <c r="L2311" s="39" t="s">
        <v>1014</v>
      </c>
    </row>
    <row r="2312" spans="2:12" x14ac:dyDescent="0.2">
      <c r="B2312" s="38">
        <v>201647</v>
      </c>
      <c r="C2312" s="38" t="s">
        <v>2643</v>
      </c>
      <c r="D2312" s="279">
        <v>100000</v>
      </c>
      <c r="F2312" s="40">
        <v>1.7000000000000001E-2</v>
      </c>
      <c r="G2312" s="41">
        <v>44298</v>
      </c>
      <c r="H2312" s="41">
        <v>45124</v>
      </c>
      <c r="I2312" s="39">
        <v>2</v>
      </c>
      <c r="J2312" s="39" t="s">
        <v>1716</v>
      </c>
      <c r="K2312" s="39" t="s">
        <v>1716</v>
      </c>
      <c r="L2312" s="39" t="s">
        <v>1014</v>
      </c>
    </row>
    <row r="2313" spans="2:12" x14ac:dyDescent="0.2">
      <c r="B2313" s="38">
        <v>152362</v>
      </c>
      <c r="C2313" s="38" t="s">
        <v>2644</v>
      </c>
      <c r="D2313" s="279">
        <v>100000</v>
      </c>
      <c r="F2313" s="40">
        <v>2.1000000000000001E-2</v>
      </c>
      <c r="G2313" s="41">
        <v>44301</v>
      </c>
      <c r="H2313" s="41">
        <v>45031</v>
      </c>
      <c r="I2313" s="39">
        <v>2</v>
      </c>
      <c r="J2313" s="39" t="s">
        <v>1716</v>
      </c>
      <c r="K2313" s="39" t="s">
        <v>1716</v>
      </c>
      <c r="L2313" s="39" t="s">
        <v>1014</v>
      </c>
    </row>
    <row r="2314" spans="2:12" x14ac:dyDescent="0.2">
      <c r="B2314" s="38">
        <v>201640</v>
      </c>
      <c r="C2314" s="38" t="s">
        <v>2645</v>
      </c>
      <c r="D2314" s="279">
        <v>100000</v>
      </c>
      <c r="F2314" s="40">
        <v>1.34E-2</v>
      </c>
      <c r="G2314" s="41">
        <v>44263</v>
      </c>
      <c r="H2314" s="41">
        <v>44354</v>
      </c>
      <c r="I2314" s="39">
        <v>13</v>
      </c>
      <c r="J2314" s="39" t="s">
        <v>369</v>
      </c>
      <c r="K2314" s="39" t="s">
        <v>1716</v>
      </c>
      <c r="L2314" s="39" t="s">
        <v>1014</v>
      </c>
    </row>
    <row r="2315" spans="2:12" x14ac:dyDescent="0.2">
      <c r="B2315" s="38">
        <v>201644</v>
      </c>
      <c r="C2315" s="38" t="s">
        <v>2646</v>
      </c>
      <c r="D2315" s="279">
        <v>100000</v>
      </c>
      <c r="F2315" s="40">
        <v>1.2999999999999999E-2</v>
      </c>
      <c r="G2315" s="41">
        <v>44284</v>
      </c>
      <c r="H2315" s="41">
        <v>44375</v>
      </c>
      <c r="I2315" s="39">
        <v>13</v>
      </c>
      <c r="J2315" s="39" t="s">
        <v>369</v>
      </c>
      <c r="K2315" s="39" t="s">
        <v>1716</v>
      </c>
      <c r="L2315" s="39" t="s">
        <v>1014</v>
      </c>
    </row>
    <row r="2316" spans="2:12" x14ac:dyDescent="0.2">
      <c r="B2316" s="38">
        <v>201647</v>
      </c>
      <c r="C2316" s="38" t="s">
        <v>2643</v>
      </c>
      <c r="D2316" s="279">
        <v>100000</v>
      </c>
      <c r="F2316" s="40">
        <v>1.7000000000000001E-2</v>
      </c>
      <c r="G2316" s="41">
        <v>44298</v>
      </c>
      <c r="H2316" s="41">
        <v>45124</v>
      </c>
      <c r="I2316" s="39">
        <v>2</v>
      </c>
      <c r="J2316" s="39" t="s">
        <v>1716</v>
      </c>
      <c r="K2316" s="39" t="s">
        <v>1716</v>
      </c>
      <c r="L2316" s="39" t="s">
        <v>1014</v>
      </c>
    </row>
    <row r="2317" spans="2:12" x14ac:dyDescent="0.2">
      <c r="B2317" s="38">
        <v>152369</v>
      </c>
      <c r="C2317" s="38" t="s">
        <v>2647</v>
      </c>
      <c r="D2317" s="279">
        <v>100000</v>
      </c>
      <c r="F2317" s="40">
        <v>2.1299999999999999E-2</v>
      </c>
      <c r="G2317" s="41">
        <v>44312</v>
      </c>
      <c r="H2317" s="41">
        <v>45408</v>
      </c>
      <c r="I2317" s="39">
        <v>3</v>
      </c>
      <c r="J2317" s="39" t="s">
        <v>1716</v>
      </c>
      <c r="K2317" s="39" t="s">
        <v>1716</v>
      </c>
      <c r="L2317" s="39" t="s">
        <v>1014</v>
      </c>
    </row>
    <row r="2318" spans="2:12" x14ac:dyDescent="0.2">
      <c r="B2318" s="38">
        <v>152367</v>
      </c>
      <c r="C2318" s="38" t="s">
        <v>2648</v>
      </c>
      <c r="D2318" s="279">
        <v>100000</v>
      </c>
      <c r="F2318" s="40">
        <v>1.78E-2</v>
      </c>
      <c r="G2318" s="41">
        <v>44312</v>
      </c>
      <c r="H2318" s="41">
        <v>44676</v>
      </c>
      <c r="I2318" s="39">
        <v>52</v>
      </c>
      <c r="J2318" s="39" t="s">
        <v>369</v>
      </c>
      <c r="K2318" s="39" t="s">
        <v>1716</v>
      </c>
      <c r="L2318" s="39" t="s">
        <v>1014</v>
      </c>
    </row>
    <row r="2319" spans="2:12" x14ac:dyDescent="0.2">
      <c r="B2319" s="38">
        <v>152368</v>
      </c>
      <c r="C2319" s="38" t="s">
        <v>2649</v>
      </c>
      <c r="D2319" s="279">
        <v>100000</v>
      </c>
      <c r="F2319" s="40">
        <v>1.9900000000000001E-2</v>
      </c>
      <c r="G2319" s="41">
        <v>44312</v>
      </c>
      <c r="H2319" s="41">
        <v>45042</v>
      </c>
      <c r="I2319" s="39">
        <v>2</v>
      </c>
      <c r="J2319" s="39" t="s">
        <v>1716</v>
      </c>
      <c r="K2319" s="39" t="s">
        <v>1716</v>
      </c>
      <c r="L2319" s="39" t="s">
        <v>1014</v>
      </c>
    </row>
    <row r="2320" spans="2:12" x14ac:dyDescent="0.2">
      <c r="B2320" s="38">
        <v>152320</v>
      </c>
      <c r="C2320" s="38" t="s">
        <v>2650</v>
      </c>
      <c r="D2320" s="279">
        <v>100000</v>
      </c>
      <c r="F2320" s="40">
        <v>2.2700000000000001E-2</v>
      </c>
      <c r="G2320" s="41">
        <v>44214</v>
      </c>
      <c r="H2320" s="41">
        <v>44944</v>
      </c>
      <c r="I2320" s="39">
        <v>2</v>
      </c>
      <c r="J2320" s="39" t="s">
        <v>1716</v>
      </c>
      <c r="K2320" s="39" t="s">
        <v>1716</v>
      </c>
      <c r="L2320" s="39" t="s">
        <v>1014</v>
      </c>
    </row>
    <row r="2321" spans="2:12" x14ac:dyDescent="0.2">
      <c r="B2321" s="38">
        <v>100844</v>
      </c>
      <c r="C2321" s="38" t="s">
        <v>2651</v>
      </c>
      <c r="D2321" s="279">
        <v>100000</v>
      </c>
      <c r="F2321" s="40">
        <v>2.41E-2</v>
      </c>
      <c r="G2321" s="41">
        <v>44337</v>
      </c>
      <c r="H2321" s="41">
        <v>46163</v>
      </c>
      <c r="I2321" s="39">
        <v>4</v>
      </c>
      <c r="J2321" s="39" t="s">
        <v>1716</v>
      </c>
      <c r="K2321" s="39" t="s">
        <v>1716</v>
      </c>
      <c r="L2321" s="39" t="s">
        <v>1014</v>
      </c>
    </row>
    <row r="2322" spans="2:12" x14ac:dyDescent="0.2">
      <c r="B2322" s="38">
        <v>201646</v>
      </c>
      <c r="C2322" s="38" t="s">
        <v>2652</v>
      </c>
      <c r="D2322" s="279">
        <v>100000</v>
      </c>
      <c r="F2322" s="40">
        <v>2.8500000000000001E-2</v>
      </c>
      <c r="G2322" s="41">
        <v>44291</v>
      </c>
      <c r="H2322" s="41">
        <v>51732</v>
      </c>
      <c r="I2322" s="39">
        <v>20</v>
      </c>
      <c r="J2322" s="39" t="s">
        <v>1716</v>
      </c>
      <c r="K2322" s="39" t="s">
        <v>1716</v>
      </c>
      <c r="L2322" s="39" t="s">
        <v>1014</v>
      </c>
    </row>
    <row r="2323" spans="2:12" x14ac:dyDescent="0.2">
      <c r="B2323" s="38">
        <v>152380</v>
      </c>
      <c r="C2323" s="38" t="s">
        <v>2567</v>
      </c>
      <c r="D2323" s="279">
        <v>100000</v>
      </c>
      <c r="F2323" s="40">
        <v>1.6500000000000001E-2</v>
      </c>
      <c r="G2323" s="41">
        <v>44343</v>
      </c>
      <c r="H2323" s="41">
        <v>44525</v>
      </c>
      <c r="I2323" s="39">
        <v>26</v>
      </c>
      <c r="J2323" s="39" t="s">
        <v>369</v>
      </c>
      <c r="K2323" s="39" t="s">
        <v>1716</v>
      </c>
      <c r="L2323" s="39" t="s">
        <v>1014</v>
      </c>
    </row>
    <row r="2324" spans="2:12" x14ac:dyDescent="0.2">
      <c r="B2324" s="38">
        <v>100846</v>
      </c>
      <c r="C2324" s="38" t="s">
        <v>2653</v>
      </c>
      <c r="D2324" s="279">
        <v>100000</v>
      </c>
      <c r="F2324" s="40">
        <v>1.9900000000000001E-2</v>
      </c>
      <c r="G2324" s="41">
        <v>44347</v>
      </c>
      <c r="H2324" s="41">
        <v>45077</v>
      </c>
      <c r="I2324" s="39">
        <v>2</v>
      </c>
      <c r="J2324" s="39" t="s">
        <v>1716</v>
      </c>
      <c r="K2324" s="39" t="s">
        <v>1716</v>
      </c>
      <c r="L2324" s="39" t="s">
        <v>1014</v>
      </c>
    </row>
    <row r="2325" spans="2:12" x14ac:dyDescent="0.2">
      <c r="B2325" s="38">
        <v>152382</v>
      </c>
      <c r="C2325" s="38" t="s">
        <v>2654</v>
      </c>
      <c r="D2325" s="279">
        <v>100000</v>
      </c>
      <c r="F2325" s="40">
        <v>1.5299999999999999E-2</v>
      </c>
      <c r="G2325" s="41">
        <v>44347</v>
      </c>
      <c r="H2325" s="41">
        <v>44439</v>
      </c>
      <c r="I2325" s="39">
        <v>13</v>
      </c>
      <c r="J2325" s="39" t="s">
        <v>369</v>
      </c>
      <c r="K2325" s="39" t="s">
        <v>1716</v>
      </c>
      <c r="L2325" s="39" t="s">
        <v>1014</v>
      </c>
    </row>
    <row r="2326" spans="2:12" x14ac:dyDescent="0.2">
      <c r="B2326" s="38">
        <v>152383</v>
      </c>
      <c r="C2326" s="38" t="s">
        <v>2655</v>
      </c>
      <c r="D2326" s="279">
        <v>100000</v>
      </c>
      <c r="F2326" s="40">
        <v>1.6400000000000001E-2</v>
      </c>
      <c r="G2326" s="41">
        <v>44347</v>
      </c>
      <c r="H2326" s="41">
        <v>44530</v>
      </c>
      <c r="I2326" s="39">
        <v>26</v>
      </c>
      <c r="J2326" s="39" t="s">
        <v>369</v>
      </c>
      <c r="K2326" s="39" t="s">
        <v>1716</v>
      </c>
      <c r="L2326" s="39" t="s">
        <v>1014</v>
      </c>
    </row>
    <row r="2327" spans="2:12" x14ac:dyDescent="0.2">
      <c r="B2327" s="38">
        <v>152274</v>
      </c>
      <c r="C2327" s="38" t="s">
        <v>2656</v>
      </c>
      <c r="D2327" s="279">
        <v>100000</v>
      </c>
      <c r="F2327" s="40">
        <v>2.0500000000000001E-2</v>
      </c>
      <c r="G2327" s="41">
        <v>44096</v>
      </c>
      <c r="H2327" s="41">
        <v>44460</v>
      </c>
      <c r="I2327" s="39">
        <v>52</v>
      </c>
      <c r="J2327" s="39" t="s">
        <v>1716</v>
      </c>
      <c r="K2327" s="39" t="s">
        <v>1716</v>
      </c>
      <c r="L2327" s="39" t="s">
        <v>1014</v>
      </c>
    </row>
    <row r="2328" spans="2:12" x14ac:dyDescent="0.2">
      <c r="B2328" s="38">
        <v>152385</v>
      </c>
      <c r="C2328" s="38" t="s">
        <v>2658</v>
      </c>
      <c r="D2328" s="279">
        <v>100000</v>
      </c>
      <c r="F2328" s="40">
        <v>1.5699999999999999E-2</v>
      </c>
      <c r="G2328" s="41">
        <v>44355</v>
      </c>
      <c r="H2328" s="41">
        <v>44446</v>
      </c>
      <c r="I2328" s="39">
        <v>13</v>
      </c>
      <c r="J2328" s="39" t="s">
        <v>369</v>
      </c>
      <c r="K2328" s="39" t="s">
        <v>1716</v>
      </c>
      <c r="L2328" s="39" t="s">
        <v>1014</v>
      </c>
    </row>
    <row r="2329" spans="2:12" x14ac:dyDescent="0.2">
      <c r="B2329" s="38">
        <v>152386</v>
      </c>
      <c r="C2329" s="38" t="s">
        <v>2659</v>
      </c>
      <c r="D2329" s="279">
        <v>100000</v>
      </c>
      <c r="F2329" s="40">
        <v>1.6400000000000001E-2</v>
      </c>
      <c r="G2329" s="41">
        <v>44355</v>
      </c>
      <c r="H2329" s="41">
        <v>44537</v>
      </c>
      <c r="I2329" s="39">
        <v>26</v>
      </c>
      <c r="J2329" s="39" t="s">
        <v>369</v>
      </c>
      <c r="K2329" s="39" t="s">
        <v>1716</v>
      </c>
      <c r="L2329" s="39" t="s">
        <v>1014</v>
      </c>
    </row>
    <row r="2330" spans="2:12" x14ac:dyDescent="0.2">
      <c r="B2330" s="38">
        <v>5116</v>
      </c>
      <c r="C2330" s="38" t="s">
        <v>2660</v>
      </c>
      <c r="D2330" s="279">
        <v>100000</v>
      </c>
      <c r="F2330" s="40">
        <v>2.63E-2</v>
      </c>
      <c r="G2330" s="41">
        <v>44358</v>
      </c>
      <c r="H2330" s="41">
        <v>48937</v>
      </c>
      <c r="I2330" s="39">
        <v>12</v>
      </c>
      <c r="J2330" s="39" t="s">
        <v>1716</v>
      </c>
      <c r="K2330" s="39" t="s">
        <v>1716</v>
      </c>
      <c r="L2330" s="39" t="s">
        <v>1014</v>
      </c>
    </row>
    <row r="2331" spans="2:12" x14ac:dyDescent="0.2">
      <c r="B2331" s="38">
        <v>5117</v>
      </c>
      <c r="C2331" s="38" t="s">
        <v>2661</v>
      </c>
      <c r="D2331" s="279">
        <v>100000</v>
      </c>
      <c r="F2331" s="40">
        <v>3.1E-2</v>
      </c>
      <c r="G2331" s="41">
        <v>44358</v>
      </c>
      <c r="H2331" s="41">
        <v>50307</v>
      </c>
      <c r="I2331" s="39">
        <v>16</v>
      </c>
      <c r="J2331" s="39" t="s">
        <v>1716</v>
      </c>
      <c r="K2331" s="39" t="s">
        <v>1716</v>
      </c>
      <c r="L2331" s="39" t="s">
        <v>1014</v>
      </c>
    </row>
    <row r="2332" spans="2:12" x14ac:dyDescent="0.2">
      <c r="B2332" s="38">
        <v>201651</v>
      </c>
      <c r="C2332" s="38" t="s">
        <v>2262</v>
      </c>
      <c r="D2332" s="279">
        <v>100000</v>
      </c>
      <c r="F2332" s="40">
        <v>2.3E-2</v>
      </c>
      <c r="G2332" s="41">
        <v>44347</v>
      </c>
      <c r="H2332" s="41">
        <v>48015</v>
      </c>
      <c r="I2332" s="39">
        <v>10</v>
      </c>
      <c r="J2332" s="39" t="s">
        <v>1716</v>
      </c>
      <c r="K2332" s="39" t="s">
        <v>1716</v>
      </c>
      <c r="L2332" s="39" t="s">
        <v>1014</v>
      </c>
    </row>
    <row r="2333" spans="2:12" x14ac:dyDescent="0.2">
      <c r="B2333" s="38">
        <v>201657</v>
      </c>
      <c r="C2333" s="38" t="s">
        <v>2662</v>
      </c>
      <c r="D2333" s="279">
        <v>100000</v>
      </c>
      <c r="F2333" s="40">
        <v>0.02</v>
      </c>
      <c r="G2333" s="41">
        <v>44361</v>
      </c>
      <c r="H2333" s="41">
        <v>46314</v>
      </c>
      <c r="I2333" s="39">
        <v>5</v>
      </c>
      <c r="J2333" s="39" t="s">
        <v>1716</v>
      </c>
      <c r="K2333" s="39" t="s">
        <v>1716</v>
      </c>
      <c r="L2333" s="39" t="s">
        <v>1014</v>
      </c>
    </row>
    <row r="2334" spans="2:12" x14ac:dyDescent="0.2">
      <c r="B2334" s="38">
        <v>9502</v>
      </c>
      <c r="C2334" s="38" t="s">
        <v>2664</v>
      </c>
      <c r="D2334" s="279">
        <v>100000</v>
      </c>
      <c r="F2334" s="40">
        <v>2.8400000000000002E-2</v>
      </c>
      <c r="G2334" s="41">
        <v>44361</v>
      </c>
      <c r="H2334" s="41">
        <v>46187</v>
      </c>
      <c r="I2334" s="39">
        <v>5</v>
      </c>
      <c r="J2334" s="39" t="s">
        <v>1716</v>
      </c>
      <c r="K2334" s="39" t="s">
        <v>1716</v>
      </c>
      <c r="L2334" s="39" t="s">
        <v>1014</v>
      </c>
    </row>
    <row r="2335" spans="2:12" x14ac:dyDescent="0.2">
      <c r="B2335" s="38">
        <v>152391</v>
      </c>
      <c r="C2335" s="38" t="s">
        <v>2665</v>
      </c>
      <c r="D2335" s="279">
        <v>100000</v>
      </c>
      <c r="F2335" s="40">
        <v>1.7500000000000002E-2</v>
      </c>
      <c r="G2335" s="41">
        <v>44364</v>
      </c>
      <c r="H2335" s="41">
        <v>44728</v>
      </c>
      <c r="I2335" s="39">
        <v>52</v>
      </c>
      <c r="J2335" s="39" t="s">
        <v>369</v>
      </c>
      <c r="K2335" s="39" t="s">
        <v>1716</v>
      </c>
      <c r="L2335" s="39" t="s">
        <v>1014</v>
      </c>
    </row>
    <row r="2336" spans="2:12" x14ac:dyDescent="0.2">
      <c r="B2336" s="38">
        <v>152350</v>
      </c>
      <c r="C2336" s="38" t="s">
        <v>2666</v>
      </c>
      <c r="D2336" s="279">
        <v>100000</v>
      </c>
      <c r="F2336" s="40">
        <v>2.06E-2</v>
      </c>
      <c r="G2336" s="41">
        <v>44278</v>
      </c>
      <c r="H2336" s="41">
        <v>45008</v>
      </c>
      <c r="I2336" s="39">
        <v>2</v>
      </c>
      <c r="J2336" s="39" t="s">
        <v>1716</v>
      </c>
      <c r="K2336" s="39" t="s">
        <v>1716</v>
      </c>
      <c r="L2336" s="39" t="s">
        <v>1014</v>
      </c>
    </row>
    <row r="2337" spans="2:12" x14ac:dyDescent="0.2">
      <c r="B2337" s="38">
        <v>152321</v>
      </c>
      <c r="C2337" s="38" t="s">
        <v>2667</v>
      </c>
      <c r="D2337" s="279">
        <v>100000</v>
      </c>
      <c r="F2337" s="40">
        <v>1.9199999999999998E-2</v>
      </c>
      <c r="G2337" s="41">
        <v>44214</v>
      </c>
      <c r="H2337" s="41">
        <v>44578</v>
      </c>
      <c r="I2337" s="39">
        <v>52</v>
      </c>
      <c r="J2337" s="39" t="s">
        <v>369</v>
      </c>
      <c r="K2337" s="39" t="s">
        <v>1716</v>
      </c>
      <c r="L2337" s="39" t="s">
        <v>1014</v>
      </c>
    </row>
    <row r="2338" spans="2:12" x14ac:dyDescent="0.2">
      <c r="B2338" s="38">
        <v>152397</v>
      </c>
      <c r="C2338" s="38" t="s">
        <v>2669</v>
      </c>
      <c r="D2338" s="279">
        <v>100000</v>
      </c>
      <c r="F2338" s="40">
        <v>2.3699999999999999E-2</v>
      </c>
      <c r="G2338" s="41">
        <v>44372</v>
      </c>
      <c r="H2338" s="41">
        <v>46204</v>
      </c>
      <c r="I2338" s="39">
        <v>5</v>
      </c>
      <c r="J2338" s="39" t="s">
        <v>1716</v>
      </c>
      <c r="K2338" s="39" t="s">
        <v>1716</v>
      </c>
      <c r="L2338" s="39" t="s">
        <v>1014</v>
      </c>
    </row>
    <row r="2339" spans="2:12" x14ac:dyDescent="0.2">
      <c r="B2339" s="38">
        <v>152398</v>
      </c>
      <c r="C2339" s="38" t="s">
        <v>2668</v>
      </c>
      <c r="D2339" s="279">
        <v>100000</v>
      </c>
      <c r="F2339" s="40">
        <v>2.6100000000000002E-2</v>
      </c>
      <c r="G2339" s="41">
        <v>44372</v>
      </c>
      <c r="H2339" s="41">
        <v>46929</v>
      </c>
      <c r="I2339" s="39">
        <v>7</v>
      </c>
      <c r="J2339" s="39" t="s">
        <v>1716</v>
      </c>
      <c r="K2339" s="39" t="s">
        <v>1716</v>
      </c>
      <c r="L2339" s="39" t="s">
        <v>1014</v>
      </c>
    </row>
    <row r="2340" spans="2:12" x14ac:dyDescent="0.2">
      <c r="B2340" s="38">
        <v>100847</v>
      </c>
      <c r="C2340" s="38" t="s">
        <v>2670</v>
      </c>
      <c r="D2340" s="279">
        <v>100000</v>
      </c>
      <c r="F2340" s="40">
        <v>2.06E-2</v>
      </c>
      <c r="G2340" s="41">
        <v>44376</v>
      </c>
      <c r="H2340" s="41">
        <v>45106</v>
      </c>
      <c r="I2340" s="39">
        <v>2</v>
      </c>
      <c r="J2340" s="39" t="s">
        <v>1716</v>
      </c>
      <c r="K2340" s="39" t="s">
        <v>1716</v>
      </c>
      <c r="L2340" s="39" t="s">
        <v>1014</v>
      </c>
    </row>
    <row r="2341" spans="2:12" x14ac:dyDescent="0.2">
      <c r="B2341" s="38">
        <v>100848</v>
      </c>
      <c r="C2341" s="38" t="s">
        <v>2671</v>
      </c>
      <c r="D2341" s="279">
        <v>100000</v>
      </c>
      <c r="F2341" s="40">
        <v>2.1000000000000001E-2</v>
      </c>
      <c r="G2341" s="41">
        <v>44376</v>
      </c>
      <c r="H2341" s="41">
        <v>45198</v>
      </c>
      <c r="I2341" s="39">
        <v>27</v>
      </c>
    </row>
    <row r="2342" spans="2:12" x14ac:dyDescent="0.2">
      <c r="B2342" s="38">
        <v>152401</v>
      </c>
      <c r="C2342" s="38" t="s">
        <v>2672</v>
      </c>
      <c r="D2342" s="279">
        <v>100000</v>
      </c>
      <c r="F2342" s="40">
        <v>1.72E-2</v>
      </c>
      <c r="G2342" s="41">
        <v>44377</v>
      </c>
      <c r="H2342" s="41">
        <v>44650</v>
      </c>
      <c r="I2342" s="39">
        <v>9</v>
      </c>
      <c r="J2342" s="39" t="s">
        <v>288</v>
      </c>
      <c r="K2342" s="39" t="s">
        <v>1716</v>
      </c>
      <c r="L2342" s="39" t="s">
        <v>1014</v>
      </c>
    </row>
    <row r="2343" spans="2:12" x14ac:dyDescent="0.2">
      <c r="B2343" s="38">
        <v>100850</v>
      </c>
      <c r="C2343" s="38" t="s">
        <v>2673</v>
      </c>
      <c r="D2343" s="279">
        <v>100000</v>
      </c>
      <c r="F2343" s="40">
        <v>2.24E-2</v>
      </c>
      <c r="G2343" s="41">
        <v>44377</v>
      </c>
      <c r="H2343" s="41">
        <v>45565</v>
      </c>
      <c r="I2343" s="39">
        <v>39</v>
      </c>
      <c r="J2343" s="39" t="s">
        <v>288</v>
      </c>
      <c r="K2343" s="39" t="s">
        <v>1716</v>
      </c>
      <c r="L2343" s="39" t="s">
        <v>1014</v>
      </c>
    </row>
    <row r="2344" spans="2:12" x14ac:dyDescent="0.2">
      <c r="B2344" s="38">
        <v>201652</v>
      </c>
      <c r="C2344" s="38" t="s">
        <v>2674</v>
      </c>
      <c r="D2344" s="279">
        <v>100000</v>
      </c>
      <c r="F2344" s="40">
        <v>1.7000000000000001E-2</v>
      </c>
      <c r="G2344" s="41">
        <v>44354</v>
      </c>
      <c r="H2344" s="41">
        <v>45187</v>
      </c>
      <c r="I2344" s="39">
        <v>2</v>
      </c>
      <c r="J2344" s="39" t="s">
        <v>1716</v>
      </c>
      <c r="K2344" s="39" t="s">
        <v>1716</v>
      </c>
      <c r="L2344" s="39" t="s">
        <v>1014</v>
      </c>
    </row>
    <row r="2345" spans="2:12" x14ac:dyDescent="0.2">
      <c r="B2345" s="38">
        <v>5119</v>
      </c>
      <c r="C2345" s="38" t="s">
        <v>2675</v>
      </c>
      <c r="D2345" s="279">
        <v>100000</v>
      </c>
      <c r="F2345" s="40">
        <v>1.8800000000000001E-2</v>
      </c>
      <c r="G2345" s="41">
        <v>44386</v>
      </c>
      <c r="H2345" s="41">
        <v>48754</v>
      </c>
      <c r="I2345" s="39">
        <v>13</v>
      </c>
      <c r="J2345" s="39" t="s">
        <v>369</v>
      </c>
      <c r="K2345" s="39" t="s">
        <v>1525</v>
      </c>
      <c r="L2345" s="39" t="s">
        <v>1014</v>
      </c>
    </row>
    <row r="2346" spans="2:12" x14ac:dyDescent="0.2">
      <c r="B2346" s="38">
        <v>9507</v>
      </c>
      <c r="C2346" s="38" t="s">
        <v>2676</v>
      </c>
      <c r="D2346" s="279">
        <v>100000</v>
      </c>
      <c r="F2346" s="40">
        <v>1.89E-2</v>
      </c>
      <c r="G2346" s="41">
        <v>44406</v>
      </c>
      <c r="H2346" s="41">
        <v>45136</v>
      </c>
      <c r="I2346" s="39">
        <v>2</v>
      </c>
      <c r="J2346" s="39" t="s">
        <v>1716</v>
      </c>
      <c r="K2346" s="39" t="s">
        <v>1716</v>
      </c>
      <c r="L2346" s="39" t="s">
        <v>1014</v>
      </c>
    </row>
    <row r="2347" spans="2:12" x14ac:dyDescent="0.2">
      <c r="B2347" s="38">
        <v>9508</v>
      </c>
      <c r="C2347" s="38" t="s">
        <v>2677</v>
      </c>
      <c r="D2347" s="279">
        <v>100000</v>
      </c>
      <c r="F2347" s="40">
        <v>2.0799999999999999E-2</v>
      </c>
      <c r="G2347" s="41">
        <v>44406</v>
      </c>
      <c r="H2347" s="41">
        <v>45502</v>
      </c>
      <c r="I2347" s="39">
        <v>3</v>
      </c>
      <c r="J2347" s="39" t="s">
        <v>1716</v>
      </c>
      <c r="K2347" s="39" t="s">
        <v>1716</v>
      </c>
      <c r="L2347" s="39" t="s">
        <v>1014</v>
      </c>
    </row>
    <row r="2348" spans="2:12" x14ac:dyDescent="0.2">
      <c r="B2348" s="38">
        <v>152409</v>
      </c>
      <c r="C2348" s="38" t="s">
        <v>2678</v>
      </c>
      <c r="D2348" s="279">
        <v>100000</v>
      </c>
      <c r="F2348" s="40">
        <v>1.7299999999999999E-2</v>
      </c>
      <c r="G2348" s="41">
        <v>44406</v>
      </c>
      <c r="H2348" s="41">
        <v>44680</v>
      </c>
      <c r="I2348" s="39">
        <v>9</v>
      </c>
      <c r="J2348" s="39" t="s">
        <v>288</v>
      </c>
      <c r="K2348" s="39" t="s">
        <v>1716</v>
      </c>
      <c r="L2348" s="39" t="s">
        <v>1014</v>
      </c>
    </row>
    <row r="2349" spans="2:12" x14ac:dyDescent="0.2">
      <c r="B2349" s="38">
        <v>152414</v>
      </c>
      <c r="C2349" s="38" t="s">
        <v>2679</v>
      </c>
      <c r="D2349" s="279">
        <v>100000</v>
      </c>
      <c r="F2349" s="40">
        <v>1.8800000000000001E-2</v>
      </c>
      <c r="G2349" s="41">
        <v>44414</v>
      </c>
      <c r="H2349" s="41">
        <v>44778</v>
      </c>
      <c r="I2349" s="39">
        <v>52</v>
      </c>
      <c r="J2349" s="39" t="s">
        <v>369</v>
      </c>
      <c r="K2349" s="39" t="s">
        <v>1716</v>
      </c>
      <c r="L2349" s="39" t="s">
        <v>1014</v>
      </c>
    </row>
    <row r="2350" spans="2:12" x14ac:dyDescent="0.2">
      <c r="B2350" s="38">
        <v>152413</v>
      </c>
      <c r="C2350" s="38" t="s">
        <v>2680</v>
      </c>
      <c r="D2350" s="279">
        <v>100000</v>
      </c>
      <c r="F2350" s="40">
        <v>2.1100000000000001E-2</v>
      </c>
      <c r="G2350" s="41">
        <v>44414</v>
      </c>
      <c r="H2350" s="41">
        <v>45144</v>
      </c>
      <c r="I2350" s="39">
        <v>2</v>
      </c>
      <c r="J2350" s="39" t="s">
        <v>1716</v>
      </c>
      <c r="K2350" s="39" t="s">
        <v>1716</v>
      </c>
      <c r="L2350" s="39" t="s">
        <v>1014</v>
      </c>
    </row>
    <row r="2351" spans="2:12" x14ac:dyDescent="0.2">
      <c r="B2351" s="38">
        <v>5122</v>
      </c>
      <c r="C2351" s="38" t="s">
        <v>2681</v>
      </c>
      <c r="D2351" s="279">
        <v>100000</v>
      </c>
      <c r="F2351" s="40">
        <v>2.7E-2</v>
      </c>
      <c r="G2351" s="41">
        <v>44414</v>
      </c>
      <c r="H2351" s="41">
        <v>48666</v>
      </c>
      <c r="I2351" s="39">
        <v>12</v>
      </c>
      <c r="J2351" s="39" t="s">
        <v>1716</v>
      </c>
      <c r="K2351" s="39" t="s">
        <v>1716</v>
      </c>
      <c r="L2351" s="39" t="s">
        <v>1014</v>
      </c>
    </row>
    <row r="2352" spans="2:12" x14ac:dyDescent="0.2">
      <c r="B2352" s="38">
        <v>201659</v>
      </c>
      <c r="C2352" s="38" t="s">
        <v>2683</v>
      </c>
      <c r="D2352" s="279">
        <v>100000</v>
      </c>
      <c r="F2352" s="40">
        <v>1.7500000000000002E-2</v>
      </c>
      <c r="G2352" s="41">
        <v>44417</v>
      </c>
      <c r="H2352" s="41">
        <v>45250</v>
      </c>
      <c r="I2352" s="39">
        <v>2</v>
      </c>
      <c r="J2352" s="39" t="s">
        <v>1716</v>
      </c>
      <c r="K2352" s="39" t="s">
        <v>1716</v>
      </c>
      <c r="L2352" s="39" t="s">
        <v>1014</v>
      </c>
    </row>
    <row r="2353" spans="2:12" x14ac:dyDescent="0.2">
      <c r="B2353" s="38">
        <v>100856</v>
      </c>
      <c r="C2353" s="38" t="s">
        <v>2684</v>
      </c>
      <c r="D2353" s="279">
        <v>100000</v>
      </c>
      <c r="F2353" s="40">
        <v>2.4899999999999999E-2</v>
      </c>
      <c r="G2353" s="41">
        <v>44425</v>
      </c>
      <c r="H2353" s="41">
        <v>46251</v>
      </c>
      <c r="I2353" s="39">
        <v>5</v>
      </c>
      <c r="J2353" s="39" t="s">
        <v>1716</v>
      </c>
      <c r="K2353" s="39" t="s">
        <v>1716</v>
      </c>
      <c r="L2353" s="39" t="s">
        <v>1014</v>
      </c>
    </row>
    <row r="2354" spans="2:12" x14ac:dyDescent="0.2">
      <c r="B2354" s="38">
        <v>152419</v>
      </c>
      <c r="C2354" s="38" t="s">
        <v>2685</v>
      </c>
      <c r="D2354" s="279">
        <v>100000</v>
      </c>
      <c r="F2354" s="40">
        <v>1.67E-2</v>
      </c>
      <c r="G2354" s="41">
        <v>44454</v>
      </c>
      <c r="H2354" s="41">
        <v>44636</v>
      </c>
      <c r="I2354" s="39">
        <v>26</v>
      </c>
      <c r="J2354" s="39" t="s">
        <v>369</v>
      </c>
      <c r="K2354" s="39" t="s">
        <v>1716</v>
      </c>
      <c r="L2354" s="39" t="s">
        <v>1014</v>
      </c>
    </row>
    <row r="2355" spans="2:12" x14ac:dyDescent="0.2">
      <c r="B2355" s="38">
        <v>152420</v>
      </c>
      <c r="C2355" s="38" t="s">
        <v>2686</v>
      </c>
      <c r="D2355" s="279">
        <v>100000</v>
      </c>
      <c r="F2355" s="40">
        <v>1.7999999999999999E-2</v>
      </c>
      <c r="G2355" s="41">
        <v>44454</v>
      </c>
      <c r="H2355" s="41">
        <v>44818</v>
      </c>
      <c r="I2355" s="39">
        <v>52</v>
      </c>
      <c r="J2355" s="39" t="s">
        <v>369</v>
      </c>
      <c r="K2355" s="39" t="s">
        <v>1716</v>
      </c>
      <c r="L2355" s="39" t="s">
        <v>1014</v>
      </c>
    </row>
    <row r="2356" spans="2:12" x14ac:dyDescent="0.2">
      <c r="B2356" s="38">
        <v>201662</v>
      </c>
      <c r="C2356" s="38" t="s">
        <v>2687</v>
      </c>
      <c r="D2356" s="279">
        <v>100000</v>
      </c>
      <c r="F2356" s="40">
        <v>1.55E-2</v>
      </c>
      <c r="G2356" s="41">
        <v>44431</v>
      </c>
      <c r="H2356" s="41">
        <v>44823</v>
      </c>
      <c r="I2356" s="39">
        <v>52</v>
      </c>
      <c r="J2356" s="39" t="s">
        <v>369</v>
      </c>
      <c r="K2356" s="39" t="s">
        <v>1716</v>
      </c>
      <c r="L2356" s="39" t="s">
        <v>1014</v>
      </c>
    </row>
    <row r="2357" spans="2:12" x14ac:dyDescent="0.2">
      <c r="B2357" s="38">
        <v>201654</v>
      </c>
      <c r="C2357" s="38" t="s">
        <v>2688</v>
      </c>
      <c r="D2357" s="279">
        <v>100000</v>
      </c>
      <c r="F2357" s="40">
        <v>1.38E-2</v>
      </c>
      <c r="G2357" s="41">
        <v>44361</v>
      </c>
      <c r="H2357" s="41">
        <v>44543</v>
      </c>
      <c r="I2357" s="39">
        <v>26</v>
      </c>
      <c r="J2357" s="39" t="s">
        <v>369</v>
      </c>
      <c r="K2357" s="39" t="s">
        <v>1716</v>
      </c>
      <c r="L2357" s="39" t="s">
        <v>1014</v>
      </c>
    </row>
    <row r="2358" spans="2:12" x14ac:dyDescent="0.2">
      <c r="B2358" s="38">
        <v>152425</v>
      </c>
      <c r="C2358" s="38" t="s">
        <v>2690</v>
      </c>
      <c r="D2358" s="279">
        <v>100000</v>
      </c>
      <c r="F2358" s="40">
        <v>1.7000000000000001E-2</v>
      </c>
      <c r="G2358" s="41">
        <v>44466</v>
      </c>
      <c r="H2358" s="41">
        <v>44648</v>
      </c>
      <c r="I2358" s="39">
        <v>26</v>
      </c>
      <c r="J2358" s="39" t="s">
        <v>369</v>
      </c>
      <c r="K2358" s="39" t="s">
        <v>1716</v>
      </c>
      <c r="L2358" s="39" t="s">
        <v>1014</v>
      </c>
    </row>
    <row r="2359" spans="2:12" x14ac:dyDescent="0.2">
      <c r="B2359" s="38">
        <v>152327</v>
      </c>
      <c r="C2359" s="38" t="s">
        <v>2692</v>
      </c>
      <c r="D2359" s="279">
        <v>100000</v>
      </c>
      <c r="F2359" s="40">
        <v>2.9000000000000001E-2</v>
      </c>
      <c r="G2359" s="41">
        <v>44217</v>
      </c>
      <c r="H2359" s="41">
        <v>44490</v>
      </c>
      <c r="I2359" s="39">
        <v>9</v>
      </c>
      <c r="J2359" s="39" t="s">
        <v>288</v>
      </c>
      <c r="K2359" s="39" t="s">
        <v>1716</v>
      </c>
      <c r="L2359" s="39" t="s">
        <v>1014</v>
      </c>
    </row>
    <row r="2360" spans="2:12" x14ac:dyDescent="0.2">
      <c r="B2360" s="38">
        <v>100861</v>
      </c>
      <c r="C2360" s="38" t="s">
        <v>2693</v>
      </c>
      <c r="D2360" s="279">
        <v>100000</v>
      </c>
      <c r="F2360" s="40">
        <v>2.1000000000000001E-2</v>
      </c>
      <c r="G2360" s="41">
        <v>44480</v>
      </c>
      <c r="H2360" s="41">
        <v>45210</v>
      </c>
      <c r="I2360" s="39">
        <v>2</v>
      </c>
      <c r="J2360" s="39" t="s">
        <v>1716</v>
      </c>
      <c r="K2360" s="39" t="s">
        <v>1716</v>
      </c>
      <c r="L2360" s="39" t="s">
        <v>1014</v>
      </c>
    </row>
    <row r="2361" spans="2:12" x14ac:dyDescent="0.2">
      <c r="B2361" s="38">
        <v>9518</v>
      </c>
      <c r="C2361" s="38" t="s">
        <v>2694</v>
      </c>
      <c r="D2361" s="279">
        <v>100000</v>
      </c>
      <c r="F2361" s="40">
        <v>3.15E-2</v>
      </c>
      <c r="G2361" s="41">
        <v>44482</v>
      </c>
      <c r="H2361" s="41">
        <v>49961</v>
      </c>
      <c r="I2361" s="39">
        <v>15</v>
      </c>
      <c r="J2361" s="39" t="s">
        <v>1716</v>
      </c>
      <c r="K2361" s="39" t="s">
        <v>1716</v>
      </c>
      <c r="L2361" s="39" t="s">
        <v>1014</v>
      </c>
    </row>
    <row r="2362" spans="2:12" x14ac:dyDescent="0.2">
      <c r="B2362" s="38">
        <v>201668</v>
      </c>
      <c r="C2362" s="38" t="s">
        <v>2696</v>
      </c>
      <c r="D2362" s="279">
        <v>100000</v>
      </c>
      <c r="F2362" s="40">
        <v>1.7500000000000002E-2</v>
      </c>
      <c r="G2362" s="41">
        <v>44494</v>
      </c>
      <c r="H2362" s="41">
        <v>45316</v>
      </c>
      <c r="I2362" s="39">
        <v>2</v>
      </c>
      <c r="J2362" s="39" t="s">
        <v>1716</v>
      </c>
      <c r="K2362" s="39" t="s">
        <v>1716</v>
      </c>
      <c r="L2362" s="39" t="s">
        <v>1014</v>
      </c>
    </row>
    <row r="2363" spans="2:12" x14ac:dyDescent="0.2">
      <c r="B2363" s="38">
        <v>152438</v>
      </c>
      <c r="C2363" s="38" t="s">
        <v>2697</v>
      </c>
      <c r="D2363" s="279">
        <v>100000</v>
      </c>
      <c r="F2363" s="40">
        <v>2.01E-2</v>
      </c>
      <c r="G2363" s="41">
        <v>44497</v>
      </c>
      <c r="H2363" s="41">
        <v>45226</v>
      </c>
      <c r="I2363" s="39">
        <v>2</v>
      </c>
      <c r="J2363" s="39" t="s">
        <v>1716</v>
      </c>
      <c r="K2363" s="39" t="s">
        <v>1716</v>
      </c>
      <c r="L2363" s="39" t="s">
        <v>1014</v>
      </c>
    </row>
    <row r="2364" spans="2:12" x14ac:dyDescent="0.2">
      <c r="B2364" s="38">
        <v>100867</v>
      </c>
      <c r="C2364" s="38" t="s">
        <v>2698</v>
      </c>
      <c r="D2364" s="279">
        <v>100000</v>
      </c>
      <c r="F2364" s="40">
        <v>2.07E-2</v>
      </c>
      <c r="G2364" s="41">
        <v>44508</v>
      </c>
      <c r="H2364" s="41">
        <v>45238</v>
      </c>
      <c r="I2364" s="39">
        <v>2</v>
      </c>
      <c r="J2364" s="39" t="s">
        <v>1716</v>
      </c>
      <c r="K2364" s="39" t="s">
        <v>1716</v>
      </c>
      <c r="L2364" s="39" t="s">
        <v>1014</v>
      </c>
    </row>
    <row r="2365" spans="2:12" x14ac:dyDescent="0.2">
      <c r="B2365" s="38">
        <v>152324</v>
      </c>
      <c r="C2365" s="38" t="s">
        <v>2699</v>
      </c>
      <c r="D2365" s="279">
        <v>100000</v>
      </c>
      <c r="F2365" s="40">
        <v>1.8100000000000002E-2</v>
      </c>
      <c r="G2365" s="41">
        <v>44215</v>
      </c>
      <c r="H2365" s="41">
        <v>44579</v>
      </c>
      <c r="I2365" s="39">
        <v>52</v>
      </c>
      <c r="J2365" s="39" t="s">
        <v>369</v>
      </c>
      <c r="K2365" s="39" t="s">
        <v>1716</v>
      </c>
      <c r="L2365" s="39" t="s">
        <v>1014</v>
      </c>
    </row>
    <row r="2366" spans="2:12" x14ac:dyDescent="0.2">
      <c r="B2366" s="38">
        <v>201668</v>
      </c>
      <c r="C2366" s="38" t="s">
        <v>2700</v>
      </c>
      <c r="D2366" s="279">
        <v>100000</v>
      </c>
      <c r="F2366" s="40">
        <v>1.7500000000000002E-2</v>
      </c>
      <c r="G2366" s="41">
        <v>44586</v>
      </c>
      <c r="H2366" s="41">
        <v>45306</v>
      </c>
      <c r="I2366" s="39">
        <v>2</v>
      </c>
      <c r="J2366" s="39" t="s">
        <v>1716</v>
      </c>
      <c r="K2366" s="39" t="s">
        <v>1716</v>
      </c>
      <c r="L2366" s="39" t="s">
        <v>1014</v>
      </c>
    </row>
    <row r="2367" spans="2:12" x14ac:dyDescent="0.2">
      <c r="B2367" s="38">
        <v>152444</v>
      </c>
      <c r="C2367" s="38" t="s">
        <v>2701</v>
      </c>
      <c r="D2367" s="279">
        <v>100000</v>
      </c>
      <c r="F2367" s="40">
        <v>2.63E-2</v>
      </c>
      <c r="G2367" s="41">
        <v>44522</v>
      </c>
      <c r="H2367" s="41">
        <v>47079</v>
      </c>
      <c r="I2367" s="39">
        <v>7</v>
      </c>
      <c r="J2367" s="39" t="s">
        <v>1716</v>
      </c>
      <c r="K2367" s="39" t="s">
        <v>1716</v>
      </c>
      <c r="L2367" s="39" t="s">
        <v>1014</v>
      </c>
    </row>
    <row r="2368" spans="2:12" x14ac:dyDescent="0.2">
      <c r="B2368" s="38">
        <v>152445</v>
      </c>
      <c r="C2368" s="38" t="s">
        <v>2702</v>
      </c>
      <c r="D2368" s="279">
        <v>100000</v>
      </c>
      <c r="F2368" s="40">
        <v>1.7500000000000002E-2</v>
      </c>
      <c r="G2368" s="41">
        <v>44525</v>
      </c>
      <c r="H2368" s="41">
        <v>44889</v>
      </c>
      <c r="I2368" s="39">
        <v>52</v>
      </c>
      <c r="J2368" s="39" t="s">
        <v>369</v>
      </c>
      <c r="K2368" s="39" t="s">
        <v>1716</v>
      </c>
      <c r="L2368" s="39" t="s">
        <v>1014</v>
      </c>
    </row>
    <row r="2369" spans="2:12" x14ac:dyDescent="0.2">
      <c r="B2369" s="38">
        <v>152358</v>
      </c>
      <c r="C2369" s="38" t="s">
        <v>2703</v>
      </c>
      <c r="D2369" s="279">
        <v>100000</v>
      </c>
      <c r="F2369" s="40">
        <v>2.1299999999999999E-2</v>
      </c>
      <c r="G2369" s="41">
        <v>44298</v>
      </c>
      <c r="H2369" s="41">
        <v>45028</v>
      </c>
      <c r="I2369" s="39">
        <v>2</v>
      </c>
      <c r="J2369" s="39" t="s">
        <v>1716</v>
      </c>
      <c r="K2369" s="39" t="s">
        <v>1716</v>
      </c>
      <c r="L2369" s="39" t="s">
        <v>1014</v>
      </c>
    </row>
    <row r="2370" spans="2:12" x14ac:dyDescent="0.2">
      <c r="B2370" s="38">
        <v>9523</v>
      </c>
      <c r="C2370" s="38" t="s">
        <v>2704</v>
      </c>
      <c r="D2370" s="279">
        <v>100000</v>
      </c>
      <c r="F2370" s="40">
        <v>3.2199999999999999E-2</v>
      </c>
      <c r="G2370" s="41">
        <v>44551</v>
      </c>
      <c r="H2370" s="41">
        <v>47108</v>
      </c>
      <c r="I2370" s="39">
        <v>7</v>
      </c>
      <c r="J2370" s="39" t="s">
        <v>1716</v>
      </c>
      <c r="K2370" s="39" t="s">
        <v>1716</v>
      </c>
      <c r="L2370" s="39" t="s">
        <v>1014</v>
      </c>
    </row>
    <row r="2371" spans="2:12" x14ac:dyDescent="0.2">
      <c r="B2371" s="38">
        <v>9524</v>
      </c>
      <c r="C2371" s="38" t="s">
        <v>2705</v>
      </c>
      <c r="D2371" s="279">
        <v>100000</v>
      </c>
      <c r="F2371" s="40">
        <v>4.6899999999999997E-2</v>
      </c>
      <c r="G2371" s="41">
        <v>44553</v>
      </c>
      <c r="H2371" s="41">
        <v>46379</v>
      </c>
      <c r="I2371" s="39">
        <v>5</v>
      </c>
      <c r="J2371" s="39" t="s">
        <v>1716</v>
      </c>
      <c r="K2371" s="39" t="s">
        <v>1716</v>
      </c>
      <c r="L2371" s="39" t="s">
        <v>1014</v>
      </c>
    </row>
    <row r="2372" spans="2:12" x14ac:dyDescent="0.2">
      <c r="B2372" s="38">
        <v>152319</v>
      </c>
      <c r="C2372" s="38" t="s">
        <v>2706</v>
      </c>
      <c r="D2372" s="279">
        <v>100000</v>
      </c>
      <c r="F2372" s="40">
        <v>2.6599999999999999E-2</v>
      </c>
      <c r="G2372" s="41">
        <v>44214</v>
      </c>
      <c r="H2372" s="41">
        <v>46040</v>
      </c>
      <c r="I2372" s="39">
        <v>5</v>
      </c>
      <c r="J2372" s="39" t="s">
        <v>1716</v>
      </c>
      <c r="K2372" s="39" t="s">
        <v>1716</v>
      </c>
      <c r="L2372" s="39" t="s">
        <v>1014</v>
      </c>
    </row>
    <row r="2373" spans="2:12" x14ac:dyDescent="0.2">
      <c r="B2373" s="38">
        <v>152201</v>
      </c>
      <c r="C2373" s="38" t="s">
        <v>2707</v>
      </c>
      <c r="D2373" s="279">
        <v>100000</v>
      </c>
      <c r="F2373" s="40">
        <v>2.98E-2</v>
      </c>
      <c r="G2373" s="41">
        <v>43915</v>
      </c>
      <c r="H2373" s="41">
        <v>45741</v>
      </c>
      <c r="I2373" s="39">
        <v>5</v>
      </c>
      <c r="J2373" s="39" t="s">
        <v>1716</v>
      </c>
      <c r="K2373" s="39" t="s">
        <v>1716</v>
      </c>
      <c r="L2373" s="39" t="s">
        <v>1014</v>
      </c>
    </row>
    <row r="2374" spans="2:12" x14ac:dyDescent="0.2">
      <c r="B2374" s="38">
        <v>201674</v>
      </c>
      <c r="C2374" s="38" t="s">
        <v>2708</v>
      </c>
      <c r="D2374" s="279">
        <v>100000</v>
      </c>
      <c r="F2374" s="40">
        <v>1.7500000000000002E-2</v>
      </c>
      <c r="G2374" s="41">
        <v>44543</v>
      </c>
      <c r="H2374" s="41">
        <v>45369</v>
      </c>
      <c r="I2374" s="39">
        <v>2</v>
      </c>
      <c r="J2374" s="39" t="s">
        <v>1716</v>
      </c>
      <c r="K2374" s="39" t="s">
        <v>1716</v>
      </c>
      <c r="L2374" s="39" t="s">
        <v>1014</v>
      </c>
    </row>
    <row r="2375" spans="2:12" x14ac:dyDescent="0.2">
      <c r="B2375" s="38">
        <v>9529</v>
      </c>
      <c r="C2375" s="38" t="s">
        <v>2709</v>
      </c>
      <c r="D2375" s="279">
        <v>100000</v>
      </c>
      <c r="F2375" s="40">
        <v>4.58E-2</v>
      </c>
      <c r="G2375" s="41">
        <v>44558</v>
      </c>
      <c r="H2375" s="41">
        <v>48210</v>
      </c>
      <c r="I2375" s="39">
        <v>10</v>
      </c>
      <c r="J2375" s="39" t="s">
        <v>1716</v>
      </c>
      <c r="K2375" s="39" t="s">
        <v>1716</v>
      </c>
      <c r="L2375" s="39" t="s">
        <v>1014</v>
      </c>
    </row>
    <row r="2376" spans="2:12" x14ac:dyDescent="0.2">
      <c r="B2376" s="38">
        <v>201669</v>
      </c>
      <c r="C2376" s="38" t="s">
        <v>2710</v>
      </c>
      <c r="D2376" s="279">
        <v>100000</v>
      </c>
      <c r="F2376" s="40">
        <v>1.55E-2</v>
      </c>
      <c r="G2376" s="41">
        <v>44494</v>
      </c>
      <c r="H2376" s="41">
        <v>44942</v>
      </c>
      <c r="I2376" s="39">
        <v>1</v>
      </c>
      <c r="J2376" s="39" t="s">
        <v>1716</v>
      </c>
      <c r="K2376" s="39" t="s">
        <v>1716</v>
      </c>
      <c r="L2376" s="39" t="s">
        <v>1014</v>
      </c>
    </row>
    <row r="2377" spans="2:12" x14ac:dyDescent="0.2">
      <c r="B2377" s="38">
        <v>201671</v>
      </c>
      <c r="C2377" s="38" t="s">
        <v>2711</v>
      </c>
      <c r="D2377" s="279">
        <v>100000</v>
      </c>
      <c r="F2377" s="40">
        <v>0.02</v>
      </c>
      <c r="G2377" s="41">
        <v>44515</v>
      </c>
      <c r="H2377" s="41">
        <v>46524</v>
      </c>
      <c r="I2377" s="39">
        <v>5</v>
      </c>
      <c r="J2377" s="39" t="s">
        <v>1716</v>
      </c>
      <c r="K2377" s="39" t="s">
        <v>1716</v>
      </c>
      <c r="L2377" s="39" t="s">
        <v>1014</v>
      </c>
    </row>
    <row r="2378" spans="2:12" x14ac:dyDescent="0.2">
      <c r="B2378" s="38">
        <v>9530</v>
      </c>
      <c r="C2378" s="38" t="s">
        <v>2714</v>
      </c>
      <c r="D2378" s="279">
        <v>100000</v>
      </c>
      <c r="F2378" s="40">
        <v>2.6599999999999999E-2</v>
      </c>
      <c r="G2378" s="41">
        <v>44560</v>
      </c>
      <c r="H2378" s="41">
        <v>47117</v>
      </c>
      <c r="I2378" s="39">
        <v>7</v>
      </c>
      <c r="J2378" s="39" t="s">
        <v>1716</v>
      </c>
      <c r="K2378" s="39" t="s">
        <v>1716</v>
      </c>
      <c r="L2378" s="39" t="s">
        <v>1014</v>
      </c>
    </row>
    <row r="2379" spans="2:12" x14ac:dyDescent="0.2">
      <c r="B2379" s="38">
        <v>9531</v>
      </c>
      <c r="C2379" s="38" t="s">
        <v>2715</v>
      </c>
      <c r="D2379" s="279">
        <v>100000</v>
      </c>
      <c r="F2379" s="40">
        <v>2.2100000000000002E-2</v>
      </c>
      <c r="G2379" s="41">
        <v>44561</v>
      </c>
      <c r="H2379" s="41">
        <v>46022</v>
      </c>
      <c r="I2379" s="39">
        <v>4</v>
      </c>
      <c r="J2379" s="39" t="s">
        <v>1716</v>
      </c>
      <c r="K2379" s="39" t="s">
        <v>1716</v>
      </c>
      <c r="L2379" s="39" t="s">
        <v>1014</v>
      </c>
    </row>
    <row r="2380" spans="2:12" x14ac:dyDescent="0.2">
      <c r="B2380" s="38">
        <v>9532</v>
      </c>
      <c r="C2380" s="38" t="s">
        <v>2716</v>
      </c>
      <c r="D2380" s="279">
        <v>100000</v>
      </c>
      <c r="F2380" s="40">
        <v>2.1999999999999999E-2</v>
      </c>
      <c r="G2380" s="41">
        <v>44573</v>
      </c>
      <c r="H2380" s="41">
        <v>50052</v>
      </c>
      <c r="I2380" s="39">
        <v>15</v>
      </c>
      <c r="J2380" s="39" t="s">
        <v>1716</v>
      </c>
      <c r="K2380" s="39" t="s">
        <v>1716</v>
      </c>
      <c r="L2380" s="39" t="s">
        <v>1014</v>
      </c>
    </row>
    <row r="2381" spans="2:12" x14ac:dyDescent="0.2">
      <c r="B2381" s="38">
        <v>5129</v>
      </c>
      <c r="C2381" s="38" t="s">
        <v>2717</v>
      </c>
      <c r="D2381" s="279">
        <v>100000</v>
      </c>
      <c r="F2381" s="40">
        <v>2.1000000000000001E-2</v>
      </c>
      <c r="G2381" s="41">
        <v>44575</v>
      </c>
      <c r="H2381" s="41">
        <v>48184</v>
      </c>
      <c r="I2381" s="39">
        <v>10</v>
      </c>
      <c r="J2381" s="39" t="s">
        <v>1716</v>
      </c>
      <c r="K2381" s="39" t="s">
        <v>1716</v>
      </c>
      <c r="L2381" s="39" t="s">
        <v>1014</v>
      </c>
    </row>
    <row r="2382" spans="2:12" x14ac:dyDescent="0.2">
      <c r="B2382" s="38">
        <v>152182</v>
      </c>
      <c r="C2382" s="38" t="s">
        <v>2718</v>
      </c>
      <c r="D2382" s="279">
        <v>100000</v>
      </c>
      <c r="F2382" s="40">
        <v>2.7199999999999998E-2</v>
      </c>
      <c r="G2382" s="41">
        <v>43846</v>
      </c>
      <c r="H2382" s="41">
        <v>44942</v>
      </c>
      <c r="I2382" s="39">
        <v>3</v>
      </c>
      <c r="J2382" s="39" t="s">
        <v>1716</v>
      </c>
      <c r="K2382" s="39" t="s">
        <v>1716</v>
      </c>
      <c r="L2382" s="39" t="s">
        <v>1014</v>
      </c>
    </row>
    <row r="2383" spans="2:12" x14ac:dyDescent="0.2">
      <c r="B2383" s="38">
        <v>141029</v>
      </c>
      <c r="C2383" s="38" t="s">
        <v>2719</v>
      </c>
      <c r="D2383" s="279">
        <v>100000</v>
      </c>
      <c r="F2383" s="40">
        <v>2.0899999999999998E-2</v>
      </c>
      <c r="G2383" s="41">
        <v>44592</v>
      </c>
      <c r="H2383" s="41">
        <v>44956</v>
      </c>
      <c r="I2383" s="39">
        <v>52</v>
      </c>
      <c r="J2383" s="39" t="s">
        <v>369</v>
      </c>
      <c r="K2383" s="39" t="s">
        <v>1716</v>
      </c>
      <c r="L2383" s="39" t="s">
        <v>1014</v>
      </c>
    </row>
    <row r="2384" spans="2:12" x14ac:dyDescent="0.2">
      <c r="B2384">
        <v>9273</v>
      </c>
      <c r="C2384" s="38" t="s">
        <v>2037</v>
      </c>
      <c r="D2384" s="279">
        <v>100000</v>
      </c>
      <c r="F2384" s="40">
        <v>4.4200000000000003E-2</v>
      </c>
      <c r="G2384" s="41">
        <v>42335</v>
      </c>
      <c r="H2384" s="41">
        <v>44892</v>
      </c>
      <c r="I2384" s="39">
        <v>7</v>
      </c>
      <c r="J2384" s="39" t="s">
        <v>1716</v>
      </c>
      <c r="K2384" s="39" t="s">
        <v>1716</v>
      </c>
      <c r="L2384" s="39" t="s">
        <v>1014</v>
      </c>
    </row>
    <row r="2385" spans="2:12" x14ac:dyDescent="0.2">
      <c r="B2385" s="38">
        <v>9276</v>
      </c>
      <c r="C2385" s="38" t="s">
        <v>2720</v>
      </c>
      <c r="D2385" s="279">
        <v>100000</v>
      </c>
      <c r="F2385" s="40">
        <v>2.3400000000000001E-2</v>
      </c>
      <c r="G2385" s="41">
        <v>44552</v>
      </c>
      <c r="H2385" s="41">
        <v>44917</v>
      </c>
      <c r="I2385" s="39">
        <v>7</v>
      </c>
      <c r="J2385" s="39" t="s">
        <v>1716</v>
      </c>
      <c r="K2385" s="39" t="s">
        <v>1716</v>
      </c>
      <c r="L2385" s="39" t="s">
        <v>1014</v>
      </c>
    </row>
    <row r="2386" spans="2:12" x14ac:dyDescent="0.2">
      <c r="B2386" s="38">
        <v>201676</v>
      </c>
      <c r="C2386" s="38" t="s">
        <v>2721</v>
      </c>
      <c r="D2386" s="279">
        <v>100000</v>
      </c>
      <c r="F2386" s="40">
        <v>1.7999999999999999E-2</v>
      </c>
      <c r="G2386" s="41">
        <v>44592</v>
      </c>
      <c r="H2386" s="41">
        <v>45488</v>
      </c>
      <c r="I2386" s="39">
        <v>2</v>
      </c>
      <c r="J2386" s="39" t="s">
        <v>1716</v>
      </c>
      <c r="K2386" s="39" t="s">
        <v>1716</v>
      </c>
      <c r="L2386" s="39" t="s">
        <v>1014</v>
      </c>
    </row>
    <row r="2387" spans="2:12" x14ac:dyDescent="0.2">
      <c r="B2387" s="38">
        <v>152459</v>
      </c>
      <c r="C2387" s="38" t="s">
        <v>2722</v>
      </c>
      <c r="D2387" s="279">
        <v>100000</v>
      </c>
      <c r="F2387" s="40">
        <v>1.77E-2</v>
      </c>
      <c r="G2387" s="41">
        <v>44599</v>
      </c>
      <c r="H2387" s="41">
        <v>44781</v>
      </c>
      <c r="I2387" s="39">
        <v>26</v>
      </c>
      <c r="J2387" s="39" t="s">
        <v>369</v>
      </c>
      <c r="K2387" s="39" t="s">
        <v>1716</v>
      </c>
      <c r="L2387" s="39" t="s">
        <v>1014</v>
      </c>
    </row>
    <row r="2388" spans="2:12" x14ac:dyDescent="0.2">
      <c r="B2388" s="38">
        <v>152460</v>
      </c>
      <c r="C2388" s="38" t="s">
        <v>2723</v>
      </c>
      <c r="D2388" s="279">
        <v>100000</v>
      </c>
      <c r="F2388" s="40">
        <v>1.9099999999999999E-2</v>
      </c>
      <c r="G2388" s="41">
        <v>44599</v>
      </c>
      <c r="H2388" s="41">
        <v>44963</v>
      </c>
      <c r="I2388" s="39">
        <v>52</v>
      </c>
      <c r="J2388" s="39" t="s">
        <v>369</v>
      </c>
      <c r="K2388" s="39" t="s">
        <v>1716</v>
      </c>
      <c r="L2388" s="39" t="s">
        <v>1014</v>
      </c>
    </row>
    <row r="2389" spans="2:12" x14ac:dyDescent="0.2">
      <c r="B2389" s="38">
        <v>152468</v>
      </c>
      <c r="C2389" s="38" t="s">
        <v>2724</v>
      </c>
      <c r="D2389" s="279">
        <v>100000</v>
      </c>
      <c r="F2389" s="40">
        <v>1.8599999999999998E-2</v>
      </c>
      <c r="G2389" s="41">
        <v>44617</v>
      </c>
      <c r="H2389" s="41">
        <v>44981</v>
      </c>
      <c r="I2389" s="39">
        <v>52</v>
      </c>
      <c r="J2389" s="39" t="s">
        <v>369</v>
      </c>
      <c r="K2389" s="39" t="s">
        <v>1716</v>
      </c>
      <c r="L2389" s="39" t="s">
        <v>1014</v>
      </c>
    </row>
    <row r="2390" spans="2:12" x14ac:dyDescent="0.2">
      <c r="B2390" s="38">
        <v>152467</v>
      </c>
      <c r="C2390" s="38" t="s">
        <v>2725</v>
      </c>
      <c r="D2390" s="279">
        <v>100000</v>
      </c>
      <c r="F2390" s="40">
        <v>1.7100000000000001E-2</v>
      </c>
      <c r="G2390" s="41">
        <v>44617</v>
      </c>
      <c r="H2390" s="41">
        <v>44708</v>
      </c>
      <c r="I2390" s="39">
        <v>13</v>
      </c>
      <c r="J2390" s="39" t="s">
        <v>369</v>
      </c>
      <c r="K2390" s="39" t="s">
        <v>1716</v>
      </c>
      <c r="L2390" s="39" t="s">
        <v>1014</v>
      </c>
    </row>
    <row r="2391" spans="2:12" x14ac:dyDescent="0.2">
      <c r="B2391" s="38">
        <v>9533</v>
      </c>
      <c r="C2391" s="38" t="s">
        <v>2726</v>
      </c>
      <c r="D2391" s="279">
        <v>100000</v>
      </c>
      <c r="F2391" s="40">
        <v>2.6499999999999999E-2</v>
      </c>
      <c r="G2391" s="41">
        <v>44634</v>
      </c>
      <c r="H2391" s="41">
        <v>47191</v>
      </c>
      <c r="I2391" s="39">
        <v>7</v>
      </c>
      <c r="J2391" s="39" t="s">
        <v>1716</v>
      </c>
      <c r="K2391" s="39" t="s">
        <v>1716</v>
      </c>
      <c r="L2391" s="39" t="s">
        <v>1014</v>
      </c>
    </row>
    <row r="2392" spans="2:12" x14ac:dyDescent="0.2">
      <c r="B2392" s="38">
        <v>9534</v>
      </c>
      <c r="C2392" s="38" t="s">
        <v>2728</v>
      </c>
      <c r="D2392" s="279">
        <v>100000</v>
      </c>
      <c r="F2392" s="40">
        <v>3.6999999999999998E-2</v>
      </c>
      <c r="G2392" s="41">
        <v>44635</v>
      </c>
      <c r="H2392" s="41">
        <v>50114</v>
      </c>
      <c r="I2392" s="39">
        <v>15</v>
      </c>
      <c r="J2392" s="39" t="s">
        <v>1716</v>
      </c>
      <c r="K2392" s="39" t="s">
        <v>1716</v>
      </c>
      <c r="L2392" s="39" t="s">
        <v>1014</v>
      </c>
    </row>
    <row r="2393" spans="2:12" x14ac:dyDescent="0.2">
      <c r="B2393" s="38">
        <v>152472</v>
      </c>
      <c r="C2393" s="38" t="s">
        <v>2729</v>
      </c>
      <c r="D2393" s="279">
        <v>100000</v>
      </c>
      <c r="F2393" s="40">
        <v>2.1000000000000001E-2</v>
      </c>
      <c r="G2393" s="41">
        <v>44635</v>
      </c>
      <c r="H2393" s="41">
        <v>45366</v>
      </c>
      <c r="I2393" s="39">
        <v>2</v>
      </c>
      <c r="J2393" s="39" t="s">
        <v>1716</v>
      </c>
      <c r="K2393" s="39" t="s">
        <v>1716</v>
      </c>
      <c r="L2393" s="39" t="s">
        <v>1014</v>
      </c>
    </row>
    <row r="2394" spans="2:12" x14ac:dyDescent="0.2">
      <c r="B2394" s="38">
        <v>152473</v>
      </c>
      <c r="C2394" s="38" t="s">
        <v>2730</v>
      </c>
      <c r="D2394" s="279">
        <v>100000</v>
      </c>
      <c r="F2394" s="40">
        <v>2.5399999999999999E-2</v>
      </c>
      <c r="G2394" s="41">
        <v>44635</v>
      </c>
      <c r="H2394" s="41">
        <v>46461</v>
      </c>
      <c r="I2394" s="39">
        <v>5</v>
      </c>
      <c r="J2394" s="39" t="s">
        <v>1716</v>
      </c>
      <c r="K2394" s="39" t="s">
        <v>1716</v>
      </c>
      <c r="L2394" s="39" t="s">
        <v>1014</v>
      </c>
    </row>
    <row r="2395" spans="2:12" x14ac:dyDescent="0.2">
      <c r="B2395" s="38">
        <v>100877</v>
      </c>
      <c r="C2395" s="38" t="s">
        <v>2731</v>
      </c>
      <c r="D2395" s="279">
        <v>100000</v>
      </c>
      <c r="F2395" s="40">
        <v>2.1499999999999998E-2</v>
      </c>
      <c r="G2395" s="41">
        <v>44638</v>
      </c>
      <c r="H2395" s="41">
        <v>45369</v>
      </c>
      <c r="I2395" s="39">
        <v>2</v>
      </c>
      <c r="J2395" s="39" t="s">
        <v>1716</v>
      </c>
      <c r="K2395" s="39" t="s">
        <v>1716</v>
      </c>
      <c r="L2395" s="39" t="s">
        <v>1014</v>
      </c>
    </row>
    <row r="2396" spans="2:12" x14ac:dyDescent="0.2">
      <c r="B2396" s="38">
        <v>9535</v>
      </c>
      <c r="C2396" s="38" t="s">
        <v>2732</v>
      </c>
      <c r="D2396" s="279">
        <v>100000</v>
      </c>
      <c r="F2396" s="40">
        <v>3.2199999999999999E-2</v>
      </c>
      <c r="G2396" s="41">
        <v>44638</v>
      </c>
      <c r="H2396" s="41">
        <v>47195</v>
      </c>
      <c r="I2396" s="39">
        <v>7</v>
      </c>
      <c r="J2396" s="39" t="s">
        <v>1716</v>
      </c>
      <c r="K2396" s="39" t="s">
        <v>1716</v>
      </c>
      <c r="L2396" s="39" t="s">
        <v>1014</v>
      </c>
    </row>
    <row r="2397" spans="2:12" x14ac:dyDescent="0.2">
      <c r="B2397" s="38">
        <v>152479</v>
      </c>
      <c r="C2397" s="38" t="s">
        <v>2733</v>
      </c>
      <c r="D2397" s="279">
        <v>100000</v>
      </c>
      <c r="F2397" s="40">
        <v>1.7500000000000002E-2</v>
      </c>
      <c r="G2397" s="41">
        <v>44651</v>
      </c>
      <c r="H2397" s="41">
        <v>44834</v>
      </c>
      <c r="I2397" s="39">
        <v>26</v>
      </c>
      <c r="J2397" s="39" t="s">
        <v>369</v>
      </c>
      <c r="K2397" s="39" t="s">
        <v>1716</v>
      </c>
      <c r="L2397" s="39" t="s">
        <v>1014</v>
      </c>
    </row>
    <row r="2398" spans="2:12" x14ac:dyDescent="0.2">
      <c r="B2398" s="38">
        <v>152488</v>
      </c>
      <c r="C2398" s="38" t="s">
        <v>2735</v>
      </c>
      <c r="D2398" s="279">
        <v>100000</v>
      </c>
      <c r="F2398" s="40">
        <v>1.9099999999999999E-2</v>
      </c>
      <c r="G2398" s="41">
        <v>44677</v>
      </c>
      <c r="H2398" s="41">
        <v>45041</v>
      </c>
      <c r="I2398" s="39">
        <v>52</v>
      </c>
      <c r="J2398" s="39" t="s">
        <v>369</v>
      </c>
      <c r="K2398" s="39" t="s">
        <v>1716</v>
      </c>
      <c r="L2398" s="39" t="s">
        <v>1014</v>
      </c>
    </row>
    <row r="2399" spans="2:12" x14ac:dyDescent="0.2">
      <c r="B2399" s="38">
        <v>152492</v>
      </c>
      <c r="C2399" s="38" t="s">
        <v>2736</v>
      </c>
      <c r="D2399" s="279">
        <v>100000</v>
      </c>
      <c r="F2399" s="40">
        <v>2.0299999999999999E-2</v>
      </c>
      <c r="G2399" s="41">
        <v>44680</v>
      </c>
      <c r="H2399" s="41">
        <v>45229</v>
      </c>
      <c r="I2399" s="39">
        <v>18</v>
      </c>
      <c r="J2399" s="39" t="s">
        <v>288</v>
      </c>
      <c r="K2399" s="39" t="s">
        <v>1716</v>
      </c>
      <c r="L2399" s="39" t="s">
        <v>1014</v>
      </c>
    </row>
    <row r="2400" spans="2:12" x14ac:dyDescent="0.2">
      <c r="B2400" s="38">
        <v>152504</v>
      </c>
      <c r="C2400" s="38" t="s">
        <v>2737</v>
      </c>
      <c r="D2400" s="279">
        <v>100000</v>
      </c>
      <c r="F2400" s="40">
        <v>2.1600000000000001E-2</v>
      </c>
      <c r="G2400" s="41">
        <v>44705</v>
      </c>
      <c r="H2400" s="41">
        <v>45070</v>
      </c>
      <c r="I2400" s="39">
        <v>5</v>
      </c>
      <c r="J2400" s="39" t="s">
        <v>1716</v>
      </c>
      <c r="K2400" s="39" t="s">
        <v>1716</v>
      </c>
      <c r="L2400" s="39" t="s">
        <v>1014</v>
      </c>
    </row>
    <row r="2401" spans="2:13" x14ac:dyDescent="0.2">
      <c r="B2401" s="38">
        <v>152502</v>
      </c>
      <c r="C2401" s="38" t="s">
        <v>2738</v>
      </c>
      <c r="D2401" s="279">
        <v>100000</v>
      </c>
      <c r="F2401" s="40">
        <v>2.24E-2</v>
      </c>
      <c r="G2401" s="41">
        <v>44705</v>
      </c>
      <c r="H2401" s="41">
        <v>45436</v>
      </c>
      <c r="I2401" s="39">
        <v>2</v>
      </c>
      <c r="J2401" s="39" t="s">
        <v>1716</v>
      </c>
      <c r="K2401" s="39" t="s">
        <v>1716</v>
      </c>
      <c r="L2401" s="39" t="s">
        <v>1014</v>
      </c>
    </row>
    <row r="2402" spans="2:13" x14ac:dyDescent="0.2">
      <c r="B2402" s="38">
        <v>201678</v>
      </c>
      <c r="C2402" s="38" t="s">
        <v>2740</v>
      </c>
      <c r="D2402" s="279">
        <v>100000</v>
      </c>
      <c r="F2402" s="40">
        <v>2.1000000000000001E-2</v>
      </c>
      <c r="G2402" s="41">
        <v>44606</v>
      </c>
      <c r="H2402" s="41">
        <v>46678</v>
      </c>
      <c r="I2402" s="39">
        <v>5</v>
      </c>
      <c r="J2402" s="39" t="s">
        <v>1716</v>
      </c>
      <c r="K2402" s="39" t="s">
        <v>1716</v>
      </c>
      <c r="L2402" s="39" t="s">
        <v>1014</v>
      </c>
    </row>
    <row r="2403" spans="2:13" x14ac:dyDescent="0.2">
      <c r="B2403" s="38">
        <v>201680</v>
      </c>
      <c r="C2403" s="38" t="s">
        <v>2741</v>
      </c>
      <c r="D2403" s="279">
        <v>100000</v>
      </c>
      <c r="F2403" s="40">
        <v>1.6E-2</v>
      </c>
      <c r="G2403" s="41">
        <v>44641</v>
      </c>
      <c r="H2403" s="41">
        <v>45068</v>
      </c>
      <c r="I2403" s="39">
        <v>1</v>
      </c>
      <c r="J2403" s="39" t="s">
        <v>1716</v>
      </c>
      <c r="K2403" s="39" t="s">
        <v>1716</v>
      </c>
      <c r="L2403" s="39" t="s">
        <v>1014</v>
      </c>
    </row>
    <row r="2404" spans="2:13" x14ac:dyDescent="0.2">
      <c r="B2404" s="38">
        <v>201681</v>
      </c>
      <c r="C2404" s="38" t="s">
        <v>2742</v>
      </c>
      <c r="D2404" s="279">
        <v>100000</v>
      </c>
      <c r="F2404" s="40">
        <v>1.8499999999999999E-2</v>
      </c>
      <c r="G2404" s="41">
        <v>44648</v>
      </c>
      <c r="H2404" s="41">
        <v>45551</v>
      </c>
      <c r="I2404" s="39">
        <v>2</v>
      </c>
      <c r="J2404" s="39" t="s">
        <v>1716</v>
      </c>
      <c r="K2404" s="39" t="s">
        <v>1716</v>
      </c>
      <c r="L2404" s="39" t="s">
        <v>1014</v>
      </c>
    </row>
    <row r="2405" spans="2:13" x14ac:dyDescent="0.2">
      <c r="B2405" s="38">
        <v>201690</v>
      </c>
      <c r="C2405" s="38" t="s">
        <v>2743</v>
      </c>
      <c r="D2405" s="279">
        <v>100000</v>
      </c>
      <c r="F2405" s="40">
        <v>1.52E-2</v>
      </c>
      <c r="G2405" s="41">
        <v>44704</v>
      </c>
      <c r="H2405" s="41">
        <v>44795</v>
      </c>
      <c r="I2405" s="39">
        <v>13</v>
      </c>
      <c r="J2405" s="39" t="s">
        <v>369</v>
      </c>
      <c r="K2405" s="39" t="s">
        <v>1716</v>
      </c>
      <c r="L2405" s="39" t="s">
        <v>1014</v>
      </c>
    </row>
    <row r="2406" spans="2:13" x14ac:dyDescent="0.2">
      <c r="B2406" s="38">
        <v>152505</v>
      </c>
      <c r="C2406" s="38" t="s">
        <v>2744</v>
      </c>
      <c r="D2406" s="279">
        <v>100000</v>
      </c>
      <c r="F2406" s="40">
        <v>2.24E-2</v>
      </c>
      <c r="G2406" s="41">
        <v>44711</v>
      </c>
      <c r="H2406" s="41">
        <v>45442</v>
      </c>
      <c r="I2406" s="39">
        <v>2</v>
      </c>
      <c r="J2406" s="39" t="s">
        <v>1716</v>
      </c>
      <c r="K2406" s="39" t="s">
        <v>1716</v>
      </c>
      <c r="L2406" s="39" t="s">
        <v>1014</v>
      </c>
    </row>
    <row r="2407" spans="2:13" x14ac:dyDescent="0.2">
      <c r="B2407" s="38">
        <v>152519</v>
      </c>
      <c r="C2407" s="38" t="s">
        <v>2749</v>
      </c>
      <c r="D2407" s="279">
        <v>100000</v>
      </c>
      <c r="F2407" s="40">
        <v>1.83E-2</v>
      </c>
      <c r="G2407" s="41">
        <v>44739</v>
      </c>
      <c r="H2407" s="41">
        <v>44831</v>
      </c>
      <c r="I2407" s="39">
        <v>13</v>
      </c>
      <c r="J2407" s="39" t="s">
        <v>369</v>
      </c>
      <c r="K2407" s="39" t="s">
        <v>1716</v>
      </c>
      <c r="L2407" s="39" t="s">
        <v>1014</v>
      </c>
    </row>
    <row r="2408" spans="2:13" x14ac:dyDescent="0.2">
      <c r="B2408" s="38">
        <v>201697</v>
      </c>
      <c r="C2408" s="38" t="s">
        <v>2750</v>
      </c>
      <c r="D2408" s="279">
        <v>100000</v>
      </c>
      <c r="F2408" s="40">
        <v>1.7500000000000002E-2</v>
      </c>
      <c r="G2408" s="41">
        <v>44711</v>
      </c>
      <c r="H2408" s="41">
        <v>45180</v>
      </c>
      <c r="I2408" s="39">
        <v>2</v>
      </c>
      <c r="J2408" s="39" t="s">
        <v>1716</v>
      </c>
      <c r="K2408" s="39" t="s">
        <v>1716</v>
      </c>
      <c r="L2408" s="39" t="s">
        <v>1014</v>
      </c>
    </row>
    <row r="2409" spans="2:13" x14ac:dyDescent="0.2">
      <c r="B2409" s="38">
        <v>9538</v>
      </c>
      <c r="C2409" s="38" t="s">
        <v>2751</v>
      </c>
      <c r="D2409" s="279">
        <v>100000</v>
      </c>
      <c r="F2409" s="40">
        <v>2.3E-2</v>
      </c>
      <c r="G2409" s="41">
        <v>44715</v>
      </c>
      <c r="H2409" s="41">
        <v>46176</v>
      </c>
    </row>
    <row r="2410" spans="2:13" x14ac:dyDescent="0.2">
      <c r="B2410" s="38">
        <v>201700</v>
      </c>
      <c r="C2410" s="38" t="s">
        <v>2752</v>
      </c>
      <c r="D2410" s="279">
        <v>100000</v>
      </c>
      <c r="F2410" s="40">
        <v>1.6500000000000001E-2</v>
      </c>
      <c r="G2410" s="41">
        <v>44718</v>
      </c>
      <c r="H2410" s="41">
        <v>44900</v>
      </c>
      <c r="I2410" s="39">
        <v>26</v>
      </c>
      <c r="J2410" s="39" t="s">
        <v>369</v>
      </c>
      <c r="K2410" s="39" t="s">
        <v>1716</v>
      </c>
      <c r="L2410" s="39" t="s">
        <v>1014</v>
      </c>
    </row>
    <row r="2411" spans="2:13" x14ac:dyDescent="0.2">
      <c r="B2411" s="38">
        <v>152521</v>
      </c>
      <c r="C2411" s="38" t="s">
        <v>2753</v>
      </c>
      <c r="D2411" s="279">
        <v>100000</v>
      </c>
      <c r="F2411" s="40">
        <v>2.07E-2</v>
      </c>
      <c r="G2411" s="41">
        <v>44742</v>
      </c>
      <c r="H2411" s="41">
        <v>45107</v>
      </c>
      <c r="I2411" s="39">
        <v>52</v>
      </c>
      <c r="J2411" s="39" t="s">
        <v>369</v>
      </c>
      <c r="K2411" s="39" t="s">
        <v>1716</v>
      </c>
      <c r="L2411" s="39" t="s">
        <v>1014</v>
      </c>
    </row>
    <row r="2412" spans="2:13" x14ac:dyDescent="0.2">
      <c r="B2412" s="38">
        <v>152520</v>
      </c>
      <c r="C2412" s="38" t="s">
        <v>2754</v>
      </c>
      <c r="D2412" s="279">
        <v>100000</v>
      </c>
      <c r="F2412" s="40">
        <v>1.95E-2</v>
      </c>
      <c r="G2412" s="41">
        <v>44742</v>
      </c>
      <c r="H2412" s="41">
        <v>44925</v>
      </c>
      <c r="I2412" s="39">
        <v>26</v>
      </c>
      <c r="J2412" s="39" t="s">
        <v>369</v>
      </c>
      <c r="K2412" s="39" t="s">
        <v>1716</v>
      </c>
      <c r="L2412" s="39" t="s">
        <v>1014</v>
      </c>
    </row>
    <row r="2413" spans="2:13" x14ac:dyDescent="0.2">
      <c r="B2413" s="38">
        <v>9542</v>
      </c>
      <c r="C2413" s="38" t="s">
        <v>2755</v>
      </c>
      <c r="D2413" s="279">
        <v>100000</v>
      </c>
      <c r="F2413" s="40">
        <v>3.8199999999999998E-2</v>
      </c>
      <c r="G2413" s="41">
        <v>44742</v>
      </c>
      <c r="H2413" s="41">
        <v>48395</v>
      </c>
      <c r="I2413" s="39">
        <v>10</v>
      </c>
      <c r="J2413" s="39" t="s">
        <v>1716</v>
      </c>
      <c r="K2413" s="39" t="s">
        <v>1716</v>
      </c>
      <c r="L2413" s="39" t="s">
        <v>1014</v>
      </c>
    </row>
    <row r="2414" spans="2:13" x14ac:dyDescent="0.2">
      <c r="B2414" s="38">
        <v>9547</v>
      </c>
      <c r="C2414" s="38" t="s">
        <v>2757</v>
      </c>
      <c r="D2414" s="279">
        <v>100000</v>
      </c>
      <c r="F2414" s="40">
        <v>2.6100000000000002E-2</v>
      </c>
      <c r="G2414" s="41">
        <v>44762</v>
      </c>
      <c r="H2414" s="41">
        <v>48415</v>
      </c>
      <c r="I2414" s="39">
        <v>10</v>
      </c>
      <c r="J2414" s="39" t="s">
        <v>1716</v>
      </c>
      <c r="K2414" s="39" t="s">
        <v>1716</v>
      </c>
      <c r="L2414" s="39" t="s">
        <v>1014</v>
      </c>
    </row>
    <row r="2415" spans="2:13" x14ac:dyDescent="0.2">
      <c r="B2415" s="38">
        <v>9549</v>
      </c>
      <c r="C2415" s="38" t="s">
        <v>2758</v>
      </c>
      <c r="D2415" s="279">
        <v>100000</v>
      </c>
      <c r="F2415" s="673">
        <v>5.4100000000000002E-2</v>
      </c>
      <c r="G2415" s="41">
        <v>44770</v>
      </c>
      <c r="H2415" s="41">
        <v>46596</v>
      </c>
      <c r="I2415" s="39">
        <v>5</v>
      </c>
      <c r="J2415" s="39" t="s">
        <v>1716</v>
      </c>
      <c r="K2415" s="39" t="s">
        <v>1716</v>
      </c>
      <c r="L2415" s="39" t="s">
        <v>1014</v>
      </c>
      <c r="M2415" s="673">
        <v>3.95E-2</v>
      </c>
    </row>
    <row r="2416" spans="2:13" x14ac:dyDescent="0.2">
      <c r="B2416" s="38">
        <v>201698</v>
      </c>
      <c r="C2416" s="38" t="s">
        <v>2759</v>
      </c>
      <c r="D2416" s="279">
        <v>100000</v>
      </c>
      <c r="F2416" s="40">
        <v>1.6899999999999998E-2</v>
      </c>
      <c r="G2416" s="41">
        <v>44718</v>
      </c>
      <c r="H2416" s="41">
        <v>44900</v>
      </c>
      <c r="I2416" s="39">
        <v>26</v>
      </c>
      <c r="J2416" s="39" t="s">
        <v>369</v>
      </c>
      <c r="K2416" s="39" t="s">
        <v>1716</v>
      </c>
      <c r="L2416" s="39" t="s">
        <v>1014</v>
      </c>
    </row>
    <row r="2417" spans="2:13" x14ac:dyDescent="0.2">
      <c r="B2417" s="38">
        <v>201706</v>
      </c>
      <c r="C2417" s="38" t="s">
        <v>2760</v>
      </c>
      <c r="D2417" s="279">
        <v>100000</v>
      </c>
      <c r="F2417" s="40">
        <v>1.6899999999999998E-2</v>
      </c>
      <c r="G2417" s="41">
        <v>44732</v>
      </c>
      <c r="H2417" s="41">
        <v>44914</v>
      </c>
      <c r="I2417" s="39">
        <v>26</v>
      </c>
      <c r="J2417" s="39" t="s">
        <v>369</v>
      </c>
      <c r="K2417" s="39" t="s">
        <v>1716</v>
      </c>
      <c r="L2417" s="39" t="s">
        <v>1014</v>
      </c>
    </row>
    <row r="2418" spans="2:13" x14ac:dyDescent="0.2">
      <c r="B2418" s="38">
        <v>201709</v>
      </c>
      <c r="C2418" s="38" t="s">
        <v>2761</v>
      </c>
      <c r="D2418" s="279">
        <v>100000</v>
      </c>
      <c r="F2418" s="40">
        <v>1.72E-2</v>
      </c>
      <c r="G2418" s="41">
        <v>44732</v>
      </c>
      <c r="H2418" s="41">
        <v>44914</v>
      </c>
      <c r="I2418" s="39">
        <v>26</v>
      </c>
      <c r="J2418" s="39" t="s">
        <v>369</v>
      </c>
      <c r="K2418" s="39" t="s">
        <v>1716</v>
      </c>
      <c r="L2418" s="39" t="s">
        <v>1014</v>
      </c>
    </row>
    <row r="2419" spans="2:13" x14ac:dyDescent="0.2">
      <c r="B2419" s="38">
        <v>201711</v>
      </c>
      <c r="C2419" s="38" t="s">
        <v>2762</v>
      </c>
      <c r="D2419" s="279">
        <v>100000</v>
      </c>
      <c r="F2419" s="40">
        <v>1.54E-2</v>
      </c>
      <c r="G2419" s="41">
        <v>44739</v>
      </c>
      <c r="H2419" s="41">
        <v>44830</v>
      </c>
      <c r="I2419" s="39">
        <v>13</v>
      </c>
      <c r="J2419" s="39" t="s">
        <v>369</v>
      </c>
      <c r="K2419" s="39" t="s">
        <v>1716</v>
      </c>
      <c r="L2419" s="39" t="s">
        <v>1014</v>
      </c>
    </row>
    <row r="2420" spans="2:13" x14ac:dyDescent="0.2">
      <c r="B2420" s="38">
        <v>152534</v>
      </c>
      <c r="C2420" s="38" t="s">
        <v>2763</v>
      </c>
      <c r="D2420" s="279">
        <v>100000</v>
      </c>
      <c r="F2420" s="40">
        <v>2.1499999999999998E-2</v>
      </c>
      <c r="G2420" s="41">
        <v>44796</v>
      </c>
      <c r="H2420" s="41">
        <v>44978</v>
      </c>
      <c r="I2420" s="39">
        <v>26</v>
      </c>
      <c r="J2420" s="39" t="s">
        <v>369</v>
      </c>
      <c r="K2420" s="39" t="s">
        <v>1716</v>
      </c>
      <c r="L2420" s="39" t="s">
        <v>1014</v>
      </c>
    </row>
    <row r="2421" spans="2:13" x14ac:dyDescent="0.2">
      <c r="B2421" s="38">
        <v>152535</v>
      </c>
      <c r="C2421" s="38" t="s">
        <v>2764</v>
      </c>
      <c r="D2421" s="279">
        <v>100000</v>
      </c>
      <c r="F2421" s="40">
        <v>2.0500000000000001E-2</v>
      </c>
      <c r="G2421" s="41">
        <v>44803</v>
      </c>
      <c r="H2421" s="41">
        <v>44894</v>
      </c>
      <c r="I2421" s="39">
        <v>13</v>
      </c>
      <c r="J2421" s="39" t="s">
        <v>369</v>
      </c>
      <c r="K2421" s="39" t="s">
        <v>1716</v>
      </c>
      <c r="L2421" s="39" t="s">
        <v>1014</v>
      </c>
    </row>
    <row r="2422" spans="2:13" x14ac:dyDescent="0.2">
      <c r="B2422" s="38">
        <v>152537</v>
      </c>
      <c r="C2422" s="38" t="s">
        <v>2765</v>
      </c>
      <c r="D2422" s="279">
        <v>100000</v>
      </c>
      <c r="F2422" s="40">
        <v>2.1999999999999999E-2</v>
      </c>
      <c r="G2422" s="41">
        <v>44803</v>
      </c>
      <c r="H2422" s="41">
        <v>44985</v>
      </c>
      <c r="I2422" s="39">
        <v>26</v>
      </c>
      <c r="J2422" s="39" t="s">
        <v>369</v>
      </c>
      <c r="K2422" s="39" t="s">
        <v>1716</v>
      </c>
      <c r="L2422" s="39" t="s">
        <v>1014</v>
      </c>
    </row>
    <row r="2423" spans="2:13" x14ac:dyDescent="0.2">
      <c r="B2423" s="38">
        <v>100894</v>
      </c>
      <c r="C2423" s="38" t="s">
        <v>2766</v>
      </c>
      <c r="D2423" s="279">
        <v>100000</v>
      </c>
      <c r="F2423" s="40">
        <v>2.86E-2</v>
      </c>
      <c r="G2423" s="41">
        <v>44832</v>
      </c>
      <c r="H2423" s="41">
        <v>45563</v>
      </c>
      <c r="I2423" s="39">
        <v>2</v>
      </c>
      <c r="J2423" s="39" t="s">
        <v>1716</v>
      </c>
      <c r="K2423" s="39" t="s">
        <v>1716</v>
      </c>
      <c r="L2423" s="39" t="s">
        <v>1014</v>
      </c>
    </row>
    <row r="2424" spans="2:13" x14ac:dyDescent="0.2">
      <c r="B2424" s="38">
        <v>152556</v>
      </c>
      <c r="C2424" s="38" t="s">
        <v>2771</v>
      </c>
      <c r="D2424" s="279">
        <v>100000</v>
      </c>
      <c r="F2424" s="40">
        <v>2.6499999999999999E-2</v>
      </c>
      <c r="G2424" s="41">
        <v>44861</v>
      </c>
      <c r="H2424" s="41">
        <v>44958</v>
      </c>
      <c r="I2424" s="39">
        <v>13</v>
      </c>
      <c r="J2424" s="39" t="s">
        <v>369</v>
      </c>
      <c r="K2424" s="39" t="s">
        <v>1716</v>
      </c>
      <c r="L2424" s="39" t="s">
        <v>1014</v>
      </c>
    </row>
    <row r="2425" spans="2:13" x14ac:dyDescent="0.2">
      <c r="B2425" s="38">
        <v>152562</v>
      </c>
      <c r="C2425" s="38" t="s">
        <v>2772</v>
      </c>
      <c r="D2425" s="279">
        <v>100000</v>
      </c>
      <c r="F2425" s="40">
        <v>2.6499999999999999E-2</v>
      </c>
      <c r="G2425" s="41">
        <v>44862</v>
      </c>
      <c r="H2425" s="41">
        <v>44953</v>
      </c>
      <c r="I2425" s="39">
        <v>13</v>
      </c>
      <c r="J2425" s="39" t="s">
        <v>369</v>
      </c>
      <c r="K2425" s="39" t="s">
        <v>1716</v>
      </c>
      <c r="L2425" s="39" t="s">
        <v>1014</v>
      </c>
    </row>
    <row r="2426" spans="2:13" x14ac:dyDescent="0.2">
      <c r="B2426" s="38">
        <v>201756</v>
      </c>
      <c r="C2426" s="38" t="s">
        <v>2773</v>
      </c>
      <c r="D2426" s="279">
        <v>100000</v>
      </c>
      <c r="F2426" s="40">
        <v>2.35E-2</v>
      </c>
      <c r="G2426" s="41">
        <v>44862</v>
      </c>
      <c r="H2426" s="41">
        <v>44907</v>
      </c>
      <c r="I2426" s="39">
        <v>45</v>
      </c>
      <c r="J2426" s="39" t="s">
        <v>1396</v>
      </c>
      <c r="K2426" s="39" t="s">
        <v>1716</v>
      </c>
      <c r="L2426" s="39" t="s">
        <v>1014</v>
      </c>
    </row>
    <row r="2427" spans="2:13" x14ac:dyDescent="0.2">
      <c r="B2427" s="38">
        <v>141074</v>
      </c>
      <c r="C2427" s="38" t="s">
        <v>2774</v>
      </c>
      <c r="D2427" s="279">
        <v>100000</v>
      </c>
      <c r="F2427" s="40">
        <v>2.4799999999999999E-2</v>
      </c>
      <c r="G2427" s="41">
        <v>44876</v>
      </c>
      <c r="H2427" s="41">
        <v>44921</v>
      </c>
      <c r="I2427" s="39">
        <f>H2427-G2427</f>
        <v>45</v>
      </c>
      <c r="J2427" s="39" t="s">
        <v>1396</v>
      </c>
      <c r="K2427" s="39" t="s">
        <v>1716</v>
      </c>
      <c r="L2427" s="39" t="s">
        <v>1014</v>
      </c>
    </row>
    <row r="2428" spans="2:13" x14ac:dyDescent="0.2">
      <c r="B2428" s="38">
        <v>5132</v>
      </c>
      <c r="C2428" s="38" t="s">
        <v>2775</v>
      </c>
      <c r="D2428" s="279">
        <v>100000</v>
      </c>
      <c r="F2428" s="46">
        <v>3.8199999999999998E-2</v>
      </c>
      <c r="G2428" s="41">
        <v>44879</v>
      </c>
      <c r="H2428" s="41">
        <v>45975</v>
      </c>
      <c r="I2428" s="39">
        <v>3</v>
      </c>
      <c r="J2428" s="39" t="s">
        <v>1716</v>
      </c>
      <c r="K2428" s="39" t="s">
        <v>1716</v>
      </c>
      <c r="L2428" s="39" t="s">
        <v>1014</v>
      </c>
      <c r="M2428" s="38" t="s">
        <v>2885</v>
      </c>
    </row>
    <row r="2429" spans="2:13" x14ac:dyDescent="0.2">
      <c r="B2429" s="38">
        <v>152572</v>
      </c>
      <c r="C2429" s="38" t="s">
        <v>2776</v>
      </c>
      <c r="D2429" s="279">
        <v>100000</v>
      </c>
      <c r="F2429" s="40">
        <v>2.9000000000000001E-2</v>
      </c>
      <c r="G2429" s="41">
        <v>44894</v>
      </c>
      <c r="H2429" s="41">
        <v>44985</v>
      </c>
      <c r="I2429" s="39">
        <v>13</v>
      </c>
      <c r="J2429" s="39" t="s">
        <v>369</v>
      </c>
      <c r="K2429" s="39" t="s">
        <v>1716</v>
      </c>
      <c r="L2429" s="39" t="s">
        <v>1014</v>
      </c>
    </row>
    <row r="2430" spans="2:13" x14ac:dyDescent="0.2">
      <c r="B2430" s="38">
        <v>201677</v>
      </c>
      <c r="C2430" s="38" t="s">
        <v>2777</v>
      </c>
      <c r="D2430" s="279">
        <v>100000</v>
      </c>
      <c r="F2430" s="40">
        <v>2.4E-2</v>
      </c>
      <c r="G2430" s="41">
        <v>44593</v>
      </c>
      <c r="H2430" s="41">
        <v>48379</v>
      </c>
      <c r="I2430" s="39">
        <v>10</v>
      </c>
      <c r="J2430" s="39" t="s">
        <v>1716</v>
      </c>
      <c r="K2430" s="39" t="s">
        <v>1716</v>
      </c>
      <c r="L2430" s="39" t="s">
        <v>1014</v>
      </c>
    </row>
    <row r="2431" spans="2:13" x14ac:dyDescent="0.2">
      <c r="B2431" s="38">
        <v>201727</v>
      </c>
      <c r="C2431" s="38" t="s">
        <v>2779</v>
      </c>
      <c r="D2431" s="279">
        <v>100000</v>
      </c>
      <c r="F2431" s="40">
        <v>1.9E-2</v>
      </c>
      <c r="G2431" s="41">
        <v>44781</v>
      </c>
      <c r="H2431" s="41">
        <v>45243</v>
      </c>
      <c r="I2431" s="39">
        <v>64</v>
      </c>
      <c r="J2431" s="39" t="s">
        <v>369</v>
      </c>
      <c r="K2431" s="39" t="s">
        <v>1716</v>
      </c>
      <c r="L2431" s="39" t="s">
        <v>1014</v>
      </c>
    </row>
    <row r="2432" spans="2:13" x14ac:dyDescent="0.2">
      <c r="B2432" s="38">
        <v>201730</v>
      </c>
      <c r="C2432" s="38" t="s">
        <v>2778</v>
      </c>
      <c r="D2432" s="279">
        <v>100000</v>
      </c>
      <c r="F2432" s="40">
        <v>1.95E-2</v>
      </c>
      <c r="G2432" s="41">
        <v>44788</v>
      </c>
      <c r="H2432" s="41">
        <v>44970</v>
      </c>
      <c r="I2432" s="39">
        <v>13</v>
      </c>
      <c r="J2432" s="39" t="s">
        <v>369</v>
      </c>
      <c r="K2432" s="39" t="s">
        <v>1716</v>
      </c>
      <c r="L2432" s="39" t="s">
        <v>1014</v>
      </c>
    </row>
    <row r="2433" spans="2:13" x14ac:dyDescent="0.2">
      <c r="B2433" s="38">
        <v>201741</v>
      </c>
      <c r="C2433" s="38" t="s">
        <v>2780</v>
      </c>
      <c r="D2433" s="279">
        <v>100000</v>
      </c>
      <c r="F2433" s="40">
        <v>2.1000000000000001E-2</v>
      </c>
      <c r="G2433" s="41">
        <v>44809</v>
      </c>
      <c r="H2433" s="41">
        <v>44991</v>
      </c>
      <c r="I2433" s="39">
        <v>26</v>
      </c>
      <c r="J2433" s="39" t="s">
        <v>369</v>
      </c>
      <c r="K2433" s="39" t="s">
        <v>1716</v>
      </c>
      <c r="L2433" s="39" t="s">
        <v>1014</v>
      </c>
    </row>
    <row r="2434" spans="2:13" x14ac:dyDescent="0.2">
      <c r="B2434" s="38">
        <v>201752</v>
      </c>
      <c r="C2434" s="38" t="s">
        <v>2781</v>
      </c>
      <c r="D2434" s="279">
        <v>100000</v>
      </c>
      <c r="F2434" s="40">
        <v>2.3199999999999998E-2</v>
      </c>
      <c r="G2434" s="41">
        <v>44858</v>
      </c>
      <c r="H2434" s="41">
        <v>44949</v>
      </c>
      <c r="I2434" s="39">
        <v>13</v>
      </c>
      <c r="J2434" s="39" t="s">
        <v>369</v>
      </c>
      <c r="K2434" s="39" t="s">
        <v>1716</v>
      </c>
      <c r="L2434" s="39" t="s">
        <v>1014</v>
      </c>
    </row>
    <row r="2435" spans="2:13" x14ac:dyDescent="0.2">
      <c r="B2435" s="38">
        <v>201756</v>
      </c>
      <c r="C2435" s="38" t="s">
        <v>2773</v>
      </c>
      <c r="D2435" s="279">
        <v>100000</v>
      </c>
      <c r="F2435" s="40">
        <v>2.35E-2</v>
      </c>
      <c r="G2435" s="41">
        <v>44862</v>
      </c>
      <c r="H2435" s="41">
        <v>44907</v>
      </c>
      <c r="I2435" s="39">
        <v>45</v>
      </c>
      <c r="J2435" s="39" t="s">
        <v>1396</v>
      </c>
      <c r="K2435" s="39" t="s">
        <v>1716</v>
      </c>
      <c r="L2435" s="39" t="s">
        <v>1014</v>
      </c>
    </row>
    <row r="2436" spans="2:13" x14ac:dyDescent="0.2">
      <c r="B2436" s="38">
        <v>9566</v>
      </c>
      <c r="C2436" s="38" t="s">
        <v>2782</v>
      </c>
      <c r="D2436" s="279">
        <v>100000</v>
      </c>
      <c r="F2436" s="40">
        <v>5.4100000000000002E-2</v>
      </c>
      <c r="G2436" s="41">
        <v>44907</v>
      </c>
      <c r="H2436" s="41">
        <v>45272</v>
      </c>
      <c r="I2436" s="39">
        <v>52</v>
      </c>
      <c r="J2436" s="39" t="s">
        <v>369</v>
      </c>
      <c r="K2436" s="39" t="s">
        <v>1716</v>
      </c>
      <c r="L2436" s="39" t="s">
        <v>1014</v>
      </c>
      <c r="M2436" s="38" t="s">
        <v>2783</v>
      </c>
    </row>
    <row r="2437" spans="2:13" x14ac:dyDescent="0.2">
      <c r="B2437" s="38">
        <v>201759</v>
      </c>
      <c r="C2437" s="38" t="s">
        <v>2784</v>
      </c>
      <c r="D2437" s="279">
        <v>100000</v>
      </c>
      <c r="F2437" s="40">
        <v>2.5000000000000001E-2</v>
      </c>
      <c r="G2437" s="41">
        <v>44872</v>
      </c>
      <c r="H2437" s="41">
        <v>45614</v>
      </c>
      <c r="I2437" s="39">
        <v>2</v>
      </c>
      <c r="J2437" s="39" t="s">
        <v>1716</v>
      </c>
      <c r="K2437" s="39" t="s">
        <v>1716</v>
      </c>
      <c r="L2437" s="39" t="s">
        <v>1014</v>
      </c>
    </row>
    <row r="2438" spans="2:13" x14ac:dyDescent="0.2">
      <c r="B2438" s="38">
        <v>201761</v>
      </c>
      <c r="C2438" s="38" t="s">
        <v>2785</v>
      </c>
      <c r="D2438" s="279">
        <v>100000</v>
      </c>
      <c r="F2438" s="40">
        <v>2.5999999999999999E-2</v>
      </c>
      <c r="G2438" s="41">
        <v>44893</v>
      </c>
      <c r="H2438" s="41">
        <v>44984</v>
      </c>
      <c r="I2438" s="39">
        <v>13</v>
      </c>
      <c r="J2438" s="39" t="s">
        <v>369</v>
      </c>
      <c r="K2438" s="39" t="s">
        <v>1716</v>
      </c>
      <c r="L2438" s="39" t="s">
        <v>1014</v>
      </c>
    </row>
    <row r="2439" spans="2:13" x14ac:dyDescent="0.2">
      <c r="B2439" s="38">
        <v>201771</v>
      </c>
      <c r="C2439" s="38" t="s">
        <v>2786</v>
      </c>
      <c r="D2439" s="279">
        <v>100000</v>
      </c>
      <c r="F2439" s="40">
        <v>2.9499999999999998E-2</v>
      </c>
      <c r="G2439" s="41">
        <v>44907</v>
      </c>
      <c r="H2439" s="41">
        <v>44939</v>
      </c>
      <c r="I2439" s="39">
        <v>32</v>
      </c>
      <c r="J2439" s="39" t="s">
        <v>1396</v>
      </c>
      <c r="K2439" s="39" t="s">
        <v>1716</v>
      </c>
      <c r="L2439" s="39" t="s">
        <v>1014</v>
      </c>
    </row>
    <row r="2440" spans="2:13" x14ac:dyDescent="0.2">
      <c r="B2440" s="38">
        <v>9567</v>
      </c>
      <c r="C2440" s="38" t="s">
        <v>2787</v>
      </c>
      <c r="D2440" s="279">
        <v>100000</v>
      </c>
      <c r="F2440" s="40">
        <v>5.0900000000000001E-2</v>
      </c>
      <c r="G2440" s="41">
        <v>44921</v>
      </c>
      <c r="H2440" s="41">
        <v>46747</v>
      </c>
      <c r="I2440" s="39">
        <v>52</v>
      </c>
      <c r="J2440" s="39" t="s">
        <v>369</v>
      </c>
      <c r="K2440" s="39" t="s">
        <v>1716</v>
      </c>
      <c r="L2440" s="39" t="s">
        <v>1014</v>
      </c>
    </row>
    <row r="2441" spans="2:13" x14ac:dyDescent="0.2">
      <c r="B2441" s="38">
        <v>9571</v>
      </c>
      <c r="C2441" s="38" t="s">
        <v>2789</v>
      </c>
      <c r="D2441" s="279">
        <v>100000</v>
      </c>
      <c r="F2441" s="40">
        <v>5.1700000000000003E-2</v>
      </c>
      <c r="G2441" s="41">
        <v>44925</v>
      </c>
      <c r="H2441" s="41">
        <v>45290</v>
      </c>
      <c r="I2441" s="39">
        <v>52</v>
      </c>
      <c r="J2441" s="39" t="s">
        <v>369</v>
      </c>
      <c r="K2441" s="39" t="s">
        <v>1716</v>
      </c>
      <c r="L2441" s="39" t="s">
        <v>1014</v>
      </c>
    </row>
    <row r="2442" spans="2:13" x14ac:dyDescent="0.2">
      <c r="B2442" s="38">
        <v>201764</v>
      </c>
      <c r="C2442" s="38" t="s">
        <v>2792</v>
      </c>
      <c r="D2442" s="279">
        <v>100000</v>
      </c>
      <c r="F2442" s="40">
        <v>2.5999999999999999E-2</v>
      </c>
      <c r="G2442" s="41">
        <v>44900</v>
      </c>
      <c r="H2442" s="41">
        <v>44991</v>
      </c>
      <c r="I2442" s="39">
        <v>13</v>
      </c>
      <c r="J2442" s="39" t="s">
        <v>369</v>
      </c>
      <c r="K2442" s="39" t="s">
        <v>1716</v>
      </c>
      <c r="L2442" s="39" t="s">
        <v>1014</v>
      </c>
    </row>
    <row r="2443" spans="2:13" x14ac:dyDescent="0.2">
      <c r="B2443" s="38">
        <v>201765</v>
      </c>
      <c r="C2443" s="38" t="s">
        <v>2793</v>
      </c>
      <c r="D2443" s="279">
        <v>100000</v>
      </c>
      <c r="F2443" s="40">
        <v>2.7E-2</v>
      </c>
      <c r="G2443" s="41">
        <v>44900</v>
      </c>
      <c r="H2443" s="41">
        <v>44991</v>
      </c>
      <c r="I2443" s="39">
        <v>13</v>
      </c>
      <c r="J2443" s="39" t="s">
        <v>369</v>
      </c>
      <c r="K2443" s="39" t="s">
        <v>1716</v>
      </c>
      <c r="L2443" s="39" t="s">
        <v>1014</v>
      </c>
    </row>
    <row r="2444" spans="2:13" x14ac:dyDescent="0.2">
      <c r="B2444" s="38">
        <v>201767</v>
      </c>
      <c r="C2444" s="38" t="s">
        <v>2794</v>
      </c>
      <c r="D2444" s="279">
        <v>100000</v>
      </c>
      <c r="F2444" s="40">
        <v>2.8000000000000001E-2</v>
      </c>
      <c r="G2444" s="41">
        <v>44900</v>
      </c>
      <c r="H2444" s="41">
        <v>44991</v>
      </c>
      <c r="I2444" s="39">
        <v>13</v>
      </c>
      <c r="J2444" s="39" t="s">
        <v>369</v>
      </c>
      <c r="K2444" s="39" t="s">
        <v>1716</v>
      </c>
      <c r="L2444" s="39" t="s">
        <v>1014</v>
      </c>
    </row>
    <row r="2445" spans="2:13" x14ac:dyDescent="0.2">
      <c r="B2445" s="38">
        <v>201778</v>
      </c>
      <c r="C2445" s="38" t="s">
        <v>2795</v>
      </c>
      <c r="D2445" s="279">
        <v>100000</v>
      </c>
      <c r="F2445" s="40">
        <v>3.0499999999999999E-2</v>
      </c>
      <c r="G2445" s="41">
        <v>44914</v>
      </c>
      <c r="H2445" s="41">
        <v>45096</v>
      </c>
      <c r="I2445" s="39">
        <v>26</v>
      </c>
      <c r="J2445" s="39" t="s">
        <v>369</v>
      </c>
      <c r="K2445" s="39" t="s">
        <v>1716</v>
      </c>
      <c r="L2445" s="39" t="s">
        <v>1014</v>
      </c>
    </row>
    <row r="2446" spans="2:13" x14ac:dyDescent="0.2">
      <c r="B2446" s="38">
        <v>201788</v>
      </c>
      <c r="C2446" s="38" t="s">
        <v>2155</v>
      </c>
      <c r="D2446" s="279">
        <v>100000</v>
      </c>
      <c r="F2446" s="40">
        <v>3.1699999999999999E-2</v>
      </c>
      <c r="G2446" s="41">
        <v>44942</v>
      </c>
      <c r="H2446" s="41">
        <v>45033</v>
      </c>
      <c r="I2446" s="39">
        <v>13</v>
      </c>
      <c r="J2446" s="39" t="s">
        <v>369</v>
      </c>
      <c r="K2446" s="39" t="s">
        <v>1716</v>
      </c>
      <c r="L2446" s="39" t="s">
        <v>1014</v>
      </c>
    </row>
    <row r="2447" spans="2:13" x14ac:dyDescent="0.2">
      <c r="B2447" s="38">
        <v>201786</v>
      </c>
      <c r="C2447" s="38" t="s">
        <v>2796</v>
      </c>
      <c r="D2447" s="279">
        <v>100000</v>
      </c>
      <c r="F2447" s="40">
        <v>3.2000000000000001E-2</v>
      </c>
      <c r="G2447" s="41">
        <v>44942</v>
      </c>
      <c r="H2447" s="41">
        <v>45033</v>
      </c>
      <c r="I2447" s="39">
        <v>13</v>
      </c>
      <c r="J2447" s="39" t="s">
        <v>369</v>
      </c>
      <c r="K2447" s="39" t="s">
        <v>1716</v>
      </c>
      <c r="L2447" s="39" t="s">
        <v>1014</v>
      </c>
    </row>
    <row r="2448" spans="2:13" x14ac:dyDescent="0.2">
      <c r="B2448" s="38">
        <v>201795</v>
      </c>
      <c r="C2448" s="38" t="s">
        <v>2797</v>
      </c>
      <c r="D2448" s="279">
        <v>100000</v>
      </c>
      <c r="F2448" s="40">
        <v>3.15E-2</v>
      </c>
      <c r="G2448" s="41">
        <v>44949</v>
      </c>
      <c r="H2448" s="41">
        <v>45040</v>
      </c>
      <c r="I2448" s="39">
        <v>13</v>
      </c>
      <c r="J2448" s="39" t="s">
        <v>369</v>
      </c>
      <c r="K2448" s="39" t="s">
        <v>1716</v>
      </c>
      <c r="L2448" s="39" t="s">
        <v>1014</v>
      </c>
    </row>
    <row r="2449" spans="2:12" x14ac:dyDescent="0.2">
      <c r="B2449" s="38">
        <v>201781</v>
      </c>
      <c r="C2449" s="38" t="s">
        <v>2798</v>
      </c>
      <c r="D2449" s="279">
        <v>100000</v>
      </c>
      <c r="F2449" s="40">
        <v>3.2000000000000001E-2</v>
      </c>
      <c r="G2449" s="41">
        <v>44928</v>
      </c>
      <c r="H2449" s="41">
        <v>45110</v>
      </c>
      <c r="I2449" s="39">
        <v>26</v>
      </c>
      <c r="J2449" s="39" t="s">
        <v>369</v>
      </c>
      <c r="K2449" s="39" t="s">
        <v>1716</v>
      </c>
      <c r="L2449" s="39" t="s">
        <v>1014</v>
      </c>
    </row>
    <row r="2450" spans="2:12" x14ac:dyDescent="0.2">
      <c r="B2450" s="38">
        <v>141088</v>
      </c>
      <c r="C2450" s="38" t="s">
        <v>2799</v>
      </c>
      <c r="D2450" s="279">
        <v>100000</v>
      </c>
      <c r="F2450" s="40">
        <v>3.5999999999999997E-2</v>
      </c>
      <c r="G2450" s="41">
        <v>44958</v>
      </c>
      <c r="H2450" s="41">
        <v>45139</v>
      </c>
      <c r="I2450" s="39">
        <v>26</v>
      </c>
      <c r="J2450" s="39" t="s">
        <v>369</v>
      </c>
      <c r="K2450" s="39" t="s">
        <v>1716</v>
      </c>
      <c r="L2450" s="39" t="s">
        <v>1014</v>
      </c>
    </row>
    <row r="2451" spans="2:12" x14ac:dyDescent="0.2">
      <c r="B2451" s="38">
        <v>152621</v>
      </c>
      <c r="C2451" s="38" t="s">
        <v>2800</v>
      </c>
      <c r="D2451" s="279">
        <v>100000</v>
      </c>
      <c r="F2451" s="40">
        <v>3.5000000000000003E-2</v>
      </c>
      <c r="G2451" s="41">
        <v>44957</v>
      </c>
      <c r="H2451" s="41">
        <v>45139</v>
      </c>
      <c r="I2451" s="39">
        <v>26</v>
      </c>
      <c r="J2451" s="39" t="s">
        <v>369</v>
      </c>
      <c r="K2451" s="39" t="s">
        <v>1716</v>
      </c>
      <c r="L2451" s="39" t="s">
        <v>1014</v>
      </c>
    </row>
    <row r="2452" spans="2:12" x14ac:dyDescent="0.2">
      <c r="B2452" s="38">
        <v>152623</v>
      </c>
      <c r="C2452" s="38" t="s">
        <v>2801</v>
      </c>
      <c r="D2452" s="279">
        <v>100000</v>
      </c>
      <c r="F2452" s="40">
        <v>3.4799999999999998E-2</v>
      </c>
      <c r="G2452" s="41">
        <v>44957</v>
      </c>
      <c r="H2452" s="41">
        <v>45138</v>
      </c>
      <c r="I2452" s="39">
        <v>26</v>
      </c>
      <c r="J2452" s="39" t="s">
        <v>369</v>
      </c>
      <c r="K2452" s="39" t="s">
        <v>1716</v>
      </c>
      <c r="L2452" s="39" t="s">
        <v>1014</v>
      </c>
    </row>
    <row r="2453" spans="2:12" x14ac:dyDescent="0.2">
      <c r="B2453" s="38">
        <v>201796</v>
      </c>
      <c r="C2453" s="38" t="s">
        <v>2802</v>
      </c>
      <c r="D2453" s="279">
        <v>100000</v>
      </c>
      <c r="F2453" s="40">
        <v>3.6999999999999998E-2</v>
      </c>
      <c r="G2453" s="41">
        <v>44949</v>
      </c>
      <c r="H2453" s="41">
        <v>45796</v>
      </c>
      <c r="I2453" s="39">
        <v>2</v>
      </c>
      <c r="J2453" s="39" t="s">
        <v>1716</v>
      </c>
      <c r="K2453" s="39" t="s">
        <v>1716</v>
      </c>
      <c r="L2453" s="39" t="s">
        <v>1014</v>
      </c>
    </row>
    <row r="2454" spans="2:12" x14ac:dyDescent="0.2">
      <c r="B2454" s="38">
        <v>5136</v>
      </c>
      <c r="C2454" s="38" t="s">
        <v>2803</v>
      </c>
      <c r="D2454" s="279">
        <v>100000</v>
      </c>
      <c r="F2454" s="40">
        <v>3.8399999999999997E-2</v>
      </c>
      <c r="G2454" s="41">
        <v>44972</v>
      </c>
      <c r="H2454" s="41">
        <v>45061</v>
      </c>
      <c r="I2454" s="39">
        <v>13</v>
      </c>
      <c r="J2454" s="39" t="s">
        <v>369</v>
      </c>
      <c r="K2454" s="39" t="s">
        <v>1716</v>
      </c>
      <c r="L2454" s="39" t="s">
        <v>1014</v>
      </c>
    </row>
    <row r="2455" spans="2:12" x14ac:dyDescent="0.2">
      <c r="B2455" s="38">
        <v>152574</v>
      </c>
      <c r="C2455" s="38" t="s">
        <v>2804</v>
      </c>
      <c r="D2455" s="279">
        <v>100000</v>
      </c>
      <c r="F2455" s="40">
        <v>2.8500000000000001E-2</v>
      </c>
      <c r="G2455" s="41">
        <v>44895</v>
      </c>
      <c r="H2455" s="41">
        <v>44986</v>
      </c>
      <c r="I2455" s="39">
        <v>13</v>
      </c>
      <c r="J2455" s="39" t="s">
        <v>369</v>
      </c>
      <c r="K2455" s="39" t="s">
        <v>1716</v>
      </c>
      <c r="L2455" s="39" t="s">
        <v>1014</v>
      </c>
    </row>
    <row r="2456" spans="2:12" x14ac:dyDescent="0.2">
      <c r="B2456" s="38">
        <v>9572</v>
      </c>
      <c r="C2456" s="38" t="s">
        <v>2806</v>
      </c>
      <c r="D2456" s="279">
        <v>100000</v>
      </c>
      <c r="F2456" s="40">
        <v>6.0100000000000001E-2</v>
      </c>
      <c r="G2456" s="41">
        <v>44974</v>
      </c>
      <c r="H2456" s="41">
        <v>48627</v>
      </c>
      <c r="I2456" s="39">
        <v>10</v>
      </c>
      <c r="J2456" s="39" t="s">
        <v>1716</v>
      </c>
      <c r="K2456" s="39" t="s">
        <v>1716</v>
      </c>
      <c r="L2456" s="39" t="s">
        <v>1014</v>
      </c>
    </row>
    <row r="2457" spans="2:12" x14ac:dyDescent="0.2">
      <c r="B2457" s="38">
        <v>201792</v>
      </c>
      <c r="C2457" s="38" t="s">
        <v>2807</v>
      </c>
      <c r="D2457" s="279">
        <v>100000</v>
      </c>
      <c r="F2457" s="40">
        <v>4.2000000000000003E-2</v>
      </c>
      <c r="G2457" s="41">
        <v>44942</v>
      </c>
      <c r="H2457" s="41">
        <v>48750</v>
      </c>
      <c r="I2457" s="39">
        <v>10</v>
      </c>
      <c r="J2457" s="39" t="s">
        <v>1716</v>
      </c>
      <c r="K2457" s="39" t="s">
        <v>1716</v>
      </c>
      <c r="L2457" s="39" t="s">
        <v>1014</v>
      </c>
    </row>
    <row r="2458" spans="2:12" x14ac:dyDescent="0.2">
      <c r="B2458" s="38">
        <v>141095</v>
      </c>
      <c r="C2458" s="38" t="s">
        <v>2808</v>
      </c>
      <c r="D2458" s="279">
        <v>100000</v>
      </c>
      <c r="F2458" s="40">
        <v>3.1199999999999999E-2</v>
      </c>
      <c r="G2458" s="41">
        <v>44984</v>
      </c>
      <c r="H2458" s="41">
        <v>45075</v>
      </c>
      <c r="I2458" s="39">
        <v>13</v>
      </c>
      <c r="J2458" s="39" t="s">
        <v>369</v>
      </c>
      <c r="K2458" s="39" t="s">
        <v>1716</v>
      </c>
      <c r="L2458" s="39" t="s">
        <v>1014</v>
      </c>
    </row>
    <row r="2459" spans="2:12" x14ac:dyDescent="0.2">
      <c r="B2459" s="38">
        <v>152644</v>
      </c>
      <c r="C2459" s="38" t="s">
        <v>2809</v>
      </c>
      <c r="D2459" s="279">
        <v>100000</v>
      </c>
      <c r="F2459" s="40">
        <v>3.2500000000000001E-2</v>
      </c>
      <c r="G2459" s="41">
        <v>44984</v>
      </c>
      <c r="H2459" s="41">
        <v>45075</v>
      </c>
      <c r="I2459" s="39">
        <v>13</v>
      </c>
      <c r="J2459" s="39" t="s">
        <v>369</v>
      </c>
      <c r="K2459" s="39" t="s">
        <v>1716</v>
      </c>
      <c r="L2459" s="39" t="s">
        <v>1014</v>
      </c>
    </row>
    <row r="2460" spans="2:12" x14ac:dyDescent="0.2">
      <c r="B2460" s="38">
        <v>152645</v>
      </c>
      <c r="C2460" s="38" t="s">
        <v>2810</v>
      </c>
      <c r="D2460" s="279">
        <v>100000</v>
      </c>
      <c r="F2460" s="40">
        <v>3.4000000000000002E-2</v>
      </c>
      <c r="G2460" s="41">
        <v>44984</v>
      </c>
      <c r="H2460" s="41">
        <v>45166</v>
      </c>
      <c r="I2460" s="39">
        <v>26</v>
      </c>
      <c r="J2460" s="39" t="s">
        <v>369</v>
      </c>
      <c r="K2460" s="39" t="s">
        <v>1716</v>
      </c>
      <c r="L2460" s="39" t="s">
        <v>1014</v>
      </c>
    </row>
    <row r="2461" spans="2:12" x14ac:dyDescent="0.2">
      <c r="B2461" s="38">
        <v>152646</v>
      </c>
      <c r="C2461" s="38" t="s">
        <v>2811</v>
      </c>
      <c r="D2461" s="279">
        <v>100000</v>
      </c>
      <c r="F2461" s="40">
        <v>3.7499999999999999E-2</v>
      </c>
      <c r="G2461" s="41">
        <v>44984</v>
      </c>
      <c r="H2461" s="41">
        <v>45348</v>
      </c>
      <c r="I2461" s="39">
        <v>52</v>
      </c>
      <c r="J2461" s="39" t="s">
        <v>369</v>
      </c>
      <c r="K2461" s="39" t="s">
        <v>1716</v>
      </c>
      <c r="L2461" s="39" t="s">
        <v>1014</v>
      </c>
    </row>
    <row r="2462" spans="2:12" x14ac:dyDescent="0.2">
      <c r="B2462" s="38">
        <v>141095</v>
      </c>
      <c r="C2462" s="38" t="s">
        <v>2808</v>
      </c>
      <c r="D2462" s="279">
        <v>100000</v>
      </c>
      <c r="F2462" s="40">
        <v>3.1199999999999999E-2</v>
      </c>
      <c r="G2462" s="41">
        <v>44984</v>
      </c>
      <c r="H2462" s="41">
        <v>45075</v>
      </c>
      <c r="I2462" s="39">
        <v>13</v>
      </c>
      <c r="J2462" s="39" t="s">
        <v>369</v>
      </c>
      <c r="K2462" s="39" t="s">
        <v>1716</v>
      </c>
      <c r="L2462" s="39" t="s">
        <v>1014</v>
      </c>
    </row>
    <row r="2463" spans="2:12" x14ac:dyDescent="0.2">
      <c r="B2463" s="38">
        <v>201807</v>
      </c>
      <c r="C2463" s="38" t="s">
        <v>2812</v>
      </c>
      <c r="D2463" s="279">
        <v>100000</v>
      </c>
      <c r="F2463" s="40">
        <v>3.7999999999999999E-2</v>
      </c>
      <c r="G2463" s="41">
        <v>44984</v>
      </c>
      <c r="H2463" s="41">
        <v>45852</v>
      </c>
      <c r="I2463" s="39">
        <v>2</v>
      </c>
      <c r="J2463" s="39" t="s">
        <v>1716</v>
      </c>
      <c r="K2463" s="39" t="s">
        <v>1716</v>
      </c>
      <c r="L2463" s="39" t="s">
        <v>1014</v>
      </c>
    </row>
    <row r="2464" spans="2:12" x14ac:dyDescent="0.2">
      <c r="B2464" s="38">
        <v>201808</v>
      </c>
      <c r="C2464" s="38" t="s">
        <v>2813</v>
      </c>
      <c r="D2464" s="279">
        <v>100000</v>
      </c>
      <c r="F2464" s="40">
        <v>4.9000000000000002E-2</v>
      </c>
      <c r="G2464" s="41">
        <v>45005</v>
      </c>
      <c r="H2464" s="41">
        <v>50605</v>
      </c>
      <c r="I2464" s="39">
        <v>15</v>
      </c>
      <c r="J2464" s="39" t="s">
        <v>1716</v>
      </c>
      <c r="K2464" s="39" t="s">
        <v>1716</v>
      </c>
      <c r="L2464" s="39" t="s">
        <v>1014</v>
      </c>
    </row>
    <row r="2465" spans="1:14" s="342" customFormat="1" x14ac:dyDescent="0.2">
      <c r="A2465" s="339"/>
      <c r="B2465" s="339">
        <v>9576</v>
      </c>
      <c r="C2465" s="339" t="s">
        <v>2814</v>
      </c>
      <c r="D2465" s="583">
        <v>100000</v>
      </c>
      <c r="E2465" s="339"/>
      <c r="F2465" s="673">
        <v>5.91E-2</v>
      </c>
      <c r="G2465" s="340">
        <v>45733</v>
      </c>
      <c r="H2465" s="340">
        <v>46098</v>
      </c>
      <c r="I2465" s="341">
        <v>15</v>
      </c>
      <c r="J2465" s="341" t="s">
        <v>1716</v>
      </c>
      <c r="K2465" s="341" t="s">
        <v>1716</v>
      </c>
      <c r="L2465" s="341" t="s">
        <v>1014</v>
      </c>
      <c r="M2465" s="339"/>
      <c r="N2465" s="339"/>
    </row>
    <row r="2466" spans="1:14" x14ac:dyDescent="0.2">
      <c r="B2466" s="38">
        <v>201809</v>
      </c>
      <c r="C2466" s="38" t="s">
        <v>2815</v>
      </c>
      <c r="D2466" s="279">
        <v>100000</v>
      </c>
      <c r="F2466" s="40">
        <v>5.5E-2</v>
      </c>
      <c r="G2466" s="41">
        <v>45005</v>
      </c>
      <c r="H2466" s="41">
        <v>56296</v>
      </c>
      <c r="I2466" s="39">
        <v>30</v>
      </c>
      <c r="J2466" s="39" t="s">
        <v>1716</v>
      </c>
      <c r="K2466" s="39" t="s">
        <v>1716</v>
      </c>
      <c r="L2466" s="39" t="s">
        <v>1014</v>
      </c>
    </row>
    <row r="2467" spans="1:14" x14ac:dyDescent="0.2">
      <c r="B2467" s="38">
        <v>152056</v>
      </c>
      <c r="C2467" s="38" t="s">
        <v>2816</v>
      </c>
      <c r="D2467" s="279">
        <v>100000</v>
      </c>
      <c r="F2467" s="40">
        <v>3.0499999999999999E-2</v>
      </c>
      <c r="G2467" s="41">
        <v>43553</v>
      </c>
      <c r="H2467" s="41">
        <v>45014</v>
      </c>
      <c r="I2467" s="39">
        <v>4</v>
      </c>
      <c r="J2467" s="39" t="s">
        <v>1716</v>
      </c>
      <c r="K2467" s="39" t="s">
        <v>1716</v>
      </c>
      <c r="L2467" s="39" t="s">
        <v>1014</v>
      </c>
    </row>
    <row r="2468" spans="1:14" x14ac:dyDescent="0.2">
      <c r="B2468" s="38">
        <v>152536</v>
      </c>
      <c r="C2468" s="38" t="s">
        <v>2817</v>
      </c>
      <c r="D2468" s="279">
        <v>100000</v>
      </c>
      <c r="F2468" s="40">
        <v>2.35E-2</v>
      </c>
      <c r="G2468" s="41">
        <v>44803</v>
      </c>
      <c r="H2468" s="41">
        <v>45167</v>
      </c>
      <c r="I2468" s="39">
        <v>52</v>
      </c>
      <c r="J2468" s="39" t="s">
        <v>369</v>
      </c>
      <c r="K2468" s="39" t="s">
        <v>1716</v>
      </c>
      <c r="L2468" s="39" t="s">
        <v>1014</v>
      </c>
    </row>
    <row r="2469" spans="1:14" x14ac:dyDescent="0.2">
      <c r="B2469" s="38">
        <v>152624</v>
      </c>
      <c r="C2469" s="38" t="s">
        <v>2818</v>
      </c>
      <c r="D2469" s="279">
        <v>100000</v>
      </c>
      <c r="F2469" s="40">
        <v>3.3099999999999997E-2</v>
      </c>
      <c r="G2469" s="41">
        <v>44957</v>
      </c>
      <c r="H2469" s="41">
        <v>45048</v>
      </c>
      <c r="I2469" s="39">
        <v>52</v>
      </c>
      <c r="J2469" s="39" t="s">
        <v>369</v>
      </c>
      <c r="K2469" s="39" t="s">
        <v>1716</v>
      </c>
      <c r="L2469" s="39" t="s">
        <v>1014</v>
      </c>
    </row>
    <row r="2470" spans="1:14" ht="13.5" x14ac:dyDescent="0.25">
      <c r="B2470" s="38">
        <v>152668</v>
      </c>
      <c r="C2470" s="38" t="s">
        <v>2819</v>
      </c>
      <c r="D2470" s="279">
        <v>100000</v>
      </c>
      <c r="F2470" s="978">
        <v>3.4500000000000003E-2</v>
      </c>
      <c r="G2470" s="41">
        <v>45015</v>
      </c>
      <c r="H2470" s="41">
        <v>45110</v>
      </c>
      <c r="I2470" s="39">
        <v>13</v>
      </c>
      <c r="J2470" s="39" t="s">
        <v>369</v>
      </c>
      <c r="K2470" s="39" t="s">
        <v>1716</v>
      </c>
      <c r="L2470" s="39" t="s">
        <v>1014</v>
      </c>
    </row>
    <row r="2471" spans="1:14" x14ac:dyDescent="0.2">
      <c r="B2471" s="38">
        <v>201779</v>
      </c>
      <c r="C2471" s="38" t="s">
        <v>2820</v>
      </c>
      <c r="D2471" s="279">
        <v>100000</v>
      </c>
      <c r="F2471" s="40">
        <v>3.15E-2</v>
      </c>
      <c r="G2471" s="41">
        <v>44914</v>
      </c>
      <c r="H2471" s="41">
        <v>45096</v>
      </c>
      <c r="I2471" s="39">
        <v>26</v>
      </c>
      <c r="J2471" s="39" t="s">
        <v>369</v>
      </c>
      <c r="K2471" s="39" t="s">
        <v>1716</v>
      </c>
      <c r="L2471" s="39" t="s">
        <v>1014</v>
      </c>
    </row>
    <row r="2472" spans="1:14" x14ac:dyDescent="0.2">
      <c r="B2472" s="38">
        <v>152596</v>
      </c>
      <c r="C2472" s="38" t="s">
        <v>2822</v>
      </c>
      <c r="D2472" s="279">
        <v>100000</v>
      </c>
      <c r="F2472" s="40">
        <v>3.3399999999999999E-2</v>
      </c>
      <c r="G2472" s="41">
        <v>44944</v>
      </c>
      <c r="H2472" s="41">
        <v>45035</v>
      </c>
      <c r="I2472" s="39">
        <v>13</v>
      </c>
      <c r="J2472" s="39" t="s">
        <v>369</v>
      </c>
      <c r="K2472" s="39" t="s">
        <v>1716</v>
      </c>
      <c r="L2472" s="39" t="s">
        <v>1014</v>
      </c>
    </row>
    <row r="2473" spans="1:14" x14ac:dyDescent="0.2">
      <c r="B2473" s="38">
        <v>201763</v>
      </c>
      <c r="C2473" s="38" t="s">
        <v>2823</v>
      </c>
      <c r="D2473" s="279">
        <v>100000</v>
      </c>
      <c r="F2473" s="40">
        <v>2.9000000000000001E-2</v>
      </c>
      <c r="G2473" s="41">
        <v>44893</v>
      </c>
      <c r="H2473" s="41">
        <v>46719</v>
      </c>
      <c r="I2473" s="39">
        <v>52</v>
      </c>
      <c r="J2473" s="39" t="s">
        <v>369</v>
      </c>
      <c r="K2473" s="39" t="s">
        <v>1716</v>
      </c>
      <c r="L2473" s="39" t="s">
        <v>1014</v>
      </c>
    </row>
    <row r="2474" spans="1:14" x14ac:dyDescent="0.2">
      <c r="B2474" s="38">
        <v>152686</v>
      </c>
      <c r="C2474" s="38" t="s">
        <v>2824</v>
      </c>
      <c r="D2474" s="279">
        <v>100000</v>
      </c>
      <c r="F2474" s="40">
        <v>3.2000000000000001E-2</v>
      </c>
      <c r="G2474" s="41">
        <v>45033</v>
      </c>
      <c r="H2474" s="41">
        <v>45124</v>
      </c>
      <c r="I2474" s="39">
        <v>13</v>
      </c>
      <c r="J2474" s="39" t="s">
        <v>369</v>
      </c>
      <c r="K2474" s="39" t="s">
        <v>1716</v>
      </c>
      <c r="L2474" s="39" t="s">
        <v>1014</v>
      </c>
    </row>
    <row r="2475" spans="1:14" x14ac:dyDescent="0.2">
      <c r="B2475" s="38">
        <v>152695</v>
      </c>
      <c r="C2475" s="38" t="s">
        <v>2825</v>
      </c>
      <c r="D2475" s="279">
        <v>100000</v>
      </c>
      <c r="F2475" s="40">
        <v>3.5499999999999997E-2</v>
      </c>
      <c r="G2475" s="41">
        <v>45036</v>
      </c>
      <c r="H2475" s="41">
        <v>45218</v>
      </c>
      <c r="I2475" s="39">
        <v>13</v>
      </c>
      <c r="J2475" s="39" t="s">
        <v>369</v>
      </c>
      <c r="K2475" s="39" t="s">
        <v>1716</v>
      </c>
      <c r="L2475" s="39" t="s">
        <v>1014</v>
      </c>
    </row>
    <row r="2476" spans="1:14" x14ac:dyDescent="0.2">
      <c r="B2476" s="38">
        <v>152694</v>
      </c>
      <c r="C2476" s="38" t="s">
        <v>2826</v>
      </c>
      <c r="D2476" s="279">
        <v>100000</v>
      </c>
      <c r="F2476" s="40">
        <v>3.3000000000000002E-2</v>
      </c>
      <c r="G2476" s="41">
        <v>45036</v>
      </c>
      <c r="H2476" s="41">
        <v>45097</v>
      </c>
      <c r="I2476" s="39">
        <v>26</v>
      </c>
      <c r="J2476" s="39" t="s">
        <v>369</v>
      </c>
      <c r="K2476" s="39" t="s">
        <v>1716</v>
      </c>
      <c r="L2476" s="39" t="s">
        <v>1014</v>
      </c>
    </row>
    <row r="2477" spans="1:14" x14ac:dyDescent="0.2">
      <c r="B2477" s="38">
        <v>201814</v>
      </c>
      <c r="C2477" s="38" t="s">
        <v>2827</v>
      </c>
      <c r="D2477" s="279">
        <v>100000</v>
      </c>
      <c r="F2477" s="40">
        <v>3.9E-2</v>
      </c>
      <c r="G2477" s="41">
        <v>45041</v>
      </c>
      <c r="H2477" s="41">
        <v>45915</v>
      </c>
      <c r="I2477" s="39">
        <v>2</v>
      </c>
      <c r="J2477" s="39" t="s">
        <v>1716</v>
      </c>
      <c r="K2477" s="39" t="s">
        <v>1716</v>
      </c>
      <c r="L2477" s="39" t="s">
        <v>1014</v>
      </c>
    </row>
    <row r="2478" spans="1:14" x14ac:dyDescent="0.2">
      <c r="B2478" s="38">
        <v>201811</v>
      </c>
      <c r="C2478" s="38" t="s">
        <v>2828</v>
      </c>
      <c r="D2478" s="279">
        <v>100000</v>
      </c>
      <c r="F2478" s="40">
        <v>3.9E-2</v>
      </c>
      <c r="G2478" s="41">
        <v>45041</v>
      </c>
      <c r="H2478" s="41">
        <v>45887</v>
      </c>
      <c r="I2478" s="39">
        <v>2</v>
      </c>
      <c r="J2478" s="39" t="s">
        <v>1716</v>
      </c>
      <c r="K2478" s="39" t="s">
        <v>1716</v>
      </c>
      <c r="L2478" s="39" t="s">
        <v>1014</v>
      </c>
    </row>
    <row r="2479" spans="1:14" x14ac:dyDescent="0.2">
      <c r="B2479" s="38">
        <v>141089</v>
      </c>
      <c r="C2479" s="38" t="s">
        <v>2829</v>
      </c>
      <c r="D2479" s="279">
        <v>100000</v>
      </c>
      <c r="F2479" s="40">
        <v>3.39E-2</v>
      </c>
      <c r="G2479" s="41">
        <v>44958</v>
      </c>
      <c r="H2479" s="41">
        <v>45048</v>
      </c>
      <c r="I2479" s="39">
        <v>13</v>
      </c>
      <c r="J2479" s="39" t="s">
        <v>369</v>
      </c>
      <c r="K2479" s="39" t="s">
        <v>1716</v>
      </c>
      <c r="L2479" s="39" t="s">
        <v>1014</v>
      </c>
    </row>
    <row r="2480" spans="1:14" x14ac:dyDescent="0.2">
      <c r="B2480" s="38">
        <v>152703</v>
      </c>
      <c r="C2480" s="38" t="s">
        <v>2830</v>
      </c>
      <c r="D2480" s="279">
        <v>100000</v>
      </c>
      <c r="F2480" s="40">
        <v>3.1800000000000002E-2</v>
      </c>
      <c r="G2480" s="41">
        <v>45044</v>
      </c>
      <c r="H2480" s="41">
        <v>45135</v>
      </c>
      <c r="I2480" s="39">
        <v>13</v>
      </c>
      <c r="J2480" s="39" t="s">
        <v>369</v>
      </c>
      <c r="K2480" s="39" t="s">
        <v>1716</v>
      </c>
      <c r="L2480" s="39" t="s">
        <v>1014</v>
      </c>
    </row>
    <row r="2481" spans="2:12" x14ac:dyDescent="0.2">
      <c r="B2481" s="38">
        <v>141112</v>
      </c>
      <c r="C2481" s="38" t="s">
        <v>2831</v>
      </c>
      <c r="D2481" s="279">
        <v>100000</v>
      </c>
      <c r="F2481" s="40">
        <v>3.1600000000000003E-2</v>
      </c>
      <c r="G2481" s="41">
        <v>45044</v>
      </c>
      <c r="H2481" s="41">
        <v>45139</v>
      </c>
      <c r="I2481" s="39">
        <v>13</v>
      </c>
      <c r="J2481" s="39" t="s">
        <v>369</v>
      </c>
      <c r="K2481" s="39" t="s">
        <v>1716</v>
      </c>
      <c r="L2481" s="39" t="s">
        <v>1014</v>
      </c>
    </row>
    <row r="2482" spans="2:12" x14ac:dyDescent="0.2">
      <c r="B2482" s="38">
        <v>141113</v>
      </c>
      <c r="C2482" s="38" t="s">
        <v>2832</v>
      </c>
      <c r="D2482" s="279">
        <v>100000</v>
      </c>
      <c r="F2482" s="40">
        <v>3.3399999999999999E-2</v>
      </c>
      <c r="G2482" s="41">
        <v>45044</v>
      </c>
      <c r="H2482" s="41">
        <v>45225</v>
      </c>
      <c r="I2482" s="39">
        <v>26</v>
      </c>
      <c r="J2482" s="39" t="s">
        <v>369</v>
      </c>
      <c r="K2482" s="39" t="s">
        <v>1716</v>
      </c>
      <c r="L2482" s="39" t="s">
        <v>1014</v>
      </c>
    </row>
    <row r="2483" spans="2:12" x14ac:dyDescent="0.2">
      <c r="B2483" s="38">
        <v>9304</v>
      </c>
      <c r="C2483" s="38" t="s">
        <v>2833</v>
      </c>
      <c r="D2483" s="279">
        <v>100000</v>
      </c>
      <c r="F2483" s="40">
        <v>3.44E-2</v>
      </c>
      <c r="G2483" s="41">
        <v>42727</v>
      </c>
      <c r="H2483" s="41">
        <v>45283</v>
      </c>
      <c r="I2483" s="39">
        <v>7</v>
      </c>
      <c r="J2483" s="39" t="s">
        <v>1716</v>
      </c>
      <c r="K2483" s="39" t="s">
        <v>1716</v>
      </c>
      <c r="L2483" s="39" t="s">
        <v>1014</v>
      </c>
    </row>
    <row r="2484" spans="2:12" x14ac:dyDescent="0.2">
      <c r="B2484" s="38">
        <v>141111</v>
      </c>
      <c r="C2484" s="38" t="s">
        <v>2834</v>
      </c>
      <c r="D2484" s="279">
        <v>100000</v>
      </c>
      <c r="F2484" s="40">
        <v>3.3799999999999997E-2</v>
      </c>
      <c r="G2484" s="41">
        <v>45048</v>
      </c>
      <c r="H2484" s="41">
        <v>45139</v>
      </c>
      <c r="I2484" s="39">
        <v>13</v>
      </c>
      <c r="J2484" s="39" t="s">
        <v>369</v>
      </c>
      <c r="K2484" s="39" t="s">
        <v>1716</v>
      </c>
      <c r="L2484" s="39" t="s">
        <v>1014</v>
      </c>
    </row>
    <row r="2485" spans="2:12" x14ac:dyDescent="0.2">
      <c r="B2485" s="38">
        <v>201806</v>
      </c>
      <c r="C2485" s="38" t="s">
        <v>2835</v>
      </c>
      <c r="D2485" s="279">
        <v>100000</v>
      </c>
      <c r="F2485" s="40">
        <v>3.5000000000000003E-2</v>
      </c>
      <c r="G2485" s="41">
        <v>44977</v>
      </c>
      <c r="H2485" s="41">
        <v>45432</v>
      </c>
      <c r="I2485" s="39">
        <v>1</v>
      </c>
      <c r="J2485" s="39" t="s">
        <v>1716</v>
      </c>
      <c r="K2485" s="39" t="s">
        <v>1716</v>
      </c>
      <c r="L2485" s="39" t="s">
        <v>1014</v>
      </c>
    </row>
    <row r="2486" spans="2:12" x14ac:dyDescent="0.2">
      <c r="B2486" s="38">
        <v>201784</v>
      </c>
      <c r="C2486" s="38" t="s">
        <v>2836</v>
      </c>
      <c r="D2486" s="279">
        <v>100000</v>
      </c>
      <c r="F2486" s="40">
        <v>2.9000000000000001E-2</v>
      </c>
      <c r="G2486" s="41">
        <v>44935</v>
      </c>
      <c r="H2486" s="41">
        <v>45341</v>
      </c>
      <c r="I2486" s="39">
        <v>52</v>
      </c>
      <c r="J2486" s="39" t="s">
        <v>369</v>
      </c>
      <c r="K2486" s="39" t="s">
        <v>1716</v>
      </c>
      <c r="L2486" s="39" t="s">
        <v>1014</v>
      </c>
    </row>
    <row r="2487" spans="2:12" x14ac:dyDescent="0.2">
      <c r="B2487" s="38">
        <v>201790</v>
      </c>
      <c r="C2487" s="38" t="s">
        <v>2837</v>
      </c>
      <c r="D2487" s="279">
        <v>100000</v>
      </c>
      <c r="F2487" s="40">
        <v>3.3500000000000002E-2</v>
      </c>
      <c r="G2487" s="41">
        <v>44942</v>
      </c>
      <c r="H2487" s="41">
        <v>45124</v>
      </c>
      <c r="I2487" s="39">
        <v>26</v>
      </c>
      <c r="J2487" s="39" t="s">
        <v>369</v>
      </c>
      <c r="K2487" s="39" t="s">
        <v>1716</v>
      </c>
      <c r="L2487" s="39" t="s">
        <v>1014</v>
      </c>
    </row>
    <row r="2488" spans="2:12" x14ac:dyDescent="0.2">
      <c r="B2488" s="38">
        <v>201791</v>
      </c>
      <c r="C2488" s="38" t="s">
        <v>2838</v>
      </c>
      <c r="D2488" s="279">
        <v>100000</v>
      </c>
      <c r="F2488" s="40">
        <v>3.9E-2</v>
      </c>
      <c r="G2488" s="41">
        <v>44942</v>
      </c>
      <c r="H2488" s="41">
        <v>46860</v>
      </c>
      <c r="I2488" s="39">
        <v>5</v>
      </c>
      <c r="J2488" s="39" t="s">
        <v>1716</v>
      </c>
      <c r="K2488" s="39" t="s">
        <v>1716</v>
      </c>
      <c r="L2488" s="39" t="s">
        <v>1014</v>
      </c>
    </row>
    <row r="2489" spans="2:12" x14ac:dyDescent="0.2">
      <c r="B2489" s="38">
        <v>201793</v>
      </c>
      <c r="C2489" s="38" t="s">
        <v>2839</v>
      </c>
      <c r="D2489" s="279">
        <v>100000</v>
      </c>
      <c r="F2489" s="40">
        <v>4.7500000000000001E-2</v>
      </c>
      <c r="G2489" s="41">
        <v>44942</v>
      </c>
      <c r="H2489" s="41">
        <v>52460</v>
      </c>
      <c r="I2489" s="39">
        <v>20</v>
      </c>
      <c r="J2489" s="39" t="s">
        <v>1716</v>
      </c>
      <c r="K2489" s="39" t="s">
        <v>1716</v>
      </c>
      <c r="L2489" s="39" t="s">
        <v>1014</v>
      </c>
    </row>
    <row r="2490" spans="2:12" x14ac:dyDescent="0.2">
      <c r="B2490" s="38">
        <v>201800</v>
      </c>
      <c r="C2490" s="38" t="s">
        <v>2841</v>
      </c>
      <c r="D2490" s="279">
        <v>100000</v>
      </c>
      <c r="F2490" s="40">
        <v>3.1699999999999999E-2</v>
      </c>
      <c r="G2490" s="41">
        <v>44963</v>
      </c>
      <c r="H2490" s="41">
        <v>45145</v>
      </c>
      <c r="I2490" s="39">
        <v>26</v>
      </c>
      <c r="J2490" s="39" t="s">
        <v>369</v>
      </c>
      <c r="K2490" s="39" t="s">
        <v>1716</v>
      </c>
      <c r="L2490" s="39" t="s">
        <v>1014</v>
      </c>
    </row>
    <row r="2491" spans="2:12" x14ac:dyDescent="0.2">
      <c r="B2491" s="38">
        <v>201799</v>
      </c>
      <c r="C2491" s="38" t="s">
        <v>2840</v>
      </c>
      <c r="D2491" s="279">
        <v>100000</v>
      </c>
      <c r="F2491" s="40">
        <v>3.15E-2</v>
      </c>
      <c r="G2491" s="41">
        <v>44963</v>
      </c>
      <c r="H2491" s="41">
        <v>45145</v>
      </c>
      <c r="I2491" s="39">
        <v>26</v>
      </c>
      <c r="J2491" s="39" t="s">
        <v>369</v>
      </c>
      <c r="K2491" s="39" t="s">
        <v>1716</v>
      </c>
      <c r="L2491" s="39" t="s">
        <v>1014</v>
      </c>
    </row>
    <row r="2492" spans="2:12" x14ac:dyDescent="0.2">
      <c r="B2492" s="38">
        <v>201803</v>
      </c>
      <c r="C2492" s="38" t="s">
        <v>2842</v>
      </c>
      <c r="D2492" s="279">
        <v>100000</v>
      </c>
      <c r="F2492" s="40">
        <v>3.1399999999999997E-2</v>
      </c>
      <c r="G2492" s="41">
        <v>44963</v>
      </c>
      <c r="H2492" s="41">
        <v>45145</v>
      </c>
      <c r="I2492" s="39">
        <v>26</v>
      </c>
      <c r="J2492" s="39" t="s">
        <v>369</v>
      </c>
      <c r="K2492" s="39" t="s">
        <v>1716</v>
      </c>
      <c r="L2492" s="39" t="s">
        <v>1014</v>
      </c>
    </row>
    <row r="2493" spans="2:12" x14ac:dyDescent="0.2">
      <c r="B2493" s="38">
        <v>201808</v>
      </c>
      <c r="C2493" s="38" t="s">
        <v>2843</v>
      </c>
      <c r="D2493" s="279">
        <v>100000</v>
      </c>
      <c r="F2493" s="40">
        <v>4.9000000000000002E-2</v>
      </c>
      <c r="G2493" s="41">
        <v>45005</v>
      </c>
      <c r="H2493" s="41">
        <v>50605</v>
      </c>
      <c r="I2493" s="39">
        <v>15</v>
      </c>
      <c r="J2493" s="39" t="s">
        <v>1716</v>
      </c>
      <c r="K2493" s="39" t="s">
        <v>1716</v>
      </c>
      <c r="L2493" s="39" t="s">
        <v>1014</v>
      </c>
    </row>
    <row r="2494" spans="2:12" x14ac:dyDescent="0.2">
      <c r="B2494" s="38">
        <v>201811</v>
      </c>
      <c r="C2494" s="38" t="s">
        <v>2828</v>
      </c>
      <c r="D2494" s="279">
        <v>100000</v>
      </c>
      <c r="F2494" s="40">
        <v>3.9E-2</v>
      </c>
      <c r="G2494" s="41">
        <v>45041</v>
      </c>
      <c r="H2494" s="41">
        <v>45887</v>
      </c>
      <c r="I2494" s="39">
        <v>2</v>
      </c>
      <c r="J2494" s="39" t="s">
        <v>1716</v>
      </c>
      <c r="K2494" s="39" t="s">
        <v>1716</v>
      </c>
      <c r="L2494" s="39" t="s">
        <v>1014</v>
      </c>
    </row>
    <row r="2495" spans="2:12" x14ac:dyDescent="0.2">
      <c r="B2495" s="38">
        <v>201813</v>
      </c>
      <c r="C2495" s="38" t="s">
        <v>2844</v>
      </c>
      <c r="D2495" s="279">
        <v>100000</v>
      </c>
      <c r="F2495" s="40">
        <v>3.6999999999999998E-2</v>
      </c>
      <c r="G2495" s="41">
        <v>45041</v>
      </c>
      <c r="H2495" s="41">
        <v>45523</v>
      </c>
      <c r="I2495" s="39">
        <v>1</v>
      </c>
      <c r="J2495" s="39" t="s">
        <v>1716</v>
      </c>
      <c r="K2495" s="39" t="s">
        <v>1716</v>
      </c>
      <c r="L2495" s="39" t="s">
        <v>1014</v>
      </c>
    </row>
    <row r="2496" spans="2:12" x14ac:dyDescent="0.2">
      <c r="B2496" s="38">
        <v>141121</v>
      </c>
      <c r="C2496" s="38" t="s">
        <v>2845</v>
      </c>
      <c r="D2496" s="279">
        <v>100000</v>
      </c>
      <c r="F2496" s="40">
        <v>3.1300000000000001E-2</v>
      </c>
      <c r="G2496" s="41">
        <v>45065</v>
      </c>
      <c r="H2496" s="41">
        <v>45156</v>
      </c>
      <c r="I2496" s="39">
        <v>13</v>
      </c>
      <c r="J2496" s="39" t="s">
        <v>369</v>
      </c>
      <c r="K2496" s="39" t="s">
        <v>1716</v>
      </c>
      <c r="L2496" s="39" t="s">
        <v>1014</v>
      </c>
    </row>
    <row r="2497" spans="1:14" x14ac:dyDescent="0.2">
      <c r="B2497" s="38">
        <v>152733</v>
      </c>
      <c r="C2497" s="38" t="s">
        <v>2846</v>
      </c>
      <c r="D2497" s="279">
        <v>100000</v>
      </c>
      <c r="F2497" s="40">
        <v>3.6499999999999998E-2</v>
      </c>
      <c r="G2497" s="41">
        <v>45071</v>
      </c>
      <c r="H2497" s="41">
        <v>45435</v>
      </c>
      <c r="I2497" s="39">
        <v>52</v>
      </c>
      <c r="J2497" s="39" t="s">
        <v>369</v>
      </c>
      <c r="K2497" s="39" t="s">
        <v>1716</v>
      </c>
      <c r="L2497" s="39" t="s">
        <v>1014</v>
      </c>
    </row>
    <row r="2498" spans="1:14" x14ac:dyDescent="0.2">
      <c r="B2498" s="38">
        <v>201805</v>
      </c>
      <c r="C2498" s="38" t="s">
        <v>2847</v>
      </c>
      <c r="D2498" s="279">
        <v>100000</v>
      </c>
      <c r="F2498" s="40">
        <v>3.3700000000000001E-2</v>
      </c>
      <c r="G2498" s="41">
        <v>44970</v>
      </c>
      <c r="H2498" s="41">
        <v>45701</v>
      </c>
      <c r="I2498" s="39">
        <v>2</v>
      </c>
      <c r="J2498" s="39" t="s">
        <v>1716</v>
      </c>
      <c r="K2498" s="39" t="s">
        <v>1716</v>
      </c>
      <c r="L2498" s="39" t="s">
        <v>1014</v>
      </c>
    </row>
    <row r="2499" spans="1:14" x14ac:dyDescent="0.2">
      <c r="B2499" s="38">
        <v>152236</v>
      </c>
      <c r="C2499" s="38" t="s">
        <v>2848</v>
      </c>
      <c r="D2499" s="279">
        <v>100000</v>
      </c>
      <c r="F2499" s="40">
        <v>3.4000000000000002E-2</v>
      </c>
      <c r="G2499" s="41">
        <v>43997</v>
      </c>
      <c r="H2499" s="41">
        <v>46553</v>
      </c>
      <c r="I2499" s="39">
        <v>7</v>
      </c>
      <c r="J2499" s="39" t="s">
        <v>1716</v>
      </c>
      <c r="K2499" s="39" t="s">
        <v>1716</v>
      </c>
      <c r="L2499" s="39" t="s">
        <v>1014</v>
      </c>
    </row>
    <row r="2500" spans="1:14" x14ac:dyDescent="0.2">
      <c r="B2500" s="38">
        <v>201817</v>
      </c>
      <c r="C2500" s="38" t="s">
        <v>2849</v>
      </c>
      <c r="D2500" s="279">
        <v>100000</v>
      </c>
      <c r="F2500" s="40">
        <v>3.9E-2</v>
      </c>
      <c r="G2500" s="41">
        <v>45068</v>
      </c>
      <c r="H2500" s="41">
        <v>45978</v>
      </c>
      <c r="I2500" s="39">
        <v>2</v>
      </c>
      <c r="J2500" s="39" t="s">
        <v>1716</v>
      </c>
      <c r="K2500" s="39" t="s">
        <v>1716</v>
      </c>
      <c r="L2500" s="39" t="s">
        <v>1014</v>
      </c>
    </row>
    <row r="2501" spans="1:14" s="342" customFormat="1" x14ac:dyDescent="0.2">
      <c r="A2501" s="339"/>
      <c r="B2501" s="339">
        <v>9580</v>
      </c>
      <c r="C2501" s="339" t="s">
        <v>2850</v>
      </c>
      <c r="D2501" s="583">
        <v>100000</v>
      </c>
      <c r="E2501" s="339"/>
      <c r="F2501" s="673">
        <v>3.6400000000000002E-2</v>
      </c>
      <c r="G2501" s="340">
        <v>45183</v>
      </c>
      <c r="H2501" s="340">
        <v>45914</v>
      </c>
      <c r="I2501" s="341">
        <v>13</v>
      </c>
      <c r="J2501" s="341" t="s">
        <v>369</v>
      </c>
      <c r="K2501" s="341" t="s">
        <v>1716</v>
      </c>
      <c r="L2501" s="341" t="s">
        <v>1014</v>
      </c>
      <c r="M2501" s="339"/>
      <c r="N2501" s="339"/>
    </row>
    <row r="2502" spans="1:14" x14ac:dyDescent="0.2">
      <c r="B2502" s="38">
        <v>201822</v>
      </c>
      <c r="C2502" s="38" t="s">
        <v>2852</v>
      </c>
      <c r="D2502" s="279">
        <v>100000</v>
      </c>
      <c r="F2502" s="40">
        <v>4.7500000000000001E-2</v>
      </c>
      <c r="G2502" s="41">
        <v>45104</v>
      </c>
      <c r="H2502" s="41">
        <v>50843</v>
      </c>
      <c r="I2502" s="39">
        <v>15</v>
      </c>
      <c r="J2502" s="39" t="s">
        <v>1716</v>
      </c>
      <c r="K2502" s="39" t="s">
        <v>1716</v>
      </c>
      <c r="L2502" s="39" t="s">
        <v>1014</v>
      </c>
    </row>
    <row r="2503" spans="1:14" x14ac:dyDescent="0.2">
      <c r="B2503" s="38">
        <v>152749</v>
      </c>
      <c r="C2503" s="38" t="s">
        <v>2853</v>
      </c>
      <c r="D2503" s="279">
        <v>100000</v>
      </c>
      <c r="F2503" s="40">
        <v>3.3700000000000001E-2</v>
      </c>
      <c r="G2503" s="41">
        <v>45104</v>
      </c>
      <c r="H2503" s="41">
        <v>45287</v>
      </c>
      <c r="I2503" s="39">
        <v>26</v>
      </c>
      <c r="J2503" s="39" t="s">
        <v>369</v>
      </c>
      <c r="K2503" s="39" t="s">
        <v>1716</v>
      </c>
      <c r="L2503" s="39" t="s">
        <v>1014</v>
      </c>
    </row>
    <row r="2504" spans="1:14" x14ac:dyDescent="0.2">
      <c r="B2504" s="38">
        <v>100897</v>
      </c>
      <c r="C2504" s="38" t="s">
        <v>2854</v>
      </c>
      <c r="D2504" s="279">
        <v>100000</v>
      </c>
      <c r="F2504" s="40">
        <v>4.2999999999999997E-2</v>
      </c>
      <c r="G2504" s="41">
        <v>45104</v>
      </c>
      <c r="H2504" s="41">
        <v>45835</v>
      </c>
      <c r="I2504" s="39">
        <v>2</v>
      </c>
      <c r="J2504" s="39" t="s">
        <v>1716</v>
      </c>
      <c r="K2504" s="39" t="s">
        <v>1716</v>
      </c>
      <c r="L2504" s="39" t="s">
        <v>1014</v>
      </c>
    </row>
    <row r="2505" spans="1:14" x14ac:dyDescent="0.2">
      <c r="B2505" s="38">
        <v>201821</v>
      </c>
      <c r="C2505" s="38" t="s">
        <v>2855</v>
      </c>
      <c r="D2505" s="279">
        <v>100000</v>
      </c>
      <c r="F2505" s="40">
        <v>4.2999999999999997E-2</v>
      </c>
      <c r="G2505" s="41">
        <v>45104</v>
      </c>
      <c r="H2505" s="41">
        <v>49114</v>
      </c>
      <c r="I2505" s="39">
        <v>10</v>
      </c>
      <c r="J2505" s="39" t="s">
        <v>1716</v>
      </c>
      <c r="K2505" s="39" t="s">
        <v>1716</v>
      </c>
      <c r="L2505" s="39" t="s">
        <v>1014</v>
      </c>
    </row>
    <row r="2506" spans="1:14" x14ac:dyDescent="0.2">
      <c r="B2506" s="38">
        <v>152763</v>
      </c>
      <c r="C2506" s="38" t="s">
        <v>2856</v>
      </c>
      <c r="D2506" s="279">
        <v>100000</v>
      </c>
      <c r="F2506" s="40">
        <v>3.27E-2</v>
      </c>
      <c r="G2506" s="41">
        <v>45121</v>
      </c>
      <c r="H2506" s="41">
        <v>45303</v>
      </c>
      <c r="I2506" s="39">
        <v>26</v>
      </c>
      <c r="J2506" s="39" t="s">
        <v>369</v>
      </c>
      <c r="K2506" s="39" t="s">
        <v>1716</v>
      </c>
      <c r="L2506" s="39" t="s">
        <v>1014</v>
      </c>
    </row>
    <row r="2507" spans="1:14" x14ac:dyDescent="0.2">
      <c r="B2507" s="38">
        <v>152762</v>
      </c>
      <c r="C2507" s="38" t="s">
        <v>2857</v>
      </c>
      <c r="D2507" s="279">
        <v>100000</v>
      </c>
      <c r="F2507" s="40">
        <v>3.5499999999999997E-2</v>
      </c>
      <c r="G2507" s="41">
        <v>45121</v>
      </c>
      <c r="H2507" s="41">
        <v>45485</v>
      </c>
      <c r="I2507" s="39">
        <v>52</v>
      </c>
      <c r="J2507" s="39" t="s">
        <v>369</v>
      </c>
      <c r="K2507" s="39" t="s">
        <v>1716</v>
      </c>
      <c r="L2507" s="39" t="s">
        <v>1014</v>
      </c>
    </row>
    <row r="2508" spans="1:14" x14ac:dyDescent="0.2">
      <c r="B2508" s="38">
        <v>100899</v>
      </c>
      <c r="C2508" s="38" t="s">
        <v>2858</v>
      </c>
      <c r="D2508" s="279">
        <v>100000</v>
      </c>
      <c r="F2508" s="40">
        <v>4.1500000000000002E-2</v>
      </c>
      <c r="G2508" s="41">
        <v>45121</v>
      </c>
      <c r="H2508" s="41">
        <v>46217</v>
      </c>
      <c r="I2508" s="39">
        <v>3</v>
      </c>
      <c r="J2508" s="39" t="s">
        <v>1716</v>
      </c>
      <c r="K2508" s="39" t="s">
        <v>1716</v>
      </c>
      <c r="L2508" s="39" t="s">
        <v>1014</v>
      </c>
    </row>
    <row r="2509" spans="1:14" x14ac:dyDescent="0.2">
      <c r="B2509" s="38">
        <v>100900</v>
      </c>
      <c r="C2509" s="41" t="s">
        <v>2859</v>
      </c>
      <c r="D2509" s="279">
        <v>100000</v>
      </c>
      <c r="F2509" s="40">
        <v>3.9100000000000003E-2</v>
      </c>
      <c r="G2509" s="41">
        <v>45121</v>
      </c>
      <c r="H2509" s="41">
        <v>45852</v>
      </c>
      <c r="I2509" s="39">
        <v>2</v>
      </c>
      <c r="J2509" s="39" t="s">
        <v>1716</v>
      </c>
      <c r="K2509" s="39" t="s">
        <v>1716</v>
      </c>
      <c r="L2509" s="39" t="s">
        <v>1014</v>
      </c>
    </row>
    <row r="2510" spans="1:14" x14ac:dyDescent="0.2">
      <c r="B2510" s="38">
        <v>201825</v>
      </c>
      <c r="C2510" s="38" t="s">
        <v>2860</v>
      </c>
      <c r="D2510" s="279">
        <v>100000</v>
      </c>
      <c r="F2510" s="40">
        <v>3.0800000000000001E-2</v>
      </c>
      <c r="G2510" s="41">
        <v>45124</v>
      </c>
      <c r="H2510" s="41">
        <v>45306</v>
      </c>
      <c r="I2510" s="39">
        <v>26</v>
      </c>
      <c r="J2510" s="39" t="s">
        <v>369</v>
      </c>
      <c r="K2510" s="39" t="s">
        <v>1716</v>
      </c>
      <c r="L2510" s="39" t="s">
        <v>1014</v>
      </c>
    </row>
    <row r="2511" spans="1:14" x14ac:dyDescent="0.2">
      <c r="B2511" s="38">
        <v>9582</v>
      </c>
      <c r="C2511" s="38" t="s">
        <v>2861</v>
      </c>
      <c r="D2511" s="279">
        <v>100000</v>
      </c>
      <c r="F2511" s="40">
        <v>5.45E-2</v>
      </c>
      <c r="G2511" s="41">
        <v>45127</v>
      </c>
      <c r="H2511" s="41">
        <v>45493</v>
      </c>
      <c r="I2511" s="39">
        <v>52</v>
      </c>
      <c r="J2511" s="39" t="s">
        <v>369</v>
      </c>
      <c r="K2511" s="39" t="s">
        <v>1716</v>
      </c>
      <c r="L2511" s="39" t="s">
        <v>1014</v>
      </c>
    </row>
    <row r="2512" spans="1:14" x14ac:dyDescent="0.2">
      <c r="B2512" s="38">
        <v>152773</v>
      </c>
      <c r="C2512" s="38" t="s">
        <v>2862</v>
      </c>
      <c r="D2512" s="279">
        <v>100000</v>
      </c>
      <c r="F2512" s="40">
        <v>3.56E-2</v>
      </c>
      <c r="G2512" s="41">
        <v>45138</v>
      </c>
      <c r="H2512" s="41">
        <v>45504</v>
      </c>
      <c r="I2512" s="39">
        <v>52</v>
      </c>
      <c r="J2512" s="39" t="s">
        <v>369</v>
      </c>
      <c r="K2512" s="39" t="s">
        <v>1716</v>
      </c>
      <c r="L2512" s="39" t="s">
        <v>1014</v>
      </c>
    </row>
    <row r="2513" spans="2:12" x14ac:dyDescent="0.2">
      <c r="B2513" s="38">
        <v>152775</v>
      </c>
      <c r="C2513" s="38" t="s">
        <v>2863</v>
      </c>
      <c r="D2513" s="279">
        <v>100000</v>
      </c>
      <c r="F2513" s="40">
        <v>3.27E-2</v>
      </c>
      <c r="G2513" s="41">
        <v>45138</v>
      </c>
      <c r="H2513" s="41">
        <v>45322</v>
      </c>
      <c r="I2513" s="39">
        <v>26</v>
      </c>
      <c r="J2513" s="39" t="s">
        <v>369</v>
      </c>
      <c r="K2513" s="39" t="s">
        <v>1716</v>
      </c>
      <c r="L2513" s="39" t="s">
        <v>1014</v>
      </c>
    </row>
    <row r="2514" spans="2:12" x14ac:dyDescent="0.2">
      <c r="B2514" s="38">
        <v>201815</v>
      </c>
      <c r="C2514" s="38" t="s">
        <v>2864</v>
      </c>
      <c r="D2514" s="279">
        <v>100000</v>
      </c>
      <c r="F2514" s="40">
        <v>3.1600000000000003E-2</v>
      </c>
      <c r="G2514" s="41">
        <v>45061</v>
      </c>
      <c r="H2514" s="41">
        <v>45243</v>
      </c>
      <c r="I2514" s="39">
        <v>26</v>
      </c>
      <c r="J2514" s="39" t="s">
        <v>369</v>
      </c>
      <c r="K2514" s="39" t="s">
        <v>1716</v>
      </c>
      <c r="L2514" s="39" t="s">
        <v>1014</v>
      </c>
    </row>
    <row r="2515" spans="2:12" x14ac:dyDescent="0.2">
      <c r="B2515" s="38">
        <v>152771</v>
      </c>
      <c r="C2515" s="38" t="s">
        <v>2865</v>
      </c>
      <c r="D2515" s="279">
        <v>100000</v>
      </c>
      <c r="F2515" s="40">
        <v>3.56E-2</v>
      </c>
      <c r="G2515" s="41">
        <v>45135</v>
      </c>
      <c r="H2515" s="41">
        <v>45499</v>
      </c>
      <c r="I2515" s="39">
        <v>52</v>
      </c>
      <c r="J2515" s="39" t="s">
        <v>369</v>
      </c>
      <c r="K2515" s="39" t="s">
        <v>1716</v>
      </c>
      <c r="L2515" s="39" t="s">
        <v>1014</v>
      </c>
    </row>
    <row r="2516" spans="2:12" x14ac:dyDescent="0.2">
      <c r="B2516" s="38">
        <v>201815</v>
      </c>
      <c r="C2516" s="38" t="s">
        <v>2864</v>
      </c>
      <c r="D2516" s="279">
        <v>100000</v>
      </c>
      <c r="F2516" s="40">
        <v>3.1600000000000003E-2</v>
      </c>
      <c r="G2516" s="41">
        <v>45061</v>
      </c>
      <c r="H2516" s="41">
        <v>45243</v>
      </c>
      <c r="I2516" s="39">
        <v>26</v>
      </c>
      <c r="J2516" s="39" t="s">
        <v>369</v>
      </c>
      <c r="K2516" s="39" t="s">
        <v>1716</v>
      </c>
      <c r="L2516" s="39" t="s">
        <v>1014</v>
      </c>
    </row>
    <row r="2517" spans="2:12" x14ac:dyDescent="0.2">
      <c r="B2517" s="38">
        <v>141132</v>
      </c>
      <c r="C2517" s="38" t="s">
        <v>2866</v>
      </c>
      <c r="D2517" s="279">
        <v>100000</v>
      </c>
      <c r="F2517" s="40">
        <v>3.0700000000000002E-2</v>
      </c>
      <c r="G2517" s="41">
        <v>45139</v>
      </c>
      <c r="H2517" s="41">
        <v>45230</v>
      </c>
      <c r="I2517" s="39">
        <v>13</v>
      </c>
      <c r="J2517" s="39" t="s">
        <v>369</v>
      </c>
      <c r="K2517" s="39" t="s">
        <v>1716</v>
      </c>
      <c r="L2517" s="39" t="s">
        <v>1014</v>
      </c>
    </row>
    <row r="2518" spans="2:12" x14ac:dyDescent="0.2">
      <c r="B2518" s="38">
        <v>141133</v>
      </c>
      <c r="C2518" s="38" t="s">
        <v>2867</v>
      </c>
      <c r="D2518" s="279">
        <v>100000</v>
      </c>
      <c r="F2518" s="40">
        <v>3.7600000000000001E-2</v>
      </c>
      <c r="G2518" s="41">
        <v>45139</v>
      </c>
      <c r="H2518" s="41">
        <v>45504</v>
      </c>
      <c r="I2518" s="39">
        <v>52</v>
      </c>
      <c r="J2518" s="39" t="s">
        <v>369</v>
      </c>
      <c r="K2518" s="39" t="s">
        <v>1716</v>
      </c>
      <c r="L2518" s="39" t="s">
        <v>1014</v>
      </c>
    </row>
    <row r="2519" spans="2:12" x14ac:dyDescent="0.2">
      <c r="B2519" s="38">
        <v>152783</v>
      </c>
      <c r="C2519" s="38" t="s">
        <v>2868</v>
      </c>
      <c r="D2519" s="279">
        <v>100000</v>
      </c>
      <c r="F2519" s="40">
        <v>3.2500000000000001E-2</v>
      </c>
      <c r="G2519" s="41">
        <v>45146</v>
      </c>
      <c r="H2519" s="41">
        <v>45330</v>
      </c>
      <c r="I2519" s="39">
        <v>26</v>
      </c>
      <c r="J2519" s="39" t="s">
        <v>369</v>
      </c>
      <c r="K2519" s="39" t="s">
        <v>1716</v>
      </c>
      <c r="L2519" s="39" t="s">
        <v>1014</v>
      </c>
    </row>
    <row r="2520" spans="2:12" ht="15" x14ac:dyDescent="0.25">
      <c r="B2520" s="1025">
        <v>141114</v>
      </c>
      <c r="C2520" s="38" t="s">
        <v>2869</v>
      </c>
      <c r="D2520" s="279">
        <v>100000</v>
      </c>
      <c r="F2520" s="40">
        <v>3.6900000000000002E-2</v>
      </c>
      <c r="G2520" s="41">
        <v>45044</v>
      </c>
      <c r="H2520" s="41">
        <v>45408</v>
      </c>
      <c r="I2520" s="39">
        <v>52</v>
      </c>
      <c r="J2520" s="39" t="s">
        <v>369</v>
      </c>
      <c r="K2520" s="39" t="s">
        <v>1716</v>
      </c>
      <c r="L2520" s="39" t="s">
        <v>1014</v>
      </c>
    </row>
    <row r="2521" spans="2:12" x14ac:dyDescent="0.2">
      <c r="B2521" s="38">
        <v>201827</v>
      </c>
      <c r="C2521" s="38" t="s">
        <v>2870</v>
      </c>
      <c r="D2521" s="279">
        <v>100000</v>
      </c>
      <c r="F2521" s="40">
        <v>3.3000000000000002E-2</v>
      </c>
      <c r="G2521" s="41">
        <v>45145</v>
      </c>
      <c r="H2521" s="41">
        <v>45615</v>
      </c>
      <c r="I2521" s="39">
        <v>1</v>
      </c>
      <c r="J2521" s="39" t="s">
        <v>1716</v>
      </c>
      <c r="K2521" s="39" t="s">
        <v>1716</v>
      </c>
      <c r="L2521" s="39" t="s">
        <v>1014</v>
      </c>
    </row>
    <row r="2522" spans="2:12" x14ac:dyDescent="0.2">
      <c r="B2522" s="38">
        <v>100302</v>
      </c>
      <c r="C2522" s="38" t="s">
        <v>2871</v>
      </c>
      <c r="D2522" s="279">
        <v>100000</v>
      </c>
      <c r="F2522" s="40">
        <v>4.1300000000000003E-2</v>
      </c>
      <c r="G2522" s="41">
        <v>45170</v>
      </c>
      <c r="H2522" s="41">
        <v>46266</v>
      </c>
      <c r="I2522" s="39">
        <v>3</v>
      </c>
      <c r="J2522" s="39" t="s">
        <v>1716</v>
      </c>
      <c r="K2522" s="39" t="s">
        <v>1716</v>
      </c>
      <c r="L2522" s="39" t="s">
        <v>1014</v>
      </c>
    </row>
    <row r="2523" spans="2:12" x14ac:dyDescent="0.2">
      <c r="B2523" s="38">
        <v>201828</v>
      </c>
      <c r="C2523" s="38" t="s">
        <v>2872</v>
      </c>
      <c r="D2523" s="279">
        <v>100000</v>
      </c>
      <c r="F2523" s="40">
        <v>3.0499999999999999E-2</v>
      </c>
      <c r="G2523" s="41">
        <v>45173</v>
      </c>
      <c r="H2523" s="41">
        <v>45355</v>
      </c>
      <c r="I2523" s="39">
        <v>26</v>
      </c>
      <c r="J2523" s="39" t="s">
        <v>369</v>
      </c>
      <c r="K2523" s="39" t="s">
        <v>369</v>
      </c>
      <c r="L2523" s="39" t="s">
        <v>1014</v>
      </c>
    </row>
    <row r="2524" spans="2:12" x14ac:dyDescent="0.2">
      <c r="B2524" s="38">
        <v>100903</v>
      </c>
      <c r="C2524" s="38" t="s">
        <v>2873</v>
      </c>
      <c r="D2524" s="279">
        <v>100000</v>
      </c>
      <c r="F2524" s="40">
        <v>3.8199999999999998E-2</v>
      </c>
      <c r="G2524" s="41">
        <v>45176</v>
      </c>
      <c r="H2524" s="41">
        <v>45907</v>
      </c>
      <c r="I2524" s="39">
        <v>2</v>
      </c>
      <c r="J2524" s="39" t="s">
        <v>1716</v>
      </c>
      <c r="K2524" s="39" t="s">
        <v>1716</v>
      </c>
      <c r="L2524" s="39" t="s">
        <v>1014</v>
      </c>
    </row>
    <row r="2525" spans="2:12" x14ac:dyDescent="0.2">
      <c r="B2525" s="38">
        <v>100904</v>
      </c>
      <c r="C2525" s="38" t="s">
        <v>2874</v>
      </c>
      <c r="D2525" s="279">
        <v>100000</v>
      </c>
      <c r="F2525" s="40">
        <v>4.2000000000000003E-2</v>
      </c>
      <c r="G2525" s="41">
        <v>45180</v>
      </c>
      <c r="H2525" s="41">
        <v>46641</v>
      </c>
      <c r="I2525" s="39">
        <v>4</v>
      </c>
      <c r="J2525" s="39" t="s">
        <v>1716</v>
      </c>
      <c r="K2525" s="39" t="s">
        <v>1716</v>
      </c>
      <c r="L2525" s="39" t="s">
        <v>1014</v>
      </c>
    </row>
    <row r="2526" spans="2:12" x14ac:dyDescent="0.2">
      <c r="B2526" s="38">
        <v>100905</v>
      </c>
      <c r="C2526" s="38" t="s">
        <v>2875</v>
      </c>
      <c r="D2526" s="279">
        <v>100000</v>
      </c>
      <c r="F2526" s="40">
        <v>4.0399999999999998E-2</v>
      </c>
      <c r="G2526" s="41">
        <v>45180</v>
      </c>
      <c r="H2526" s="41">
        <v>46276</v>
      </c>
      <c r="I2526" s="39">
        <v>3</v>
      </c>
      <c r="J2526" s="39" t="s">
        <v>1716</v>
      </c>
      <c r="K2526" s="39" t="s">
        <v>1716</v>
      </c>
      <c r="L2526" s="39" t="s">
        <v>1014</v>
      </c>
    </row>
    <row r="2527" spans="2:12" x14ac:dyDescent="0.2">
      <c r="B2527" s="38">
        <v>151825</v>
      </c>
      <c r="C2527" s="38" t="s">
        <v>2876</v>
      </c>
      <c r="D2527" s="279">
        <v>100000</v>
      </c>
      <c r="F2527" s="40">
        <v>3.7100000000000001E-2</v>
      </c>
      <c r="G2527" s="41">
        <v>42844</v>
      </c>
      <c r="H2527" s="41">
        <v>45401</v>
      </c>
      <c r="I2527" s="39">
        <v>7</v>
      </c>
      <c r="J2527" s="39" t="s">
        <v>1716</v>
      </c>
      <c r="K2527" s="39" t="s">
        <v>1716</v>
      </c>
      <c r="L2527" s="39" t="s">
        <v>1014</v>
      </c>
    </row>
    <row r="2528" spans="2:12" x14ac:dyDescent="0.2">
      <c r="B2528" s="38">
        <v>152737</v>
      </c>
      <c r="C2528" s="38" t="s">
        <v>2877</v>
      </c>
      <c r="D2528" s="279">
        <v>100000</v>
      </c>
      <c r="F2528" s="40">
        <v>3.6799999999999999E-2</v>
      </c>
      <c r="G2528" s="41">
        <v>45072</v>
      </c>
      <c r="H2528" s="41">
        <v>45436</v>
      </c>
      <c r="I2528" s="39">
        <v>52</v>
      </c>
      <c r="J2528" s="39" t="s">
        <v>369</v>
      </c>
      <c r="K2528" s="39" t="s">
        <v>1716</v>
      </c>
      <c r="L2528" s="39" t="s">
        <v>1014</v>
      </c>
    </row>
    <row r="2529" spans="2:13" x14ac:dyDescent="0.2">
      <c r="B2529" s="38">
        <v>152806</v>
      </c>
      <c r="C2529" s="38" t="s">
        <v>2878</v>
      </c>
      <c r="D2529" s="279">
        <v>100000</v>
      </c>
      <c r="F2529" s="40">
        <v>4.07E-2</v>
      </c>
      <c r="G2529" s="41">
        <v>45191</v>
      </c>
      <c r="H2529" s="41">
        <v>46652</v>
      </c>
      <c r="I2529" s="39">
        <v>4</v>
      </c>
      <c r="J2529" s="39" t="s">
        <v>1716</v>
      </c>
      <c r="K2529" s="39" t="s">
        <v>1716</v>
      </c>
      <c r="L2529" s="39" t="s">
        <v>1014</v>
      </c>
    </row>
    <row r="2530" spans="2:13" x14ac:dyDescent="0.2">
      <c r="B2530" s="38">
        <v>152803</v>
      </c>
      <c r="C2530" s="38" t="s">
        <v>2879</v>
      </c>
      <c r="D2530" s="279">
        <v>100000</v>
      </c>
      <c r="F2530" s="40">
        <v>3.5999999999999997E-2</v>
      </c>
      <c r="G2530" s="41">
        <v>45191</v>
      </c>
      <c r="H2530" s="41">
        <v>45628</v>
      </c>
      <c r="I2530" s="39">
        <v>15</v>
      </c>
      <c r="J2530" s="39" t="s">
        <v>288</v>
      </c>
      <c r="K2530" s="39" t="s">
        <v>1716</v>
      </c>
      <c r="L2530" s="39" t="s">
        <v>1014</v>
      </c>
    </row>
    <row r="2531" spans="2:13" x14ac:dyDescent="0.2">
      <c r="B2531" s="38">
        <v>152688</v>
      </c>
      <c r="C2531" s="38" t="s">
        <v>2880</v>
      </c>
      <c r="D2531" s="279">
        <v>100000</v>
      </c>
      <c r="F2531" s="40">
        <v>3.7900000000000003E-2</v>
      </c>
      <c r="G2531" s="41">
        <v>45033</v>
      </c>
      <c r="H2531" s="41">
        <v>45397</v>
      </c>
      <c r="I2531" s="39">
        <v>52</v>
      </c>
      <c r="J2531" s="39" t="s">
        <v>369</v>
      </c>
      <c r="K2531" s="39" t="s">
        <v>1716</v>
      </c>
      <c r="L2531" s="39" t="s">
        <v>1014</v>
      </c>
    </row>
    <row r="2532" spans="2:13" x14ac:dyDescent="0.2">
      <c r="B2532" s="38">
        <v>141122</v>
      </c>
      <c r="C2532" s="38" t="s">
        <v>2881</v>
      </c>
      <c r="D2532" s="279">
        <v>100000</v>
      </c>
      <c r="F2532" s="40">
        <v>3.61E-2</v>
      </c>
      <c r="G2532" s="41">
        <v>45065</v>
      </c>
      <c r="H2532" s="41">
        <v>45429</v>
      </c>
      <c r="I2532" s="39">
        <v>52</v>
      </c>
      <c r="J2532" s="39" t="s">
        <v>369</v>
      </c>
      <c r="K2532" s="39" t="s">
        <v>1716</v>
      </c>
      <c r="L2532" s="39" t="s">
        <v>1014</v>
      </c>
    </row>
    <row r="2533" spans="2:13" x14ac:dyDescent="0.2">
      <c r="B2533" s="38">
        <v>152808</v>
      </c>
      <c r="C2533" s="38" t="s">
        <v>2882</v>
      </c>
      <c r="D2533" s="279">
        <v>100000</v>
      </c>
      <c r="F2533" s="40">
        <v>3.49E-2</v>
      </c>
      <c r="G2533" s="41">
        <v>45196</v>
      </c>
      <c r="H2533" s="41">
        <v>45560</v>
      </c>
      <c r="I2533" s="39">
        <v>52</v>
      </c>
      <c r="J2533" s="39" t="s">
        <v>369</v>
      </c>
      <c r="K2533" s="39" t="s">
        <v>1716</v>
      </c>
      <c r="L2533" s="39" t="s">
        <v>1014</v>
      </c>
    </row>
    <row r="2534" spans="2:13" x14ac:dyDescent="0.2">
      <c r="B2534" s="38">
        <v>152564</v>
      </c>
      <c r="C2534" s="38" t="s">
        <v>2883</v>
      </c>
      <c r="D2534" s="279">
        <v>100000</v>
      </c>
      <c r="F2534" s="40">
        <v>3.0499999999999999E-2</v>
      </c>
      <c r="G2534" s="41">
        <v>44865</v>
      </c>
      <c r="H2534" s="41">
        <v>45229</v>
      </c>
      <c r="I2534" s="39">
        <v>52</v>
      </c>
      <c r="J2534" s="39" t="s">
        <v>369</v>
      </c>
      <c r="K2534" s="39" t="s">
        <v>1716</v>
      </c>
      <c r="L2534" s="39" t="s">
        <v>1014</v>
      </c>
    </row>
    <row r="2535" spans="2:13" x14ac:dyDescent="0.2">
      <c r="B2535" s="38">
        <v>141144</v>
      </c>
      <c r="C2535" s="38" t="s">
        <v>2884</v>
      </c>
      <c r="D2535" s="279">
        <v>100000</v>
      </c>
      <c r="F2535" s="40">
        <v>3.0800000000000001E-2</v>
      </c>
      <c r="G2535" s="41">
        <v>45196</v>
      </c>
      <c r="H2535" s="41">
        <v>45287</v>
      </c>
      <c r="I2535" s="39">
        <v>13</v>
      </c>
      <c r="J2535" s="39" t="s">
        <v>369</v>
      </c>
      <c r="K2535" s="39" t="s">
        <v>1716</v>
      </c>
      <c r="L2535" s="39" t="s">
        <v>1014</v>
      </c>
      <c r="M2535" s="1028"/>
    </row>
    <row r="2536" spans="2:13" ht="15" x14ac:dyDescent="0.25">
      <c r="B2536" s="1025">
        <v>152809</v>
      </c>
      <c r="C2536" s="38" t="s">
        <v>2887</v>
      </c>
      <c r="D2536" s="279">
        <v>100000</v>
      </c>
      <c r="F2536" s="40">
        <v>3.15E-2</v>
      </c>
      <c r="G2536" s="41">
        <v>45201</v>
      </c>
      <c r="H2536" s="41">
        <v>45293</v>
      </c>
      <c r="I2536" s="39">
        <v>13</v>
      </c>
      <c r="J2536" s="39" t="s">
        <v>369</v>
      </c>
      <c r="K2536" s="39" t="s">
        <v>1716</v>
      </c>
      <c r="L2536" s="39" t="s">
        <v>1014</v>
      </c>
      <c r="M2536" s="1028"/>
    </row>
    <row r="2537" spans="2:13" ht="15" x14ac:dyDescent="0.25">
      <c r="B2537" s="1025">
        <v>152810</v>
      </c>
      <c r="C2537" s="38" t="s">
        <v>2886</v>
      </c>
      <c r="D2537" s="279">
        <v>100000</v>
      </c>
      <c r="F2537" s="40">
        <v>3.27E-2</v>
      </c>
      <c r="G2537" s="41">
        <v>45201</v>
      </c>
      <c r="H2537" s="41">
        <v>45383</v>
      </c>
      <c r="I2537" s="39">
        <v>26</v>
      </c>
      <c r="J2537" s="39" t="s">
        <v>369</v>
      </c>
      <c r="K2537" s="39" t="s">
        <v>1716</v>
      </c>
      <c r="L2537" s="39" t="s">
        <v>1014</v>
      </c>
      <c r="M2537" s="1028"/>
    </row>
    <row r="2538" spans="2:13" x14ac:dyDescent="0.2">
      <c r="B2538" s="38">
        <v>100909</v>
      </c>
      <c r="C2538" s="38" t="s">
        <v>2889</v>
      </c>
      <c r="D2538" s="279">
        <v>100000</v>
      </c>
      <c r="F2538" s="40">
        <v>3.9199999999999999E-2</v>
      </c>
      <c r="G2538" s="41">
        <v>45204</v>
      </c>
      <c r="H2538" s="41">
        <v>45935</v>
      </c>
      <c r="I2538" s="39">
        <v>2</v>
      </c>
      <c r="J2538" s="39" t="s">
        <v>1716</v>
      </c>
      <c r="K2538" s="39" t="s">
        <v>1716</v>
      </c>
      <c r="L2538" s="39" t="s">
        <v>1014</v>
      </c>
    </row>
    <row r="2539" spans="2:13" x14ac:dyDescent="0.2">
      <c r="B2539" s="38">
        <v>100911</v>
      </c>
      <c r="C2539" s="38" t="s">
        <v>2890</v>
      </c>
      <c r="D2539" s="279">
        <v>100000</v>
      </c>
      <c r="F2539" s="40">
        <v>3.7600000000000001E-2</v>
      </c>
      <c r="G2539" s="41">
        <v>45210</v>
      </c>
      <c r="H2539" s="41">
        <v>45941</v>
      </c>
      <c r="I2539" s="39">
        <v>2</v>
      </c>
      <c r="J2539" s="39" t="s">
        <v>1716</v>
      </c>
      <c r="K2539" s="39" t="s">
        <v>1716</v>
      </c>
      <c r="L2539" s="39" t="s">
        <v>1014</v>
      </c>
    </row>
    <row r="2540" spans="2:13" x14ac:dyDescent="0.2">
      <c r="B2540" s="38">
        <v>201830</v>
      </c>
      <c r="C2540" s="38" t="s">
        <v>2891</v>
      </c>
      <c r="D2540" s="279">
        <v>100000</v>
      </c>
      <c r="F2540" s="40">
        <v>3.2500000000000001E-2</v>
      </c>
      <c r="G2540" s="41">
        <v>45208</v>
      </c>
      <c r="H2540" s="41">
        <v>45677</v>
      </c>
      <c r="I2540" s="39">
        <v>1</v>
      </c>
      <c r="J2540" s="38" t="s">
        <v>1716</v>
      </c>
      <c r="K2540" s="39" t="s">
        <v>1716</v>
      </c>
      <c r="L2540" s="39" t="s">
        <v>1014</v>
      </c>
    </row>
    <row r="2541" spans="2:13" x14ac:dyDescent="0.2">
      <c r="B2541" s="38">
        <v>201824</v>
      </c>
      <c r="C2541" s="38" t="s">
        <v>2892</v>
      </c>
      <c r="D2541" s="279">
        <v>100000</v>
      </c>
      <c r="F2541" s="40">
        <v>3.4500000000000003E-2</v>
      </c>
      <c r="G2541" s="41">
        <v>45117</v>
      </c>
      <c r="H2541" s="41">
        <v>46069</v>
      </c>
      <c r="I2541" s="39">
        <v>2</v>
      </c>
      <c r="J2541" s="39" t="s">
        <v>1716</v>
      </c>
      <c r="K2541" s="39" t="s">
        <v>1716</v>
      </c>
      <c r="L2541" s="39" t="s">
        <v>1014</v>
      </c>
    </row>
    <row r="2542" spans="2:13" x14ac:dyDescent="0.2">
      <c r="B2542" s="38">
        <v>152834</v>
      </c>
      <c r="C2542" s="38" t="s">
        <v>2893</v>
      </c>
      <c r="D2542" s="279">
        <v>100000</v>
      </c>
      <c r="F2542" s="40">
        <v>3.39E-2</v>
      </c>
      <c r="G2542" s="41">
        <v>45230</v>
      </c>
      <c r="H2542" s="41">
        <v>45596</v>
      </c>
      <c r="I2542" s="39">
        <v>52</v>
      </c>
      <c r="J2542" s="39" t="s">
        <v>369</v>
      </c>
      <c r="K2542" s="39" t="s">
        <v>1716</v>
      </c>
      <c r="L2542" s="39" t="s">
        <v>1014</v>
      </c>
    </row>
    <row r="2543" spans="2:13" x14ac:dyDescent="0.2">
      <c r="B2543" s="38">
        <v>152833</v>
      </c>
      <c r="C2543" s="38" t="s">
        <v>2894</v>
      </c>
      <c r="D2543" s="279">
        <v>100000</v>
      </c>
      <c r="F2543" s="40">
        <v>3.1199999999999999E-2</v>
      </c>
      <c r="G2543" s="41">
        <v>45230</v>
      </c>
      <c r="H2543" s="41">
        <v>45383</v>
      </c>
      <c r="I2543" s="39">
        <v>26</v>
      </c>
      <c r="J2543" s="39" t="s">
        <v>369</v>
      </c>
      <c r="K2543" s="39" t="s">
        <v>1716</v>
      </c>
      <c r="L2543" s="39" t="s">
        <v>1014</v>
      </c>
    </row>
    <row r="2544" spans="2:13" x14ac:dyDescent="0.2">
      <c r="B2544" s="38">
        <v>152835</v>
      </c>
      <c r="C2544" s="38" t="s">
        <v>2895</v>
      </c>
      <c r="D2544" s="279">
        <v>100000</v>
      </c>
      <c r="F2544" s="40">
        <v>3.1600000000000003E-2</v>
      </c>
      <c r="G2544" s="41">
        <v>45230</v>
      </c>
      <c r="H2544" s="41">
        <v>45412</v>
      </c>
      <c r="I2544" s="39">
        <v>26</v>
      </c>
      <c r="J2544" s="39" t="s">
        <v>369</v>
      </c>
      <c r="K2544" s="39" t="s">
        <v>1716</v>
      </c>
      <c r="L2544" s="39" t="s">
        <v>1014</v>
      </c>
    </row>
    <row r="2545" spans="2:12" x14ac:dyDescent="0.2">
      <c r="B2545" s="38">
        <v>100915</v>
      </c>
      <c r="C2545" s="38" t="s">
        <v>2896</v>
      </c>
      <c r="D2545" s="279">
        <v>100000</v>
      </c>
      <c r="F2545" s="40">
        <v>3.8399999999999997E-2</v>
      </c>
      <c r="G2545" s="41">
        <v>45231</v>
      </c>
      <c r="H2545" s="41">
        <v>45962</v>
      </c>
      <c r="I2545" s="39">
        <v>2</v>
      </c>
      <c r="J2545" s="39" t="s">
        <v>1716</v>
      </c>
      <c r="K2545" s="39" t="s">
        <v>1716</v>
      </c>
      <c r="L2545" s="39" t="s">
        <v>1014</v>
      </c>
    </row>
    <row r="2546" spans="2:12" x14ac:dyDescent="0.2">
      <c r="B2546" s="38">
        <v>100916</v>
      </c>
      <c r="C2546" s="38" t="s">
        <v>2897</v>
      </c>
      <c r="D2546" s="279">
        <v>100000</v>
      </c>
      <c r="F2546" s="40">
        <v>3.7499999999999999E-2</v>
      </c>
      <c r="G2546" s="41">
        <v>45238</v>
      </c>
      <c r="H2546" s="41">
        <v>45969</v>
      </c>
      <c r="I2546" s="39">
        <v>2</v>
      </c>
      <c r="J2546" s="39" t="s">
        <v>1716</v>
      </c>
      <c r="K2546" s="39" t="s">
        <v>1716</v>
      </c>
      <c r="L2546" s="39" t="s">
        <v>1014</v>
      </c>
    </row>
    <row r="2547" spans="2:12" x14ac:dyDescent="0.2">
      <c r="B2547" s="38">
        <v>152712</v>
      </c>
      <c r="C2547" s="38" t="s">
        <v>2898</v>
      </c>
      <c r="D2547" s="279">
        <v>100000</v>
      </c>
      <c r="F2547" s="40">
        <v>3.7999999999999999E-2</v>
      </c>
      <c r="G2547" s="41">
        <v>45044</v>
      </c>
      <c r="H2547" s="41">
        <v>45408</v>
      </c>
      <c r="I2547" s="39">
        <v>52</v>
      </c>
      <c r="J2547" s="39" t="s">
        <v>369</v>
      </c>
      <c r="K2547" s="39" t="s">
        <v>1716</v>
      </c>
      <c r="L2547" s="39" t="s">
        <v>1014</v>
      </c>
    </row>
    <row r="2548" spans="2:12" x14ac:dyDescent="0.2">
      <c r="B2548" s="38">
        <v>201831</v>
      </c>
      <c r="C2548" s="38" t="s">
        <v>2899</v>
      </c>
      <c r="D2548" s="279">
        <v>100000</v>
      </c>
      <c r="F2548" s="40">
        <v>2.92E-2</v>
      </c>
      <c r="G2548" s="41">
        <v>45222</v>
      </c>
      <c r="H2548" s="41">
        <v>45313</v>
      </c>
      <c r="I2548" s="39">
        <v>13</v>
      </c>
      <c r="J2548" s="39" t="s">
        <v>369</v>
      </c>
      <c r="K2548" s="39" t="s">
        <v>1716</v>
      </c>
      <c r="L2548" s="39" t="s">
        <v>1014</v>
      </c>
    </row>
    <row r="2549" spans="2:12" x14ac:dyDescent="0.2">
      <c r="B2549" s="38">
        <v>201832</v>
      </c>
      <c r="C2549" s="38" t="s">
        <v>2900</v>
      </c>
      <c r="D2549" s="279">
        <v>100000</v>
      </c>
      <c r="F2549" s="40">
        <v>2.9000000000000001E-2</v>
      </c>
      <c r="G2549" s="41">
        <v>45229</v>
      </c>
      <c r="H2549" s="41">
        <v>45320</v>
      </c>
      <c r="I2549" s="39">
        <v>13</v>
      </c>
      <c r="J2549" s="39" t="s">
        <v>369</v>
      </c>
      <c r="K2549" s="39" t="s">
        <v>1716</v>
      </c>
      <c r="L2549" s="39" t="s">
        <v>1014</v>
      </c>
    </row>
    <row r="2550" spans="2:12" x14ac:dyDescent="0.2">
      <c r="B2550" s="38">
        <v>152689</v>
      </c>
      <c r="C2550" s="38" t="s">
        <v>2901</v>
      </c>
      <c r="D2550" s="279">
        <v>100000</v>
      </c>
      <c r="F2550" s="40">
        <v>3.7900000000000003E-2</v>
      </c>
      <c r="G2550" s="41">
        <v>45035</v>
      </c>
      <c r="H2550" s="41">
        <v>45399</v>
      </c>
      <c r="I2550" s="39">
        <v>52</v>
      </c>
      <c r="J2550" s="39" t="s">
        <v>369</v>
      </c>
      <c r="K2550" s="39" t="s">
        <v>1716</v>
      </c>
      <c r="L2550" s="39" t="s">
        <v>1014</v>
      </c>
    </row>
    <row r="2551" spans="2:12" x14ac:dyDescent="0.2">
      <c r="B2551" s="38">
        <v>201818</v>
      </c>
      <c r="C2551" s="38" t="s">
        <v>2902</v>
      </c>
      <c r="D2551" s="279">
        <v>100000</v>
      </c>
      <c r="F2551" s="40">
        <v>3.1E-2</v>
      </c>
      <c r="G2551" s="41">
        <v>45082</v>
      </c>
      <c r="H2551" s="41">
        <v>45264</v>
      </c>
      <c r="I2551" s="39">
        <v>26</v>
      </c>
      <c r="J2551" s="39" t="s">
        <v>369</v>
      </c>
      <c r="K2551" s="39" t="s">
        <v>1716</v>
      </c>
      <c r="L2551" s="39" t="s">
        <v>1014</v>
      </c>
    </row>
    <row r="2552" spans="2:12" x14ac:dyDescent="0.2">
      <c r="B2552" s="38">
        <v>152739</v>
      </c>
      <c r="C2552" s="38" t="s">
        <v>2903</v>
      </c>
      <c r="D2552" s="279">
        <v>100000</v>
      </c>
      <c r="F2552" s="40">
        <v>4.1200000000000001E-2</v>
      </c>
      <c r="G2552" s="41">
        <v>45075</v>
      </c>
      <c r="H2552" s="41">
        <v>45931</v>
      </c>
      <c r="I2552" s="39">
        <v>2</v>
      </c>
      <c r="J2552" s="39" t="s">
        <v>1716</v>
      </c>
      <c r="K2552" s="39" t="s">
        <v>1716</v>
      </c>
      <c r="L2552" s="39" t="s">
        <v>1014</v>
      </c>
    </row>
    <row r="2553" spans="2:12" x14ac:dyDescent="0.2">
      <c r="B2553" s="38">
        <v>152807</v>
      </c>
      <c r="C2553" s="38" t="s">
        <v>2904</v>
      </c>
      <c r="D2553" s="279">
        <v>100000</v>
      </c>
      <c r="F2553" s="40">
        <v>3.27E-2</v>
      </c>
      <c r="G2553" s="41">
        <v>45196</v>
      </c>
      <c r="H2553" s="41">
        <v>45379</v>
      </c>
      <c r="I2553" s="39">
        <v>26</v>
      </c>
      <c r="J2553" s="39" t="s">
        <v>369</v>
      </c>
      <c r="K2553" s="39" t="s">
        <v>1716</v>
      </c>
      <c r="L2553" s="39" t="s">
        <v>1014</v>
      </c>
    </row>
    <row r="2554" spans="2:12" x14ac:dyDescent="0.2">
      <c r="B2554" s="38">
        <v>201763</v>
      </c>
      <c r="C2554" s="38" t="s">
        <v>2905</v>
      </c>
      <c r="D2554" s="279">
        <v>100000</v>
      </c>
      <c r="F2554" s="40">
        <v>3.32E-2</v>
      </c>
      <c r="G2554" s="41">
        <v>45258</v>
      </c>
      <c r="H2554" s="41">
        <v>45624</v>
      </c>
      <c r="I2554" s="39">
        <v>5</v>
      </c>
      <c r="J2554" s="39" t="s">
        <v>1716</v>
      </c>
      <c r="K2554" s="39" t="s">
        <v>1716</v>
      </c>
      <c r="L2554" s="39" t="s">
        <v>1014</v>
      </c>
    </row>
    <row r="2555" spans="2:12" x14ac:dyDescent="0.2">
      <c r="B2555" s="38">
        <v>152847</v>
      </c>
      <c r="C2555" s="38" t="s">
        <v>2906</v>
      </c>
      <c r="D2555" s="279">
        <v>100000</v>
      </c>
      <c r="F2555" s="40">
        <v>3.1600000000000003E-2</v>
      </c>
      <c r="G2555" s="41">
        <v>45260</v>
      </c>
      <c r="H2555" s="41">
        <v>45443</v>
      </c>
      <c r="I2555" s="39">
        <v>26</v>
      </c>
      <c r="J2555" s="39" t="s">
        <v>1716</v>
      </c>
      <c r="K2555" s="39" t="s">
        <v>1716</v>
      </c>
      <c r="L2555" s="39" t="s">
        <v>1014</v>
      </c>
    </row>
    <row r="2556" spans="2:12" x14ac:dyDescent="0.2">
      <c r="B2556" s="38">
        <v>152849</v>
      </c>
      <c r="C2556" s="38" t="s">
        <v>2907</v>
      </c>
      <c r="D2556" s="279">
        <v>100000</v>
      </c>
      <c r="F2556" s="40">
        <v>3.3500000000000002E-2</v>
      </c>
      <c r="G2556" s="41">
        <v>45260</v>
      </c>
      <c r="H2556" s="41">
        <v>45624</v>
      </c>
      <c r="I2556" s="39">
        <v>52</v>
      </c>
      <c r="J2556" s="39" t="s">
        <v>1716</v>
      </c>
      <c r="K2556" s="39" t="s">
        <v>1716</v>
      </c>
      <c r="L2556" s="39" t="s">
        <v>1014</v>
      </c>
    </row>
    <row r="2557" spans="2:12" x14ac:dyDescent="0.2">
      <c r="B2557" s="38">
        <v>152846</v>
      </c>
      <c r="C2557" s="38" t="s">
        <v>2908</v>
      </c>
      <c r="D2557" s="279">
        <v>100000</v>
      </c>
      <c r="F2557" s="40">
        <v>3.27E-2</v>
      </c>
      <c r="G2557" s="41">
        <v>45260</v>
      </c>
      <c r="H2557" s="41">
        <v>45534</v>
      </c>
      <c r="I2557" s="39">
        <v>9</v>
      </c>
      <c r="J2557" s="39" t="s">
        <v>288</v>
      </c>
      <c r="K2557" s="39" t="s">
        <v>1137</v>
      </c>
      <c r="L2557" s="39" t="s">
        <v>1014</v>
      </c>
    </row>
    <row r="2558" spans="2:12" x14ac:dyDescent="0.2">
      <c r="B2558" s="38">
        <v>152848</v>
      </c>
      <c r="C2558" s="38" t="s">
        <v>2909</v>
      </c>
      <c r="D2558" s="279">
        <v>100000</v>
      </c>
      <c r="F2558" s="40">
        <v>3.0800000000000001E-2</v>
      </c>
      <c r="G2558" s="41">
        <v>45260</v>
      </c>
      <c r="H2558" s="41">
        <v>45352</v>
      </c>
      <c r="I2558" s="39">
        <v>13</v>
      </c>
      <c r="J2558" s="39" t="s">
        <v>369</v>
      </c>
      <c r="K2558" s="39" t="s">
        <v>1716</v>
      </c>
      <c r="L2558" s="39" t="s">
        <v>1014</v>
      </c>
    </row>
    <row r="2559" spans="2:12" x14ac:dyDescent="0.2">
      <c r="B2559" s="38">
        <v>100921</v>
      </c>
      <c r="C2559" s="38" t="s">
        <v>2910</v>
      </c>
      <c r="D2559" s="279">
        <v>100000</v>
      </c>
      <c r="F2559" s="40">
        <v>3.7199999999999997E-2</v>
      </c>
      <c r="G2559" s="41">
        <v>45261</v>
      </c>
      <c r="H2559" s="41">
        <v>45992</v>
      </c>
      <c r="I2559" s="39">
        <v>2</v>
      </c>
      <c r="J2559" s="39" t="s">
        <v>1716</v>
      </c>
      <c r="K2559" s="39" t="s">
        <v>1716</v>
      </c>
      <c r="L2559" s="39" t="s">
        <v>1014</v>
      </c>
    </row>
    <row r="2560" spans="2:12" x14ac:dyDescent="0.2">
      <c r="B2560" s="38">
        <v>9593</v>
      </c>
      <c r="C2560" s="38" t="s">
        <v>2911</v>
      </c>
      <c r="D2560" s="279">
        <v>100000</v>
      </c>
      <c r="F2560" s="40">
        <v>3.6999999999999998E-2</v>
      </c>
      <c r="G2560" s="41">
        <v>45274</v>
      </c>
      <c r="H2560" s="41">
        <v>45640</v>
      </c>
      <c r="I2560" s="39">
        <v>52</v>
      </c>
      <c r="J2560" s="39" t="s">
        <v>1716</v>
      </c>
      <c r="K2560" s="39" t="s">
        <v>1716</v>
      </c>
      <c r="L2560" s="39" t="s">
        <v>1014</v>
      </c>
    </row>
    <row r="2561" spans="2:13" x14ac:dyDescent="0.2">
      <c r="B2561" s="38">
        <v>9596</v>
      </c>
      <c r="C2561" s="38" t="s">
        <v>2912</v>
      </c>
      <c r="D2561" s="279">
        <v>100000</v>
      </c>
      <c r="F2561" s="40">
        <v>5.9400000000000001E-2</v>
      </c>
      <c r="G2561" s="41">
        <v>45274</v>
      </c>
      <c r="H2561" s="41">
        <v>52579</v>
      </c>
      <c r="I2561" s="39">
        <v>20</v>
      </c>
      <c r="J2561" s="39" t="s">
        <v>1716</v>
      </c>
      <c r="K2561" s="39" t="s">
        <v>1716</v>
      </c>
      <c r="L2561" s="39" t="s">
        <v>1014</v>
      </c>
    </row>
    <row r="2562" spans="2:13" x14ac:dyDescent="0.2">
      <c r="B2562" s="38">
        <v>152856</v>
      </c>
      <c r="C2562" s="38" t="s">
        <v>2913</v>
      </c>
      <c r="D2562" s="279">
        <v>100000</v>
      </c>
      <c r="F2562" s="40">
        <v>3.1800000000000002E-2</v>
      </c>
      <c r="G2562" s="41">
        <v>45287</v>
      </c>
      <c r="H2562" s="41">
        <v>45470</v>
      </c>
      <c r="I2562" s="39">
        <v>26</v>
      </c>
      <c r="J2562" s="39" t="s">
        <v>1716</v>
      </c>
      <c r="K2562" s="39" t="s">
        <v>1716</v>
      </c>
      <c r="L2562" s="39" t="s">
        <v>1014</v>
      </c>
    </row>
    <row r="2563" spans="2:13" x14ac:dyDescent="0.2">
      <c r="B2563" s="38">
        <v>9600</v>
      </c>
      <c r="C2563" s="38" t="s">
        <v>2914</v>
      </c>
      <c r="D2563" s="279">
        <v>100000</v>
      </c>
      <c r="F2563" s="40">
        <v>4.3900000000000002E-2</v>
      </c>
      <c r="G2563" s="41">
        <v>45288</v>
      </c>
      <c r="H2563" s="41">
        <v>47845</v>
      </c>
      <c r="I2563" s="39">
        <v>7</v>
      </c>
      <c r="J2563" s="39" t="s">
        <v>1716</v>
      </c>
      <c r="K2563" s="39" t="s">
        <v>1716</v>
      </c>
      <c r="L2563" s="39" t="s">
        <v>1014</v>
      </c>
    </row>
    <row r="2564" spans="2:13" x14ac:dyDescent="0.2">
      <c r="B2564" s="38">
        <v>9602</v>
      </c>
      <c r="C2564" s="38" t="s">
        <v>2915</v>
      </c>
      <c r="D2564" s="279">
        <v>100000</v>
      </c>
      <c r="F2564" s="40">
        <v>5.1299999999999998E-2</v>
      </c>
      <c r="G2564" s="41">
        <v>45288</v>
      </c>
      <c r="H2564" s="41">
        <v>45654</v>
      </c>
      <c r="I2564" s="39">
        <v>52</v>
      </c>
      <c r="J2564" s="39" t="s">
        <v>1716</v>
      </c>
      <c r="K2564" s="39" t="s">
        <v>1716</v>
      </c>
      <c r="L2564" s="39" t="s">
        <v>1014</v>
      </c>
    </row>
    <row r="2565" spans="2:13" x14ac:dyDescent="0.2">
      <c r="B2565" s="38">
        <v>9606</v>
      </c>
      <c r="C2565" s="38" t="s">
        <v>2916</v>
      </c>
      <c r="D2565" s="279">
        <v>100000</v>
      </c>
      <c r="F2565" s="40">
        <v>3.4700000000000002E-2</v>
      </c>
      <c r="G2565" s="41">
        <v>45289</v>
      </c>
      <c r="H2565" s="41">
        <v>45655</v>
      </c>
      <c r="I2565" s="39">
        <v>52</v>
      </c>
      <c r="J2565" s="39" t="s">
        <v>1716</v>
      </c>
      <c r="K2565" s="39" t="s">
        <v>1716</v>
      </c>
      <c r="L2565" s="39" t="s">
        <v>1014</v>
      </c>
      <c r="M2565" s="38" t="s">
        <v>2917</v>
      </c>
    </row>
    <row r="2566" spans="2:13" x14ac:dyDescent="0.2">
      <c r="B2566" s="38">
        <v>100925</v>
      </c>
      <c r="C2566" s="38" t="s">
        <v>2918</v>
      </c>
      <c r="D2566" s="279">
        <v>100000</v>
      </c>
      <c r="F2566" s="40">
        <v>3.6799999999999999E-2</v>
      </c>
      <c r="G2566" s="41">
        <v>45310</v>
      </c>
      <c r="H2566" s="41">
        <v>46406</v>
      </c>
      <c r="I2566" s="39">
        <v>3</v>
      </c>
      <c r="J2566" s="39" t="s">
        <v>1716</v>
      </c>
      <c r="K2566" s="39" t="s">
        <v>1716</v>
      </c>
      <c r="L2566" s="39" t="s">
        <v>1014</v>
      </c>
    </row>
    <row r="2567" spans="2:13" x14ac:dyDescent="0.2">
      <c r="B2567" s="38">
        <v>201837</v>
      </c>
      <c r="C2567" s="38" t="s">
        <v>2919</v>
      </c>
      <c r="D2567" s="279">
        <v>100000</v>
      </c>
      <c r="F2567" s="40">
        <v>0.04</v>
      </c>
      <c r="G2567" s="41">
        <v>45293</v>
      </c>
      <c r="H2567" s="41">
        <v>49205</v>
      </c>
      <c r="I2567" s="39">
        <v>10</v>
      </c>
      <c r="J2567" s="39" t="s">
        <v>1716</v>
      </c>
      <c r="K2567" s="39" t="s">
        <v>1716</v>
      </c>
      <c r="L2567" s="39" t="s">
        <v>1014</v>
      </c>
    </row>
    <row r="2568" spans="2:13" x14ac:dyDescent="0.2">
      <c r="B2568" s="38">
        <v>100928</v>
      </c>
      <c r="C2568" s="38" t="s">
        <v>2920</v>
      </c>
      <c r="D2568" s="279">
        <v>100000</v>
      </c>
      <c r="F2568" s="40">
        <v>3.7400000000000003E-2</v>
      </c>
      <c r="G2568" s="41">
        <v>45316</v>
      </c>
      <c r="H2568" s="41">
        <v>46412</v>
      </c>
      <c r="I2568" s="39">
        <v>3</v>
      </c>
      <c r="J2568" s="39" t="s">
        <v>1716</v>
      </c>
      <c r="K2568" s="39" t="s">
        <v>1716</v>
      </c>
      <c r="L2568" s="39" t="s">
        <v>1014</v>
      </c>
    </row>
    <row r="2569" spans="2:13" x14ac:dyDescent="0.2">
      <c r="B2569" s="38">
        <v>100929</v>
      </c>
      <c r="C2569" s="38" t="s">
        <v>2921</v>
      </c>
      <c r="D2569" s="279">
        <v>100000</v>
      </c>
      <c r="F2569" s="40">
        <v>3.56E-2</v>
      </c>
      <c r="G2569" s="41">
        <v>45316</v>
      </c>
      <c r="H2569" s="41">
        <v>46047</v>
      </c>
      <c r="I2569" s="39">
        <v>2</v>
      </c>
      <c r="J2569" s="39" t="s">
        <v>1716</v>
      </c>
      <c r="K2569" s="39" t="s">
        <v>1716</v>
      </c>
      <c r="L2569" s="39" t="s">
        <v>1014</v>
      </c>
    </row>
    <row r="2570" spans="2:13" x14ac:dyDescent="0.2">
      <c r="B2570" s="38">
        <v>152435</v>
      </c>
      <c r="C2570" s="38" t="s">
        <v>2922</v>
      </c>
      <c r="D2570" s="279">
        <v>100000</v>
      </c>
      <c r="F2570" s="40">
        <v>2.4799999999999999E-2</v>
      </c>
      <c r="G2570" s="41">
        <v>44487</v>
      </c>
      <c r="H2570" s="41">
        <v>46313</v>
      </c>
      <c r="I2570" s="39">
        <v>5</v>
      </c>
      <c r="J2570" s="39" t="s">
        <v>1716</v>
      </c>
      <c r="K2570" s="39" t="s">
        <v>1716</v>
      </c>
      <c r="L2570" s="39" t="s">
        <v>1014</v>
      </c>
    </row>
    <row r="2571" spans="2:13" x14ac:dyDescent="0.2">
      <c r="B2571" s="38">
        <v>141152</v>
      </c>
      <c r="C2571" s="38" t="s">
        <v>2923</v>
      </c>
      <c r="D2571" s="279">
        <v>100000</v>
      </c>
      <c r="F2571" s="40">
        <v>3.1800000000000002E-2</v>
      </c>
      <c r="G2571" s="41">
        <v>45316</v>
      </c>
      <c r="H2571" s="41">
        <v>45498</v>
      </c>
      <c r="I2571" s="39">
        <v>26</v>
      </c>
      <c r="J2571" s="39" t="s">
        <v>369</v>
      </c>
      <c r="K2571" s="39" t="s">
        <v>1716</v>
      </c>
      <c r="L2571" s="39" t="s">
        <v>1014</v>
      </c>
    </row>
    <row r="2572" spans="2:13" x14ac:dyDescent="0.2">
      <c r="B2572" s="38">
        <v>201841</v>
      </c>
      <c r="C2572" s="38" t="s">
        <v>2925</v>
      </c>
      <c r="D2572" s="279">
        <v>100000</v>
      </c>
      <c r="F2572" s="40">
        <v>4.2500000000000003E-2</v>
      </c>
      <c r="G2572" s="41">
        <v>45306</v>
      </c>
      <c r="H2572" s="41">
        <v>50969</v>
      </c>
      <c r="I2572" s="39">
        <v>15</v>
      </c>
      <c r="J2572" s="39" t="s">
        <v>1716</v>
      </c>
      <c r="K2572" s="39" t="s">
        <v>1716</v>
      </c>
      <c r="L2572" s="39" t="s">
        <v>1014</v>
      </c>
    </row>
    <row r="2573" spans="2:13" x14ac:dyDescent="0.2">
      <c r="B2573" s="38">
        <v>152878</v>
      </c>
      <c r="C2573" s="38" t="s">
        <v>2926</v>
      </c>
      <c r="D2573" s="279">
        <v>100000</v>
      </c>
      <c r="F2573" s="40">
        <v>3.6299999999999999E-2</v>
      </c>
      <c r="G2573" s="41">
        <v>45337</v>
      </c>
      <c r="H2573" s="41">
        <v>46068</v>
      </c>
      <c r="I2573" s="39">
        <v>2</v>
      </c>
      <c r="J2573" s="39" t="s">
        <v>1716</v>
      </c>
      <c r="K2573" s="39" t="s">
        <v>1716</v>
      </c>
      <c r="L2573" s="39" t="s">
        <v>1014</v>
      </c>
    </row>
    <row r="2574" spans="2:13" x14ac:dyDescent="0.2">
      <c r="B2574" s="38">
        <v>152877</v>
      </c>
      <c r="C2574" s="38" t="s">
        <v>2927</v>
      </c>
      <c r="D2574" s="279">
        <v>100000</v>
      </c>
      <c r="F2574" s="40">
        <v>3.7499999999999999E-2</v>
      </c>
      <c r="G2574" s="41">
        <v>45337</v>
      </c>
      <c r="H2574" s="41">
        <v>46433</v>
      </c>
      <c r="I2574" s="39">
        <v>3</v>
      </c>
      <c r="J2574" s="39" t="s">
        <v>1716</v>
      </c>
      <c r="K2574" s="39" t="s">
        <v>1716</v>
      </c>
      <c r="L2574" s="39" t="s">
        <v>1014</v>
      </c>
    </row>
    <row r="2575" spans="2:13" x14ac:dyDescent="0.2">
      <c r="B2575" s="38">
        <v>152885</v>
      </c>
      <c r="C2575" s="38" t="s">
        <v>2928</v>
      </c>
      <c r="D2575" s="279">
        <v>100000</v>
      </c>
      <c r="F2575" s="40">
        <v>3.1399999999999997E-2</v>
      </c>
      <c r="G2575" s="41">
        <v>45350</v>
      </c>
      <c r="H2575" s="41">
        <v>45441</v>
      </c>
      <c r="I2575" s="39">
        <v>13</v>
      </c>
      <c r="J2575" s="39" t="s">
        <v>369</v>
      </c>
      <c r="K2575" s="39" t="s">
        <v>1716</v>
      </c>
      <c r="L2575" s="39" t="s">
        <v>1014</v>
      </c>
    </row>
    <row r="2576" spans="2:13" x14ac:dyDescent="0.2">
      <c r="B2576" s="38">
        <v>152884</v>
      </c>
      <c r="C2576" s="38" t="s">
        <v>2929</v>
      </c>
      <c r="D2576" s="279">
        <v>100000</v>
      </c>
      <c r="F2576" s="40">
        <v>3.27E-2</v>
      </c>
      <c r="G2576" s="41">
        <v>45350</v>
      </c>
      <c r="H2576" s="41">
        <v>45532</v>
      </c>
      <c r="I2576" s="39">
        <v>26</v>
      </c>
      <c r="J2576" s="39" t="s">
        <v>369</v>
      </c>
      <c r="K2576" s="39" t="s">
        <v>1716</v>
      </c>
      <c r="L2576" s="39" t="s">
        <v>1014</v>
      </c>
    </row>
    <row r="2577" spans="1:14" x14ac:dyDescent="0.2">
      <c r="B2577" s="38">
        <v>100932</v>
      </c>
      <c r="C2577" s="38" t="s">
        <v>2930</v>
      </c>
      <c r="D2577" s="279">
        <v>100000</v>
      </c>
      <c r="F2577" s="40">
        <v>3.8100000000000002E-2</v>
      </c>
      <c r="G2577" s="41">
        <v>45350</v>
      </c>
      <c r="H2577" s="41">
        <v>46083</v>
      </c>
      <c r="I2577" s="39">
        <v>2</v>
      </c>
      <c r="J2577" s="39" t="s">
        <v>1716</v>
      </c>
      <c r="K2577" s="39" t="s">
        <v>1716</v>
      </c>
      <c r="L2577" s="39" t="s">
        <v>1014</v>
      </c>
    </row>
    <row r="2578" spans="1:14" x14ac:dyDescent="0.2">
      <c r="B2578" s="38">
        <v>100931</v>
      </c>
      <c r="C2578" s="38" t="s">
        <v>2931</v>
      </c>
      <c r="D2578" s="279">
        <v>100000</v>
      </c>
      <c r="F2578" s="40">
        <v>3.8399999999999997E-2</v>
      </c>
      <c r="G2578" s="41">
        <v>45350</v>
      </c>
      <c r="H2578" s="41">
        <v>46170</v>
      </c>
      <c r="I2578" s="39">
        <v>27</v>
      </c>
      <c r="J2578" s="39" t="s">
        <v>288</v>
      </c>
      <c r="K2578" s="39" t="s">
        <v>1716</v>
      </c>
      <c r="L2578" s="39" t="s">
        <v>1014</v>
      </c>
    </row>
    <row r="2579" spans="1:14" x14ac:dyDescent="0.2">
      <c r="B2579" s="38">
        <v>152880</v>
      </c>
      <c r="C2579" s="38" t="s">
        <v>2932</v>
      </c>
      <c r="D2579" s="279">
        <v>100000</v>
      </c>
      <c r="F2579" s="46">
        <v>3.0700000000000002E-2</v>
      </c>
      <c r="G2579" s="41">
        <v>45345</v>
      </c>
      <c r="H2579" s="41">
        <v>46076</v>
      </c>
      <c r="I2579" s="39">
        <v>52</v>
      </c>
      <c r="J2579" s="39" t="s">
        <v>369</v>
      </c>
      <c r="K2579" s="39" t="s">
        <v>1716</v>
      </c>
      <c r="L2579" s="39" t="s">
        <v>1014</v>
      </c>
    </row>
    <row r="2580" spans="1:14" x14ac:dyDescent="0.2">
      <c r="B2580">
        <v>152881</v>
      </c>
      <c r="C2580" s="38" t="s">
        <v>2933</v>
      </c>
      <c r="D2580" s="279">
        <v>100000</v>
      </c>
      <c r="F2580" s="40">
        <v>0.04</v>
      </c>
      <c r="G2580" s="41">
        <v>45345</v>
      </c>
      <c r="H2580" s="41">
        <v>47172</v>
      </c>
      <c r="I2580" s="39">
        <v>5</v>
      </c>
      <c r="J2580" s="39" t="s">
        <v>1716</v>
      </c>
      <c r="K2580" s="39" t="s">
        <v>1716</v>
      </c>
      <c r="L2580" s="39" t="s">
        <v>1014</v>
      </c>
    </row>
    <row r="2581" spans="1:14" x14ac:dyDescent="0.2">
      <c r="B2581" s="38">
        <v>201833</v>
      </c>
      <c r="C2581" s="38" t="s">
        <v>2934</v>
      </c>
      <c r="D2581" s="279">
        <v>100000</v>
      </c>
      <c r="F2581" s="40">
        <v>2.98E-2</v>
      </c>
      <c r="G2581" s="41">
        <v>45237</v>
      </c>
      <c r="H2581" s="41">
        <v>45419</v>
      </c>
      <c r="I2581" s="39">
        <v>26</v>
      </c>
      <c r="J2581" s="39" t="s">
        <v>369</v>
      </c>
      <c r="K2581" s="39" t="s">
        <v>1716</v>
      </c>
      <c r="L2581" s="39" t="s">
        <v>1014</v>
      </c>
    </row>
    <row r="2582" spans="1:14" x14ac:dyDescent="0.2">
      <c r="B2582">
        <v>201835</v>
      </c>
      <c r="C2582" s="38" t="s">
        <v>2935</v>
      </c>
      <c r="D2582" s="279">
        <v>100000</v>
      </c>
      <c r="F2582" s="40">
        <v>3.3500000000000002E-2</v>
      </c>
      <c r="G2582" s="41">
        <v>45271</v>
      </c>
      <c r="H2582" s="41">
        <v>46160</v>
      </c>
      <c r="I2582" s="39">
        <v>2</v>
      </c>
      <c r="J2582" s="39" t="s">
        <v>1716</v>
      </c>
      <c r="K2582" s="39" t="s">
        <v>1716</v>
      </c>
      <c r="L2582" s="39" t="s">
        <v>1014</v>
      </c>
    </row>
    <row r="2583" spans="1:14" x14ac:dyDescent="0.2">
      <c r="B2583" s="38">
        <v>201843</v>
      </c>
      <c r="C2583" s="38" t="s">
        <v>2936</v>
      </c>
      <c r="D2583" s="279">
        <v>100000</v>
      </c>
      <c r="F2583" s="40">
        <v>2.7900000000000001E-2</v>
      </c>
      <c r="G2583" s="41">
        <v>45313</v>
      </c>
      <c r="H2583" s="41">
        <v>45404</v>
      </c>
      <c r="I2583" s="39">
        <v>13</v>
      </c>
      <c r="J2583" s="39" t="s">
        <v>369</v>
      </c>
      <c r="K2583" s="39" t="s">
        <v>1716</v>
      </c>
      <c r="L2583" s="39" t="s">
        <v>1014</v>
      </c>
    </row>
    <row r="2584" spans="1:14" s="1221" customFormat="1" x14ac:dyDescent="0.2">
      <c r="A2584" s="1216"/>
      <c r="B2584" s="1216">
        <v>152899</v>
      </c>
      <c r="C2584" s="1216" t="s">
        <v>2937</v>
      </c>
      <c r="D2584" s="1217">
        <v>100000</v>
      </c>
      <c r="E2584" s="1216"/>
      <c r="F2584" s="1218">
        <v>3.5499999999999997E-2</v>
      </c>
      <c r="G2584" s="1219">
        <v>45372</v>
      </c>
      <c r="H2584" s="1219">
        <v>46102</v>
      </c>
      <c r="I2584" s="1220">
        <v>2</v>
      </c>
      <c r="J2584" s="1220" t="s">
        <v>1716</v>
      </c>
      <c r="K2584" s="1220" t="s">
        <v>1716</v>
      </c>
      <c r="L2584" s="1220" t="s">
        <v>1014</v>
      </c>
      <c r="M2584" s="1216"/>
      <c r="N2584" s="1216"/>
    </row>
    <row r="2585" spans="1:14" x14ac:dyDescent="0.2">
      <c r="B2585" s="38">
        <v>152900</v>
      </c>
      <c r="C2585" s="38" t="s">
        <v>2938</v>
      </c>
      <c r="D2585" s="279">
        <v>100000</v>
      </c>
      <c r="F2585" s="40">
        <v>3.3500000000000002E-2</v>
      </c>
      <c r="G2585" s="41">
        <v>45372</v>
      </c>
      <c r="H2585" s="41">
        <v>45737</v>
      </c>
      <c r="I2585" s="39">
        <v>52</v>
      </c>
      <c r="J2585" s="39" t="s">
        <v>369</v>
      </c>
      <c r="K2585" s="39" t="s">
        <v>1716</v>
      </c>
      <c r="L2585" s="39" t="s">
        <v>1014</v>
      </c>
    </row>
    <row r="2586" spans="1:14" x14ac:dyDescent="0.2">
      <c r="B2586" s="38">
        <v>152898</v>
      </c>
      <c r="C2586" s="38" t="s">
        <v>2939</v>
      </c>
      <c r="D2586" s="279">
        <v>100000</v>
      </c>
      <c r="F2586" s="40">
        <v>3.6499999999999998E-2</v>
      </c>
      <c r="G2586" s="41">
        <v>45372</v>
      </c>
      <c r="H2586" s="41">
        <v>46467</v>
      </c>
      <c r="I2586" s="39">
        <v>3</v>
      </c>
      <c r="J2586" s="39" t="s">
        <v>1716</v>
      </c>
      <c r="K2586" s="39" t="s">
        <v>1716</v>
      </c>
      <c r="L2586" s="39" t="s">
        <v>1014</v>
      </c>
    </row>
    <row r="2587" spans="1:14" x14ac:dyDescent="0.2">
      <c r="B2587" s="38">
        <v>201840</v>
      </c>
      <c r="C2587" s="38" t="s">
        <v>2940</v>
      </c>
      <c r="D2587" s="279">
        <v>100000</v>
      </c>
      <c r="F2587" s="40">
        <v>3.5000000000000003E-2</v>
      </c>
      <c r="G2587" s="41">
        <v>45306</v>
      </c>
      <c r="H2587" s="41">
        <v>47406</v>
      </c>
      <c r="I2587" s="39">
        <v>5</v>
      </c>
      <c r="J2587" s="39" t="s">
        <v>1716</v>
      </c>
      <c r="K2587" s="39" t="s">
        <v>1716</v>
      </c>
      <c r="L2587" s="39" t="s">
        <v>1014</v>
      </c>
    </row>
    <row r="2588" spans="1:14" x14ac:dyDescent="0.2">
      <c r="B2588" s="38">
        <v>9607</v>
      </c>
      <c r="C2588" s="38" t="s">
        <v>2941</v>
      </c>
      <c r="D2588" s="279">
        <v>100000</v>
      </c>
      <c r="F2588" s="40">
        <v>3.9399999999999998E-2</v>
      </c>
      <c r="G2588" s="41">
        <v>45379</v>
      </c>
      <c r="H2588" s="41">
        <v>47205</v>
      </c>
      <c r="I2588" s="39">
        <v>5</v>
      </c>
      <c r="J2588" s="39" t="s">
        <v>1716</v>
      </c>
      <c r="K2588" s="39" t="s">
        <v>1716</v>
      </c>
      <c r="L2588" s="39" t="s">
        <v>1014</v>
      </c>
    </row>
    <row r="2589" spans="1:14" x14ac:dyDescent="0.2">
      <c r="B2589" s="38">
        <v>152905</v>
      </c>
      <c r="C2589" s="38" t="s">
        <v>2942</v>
      </c>
      <c r="D2589" s="279">
        <v>100000</v>
      </c>
      <c r="F2589" s="40">
        <v>3.3099999999999997E-2</v>
      </c>
      <c r="G2589" s="41">
        <v>45380</v>
      </c>
      <c r="H2589" s="41">
        <v>45653</v>
      </c>
      <c r="I2589" s="39">
        <v>9</v>
      </c>
      <c r="J2589" s="39" t="s">
        <v>288</v>
      </c>
      <c r="K2589" s="39" t="s">
        <v>1716</v>
      </c>
      <c r="L2589" s="39" t="s">
        <v>1014</v>
      </c>
    </row>
    <row r="2590" spans="1:14" x14ac:dyDescent="0.2">
      <c r="B2590" s="38">
        <v>152904</v>
      </c>
      <c r="C2590" s="38" t="s">
        <v>2943</v>
      </c>
      <c r="D2590" s="279">
        <v>100000</v>
      </c>
      <c r="F2590" s="40">
        <v>3.2500000000000001E-2</v>
      </c>
      <c r="G2590" s="41">
        <v>45380</v>
      </c>
      <c r="H2590" s="41">
        <v>45562</v>
      </c>
      <c r="I2590" s="39">
        <v>26</v>
      </c>
      <c r="J2590" s="39" t="s">
        <v>369</v>
      </c>
      <c r="K2590" s="39" t="s">
        <v>1716</v>
      </c>
      <c r="L2590" s="39" t="s">
        <v>1014</v>
      </c>
    </row>
    <row r="2591" spans="1:14" x14ac:dyDescent="0.2">
      <c r="B2591" s="38">
        <v>152914</v>
      </c>
      <c r="C2591" s="38" t="s">
        <v>2944</v>
      </c>
      <c r="D2591" s="279">
        <v>100000</v>
      </c>
      <c r="F2591" s="40">
        <v>3.3700000000000001E-2</v>
      </c>
      <c r="G2591" s="41">
        <v>45397</v>
      </c>
      <c r="H2591" s="41">
        <v>45761</v>
      </c>
      <c r="I2591" s="39">
        <v>52</v>
      </c>
      <c r="J2591" s="39" t="s">
        <v>369</v>
      </c>
      <c r="K2591" s="39" t="s">
        <v>1716</v>
      </c>
      <c r="L2591" s="39" t="s">
        <v>1014</v>
      </c>
    </row>
    <row r="2592" spans="1:14" x14ac:dyDescent="0.2">
      <c r="B2592" s="38">
        <v>100937</v>
      </c>
      <c r="C2592" s="38" t="s">
        <v>2945</v>
      </c>
      <c r="D2592" s="279">
        <v>100000</v>
      </c>
      <c r="F2592" s="40">
        <v>3.7199999999999997E-2</v>
      </c>
      <c r="G2592" s="41">
        <v>45407</v>
      </c>
      <c r="H2592" s="41">
        <v>46502</v>
      </c>
      <c r="I2592" s="39">
        <v>3</v>
      </c>
      <c r="J2592" s="39" t="s">
        <v>1716</v>
      </c>
      <c r="K2592" s="39" t="s">
        <v>1716</v>
      </c>
      <c r="L2592" s="39" t="s">
        <v>1014</v>
      </c>
    </row>
    <row r="2593" spans="2:12" x14ac:dyDescent="0.2">
      <c r="B2593" s="38">
        <v>201840</v>
      </c>
      <c r="C2593" s="38" t="s">
        <v>2940</v>
      </c>
      <c r="D2593" s="279">
        <v>100000</v>
      </c>
      <c r="F2593" s="40">
        <v>3.5000000000000003E-2</v>
      </c>
      <c r="G2593" s="41">
        <v>45306</v>
      </c>
      <c r="H2593" s="41">
        <v>47406</v>
      </c>
      <c r="I2593" s="39">
        <v>5</v>
      </c>
      <c r="J2593" s="39" t="s">
        <v>1716</v>
      </c>
      <c r="K2593" s="39" t="s">
        <v>1716</v>
      </c>
      <c r="L2593" s="39" t="s">
        <v>1014</v>
      </c>
    </row>
    <row r="2594" spans="2:12" x14ac:dyDescent="0.2">
      <c r="B2594" s="38">
        <v>152929</v>
      </c>
      <c r="C2594" s="38" t="s">
        <v>2946</v>
      </c>
      <c r="D2594" s="279">
        <v>100000</v>
      </c>
      <c r="F2594" s="40">
        <v>3.1699999999999999E-2</v>
      </c>
      <c r="G2594" s="41">
        <v>45412</v>
      </c>
      <c r="H2594" s="41">
        <v>45502</v>
      </c>
      <c r="I2594" s="39">
        <v>13</v>
      </c>
      <c r="J2594" s="39" t="s">
        <v>369</v>
      </c>
      <c r="K2594" s="39" t="s">
        <v>1716</v>
      </c>
      <c r="L2594" s="39" t="s">
        <v>1014</v>
      </c>
    </row>
    <row r="2595" spans="2:12" x14ac:dyDescent="0.2">
      <c r="B2595" s="38">
        <v>152930</v>
      </c>
      <c r="C2595" s="38" t="s">
        <v>2947</v>
      </c>
      <c r="D2595" s="279">
        <v>100000</v>
      </c>
      <c r="F2595" s="40">
        <v>3.2800000000000003E-2</v>
      </c>
      <c r="G2595" s="41">
        <v>45412</v>
      </c>
      <c r="H2595" s="41">
        <v>45594</v>
      </c>
      <c r="I2595" s="39">
        <v>26</v>
      </c>
      <c r="J2595" s="39" t="s">
        <v>369</v>
      </c>
      <c r="K2595" s="39" t="s">
        <v>1716</v>
      </c>
      <c r="L2595" s="39" t="s">
        <v>1014</v>
      </c>
    </row>
    <row r="2596" spans="2:12" x14ac:dyDescent="0.2">
      <c r="B2596" s="38">
        <v>201847</v>
      </c>
      <c r="C2596" s="38" t="s">
        <v>2948</v>
      </c>
      <c r="D2596" s="279">
        <v>100000</v>
      </c>
      <c r="F2596" s="40">
        <v>2.8500000000000001E-2</v>
      </c>
      <c r="G2596" s="41">
        <v>45390</v>
      </c>
      <c r="H2596" s="41">
        <v>45481</v>
      </c>
      <c r="I2596" s="39">
        <v>13</v>
      </c>
      <c r="J2596" s="39" t="s">
        <v>369</v>
      </c>
      <c r="K2596" s="39" t="s">
        <v>1716</v>
      </c>
      <c r="L2596" s="39" t="s">
        <v>1014</v>
      </c>
    </row>
    <row r="2597" spans="2:12" x14ac:dyDescent="0.2">
      <c r="B2597" s="38">
        <v>152931</v>
      </c>
      <c r="C2597" s="38" t="s">
        <v>2949</v>
      </c>
      <c r="D2597" s="279">
        <v>100000</v>
      </c>
      <c r="F2597" s="40">
        <v>3.6600000000000001E-2</v>
      </c>
      <c r="G2597" s="41">
        <v>45418</v>
      </c>
      <c r="H2597" s="41">
        <v>46513</v>
      </c>
      <c r="I2597" s="39">
        <v>3</v>
      </c>
      <c r="J2597" s="39" t="s">
        <v>1716</v>
      </c>
      <c r="K2597" s="39" t="s">
        <v>1716</v>
      </c>
      <c r="L2597" s="39" t="s">
        <v>1014</v>
      </c>
    </row>
    <row r="2598" spans="2:12" x14ac:dyDescent="0.2">
      <c r="B2598" s="38">
        <v>152932</v>
      </c>
      <c r="C2598" s="38" t="s">
        <v>2950</v>
      </c>
      <c r="D2598" s="279">
        <v>100000</v>
      </c>
      <c r="F2598" s="40">
        <v>3.5499999999999997E-2</v>
      </c>
      <c r="G2598" s="41">
        <v>45418</v>
      </c>
      <c r="H2598" s="41">
        <v>46148</v>
      </c>
      <c r="I2598" s="39">
        <v>2</v>
      </c>
      <c r="J2598" s="39" t="s">
        <v>1716</v>
      </c>
      <c r="K2598" s="39" t="s">
        <v>1716</v>
      </c>
      <c r="L2598" s="39" t="s">
        <v>1014</v>
      </c>
    </row>
    <row r="2599" spans="2:12" x14ac:dyDescent="0.2">
      <c r="B2599" s="38">
        <v>152933</v>
      </c>
      <c r="C2599" s="38" t="s">
        <v>2951</v>
      </c>
      <c r="D2599" s="279">
        <v>100000</v>
      </c>
      <c r="F2599" s="40">
        <v>3.4000000000000002E-2</v>
      </c>
      <c r="G2599" s="41">
        <v>45418</v>
      </c>
      <c r="H2599" s="41">
        <v>45782</v>
      </c>
      <c r="I2599" s="39">
        <v>52</v>
      </c>
      <c r="J2599" s="39" t="s">
        <v>369</v>
      </c>
      <c r="K2599" s="39" t="s">
        <v>1716</v>
      </c>
      <c r="L2599" s="39" t="s">
        <v>1014</v>
      </c>
    </row>
    <row r="2600" spans="2:12" x14ac:dyDescent="0.2">
      <c r="B2600" s="38">
        <v>201846</v>
      </c>
      <c r="C2600" s="38" t="s">
        <v>2952</v>
      </c>
      <c r="D2600" s="279">
        <v>100000</v>
      </c>
      <c r="F2600" s="40">
        <v>2.8500000000000001E-2</v>
      </c>
      <c r="G2600" s="41">
        <v>45383</v>
      </c>
      <c r="H2600" s="41">
        <v>45565</v>
      </c>
      <c r="I2600" s="39">
        <v>26</v>
      </c>
      <c r="J2600" s="39" t="s">
        <v>369</v>
      </c>
      <c r="K2600" s="39" t="s">
        <v>1716</v>
      </c>
      <c r="L2600" s="39" t="s">
        <v>1014</v>
      </c>
    </row>
    <row r="2601" spans="2:12" x14ac:dyDescent="0.2">
      <c r="B2601" s="38">
        <v>201839</v>
      </c>
      <c r="C2601" s="38" t="s">
        <v>2953</v>
      </c>
      <c r="D2601" s="279">
        <v>100000</v>
      </c>
      <c r="F2601" s="40">
        <v>2.87E-2</v>
      </c>
      <c r="G2601" s="41">
        <v>45306</v>
      </c>
      <c r="H2601" s="41">
        <v>45488</v>
      </c>
      <c r="I2601" s="39">
        <v>26</v>
      </c>
      <c r="J2601" s="39" t="s">
        <v>369</v>
      </c>
      <c r="K2601" s="39" t="s">
        <v>1716</v>
      </c>
      <c r="L2601" s="39" t="s">
        <v>1014</v>
      </c>
    </row>
    <row r="2602" spans="2:12" x14ac:dyDescent="0.2">
      <c r="B2602" s="38">
        <v>9364</v>
      </c>
      <c r="C2602" s="38" t="s">
        <v>2954</v>
      </c>
      <c r="D2602" s="279">
        <v>100000</v>
      </c>
      <c r="F2602" s="40">
        <v>5.0799999999999998E-2</v>
      </c>
      <c r="G2602" s="41">
        <v>43234</v>
      </c>
      <c r="H2602" s="41">
        <v>50539</v>
      </c>
      <c r="I2602" s="39">
        <v>20</v>
      </c>
      <c r="J2602" s="39" t="s">
        <v>1716</v>
      </c>
      <c r="K2602" s="39" t="s">
        <v>1716</v>
      </c>
      <c r="L2602" s="39" t="s">
        <v>1014</v>
      </c>
    </row>
    <row r="2603" spans="2:12" x14ac:dyDescent="0.2">
      <c r="B2603" s="38">
        <v>201850</v>
      </c>
      <c r="C2603" s="38" t="s">
        <v>2955</v>
      </c>
      <c r="D2603" s="279">
        <v>100000</v>
      </c>
      <c r="F2603" s="40">
        <v>2.9000000000000001E-2</v>
      </c>
      <c r="G2603" s="41">
        <v>45411</v>
      </c>
      <c r="H2603" s="41">
        <v>45502</v>
      </c>
      <c r="I2603" s="39">
        <v>13</v>
      </c>
      <c r="J2603" s="39" t="s">
        <v>369</v>
      </c>
      <c r="K2603" s="39" t="s">
        <v>1716</v>
      </c>
      <c r="L2603" s="39" t="s">
        <v>1014</v>
      </c>
    </row>
    <row r="2604" spans="2:12" x14ac:dyDescent="0.2">
      <c r="B2604" s="38">
        <v>201848</v>
      </c>
      <c r="C2604" s="38" t="s">
        <v>2956</v>
      </c>
      <c r="D2604" s="279">
        <v>100000</v>
      </c>
      <c r="F2604" s="40">
        <v>3.2500000000000001E-2</v>
      </c>
      <c r="G2604" s="41">
        <v>45390</v>
      </c>
      <c r="H2604" s="41">
        <v>46223</v>
      </c>
      <c r="I2604" s="39">
        <v>2</v>
      </c>
      <c r="J2604" s="39" t="s">
        <v>1716</v>
      </c>
      <c r="K2604" s="39" t="s">
        <v>1716</v>
      </c>
      <c r="L2604" s="39" t="s">
        <v>1014</v>
      </c>
    </row>
    <row r="2605" spans="2:12" x14ac:dyDescent="0.2">
      <c r="B2605" s="38">
        <v>100941</v>
      </c>
      <c r="C2605" s="38" t="s">
        <v>2957</v>
      </c>
      <c r="D2605" s="279">
        <v>100000</v>
      </c>
      <c r="F2605" s="40">
        <v>3.56E-2</v>
      </c>
      <c r="G2605" s="41">
        <v>45429</v>
      </c>
      <c r="H2605" s="41">
        <v>46159</v>
      </c>
      <c r="I2605" s="39">
        <v>2</v>
      </c>
      <c r="J2605" s="39" t="s">
        <v>1716</v>
      </c>
      <c r="K2605" s="39" t="s">
        <v>1716</v>
      </c>
      <c r="L2605" s="39" t="s">
        <v>1014</v>
      </c>
    </row>
    <row r="2606" spans="2:12" x14ac:dyDescent="0.2">
      <c r="B2606" s="38">
        <v>152943</v>
      </c>
      <c r="C2606" s="38" t="s">
        <v>2958</v>
      </c>
      <c r="D2606" s="279">
        <v>100000</v>
      </c>
      <c r="F2606" s="40">
        <v>3.3599999999999998E-2</v>
      </c>
      <c r="G2606" s="41">
        <v>45435</v>
      </c>
      <c r="H2606" s="41">
        <v>45799</v>
      </c>
      <c r="I2606" s="39">
        <v>52</v>
      </c>
      <c r="J2606" s="39" t="s">
        <v>369</v>
      </c>
      <c r="K2606" s="39" t="s">
        <v>1716</v>
      </c>
      <c r="L2606" s="39" t="s">
        <v>1014</v>
      </c>
    </row>
    <row r="2607" spans="2:12" x14ac:dyDescent="0.2">
      <c r="B2607" s="38">
        <v>100887</v>
      </c>
      <c r="C2607" s="38" t="s">
        <v>2959</v>
      </c>
      <c r="D2607" s="279">
        <v>100000</v>
      </c>
      <c r="F2607" s="40">
        <v>2.7E-2</v>
      </c>
      <c r="G2607" s="41">
        <v>44802</v>
      </c>
      <c r="H2607" s="41">
        <v>45898</v>
      </c>
      <c r="I2607" s="39">
        <v>3</v>
      </c>
      <c r="J2607" s="39" t="s">
        <v>1716</v>
      </c>
      <c r="K2607" s="39" t="s">
        <v>1716</v>
      </c>
      <c r="L2607" s="39" t="s">
        <v>1014</v>
      </c>
    </row>
    <row r="2608" spans="2:12" x14ac:dyDescent="0.2">
      <c r="B2608" s="38">
        <v>152949</v>
      </c>
      <c r="C2608" s="38" t="s">
        <v>2960</v>
      </c>
      <c r="D2608" s="279">
        <v>100000</v>
      </c>
      <c r="F2608" s="40">
        <v>3.32E-2</v>
      </c>
      <c r="G2608" s="41">
        <v>45442</v>
      </c>
      <c r="H2608" s="41">
        <v>45716</v>
      </c>
      <c r="I2608" s="39">
        <v>9</v>
      </c>
      <c r="J2608" s="39" t="s">
        <v>288</v>
      </c>
      <c r="K2608" s="39" t="s">
        <v>1716</v>
      </c>
      <c r="L2608" s="39" t="s">
        <v>1014</v>
      </c>
    </row>
    <row r="2609" spans="2:13" x14ac:dyDescent="0.2">
      <c r="B2609" s="38">
        <v>152950</v>
      </c>
      <c r="C2609" s="38" t="s">
        <v>2960</v>
      </c>
      <c r="D2609" s="279">
        <v>100000</v>
      </c>
      <c r="F2609" s="40">
        <v>3.3599999999999998E-2</v>
      </c>
      <c r="G2609" s="41">
        <v>45443</v>
      </c>
      <c r="H2609" s="41">
        <v>45807</v>
      </c>
      <c r="I2609" s="39">
        <v>52</v>
      </c>
      <c r="J2609" s="39" t="s">
        <v>369</v>
      </c>
      <c r="K2609" s="39" t="s">
        <v>1716</v>
      </c>
      <c r="L2609" s="39" t="s">
        <v>1014</v>
      </c>
    </row>
    <row r="2610" spans="2:13" x14ac:dyDescent="0.2">
      <c r="B2610" s="38">
        <v>152951</v>
      </c>
      <c r="C2610" s="38" t="s">
        <v>2961</v>
      </c>
      <c r="D2610" s="279">
        <v>100000</v>
      </c>
      <c r="F2610" s="40">
        <v>3.5200000000000002E-2</v>
      </c>
      <c r="G2610" s="41">
        <v>45443</v>
      </c>
      <c r="H2610" s="41">
        <v>46172</v>
      </c>
      <c r="I2610" s="39">
        <v>2</v>
      </c>
      <c r="J2610" s="39" t="s">
        <v>1716</v>
      </c>
      <c r="K2610" s="39" t="s">
        <v>1716</v>
      </c>
      <c r="L2610" s="39" t="s">
        <v>1014</v>
      </c>
    </row>
    <row r="2611" spans="2:13" x14ac:dyDescent="0.2">
      <c r="B2611" s="38">
        <v>201853</v>
      </c>
      <c r="C2611" s="38" t="s">
        <v>2962</v>
      </c>
      <c r="D2611" s="279">
        <v>100000</v>
      </c>
      <c r="F2611" s="40">
        <v>3.2500000000000001E-2</v>
      </c>
      <c r="G2611" s="41">
        <v>45439</v>
      </c>
      <c r="H2611" s="41">
        <v>46279</v>
      </c>
      <c r="I2611" s="39">
        <v>2</v>
      </c>
      <c r="J2611" s="39" t="s">
        <v>1716</v>
      </c>
      <c r="K2611" s="39" t="s">
        <v>1716</v>
      </c>
      <c r="L2611" s="39" t="s">
        <v>1014</v>
      </c>
    </row>
    <row r="2612" spans="2:13" x14ac:dyDescent="0.2">
      <c r="B2612" s="38">
        <v>9614</v>
      </c>
      <c r="C2612" s="38" t="s">
        <v>2963</v>
      </c>
      <c r="D2612" s="279">
        <v>100000</v>
      </c>
      <c r="F2612" s="40">
        <v>4.4400000000000002E-2</v>
      </c>
      <c r="G2612" s="41">
        <v>45450</v>
      </c>
      <c r="H2612" s="41">
        <v>49102</v>
      </c>
      <c r="I2612" s="39">
        <v>10</v>
      </c>
      <c r="J2612" s="39" t="s">
        <v>1716</v>
      </c>
      <c r="K2612" s="39" t="s">
        <v>1716</v>
      </c>
      <c r="L2612" s="39" t="s">
        <v>1014</v>
      </c>
    </row>
    <row r="2613" spans="2:13" x14ac:dyDescent="0.2">
      <c r="B2613" s="38">
        <v>9615</v>
      </c>
      <c r="C2613" s="38" t="s">
        <v>2964</v>
      </c>
      <c r="D2613" s="279">
        <v>100000</v>
      </c>
      <c r="F2613" s="40">
        <v>3.7499999999999999E-2</v>
      </c>
      <c r="G2613" s="41">
        <v>45450</v>
      </c>
      <c r="H2613" s="41">
        <v>45815</v>
      </c>
      <c r="I2613" s="39">
        <v>52</v>
      </c>
      <c r="J2613" s="39" t="s">
        <v>369</v>
      </c>
      <c r="K2613" s="39" t="s">
        <v>1716</v>
      </c>
      <c r="L2613" s="39" t="s">
        <v>1014</v>
      </c>
    </row>
    <row r="2614" spans="2:13" x14ac:dyDescent="0.2">
      <c r="B2614" s="38">
        <v>201836</v>
      </c>
      <c r="C2614" s="38" t="s">
        <v>2965</v>
      </c>
      <c r="D2614" s="279">
        <v>100000</v>
      </c>
      <c r="F2614" s="40">
        <v>4.5999999999999999E-2</v>
      </c>
      <c r="G2614" s="41">
        <v>45293</v>
      </c>
      <c r="H2614" s="41">
        <v>52824</v>
      </c>
      <c r="I2614" s="39">
        <v>20</v>
      </c>
      <c r="J2614" s="39" t="s">
        <v>1716</v>
      </c>
      <c r="K2614" s="39" t="s">
        <v>1716</v>
      </c>
      <c r="L2614" s="39" t="s">
        <v>1014</v>
      </c>
    </row>
    <row r="2615" spans="2:13" x14ac:dyDescent="0.2">
      <c r="B2615" s="38">
        <v>9598</v>
      </c>
      <c r="C2615" s="38" t="s">
        <v>2966</v>
      </c>
      <c r="D2615" s="279">
        <v>100000</v>
      </c>
      <c r="F2615" s="40">
        <v>3.78E-2</v>
      </c>
      <c r="G2615" s="41">
        <v>45465</v>
      </c>
      <c r="H2615" s="41">
        <v>45557</v>
      </c>
      <c r="I2615" s="39">
        <v>13</v>
      </c>
      <c r="J2615" s="39" t="s">
        <v>369</v>
      </c>
      <c r="K2615" s="39" t="s">
        <v>1716</v>
      </c>
      <c r="L2615" s="39" t="s">
        <v>1014</v>
      </c>
    </row>
    <row r="2616" spans="2:13" x14ac:dyDescent="0.2">
      <c r="B2616" s="38">
        <v>100810</v>
      </c>
      <c r="C2616" s="38" t="s">
        <v>2967</v>
      </c>
      <c r="D2616" s="279">
        <v>100000</v>
      </c>
      <c r="F2616" s="40">
        <v>2.9899999999999999E-2</v>
      </c>
      <c r="G2616" s="41">
        <v>45105</v>
      </c>
      <c r="H2616" s="41">
        <v>45471</v>
      </c>
      <c r="I2616" s="39">
        <v>52</v>
      </c>
      <c r="J2616" s="39" t="s">
        <v>369</v>
      </c>
      <c r="K2616" s="39" t="s">
        <v>1716</v>
      </c>
      <c r="L2616" s="39" t="s">
        <v>1014</v>
      </c>
    </row>
    <row r="2617" spans="2:13" x14ac:dyDescent="0.2">
      <c r="B2617" s="38">
        <v>9619</v>
      </c>
      <c r="C2617" s="38" t="s">
        <v>2968</v>
      </c>
      <c r="D2617" s="279">
        <v>100000</v>
      </c>
      <c r="F2617" s="40">
        <v>3.5700000000000003E-2</v>
      </c>
      <c r="G2617" s="41">
        <v>45468</v>
      </c>
      <c r="H2617" s="41">
        <v>45833</v>
      </c>
      <c r="I2617" s="39">
        <v>52</v>
      </c>
      <c r="J2617" s="39" t="s">
        <v>369</v>
      </c>
      <c r="K2617" s="39" t="s">
        <v>1716</v>
      </c>
      <c r="L2617" s="39" t="s">
        <v>1014</v>
      </c>
      <c r="M2617" s="38" t="s">
        <v>2969</v>
      </c>
    </row>
    <row r="2618" spans="2:13" x14ac:dyDescent="0.2">
      <c r="B2618" s="38">
        <v>152957</v>
      </c>
      <c r="C2618" s="38" t="s">
        <v>2970</v>
      </c>
      <c r="D2618" s="279">
        <v>100000</v>
      </c>
      <c r="F2618" s="40">
        <v>3.3700000000000001E-2</v>
      </c>
      <c r="G2618" s="41">
        <v>45468</v>
      </c>
      <c r="H2618" s="41">
        <v>45743</v>
      </c>
      <c r="I2618" s="39">
        <v>9</v>
      </c>
      <c r="J2618" s="39" t="s">
        <v>288</v>
      </c>
      <c r="K2618" s="39" t="s">
        <v>1716</v>
      </c>
      <c r="L2618" s="39" t="s">
        <v>1014</v>
      </c>
    </row>
    <row r="2619" spans="2:13" x14ac:dyDescent="0.2">
      <c r="B2619" s="38">
        <v>9625</v>
      </c>
      <c r="C2619" s="38" t="s">
        <v>2971</v>
      </c>
      <c r="D2619" s="279">
        <v>100000</v>
      </c>
      <c r="F2619" s="40">
        <v>5.16E-2</v>
      </c>
      <c r="G2619" s="41">
        <v>45470</v>
      </c>
      <c r="H2619" s="41">
        <v>45835</v>
      </c>
      <c r="I2619" s="39">
        <v>52</v>
      </c>
      <c r="J2619" s="39" t="s">
        <v>369</v>
      </c>
      <c r="K2619" s="39" t="s">
        <v>1716</v>
      </c>
      <c r="L2619" s="39" t="s">
        <v>1014</v>
      </c>
    </row>
    <row r="2620" spans="2:13" x14ac:dyDescent="0.2">
      <c r="B2620" s="38">
        <v>152960</v>
      </c>
      <c r="C2620" s="38" t="s">
        <v>2972</v>
      </c>
      <c r="D2620" s="279">
        <v>100000</v>
      </c>
      <c r="F2620" s="40">
        <v>3.32E-2</v>
      </c>
      <c r="G2620" s="41">
        <v>45470</v>
      </c>
      <c r="H2620" s="41">
        <v>45653</v>
      </c>
      <c r="I2620" s="39">
        <v>26</v>
      </c>
      <c r="J2620" s="39" t="s">
        <v>369</v>
      </c>
      <c r="K2620" s="39" t="s">
        <v>1716</v>
      </c>
      <c r="L2620" s="39" t="s">
        <v>1014</v>
      </c>
    </row>
    <row r="2621" spans="2:13" x14ac:dyDescent="0.2">
      <c r="B2621" s="38">
        <v>152956</v>
      </c>
      <c r="C2621" s="38" t="s">
        <v>2973</v>
      </c>
      <c r="D2621" s="279">
        <v>100000</v>
      </c>
      <c r="F2621" s="40">
        <v>3.32E-2</v>
      </c>
      <c r="G2621" s="41">
        <v>45470</v>
      </c>
      <c r="H2621" s="41">
        <v>45645</v>
      </c>
      <c r="I2621" s="39">
        <v>26</v>
      </c>
      <c r="J2621" s="39" t="s">
        <v>369</v>
      </c>
      <c r="K2621" s="39" t="s">
        <v>1716</v>
      </c>
      <c r="L2621" s="39" t="s">
        <v>1014</v>
      </c>
    </row>
    <row r="2622" spans="2:13" x14ac:dyDescent="0.2">
      <c r="B2622" s="38">
        <v>152962</v>
      </c>
      <c r="C2622" s="38" t="s">
        <v>2974</v>
      </c>
      <c r="D2622" s="279">
        <v>100000</v>
      </c>
      <c r="F2622" s="40">
        <v>3.4099999999999998E-2</v>
      </c>
      <c r="G2622" s="41">
        <v>45470</v>
      </c>
      <c r="H2622" s="41">
        <v>45835</v>
      </c>
      <c r="I2622" s="39">
        <v>52</v>
      </c>
      <c r="J2622" s="39" t="s">
        <v>369</v>
      </c>
      <c r="K2622" s="39" t="s">
        <v>1716</v>
      </c>
      <c r="L2622" s="39" t="s">
        <v>1014</v>
      </c>
    </row>
    <row r="2623" spans="2:13" x14ac:dyDescent="0.2">
      <c r="B2623" s="38">
        <v>9626</v>
      </c>
      <c r="C2623" s="38" t="s">
        <v>2975</v>
      </c>
      <c r="D2623" s="279">
        <v>100000</v>
      </c>
      <c r="F2623" s="40">
        <v>3.9600000000000003E-2</v>
      </c>
      <c r="G2623" s="41">
        <v>45471</v>
      </c>
      <c r="H2623" s="41">
        <v>48027</v>
      </c>
      <c r="I2623" s="39">
        <v>7</v>
      </c>
      <c r="J2623" s="39" t="s">
        <v>1716</v>
      </c>
      <c r="K2623" s="39" t="s">
        <v>1716</v>
      </c>
      <c r="L2623" s="39" t="s">
        <v>1014</v>
      </c>
    </row>
    <row r="2624" spans="2:13" x14ac:dyDescent="0.2">
      <c r="B2624" s="38">
        <v>9627</v>
      </c>
      <c r="C2624" s="38" t="s">
        <v>2977</v>
      </c>
      <c r="D2624" s="279">
        <v>100000</v>
      </c>
      <c r="F2624" s="40">
        <v>3.61E-2</v>
      </c>
      <c r="G2624" s="41">
        <v>45471</v>
      </c>
      <c r="H2624" s="41">
        <v>45836</v>
      </c>
      <c r="I2624" s="39">
        <v>52</v>
      </c>
      <c r="J2624" s="39" t="s">
        <v>369</v>
      </c>
      <c r="K2624" s="39" t="s">
        <v>1716</v>
      </c>
      <c r="L2624" s="39" t="s">
        <v>1014</v>
      </c>
    </row>
    <row r="2625" spans="2:12" x14ac:dyDescent="0.2">
      <c r="B2625" s="38">
        <v>100945</v>
      </c>
      <c r="C2625" s="38" t="s">
        <v>2978</v>
      </c>
      <c r="D2625" s="279">
        <v>100000</v>
      </c>
      <c r="F2625" s="40">
        <v>3.61E-2</v>
      </c>
      <c r="G2625" s="41">
        <v>45471</v>
      </c>
      <c r="H2625" s="41">
        <v>46201</v>
      </c>
      <c r="I2625" s="39">
        <v>2</v>
      </c>
      <c r="J2625" s="39" t="s">
        <v>1716</v>
      </c>
      <c r="K2625" s="39" t="s">
        <v>1716</v>
      </c>
      <c r="L2625" s="39" t="s">
        <v>1014</v>
      </c>
    </row>
    <row r="2626" spans="2:12" x14ac:dyDescent="0.2">
      <c r="B2626" s="38">
        <v>100946</v>
      </c>
      <c r="C2626" s="38" t="s">
        <v>2979</v>
      </c>
      <c r="D2626" s="279">
        <v>100000</v>
      </c>
      <c r="F2626" s="40">
        <v>3.9899999999999998E-2</v>
      </c>
      <c r="G2626" s="41">
        <v>45471</v>
      </c>
      <c r="H2626" s="41">
        <v>47297</v>
      </c>
      <c r="I2626" s="39">
        <v>5</v>
      </c>
      <c r="J2626" s="39" t="s">
        <v>1716</v>
      </c>
      <c r="K2626" s="39" t="s">
        <v>1716</v>
      </c>
      <c r="L2626" s="39" t="s">
        <v>1014</v>
      </c>
    </row>
    <row r="2627" spans="2:12" x14ac:dyDescent="0.2">
      <c r="B2627" s="38">
        <v>201854</v>
      </c>
      <c r="C2627" s="38" t="s">
        <v>2980</v>
      </c>
      <c r="D2627" s="279">
        <v>100000</v>
      </c>
      <c r="F2627" s="40">
        <v>4.9000000000000002E-2</v>
      </c>
      <c r="G2627" s="41">
        <v>45447</v>
      </c>
      <c r="H2627" s="41">
        <v>56660</v>
      </c>
      <c r="I2627" s="39">
        <v>30</v>
      </c>
      <c r="J2627" s="39" t="s">
        <v>1716</v>
      </c>
      <c r="K2627" s="39" t="s">
        <v>1716</v>
      </c>
      <c r="L2627" s="39" t="s">
        <v>1014</v>
      </c>
    </row>
    <row r="2628" spans="2:12" x14ac:dyDescent="0.2">
      <c r="B2628" s="38">
        <v>9634</v>
      </c>
      <c r="C2628" s="38" t="s">
        <v>2981</v>
      </c>
      <c r="D2628" s="279">
        <v>100000</v>
      </c>
      <c r="F2628" s="40">
        <v>5.0500000000000003E-2</v>
      </c>
      <c r="G2628" s="41">
        <v>45499</v>
      </c>
      <c r="H2628" s="41">
        <v>50977</v>
      </c>
      <c r="I2628" s="39">
        <v>15</v>
      </c>
      <c r="J2628" s="39" t="s">
        <v>1716</v>
      </c>
      <c r="K2628" s="39" t="s">
        <v>1716</v>
      </c>
      <c r="L2628" s="39" t="s">
        <v>1014</v>
      </c>
    </row>
    <row r="2629" spans="2:12" x14ac:dyDescent="0.2">
      <c r="B2629" s="38">
        <v>100948</v>
      </c>
      <c r="C2629" s="38" t="s">
        <v>2982</v>
      </c>
      <c r="D2629" s="279">
        <v>100000</v>
      </c>
      <c r="F2629" s="40">
        <v>3.5200000000000002E-2</v>
      </c>
      <c r="G2629" s="41">
        <v>45491</v>
      </c>
      <c r="H2629" s="41">
        <v>46952</v>
      </c>
      <c r="I2629" s="39">
        <v>4</v>
      </c>
      <c r="J2629" s="39" t="s">
        <v>1716</v>
      </c>
      <c r="K2629" s="39" t="s">
        <v>1716</v>
      </c>
      <c r="L2629" s="39" t="s">
        <v>1014</v>
      </c>
    </row>
    <row r="2630" spans="2:12" x14ac:dyDescent="0.2">
      <c r="B2630" s="38">
        <v>100950</v>
      </c>
      <c r="C2630" s="38" t="s">
        <v>2983</v>
      </c>
      <c r="D2630" s="279">
        <v>100000</v>
      </c>
      <c r="F2630" s="40">
        <v>3.2599999999999997E-2</v>
      </c>
      <c r="G2630" s="41">
        <v>45492</v>
      </c>
      <c r="H2630" s="41">
        <v>46222</v>
      </c>
      <c r="I2630" s="39">
        <v>2</v>
      </c>
      <c r="J2630" s="39" t="s">
        <v>1716</v>
      </c>
      <c r="K2630" s="39" t="s">
        <v>1716</v>
      </c>
      <c r="L2630" s="39" t="s">
        <v>1014</v>
      </c>
    </row>
    <row r="2631" spans="2:12" x14ac:dyDescent="0.2">
      <c r="B2631" s="38">
        <v>100951</v>
      </c>
      <c r="C2631" s="38" t="s">
        <v>2984</v>
      </c>
      <c r="D2631" s="279">
        <v>100000</v>
      </c>
      <c r="F2631" s="40">
        <v>3.4599999999999999E-2</v>
      </c>
      <c r="G2631" s="41">
        <v>45492</v>
      </c>
      <c r="H2631" s="41">
        <v>46587</v>
      </c>
      <c r="I2631" s="39">
        <v>3</v>
      </c>
      <c r="J2631" s="39" t="s">
        <v>1716</v>
      </c>
      <c r="K2631" s="39" t="s">
        <v>1716</v>
      </c>
      <c r="L2631" s="39" t="s">
        <v>1014</v>
      </c>
    </row>
    <row r="2632" spans="2:12" x14ac:dyDescent="0.2">
      <c r="B2632" s="38">
        <v>100952</v>
      </c>
      <c r="C2632" s="38" t="s">
        <v>2985</v>
      </c>
      <c r="D2632" s="279">
        <v>100000</v>
      </c>
      <c r="F2632" s="40">
        <v>3.2300000000000002E-2</v>
      </c>
      <c r="G2632" s="41">
        <v>45498</v>
      </c>
      <c r="H2632" s="41">
        <v>45863</v>
      </c>
      <c r="I2632" s="39">
        <v>52</v>
      </c>
      <c r="J2632" s="39" t="s">
        <v>369</v>
      </c>
      <c r="K2632" s="39" t="s">
        <v>1716</v>
      </c>
      <c r="L2632" s="39" t="s">
        <v>1014</v>
      </c>
    </row>
    <row r="2633" spans="2:12" x14ac:dyDescent="0.2">
      <c r="B2633" s="38">
        <v>141161</v>
      </c>
      <c r="C2633" s="38" t="s">
        <v>2986</v>
      </c>
      <c r="D2633" s="279">
        <v>100000</v>
      </c>
      <c r="F2633" s="40">
        <v>2.8400000000000002E-2</v>
      </c>
      <c r="G2633" s="41">
        <v>45498</v>
      </c>
      <c r="H2633" s="41">
        <v>45682</v>
      </c>
      <c r="I2633" s="39">
        <v>26</v>
      </c>
      <c r="J2633" s="39" t="s">
        <v>369</v>
      </c>
      <c r="K2633" s="39" t="s">
        <v>1716</v>
      </c>
      <c r="L2633" s="39" t="s">
        <v>1014</v>
      </c>
    </row>
    <row r="2634" spans="2:12" x14ac:dyDescent="0.2">
      <c r="B2634" s="38">
        <v>152973</v>
      </c>
      <c r="C2634" s="38" t="s">
        <v>2987</v>
      </c>
      <c r="D2634" s="279">
        <v>100000</v>
      </c>
      <c r="F2634" s="40">
        <v>2.9399999999999999E-2</v>
      </c>
      <c r="G2634" s="41">
        <v>45491</v>
      </c>
      <c r="H2634" s="41">
        <v>45673</v>
      </c>
      <c r="I2634" s="39">
        <v>26</v>
      </c>
      <c r="J2634" s="39" t="s">
        <v>369</v>
      </c>
      <c r="K2634" s="39" t="s">
        <v>1716</v>
      </c>
      <c r="L2634" s="39" t="s">
        <v>1014</v>
      </c>
    </row>
    <row r="2635" spans="2:12" x14ac:dyDescent="0.2">
      <c r="B2635" s="38">
        <v>152974</v>
      </c>
      <c r="C2635" s="38" t="s">
        <v>2988</v>
      </c>
      <c r="D2635" s="279">
        <v>100000</v>
      </c>
      <c r="F2635" s="40">
        <v>2.9499999999999998E-2</v>
      </c>
      <c r="G2635" s="41">
        <v>45491</v>
      </c>
      <c r="H2635" s="41">
        <v>45673</v>
      </c>
      <c r="I2635" s="39">
        <v>26</v>
      </c>
      <c r="J2635" s="39" t="s">
        <v>369</v>
      </c>
      <c r="K2635" s="39" t="s">
        <v>1716</v>
      </c>
      <c r="L2635" s="39" t="s">
        <v>1014</v>
      </c>
    </row>
    <row r="2636" spans="2:12" x14ac:dyDescent="0.2">
      <c r="B2636" s="38">
        <v>152975</v>
      </c>
      <c r="C2636" s="38" t="s">
        <v>2989</v>
      </c>
      <c r="D2636" s="279">
        <v>100000</v>
      </c>
      <c r="F2636" s="40">
        <v>3.1099999999999999E-2</v>
      </c>
      <c r="G2636" s="41">
        <v>45491</v>
      </c>
      <c r="H2636" s="41">
        <v>45855</v>
      </c>
      <c r="I2636" s="39">
        <v>52</v>
      </c>
      <c r="J2636" s="39" t="s">
        <v>369</v>
      </c>
      <c r="K2636" s="39" t="s">
        <v>1716</v>
      </c>
      <c r="L2636" s="39" t="s">
        <v>1014</v>
      </c>
    </row>
    <row r="2637" spans="2:12" x14ac:dyDescent="0.2">
      <c r="B2637" s="38">
        <v>152977</v>
      </c>
      <c r="C2637" s="38" t="s">
        <v>2990</v>
      </c>
      <c r="D2637" s="279">
        <v>100000</v>
      </c>
      <c r="F2637" s="40">
        <v>2.9100000000000001E-2</v>
      </c>
      <c r="G2637" s="41">
        <v>45499</v>
      </c>
      <c r="H2637" s="41">
        <v>45590</v>
      </c>
      <c r="I2637" s="39">
        <v>13</v>
      </c>
      <c r="J2637" s="39" t="s">
        <v>369</v>
      </c>
      <c r="K2637" s="39" t="s">
        <v>1716</v>
      </c>
      <c r="L2637" s="39" t="s">
        <v>1014</v>
      </c>
    </row>
    <row r="2638" spans="2:12" x14ac:dyDescent="0.2">
      <c r="B2638" s="38">
        <v>152980</v>
      </c>
      <c r="C2638" s="38" t="s">
        <v>2991</v>
      </c>
      <c r="D2638" s="279">
        <v>100000</v>
      </c>
      <c r="F2638" s="40">
        <v>0.03</v>
      </c>
      <c r="G2638" s="41">
        <v>45499</v>
      </c>
      <c r="H2638" s="41">
        <v>45769</v>
      </c>
      <c r="I2638" s="39">
        <v>9</v>
      </c>
      <c r="J2638" s="39" t="s">
        <v>288</v>
      </c>
      <c r="K2638" s="39" t="s">
        <v>1716</v>
      </c>
      <c r="L2638" s="39" t="s">
        <v>1014</v>
      </c>
    </row>
    <row r="2639" spans="2:12" x14ac:dyDescent="0.2">
      <c r="B2639" s="38">
        <v>9067</v>
      </c>
      <c r="C2639" s="38" t="s">
        <v>2992</v>
      </c>
      <c r="D2639" s="279">
        <v>100000</v>
      </c>
      <c r="F2639" s="40">
        <v>0.05</v>
      </c>
      <c r="G2639" s="41">
        <v>39657</v>
      </c>
      <c r="H2639" s="41">
        <v>46962</v>
      </c>
      <c r="I2639" s="39">
        <v>20</v>
      </c>
      <c r="J2639" s="39" t="s">
        <v>1716</v>
      </c>
      <c r="K2639" s="39" t="s">
        <v>1014</v>
      </c>
      <c r="L2639" s="39" t="s">
        <v>1014</v>
      </c>
    </row>
    <row r="2640" spans="2:12" x14ac:dyDescent="0.2">
      <c r="B2640" s="38">
        <v>152983</v>
      </c>
      <c r="C2640" s="38" t="s">
        <v>2994</v>
      </c>
      <c r="D2640" s="279">
        <v>100000</v>
      </c>
      <c r="F2640" s="40">
        <v>3.2500000000000001E-2</v>
      </c>
      <c r="G2640" s="41">
        <v>45504</v>
      </c>
      <c r="H2640" s="41">
        <v>46234</v>
      </c>
      <c r="I2640" s="39">
        <v>2</v>
      </c>
      <c r="J2640" s="39" t="s">
        <v>1716</v>
      </c>
      <c r="K2640" s="39" t="s">
        <v>1716</v>
      </c>
      <c r="L2640" s="39" t="s">
        <v>1014</v>
      </c>
    </row>
    <row r="2641" spans="2:12" x14ac:dyDescent="0.2">
      <c r="B2641" s="38">
        <v>100953</v>
      </c>
      <c r="C2641" s="38" t="s">
        <v>2995</v>
      </c>
      <c r="D2641" s="279">
        <v>100000</v>
      </c>
      <c r="F2641" s="40">
        <v>3.4099999999999998E-2</v>
      </c>
      <c r="G2641" s="41">
        <v>45504</v>
      </c>
      <c r="H2641" s="41">
        <v>46234</v>
      </c>
      <c r="I2641" s="39">
        <v>2</v>
      </c>
      <c r="J2641" s="39" t="s">
        <v>1716</v>
      </c>
      <c r="K2641" s="39" t="s">
        <v>1716</v>
      </c>
      <c r="L2641" s="39" t="s">
        <v>1014</v>
      </c>
    </row>
    <row r="2642" spans="2:12" x14ac:dyDescent="0.2">
      <c r="B2642" s="38">
        <v>141162</v>
      </c>
      <c r="C2642" s="38" t="s">
        <v>2996</v>
      </c>
      <c r="D2642" s="279">
        <v>100000</v>
      </c>
      <c r="F2642" s="40">
        <v>3.2000000000000001E-2</v>
      </c>
      <c r="G2642" s="41">
        <v>45504</v>
      </c>
      <c r="H2642" s="41">
        <v>45869</v>
      </c>
      <c r="I2642" s="39">
        <v>52</v>
      </c>
      <c r="J2642" s="39" t="s">
        <v>369</v>
      </c>
      <c r="K2642" s="39" t="s">
        <v>1716</v>
      </c>
      <c r="L2642" s="39" t="s">
        <v>1014</v>
      </c>
    </row>
    <row r="2643" spans="2:12" x14ac:dyDescent="0.2">
      <c r="B2643" s="38">
        <v>100954</v>
      </c>
      <c r="C2643" s="38" t="s">
        <v>2999</v>
      </c>
      <c r="D2643" s="279">
        <v>100000</v>
      </c>
      <c r="F2643" s="40">
        <v>3.49E-2</v>
      </c>
      <c r="G2643" s="41">
        <v>45506</v>
      </c>
      <c r="H2643" s="41">
        <v>46420</v>
      </c>
      <c r="I2643" s="39">
        <v>30</v>
      </c>
      <c r="J2643" s="39" t="s">
        <v>288</v>
      </c>
      <c r="K2643" s="39" t="s">
        <v>1716</v>
      </c>
      <c r="L2643" s="39" t="s">
        <v>1014</v>
      </c>
    </row>
    <row r="2644" spans="2:12" x14ac:dyDescent="0.2">
      <c r="B2644" s="38">
        <v>152235</v>
      </c>
      <c r="C2644" s="38" t="s">
        <v>3004</v>
      </c>
      <c r="D2644" s="279">
        <v>100000</v>
      </c>
      <c r="F2644" s="40">
        <v>3.4000000000000002E-2</v>
      </c>
      <c r="G2644" s="41">
        <v>43994</v>
      </c>
      <c r="H2644" s="41">
        <v>46549</v>
      </c>
      <c r="I2644" s="39">
        <v>7</v>
      </c>
      <c r="J2644" s="39" t="s">
        <v>1716</v>
      </c>
      <c r="K2644" s="39" t="s">
        <v>1716</v>
      </c>
      <c r="L2644" s="39" t="s">
        <v>1014</v>
      </c>
    </row>
    <row r="2645" spans="2:12" x14ac:dyDescent="0.2">
      <c r="B2645" s="38">
        <v>152901</v>
      </c>
      <c r="C2645" s="38" t="s">
        <v>3010</v>
      </c>
      <c r="D2645" s="279">
        <v>100000</v>
      </c>
      <c r="F2645" s="40">
        <v>3.3500000000000002E-2</v>
      </c>
      <c r="G2645" s="41">
        <v>45377</v>
      </c>
      <c r="H2645" s="41">
        <v>45741</v>
      </c>
      <c r="I2645" s="39">
        <v>52</v>
      </c>
      <c r="J2645" s="39" t="s">
        <v>369</v>
      </c>
      <c r="K2645" s="39" t="s">
        <v>1716</v>
      </c>
      <c r="L2645" s="39" t="s">
        <v>1014</v>
      </c>
    </row>
    <row r="2646" spans="2:12" x14ac:dyDescent="0.2">
      <c r="B2646" s="38">
        <v>152870</v>
      </c>
      <c r="C2646" s="38" t="s">
        <v>3011</v>
      </c>
      <c r="D2646" s="279">
        <v>100000</v>
      </c>
      <c r="F2646" s="40">
        <v>3.4200000000000001E-2</v>
      </c>
      <c r="G2646" s="41">
        <v>45330</v>
      </c>
      <c r="H2646" s="41">
        <v>45694</v>
      </c>
      <c r="I2646" s="39">
        <v>52</v>
      </c>
      <c r="J2646" s="39" t="s">
        <v>369</v>
      </c>
      <c r="K2646" s="39" t="s">
        <v>1716</v>
      </c>
      <c r="L2646" s="39" t="s">
        <v>1014</v>
      </c>
    </row>
    <row r="2647" spans="2:12" x14ac:dyDescent="0.2">
      <c r="B2647" s="38">
        <v>201862</v>
      </c>
      <c r="C2647" s="38" t="s">
        <v>3012</v>
      </c>
      <c r="D2647" s="279">
        <v>100000</v>
      </c>
      <c r="F2647" s="40">
        <v>3.3000000000000002E-2</v>
      </c>
      <c r="G2647" s="41">
        <v>45488</v>
      </c>
      <c r="H2647" s="41">
        <v>47588</v>
      </c>
      <c r="I2647" s="39">
        <v>5</v>
      </c>
      <c r="J2647" s="39" t="s">
        <v>1716</v>
      </c>
      <c r="K2647" s="39" t="s">
        <v>1716</v>
      </c>
      <c r="L2647" s="39" t="s">
        <v>1014</v>
      </c>
    </row>
    <row r="2648" spans="2:12" x14ac:dyDescent="0.2">
      <c r="B2648" s="38">
        <v>201868</v>
      </c>
      <c r="C2648" s="38" t="s">
        <v>3019</v>
      </c>
      <c r="D2648" s="279">
        <v>100000</v>
      </c>
      <c r="F2648" s="40">
        <v>2.8500000000000001E-2</v>
      </c>
      <c r="G2648" s="41">
        <v>45516</v>
      </c>
      <c r="H2648" s="41">
        <v>46342</v>
      </c>
      <c r="I2648" s="39">
        <v>2</v>
      </c>
      <c r="J2648" s="39" t="s">
        <v>1716</v>
      </c>
      <c r="K2648" s="39" t="s">
        <v>1716</v>
      </c>
      <c r="L2648" s="39" t="s">
        <v>1014</v>
      </c>
    </row>
    <row r="2649" spans="2:12" x14ac:dyDescent="0.2">
      <c r="B2649" s="38">
        <v>152994</v>
      </c>
      <c r="C2649" s="38" t="s">
        <v>3020</v>
      </c>
      <c r="D2649" s="279">
        <v>100000</v>
      </c>
      <c r="F2649" s="40">
        <v>3.09E-2</v>
      </c>
      <c r="G2649" s="41">
        <v>45534</v>
      </c>
      <c r="H2649" s="41">
        <v>46083</v>
      </c>
      <c r="I2649" s="39">
        <v>1.5</v>
      </c>
      <c r="J2649" s="39" t="s">
        <v>1716</v>
      </c>
      <c r="K2649" s="39" t="s">
        <v>1716</v>
      </c>
      <c r="L2649" s="39" t="s">
        <v>1014</v>
      </c>
    </row>
    <row r="2650" spans="2:12" x14ac:dyDescent="0.2">
      <c r="B2650" s="38">
        <v>152993</v>
      </c>
      <c r="C2650" s="38" t="s">
        <v>3021</v>
      </c>
      <c r="D2650" s="279">
        <v>100000</v>
      </c>
      <c r="F2650" s="40">
        <v>2.8899999999999999E-2</v>
      </c>
      <c r="G2650" s="41">
        <v>45534</v>
      </c>
      <c r="H2650" s="41">
        <v>45716</v>
      </c>
      <c r="I2650" s="39">
        <v>26</v>
      </c>
      <c r="J2650" s="39" t="s">
        <v>369</v>
      </c>
      <c r="K2650" s="39" t="s">
        <v>1716</v>
      </c>
      <c r="L2650" s="39" t="s">
        <v>1014</v>
      </c>
    </row>
    <row r="2651" spans="2:12" x14ac:dyDescent="0.2">
      <c r="B2651" s="38">
        <v>152992</v>
      </c>
      <c r="C2651" s="38" t="s">
        <v>3022</v>
      </c>
      <c r="D2651" s="279">
        <v>100000</v>
      </c>
      <c r="F2651" s="40">
        <v>2.7900000000000001E-2</v>
      </c>
      <c r="G2651" s="41">
        <v>45534</v>
      </c>
      <c r="H2651" s="41">
        <v>45625</v>
      </c>
      <c r="I2651" s="39">
        <v>13</v>
      </c>
      <c r="J2651" s="39" t="s">
        <v>369</v>
      </c>
      <c r="K2651" s="39" t="s">
        <v>1716</v>
      </c>
      <c r="L2651" s="39" t="s">
        <v>1014</v>
      </c>
    </row>
    <row r="2652" spans="2:12" x14ac:dyDescent="0.2">
      <c r="B2652" s="38">
        <v>152995</v>
      </c>
      <c r="C2652" s="38" t="s">
        <v>3023</v>
      </c>
      <c r="D2652" s="279">
        <v>100000</v>
      </c>
      <c r="F2652" s="40">
        <v>3.0099999999999998E-2</v>
      </c>
      <c r="G2652" s="41">
        <v>45534</v>
      </c>
      <c r="H2652" s="41">
        <v>45898</v>
      </c>
      <c r="I2652" s="39">
        <v>52</v>
      </c>
      <c r="J2652" s="39" t="s">
        <v>369</v>
      </c>
      <c r="K2652" s="39" t="s">
        <v>1716</v>
      </c>
      <c r="L2652" s="39" t="s">
        <v>1014</v>
      </c>
    </row>
    <row r="2653" spans="2:12" x14ac:dyDescent="0.2">
      <c r="B2653" s="38">
        <v>201858</v>
      </c>
      <c r="C2653" s="38" t="s">
        <v>3024</v>
      </c>
      <c r="D2653" s="279">
        <v>100000</v>
      </c>
      <c r="F2653" s="40">
        <v>2.9000000000000001E-2</v>
      </c>
      <c r="G2653" s="41">
        <v>45467</v>
      </c>
      <c r="H2653" s="41">
        <v>45558</v>
      </c>
      <c r="I2653" s="39">
        <v>13</v>
      </c>
      <c r="J2653" s="39" t="s">
        <v>369</v>
      </c>
      <c r="K2653" s="39" t="s">
        <v>1716</v>
      </c>
      <c r="L2653" s="39" t="s">
        <v>1014</v>
      </c>
    </row>
    <row r="2654" spans="2:12" x14ac:dyDescent="0.2">
      <c r="B2654" s="38">
        <v>201865</v>
      </c>
      <c r="C2654" s="38" t="s">
        <v>3025</v>
      </c>
      <c r="D2654" s="279">
        <v>100000</v>
      </c>
      <c r="F2654" s="40">
        <v>3.5499999999999997E-2</v>
      </c>
      <c r="G2654" s="41">
        <v>45504</v>
      </c>
      <c r="H2654" s="41">
        <v>49478</v>
      </c>
      <c r="I2654" s="39">
        <v>10</v>
      </c>
      <c r="J2654" s="39" t="s">
        <v>1716</v>
      </c>
      <c r="K2654" s="39" t="s">
        <v>1716</v>
      </c>
      <c r="L2654" s="39" t="s">
        <v>1014</v>
      </c>
    </row>
    <row r="2655" spans="2:12" x14ac:dyDescent="0.2">
      <c r="B2655" s="38">
        <v>152999</v>
      </c>
      <c r="C2655" s="38" t="s">
        <v>3026</v>
      </c>
      <c r="D2655" s="279">
        <v>100000</v>
      </c>
      <c r="F2655" s="40">
        <v>2.8799999999999999E-2</v>
      </c>
      <c r="G2655" s="41">
        <v>45554</v>
      </c>
      <c r="H2655" s="41">
        <v>45722</v>
      </c>
      <c r="I2655" s="39">
        <v>26</v>
      </c>
      <c r="J2655" s="39" t="s">
        <v>369</v>
      </c>
      <c r="K2655" s="39" t="s">
        <v>1716</v>
      </c>
      <c r="L2655" s="39" t="s">
        <v>1014</v>
      </c>
    </row>
    <row r="2656" spans="2:12" x14ac:dyDescent="0.2">
      <c r="B2656" s="38">
        <v>153000</v>
      </c>
      <c r="C2656" s="38" t="s">
        <v>3027</v>
      </c>
      <c r="D2656" s="279">
        <v>100000</v>
      </c>
      <c r="F2656" s="40">
        <v>2.98E-2</v>
      </c>
      <c r="G2656" s="41">
        <v>45554</v>
      </c>
      <c r="H2656" s="41">
        <v>45904</v>
      </c>
      <c r="I2656" s="39">
        <v>52</v>
      </c>
      <c r="J2656" s="39" t="s">
        <v>369</v>
      </c>
      <c r="K2656" s="39" t="s">
        <v>1716</v>
      </c>
      <c r="L2656" s="39" t="s">
        <v>1014</v>
      </c>
    </row>
    <row r="2657" spans="2:16" x14ac:dyDescent="0.2">
      <c r="B2657" s="38">
        <v>9637</v>
      </c>
      <c r="C2657" s="38" t="s">
        <v>3028</v>
      </c>
      <c r="D2657" s="279">
        <v>100000</v>
      </c>
      <c r="F2657" s="40">
        <v>4.1599999999999998E-2</v>
      </c>
      <c r="G2657" s="41">
        <v>45559</v>
      </c>
      <c r="H2657" s="41">
        <v>49211</v>
      </c>
      <c r="I2657" s="39">
        <v>10</v>
      </c>
      <c r="J2657" s="39" t="s">
        <v>1716</v>
      </c>
      <c r="K2657" s="39" t="s">
        <v>1716</v>
      </c>
      <c r="L2657" s="39" t="s">
        <v>1014</v>
      </c>
    </row>
    <row r="2658" spans="2:16" x14ac:dyDescent="0.2">
      <c r="B2658" s="38">
        <v>9628</v>
      </c>
      <c r="C2658" s="38" t="s">
        <v>3032</v>
      </c>
      <c r="D2658" s="279">
        <v>100000</v>
      </c>
      <c r="F2658" s="40">
        <v>5.45E-2</v>
      </c>
      <c r="G2658" s="41">
        <v>45484</v>
      </c>
      <c r="H2658" s="41">
        <v>48040</v>
      </c>
      <c r="I2658" s="39">
        <v>7</v>
      </c>
      <c r="J2658" s="39" t="s">
        <v>1716</v>
      </c>
      <c r="K2658" s="39" t="s">
        <v>1716</v>
      </c>
      <c r="L2658" s="39" t="s">
        <v>1014</v>
      </c>
    </row>
    <row r="2659" spans="2:16" x14ac:dyDescent="0.2">
      <c r="B2659" s="38">
        <v>100957</v>
      </c>
      <c r="C2659" s="38" t="s">
        <v>3034</v>
      </c>
      <c r="D2659" s="279">
        <v>100000</v>
      </c>
      <c r="F2659" s="40">
        <v>3.2500000000000001E-2</v>
      </c>
      <c r="G2659" s="41">
        <v>45565</v>
      </c>
      <c r="H2659" s="41">
        <v>46295</v>
      </c>
      <c r="I2659" s="39">
        <v>2</v>
      </c>
      <c r="J2659" s="39" t="s">
        <v>1716</v>
      </c>
      <c r="K2659" s="39" t="s">
        <v>1716</v>
      </c>
      <c r="L2659" s="39" t="s">
        <v>1014</v>
      </c>
    </row>
    <row r="2660" spans="2:16" x14ac:dyDescent="0.2">
      <c r="B2660" s="38">
        <v>153005</v>
      </c>
      <c r="C2660" s="38" t="s">
        <v>3035</v>
      </c>
      <c r="D2660" s="279">
        <v>100000</v>
      </c>
      <c r="F2660" s="40">
        <v>2.9499999999999998E-2</v>
      </c>
      <c r="G2660" s="41">
        <v>45565</v>
      </c>
      <c r="H2660" s="41">
        <v>45747</v>
      </c>
      <c r="I2660" s="39">
        <v>26</v>
      </c>
      <c r="J2660" s="39" t="s">
        <v>369</v>
      </c>
      <c r="K2660" s="39" t="s">
        <v>1716</v>
      </c>
      <c r="L2660" s="39" t="s">
        <v>1014</v>
      </c>
    </row>
    <row r="2661" spans="2:16" x14ac:dyDescent="0.2">
      <c r="B2661" s="38">
        <v>100958</v>
      </c>
      <c r="C2661" s="38" t="s">
        <v>3066</v>
      </c>
      <c r="D2661" s="279">
        <v>100000</v>
      </c>
      <c r="F2661" s="40">
        <v>3.5000000000000003E-2</v>
      </c>
      <c r="G2661" s="41">
        <v>45566</v>
      </c>
      <c r="H2661" s="41">
        <v>47392</v>
      </c>
      <c r="I2661" s="39">
        <v>5</v>
      </c>
      <c r="J2661" s="39" t="s">
        <v>1716</v>
      </c>
      <c r="K2661" s="39" t="s">
        <v>1716</v>
      </c>
      <c r="L2661" s="39" t="s">
        <v>1014</v>
      </c>
    </row>
    <row r="2662" spans="2:16" x14ac:dyDescent="0.2">
      <c r="B2662" s="38">
        <v>100959</v>
      </c>
      <c r="C2662" s="38" t="s">
        <v>3067</v>
      </c>
      <c r="D2662" s="279">
        <v>100000</v>
      </c>
      <c r="F2662" s="40">
        <v>3.2000000000000001E-2</v>
      </c>
      <c r="G2662" s="41">
        <v>45566</v>
      </c>
      <c r="H2662" s="41">
        <v>46296</v>
      </c>
      <c r="I2662" s="39">
        <v>2</v>
      </c>
      <c r="J2662" s="39" t="s">
        <v>1716</v>
      </c>
      <c r="K2662" s="39" t="s">
        <v>1716</v>
      </c>
      <c r="L2662" s="39" t="s">
        <v>1014</v>
      </c>
    </row>
    <row r="2663" spans="2:16" x14ac:dyDescent="0.2">
      <c r="B2663" s="38">
        <v>152832</v>
      </c>
      <c r="C2663" s="38" t="s">
        <v>2835</v>
      </c>
      <c r="D2663" s="279">
        <v>100000</v>
      </c>
      <c r="F2663" s="40">
        <v>3.44E-2</v>
      </c>
      <c r="G2663" s="41">
        <v>45230</v>
      </c>
      <c r="H2663" s="41">
        <v>45590</v>
      </c>
      <c r="I2663" s="39">
        <v>52</v>
      </c>
      <c r="J2663" s="39" t="s">
        <v>369</v>
      </c>
      <c r="K2663" s="39" t="s">
        <v>1716</v>
      </c>
      <c r="L2663" s="39" t="s">
        <v>1014</v>
      </c>
    </row>
    <row r="2664" spans="2:16" x14ac:dyDescent="0.2">
      <c r="B2664" s="38">
        <v>5151</v>
      </c>
      <c r="C2664" s="38" t="s">
        <v>3070</v>
      </c>
      <c r="D2664" s="279">
        <v>100000</v>
      </c>
      <c r="F2664" s="40">
        <v>3.4500000000000003E-2</v>
      </c>
      <c r="G2664" s="41">
        <v>45575</v>
      </c>
      <c r="H2664" s="41">
        <v>45650</v>
      </c>
      <c r="I2664" s="39">
        <v>26</v>
      </c>
      <c r="J2664" s="39" t="s">
        <v>369</v>
      </c>
      <c r="K2664" s="39" t="s">
        <v>1716</v>
      </c>
      <c r="L2664" s="39" t="s">
        <v>1014</v>
      </c>
    </row>
    <row r="2665" spans="2:16" x14ac:dyDescent="0.2">
      <c r="B2665" s="38">
        <v>153012</v>
      </c>
      <c r="C2665" s="38" t="s">
        <v>3071</v>
      </c>
      <c r="D2665" s="279">
        <v>100000</v>
      </c>
      <c r="F2665" s="40">
        <v>3.1E-2</v>
      </c>
      <c r="G2665" s="41">
        <v>45575</v>
      </c>
      <c r="H2665" s="41">
        <v>45939</v>
      </c>
      <c r="I2665" s="39">
        <v>52</v>
      </c>
      <c r="J2665" s="39" t="s">
        <v>369</v>
      </c>
      <c r="K2665" s="39" t="s">
        <v>1716</v>
      </c>
      <c r="L2665" s="39" t="s">
        <v>1014</v>
      </c>
    </row>
    <row r="2666" spans="2:16" x14ac:dyDescent="0.2">
      <c r="B2666" s="38">
        <v>9557</v>
      </c>
      <c r="C2666" s="38" t="s">
        <v>3072</v>
      </c>
      <c r="D2666" s="279">
        <v>100000</v>
      </c>
      <c r="F2666" s="40">
        <v>0.05</v>
      </c>
      <c r="G2666" s="41">
        <v>43360</v>
      </c>
      <c r="H2666" s="41">
        <v>49204</v>
      </c>
      <c r="I2666" s="39">
        <v>15</v>
      </c>
      <c r="J2666" s="39" t="s">
        <v>1716</v>
      </c>
      <c r="K2666" s="39" t="s">
        <v>1716</v>
      </c>
      <c r="L2666" s="39" t="s">
        <v>1014</v>
      </c>
    </row>
    <row r="2667" spans="2:16" x14ac:dyDescent="0.2">
      <c r="B2667" s="38">
        <v>100962</v>
      </c>
      <c r="C2667" s="38" t="s">
        <v>3087</v>
      </c>
      <c r="D2667" s="279">
        <v>100000</v>
      </c>
      <c r="F2667" s="40">
        <v>3.3399999999999999E-2</v>
      </c>
      <c r="G2667" s="41">
        <v>45586</v>
      </c>
      <c r="H2667" s="41">
        <v>45951</v>
      </c>
      <c r="I2667" s="39">
        <v>2</v>
      </c>
      <c r="J2667" s="39" t="s">
        <v>1716</v>
      </c>
      <c r="K2667" s="39" t="s">
        <v>1716</v>
      </c>
      <c r="L2667" s="39" t="s">
        <v>1014</v>
      </c>
    </row>
    <row r="2668" spans="2:16" x14ac:dyDescent="0.2">
      <c r="B2668" s="38">
        <v>153016</v>
      </c>
      <c r="C2668" s="38" t="s">
        <v>3088</v>
      </c>
      <c r="D2668" s="279">
        <v>100000</v>
      </c>
      <c r="F2668" s="40">
        <v>3.1600000000000003E-2</v>
      </c>
      <c r="G2668" s="41">
        <v>45583</v>
      </c>
      <c r="H2668" s="41">
        <v>46129</v>
      </c>
      <c r="I2668" s="39">
        <v>18</v>
      </c>
      <c r="J2668" s="39" t="s">
        <v>288</v>
      </c>
      <c r="K2668" s="39" t="s">
        <v>1716</v>
      </c>
      <c r="L2668" s="39" t="s">
        <v>1014</v>
      </c>
    </row>
    <row r="2669" spans="2:16" x14ac:dyDescent="0.2">
      <c r="B2669" s="38">
        <v>201860</v>
      </c>
      <c r="C2669" s="38" t="s">
        <v>3089</v>
      </c>
      <c r="D2669" s="279">
        <v>100000</v>
      </c>
      <c r="F2669" s="40">
        <v>2.8989999999999998E-2</v>
      </c>
      <c r="G2669" s="41">
        <v>45481</v>
      </c>
      <c r="H2669" s="41">
        <v>45859</v>
      </c>
      <c r="I2669" s="39">
        <v>1</v>
      </c>
      <c r="J2669" s="39" t="s">
        <v>1716</v>
      </c>
      <c r="K2669" s="39" t="s">
        <v>1716</v>
      </c>
      <c r="L2669" s="39" t="s">
        <v>1014</v>
      </c>
      <c r="O2669" s="1156"/>
      <c r="P2669" s="1156"/>
    </row>
    <row r="2670" spans="2:16" x14ac:dyDescent="0.2">
      <c r="B2670" s="38">
        <v>153020</v>
      </c>
      <c r="C2670" s="38" t="s">
        <v>3095</v>
      </c>
      <c r="D2670" s="279">
        <v>100000</v>
      </c>
      <c r="F2670" s="40">
        <v>2.9399999999999999E-2</v>
      </c>
      <c r="G2670" s="41">
        <v>45590</v>
      </c>
      <c r="H2670" s="41">
        <v>45772</v>
      </c>
      <c r="I2670" s="39">
        <v>26</v>
      </c>
      <c r="J2670" s="39" t="s">
        <v>369</v>
      </c>
      <c r="K2670" s="39" t="s">
        <v>1716</v>
      </c>
      <c r="L2670" s="39" t="s">
        <v>1014</v>
      </c>
    </row>
    <row r="2671" spans="2:16" x14ac:dyDescent="0.2">
      <c r="B2671" s="38">
        <v>100963</v>
      </c>
      <c r="C2671" s="38" t="s">
        <v>3096</v>
      </c>
      <c r="D2671" s="279">
        <v>100000</v>
      </c>
      <c r="F2671" s="40">
        <v>3.3300000000000003E-2</v>
      </c>
      <c r="G2671" s="41">
        <v>45595</v>
      </c>
      <c r="H2671" s="41">
        <v>46692</v>
      </c>
      <c r="I2671" s="39">
        <v>3</v>
      </c>
      <c r="J2671" s="39" t="s">
        <v>1716</v>
      </c>
      <c r="K2671" s="39" t="s">
        <v>1716</v>
      </c>
      <c r="L2671" s="39" t="s">
        <v>1014</v>
      </c>
    </row>
    <row r="2672" spans="2:16" x14ac:dyDescent="0.2">
      <c r="B2672" s="38">
        <v>153022</v>
      </c>
      <c r="C2672" s="38" t="s">
        <v>3098</v>
      </c>
      <c r="D2672" s="279">
        <v>100000</v>
      </c>
      <c r="F2672" s="40">
        <v>2.9600000000000001E-2</v>
      </c>
      <c r="G2672" s="41">
        <v>45596</v>
      </c>
      <c r="H2672" s="41">
        <v>45779</v>
      </c>
      <c r="I2672" s="39">
        <v>26</v>
      </c>
      <c r="J2672" s="39" t="s">
        <v>369</v>
      </c>
      <c r="K2672" s="39" t="s">
        <v>1716</v>
      </c>
      <c r="L2672" s="39" t="s">
        <v>1014</v>
      </c>
    </row>
    <row r="2673" spans="2:13" x14ac:dyDescent="0.2">
      <c r="B2673" s="38">
        <v>153023</v>
      </c>
      <c r="C2673" s="38" t="s">
        <v>3099</v>
      </c>
      <c r="D2673" s="279">
        <v>100000</v>
      </c>
      <c r="F2673" s="40">
        <v>3.0300000000000001E-2</v>
      </c>
      <c r="G2673" s="41">
        <v>45596</v>
      </c>
      <c r="H2673" s="41">
        <v>45869</v>
      </c>
      <c r="I2673" s="39">
        <v>9</v>
      </c>
      <c r="J2673" s="39" t="s">
        <v>288</v>
      </c>
      <c r="K2673" s="39" t="s">
        <v>1716</v>
      </c>
      <c r="L2673" s="39" t="s">
        <v>1014</v>
      </c>
    </row>
    <row r="2674" spans="2:13" x14ac:dyDescent="0.2">
      <c r="B2674" s="38">
        <v>153024</v>
      </c>
      <c r="C2674" s="38" t="s">
        <v>3101</v>
      </c>
      <c r="D2674" s="279">
        <v>100000</v>
      </c>
      <c r="F2674" s="40">
        <v>3.0300000000000001E-2</v>
      </c>
      <c r="G2674" s="41">
        <v>45596</v>
      </c>
      <c r="H2674" s="41">
        <v>46142</v>
      </c>
      <c r="I2674" s="39">
        <v>18</v>
      </c>
      <c r="J2674" s="39" t="s">
        <v>288</v>
      </c>
      <c r="K2674" s="39" t="s">
        <v>1716</v>
      </c>
      <c r="L2674" s="39" t="s">
        <v>1014</v>
      </c>
    </row>
    <row r="2675" spans="2:13" x14ac:dyDescent="0.2">
      <c r="B2675" s="38">
        <v>153025</v>
      </c>
      <c r="C2675" s="38" t="s">
        <v>3100</v>
      </c>
      <c r="D2675" s="279">
        <v>100000</v>
      </c>
      <c r="F2675" s="40">
        <v>2.9499999999999998E-2</v>
      </c>
      <c r="G2675" s="41">
        <v>45596</v>
      </c>
      <c r="H2675" s="41">
        <v>45961</v>
      </c>
      <c r="I2675" s="39">
        <v>1</v>
      </c>
      <c r="J2675" s="39" t="s">
        <v>1716</v>
      </c>
      <c r="K2675" s="39" t="s">
        <v>1716</v>
      </c>
      <c r="L2675" s="39" t="s">
        <v>1014</v>
      </c>
    </row>
    <row r="2676" spans="2:13" x14ac:dyDescent="0.2">
      <c r="B2676" s="38">
        <v>100964</v>
      </c>
      <c r="C2676" s="38" t="s">
        <v>3103</v>
      </c>
      <c r="D2676" s="279">
        <v>100000</v>
      </c>
      <c r="F2676" s="40">
        <v>3.4299999999999997E-2</v>
      </c>
      <c r="G2676" s="41">
        <v>45597</v>
      </c>
      <c r="H2676" s="41">
        <v>47423</v>
      </c>
      <c r="I2676" s="39">
        <v>5</v>
      </c>
      <c r="J2676" s="39" t="s">
        <v>1716</v>
      </c>
      <c r="K2676" s="39" t="s">
        <v>1716</v>
      </c>
      <c r="L2676" s="39" t="s">
        <v>1014</v>
      </c>
    </row>
    <row r="2677" spans="2:13" x14ac:dyDescent="0.2">
      <c r="B2677" s="38">
        <v>201872</v>
      </c>
      <c r="C2677" s="38" t="s">
        <v>3104</v>
      </c>
      <c r="D2677" s="279">
        <v>100000</v>
      </c>
      <c r="F2677" s="40">
        <v>0.04</v>
      </c>
      <c r="G2677" s="41">
        <v>45565</v>
      </c>
      <c r="H2677" s="41">
        <v>53188</v>
      </c>
      <c r="I2677" s="39">
        <v>20</v>
      </c>
      <c r="J2677" s="39" t="s">
        <v>1716</v>
      </c>
      <c r="K2677" s="39" t="s">
        <v>1716</v>
      </c>
      <c r="L2677" s="39" t="s">
        <v>1014</v>
      </c>
    </row>
    <row r="2678" spans="2:13" x14ac:dyDescent="0.2">
      <c r="B2678" s="38">
        <v>153021</v>
      </c>
      <c r="C2678" s="38" t="s">
        <v>3105</v>
      </c>
      <c r="D2678" s="279">
        <v>100000</v>
      </c>
      <c r="F2678" s="40">
        <v>2.9399999999999999E-2</v>
      </c>
      <c r="G2678" s="41">
        <v>45595</v>
      </c>
      <c r="H2678" s="41">
        <v>45686</v>
      </c>
      <c r="I2678" s="39">
        <v>13</v>
      </c>
      <c r="J2678" s="39" t="s">
        <v>369</v>
      </c>
      <c r="K2678" s="39" t="s">
        <v>1716</v>
      </c>
      <c r="L2678" s="39" t="s">
        <v>1014</v>
      </c>
    </row>
    <row r="2679" spans="2:13" x14ac:dyDescent="0.2">
      <c r="B2679" s="38">
        <v>201870</v>
      </c>
      <c r="C2679" s="38" t="s">
        <v>3106</v>
      </c>
      <c r="D2679" s="279">
        <v>100000</v>
      </c>
      <c r="F2679" s="40">
        <v>3.6499999999999998E-2</v>
      </c>
      <c r="G2679" s="41">
        <v>45553</v>
      </c>
      <c r="H2679" s="41">
        <v>51333</v>
      </c>
      <c r="I2679" s="39">
        <v>15</v>
      </c>
      <c r="J2679" s="39" t="s">
        <v>1716</v>
      </c>
      <c r="K2679" s="39" t="s">
        <v>1716</v>
      </c>
      <c r="L2679" s="39" t="s">
        <v>1014</v>
      </c>
    </row>
    <row r="2680" spans="2:13" x14ac:dyDescent="0.2">
      <c r="B2680" s="38">
        <v>9598</v>
      </c>
      <c r="C2680" s="38" t="s">
        <v>2966</v>
      </c>
      <c r="D2680" s="279">
        <v>100000</v>
      </c>
      <c r="F2680" s="40">
        <v>3.78E-2</v>
      </c>
      <c r="G2680" s="41">
        <v>45465</v>
      </c>
      <c r="H2680" s="41">
        <v>45557</v>
      </c>
      <c r="I2680" s="39">
        <v>13</v>
      </c>
      <c r="J2680" s="39" t="s">
        <v>369</v>
      </c>
      <c r="K2680" s="39" t="s">
        <v>1716</v>
      </c>
      <c r="L2680" s="39" t="s">
        <v>1014</v>
      </c>
    </row>
    <row r="2681" spans="2:13" x14ac:dyDescent="0.2">
      <c r="B2681" s="38">
        <v>153038</v>
      </c>
      <c r="C2681" s="38" t="s">
        <v>3108</v>
      </c>
      <c r="D2681" s="279">
        <v>100000</v>
      </c>
      <c r="F2681" s="40">
        <v>2.92E-2</v>
      </c>
      <c r="G2681" s="41">
        <v>45624</v>
      </c>
      <c r="H2681" s="41">
        <v>45988</v>
      </c>
      <c r="I2681" s="39">
        <v>52</v>
      </c>
      <c r="J2681" s="39" t="s">
        <v>369</v>
      </c>
      <c r="K2681" s="39" t="s">
        <v>1716</v>
      </c>
      <c r="L2681" s="39" t="s">
        <v>1014</v>
      </c>
    </row>
    <row r="2682" spans="2:13" x14ac:dyDescent="0.2">
      <c r="B2682" s="38">
        <v>9639</v>
      </c>
      <c r="C2682" s="38" t="s">
        <v>3109</v>
      </c>
      <c r="D2682" s="279">
        <v>100000</v>
      </c>
      <c r="F2682" s="40">
        <v>4.7800000000000002E-2</v>
      </c>
      <c r="G2682" s="41">
        <v>45632</v>
      </c>
      <c r="H2682" s="41">
        <v>45997</v>
      </c>
      <c r="I2682" s="39">
        <v>52</v>
      </c>
      <c r="J2682" s="39" t="s">
        <v>369</v>
      </c>
      <c r="K2682" s="39" t="s">
        <v>1716</v>
      </c>
      <c r="L2682" s="39" t="s">
        <v>1014</v>
      </c>
    </row>
    <row r="2683" spans="2:13" x14ac:dyDescent="0.2">
      <c r="B2683" s="38">
        <v>9642</v>
      </c>
      <c r="C2683" s="38" t="s">
        <v>3110</v>
      </c>
      <c r="D2683" s="279">
        <v>100000</v>
      </c>
      <c r="F2683" s="46">
        <v>3.1399999999999997E-2</v>
      </c>
      <c r="G2683" s="41">
        <v>45725</v>
      </c>
      <c r="H2683" s="41">
        <v>45817</v>
      </c>
      <c r="I2683" s="39">
        <v>3</v>
      </c>
      <c r="J2683" s="39" t="s">
        <v>288</v>
      </c>
      <c r="K2683" s="39" t="s">
        <v>1525</v>
      </c>
      <c r="L2683" s="39" t="s">
        <v>1014</v>
      </c>
      <c r="M2683" s="41">
        <v>46365</v>
      </c>
    </row>
    <row r="2684" spans="2:13" ht="15" x14ac:dyDescent="0.2">
      <c r="B2684" s="1184">
        <v>100969</v>
      </c>
      <c r="C2684" s="38" t="s">
        <v>3111</v>
      </c>
      <c r="D2684" s="279">
        <v>100000</v>
      </c>
      <c r="F2684" s="40">
        <v>3.3799999999999997E-2</v>
      </c>
      <c r="G2684" s="41">
        <v>45635</v>
      </c>
      <c r="H2684" s="41">
        <v>46730</v>
      </c>
      <c r="I2684" s="39">
        <v>3</v>
      </c>
      <c r="J2684" s="39" t="s">
        <v>1716</v>
      </c>
      <c r="K2684" s="39" t="s">
        <v>1716</v>
      </c>
      <c r="L2684" s="39" t="s">
        <v>1014</v>
      </c>
    </row>
    <row r="2685" spans="2:13" x14ac:dyDescent="0.2">
      <c r="B2685" s="38">
        <v>9647</v>
      </c>
      <c r="C2685" s="38" t="s">
        <v>3112</v>
      </c>
      <c r="D2685" s="279">
        <v>100000</v>
      </c>
      <c r="F2685" s="40">
        <v>5.0900000000000001E-2</v>
      </c>
      <c r="G2685" s="41">
        <v>45642</v>
      </c>
      <c r="H2685" s="41">
        <v>56599</v>
      </c>
      <c r="I2685" s="39">
        <v>30</v>
      </c>
      <c r="J2685" s="39" t="s">
        <v>1716</v>
      </c>
      <c r="K2685" s="39" t="s">
        <v>1716</v>
      </c>
      <c r="L2685" s="39" t="s">
        <v>1014</v>
      </c>
    </row>
    <row r="2686" spans="2:13" x14ac:dyDescent="0.2">
      <c r="B2686" s="38">
        <v>9644</v>
      </c>
      <c r="C2686" s="38" t="s">
        <v>3113</v>
      </c>
      <c r="D2686" s="279">
        <v>100000</v>
      </c>
      <c r="F2686" s="40">
        <v>3.7600000000000001E-2</v>
      </c>
      <c r="G2686" s="41">
        <v>45642</v>
      </c>
      <c r="H2686" s="41">
        <v>49294</v>
      </c>
      <c r="I2686" s="39">
        <v>10</v>
      </c>
      <c r="J2686" s="39" t="s">
        <v>1716</v>
      </c>
      <c r="K2686" s="39" t="s">
        <v>1716</v>
      </c>
      <c r="L2686" s="39" t="s">
        <v>1014</v>
      </c>
    </row>
    <row r="2687" spans="2:13" x14ac:dyDescent="0.2">
      <c r="B2687" s="38">
        <v>9643</v>
      </c>
      <c r="C2687" s="38" t="s">
        <v>3114</v>
      </c>
      <c r="D2687" s="279">
        <v>100000</v>
      </c>
      <c r="F2687" s="40">
        <v>3.0599999999999999E-2</v>
      </c>
      <c r="G2687" s="41">
        <v>45642</v>
      </c>
      <c r="H2687" s="41">
        <v>46007</v>
      </c>
      <c r="I2687" s="39">
        <v>52</v>
      </c>
      <c r="J2687" s="39" t="s">
        <v>369</v>
      </c>
      <c r="K2687" s="39" t="s">
        <v>1716</v>
      </c>
      <c r="L2687" s="39" t="s">
        <v>1014</v>
      </c>
    </row>
    <row r="2688" spans="2:13" x14ac:dyDescent="0.2">
      <c r="B2688" s="38">
        <v>201873</v>
      </c>
      <c r="C2688" s="38" t="s">
        <v>3115</v>
      </c>
      <c r="D2688" s="279">
        <v>100000</v>
      </c>
      <c r="F2688" s="40">
        <v>4.4999999999999998E-2</v>
      </c>
      <c r="G2688" s="41">
        <v>45565</v>
      </c>
      <c r="H2688" s="41">
        <v>56723</v>
      </c>
      <c r="I2688" s="39">
        <v>30</v>
      </c>
      <c r="J2688" s="39" t="s">
        <v>1716</v>
      </c>
      <c r="K2688" s="39" t="s">
        <v>1716</v>
      </c>
      <c r="L2688" s="39" t="s">
        <v>1014</v>
      </c>
    </row>
    <row r="2689" spans="2:12" x14ac:dyDescent="0.2">
      <c r="B2689" s="38">
        <v>152961</v>
      </c>
      <c r="C2689" s="38" t="s">
        <v>3119</v>
      </c>
      <c r="D2689" s="279">
        <v>100000</v>
      </c>
      <c r="F2689" s="40">
        <v>3.3700000000000001E-2</v>
      </c>
      <c r="G2689" s="41">
        <v>45470</v>
      </c>
      <c r="H2689" s="41">
        <v>45743</v>
      </c>
      <c r="I2689" s="39">
        <v>9</v>
      </c>
      <c r="J2689" s="39" t="s">
        <v>288</v>
      </c>
      <c r="K2689" s="39" t="s">
        <v>1716</v>
      </c>
      <c r="L2689" s="39" t="s">
        <v>1014</v>
      </c>
    </row>
    <row r="2690" spans="2:12" x14ac:dyDescent="0.2">
      <c r="B2690" s="38">
        <v>9651</v>
      </c>
      <c r="C2690" s="38" t="s">
        <v>3120</v>
      </c>
      <c r="D2690" s="279">
        <v>100000</v>
      </c>
      <c r="F2690" s="40">
        <v>3.5299999999999998E-2</v>
      </c>
      <c r="G2690" s="41">
        <v>45652</v>
      </c>
      <c r="H2690" s="41">
        <v>48208</v>
      </c>
      <c r="I2690" s="39">
        <v>7</v>
      </c>
      <c r="J2690" s="39" t="s">
        <v>1716</v>
      </c>
      <c r="K2690" s="39" t="s">
        <v>1716</v>
      </c>
      <c r="L2690" s="39" t="s">
        <v>1014</v>
      </c>
    </row>
    <row r="2691" spans="2:12" x14ac:dyDescent="0.2">
      <c r="B2691" s="38">
        <v>9652</v>
      </c>
      <c r="C2691" s="38" t="s">
        <v>3121</v>
      </c>
      <c r="D2691" s="279">
        <v>100000</v>
      </c>
      <c r="F2691" s="40">
        <v>3.2300000000000002E-2</v>
      </c>
      <c r="G2691" s="41">
        <v>45652</v>
      </c>
      <c r="H2691" s="41">
        <v>48208</v>
      </c>
      <c r="I2691" s="39">
        <v>7</v>
      </c>
      <c r="J2691" s="39" t="s">
        <v>1716</v>
      </c>
      <c r="K2691" s="39" t="s">
        <v>1716</v>
      </c>
      <c r="L2691" s="39" t="s">
        <v>1014</v>
      </c>
    </row>
    <row r="2692" spans="2:12" x14ac:dyDescent="0.2">
      <c r="B2692" s="38">
        <v>9654</v>
      </c>
      <c r="C2692" s="38" t="s">
        <v>3122</v>
      </c>
      <c r="D2692" s="279">
        <v>100000</v>
      </c>
      <c r="F2692" s="40">
        <v>3.8399999999999997E-2</v>
      </c>
      <c r="G2692" s="41">
        <v>45652</v>
      </c>
      <c r="H2692" s="41">
        <v>48208</v>
      </c>
      <c r="I2692" s="39">
        <v>7</v>
      </c>
      <c r="J2692" s="39" t="s">
        <v>1716</v>
      </c>
      <c r="K2692" s="39" t="s">
        <v>1716</v>
      </c>
      <c r="L2692" s="39" t="s">
        <v>1014</v>
      </c>
    </row>
    <row r="2693" spans="2:12" x14ac:dyDescent="0.2">
      <c r="B2693" s="38">
        <v>9653</v>
      </c>
      <c r="C2693" s="38" t="s">
        <v>3123</v>
      </c>
      <c r="D2693" s="279">
        <v>100000</v>
      </c>
      <c r="F2693" s="40">
        <v>3.3799999999999997E-2</v>
      </c>
      <c r="G2693" s="41">
        <v>45652</v>
      </c>
      <c r="H2693" s="41">
        <v>48208</v>
      </c>
      <c r="I2693" s="39">
        <v>7</v>
      </c>
      <c r="J2693" s="39" t="s">
        <v>1716</v>
      </c>
      <c r="K2693" s="39" t="s">
        <v>1716</v>
      </c>
      <c r="L2693" s="39" t="s">
        <v>1014</v>
      </c>
    </row>
    <row r="2694" spans="2:12" x14ac:dyDescent="0.2">
      <c r="B2694" s="38">
        <v>100970</v>
      </c>
      <c r="C2694" s="38" t="s">
        <v>3125</v>
      </c>
      <c r="D2694" s="279">
        <v>100000</v>
      </c>
      <c r="F2694" s="40">
        <v>3.4000000000000002E-2</v>
      </c>
      <c r="G2694" s="41">
        <v>45656</v>
      </c>
      <c r="H2694" s="41">
        <v>46842</v>
      </c>
      <c r="I2694" s="39">
        <v>3</v>
      </c>
      <c r="J2694" s="39" t="s">
        <v>1716</v>
      </c>
      <c r="K2694" s="39" t="s">
        <v>1716</v>
      </c>
      <c r="L2694" s="39" t="s">
        <v>1014</v>
      </c>
    </row>
    <row r="2695" spans="2:12" x14ac:dyDescent="0.2">
      <c r="B2695" s="38">
        <v>9660</v>
      </c>
      <c r="C2695" s="38" t="s">
        <v>3126</v>
      </c>
      <c r="D2695" s="279">
        <v>100000</v>
      </c>
      <c r="F2695" s="40">
        <v>4.5400000000000003E-2</v>
      </c>
      <c r="G2695" s="41">
        <v>45656</v>
      </c>
      <c r="H2695" s="41">
        <v>49308</v>
      </c>
      <c r="I2695" s="39">
        <v>10</v>
      </c>
      <c r="J2695" s="39" t="s">
        <v>1716</v>
      </c>
      <c r="K2695" s="39" t="s">
        <v>1716</v>
      </c>
      <c r="L2695" s="39" t="s">
        <v>1014</v>
      </c>
    </row>
    <row r="2696" spans="2:12" x14ac:dyDescent="0.2">
      <c r="B2696" s="38">
        <v>100971</v>
      </c>
      <c r="C2696" s="38" t="s">
        <v>3127</v>
      </c>
      <c r="D2696" s="279">
        <v>100000</v>
      </c>
      <c r="F2696" s="40">
        <v>3.2599999999999997E-2</v>
      </c>
      <c r="G2696" s="41">
        <v>45656</v>
      </c>
      <c r="H2696" s="41">
        <v>46751</v>
      </c>
      <c r="I2696" s="39">
        <v>3</v>
      </c>
      <c r="J2696" s="39" t="s">
        <v>1716</v>
      </c>
      <c r="K2696" s="39" t="s">
        <v>1716</v>
      </c>
      <c r="L2696" s="39" t="s">
        <v>1014</v>
      </c>
    </row>
    <row r="2697" spans="2:12" x14ac:dyDescent="0.2">
      <c r="B2697" s="38">
        <v>201878</v>
      </c>
      <c r="C2697" s="38" t="s">
        <v>3128</v>
      </c>
      <c r="D2697" s="279">
        <v>100000</v>
      </c>
      <c r="F2697" s="40">
        <v>2.7E-2</v>
      </c>
      <c r="G2697" s="41">
        <v>45607</v>
      </c>
      <c r="H2697" s="41">
        <v>46041</v>
      </c>
      <c r="I2697" s="39">
        <v>52</v>
      </c>
      <c r="J2697" s="39" t="s">
        <v>369</v>
      </c>
      <c r="K2697" s="39" t="s">
        <v>1716</v>
      </c>
      <c r="L2697" s="39" t="s">
        <v>1014</v>
      </c>
    </row>
    <row r="2698" spans="2:12" x14ac:dyDescent="0.2">
      <c r="B2698" s="38">
        <v>201763</v>
      </c>
      <c r="C2698" s="38" t="s">
        <v>3129</v>
      </c>
      <c r="D2698" s="279">
        <v>100000</v>
      </c>
      <c r="F2698" s="40">
        <v>2.7900000000000001E-2</v>
      </c>
      <c r="G2698" s="41">
        <v>44893</v>
      </c>
      <c r="H2698" s="41">
        <v>46719</v>
      </c>
      <c r="I2698" s="39">
        <v>5</v>
      </c>
      <c r="J2698" s="39" t="s">
        <v>1716</v>
      </c>
      <c r="K2698" s="39" t="s">
        <v>1716</v>
      </c>
      <c r="L2698" s="39" t="s">
        <v>1014</v>
      </c>
    </row>
    <row r="2699" spans="2:12" x14ac:dyDescent="0.2">
      <c r="B2699" s="38">
        <v>201822</v>
      </c>
      <c r="C2699" s="38" t="s">
        <v>2852</v>
      </c>
      <c r="D2699" s="279">
        <v>100000</v>
      </c>
      <c r="F2699" s="40">
        <v>4.7500000000000001E-2</v>
      </c>
      <c r="G2699" s="41">
        <v>45104</v>
      </c>
      <c r="H2699" s="41">
        <v>50843</v>
      </c>
      <c r="I2699" s="39">
        <v>15</v>
      </c>
      <c r="J2699" s="39" t="s">
        <v>1716</v>
      </c>
      <c r="K2699" s="39" t="s">
        <v>1716</v>
      </c>
      <c r="L2699" s="39" t="s">
        <v>1014</v>
      </c>
    </row>
    <row r="2700" spans="2:12" x14ac:dyDescent="0.2">
      <c r="B2700" s="38">
        <v>201882</v>
      </c>
      <c r="C2700" s="38" t="s">
        <v>3130</v>
      </c>
      <c r="D2700" s="279">
        <v>100000</v>
      </c>
      <c r="F2700" s="40">
        <v>2.6499999999999999E-2</v>
      </c>
      <c r="G2700" s="41">
        <v>45663</v>
      </c>
      <c r="H2700" s="41">
        <v>46461</v>
      </c>
      <c r="I2700" s="39">
        <v>2</v>
      </c>
      <c r="J2700" s="39" t="s">
        <v>1716</v>
      </c>
      <c r="K2700" s="39" t="s">
        <v>1716</v>
      </c>
      <c r="L2700" s="39" t="s">
        <v>1014</v>
      </c>
    </row>
    <row r="2701" spans="2:12" x14ac:dyDescent="0.2">
      <c r="B2701" s="38">
        <v>153049</v>
      </c>
      <c r="C2701" s="38" t="s">
        <v>3131</v>
      </c>
      <c r="D2701" s="279">
        <v>100000</v>
      </c>
      <c r="F2701" s="40">
        <v>2.7799999999999998E-2</v>
      </c>
      <c r="G2701" s="41">
        <v>45673</v>
      </c>
      <c r="H2701" s="41">
        <v>46037</v>
      </c>
      <c r="I2701" s="39">
        <v>52</v>
      </c>
      <c r="J2701" s="39" t="s">
        <v>369</v>
      </c>
      <c r="K2701" s="39" t="s">
        <v>1716</v>
      </c>
      <c r="L2701" s="39" t="s">
        <v>1014</v>
      </c>
    </row>
    <row r="2702" spans="2:12" x14ac:dyDescent="0.2">
      <c r="B2702" s="38">
        <v>153048</v>
      </c>
      <c r="C2702" s="38" t="s">
        <v>3132</v>
      </c>
      <c r="D2702" s="279">
        <v>100000</v>
      </c>
      <c r="F2702" s="40">
        <v>2.7E-2</v>
      </c>
      <c r="G2702" s="41">
        <v>45673</v>
      </c>
      <c r="H2702" s="41">
        <v>45855</v>
      </c>
      <c r="I2702" s="39">
        <v>26</v>
      </c>
      <c r="J2702" s="39" t="s">
        <v>369</v>
      </c>
      <c r="K2702" s="39" t="s">
        <v>1716</v>
      </c>
      <c r="L2702" s="39" t="s">
        <v>1014</v>
      </c>
    </row>
    <row r="2703" spans="2:12" x14ac:dyDescent="0.2">
      <c r="B2703" s="38">
        <v>100972</v>
      </c>
      <c r="C2703" s="38" t="s">
        <v>3133</v>
      </c>
      <c r="D2703" s="279">
        <v>100000</v>
      </c>
      <c r="F2703" s="40">
        <v>2.9600000000000001E-2</v>
      </c>
      <c r="G2703" s="41">
        <v>45674</v>
      </c>
      <c r="H2703" s="41">
        <v>46404</v>
      </c>
      <c r="I2703" s="39">
        <v>2</v>
      </c>
      <c r="J2703" s="39" t="s">
        <v>1716</v>
      </c>
      <c r="K2703" s="39" t="s">
        <v>1716</v>
      </c>
      <c r="L2703" s="39" t="s">
        <v>1014</v>
      </c>
    </row>
    <row r="2704" spans="2:12" x14ac:dyDescent="0.2">
      <c r="B2704" s="38">
        <v>141171</v>
      </c>
      <c r="C2704" s="38" t="s">
        <v>3136</v>
      </c>
      <c r="D2704" s="279">
        <v>100000</v>
      </c>
      <c r="F2704" s="40">
        <v>2.6100000000000002E-2</v>
      </c>
      <c r="G2704" s="41">
        <v>45684</v>
      </c>
      <c r="H2704" s="41">
        <v>45866</v>
      </c>
      <c r="I2704" s="39">
        <v>26</v>
      </c>
      <c r="J2704" s="39" t="s">
        <v>369</v>
      </c>
      <c r="K2704" s="39" t="s">
        <v>369</v>
      </c>
      <c r="L2704" s="39" t="s">
        <v>1014</v>
      </c>
    </row>
    <row r="2705" spans="2:12" x14ac:dyDescent="0.2">
      <c r="B2705" s="38">
        <v>100974</v>
      </c>
      <c r="C2705" s="38" t="s">
        <v>3138</v>
      </c>
      <c r="D2705" s="279">
        <v>100000</v>
      </c>
      <c r="F2705" s="40">
        <v>3.2800000000000003E-2</v>
      </c>
      <c r="G2705" s="41">
        <v>45688</v>
      </c>
      <c r="H2705" s="41">
        <v>47149</v>
      </c>
      <c r="I2705" s="39">
        <v>4</v>
      </c>
      <c r="J2705" s="39" t="s">
        <v>1716</v>
      </c>
      <c r="K2705" s="39" t="s">
        <v>1716</v>
      </c>
      <c r="L2705" s="39" t="s">
        <v>1014</v>
      </c>
    </row>
    <row r="2706" spans="2:12" x14ac:dyDescent="0.2">
      <c r="B2706" s="38">
        <v>100975</v>
      </c>
      <c r="C2706" s="38" t="s">
        <v>3137</v>
      </c>
      <c r="D2706" s="279">
        <v>100000</v>
      </c>
      <c r="F2706" s="40">
        <v>2.9700000000000001E-2</v>
      </c>
      <c r="G2706" s="41">
        <v>45688</v>
      </c>
      <c r="H2706" s="41">
        <v>46418</v>
      </c>
      <c r="I2706" s="39">
        <v>2</v>
      </c>
      <c r="J2706" s="39" t="s">
        <v>1716</v>
      </c>
      <c r="K2706" s="39" t="s">
        <v>1716</v>
      </c>
      <c r="L2706" s="39" t="s">
        <v>1014</v>
      </c>
    </row>
    <row r="2707" spans="2:12" x14ac:dyDescent="0.2">
      <c r="B2707" s="38">
        <v>5156</v>
      </c>
      <c r="C2707" s="38" t="s">
        <v>3139</v>
      </c>
      <c r="D2707" s="279">
        <v>100000</v>
      </c>
      <c r="F2707" s="40">
        <v>4.07E-2</v>
      </c>
      <c r="G2707" s="41">
        <v>45694</v>
      </c>
      <c r="H2707" s="41">
        <v>46053</v>
      </c>
      <c r="I2707" s="39">
        <v>14</v>
      </c>
      <c r="J2707" s="39" t="s">
        <v>1716</v>
      </c>
      <c r="K2707" s="39" t="s">
        <v>1716</v>
      </c>
      <c r="L2707" s="39" t="s">
        <v>1014</v>
      </c>
    </row>
    <row r="2708" spans="2:12" x14ac:dyDescent="0.2">
      <c r="B2708" s="38">
        <v>100977</v>
      </c>
      <c r="C2708" s="38" t="s">
        <v>3155</v>
      </c>
      <c r="D2708" s="279">
        <v>100000</v>
      </c>
      <c r="F2708" s="46">
        <v>2.9899999999999999E-2</v>
      </c>
      <c r="G2708" s="41">
        <v>45708</v>
      </c>
      <c r="H2708" s="41">
        <v>46438</v>
      </c>
      <c r="I2708" s="39">
        <v>2</v>
      </c>
      <c r="J2708" s="39" t="s">
        <v>1716</v>
      </c>
      <c r="K2708" s="39" t="s">
        <v>1716</v>
      </c>
      <c r="L2708" s="39" t="s">
        <v>1014</v>
      </c>
    </row>
    <row r="2709" spans="2:12" x14ac:dyDescent="0.2">
      <c r="B2709" s="38">
        <v>141170</v>
      </c>
      <c r="C2709" s="38" t="s">
        <v>3156</v>
      </c>
      <c r="D2709" s="279">
        <v>100000</v>
      </c>
      <c r="F2709" s="46">
        <v>2.5700000000000001E-2</v>
      </c>
      <c r="G2709" s="41">
        <v>45684</v>
      </c>
      <c r="H2709" s="41">
        <v>45715</v>
      </c>
      <c r="I2709" s="39">
        <v>1</v>
      </c>
      <c r="J2709" s="39" t="s">
        <v>288</v>
      </c>
      <c r="K2709" s="39" t="s">
        <v>288</v>
      </c>
      <c r="L2709" s="39" t="s">
        <v>1014</v>
      </c>
    </row>
    <row r="2710" spans="2:12" x14ac:dyDescent="0.2">
      <c r="B2710" s="38">
        <v>201892</v>
      </c>
      <c r="C2710" s="38" t="s">
        <v>3157</v>
      </c>
      <c r="D2710" s="279">
        <v>100000</v>
      </c>
      <c r="F2710" s="46">
        <v>2.6499999999999999E-2</v>
      </c>
      <c r="G2710" s="41">
        <v>45712</v>
      </c>
      <c r="H2710" s="41">
        <v>46587</v>
      </c>
      <c r="I2710" s="39">
        <v>2</v>
      </c>
      <c r="J2710" s="39" t="s">
        <v>1716</v>
      </c>
      <c r="K2710" s="39" t="s">
        <v>1716</v>
      </c>
      <c r="L2710" s="39" t="s">
        <v>1014</v>
      </c>
    </row>
    <row r="2711" spans="2:12" x14ac:dyDescent="0.2">
      <c r="B2711" s="38">
        <v>9677</v>
      </c>
      <c r="C2711" s="38" t="s">
        <v>3158</v>
      </c>
      <c r="D2711" s="279">
        <v>100000</v>
      </c>
      <c r="F2711" s="46">
        <v>3.6700000000000003E-2</v>
      </c>
      <c r="G2711" s="41">
        <v>45715</v>
      </c>
      <c r="H2711" s="41">
        <v>48271</v>
      </c>
      <c r="I2711" s="39">
        <v>7</v>
      </c>
      <c r="J2711" s="39" t="s">
        <v>1716</v>
      </c>
      <c r="K2711" s="39" t="s">
        <v>1716</v>
      </c>
      <c r="L2711" s="39" t="s">
        <v>1014</v>
      </c>
    </row>
    <row r="2712" spans="2:12" x14ac:dyDescent="0.2">
      <c r="B2712" s="38">
        <v>153064</v>
      </c>
      <c r="C2712" s="38" t="s">
        <v>3159</v>
      </c>
      <c r="D2712" s="279">
        <v>100000</v>
      </c>
      <c r="F2712" s="46">
        <v>2.6700000000000002E-2</v>
      </c>
      <c r="G2712" s="41">
        <v>45716</v>
      </c>
      <c r="H2712" s="41">
        <v>45807</v>
      </c>
      <c r="I2712" s="39">
        <v>13</v>
      </c>
      <c r="J2712" s="39" t="s">
        <v>369</v>
      </c>
      <c r="K2712" s="39" t="s">
        <v>1525</v>
      </c>
      <c r="L2712" s="39" t="s">
        <v>1014</v>
      </c>
    </row>
    <row r="2713" spans="2:12" x14ac:dyDescent="0.2">
      <c r="B2713" s="38">
        <v>153063</v>
      </c>
      <c r="C2713" s="38" t="s">
        <v>3160</v>
      </c>
      <c r="D2713" s="279">
        <v>100000</v>
      </c>
      <c r="F2713" s="46">
        <v>2.5700000000000001E-2</v>
      </c>
      <c r="G2713" s="41">
        <v>45716</v>
      </c>
      <c r="H2713" s="41">
        <v>45898</v>
      </c>
      <c r="I2713" s="39">
        <v>26</v>
      </c>
      <c r="J2713" s="39" t="s">
        <v>369</v>
      </c>
      <c r="K2713" s="39" t="s">
        <v>369</v>
      </c>
      <c r="L2713" s="39" t="s">
        <v>1014</v>
      </c>
    </row>
    <row r="2714" spans="2:12" x14ac:dyDescent="0.2">
      <c r="B2714" s="38">
        <v>100979</v>
      </c>
      <c r="C2714" s="38" t="s">
        <v>3161</v>
      </c>
      <c r="D2714" s="279">
        <v>100000</v>
      </c>
      <c r="F2714" s="46">
        <v>3.09E-2</v>
      </c>
      <c r="G2714" s="41">
        <v>45716</v>
      </c>
      <c r="H2714" s="41">
        <v>46447</v>
      </c>
      <c r="I2714" s="39">
        <v>2</v>
      </c>
      <c r="J2714" s="39" t="s">
        <v>1716</v>
      </c>
      <c r="K2714" s="39" t="s">
        <v>1716</v>
      </c>
      <c r="L2714" s="39" t="s">
        <v>1014</v>
      </c>
    </row>
    <row r="2715" spans="2:12" x14ac:dyDescent="0.2">
      <c r="B2715" s="38">
        <v>100984</v>
      </c>
      <c r="C2715" s="38" t="s">
        <v>3163</v>
      </c>
      <c r="D2715" s="279">
        <v>100000</v>
      </c>
      <c r="F2715" s="46">
        <v>3.1099999999999999E-2</v>
      </c>
      <c r="G2715" s="41">
        <v>45719</v>
      </c>
      <c r="H2715" s="41">
        <v>46541</v>
      </c>
      <c r="I2715" s="39">
        <v>27</v>
      </c>
      <c r="J2715" s="39" t="s">
        <v>288</v>
      </c>
      <c r="K2715" s="39" t="s">
        <v>1716</v>
      </c>
      <c r="L2715" s="39" t="s">
        <v>1014</v>
      </c>
    </row>
    <row r="2716" spans="2:12" x14ac:dyDescent="0.2">
      <c r="B2716" s="38">
        <v>100983</v>
      </c>
      <c r="C2716" s="38" t="s">
        <v>3162</v>
      </c>
      <c r="D2716" s="279">
        <v>100000</v>
      </c>
      <c r="F2716" s="46">
        <v>3.1399999999999997E-2</v>
      </c>
      <c r="G2716" s="41">
        <v>45719</v>
      </c>
      <c r="H2716" s="41">
        <v>46633</v>
      </c>
      <c r="I2716" s="39">
        <v>30</v>
      </c>
      <c r="J2716" s="39" t="s">
        <v>288</v>
      </c>
      <c r="K2716" s="39" t="s">
        <v>1716</v>
      </c>
      <c r="L2716" s="39" t="s">
        <v>1014</v>
      </c>
    </row>
    <row r="2717" spans="2:12" x14ac:dyDescent="0.2">
      <c r="B2717" s="38">
        <v>9091</v>
      </c>
      <c r="C2717" s="38" t="s">
        <v>3165</v>
      </c>
      <c r="D2717" s="279">
        <v>100000</v>
      </c>
      <c r="F2717" s="46">
        <v>4.8599999999999997E-2</v>
      </c>
      <c r="G2717" s="41">
        <v>40007</v>
      </c>
      <c r="H2717" s="41">
        <v>47312</v>
      </c>
      <c r="I2717" s="39">
        <v>20</v>
      </c>
      <c r="J2717" s="39" t="s">
        <v>1716</v>
      </c>
      <c r="K2717" s="39" t="s">
        <v>1716</v>
      </c>
      <c r="L2717" s="39" t="s">
        <v>1014</v>
      </c>
    </row>
    <row r="2718" spans="2:12" ht="15" x14ac:dyDescent="0.25">
      <c r="B2718" s="1025">
        <v>152364</v>
      </c>
      <c r="C2718" s="38" t="s">
        <v>3166</v>
      </c>
      <c r="D2718" s="279">
        <v>100000</v>
      </c>
      <c r="F2718" s="46">
        <v>2.35E-2</v>
      </c>
      <c r="G2718" s="41">
        <v>44306</v>
      </c>
      <c r="H2718" s="41">
        <v>46132</v>
      </c>
      <c r="I2718" s="39">
        <v>5</v>
      </c>
      <c r="J2718" s="39" t="s">
        <v>1716</v>
      </c>
      <c r="K2718" s="39" t="s">
        <v>1716</v>
      </c>
      <c r="L2718" s="39" t="s">
        <v>1014</v>
      </c>
    </row>
    <row r="2719" spans="2:12" x14ac:dyDescent="0.2">
      <c r="B2719" s="38">
        <v>100985</v>
      </c>
      <c r="C2719" s="38" t="s">
        <v>3167</v>
      </c>
      <c r="D2719" s="279">
        <v>100000</v>
      </c>
      <c r="F2719" s="46">
        <v>3.0200000000000001E-2</v>
      </c>
      <c r="G2719" s="41">
        <v>45743</v>
      </c>
      <c r="H2719" s="41">
        <v>46839</v>
      </c>
      <c r="I2719" s="39">
        <v>4</v>
      </c>
      <c r="J2719" s="39" t="s">
        <v>1716</v>
      </c>
      <c r="K2719" s="39" t="s">
        <v>1716</v>
      </c>
      <c r="L2719" s="39" t="s">
        <v>1014</v>
      </c>
    </row>
    <row r="2720" spans="2:12" x14ac:dyDescent="0.2">
      <c r="B2720" s="38">
        <v>100986</v>
      </c>
      <c r="C2720" s="38" t="s">
        <v>3168</v>
      </c>
      <c r="D2720" s="279">
        <v>100000</v>
      </c>
      <c r="F2720" s="40">
        <v>3.0200000000000001E-2</v>
      </c>
      <c r="G2720" s="41">
        <v>45744</v>
      </c>
      <c r="H2720" s="41">
        <v>46840</v>
      </c>
      <c r="I2720" s="39">
        <v>4</v>
      </c>
      <c r="J2720" s="39" t="s">
        <v>1716</v>
      </c>
      <c r="K2720" s="39" t="s">
        <v>1716</v>
      </c>
      <c r="L2720" s="39" t="s">
        <v>1014</v>
      </c>
    </row>
    <row r="2721" spans="2:12" x14ac:dyDescent="0.2">
      <c r="B2721" s="38">
        <v>100987</v>
      </c>
      <c r="D2721" s="279">
        <v>100000</v>
      </c>
      <c r="F2721" s="40">
        <v>2.8799999999999999E-2</v>
      </c>
      <c r="G2721" s="41">
        <v>45744</v>
      </c>
      <c r="H2721" s="41">
        <v>46478</v>
      </c>
      <c r="I2721" s="39">
        <v>52</v>
      </c>
      <c r="J2721" s="39" t="s">
        <v>369</v>
      </c>
      <c r="K2721" s="39" t="s">
        <v>1716</v>
      </c>
      <c r="L2721" s="39" t="s">
        <v>1014</v>
      </c>
    </row>
    <row r="2722" spans="2:12" x14ac:dyDescent="0.2">
      <c r="B2722" s="38">
        <v>100988</v>
      </c>
      <c r="C2722" s="38" t="s">
        <v>3169</v>
      </c>
      <c r="D2722" s="279">
        <v>100000</v>
      </c>
      <c r="F2722" s="40">
        <v>3.1399999999999997E-2</v>
      </c>
      <c r="G2722" s="41">
        <v>45744</v>
      </c>
      <c r="H2722" s="41">
        <v>47570</v>
      </c>
      <c r="I2722" s="39">
        <v>5</v>
      </c>
      <c r="J2722" s="39" t="s">
        <v>1716</v>
      </c>
      <c r="K2722" s="39" t="s">
        <v>1716</v>
      </c>
      <c r="L2722" s="39" t="s">
        <v>1014</v>
      </c>
    </row>
    <row r="2723" spans="2:12" x14ac:dyDescent="0.2">
      <c r="B2723" s="38">
        <v>141174</v>
      </c>
      <c r="C2723" s="38" t="s">
        <v>3171</v>
      </c>
      <c r="D2723" s="279">
        <v>100000</v>
      </c>
      <c r="F2723" s="1257">
        <v>2.7099999999999999E-2</v>
      </c>
      <c r="G2723" s="1258">
        <v>45750</v>
      </c>
      <c r="H2723" s="1258">
        <v>46115</v>
      </c>
      <c r="I2723" s="39">
        <v>52</v>
      </c>
      <c r="J2723" s="39" t="s">
        <v>369</v>
      </c>
      <c r="K2723" s="39" t="s">
        <v>1716</v>
      </c>
      <c r="L2723" s="39" t="s">
        <v>1014</v>
      </c>
    </row>
    <row r="2724" spans="2:12" x14ac:dyDescent="0.2">
      <c r="B2724" s="1256">
        <v>201877</v>
      </c>
      <c r="C2724" s="1256" t="s">
        <v>3172</v>
      </c>
      <c r="D2724" s="1296">
        <v>100000</v>
      </c>
      <c r="E2724" s="1256"/>
      <c r="F2724" s="1257">
        <v>2.58E-2</v>
      </c>
      <c r="G2724" s="1258">
        <v>45600</v>
      </c>
      <c r="H2724" s="1258">
        <v>45782</v>
      </c>
      <c r="I2724" s="1256">
        <v>26</v>
      </c>
      <c r="J2724" s="1256" t="s">
        <v>369</v>
      </c>
      <c r="K2724" s="1256" t="s">
        <v>369</v>
      </c>
      <c r="L2724" s="1256" t="s">
        <v>1014</v>
      </c>
    </row>
    <row r="2725" spans="2:12" x14ac:dyDescent="0.2">
      <c r="B2725" s="1256">
        <v>9102</v>
      </c>
      <c r="C2725" s="1296" t="s">
        <v>3172</v>
      </c>
      <c r="D2725" s="1256">
        <v>100000</v>
      </c>
      <c r="E2725" s="1256"/>
      <c r="F2725" s="1257">
        <v>4.9599999999999998E-2</v>
      </c>
      <c r="G2725" s="1258">
        <v>40294</v>
      </c>
      <c r="H2725" s="1258">
        <v>47599</v>
      </c>
      <c r="I2725" s="1256">
        <v>20</v>
      </c>
      <c r="J2725" s="1256" t="s">
        <v>369</v>
      </c>
      <c r="K2725" s="1256" t="s">
        <v>369</v>
      </c>
      <c r="L2725" s="1256" t="s">
        <v>1014</v>
      </c>
    </row>
    <row r="2726" spans="2:12" x14ac:dyDescent="0.2">
      <c r="B2726" s="1256">
        <v>153078</v>
      </c>
      <c r="C2726" s="1296" t="s">
        <v>3176</v>
      </c>
      <c r="D2726" s="1256">
        <v>100000</v>
      </c>
      <c r="E2726" s="1256"/>
      <c r="F2726" s="1257">
        <v>2.92E-2</v>
      </c>
      <c r="G2726" s="1258">
        <v>45777</v>
      </c>
      <c r="H2726" s="1258">
        <v>47603</v>
      </c>
      <c r="I2726" s="1256">
        <v>5</v>
      </c>
      <c r="J2726" s="1256" t="s">
        <v>1716</v>
      </c>
      <c r="K2726" s="1256" t="s">
        <v>1716</v>
      </c>
      <c r="L2726" s="1256" t="s">
        <v>1014</v>
      </c>
    </row>
    <row r="2727" spans="2:12" x14ac:dyDescent="0.2">
      <c r="B2727" s="1256">
        <v>153081</v>
      </c>
      <c r="C2727" s="1296" t="s">
        <v>3177</v>
      </c>
      <c r="D2727" s="1256">
        <v>100000</v>
      </c>
      <c r="E2727" s="1256"/>
      <c r="F2727" s="1257">
        <v>2.4400000000000002E-2</v>
      </c>
      <c r="G2727" s="1258">
        <v>45777</v>
      </c>
      <c r="H2727" s="1258">
        <v>45959</v>
      </c>
      <c r="I2727" s="1256">
        <v>26</v>
      </c>
      <c r="J2727" s="1256" t="s">
        <v>369</v>
      </c>
      <c r="K2727" s="1256" t="s">
        <v>369</v>
      </c>
      <c r="L2727" s="1256" t="s">
        <v>1014</v>
      </c>
    </row>
    <row r="2728" spans="2:12" x14ac:dyDescent="0.2">
      <c r="B2728" s="1256">
        <v>153080</v>
      </c>
      <c r="C2728" s="1296" t="s">
        <v>3178</v>
      </c>
      <c r="D2728" s="1256">
        <v>100000</v>
      </c>
      <c r="E2728" s="1256"/>
      <c r="F2728" s="1257">
        <v>2.3699999999999999E-2</v>
      </c>
      <c r="G2728" s="1258">
        <v>45777</v>
      </c>
      <c r="H2728" s="1258">
        <v>45869</v>
      </c>
      <c r="I2728" s="1256">
        <v>13</v>
      </c>
      <c r="J2728" s="1256" t="s">
        <v>369</v>
      </c>
      <c r="K2728" s="1256" t="s">
        <v>1525</v>
      </c>
      <c r="L2728" s="1256" t="s">
        <v>1014</v>
      </c>
    </row>
    <row r="2729" spans="2:12" x14ac:dyDescent="0.2">
      <c r="B2729" s="1256">
        <v>100885</v>
      </c>
      <c r="C2729" s="1296" t="s">
        <v>3179</v>
      </c>
      <c r="D2729" s="1256">
        <v>100000</v>
      </c>
      <c r="E2729" s="1256"/>
      <c r="F2729" s="1257">
        <v>2.8199999999999999E-2</v>
      </c>
      <c r="G2729" s="1258">
        <v>44687</v>
      </c>
      <c r="H2729" s="1258">
        <v>46513</v>
      </c>
      <c r="I2729" s="1256">
        <v>5</v>
      </c>
      <c r="J2729" s="1256" t="s">
        <v>1716</v>
      </c>
      <c r="K2729" s="1256" t="s">
        <v>1716</v>
      </c>
      <c r="L2729" s="1256" t="s">
        <v>1014</v>
      </c>
    </row>
    <row r="2730" spans="2:12" x14ac:dyDescent="0.2">
      <c r="B2730" s="1256">
        <v>201894</v>
      </c>
      <c r="C2730" s="1296" t="s">
        <v>3180</v>
      </c>
      <c r="D2730" s="1256">
        <v>100000</v>
      </c>
      <c r="E2730" s="1256"/>
      <c r="F2730" s="1257">
        <v>2.1999999999999999E-2</v>
      </c>
      <c r="G2730" s="1258">
        <v>45740</v>
      </c>
      <c r="H2730" s="1258">
        <v>45831</v>
      </c>
      <c r="I2730" s="1256">
        <v>13</v>
      </c>
      <c r="J2730" s="1256" t="s">
        <v>369</v>
      </c>
      <c r="K2730" s="1256" t="s">
        <v>1525</v>
      </c>
      <c r="L2730" s="1256" t="s">
        <v>1014</v>
      </c>
    </row>
    <row r="2731" spans="2:12" x14ac:dyDescent="0.2">
      <c r="B2731" s="1256">
        <v>201893</v>
      </c>
      <c r="C2731" s="1296" t="s">
        <v>3181</v>
      </c>
      <c r="D2731" s="1256">
        <v>100000</v>
      </c>
      <c r="E2731" s="1256"/>
      <c r="F2731" s="1257">
        <v>2.3900000000000001E-2</v>
      </c>
      <c r="G2731" s="1258">
        <v>45719</v>
      </c>
      <c r="H2731" s="1258">
        <v>45901</v>
      </c>
      <c r="I2731" s="1256">
        <v>26</v>
      </c>
      <c r="J2731" s="1256" t="s">
        <v>369</v>
      </c>
      <c r="K2731" s="1256" t="s">
        <v>369</v>
      </c>
      <c r="L2731" s="1256" t="s">
        <v>1014</v>
      </c>
    </row>
    <row r="2732" spans="2:12" x14ac:dyDescent="0.2">
      <c r="B2732" s="1256">
        <v>100992</v>
      </c>
      <c r="C2732" s="1296" t="s">
        <v>3182</v>
      </c>
      <c r="D2732" s="1256">
        <v>100000</v>
      </c>
      <c r="E2732" s="1256"/>
      <c r="F2732" s="1257">
        <v>2.6599999999999999E-2</v>
      </c>
      <c r="G2732" s="1258">
        <v>45806</v>
      </c>
      <c r="H2732" s="1258">
        <v>46538</v>
      </c>
      <c r="I2732" s="1256">
        <v>2</v>
      </c>
      <c r="J2732" s="1256" t="s">
        <v>1716</v>
      </c>
      <c r="K2732" s="1256" t="s">
        <v>1716</v>
      </c>
      <c r="L2732" s="1256" t="s">
        <v>1014</v>
      </c>
    </row>
    <row r="2733" spans="2:12" x14ac:dyDescent="0.2">
      <c r="B2733" s="1256">
        <v>9686</v>
      </c>
      <c r="C2733" s="1296" t="s">
        <v>3183</v>
      </c>
      <c r="D2733" s="1256">
        <v>100000</v>
      </c>
      <c r="E2733" s="1256"/>
      <c r="F2733" s="1257">
        <v>2.8500000000000001E-2</v>
      </c>
      <c r="G2733" s="1258">
        <v>45812</v>
      </c>
      <c r="H2733" s="1258">
        <v>47273</v>
      </c>
      <c r="I2733" s="1256">
        <v>4</v>
      </c>
      <c r="J2733" s="1256" t="s">
        <v>1716</v>
      </c>
      <c r="K2733" s="1256" t="s">
        <v>1716</v>
      </c>
      <c r="L2733" s="1256" t="s">
        <v>1014</v>
      </c>
    </row>
    <row r="2734" spans="2:12" x14ac:dyDescent="0.2">
      <c r="B2734" s="1256">
        <v>9685</v>
      </c>
      <c r="C2734" s="1296" t="s">
        <v>3187</v>
      </c>
      <c r="D2734" s="1256">
        <v>100000</v>
      </c>
      <c r="E2734" s="1256"/>
      <c r="F2734" s="1257">
        <v>2.69E-2</v>
      </c>
      <c r="G2734" s="1258">
        <v>45812</v>
      </c>
      <c r="H2734" s="1258">
        <v>45995</v>
      </c>
      <c r="I2734" s="1256">
        <v>26</v>
      </c>
      <c r="J2734" s="1256" t="s">
        <v>369</v>
      </c>
      <c r="K2734" s="1256" t="s">
        <v>369</v>
      </c>
      <c r="L2734" s="1256" t="s">
        <v>1014</v>
      </c>
    </row>
    <row r="2735" spans="2:12" x14ac:dyDescent="0.2">
      <c r="B2735" s="1256">
        <v>9684</v>
      </c>
      <c r="C2735" s="1296" t="s">
        <v>3186</v>
      </c>
      <c r="D2735" s="1256">
        <v>100000</v>
      </c>
      <c r="E2735" s="1256"/>
      <c r="F2735" s="1257">
        <v>2.69E-2</v>
      </c>
      <c r="G2735" s="1258">
        <v>45812</v>
      </c>
      <c r="H2735" s="1258">
        <v>45995</v>
      </c>
      <c r="I2735" s="1256">
        <v>26</v>
      </c>
      <c r="J2735" s="1256" t="s">
        <v>369</v>
      </c>
      <c r="K2735" s="1256" t="s">
        <v>369</v>
      </c>
      <c r="L2735" s="1256" t="s">
        <v>1014</v>
      </c>
    </row>
    <row r="2736" spans="2:12" x14ac:dyDescent="0.2">
      <c r="B2736" s="1256">
        <v>153087</v>
      </c>
      <c r="C2736" s="1296" t="s">
        <v>3182</v>
      </c>
      <c r="D2736" s="1256">
        <v>100000</v>
      </c>
      <c r="E2736" s="1256"/>
      <c r="F2736" s="1257">
        <v>2.23E-2</v>
      </c>
      <c r="G2736" s="1258">
        <v>45807</v>
      </c>
      <c r="H2736" s="1258">
        <v>45898</v>
      </c>
      <c r="I2736" s="1256">
        <v>13</v>
      </c>
      <c r="J2736" s="1256" t="s">
        <v>369</v>
      </c>
      <c r="K2736" s="1256" t="s">
        <v>1525</v>
      </c>
      <c r="L2736" s="1256" t="s">
        <v>1014</v>
      </c>
    </row>
    <row r="2737" spans="2:12" x14ac:dyDescent="0.2">
      <c r="B2737" s="1256">
        <v>153088</v>
      </c>
      <c r="C2737" s="1296" t="s">
        <v>3182</v>
      </c>
      <c r="D2737" s="1256">
        <v>100000</v>
      </c>
      <c r="E2737" s="1256"/>
      <c r="F2737" s="1257">
        <v>2.3099999999999999E-2</v>
      </c>
      <c r="G2737" s="1258">
        <v>45807</v>
      </c>
      <c r="H2737" s="1258">
        <v>45989</v>
      </c>
      <c r="I2737" s="1256">
        <v>26</v>
      </c>
      <c r="J2737" s="1256" t="s">
        <v>369</v>
      </c>
      <c r="K2737" s="1256" t="s">
        <v>369</v>
      </c>
      <c r="L2737" s="1256" t="s">
        <v>1014</v>
      </c>
    </row>
    <row r="2738" spans="2:12" x14ac:dyDescent="0.2">
      <c r="B2738" s="1256">
        <v>100993</v>
      </c>
      <c r="C2738" s="1256" t="s">
        <v>3189</v>
      </c>
      <c r="D2738" s="1296">
        <v>100000</v>
      </c>
      <c r="E2738" s="1256"/>
      <c r="F2738" s="1257">
        <v>2.8000000000000001E-2</v>
      </c>
      <c r="G2738" s="1258">
        <v>45821</v>
      </c>
      <c r="H2738" s="1258">
        <v>47647</v>
      </c>
      <c r="I2738" s="1256"/>
      <c r="J2738" s="1256"/>
      <c r="K2738" s="1256"/>
      <c r="L2738" s="1256"/>
    </row>
    <row r="2739" spans="2:12" x14ac:dyDescent="0.2">
      <c r="B2739" s="1256">
        <v>100994</v>
      </c>
      <c r="C2739" s="1256" t="s">
        <v>3190</v>
      </c>
      <c r="D2739" s="1296">
        <v>100000</v>
      </c>
      <c r="F2739" s="1257">
        <v>2.5700000000000001E-2</v>
      </c>
      <c r="G2739" s="1258">
        <v>45824</v>
      </c>
      <c r="H2739" s="1258">
        <v>46568</v>
      </c>
    </row>
    <row r="2740" spans="2:12" x14ac:dyDescent="0.2">
      <c r="B2740" s="1256">
        <v>100995</v>
      </c>
      <c r="C2740" s="1256" t="s">
        <v>3191</v>
      </c>
      <c r="D2740" s="1296">
        <v>100000</v>
      </c>
      <c r="F2740" s="1257">
        <v>2.8199999999999999E-2</v>
      </c>
      <c r="G2740" s="1258">
        <v>45826</v>
      </c>
      <c r="H2740" s="1258">
        <v>47652</v>
      </c>
    </row>
    <row r="2741" spans="2:12" x14ac:dyDescent="0.2">
      <c r="B2741" s="1256">
        <v>9690</v>
      </c>
      <c r="C2741" s="1256" t="s">
        <v>3193</v>
      </c>
      <c r="D2741" s="1296">
        <v>100000</v>
      </c>
      <c r="F2741" s="1257">
        <v>2.53E-2</v>
      </c>
      <c r="G2741" s="1258">
        <v>45827</v>
      </c>
      <c r="H2741" s="1258">
        <v>45919</v>
      </c>
    </row>
    <row r="2742" spans="2:12" x14ac:dyDescent="0.2">
      <c r="B2742" s="1256">
        <v>9689</v>
      </c>
      <c r="C2742" s="1256" t="s">
        <v>3192</v>
      </c>
      <c r="D2742" s="1296">
        <v>100000</v>
      </c>
      <c r="F2742" s="1257">
        <v>2.63E-2</v>
      </c>
      <c r="G2742" s="1258">
        <v>45827</v>
      </c>
      <c r="H2742" s="1258">
        <v>45919</v>
      </c>
    </row>
    <row r="2743" spans="2:12" x14ac:dyDescent="0.2">
      <c r="B2743" s="1256">
        <v>9692</v>
      </c>
      <c r="C2743" s="1256" t="s">
        <v>3194</v>
      </c>
      <c r="D2743" s="279">
        <v>100000</v>
      </c>
      <c r="F2743" s="40">
        <v>2.3699999999999999E-2</v>
      </c>
      <c r="G2743" s="1258">
        <v>45831</v>
      </c>
      <c r="H2743" s="1258">
        <v>46561</v>
      </c>
    </row>
    <row r="2744" spans="2:12" x14ac:dyDescent="0.2">
      <c r="B2744" s="1302">
        <v>9691</v>
      </c>
      <c r="C2744" s="1256" t="s">
        <v>3195</v>
      </c>
      <c r="D2744" s="279">
        <v>100000</v>
      </c>
      <c r="F2744" s="40">
        <v>3.4200000000000001E-2</v>
      </c>
      <c r="G2744" s="1258">
        <v>45832</v>
      </c>
      <c r="H2744" s="1258">
        <v>49484</v>
      </c>
    </row>
    <row r="2745" spans="2:12" x14ac:dyDescent="0.2">
      <c r="B2745" s="39">
        <v>9697</v>
      </c>
      <c r="C2745" s="1256" t="s">
        <v>3196</v>
      </c>
      <c r="D2745" s="279">
        <v>100000</v>
      </c>
      <c r="F2745" s="40">
        <v>5.0999999999999997E-2</v>
      </c>
      <c r="G2745" s="1258">
        <v>45832</v>
      </c>
      <c r="H2745" s="1258">
        <v>46197</v>
      </c>
    </row>
    <row r="2746" spans="2:12" x14ac:dyDescent="0.2">
      <c r="B2746" s="1302">
        <v>9700</v>
      </c>
      <c r="C2746" s="1256" t="s">
        <v>3197</v>
      </c>
      <c r="D2746" s="279">
        <v>100000</v>
      </c>
      <c r="F2746" s="40">
        <v>4.6199999999999998E-2</v>
      </c>
      <c r="G2746" s="1258">
        <v>45834</v>
      </c>
      <c r="H2746" s="1258">
        <v>47660</v>
      </c>
    </row>
    <row r="2747" spans="2:12" x14ac:dyDescent="0.2">
      <c r="B2747" s="38">
        <v>101013</v>
      </c>
      <c r="C2747" s="1256" t="s">
        <v>3245</v>
      </c>
      <c r="D2747" s="279">
        <v>100000</v>
      </c>
      <c r="F2747" s="40">
        <v>2.98E-2</v>
      </c>
      <c r="G2747" s="1258">
        <v>45940</v>
      </c>
      <c r="H2747" s="1258">
        <v>47766</v>
      </c>
      <c r="I2747" s="1256">
        <v>5</v>
      </c>
      <c r="J2747" s="1256" t="s">
        <v>1716</v>
      </c>
      <c r="K2747" s="1256" t="s">
        <v>1716</v>
      </c>
      <c r="L2747" s="1256" t="s">
        <v>1014</v>
      </c>
    </row>
    <row r="2748" spans="2:12" x14ac:dyDescent="0.2">
      <c r="B2748" s="38">
        <v>101023</v>
      </c>
      <c r="C2748" s="38" t="s">
        <v>3258</v>
      </c>
      <c r="D2748" s="279">
        <v>100000</v>
      </c>
      <c r="F2748" s="40">
        <v>2.9399999999999999E-2</v>
      </c>
      <c r="G2748" s="41">
        <v>46027</v>
      </c>
      <c r="H2748" s="41">
        <v>47488</v>
      </c>
      <c r="I2748" s="1256">
        <v>4</v>
      </c>
      <c r="J2748" s="1256" t="s">
        <v>1716</v>
      </c>
      <c r="K2748" s="1256" t="s">
        <v>1716</v>
      </c>
      <c r="L2748" s="1256" t="s">
        <v>1014</v>
      </c>
    </row>
  </sheetData>
  <sortState xmlns:xlrd2="http://schemas.microsoft.com/office/spreadsheetml/2017/richdata2" ref="B2629:B2639">
    <sortCondition ref="B2629:B2639"/>
  </sortState>
  <phoneticPr fontId="0" type="noConversion"/>
  <pageMargins left="0.78740157480314965" right="0.78740157480314965" top="0.98425196850393704" bottom="0.98425196850393704" header="0.51181102362204722" footer="0.51181102362204722"/>
  <pageSetup paperSize="9" scale="10" fitToHeight="12"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filterMode="1">
    <tabColor theme="1" tint="0.14999847407452621"/>
    <pageSetUpPr fitToPage="1"/>
  </sheetPr>
  <dimension ref="A1:BF63437"/>
  <sheetViews>
    <sheetView tabSelected="1" topLeftCell="T1" zoomScale="97" zoomScaleNormal="130" zoomScaleSheetLayoutView="97" workbookViewId="0">
      <pane ySplit="1" topLeftCell="A2" activePane="bottomLeft" state="frozen"/>
      <selection sqref="A1:XFD1048576"/>
      <selection pane="bottomLeft" activeCell="Y519" sqref="Y519"/>
    </sheetView>
  </sheetViews>
  <sheetFormatPr baseColWidth="10" defaultColWidth="11.42578125" defaultRowHeight="13.5" x14ac:dyDescent="0.25"/>
  <cols>
    <col min="1" max="1" width="17.7109375" style="1187" customWidth="1"/>
    <col min="2" max="2" width="19.85546875" style="1158" customWidth="1"/>
    <col min="3" max="3" width="18.140625" style="252" customWidth="1"/>
    <col min="4" max="4" width="26.7109375" style="54" customWidth="1"/>
    <col min="5" max="5" width="10.85546875" style="2" customWidth="1"/>
    <col min="6" max="6" width="15.7109375" style="2" bestFit="1" customWidth="1"/>
    <col min="7" max="7" width="14.28515625" style="2" customWidth="1"/>
    <col min="8" max="8" width="23.140625" style="89" customWidth="1"/>
    <col min="9" max="9" width="22" style="2" customWidth="1"/>
    <col min="10" max="10" width="61.42578125" style="252" bestFit="1" customWidth="1"/>
    <col min="11" max="12" width="18.140625" style="252" customWidth="1"/>
    <col min="13" max="13" width="18.140625" style="829" customWidth="1"/>
    <col min="14" max="14" width="18.140625" style="252" customWidth="1"/>
    <col min="15" max="15" width="17" style="2" bestFit="1" customWidth="1"/>
    <col min="16" max="16" width="15.85546875" style="2" bestFit="1" customWidth="1"/>
    <col min="17" max="17" width="11.5703125" style="2" bestFit="1" customWidth="1"/>
    <col min="18" max="18" width="21.42578125" style="1288" customWidth="1"/>
    <col min="19" max="19" width="25.85546875" style="2" customWidth="1"/>
    <col min="20" max="20" width="21.140625" style="2" customWidth="1"/>
    <col min="21" max="21" width="32.28515625" style="2" customWidth="1"/>
    <col min="22" max="22" width="27" style="2" bestFit="1" customWidth="1"/>
    <col min="23" max="23" width="14" style="2" customWidth="1"/>
    <col min="24" max="24" width="20.28515625" style="792" customWidth="1"/>
    <col min="25" max="25" width="14" style="2" customWidth="1"/>
    <col min="26" max="26" width="16.5703125" style="683" customWidth="1"/>
    <col min="27" max="28" width="18.140625" style="35" customWidth="1"/>
    <col min="29" max="30" width="19" style="683" customWidth="1"/>
    <col min="31" max="31" width="18.7109375" style="2" bestFit="1" customWidth="1"/>
    <col min="32" max="33" width="26" style="2" customWidth="1"/>
    <col min="34" max="34" width="19.28515625" style="2" customWidth="1"/>
    <col min="35" max="35" width="17.42578125" style="2" customWidth="1"/>
    <col min="36" max="36" width="17.140625" style="2" bestFit="1" customWidth="1"/>
    <col min="37" max="37" width="19.42578125" style="2" bestFit="1" customWidth="1"/>
    <col min="38" max="38" width="17.28515625" style="2" bestFit="1" customWidth="1"/>
    <col min="39" max="39" width="18" style="2" bestFit="1" customWidth="1"/>
    <col min="40" max="40" width="16.85546875" style="2" bestFit="1" customWidth="1"/>
    <col min="41" max="41" width="13" style="2" bestFit="1" customWidth="1"/>
    <col min="42" max="42" width="15" style="2" bestFit="1" customWidth="1"/>
    <col min="43" max="43" width="14" style="2" bestFit="1" customWidth="1"/>
    <col min="44" max="44" width="15" style="2" bestFit="1" customWidth="1"/>
    <col min="45" max="45" width="11.5703125" style="2" bestFit="1" customWidth="1"/>
    <col min="46" max="46" width="11.85546875" style="2" bestFit="1" customWidth="1"/>
    <col min="47" max="47" width="11.5703125" style="2" bestFit="1" customWidth="1"/>
    <col min="48" max="50" width="11.42578125" style="2"/>
    <col min="51" max="51" width="11.5703125" style="2" bestFit="1" customWidth="1"/>
    <col min="52" max="71" width="11.42578125" style="2"/>
    <col min="72" max="72" width="15.42578125" style="2" bestFit="1" customWidth="1"/>
    <col min="73" max="73" width="11.5703125" style="2" bestFit="1" customWidth="1"/>
    <col min="74" max="75" width="11.42578125" style="2"/>
    <col min="76" max="76" width="15.5703125" style="2" bestFit="1" customWidth="1"/>
    <col min="77" max="16384" width="11.42578125" style="2"/>
  </cols>
  <sheetData>
    <row r="1" spans="1:58" s="43" customFormat="1" ht="40.5" customHeight="1" thickBot="1" x14ac:dyDescent="0.3">
      <c r="A1" s="1063" t="s">
        <v>1131</v>
      </c>
      <c r="B1" s="1157" t="s">
        <v>544</v>
      </c>
      <c r="C1" s="1067" t="s">
        <v>374</v>
      </c>
      <c r="D1" s="1064" t="s">
        <v>2555</v>
      </c>
      <c r="E1" s="1063" t="s">
        <v>3090</v>
      </c>
      <c r="F1" s="1065" t="s">
        <v>1706</v>
      </c>
      <c r="G1" s="1063" t="s">
        <v>1707</v>
      </c>
      <c r="H1" s="1066" t="s">
        <v>649</v>
      </c>
      <c r="I1" s="1063" t="s">
        <v>1914</v>
      </c>
      <c r="J1" s="1067" t="s">
        <v>2745</v>
      </c>
      <c r="K1" s="1067" t="s">
        <v>365</v>
      </c>
      <c r="L1" s="1067" t="s">
        <v>366</v>
      </c>
      <c r="M1" s="1082" t="s">
        <v>1618</v>
      </c>
      <c r="N1" s="1067" t="s">
        <v>368</v>
      </c>
      <c r="O1" s="1067"/>
      <c r="P1" s="1067" t="s">
        <v>1665</v>
      </c>
      <c r="Q1" s="1067" t="s">
        <v>1701</v>
      </c>
      <c r="R1" s="1286" t="s">
        <v>370</v>
      </c>
      <c r="S1" s="1067" t="s">
        <v>3175</v>
      </c>
      <c r="T1" s="1067" t="s">
        <v>3094</v>
      </c>
      <c r="U1" s="1067" t="s">
        <v>648</v>
      </c>
      <c r="V1" s="1067" t="s">
        <v>285</v>
      </c>
      <c r="W1" s="1067" t="s">
        <v>286</v>
      </c>
      <c r="X1" s="1068" t="s">
        <v>650</v>
      </c>
      <c r="Y1" s="1067" t="s">
        <v>514</v>
      </c>
      <c r="Z1" s="708" t="s">
        <v>2289</v>
      </c>
      <c r="AA1" s="1065" t="s">
        <v>2263</v>
      </c>
      <c r="AB1" s="1065" t="s">
        <v>502</v>
      </c>
      <c r="AC1" s="708"/>
      <c r="AD1" s="1067" t="s">
        <v>3241</v>
      </c>
      <c r="AE1" s="1203" t="s">
        <v>1956</v>
      </c>
      <c r="AF1" s="1204">
        <f>+'Courbe des taux'!F1</f>
        <v>46107</v>
      </c>
      <c r="AG1" s="1421"/>
      <c r="AU1" s="36"/>
      <c r="AV1" s="36"/>
      <c r="AW1" s="36"/>
      <c r="BF1" s="43" t="s">
        <v>585</v>
      </c>
    </row>
    <row r="2" spans="1:58" s="38" customFormat="1" ht="15" hidden="1" x14ac:dyDescent="0.25">
      <c r="A2" s="1191" t="str">
        <f>[5]Recap!$F$9</f>
        <v>XS2080771806</v>
      </c>
      <c r="B2" s="1192">
        <f>[5]Recap!G9</f>
        <v>868.92</v>
      </c>
      <c r="C2" s="1193"/>
      <c r="D2" s="1194"/>
      <c r="E2" s="1195"/>
      <c r="F2" s="1195"/>
      <c r="G2" s="1195"/>
      <c r="H2" s="1196"/>
      <c r="I2" s="1199"/>
      <c r="J2" s="1193"/>
      <c r="K2" s="1193"/>
      <c r="L2" s="1193"/>
      <c r="M2" s="1197"/>
      <c r="N2" s="1193"/>
      <c r="O2" s="1200"/>
      <c r="P2" s="1200"/>
      <c r="Q2" s="1200"/>
      <c r="R2" s="1287"/>
      <c r="S2" s="1229"/>
      <c r="T2" s="1201"/>
      <c r="U2" s="1201"/>
      <c r="V2" s="1202"/>
      <c r="W2" s="1202"/>
      <c r="X2" s="1212"/>
      <c r="Y2" s="1202"/>
      <c r="Z2" s="1289"/>
      <c r="AA2" s="1198"/>
      <c r="AB2" s="1198"/>
      <c r="AC2" s="1289"/>
      <c r="AD2" s="1289"/>
      <c r="AE2" s="1209"/>
      <c r="AJ2" s="41"/>
    </row>
    <row r="3" spans="1:58" ht="15" hidden="1" x14ac:dyDescent="0.25">
      <c r="A3" s="1191" t="str">
        <f>[6]Recap!F10</f>
        <v>XS2355149316</v>
      </c>
      <c r="B3" s="1192">
        <f>[5]Recap!G10</f>
        <v>926.18</v>
      </c>
      <c r="C3" s="1193"/>
      <c r="D3" s="1194"/>
      <c r="E3" s="1195"/>
      <c r="F3" s="1195"/>
      <c r="G3" s="1195"/>
      <c r="H3" s="1196"/>
      <c r="I3" s="1199"/>
      <c r="J3" s="1193"/>
      <c r="K3" s="1193"/>
      <c r="L3" s="1193"/>
      <c r="M3" s="1197"/>
      <c r="N3" s="1193"/>
      <c r="O3" s="1200"/>
      <c r="P3" s="1200"/>
      <c r="Q3" s="1200"/>
      <c r="R3" s="1287"/>
      <c r="S3" s="1229"/>
      <c r="T3" s="1201"/>
      <c r="U3" s="1201"/>
      <c r="V3" s="1202"/>
      <c r="W3" s="1202"/>
      <c r="X3" s="1212"/>
      <c r="Y3" s="1202"/>
      <c r="Z3" s="35"/>
      <c r="AA3" s="1198"/>
      <c r="AB3" s="1198"/>
      <c r="AC3" s="35"/>
      <c r="AD3" s="2"/>
    </row>
    <row r="4" spans="1:58" ht="15" hidden="1" x14ac:dyDescent="0.25">
      <c r="A4" s="1191" t="str">
        <f>[6]Recap!F11</f>
        <v>XS2239830222</v>
      </c>
      <c r="B4" s="1192">
        <f>[5]Recap!G11</f>
        <v>1013.48</v>
      </c>
      <c r="C4" s="1193"/>
      <c r="D4" s="1194"/>
      <c r="E4" s="1195"/>
      <c r="F4" s="1195"/>
      <c r="G4" s="1195"/>
      <c r="H4" s="1196"/>
      <c r="I4" s="1199"/>
      <c r="J4" s="1193"/>
      <c r="K4" s="1193"/>
      <c r="L4" s="1193"/>
      <c r="M4" s="1197"/>
      <c r="N4" s="1193"/>
      <c r="O4" s="1200"/>
      <c r="P4" s="1200"/>
      <c r="Q4" s="1200"/>
      <c r="R4" s="1287"/>
      <c r="S4" s="1229"/>
      <c r="T4" s="1201"/>
      <c r="U4" s="1201"/>
      <c r="V4" s="1202"/>
      <c r="W4" s="1202"/>
      <c r="X4" s="1212"/>
      <c r="Y4" s="1202"/>
      <c r="Z4" s="35"/>
      <c r="AA4" s="1198"/>
      <c r="AB4" s="1198"/>
      <c r="AC4" s="35"/>
      <c r="AD4" s="2"/>
    </row>
    <row r="5" spans="1:58" ht="15" hidden="1" x14ac:dyDescent="0.25">
      <c r="A5" s="1191" t="str">
        <f>[6]Recap!F12</f>
        <v>XS2270576965</v>
      </c>
      <c r="B5" s="1192">
        <f>[5]Recap!G12</f>
        <v>872.71</v>
      </c>
      <c r="C5" s="1193"/>
      <c r="D5" s="1194"/>
      <c r="E5" s="1195"/>
      <c r="F5" s="1195"/>
      <c r="G5" s="1195"/>
      <c r="H5" s="1196"/>
      <c r="I5" s="1199"/>
      <c r="J5" s="1193"/>
      <c r="K5" s="1193"/>
      <c r="L5" s="1193"/>
      <c r="M5" s="1197"/>
      <c r="N5" s="1193"/>
      <c r="O5" s="1200"/>
      <c r="P5" s="1200"/>
      <c r="Q5" s="1200"/>
      <c r="R5" s="1287"/>
      <c r="S5" s="1229"/>
      <c r="T5" s="1201"/>
      <c r="U5" s="1201"/>
      <c r="V5" s="1202"/>
      <c r="W5" s="1202"/>
      <c r="X5" s="1212"/>
      <c r="Y5" s="1202"/>
      <c r="Z5" s="35"/>
      <c r="AA5" s="1198"/>
      <c r="AB5" s="1198"/>
      <c r="AC5" s="35"/>
      <c r="AD5" s="2"/>
    </row>
    <row r="6" spans="1:58" ht="15" hidden="1" x14ac:dyDescent="0.25">
      <c r="A6" s="1191" t="str">
        <f>[6]Recap!F13</f>
        <v>XS2595028700</v>
      </c>
      <c r="B6" s="1192">
        <f>[5]Recap!G13</f>
        <v>1064.01</v>
      </c>
      <c r="C6" s="1193"/>
      <c r="D6" s="1194"/>
      <c r="E6" s="1195"/>
      <c r="F6" s="1195"/>
      <c r="G6" s="1195"/>
      <c r="H6" s="1196"/>
      <c r="I6" s="1199"/>
      <c r="J6" s="1193"/>
      <c r="K6" s="1193"/>
      <c r="L6" s="1193"/>
      <c r="M6" s="1197"/>
      <c r="N6" s="1193"/>
      <c r="O6" s="1200"/>
      <c r="P6" s="1200"/>
      <c r="Q6" s="1200"/>
      <c r="R6" s="1287"/>
      <c r="S6" s="1229"/>
      <c r="T6" s="1201"/>
      <c r="U6" s="1201"/>
      <c r="V6" s="1202"/>
      <c r="W6" s="1202"/>
      <c r="X6" s="1212"/>
      <c r="Y6" s="1202"/>
      <c r="Z6" s="35"/>
      <c r="AA6" s="1198"/>
      <c r="AB6" s="1198"/>
      <c r="AC6" s="35"/>
      <c r="AD6" s="2"/>
    </row>
    <row r="7" spans="1:58" ht="15" hidden="1" x14ac:dyDescent="0.25">
      <c r="A7" s="1191" t="str">
        <f>[6]Recap!F14</f>
        <v>XS2595028452</v>
      </c>
      <c r="B7" s="1192">
        <f>[5]Recap!G14</f>
        <v>1021.23</v>
      </c>
      <c r="C7" s="1193"/>
      <c r="D7" s="1194"/>
      <c r="E7" s="1195"/>
      <c r="F7" s="1195"/>
      <c r="G7" s="1195"/>
      <c r="H7" s="1196"/>
      <c r="I7" s="1199"/>
      <c r="J7" s="1193"/>
      <c r="K7" s="1193"/>
      <c r="L7" s="1193"/>
      <c r="M7" s="1197"/>
      <c r="N7" s="1193"/>
      <c r="O7" s="1200"/>
      <c r="P7" s="1200"/>
      <c r="Q7" s="1200"/>
      <c r="R7" s="1287"/>
      <c r="S7" s="1229"/>
      <c r="T7" s="1201"/>
      <c r="U7" s="1201"/>
      <c r="V7" s="1202"/>
      <c r="W7" s="1202"/>
      <c r="X7" s="1212"/>
      <c r="Y7" s="1202"/>
      <c r="Z7" s="35"/>
      <c r="AA7" s="1198"/>
      <c r="AB7" s="1198"/>
      <c r="AC7" s="35"/>
      <c r="AD7" s="2"/>
    </row>
    <row r="8" spans="1:58" ht="15" hidden="1" x14ac:dyDescent="0.25">
      <c r="A8" s="1191" t="str">
        <f>[6]Recap!F15</f>
        <v>XS2270576619</v>
      </c>
      <c r="B8" s="1192">
        <f>[5]Recap!G15</f>
        <v>967.46</v>
      </c>
      <c r="C8" s="1193"/>
      <c r="D8" s="1194"/>
      <c r="E8" s="1195"/>
      <c r="F8" s="1195"/>
      <c r="G8" s="1195"/>
      <c r="H8" s="1196"/>
      <c r="I8" s="1199"/>
      <c r="J8" s="1193"/>
      <c r="K8" s="1193"/>
      <c r="L8" s="1193"/>
      <c r="M8" s="1197"/>
      <c r="N8" s="1193"/>
      <c r="O8" s="1200"/>
      <c r="P8" s="1200"/>
      <c r="Q8" s="1200"/>
      <c r="R8" s="1287"/>
      <c r="S8" s="1229"/>
      <c r="T8" s="1201"/>
      <c r="U8" s="1201"/>
      <c r="V8" s="1202"/>
      <c r="W8" s="1202"/>
      <c r="X8" s="1212"/>
      <c r="Y8" s="1202"/>
      <c r="Z8" s="35"/>
      <c r="AA8" s="1198"/>
      <c r="AB8" s="1198"/>
      <c r="AC8" s="35"/>
      <c r="AD8" s="2"/>
    </row>
    <row r="9" spans="1:58" ht="15" hidden="1" x14ac:dyDescent="0.25">
      <c r="A9" s="1191" t="str">
        <f>[6]Recap!F16</f>
        <v>XS2239829216</v>
      </c>
      <c r="B9" s="1192">
        <f>[5]Recap!G16</f>
        <v>933.51</v>
      </c>
      <c r="C9" s="1193"/>
      <c r="D9" s="1194"/>
      <c r="E9" s="1195"/>
      <c r="F9" s="1195"/>
      <c r="G9" s="1195"/>
      <c r="H9" s="1196"/>
      <c r="I9" s="1199"/>
      <c r="J9" s="1193"/>
      <c r="K9" s="1193"/>
      <c r="L9" s="1193"/>
      <c r="M9" s="1197"/>
      <c r="N9" s="1193"/>
      <c r="O9" s="1200"/>
      <c r="P9" s="1200"/>
      <c r="Q9" s="1200"/>
      <c r="R9" s="1287"/>
      <c r="S9" s="1229"/>
      <c r="T9" s="1201"/>
      <c r="U9" s="1201"/>
      <c r="V9" s="1202"/>
      <c r="W9" s="1202"/>
      <c r="X9" s="1212"/>
      <c r="Y9" s="1202"/>
      <c r="Z9" s="35"/>
      <c r="AA9" s="1198"/>
      <c r="AB9" s="1198"/>
      <c r="AC9" s="35"/>
      <c r="AD9" s="2"/>
    </row>
    <row r="10" spans="1:58" ht="15" hidden="1" x14ac:dyDescent="0.25">
      <c r="A10" s="1191" t="str">
        <f>[6]Recap!F17</f>
        <v>XS2810168737</v>
      </c>
      <c r="B10" s="1192">
        <f>[5]Recap!G17</f>
        <v>1072.3399999999999</v>
      </c>
      <c r="C10" s="1193"/>
      <c r="D10" s="1194"/>
      <c r="E10" s="1195"/>
      <c r="F10" s="1195"/>
      <c r="G10" s="1195"/>
      <c r="H10" s="1196"/>
      <c r="I10" s="1199"/>
      <c r="J10" s="1193"/>
      <c r="K10" s="1193"/>
      <c r="L10" s="1193"/>
      <c r="M10" s="1197"/>
      <c r="N10" s="1193"/>
      <c r="O10" s="1200"/>
      <c r="P10" s="1200"/>
      <c r="Q10" s="1200"/>
      <c r="R10" s="1287"/>
      <c r="S10" s="1229"/>
      <c r="T10" s="1201"/>
      <c r="U10" s="1201"/>
      <c r="V10" s="1202"/>
      <c r="W10" s="1202"/>
      <c r="X10" s="1212"/>
      <c r="Y10" s="1202"/>
      <c r="Z10" s="35"/>
      <c r="AA10" s="1198"/>
      <c r="AB10" s="1198"/>
      <c r="AC10" s="35"/>
      <c r="AD10" s="2"/>
    </row>
    <row r="11" spans="1:58" ht="15" hidden="1" x14ac:dyDescent="0.25">
      <c r="A11" s="1191" t="str">
        <f>[6]Recap!F18</f>
        <v>XS2810168810</v>
      </c>
      <c r="B11" s="1192">
        <f>[5]Recap!G18</f>
        <v>1095.71</v>
      </c>
      <c r="C11" s="1193"/>
      <c r="D11" s="1194"/>
      <c r="E11" s="1195"/>
      <c r="F11" s="1195"/>
      <c r="G11" s="1195"/>
      <c r="H11" s="1196"/>
      <c r="I11" s="1199"/>
      <c r="J11" s="1193"/>
      <c r="K11" s="1193"/>
      <c r="L11" s="1193"/>
      <c r="M11" s="1197"/>
      <c r="N11" s="1193"/>
      <c r="O11" s="1200"/>
      <c r="P11" s="1200"/>
      <c r="Q11" s="1200"/>
      <c r="R11" s="1287"/>
      <c r="S11" s="1229"/>
      <c r="T11" s="1201"/>
      <c r="U11" s="1201"/>
      <c r="V11" s="1202"/>
      <c r="W11" s="1202"/>
      <c r="X11" s="1212"/>
      <c r="Y11" s="1202"/>
      <c r="Z11" s="35"/>
      <c r="AA11" s="1198"/>
      <c r="AB11" s="1198"/>
      <c r="AC11" s="35"/>
      <c r="AD11" s="2"/>
    </row>
    <row r="12" spans="1:58" ht="15" hidden="1" x14ac:dyDescent="0.25">
      <c r="A12" s="1191" t="str">
        <f>[6]Recap!F19</f>
        <v>XS1061043367</v>
      </c>
      <c r="B12" s="1192">
        <f>[5]Recap!G19</f>
        <v>1043.8399999999999</v>
      </c>
      <c r="C12" s="1193"/>
      <c r="D12" s="1194"/>
      <c r="E12" s="1195"/>
      <c r="F12" s="1195"/>
      <c r="G12" s="1195"/>
      <c r="H12" s="1196"/>
      <c r="I12" s="1199"/>
      <c r="J12" s="1193"/>
      <c r="K12" s="1193"/>
      <c r="L12" s="1193"/>
      <c r="M12" s="1197"/>
      <c r="N12" s="1193"/>
      <c r="O12" s="1200"/>
      <c r="P12" s="1200"/>
      <c r="Q12" s="1200"/>
      <c r="R12" s="1287"/>
      <c r="S12" s="1229"/>
      <c r="T12" s="1201"/>
      <c r="U12" s="1201"/>
      <c r="V12" s="1202"/>
      <c r="W12" s="1202"/>
      <c r="X12" s="1212"/>
      <c r="Y12" s="1202"/>
      <c r="Z12" s="35"/>
      <c r="AA12" s="1198"/>
      <c r="AB12" s="1198"/>
      <c r="AC12" s="35"/>
      <c r="AD12" s="2"/>
    </row>
    <row r="13" spans="1:58" ht="15" hidden="1" x14ac:dyDescent="0.25">
      <c r="A13" s="1191" t="str">
        <f>[6]Recap!F20</f>
        <v>XS0864259717</v>
      </c>
      <c r="B13" s="1192">
        <f>[5]Recap!G20</f>
        <v>946.04</v>
      </c>
      <c r="C13" s="1193"/>
      <c r="D13" s="1194"/>
      <c r="E13" s="1195"/>
      <c r="F13" s="1195"/>
      <c r="G13" s="1195"/>
      <c r="H13" s="1196"/>
      <c r="I13" s="1199"/>
      <c r="J13" s="1193"/>
      <c r="K13" s="1193"/>
      <c r="L13" s="1193"/>
      <c r="M13" s="1197"/>
      <c r="N13" s="1193"/>
      <c r="O13" s="1200"/>
      <c r="P13" s="1200"/>
      <c r="Q13" s="1200"/>
      <c r="R13" s="1287"/>
      <c r="S13" s="1229"/>
      <c r="T13" s="1201"/>
      <c r="U13" s="1201"/>
      <c r="V13" s="1202"/>
      <c r="W13" s="1202"/>
      <c r="X13" s="1212"/>
      <c r="Y13" s="1202"/>
      <c r="Z13" s="35"/>
      <c r="AA13" s="1198"/>
      <c r="AB13" s="1198"/>
      <c r="AC13" s="35"/>
      <c r="AD13" s="2"/>
    </row>
    <row r="14" spans="1:58" ht="15" hidden="1" x14ac:dyDescent="0.25">
      <c r="A14" s="1191" t="str">
        <f>[6]Recap!F21</f>
        <v>XS3041322051</v>
      </c>
      <c r="B14" s="1192">
        <f>[5]Recap!G21</f>
        <v>1043.42</v>
      </c>
      <c r="C14" s="1193"/>
      <c r="D14" s="1194"/>
      <c r="E14" s="1195"/>
      <c r="F14" s="1195"/>
      <c r="G14" s="1195"/>
      <c r="H14" s="1196"/>
      <c r="I14" s="1199"/>
      <c r="J14" s="1193"/>
      <c r="K14" s="1193"/>
      <c r="L14" s="1193"/>
      <c r="M14" s="1197"/>
      <c r="N14" s="1193"/>
      <c r="O14" s="1200"/>
      <c r="P14" s="1200"/>
      <c r="Q14" s="1200"/>
      <c r="R14" s="1287"/>
      <c r="S14" s="1229"/>
      <c r="T14" s="1201"/>
      <c r="U14" s="1201"/>
      <c r="V14" s="1202"/>
      <c r="W14" s="1202"/>
      <c r="X14" s="1212"/>
      <c r="Y14" s="1202"/>
      <c r="Z14" s="35"/>
      <c r="AA14" s="1198"/>
      <c r="AB14" s="1198"/>
      <c r="AC14" s="35"/>
      <c r="AD14" s="2"/>
    </row>
    <row r="15" spans="1:58" ht="15" hidden="1" x14ac:dyDescent="0.25">
      <c r="A15" s="1191" t="str">
        <f>[6]Recap!F22</f>
        <v>XS3041270664</v>
      </c>
      <c r="B15" s="1192">
        <f>[5]Recap!G22</f>
        <v>1035.6199999999999</v>
      </c>
      <c r="C15" s="1193"/>
      <c r="D15" s="1194"/>
      <c r="E15" s="1195"/>
      <c r="F15" s="1195"/>
      <c r="G15" s="1195"/>
      <c r="H15" s="1196"/>
      <c r="I15" s="1199"/>
      <c r="J15" s="1193"/>
      <c r="K15" s="1193"/>
      <c r="L15" s="1193"/>
      <c r="M15" s="1197"/>
      <c r="N15" s="1193"/>
      <c r="O15" s="1200"/>
      <c r="P15" s="1200"/>
      <c r="Q15" s="1200"/>
      <c r="R15" s="1287"/>
      <c r="S15" s="1229"/>
      <c r="T15" s="1201"/>
      <c r="U15" s="1201"/>
      <c r="V15" s="1202"/>
      <c r="W15" s="1202"/>
      <c r="X15" s="1212"/>
      <c r="Y15" s="1202"/>
      <c r="Z15" s="35"/>
      <c r="AA15" s="1198"/>
      <c r="AB15" s="1198"/>
      <c r="AC15" s="35"/>
      <c r="AD15" s="2"/>
    </row>
    <row r="16" spans="1:58" ht="15" hidden="1" x14ac:dyDescent="0.25">
      <c r="A16" s="1191" t="str">
        <f>[6]Recap!F23</f>
        <v>XS3040573191</v>
      </c>
      <c r="B16" s="1192">
        <f>[5]Recap!G23</f>
        <v>1040.17</v>
      </c>
      <c r="C16" s="1193"/>
      <c r="D16" s="1194"/>
      <c r="E16" s="1195"/>
      <c r="F16" s="1195"/>
      <c r="G16" s="1195"/>
      <c r="H16" s="1196"/>
      <c r="I16" s="1199"/>
      <c r="J16" s="1193"/>
      <c r="K16" s="1193"/>
      <c r="L16" s="1193"/>
      <c r="M16" s="1197"/>
      <c r="N16" s="1193"/>
      <c r="O16" s="1200"/>
      <c r="P16" s="1200"/>
      <c r="Q16" s="1200"/>
      <c r="R16" s="1287"/>
      <c r="S16" s="1229"/>
      <c r="T16" s="1201"/>
      <c r="U16" s="1201"/>
      <c r="V16" s="1202"/>
      <c r="W16" s="1202"/>
      <c r="X16" s="1212"/>
      <c r="Y16" s="1202"/>
      <c r="Z16" s="35"/>
      <c r="AA16" s="1198"/>
      <c r="AB16" s="1198"/>
      <c r="AC16" s="35"/>
      <c r="AD16" s="2"/>
    </row>
    <row r="17" spans="1:30" ht="15" hidden="1" x14ac:dyDescent="0.25">
      <c r="A17" s="1191" t="str">
        <f>[6]Recap!F24</f>
        <v>XS3040572979</v>
      </c>
      <c r="B17" s="1192">
        <f>[5]Recap!G24</f>
        <v>1044.74</v>
      </c>
      <c r="C17" s="1193"/>
      <c r="D17" s="1194"/>
      <c r="E17" s="1195"/>
      <c r="F17" s="1195"/>
      <c r="G17" s="1195"/>
      <c r="H17" s="1196"/>
      <c r="I17" s="1199"/>
      <c r="J17" s="1193"/>
      <c r="K17" s="1193"/>
      <c r="L17" s="1193"/>
      <c r="M17" s="1197"/>
      <c r="N17" s="1193"/>
      <c r="O17" s="1200"/>
      <c r="P17" s="1200"/>
      <c r="Q17" s="1200"/>
      <c r="R17" s="1287"/>
      <c r="S17" s="1229"/>
      <c r="T17" s="1201"/>
      <c r="U17" s="1201"/>
      <c r="V17" s="1202"/>
      <c r="W17" s="1202"/>
      <c r="X17" s="1212"/>
      <c r="Y17" s="1202"/>
      <c r="Z17" s="35"/>
      <c r="AA17" s="1198"/>
      <c r="AB17" s="1198"/>
      <c r="AC17" s="35"/>
      <c r="AD17" s="2"/>
    </row>
    <row r="18" spans="1:30" ht="15" hidden="1" x14ac:dyDescent="0.25">
      <c r="A18" s="1191" t="s">
        <v>3247</v>
      </c>
      <c r="B18" s="1192">
        <f>[5]Recap!G25</f>
        <v>711.22</v>
      </c>
      <c r="C18" s="1193"/>
      <c r="D18" s="1194"/>
      <c r="E18" s="1195"/>
      <c r="F18" s="1195"/>
      <c r="G18" s="1195"/>
      <c r="H18" s="1196"/>
      <c r="I18" s="1199"/>
      <c r="J18" s="1193"/>
      <c r="K18" s="1193"/>
      <c r="L18" s="1193"/>
      <c r="M18" s="1197"/>
      <c r="N18" s="1193"/>
      <c r="O18" s="1200"/>
      <c r="P18" s="1200"/>
      <c r="Q18" s="1200"/>
      <c r="R18" s="1287"/>
      <c r="S18" s="1229"/>
      <c r="T18" s="1201"/>
      <c r="U18" s="1201"/>
      <c r="V18" s="1202"/>
      <c r="W18" s="1202"/>
      <c r="X18" s="1212"/>
      <c r="Y18" s="1202"/>
      <c r="Z18" s="35"/>
      <c r="AA18" s="1198"/>
      <c r="AB18" s="1198"/>
      <c r="AC18" s="35"/>
      <c r="AD18" s="2"/>
    </row>
    <row r="19" spans="1:30" ht="15" hidden="1" x14ac:dyDescent="0.25">
      <c r="A19" s="1191" t="s">
        <v>3251</v>
      </c>
      <c r="B19" s="1192">
        <f>[5]Recap!G26</f>
        <v>0</v>
      </c>
      <c r="C19" s="1193"/>
      <c r="D19" s="1194"/>
      <c r="E19" s="1195"/>
      <c r="F19" s="1195"/>
      <c r="G19" s="1195"/>
      <c r="H19" s="1196"/>
      <c r="I19" s="1199"/>
      <c r="J19" s="1193"/>
      <c r="K19" s="1193"/>
      <c r="L19" s="1193"/>
      <c r="M19" s="1197"/>
      <c r="N19" s="1193"/>
      <c r="O19" s="1200"/>
      <c r="P19" s="1200"/>
      <c r="Q19" s="1200"/>
      <c r="R19" s="1287"/>
      <c r="S19" s="1229"/>
      <c r="T19" s="1201"/>
      <c r="U19" s="1201"/>
      <c r="V19" s="1202"/>
      <c r="W19" s="1202"/>
      <c r="X19" s="1212"/>
      <c r="Y19" s="1202"/>
      <c r="Z19" s="35"/>
      <c r="AA19" s="1198"/>
      <c r="AB19" s="1198"/>
      <c r="AC19" s="35"/>
      <c r="AD19" s="2"/>
    </row>
    <row r="20" spans="1:30" ht="15" hidden="1" x14ac:dyDescent="0.25">
      <c r="A20" s="1191" t="s">
        <v>2691</v>
      </c>
      <c r="B20" s="1192">
        <f>[7]nouveau!$F$8</f>
        <v>12.48</v>
      </c>
      <c r="C20" s="1193"/>
      <c r="D20" s="1194"/>
      <c r="E20" s="1195"/>
      <c r="F20" s="1195"/>
      <c r="G20" s="1195"/>
      <c r="H20" s="1196"/>
      <c r="I20" s="1199"/>
      <c r="J20" s="1193"/>
      <c r="K20" s="1193"/>
      <c r="L20" s="1193"/>
      <c r="M20" s="1197"/>
      <c r="N20" s="1193"/>
      <c r="O20" s="1200"/>
      <c r="P20" s="1200"/>
      <c r="Q20" s="1200"/>
      <c r="R20" s="1287"/>
      <c r="S20" s="1229"/>
      <c r="T20" s="1201"/>
      <c r="U20" s="1201"/>
      <c r="V20" s="1202"/>
      <c r="W20" s="1202"/>
      <c r="X20" s="1212"/>
      <c r="Y20" s="1202"/>
      <c r="Z20" s="35"/>
      <c r="AA20" s="1198"/>
      <c r="AB20" s="1198"/>
      <c r="AC20" s="35"/>
      <c r="AD20" s="2"/>
    </row>
    <row r="21" spans="1:30" ht="15" hidden="1" x14ac:dyDescent="0.25">
      <c r="A21" s="1191" t="s">
        <v>2689</v>
      </c>
      <c r="B21" s="1192">
        <f>[7]nouveau!$F$7</f>
        <v>1.0005999999999999</v>
      </c>
      <c r="C21" s="1193"/>
      <c r="D21" s="1194"/>
      <c r="E21" s="1195"/>
      <c r="F21" s="1195"/>
      <c r="G21" s="1195"/>
      <c r="H21" s="1196"/>
      <c r="I21" s="1199"/>
      <c r="J21" s="1193"/>
      <c r="K21" s="1193"/>
      <c r="L21" s="1193"/>
      <c r="M21" s="1197"/>
      <c r="N21" s="1193"/>
      <c r="O21" s="1200"/>
      <c r="P21" s="1200"/>
      <c r="Q21" s="1200"/>
      <c r="R21" s="1287"/>
      <c r="S21" s="1229"/>
      <c r="T21" s="1201"/>
      <c r="U21" s="1201"/>
      <c r="V21" s="1202"/>
      <c r="W21" s="1202"/>
      <c r="X21" s="1212"/>
      <c r="Y21" s="1202"/>
      <c r="Z21" s="35"/>
      <c r="AA21" s="1198"/>
      <c r="AB21" s="1198"/>
      <c r="AC21" s="35"/>
      <c r="AD21" s="2"/>
    </row>
    <row r="22" spans="1:30" ht="15" hidden="1" x14ac:dyDescent="0.25">
      <c r="A22" s="1191" t="s">
        <v>2575</v>
      </c>
      <c r="B22" s="1192">
        <f>[7]nouveau!$F$6</f>
        <v>3.1903999999999999</v>
      </c>
      <c r="C22" s="1193"/>
      <c r="D22" s="1194"/>
      <c r="E22" s="1195"/>
      <c r="F22" s="1195"/>
      <c r="G22" s="1195"/>
      <c r="H22" s="1196"/>
      <c r="I22" s="1199"/>
      <c r="J22" s="1193"/>
      <c r="K22" s="1193"/>
      <c r="L22" s="1193"/>
      <c r="M22" s="1197"/>
      <c r="N22" s="1193"/>
      <c r="O22" s="1200"/>
      <c r="P22" s="1200"/>
      <c r="Q22" s="1200"/>
      <c r="R22" s="1287"/>
      <c r="S22" s="1229"/>
      <c r="T22" s="1201"/>
      <c r="U22" s="1201"/>
      <c r="V22" s="1202"/>
      <c r="W22" s="1202"/>
      <c r="X22" s="1212"/>
      <c r="Y22" s="1202"/>
      <c r="Z22" s="35"/>
      <c r="AA22" s="1198"/>
      <c r="AB22" s="1198"/>
      <c r="AC22" s="35"/>
      <c r="AD22" s="2"/>
    </row>
    <row r="23" spans="1:30" ht="15" hidden="1" x14ac:dyDescent="0.25">
      <c r="A23" s="1191" t="s">
        <v>2571</v>
      </c>
      <c r="B23" s="1192">
        <f>[7]nouveau!$F$2</f>
        <v>10.8057</v>
      </c>
      <c r="C23" s="1193"/>
      <c r="D23" s="1194"/>
      <c r="E23" s="1195"/>
      <c r="F23" s="1195"/>
      <c r="G23" s="1195"/>
      <c r="H23" s="1196"/>
      <c r="I23" s="1199"/>
      <c r="J23" s="1193"/>
      <c r="K23" s="1193"/>
      <c r="L23" s="1193"/>
      <c r="M23" s="1197"/>
      <c r="N23" s="1193"/>
      <c r="O23" s="1200"/>
      <c r="P23" s="1200"/>
      <c r="Q23" s="1200"/>
      <c r="R23" s="1287"/>
      <c r="S23" s="1229"/>
      <c r="T23" s="1201"/>
      <c r="U23" s="1201"/>
      <c r="V23" s="1202"/>
      <c r="W23" s="1202"/>
      <c r="X23" s="1212"/>
      <c r="Y23" s="1202"/>
      <c r="Z23" s="35"/>
      <c r="AA23" s="1198"/>
      <c r="AB23" s="1198"/>
      <c r="AC23" s="35"/>
      <c r="AD23" s="2"/>
    </row>
    <row r="24" spans="1:30" ht="15" hidden="1" x14ac:dyDescent="0.25">
      <c r="A24" s="1191" t="s">
        <v>2572</v>
      </c>
      <c r="B24" s="1582">
        <f>[7]nouveau!$F$3</f>
        <v>9.3188999999999993</v>
      </c>
      <c r="C24" s="1193"/>
      <c r="D24" s="1194"/>
      <c r="E24" s="1195"/>
      <c r="F24" s="1195"/>
      <c r="G24" s="1195"/>
      <c r="H24" s="1196"/>
      <c r="I24" s="1199"/>
      <c r="J24" s="1193"/>
      <c r="K24" s="1193"/>
      <c r="L24" s="1193"/>
      <c r="M24" s="1197"/>
      <c r="N24" s="1193"/>
      <c r="O24" s="1200"/>
      <c r="P24" s="1200"/>
      <c r="Q24" s="1200"/>
      <c r="R24" s="1287"/>
      <c r="S24" s="1229"/>
      <c r="T24" s="1201"/>
      <c r="U24" s="1201"/>
      <c r="V24" s="1202"/>
      <c r="W24" s="1202"/>
      <c r="X24" s="1212"/>
      <c r="Y24" s="1202"/>
      <c r="Z24" s="35"/>
      <c r="AA24" s="1198"/>
      <c r="AB24" s="1198"/>
      <c r="AC24" s="35"/>
      <c r="AD24" s="2"/>
    </row>
    <row r="25" spans="1:30" ht="15" hidden="1" x14ac:dyDescent="0.25">
      <c r="A25" s="1191" t="s">
        <v>2573</v>
      </c>
      <c r="B25" s="1192">
        <f>[7]nouveau!$F$4</f>
        <v>5.8619999999999998E-2</v>
      </c>
      <c r="C25" s="1193"/>
      <c r="D25" s="1194"/>
      <c r="E25" s="1195"/>
      <c r="F25" s="1195"/>
      <c r="G25" s="1195"/>
      <c r="H25" s="1196"/>
      <c r="I25" s="1199"/>
      <c r="J25" s="1193"/>
      <c r="K25" s="1193"/>
      <c r="L25" s="1193"/>
      <c r="M25" s="1197"/>
      <c r="N25" s="1193"/>
      <c r="O25" s="1200"/>
      <c r="P25" s="1200"/>
      <c r="Q25" s="1200"/>
      <c r="R25" s="1287"/>
      <c r="S25" s="1229"/>
      <c r="T25" s="1201"/>
      <c r="U25" s="1201"/>
      <c r="V25" s="1202"/>
      <c r="W25" s="1202"/>
      <c r="X25" s="1212"/>
      <c r="Y25" s="1202"/>
      <c r="Z25" s="35"/>
      <c r="AA25" s="1198"/>
      <c r="AB25" s="1198"/>
      <c r="AC25" s="35"/>
      <c r="AD25" s="2"/>
    </row>
    <row r="26" spans="1:30" ht="15" hidden="1" x14ac:dyDescent="0.25">
      <c r="A26" s="1191" t="s">
        <v>2574</v>
      </c>
      <c r="B26" s="1192">
        <f>[7]nouveau!$F$5</f>
        <v>6.7584</v>
      </c>
      <c r="C26" s="1193"/>
      <c r="D26" s="1194"/>
      <c r="E26" s="1195"/>
      <c r="F26" s="1195"/>
      <c r="G26" s="1195"/>
      <c r="H26" s="1196"/>
      <c r="I26" s="1199"/>
      <c r="J26" s="1193"/>
      <c r="K26" s="1193"/>
      <c r="L26" s="1193"/>
      <c r="M26" s="1197"/>
      <c r="N26" s="1193"/>
      <c r="O26" s="1200"/>
      <c r="P26" s="1200"/>
      <c r="Q26" s="1200"/>
      <c r="R26" s="1287"/>
      <c r="S26" s="1229"/>
      <c r="T26" s="1201"/>
      <c r="U26" s="1201"/>
      <c r="V26" s="1202"/>
      <c r="W26" s="1202"/>
      <c r="X26" s="1212"/>
      <c r="Y26" s="1202"/>
      <c r="Z26" s="35"/>
      <c r="AA26" s="1198"/>
      <c r="AB26" s="1198"/>
      <c r="AC26" s="35"/>
      <c r="AD26" s="2"/>
    </row>
    <row r="27" spans="1:30" ht="15" hidden="1" x14ac:dyDescent="0.25">
      <c r="A27" s="1191">
        <v>200751</v>
      </c>
      <c r="B27" s="1192">
        <f t="shared" ref="B27:B38" si="0">+ROUND(X27,2)</f>
        <v>0</v>
      </c>
      <c r="C27" s="1193">
        <f>(AB27-$AF$1)</f>
        <v>-391</v>
      </c>
      <c r="D27" s="1194">
        <f t="shared" ref="D27:D90" si="1">ROUND(T27+R27,5)</f>
        <v>2.2700000000000001E-2</v>
      </c>
      <c r="E27" s="1195">
        <f>duration_titre($AF$1,AA27,AB27,M27,K27,W27,V27,P27,Q27,N27,D27)</f>
        <v>0</v>
      </c>
      <c r="F27" s="1195">
        <f t="shared" ref="F27:F58" si="2">+E27/(1+D27)</f>
        <v>0</v>
      </c>
      <c r="G27" s="1195">
        <f>convexite_titre($AF$1,AA27,AB27,M27,K27,W27,V27,P27,Q27,N27,D27)</f>
        <v>0</v>
      </c>
      <c r="H27" s="1196">
        <f>+ROUND(coupon_courru($AF$1,AA27,AB27,M27,K27,W27,P27,Q27,N27,V27,"V"),4)</f>
        <v>6427.3972999999996</v>
      </c>
      <c r="I27" s="1199">
        <f>+IF(Y27=1,B27,D27*100)</f>
        <v>0</v>
      </c>
      <c r="J27" s="1193" t="str">
        <f>VLOOKUP(A27,Marché!B97:L2397,2,FALSE)</f>
        <v>BDT du 28/02/2005 20A à 6% 100000</v>
      </c>
      <c r="K27" s="1193">
        <f>VLOOKUP(A27,Marché!B97:L2397,3,FALSE)</f>
        <v>100000</v>
      </c>
      <c r="L27" s="1193">
        <f>VLOOKUP(A27,Marché!B97:L2397,4,FALSE)</f>
        <v>101</v>
      </c>
      <c r="M27" s="1197">
        <f>VLOOKUP(A27,Marché!B97:L2397,5,FALSE)</f>
        <v>0.06</v>
      </c>
      <c r="N27" s="1193">
        <f>VLOOKUP(A27,Marché!B97:L2397,8,FALSE)</f>
        <v>20</v>
      </c>
      <c r="O27" s="1200" t="str">
        <f>VLOOKUP(A27,Marché!B97:L2397,9,FALSE)</f>
        <v>A</v>
      </c>
      <c r="P27" s="1200" t="str">
        <f>VLOOKUP(A27,Marché!B97:L2397,10,FALSE)</f>
        <v>A</v>
      </c>
      <c r="Q27" s="1200" t="str">
        <f>VLOOKUP(A27,Marché!B97:L2397,11,FALSE)</f>
        <v>F</v>
      </c>
      <c r="R27" s="1287">
        <v>0</v>
      </c>
      <c r="S27" s="1229" cm="1">
        <f t="array" ref="S27">IF(C27&gt;'Courbe des taux'!$D$50,ROUND( TREND('Courbe des taux'!$E$49:$E$50,'Courbe des taux'!$D$49:$D$50,Lignes_détenues!C27),5),ROUND(IF(C27&gt;365,interpoler(_mat2,taux2,C27),interpoler(_mat1,taux1,C27)),5))</f>
        <v>2.2700000000000001E-2</v>
      </c>
      <c r="T27" s="1201">
        <f>S27</f>
        <v>2.2700000000000001E-2</v>
      </c>
      <c r="U27" s="1201" t="str">
        <f>VLOOKUP(A27,Marché!$B$1:M2585,12,FALSE)</f>
        <v>Bon du Trésor</v>
      </c>
      <c r="V27" s="1202" t="str">
        <f>+IF((AB27-$AF$1)&lt;=366,"M","A")</f>
        <v>M</v>
      </c>
      <c r="W27" s="1202" t="s">
        <v>287</v>
      </c>
      <c r="X27" s="1212">
        <f>prix_titre($AF$1,AA27,AB27,M27,K27,W27,V27,P27,Q27,N27,D27,Y27)</f>
        <v>0</v>
      </c>
      <c r="Y27" s="1202">
        <v>1</v>
      </c>
      <c r="Z27" s="35"/>
      <c r="AA27" s="1198">
        <f>VLOOKUP(A27,Marché!B97:L2397,6,FALSE)</f>
        <v>38411</v>
      </c>
      <c r="AB27" s="1198">
        <f>VLOOKUP(A27,Marché!B97:L2397,7,FALSE)</f>
        <v>45716</v>
      </c>
      <c r="AC27" s="35"/>
      <c r="AD27" s="2"/>
    </row>
    <row r="28" spans="1:30" ht="15" hidden="1" x14ac:dyDescent="0.25">
      <c r="A28" s="1191">
        <v>200764</v>
      </c>
      <c r="B28" s="1192">
        <f t="shared" si="0"/>
        <v>0</v>
      </c>
      <c r="C28" s="1193">
        <f>(AB28-$AF$1)</f>
        <v>-174</v>
      </c>
      <c r="D28" s="1194">
        <f t="shared" si="1"/>
        <v>2.2700000000000001E-2</v>
      </c>
      <c r="E28" s="1195">
        <f>duration_titre($AF$1,AA28,AB28,M28,K28,W28,V28,P28,Q28,N28,D28)</f>
        <v>0</v>
      </c>
      <c r="F28" s="1195">
        <f t="shared" si="2"/>
        <v>0</v>
      </c>
      <c r="G28" s="1195">
        <f>convexite_titre($AF$1,AA28,AB28,M28,K28,W28,V28,P28,Q28,N28,D28)</f>
        <v>0</v>
      </c>
      <c r="H28" s="1196">
        <f>+ROUND(coupon_courru($AF$1,AA28,AB28,M28,K28,W28,P28,Q28,N28,V28,"V"),4)</f>
        <v>2836.4384</v>
      </c>
      <c r="I28" s="1199">
        <f>+IF(Y28=1,B28,D28*100)</f>
        <v>0</v>
      </c>
      <c r="J28" s="1193" t="str">
        <f>VLOOKUP(A28,Marché!B193:L2492,2,FALSE)</f>
        <v>BDT du 03/10/2005 20A à 5.95% 100000</v>
      </c>
      <c r="K28" s="1193">
        <f>VLOOKUP(A28,Marché!B193:L2492,3,FALSE)</f>
        <v>100000</v>
      </c>
      <c r="L28" s="1193">
        <f>VLOOKUP(A28,Marché!B193:L2492,4,FALSE)</f>
        <v>101</v>
      </c>
      <c r="M28" s="1197">
        <f>VLOOKUP(A28,Marché!B193:L2492,5,FALSE)</f>
        <v>5.9499999999999997E-2</v>
      </c>
      <c r="N28" s="1193">
        <f>VLOOKUP(A28,Marché!B193:L2492,8,FALSE)</f>
        <v>20</v>
      </c>
      <c r="O28" s="1200" t="str">
        <f>VLOOKUP(A28,Marché!B193:L2492,9,FALSE)</f>
        <v>A</v>
      </c>
      <c r="P28" s="1200" t="str">
        <f>VLOOKUP(A28,Marché!B193:L2492,10,FALSE)</f>
        <v>A</v>
      </c>
      <c r="Q28" s="1200" t="str">
        <f>VLOOKUP(A28,Marché!B193:L2492,11,FALSE)</f>
        <v>F</v>
      </c>
      <c r="R28" s="1287">
        <v>0</v>
      </c>
      <c r="S28" s="1229" cm="1">
        <f t="array" ref="S28">IF(C28&gt;'Courbe des taux'!$D$50,ROUND( TREND('Courbe des taux'!$E$49:$E$50,'Courbe des taux'!$D$49:$D$50,Lignes_détenues!C28),5),ROUND(IF(C28&gt;365,interpoler(_mat2,taux2,C28),interpoler(_mat1,taux1,C28)),5))</f>
        <v>2.2700000000000001E-2</v>
      </c>
      <c r="T28" s="1201">
        <f t="shared" ref="T28:T91" si="3">S28</f>
        <v>2.2700000000000001E-2</v>
      </c>
      <c r="U28" s="1201" t="str">
        <f>VLOOKUP(A28,Marché!$B$1:M2681,12,FALSE)</f>
        <v>Bon du Trésor</v>
      </c>
      <c r="V28" s="1202" t="str">
        <f>+IF((AB28-$AF$1)&lt;=366,"M","A")</f>
        <v>M</v>
      </c>
      <c r="W28" s="1202" t="s">
        <v>287</v>
      </c>
      <c r="X28" s="1212">
        <f>prix_titre($AF$1,AA28,AB28,M28,K28,W28,V28,P28,Q28,N28,D28,Y28)</f>
        <v>0</v>
      </c>
      <c r="Y28" s="1202">
        <v>1</v>
      </c>
      <c r="Z28" s="35"/>
      <c r="AA28" s="1198">
        <f>VLOOKUP(A28,Marché!B193:L2492,6,FALSE)</f>
        <v>38628</v>
      </c>
      <c r="AB28" s="1198">
        <f>VLOOKUP(A28,Marché!B193:L2492,7,FALSE)</f>
        <v>45933</v>
      </c>
      <c r="AC28" s="35"/>
      <c r="AD28" s="2"/>
    </row>
    <row r="29" spans="1:30" ht="15" hidden="1" x14ac:dyDescent="0.25">
      <c r="A29" s="1191">
        <v>200774</v>
      </c>
      <c r="B29" s="1192">
        <f t="shared" si="0"/>
        <v>0</v>
      </c>
      <c r="C29" s="1193">
        <f>(AB29-$AF$1)</f>
        <v>-83</v>
      </c>
      <c r="D29" s="1194">
        <f t="shared" si="1"/>
        <v>2.2700000000000001E-2</v>
      </c>
      <c r="E29" s="1195">
        <f>duration_titre($AF$1,AA29,AB29,M29,K29,W29,V29,P29,Q29,N29,D29)</f>
        <v>0</v>
      </c>
      <c r="F29" s="1195">
        <f t="shared" si="2"/>
        <v>0</v>
      </c>
      <c r="G29" s="1195">
        <f>convexite_titre($AF$1,AA29,AB29,M29,K29,W29,V29,P29,Q29,N29,D29)</f>
        <v>0</v>
      </c>
      <c r="H29" s="1196">
        <f>+ROUND(coupon_courru($AF$1,AA29,AB29,M29,K29,W29,P29,Q29,N29,V29,"V"),4)</f>
        <v>1353.0137</v>
      </c>
      <c r="I29" s="1199">
        <f>+IF(Y29=1,B29,D29*100)</f>
        <v>0</v>
      </c>
      <c r="J29" s="1193" t="str">
        <f>VLOOKUP(A29,Marché!B213:L2512,2,FALSE)</f>
        <v>BDT du 02/01/2006 20ans à 5.95% 100000</v>
      </c>
      <c r="K29" s="1193">
        <f>VLOOKUP(A29,Marché!B213:L2512,3,FALSE)</f>
        <v>100000</v>
      </c>
      <c r="L29" s="1193">
        <f>VLOOKUP(A29,Marché!B213:L2512,4,FALSE)</f>
        <v>0</v>
      </c>
      <c r="M29" s="1197">
        <f>VLOOKUP(A29,Marché!B213:L2512,5,FALSE)</f>
        <v>5.9499999999999997E-2</v>
      </c>
      <c r="N29" s="1193">
        <f>VLOOKUP(A29,Marché!$B$1:$L$2409,8,FALSE)</f>
        <v>20</v>
      </c>
      <c r="O29" s="1200" t="str">
        <f>VLOOKUP(A29,Marché!B213:L2512,9,FALSE)</f>
        <v>A</v>
      </c>
      <c r="P29" s="1200" t="str">
        <f>VLOOKUP(A29,Marché!B213:L2512,10,FALSE)</f>
        <v>A</v>
      </c>
      <c r="Q29" s="1200" t="str">
        <f>VLOOKUP(A29,Marché!B213:L2512,11,FALSE)</f>
        <v>F</v>
      </c>
      <c r="R29" s="1287">
        <v>0</v>
      </c>
      <c r="S29" s="1229" cm="1">
        <f t="array" ref="S29">IF(C29&gt;'Courbe des taux'!$D$50,ROUND( TREND('Courbe des taux'!$E$49:$E$50,'Courbe des taux'!$D$49:$D$50,Lignes_détenues!C29),5),ROUND(IF(C29&gt;365,interpoler(_mat2,taux2,C29),interpoler(_mat1,taux1,C29)),5))</f>
        <v>2.2700000000000001E-2</v>
      </c>
      <c r="T29" s="1201">
        <f t="shared" si="3"/>
        <v>2.2700000000000001E-2</v>
      </c>
      <c r="U29" s="1201" t="str">
        <f>VLOOKUP(A29,Marché!$B$1:M2700,12,FALSE)</f>
        <v>Bon du Trésor</v>
      </c>
      <c r="V29" s="1202" t="str">
        <f>+IF((AB29-$AF$1)&lt;=366,"M","A")</f>
        <v>M</v>
      </c>
      <c r="W29" s="1202" t="s">
        <v>287</v>
      </c>
      <c r="X29" s="1212">
        <f>prix_titre($AF$1,AA29,AB29,M29,K29,W29,V29,P29,Q29,N29,D29,Y29)</f>
        <v>0</v>
      </c>
      <c r="Y29" s="1202">
        <v>1</v>
      </c>
      <c r="Z29" s="35"/>
      <c r="AA29" s="1198">
        <f>VLOOKUP(A29,Marché!B213:L2512,6,FALSE)</f>
        <v>38719</v>
      </c>
      <c r="AB29" s="1198">
        <f>VLOOKUP(A29,Marché!$B$1:$L$2409,7,FALSE)</f>
        <v>46024</v>
      </c>
      <c r="AC29" s="35"/>
      <c r="AD29" s="2"/>
    </row>
    <row r="30" spans="1:30" ht="15" hidden="1" x14ac:dyDescent="0.25">
      <c r="A30" s="1191">
        <v>200792</v>
      </c>
      <c r="B30" s="1192">
        <f t="shared" si="0"/>
        <v>104678.47</v>
      </c>
      <c r="C30" s="1193">
        <f>(AB30-$AF$1)</f>
        <v>71</v>
      </c>
      <c r="D30" s="1194">
        <f t="shared" si="1"/>
        <v>2.2839999999999999E-2</v>
      </c>
      <c r="E30" s="1195">
        <f>duration_titre($AF$1,AA30,AB30,M30,K30,W30,V30,P30,Q30,N30,D30)</f>
        <v>0.19452054794520549</v>
      </c>
      <c r="F30" s="1195">
        <f t="shared" si="2"/>
        <v>0.19017690738063187</v>
      </c>
      <c r="G30" s="1195">
        <f>convexite_titre($AF$1,AA30,AB30,M30,K30,W30,V30,P30,Q30,N30,D30)</f>
        <v>0.22209751633768424</v>
      </c>
      <c r="H30" s="1196">
        <f>+ROUND(coupon_courru($AF$1,AA30,AB30,M30,K30,W30,P30,Q30,N30,V30,"V"),4)</f>
        <v>4148.2191999999995</v>
      </c>
      <c r="I30" s="1199">
        <f>+IF(Y30=1,B30,D30*100)</f>
        <v>104678.47</v>
      </c>
      <c r="J30" s="1193" t="str">
        <f>VLOOKUP(A30,Marché!B221:L2520,2,FALSE)</f>
        <v>BDT du 05/06/2006 20ans à 5.15% 100000</v>
      </c>
      <c r="K30" s="1193">
        <f>VLOOKUP(A30,Marché!B221:L2520,3,FALSE)</f>
        <v>100000</v>
      </c>
      <c r="L30" s="1193">
        <f>VLOOKUP(A30,Marché!B221:L2520,4,FALSE)</f>
        <v>0</v>
      </c>
      <c r="M30" s="1197">
        <f>VLOOKUP(A30,Marché!B221:L2520,5,FALSE)</f>
        <v>5.1499999999999997E-2</v>
      </c>
      <c r="N30" s="1193">
        <f>VLOOKUP(A30,Marché!$B$1:$L$2409,8,FALSE)</f>
        <v>20</v>
      </c>
      <c r="O30" s="1200" t="str">
        <f>VLOOKUP(A30,Marché!B221:L2520,9,FALSE)</f>
        <v>A</v>
      </c>
      <c r="P30" s="1200" t="str">
        <f>VLOOKUP(A30,Marché!B221:L2520,10,FALSE)</f>
        <v>A</v>
      </c>
      <c r="Q30" s="1200" t="str">
        <f>VLOOKUP(A30,Marché!B221:L2520,11,FALSE)</f>
        <v>F</v>
      </c>
      <c r="R30" s="1287">
        <v>0</v>
      </c>
      <c r="S30" s="1229" cm="1">
        <f t="array" ref="S30">IF(C30&gt;'Courbe des taux'!$D$50,ROUND( TREND('Courbe des taux'!$E$49:$E$50,'Courbe des taux'!$D$49:$D$50,Lignes_détenues!C30),5),ROUND(IF(C30&gt;365,interpoler(_mat2,taux2,C30),interpoler(_mat1,taux1,C30)),5))</f>
        <v>2.2839999999999999E-2</v>
      </c>
      <c r="T30" s="1201">
        <f t="shared" si="3"/>
        <v>2.2839999999999999E-2</v>
      </c>
      <c r="U30" s="1201" t="str">
        <f>VLOOKUP(A30,Marché!$B$1:M2708,12,FALSE)</f>
        <v>Bon du Trésor</v>
      </c>
      <c r="V30" s="1202" t="str">
        <f>+IF((AB30-$AF$1)&lt;366,"M","A")</f>
        <v>M</v>
      </c>
      <c r="W30" s="1202" t="s">
        <v>287</v>
      </c>
      <c r="X30" s="1212">
        <f>+prix_atp(AF$1,AA30,Z30,AB30,M30,K30,W30,V30,P30,Q30,N30,D30,Y30)</f>
        <v>104678.47001634083</v>
      </c>
      <c r="Y30" s="1202">
        <v>1</v>
      </c>
      <c r="Z30" s="35"/>
      <c r="AA30" s="1198">
        <f>VLOOKUP(A30,Marché!B221:L2520,6,FALSE)</f>
        <v>38873</v>
      </c>
      <c r="AB30" s="1198">
        <f>VLOOKUP(A30,Marché!$B$1:$L$2409,7,FALSE)</f>
        <v>46178</v>
      </c>
      <c r="AC30" s="35"/>
      <c r="AD30" s="2"/>
    </row>
    <row r="31" spans="1:30" ht="15" hidden="1" x14ac:dyDescent="0.25">
      <c r="A31" s="1191">
        <v>200802</v>
      </c>
      <c r="B31" s="1192">
        <f t="shared" si="0"/>
        <v>111437.15</v>
      </c>
      <c r="C31" s="1193">
        <f>(AB31-$AF$1)</f>
        <v>3906</v>
      </c>
      <c r="D31" s="1194">
        <f t="shared" si="1"/>
        <v>3.363E-2</v>
      </c>
      <c r="E31" s="1195">
        <f>duration_titre($AF$1,AA31,AB31,M31,K31,W31,V31,P31,Q31,N31,D31)</f>
        <v>8.7273916605192614</v>
      </c>
      <c r="F31" s="1195">
        <f t="shared" si="2"/>
        <v>8.4434388132303244</v>
      </c>
      <c r="G31" s="1195">
        <f>convexite_titre($AF$1,AA31,AB31,M31,K31,W31,V31,P31,Q31,N31,D31)</f>
        <v>89.115421435597511</v>
      </c>
      <c r="H31" s="1196">
        <f>+ROUND(coupon_courru($AF$1,AA31,AB31,M31,K31,W31,P31,Q31,N31,V31,"V"),4)</f>
        <v>1380.8218999999999</v>
      </c>
      <c r="I31" s="1199">
        <f>+IF(Y31=1,B31,D31*100)</f>
        <v>111437.15</v>
      </c>
      <c r="J31" s="1193" t="str">
        <f>VLOOKUP(A31,Marché!B235:L2534,2,FALSE)</f>
        <v>BDT du 04/12/2006 30ans à 4,5% 100000</v>
      </c>
      <c r="K31" s="1193">
        <f>VLOOKUP(A31,Marché!B235:L2534,3,FALSE)</f>
        <v>100000</v>
      </c>
      <c r="L31" s="1193">
        <f>VLOOKUP(A31,Marché!B235:L2534,4,FALSE)</f>
        <v>101</v>
      </c>
      <c r="M31" s="1197">
        <f>VLOOKUP(A31,Marché!B235:L2534,5,FALSE)</f>
        <v>4.4999999999999998E-2</v>
      </c>
      <c r="N31" s="1193">
        <f>VLOOKUP(A31,Marché!$B$1:$L$2409,8,FALSE)</f>
        <v>30</v>
      </c>
      <c r="O31" s="1200" t="str">
        <f>VLOOKUP(A31,Marché!B235:L2534,9,FALSE)</f>
        <v>A</v>
      </c>
      <c r="P31" s="1200" t="str">
        <f>VLOOKUP(A31,Marché!B235:L2534,10,FALSE)</f>
        <v>A</v>
      </c>
      <c r="Q31" s="1200" t="str">
        <f>VLOOKUP(A31,Marché!B235:L2534,11,FALSE)</f>
        <v>F</v>
      </c>
      <c r="R31" s="1287">
        <v>0</v>
      </c>
      <c r="S31" s="1229" cm="1">
        <f t="array" ref="S31">IF(C31&gt;'Courbe des taux'!$D$50,ROUND( TREND('Courbe des taux'!$E$49:$E$50,'Courbe des taux'!$D$49:$D$50,Lignes_détenues!C31),5),ROUND(IF(C31&gt;365,interpoler(_mat2,taux2,C31),interpoler(_mat1,taux1,C31)),5))</f>
        <v>3.363E-2</v>
      </c>
      <c r="T31" s="1201">
        <f t="shared" si="3"/>
        <v>3.363E-2</v>
      </c>
      <c r="U31" s="1201" t="str">
        <f>VLOOKUP(A31,Marché!$B$1:M2722,12,FALSE)</f>
        <v>Bon du Trésor</v>
      </c>
      <c r="V31" s="1202" t="str">
        <f>+IF((AB31-$AF$1)&lt;=366,"M","A")</f>
        <v>A</v>
      </c>
      <c r="W31" s="1202" t="s">
        <v>287</v>
      </c>
      <c r="X31" s="1212">
        <f>prix_titre($AF$1,AA31,AB31,M31,K31,W31,V31,P31,Q31,N31,D31,Y31)</f>
        <v>111437.15157091044</v>
      </c>
      <c r="Y31" s="1202">
        <v>1</v>
      </c>
      <c r="Z31" s="35">
        <f>prix_titre($AF$1,AA31,AB31,M31,K31,W31,V31,P31,Q31,N31,AE31,AE31)</f>
        <v>149500</v>
      </c>
      <c r="AA31" s="1198">
        <f>VLOOKUP(A31,Marché!B235:L2534,6,FALSE)</f>
        <v>39055</v>
      </c>
      <c r="AB31" s="1198">
        <f>VLOOKUP(A31,Marché!$B$1:$L$2409,7,FALSE)</f>
        <v>50013</v>
      </c>
      <c r="AC31" s="35"/>
      <c r="AD31" s="2"/>
    </row>
    <row r="32" spans="1:30" s="342" customFormat="1" ht="15" hidden="1" x14ac:dyDescent="0.25">
      <c r="A32" s="1336">
        <v>9070</v>
      </c>
      <c r="B32" s="1209">
        <f t="shared" si="0"/>
        <v>101775.64</v>
      </c>
      <c r="C32" s="1337">
        <f>(AB32-$AF$1)</f>
        <v>203</v>
      </c>
      <c r="D32" s="1338">
        <f t="shared" si="1"/>
        <v>4.3790000000000003E-2</v>
      </c>
      <c r="E32" s="1339">
        <f>duration_titre($AF$1,AA32,AB32,M32,K32,W32,V32,P32,Q32,N32,D32)</f>
        <v>0.55616438356164388</v>
      </c>
      <c r="F32" s="1339">
        <f t="shared" si="2"/>
        <v>0.53283168411427961</v>
      </c>
      <c r="G32" s="1339">
        <f>convexite_titre($AF$1,AA32,AB32,M32,K32,W32,V32,P32,Q32,N32,D32)</f>
        <v>0.79438746227862933</v>
      </c>
      <c r="H32" s="1340">
        <f>+ROUND(coupon_courru($AF$1,AA32,AB32,M32,K32,W32,P32,Q32,N32,V32,"V"),4)</f>
        <v>1903.5</v>
      </c>
      <c r="I32" s="1341">
        <f>+IF(Y32=1,B32,D32*100)</f>
        <v>101775.64</v>
      </c>
      <c r="J32" s="1337" t="str">
        <f>VLOOKUP(A32,Marché!B328:L2623,2,FALSE)</f>
        <v>OBL BMCE du 15102008 4.96% 10 ans (52s+100bp)</v>
      </c>
      <c r="K32" s="1337">
        <f>VLOOKUP(A32,Marché!B328:L2623,3,FALSE)</f>
        <v>100000</v>
      </c>
      <c r="L32" s="1337">
        <f>VLOOKUP(A32,Marché!B328:L2623,4,FALSE)</f>
        <v>0</v>
      </c>
      <c r="M32" s="1342">
        <v>4.2299999999999997E-2</v>
      </c>
      <c r="N32" s="1337">
        <v>52</v>
      </c>
      <c r="O32" s="1344" t="s">
        <v>369</v>
      </c>
      <c r="P32" s="1344" t="str">
        <f>VLOOKUP(A32,Marché!B328:L2623,10,FALSE)</f>
        <v>A</v>
      </c>
      <c r="Q32" s="1344" t="str">
        <f>VLOOKUP(A32,Marché!B328:L2623,11,FALSE)</f>
        <v>F</v>
      </c>
      <c r="R32" s="1345">
        <v>0.02</v>
      </c>
      <c r="S32" s="1346" cm="1">
        <f t="array" ref="S32">IF(C32&gt;'Courbe des taux'!$D$50,ROUND( TREND('Courbe des taux'!$E$49:$E$50,'Courbe des taux'!$D$49:$D$50,Lignes_détenues!C32),5),ROUND(IF(C32&gt;365,interpoler(_mat2,taux2,C32),interpoler(_mat1,taux1,C32)),5))</f>
        <v>2.3789999999999999E-2</v>
      </c>
      <c r="T32" s="1346">
        <f t="shared" si="3"/>
        <v>2.3789999999999999E-2</v>
      </c>
      <c r="U32" s="1346" t="str">
        <f>VLOOKUP(A32,Marché!$B$1:M2815,12,FALSE)</f>
        <v>Obligation ordinaire</v>
      </c>
      <c r="V32" s="1347" t="str">
        <f>+IF((AB32-$AF$1)&lt;=366,"M","A")</f>
        <v>M</v>
      </c>
      <c r="W32" s="1347" t="s">
        <v>287</v>
      </c>
      <c r="X32" s="1348">
        <f>prix_titre($AF$1,AA32,AB32,M32,K32,W32,V32,P32,Q32,N32,D32,Y32)</f>
        <v>101775.63533478885</v>
      </c>
      <c r="Y32" s="1347">
        <v>1</v>
      </c>
      <c r="Z32" s="1349" t="s">
        <v>2345</v>
      </c>
      <c r="AA32" s="1343">
        <v>45945</v>
      </c>
      <c r="AB32" s="1343">
        <v>46310</v>
      </c>
      <c r="AC32" s="35"/>
    </row>
    <row r="33" spans="1:30" ht="15" hidden="1" x14ac:dyDescent="0.25">
      <c r="A33" s="1191">
        <v>9087</v>
      </c>
      <c r="B33" s="1192">
        <f t="shared" si="0"/>
        <v>103329.18</v>
      </c>
      <c r="C33" s="1193">
        <f>(AB33-$AF$1)</f>
        <v>69</v>
      </c>
      <c r="D33" s="1194">
        <f t="shared" si="1"/>
        <v>4.2819999999999997E-2</v>
      </c>
      <c r="E33" s="1195">
        <f>duration_titre($AF$1,AA33,AB33,M33,K33,W33,V33,P33,Q33,N33,D33)</f>
        <v>0.18904109589041096</v>
      </c>
      <c r="F33" s="1195">
        <f t="shared" si="2"/>
        <v>0.18127874023360785</v>
      </c>
      <c r="G33" s="1195">
        <f>convexite_titre($AF$1,AA33,AB33,M33,K33,W33,V33,P33,Q33,N33,D33)</f>
        <v>0.20669710203966379</v>
      </c>
      <c r="H33" s="1196">
        <f>+ROUND(coupon_courru($AF$1,AA33,AB33,M33,K33,W33,P33,Q33,N33,V33,"V"),4)</f>
        <v>3387.5556000000001</v>
      </c>
      <c r="I33" s="1199">
        <f>+IF(Y33=1,B33,D33*100)</f>
        <v>103329.18</v>
      </c>
      <c r="J33" s="1193" t="str">
        <f>VLOOKUP(A33,Marché!B389:L2684,2,FALSE)</f>
        <v>OBL BMCE du 03062009 4.51% 10 ans + 10 ans (52s+100bp)</v>
      </c>
      <c r="K33" s="1193">
        <f>VLOOKUP(A33,Marché!B389:L2684,3,FALSE)</f>
        <v>100000</v>
      </c>
      <c r="L33" s="1193">
        <f>VLOOKUP(A33,Marché!B389:L2684,4,FALSE)</f>
        <v>0</v>
      </c>
      <c r="M33" s="1197">
        <v>4.1200000000000001E-2</v>
      </c>
      <c r="N33" s="1193">
        <v>52</v>
      </c>
      <c r="O33" s="1200" t="s">
        <v>369</v>
      </c>
      <c r="P33" s="1200" t="str">
        <f>VLOOKUP(A33,Marché!B389:L2684,10,FALSE)</f>
        <v>A</v>
      </c>
      <c r="Q33" s="1200" t="str">
        <f>VLOOKUP(A33,Marché!B389:L2684,11,FALSE)</f>
        <v>F</v>
      </c>
      <c r="R33" s="1287">
        <v>0.02</v>
      </c>
      <c r="S33" s="1229" cm="1">
        <f t="array" ref="S33">IF(C33&gt;'Courbe des taux'!$D$50,ROUND( TREND('Courbe des taux'!$E$49:$E$50,'Courbe des taux'!$D$49:$D$50,Lignes_détenues!C33),5),ROUND(IF(C33&gt;365,interpoler(_mat2,taux2,C33),interpoler(_mat1,taux1,C33)),5))</f>
        <v>2.282E-2</v>
      </c>
      <c r="T33" s="1201">
        <f t="shared" si="3"/>
        <v>2.282E-2</v>
      </c>
      <c r="U33" s="1201" t="str">
        <f>VLOOKUP(A33,Marché!$B$1:M2876,12,FALSE)</f>
        <v>Obligation ordinaire</v>
      </c>
      <c r="V33" s="1202" t="str">
        <f>+IF((AB33-$AF$1)&lt;=366,"M","A")</f>
        <v>M</v>
      </c>
      <c r="W33" s="1202" t="s">
        <v>287</v>
      </c>
      <c r="X33" s="1212">
        <f>prix_titre($AF$1,AA33,AB33,M33,K33,W33,V33,P33,Q33,N33,D33,Y33)</f>
        <v>103329.18019659648</v>
      </c>
      <c r="Y33" s="1202">
        <v>1</v>
      </c>
      <c r="Z33" s="35" t="s">
        <v>2747</v>
      </c>
      <c r="AA33" s="1198">
        <v>45811</v>
      </c>
      <c r="AB33" s="1198">
        <v>46176</v>
      </c>
      <c r="AC33" s="35"/>
      <c r="AD33" s="2"/>
    </row>
    <row r="34" spans="1:30" ht="15" hidden="1" x14ac:dyDescent="0.25">
      <c r="A34" s="1191">
        <v>200993</v>
      </c>
      <c r="B34" s="1192">
        <f t="shared" si="0"/>
        <v>0</v>
      </c>
      <c r="C34" s="1193">
        <f>(AB34-$AF$1)</f>
        <v>-390</v>
      </c>
      <c r="D34" s="1194">
        <f t="shared" si="1"/>
        <v>2.2700000000000001E-2</v>
      </c>
      <c r="E34" s="1195">
        <f>duration_titre($AF$1,AA34,AB34,M34,K34,W34,V34,P34,Q34,N34,D34)</f>
        <v>0</v>
      </c>
      <c r="F34" s="1195">
        <f t="shared" si="2"/>
        <v>0</v>
      </c>
      <c r="G34" s="1195">
        <f>convexite_titre($AF$1,AA34,AB34,M34,K34,W34,V34,P34,Q34,N34,D34)</f>
        <v>0</v>
      </c>
      <c r="H34" s="1196">
        <f>+ROUND(coupon_courru($AF$1,AA34,AB34,M34,K34,W34,P34,Q34,N34,V34,"V"),4)</f>
        <v>4487.6711999999998</v>
      </c>
      <c r="I34" s="1199">
        <f>+IF(Y34=1,B34,D34*100)</f>
        <v>0</v>
      </c>
      <c r="J34" s="1193" t="str">
        <f>VLOOKUP(A34,Marché!B533:L2827,2,FALSE)</f>
        <v>BDT DU 01/03/2010 15 ANS à 4.20%</v>
      </c>
      <c r="K34" s="1193">
        <f>VLOOKUP(A34,Marché!B533:L2827,3,FALSE)</f>
        <v>100000</v>
      </c>
      <c r="L34" s="1193">
        <f>VLOOKUP(A34,Marché!B533:L2827,4,FALSE)</f>
        <v>0</v>
      </c>
      <c r="M34" s="1197">
        <f>VLOOKUP(A34,Marché!B533:L2827,5,FALSE)</f>
        <v>4.2000000000000003E-2</v>
      </c>
      <c r="N34" s="1193">
        <v>15</v>
      </c>
      <c r="O34" s="1200" t="str">
        <f>VLOOKUP(A34,Marché!B533:L2827,9,FALSE)</f>
        <v>A</v>
      </c>
      <c r="P34" s="1200" t="str">
        <f>VLOOKUP(A34,Marché!B533:L2827,10,FALSE)</f>
        <v>A</v>
      </c>
      <c r="Q34" s="1200" t="str">
        <f>VLOOKUP(A34,Marché!B533:L2827,11,FALSE)</f>
        <v>F</v>
      </c>
      <c r="R34" s="1287">
        <v>0</v>
      </c>
      <c r="S34" s="1229" cm="1">
        <f t="array" ref="S34">IF(C34&gt;'Courbe des taux'!$D$50,ROUND( TREND('Courbe des taux'!$E$49:$E$50,'Courbe des taux'!$D$49:$D$50,Lignes_détenues!C34),5),ROUND(IF(C34&gt;365,interpoler(_mat2,taux2,C34),interpoler(_mat1,taux1,C34)),5))</f>
        <v>2.2700000000000001E-2</v>
      </c>
      <c r="T34" s="1201">
        <f t="shared" si="3"/>
        <v>2.2700000000000001E-2</v>
      </c>
      <c r="U34" s="1201" t="str">
        <f>VLOOKUP(A34,Marché!$B$1:M3020,12,FALSE)</f>
        <v>Bon du Trésor</v>
      </c>
      <c r="V34" s="1202" t="str">
        <f>+IF((AB34-$AF$1)&lt;=366,"M","A")</f>
        <v>M</v>
      </c>
      <c r="W34" s="1202" t="s">
        <v>287</v>
      </c>
      <c r="X34" s="1212">
        <f>prix_titre(AF$1,AA34,AB34,M34,K34,W34,V34,P34,Q34,N34,D34,Y34)</f>
        <v>0</v>
      </c>
      <c r="Y34" s="1202">
        <v>1</v>
      </c>
      <c r="Z34" s="35">
        <v>40574</v>
      </c>
      <c r="AA34" s="1198">
        <f>VLOOKUP(A34,Marché!B530:L2825,6,FALSE)</f>
        <v>40238</v>
      </c>
      <c r="AB34" s="1198">
        <f>VLOOKUP(A34,Marché!$B$1:$L$2409,7,FALSE)</f>
        <v>45717</v>
      </c>
      <c r="AC34" s="35"/>
      <c r="AD34" s="2"/>
    </row>
    <row r="35" spans="1:30" ht="15" x14ac:dyDescent="0.25">
      <c r="A35" s="1191">
        <v>200999</v>
      </c>
      <c r="B35" s="1192">
        <f t="shared" si="0"/>
        <v>109326.29</v>
      </c>
      <c r="C35" s="1193">
        <f>(AB35-$AF$1)</f>
        <v>1499</v>
      </c>
      <c r="D35" s="1194">
        <f t="shared" si="1"/>
        <v>2.9850000000000002E-2</v>
      </c>
      <c r="E35" s="1195">
        <f>duration_titre($AF$1,AA35,AB35,M35,K35,W35,V35,P35,Q35,N35,D35)</f>
        <v>3.7168404866821554</v>
      </c>
      <c r="F35" s="1195">
        <f t="shared" si="2"/>
        <v>3.6091085951178865</v>
      </c>
      <c r="G35" s="1195">
        <f>convexite_titre($AF$1,AA35,AB35,M35,K35,W35,V35,P35,Q35,N35,D35)</f>
        <v>17.501476309875596</v>
      </c>
      <c r="H35" s="1196">
        <f>+ROUND(coupon_courru($AF$1,AA35,AB35,M35,K35,W35,P35,Q35,N35,V35,"V"),4)</f>
        <v>3941.9178000000002</v>
      </c>
      <c r="I35" s="1199">
        <f>+IF(Y35=1,B35,D35*100)</f>
        <v>109326.29</v>
      </c>
      <c r="J35" s="1193" t="str">
        <f>VLOOKUP(A35,Marché!B540:L2834,2,FALSE)</f>
        <v>BDT du 03/05/2010 sur 20 ans à 4.40%</v>
      </c>
      <c r="K35" s="1193">
        <f>VLOOKUP(A35,Marché!B540:L2834,3,FALSE)</f>
        <v>100000</v>
      </c>
      <c r="L35" s="1193">
        <f>VLOOKUP(A35,Marché!B540:L2834,4,FALSE)</f>
        <v>0</v>
      </c>
      <c r="M35" s="1197">
        <f>VLOOKUP(A35,Marché!B540:L2834,5,FALSE)</f>
        <v>4.3999999999999997E-2</v>
      </c>
      <c r="N35" s="1193">
        <v>20</v>
      </c>
      <c r="O35" s="1200" t="str">
        <f>VLOOKUP(A35,Marché!B540:L2834,9,FALSE)</f>
        <v>A</v>
      </c>
      <c r="P35" s="1200" t="str">
        <f>VLOOKUP(A35,Marché!B540:L2834,10,FALSE)</f>
        <v>A</v>
      </c>
      <c r="Q35" s="1200" t="str">
        <f>VLOOKUP(A35,Marché!B540:L2834,11,FALSE)</f>
        <v>F</v>
      </c>
      <c r="R35" s="1287">
        <v>0</v>
      </c>
      <c r="S35" s="1229" cm="1">
        <f t="array" ref="S35">IF(C35&gt;'Courbe des taux'!$D$50,ROUND( TREND('Courbe des taux'!$E$49:$E$50,'Courbe des taux'!$D$49:$D$50,Lignes_détenues!C35),5),ROUND(IF(C35&gt;365,interpoler(_mat2,taux2,C35),interpoler(_mat1,taux1,C35)),5))</f>
        <v>2.9850000000000002E-2</v>
      </c>
      <c r="T35" s="1201">
        <f t="shared" si="3"/>
        <v>2.9850000000000002E-2</v>
      </c>
      <c r="U35" s="1201" t="str">
        <f>VLOOKUP(A35,Marché!$B$1:M3027,12,FALSE)</f>
        <v>Bon du Trésor</v>
      </c>
      <c r="V35" s="1202" t="str">
        <f>+IF((AB35-$AF$1)&lt;=366,"M","A")</f>
        <v>A</v>
      </c>
      <c r="W35" s="1202" t="s">
        <v>287</v>
      </c>
      <c r="X35" s="1212">
        <f>prix_titre(AF$1,AA35,AB35,M35,K35,W35,V35,P35,Q35,N35,D35,Y35)</f>
        <v>109326.29022930887</v>
      </c>
      <c r="Y35" s="1202">
        <v>1</v>
      </c>
      <c r="Z35" s="35"/>
      <c r="AA35" s="1198">
        <f>VLOOKUP(A35,Marché!B537:L2832,6,FALSE)</f>
        <v>40301</v>
      </c>
      <c r="AB35" s="1198">
        <f>VLOOKUP(A35,Marché!$B$1:$L$2409,7,FALSE)</f>
        <v>47606</v>
      </c>
      <c r="AC35" s="35"/>
      <c r="AD35" s="2"/>
    </row>
    <row r="36" spans="1:30" ht="15" hidden="1" x14ac:dyDescent="0.25">
      <c r="A36" s="1191">
        <v>9149</v>
      </c>
      <c r="B36" s="1192">
        <f t="shared" si="0"/>
        <v>6830.1</v>
      </c>
      <c r="C36" s="1193">
        <f>(AB36-$AF$1)</f>
        <v>300</v>
      </c>
      <c r="D36" s="1194">
        <f t="shared" si="1"/>
        <v>3.3230000000000003E-2</v>
      </c>
      <c r="E36" s="1195">
        <f>duration_titre($AF$1,AA36,AB36,M36,K36,W36,V36,P36,Q36,N36,D36)</f>
        <v>0.82191780821917804</v>
      </c>
      <c r="F36" s="1195">
        <f t="shared" si="2"/>
        <v>0.79548387892258066</v>
      </c>
      <c r="G36" s="1195">
        <f>convexite_titre($AF$1,AA36,AB36,M36,K36,W36,V36,P36,Q36,N36,D36)</f>
        <v>1.4026947002703349</v>
      </c>
      <c r="H36" s="1196">
        <f>+ROUND(coupon_courru($AF$1,AA36,AB36,M36,K36,W36,P36,Q36,N36,V36,"V"),4)</f>
        <v>943.8356</v>
      </c>
      <c r="I36" s="1199">
        <f>+IF(Y36=1,B36,D36*100)</f>
        <v>6830.1</v>
      </c>
      <c r="J36" s="1193" t="str">
        <f>VLOOKUP(A36,Marché!B639:L2933,2,FALSE)</f>
        <v>OBLIG FEC du 20/01/2012 à 5.30% 15 ans</v>
      </c>
      <c r="K36" s="1193">
        <f>VLOOKUP(A36,Marché!B639:L2933,3,FALSE)</f>
        <v>100000</v>
      </c>
      <c r="L36" s="1193">
        <f>VLOOKUP(A36,Marché!B639:L2933,4,FALSE)</f>
        <v>0</v>
      </c>
      <c r="M36" s="1197">
        <f>VLOOKUP(A36,Marché!B639:L2933,5,FALSE)</f>
        <v>5.2999999999999999E-2</v>
      </c>
      <c r="N36" s="1193">
        <v>15</v>
      </c>
      <c r="O36" s="1200" t="s">
        <v>1716</v>
      </c>
      <c r="P36" s="1200" t="str">
        <f>VLOOKUP(A36,Marché!B639:L2933,10,FALSE)</f>
        <v>A</v>
      </c>
      <c r="Q36" s="1200" t="str">
        <f>VLOOKUP(A36,Marché!B639:L2933,11,FALSE)</f>
        <v>F</v>
      </c>
      <c r="R36" s="1287">
        <v>8.8000000000000005E-3</v>
      </c>
      <c r="S36" s="1229" cm="1">
        <f t="array" ref="S36">IF(C36&gt;'Courbe des taux'!$D$50,ROUND( TREND('Courbe des taux'!$E$49:$E$50,'Courbe des taux'!$D$49:$D$50,Lignes_détenues!C36),5),ROUND(IF(C36&gt;365,interpoler(_mat2,taux2,C36),interpoler(_mat1,taux1,C36)),5))</f>
        <v>2.443E-2</v>
      </c>
      <c r="T36" s="1201">
        <f t="shared" si="3"/>
        <v>2.443E-2</v>
      </c>
      <c r="U36" s="1201" t="str">
        <f>VLOOKUP(A36,Marché!$B$1:M3126,12,FALSE)</f>
        <v>Certificat de dépôt</v>
      </c>
      <c r="V36" s="1202" t="str">
        <f>+IF((AB36-$AF$1)&lt;=366,"M","A")</f>
        <v>M</v>
      </c>
      <c r="W36" s="1202" t="s">
        <v>287</v>
      </c>
      <c r="X36" s="1212">
        <f>'FEC9149-2140'!C18</f>
        <v>6830.0990379855029</v>
      </c>
      <c r="Y36" s="1202">
        <v>1</v>
      </c>
      <c r="Z36" s="35">
        <v>41290</v>
      </c>
      <c r="AA36" s="1198">
        <f>VLOOKUP(A36,Marché!B636:L2931,6,FALSE)</f>
        <v>40928</v>
      </c>
      <c r="AB36" s="1198">
        <f>VLOOKUP(A36,Marché!$B$1:$L$2409,7,FALSE)</f>
        <v>46407</v>
      </c>
      <c r="AC36" s="35"/>
      <c r="AD36" s="2"/>
    </row>
    <row r="37" spans="1:30" ht="15" hidden="1" x14ac:dyDescent="0.25">
      <c r="A37" s="1191">
        <v>201093</v>
      </c>
      <c r="B37" s="1192">
        <f t="shared" si="0"/>
        <v>106055.85</v>
      </c>
      <c r="C37" s="1193">
        <f>(AB37-$AF$1)</f>
        <v>389</v>
      </c>
      <c r="D37" s="1194">
        <f t="shared" si="1"/>
        <v>2.5239999999999999E-2</v>
      </c>
      <c r="E37" s="1195">
        <f>duration_titre($AF$1,AA37,AB37,M37,K37,W37,V37,P37,Q37,N37,D37)</f>
        <v>1.0243337913743897</v>
      </c>
      <c r="F37" s="1195">
        <f t="shared" si="2"/>
        <v>0.9991161009855154</v>
      </c>
      <c r="G37" s="1195">
        <f>convexite_titre($AF$1,AA37,AB37,M37,K37,W37,V37,P37,Q37,N37,D37)</f>
        <v>2.010525411520689</v>
      </c>
      <c r="H37" s="1196">
        <f>+ROUND(coupon_courru($AF$1,AA37,AB37,M37,K37,W37,P37,Q37,N37,V37,"V"),4)</f>
        <v>4110.6849000000002</v>
      </c>
      <c r="I37" s="1199">
        <f>+IF(Y37=1,B37,D37*100)</f>
        <v>106055.85</v>
      </c>
      <c r="J37" s="1193" t="str">
        <f>VLOOKUP(A37,Marché!B661:L2955,2,FALSE)</f>
        <v>BDT DU 02/01/2012 15 ANS 4.40%</v>
      </c>
      <c r="K37" s="1193">
        <f>VLOOKUP(A37,Marché!B661:L2955,3,FALSE)</f>
        <v>100000</v>
      </c>
      <c r="L37" s="1193">
        <f>VLOOKUP(A37,Marché!B661:L2955,4,FALSE)</f>
        <v>0</v>
      </c>
      <c r="M37" s="1197">
        <f>VLOOKUP(A37,Marché!B661:L2955,5,FALSE)</f>
        <v>4.3999999999999997E-2</v>
      </c>
      <c r="N37" s="1193">
        <v>15</v>
      </c>
      <c r="O37" s="1200" t="s">
        <v>1716</v>
      </c>
      <c r="P37" s="1200" t="str">
        <f>VLOOKUP(A37,Marché!B661:L2955,10,FALSE)</f>
        <v>A</v>
      </c>
      <c r="Q37" s="1200" t="str">
        <f>VLOOKUP(A37,Marché!B661:L2955,11,FALSE)</f>
        <v>F</v>
      </c>
      <c r="R37" s="1287">
        <v>0</v>
      </c>
      <c r="S37" s="1229" cm="1">
        <f t="array" ref="S37">IF(C37&gt;'Courbe des taux'!$D$50,ROUND( TREND('Courbe des taux'!$E$49:$E$50,'Courbe des taux'!$D$49:$D$50,Lignes_détenues!C37),5),ROUND(IF(C37&gt;365,interpoler(_mat2,taux2,C37),interpoler(_mat1,taux1,C37)),5))</f>
        <v>2.5239999999999999E-2</v>
      </c>
      <c r="T37" s="1201">
        <f t="shared" si="3"/>
        <v>2.5239999999999999E-2</v>
      </c>
      <c r="U37" s="1201" t="str">
        <f>VLOOKUP(A37,Marché!$B$1:M3148,12,FALSE)</f>
        <v>Bon du Trésor</v>
      </c>
      <c r="V37" s="1202" t="str">
        <f>+IF((AB37-$AF$1)&lt;=366,"M","A")</f>
        <v>A</v>
      </c>
      <c r="W37" s="1202" t="s">
        <v>287</v>
      </c>
      <c r="X37" s="1212">
        <f>+prix_atp(AF$1,AA37,Z37,AB37,M37,K37,W37,V37,P37,Q37,N37,D37,Y37)</f>
        <v>106055.84549097602</v>
      </c>
      <c r="Y37" s="1202">
        <v>1</v>
      </c>
      <c r="Z37" s="35">
        <v>41018</v>
      </c>
      <c r="AA37" s="1198">
        <f>VLOOKUP(A37,Marché!B658:L2953,6,FALSE)</f>
        <v>40910</v>
      </c>
      <c r="AB37" s="1198">
        <f>VLOOKUP(A37,Marché!$B$1:$L$2409,7,FALSE)</f>
        <v>46496</v>
      </c>
      <c r="AC37" s="35"/>
      <c r="AD37" s="2"/>
    </row>
    <row r="38" spans="1:30" ht="15" hidden="1" x14ac:dyDescent="0.25">
      <c r="A38" s="1191">
        <v>2151</v>
      </c>
      <c r="B38" s="1192">
        <f t="shared" si="0"/>
        <v>6828.94</v>
      </c>
      <c r="C38" s="1193">
        <f>(AB38-$AF$1)</f>
        <v>208</v>
      </c>
      <c r="D38" s="1194">
        <f t="shared" si="1"/>
        <v>3.202E-2</v>
      </c>
      <c r="E38" s="1195">
        <f>duration_titre($AF$1,AA38,AB38,M38,K38,W38,V38,P38,Q38,N38,D38)</f>
        <v>0.56986301369863013</v>
      </c>
      <c r="F38" s="1195">
        <f t="shared" si="2"/>
        <v>0.55218214152693756</v>
      </c>
      <c r="G38" s="1195">
        <f>convexite_titre($AF$1,AA38,AB38,M38,K38,W38,V38,P38,Q38,N38,D38)</f>
        <v>0.83995496289610849</v>
      </c>
      <c r="H38" s="1196">
        <f>+ROUND(coupon_courru($AF$1,AA38,AB38,M38,K38,W38,P38,Q38,N38,V38,"V"),4)</f>
        <v>2198</v>
      </c>
      <c r="I38" s="1199">
        <f>+IF(Y38=1,B38,D38*100)</f>
        <v>6828.94</v>
      </c>
      <c r="J38" s="1193" t="str">
        <f>VLOOKUP(A38,Marché!B670:L2964,2,FALSE)</f>
        <v xml:space="preserve">OBL ONCF du 20/10/2011 15ans  à 5.11% </v>
      </c>
      <c r="K38" s="1193">
        <f>VLOOKUP(A38,Marché!B670:L2964,3,FALSE)</f>
        <v>100000</v>
      </c>
      <c r="L38" s="1193">
        <f>VLOOKUP(A38,Marché!B670:L2964,4,FALSE)</f>
        <v>0</v>
      </c>
      <c r="M38" s="1197">
        <f>VLOOKUP(A38,Marché!B670:L2964,5,FALSE)</f>
        <v>5.11E-2</v>
      </c>
      <c r="N38" s="1193">
        <v>15</v>
      </c>
      <c r="O38" s="1200" t="s">
        <v>1887</v>
      </c>
      <c r="P38" s="1200" t="str">
        <f>VLOOKUP(A38,Marché!B670:L2964,10,FALSE)</f>
        <v>A</v>
      </c>
      <c r="Q38" s="1200" t="str">
        <f>VLOOKUP(A38,Marché!B670:L2964,11,FALSE)</f>
        <v>F</v>
      </c>
      <c r="R38" s="1287">
        <v>8.2000000000000007E-3</v>
      </c>
      <c r="S38" s="1229" cm="1">
        <f t="array" ref="S38">IF(C38&gt;'Courbe des taux'!$D$50,ROUND( TREND('Courbe des taux'!$E$49:$E$50,'Courbe des taux'!$D$49:$D$50,Lignes_détenues!C38),5),ROUND(IF(C38&gt;365,interpoler(_mat2,taux2,C38),interpoler(_mat1,taux1,C38)),5))</f>
        <v>2.3820000000000001E-2</v>
      </c>
      <c r="T38" s="1201">
        <f t="shared" si="3"/>
        <v>2.3820000000000001E-2</v>
      </c>
      <c r="U38" s="1201" t="str">
        <f>VLOOKUP(A38,Marché!$B$1:M3157,12,FALSE)</f>
        <v>ORD</v>
      </c>
      <c r="V38" s="1202" t="str">
        <f>+IF((AB38-$AF$1)&lt;=366,"M","A")</f>
        <v>M</v>
      </c>
      <c r="W38" s="1202" t="s">
        <v>287</v>
      </c>
      <c r="X38" s="1212">
        <f>ONCF!S221</f>
        <v>6828.9370906478607</v>
      </c>
      <c r="Y38" s="1202">
        <v>1</v>
      </c>
      <c r="Z38" s="35"/>
      <c r="AA38" s="1198">
        <f>VLOOKUP(A38,Marché!B667:L2962,6,FALSE)</f>
        <v>40836</v>
      </c>
      <c r="AB38" s="1198">
        <f>VLOOKUP(A38,Marché!$B$1:$L$2409,7,FALSE)</f>
        <v>46315</v>
      </c>
      <c r="AC38" s="35"/>
      <c r="AD38" s="2"/>
    </row>
    <row r="39" spans="1:30" ht="15" hidden="1" x14ac:dyDescent="0.25">
      <c r="A39" s="1191">
        <v>201236</v>
      </c>
      <c r="B39" s="1192">
        <f>+ROUND(X39,4)</f>
        <v>108958.5003</v>
      </c>
      <c r="C39" s="1193">
        <f>(AB39-$AF$1)</f>
        <v>872</v>
      </c>
      <c r="D39" s="1194">
        <f t="shared" si="1"/>
        <v>2.7269999999999999E-2</v>
      </c>
      <c r="E39" s="1195">
        <f>duration_titre($AF$1,AA39,AB39,M39,K39,W39,V39,P39,Q39,N39,D39)</f>
        <v>2.246983783838671</v>
      </c>
      <c r="F39" s="1195">
        <f t="shared" si="2"/>
        <v>2.1873351541840718</v>
      </c>
      <c r="G39" s="1195">
        <f>convexite_titre($AF$1,AA39,AB39,M39,K39,W39,V39,P39,Q39,N39,D39)</f>
        <v>7.1200702443192156</v>
      </c>
      <c r="H39" s="1196">
        <f>+ROUND(coupon_courru($AF$1,AA39,AB39,M39,K39,W39,P39,Q39,N39,V39,"V"),4)</f>
        <v>3221.9178000000002</v>
      </c>
      <c r="I39" s="1199">
        <f>+IF(Y39=1,B39,D39*100)</f>
        <v>108958.5003</v>
      </c>
      <c r="J39" s="1193" t="str">
        <f>VLOOKUP(A39,Marché!B793:L3087,2,FALSE)</f>
        <v>BDT du 14/08/13 ATYP 18/03/13 à 5.25% 15 ans</v>
      </c>
      <c r="K39" s="1193">
        <f>VLOOKUP(A39,Marché!B793:L3087,3,FALSE)</f>
        <v>100000</v>
      </c>
      <c r="L39" s="1193">
        <f>VLOOKUP(A39,Marché!B793:L3087,4,FALSE)</f>
        <v>0</v>
      </c>
      <c r="M39" s="1197">
        <f>VLOOKUP(A39,Marché!B793:L3087,5,FALSE)</f>
        <v>5.2499999999999998E-2</v>
      </c>
      <c r="N39" s="1193">
        <v>15</v>
      </c>
      <c r="O39" s="1200" t="s">
        <v>1716</v>
      </c>
      <c r="P39" s="1200" t="s">
        <v>1716</v>
      </c>
      <c r="Q39" s="1200" t="s">
        <v>1014</v>
      </c>
      <c r="R39" s="1287">
        <v>0</v>
      </c>
      <c r="S39" s="1229" cm="1">
        <f t="array" ref="S39">IF(C39&gt;'Courbe des taux'!$D$50,ROUND( TREND('Courbe des taux'!$E$49:$E$50,'Courbe des taux'!$D$49:$D$50,Lignes_détenues!C39),5),ROUND(IF(C39&gt;365,interpoler(_mat2,taux2,C39),interpoler(_mat1,taux1,C39)),5))</f>
        <v>2.7269999999999999E-2</v>
      </c>
      <c r="T39" s="1201">
        <f t="shared" si="3"/>
        <v>2.7269999999999999E-2</v>
      </c>
      <c r="U39" s="1201" t="str">
        <f>VLOOKUP(A39,Marché!$B$1:M3280,12,FALSE)</f>
        <v>Bon du Trésor</v>
      </c>
      <c r="V39" s="1202" t="str">
        <f>+IF((AB39-$AF$1)&lt;=366,"M","A")</f>
        <v>A</v>
      </c>
      <c r="W39" s="1202" t="s">
        <v>287</v>
      </c>
      <c r="X39" s="1212">
        <f>+prix_atp(AF$1,AA39,Z39,AB39,M39,K39,W39,V39,P39,Q39,N39,D39,Y39)</f>
        <v>108958.50025261422</v>
      </c>
      <c r="Y39" s="1202">
        <v>1</v>
      </c>
      <c r="Z39" s="35">
        <v>41500</v>
      </c>
      <c r="AA39" s="1198">
        <f>VLOOKUP(A39,Marché!B790:L3085,6,FALSE)</f>
        <v>41351</v>
      </c>
      <c r="AB39" s="1198">
        <f>VLOOKUP(A39,Marché!$B$1:$L$2409,7,FALSE)</f>
        <v>46979</v>
      </c>
      <c r="AC39" s="35"/>
      <c r="AD39" s="2"/>
    </row>
    <row r="40" spans="1:30" ht="15" hidden="1" x14ac:dyDescent="0.25">
      <c r="A40" s="1191">
        <v>201317</v>
      </c>
      <c r="B40" s="1192">
        <f t="shared" ref="B40:B68" si="4">+ROUND(X40,2)</f>
        <v>113281.95</v>
      </c>
      <c r="C40" s="1193">
        <f>(AB40-$AF$1)</f>
        <v>1117</v>
      </c>
      <c r="D40" s="1194">
        <f t="shared" si="1"/>
        <v>2.8289999999999999E-2</v>
      </c>
      <c r="E40" s="1195">
        <f>duration_titre($AF$1,AA40,AB40,M40,K40,W40,V40,P40,Q40,N40,D40)</f>
        <v>2.7692553648556069</v>
      </c>
      <c r="F40" s="1195">
        <f t="shared" si="2"/>
        <v>2.6930684581738684</v>
      </c>
      <c r="G40" s="1195">
        <f>convexite_titre($AF$1,AA40,AB40,M40,K40,W40,V40,P40,Q40,N40,D40)</f>
        <v>10.438608610566817</v>
      </c>
      <c r="H40" s="1196">
        <f>+ROUND(coupon_courru($AF$1,AA40,AB40,M40,K40,W40,P40,Q40,N40,V40,"V"),4)</f>
        <v>5277.8082000000004</v>
      </c>
      <c r="I40" s="1199">
        <f>+IF(Y40=1,B40,D40*100)</f>
        <v>113281.95</v>
      </c>
      <c r="J40" s="1193" t="str">
        <f>VLOOKUP(A40,Marché!B932:L3226,2,FALSE)</f>
        <v>BDT DU 06/01/2014 15 ANS 5.60</v>
      </c>
      <c r="K40" s="1193">
        <f>VLOOKUP(A40,Marché!B932:L3226,3,FALSE)</f>
        <v>100000</v>
      </c>
      <c r="L40" s="1193">
        <f>VLOOKUP(A40,Marché!B932:L3226,4,FALSE)</f>
        <v>0</v>
      </c>
      <c r="M40" s="1197">
        <f>VLOOKUP(A40,Marché!B932:L3226,5,FALSE)</f>
        <v>5.6000000000000001E-2</v>
      </c>
      <c r="N40" s="1193">
        <f>VLOOKUP(A40,Marché!B931:L3225,8,FALSE)</f>
        <v>15</v>
      </c>
      <c r="O40" s="1200" t="str">
        <f>VLOOKUP(A40,Marché!B931:L3225,9,FALSE)</f>
        <v>A</v>
      </c>
      <c r="P40" s="1200" t="s">
        <v>1716</v>
      </c>
      <c r="Q40" s="1200" t="s">
        <v>1014</v>
      </c>
      <c r="R40" s="1287">
        <v>0</v>
      </c>
      <c r="S40" s="1229" cm="1">
        <f t="array" ref="S40">IF(C40&gt;'Courbe des taux'!$D$50,ROUND( TREND('Courbe des taux'!$E$49:$E$50,'Courbe des taux'!$D$49:$D$50,Lignes_détenues!C40),5),ROUND(IF(C40&gt;365,interpoler(_mat2,taux2,C40),interpoler(_mat1,taux1,C40)),5))</f>
        <v>2.8289999999999999E-2</v>
      </c>
      <c r="T40" s="1201">
        <f t="shared" si="3"/>
        <v>2.8289999999999999E-2</v>
      </c>
      <c r="U40" s="1201" t="str">
        <f>VLOOKUP(A40,Marché!$B$1:M3418,12,FALSE)</f>
        <v>Bon du Trésor</v>
      </c>
      <c r="V40" s="1202" t="str">
        <f>+IF((AB40-$AF$1)&lt;=366,"M","A")</f>
        <v>A</v>
      </c>
      <c r="W40" s="1202" t="s">
        <v>287</v>
      </c>
      <c r="X40" s="1212">
        <f>+prix_atp(AF$1,AA40,Z40,AB40,M40,K40,W40,V40,P40,Q40,N40,D40,Y40)</f>
        <v>113281.95353299813</v>
      </c>
      <c r="Y40" s="1202">
        <v>1</v>
      </c>
      <c r="Z40" s="35">
        <v>41745</v>
      </c>
      <c r="AA40" s="1198">
        <f>VLOOKUP(A40,Marché!$B$1:$L$2409,6,FALSE)</f>
        <v>41745</v>
      </c>
      <c r="AB40" s="1198">
        <f>VLOOKUP(A40,Marché!$B$1:$L$2409,7,FALSE)</f>
        <v>47224</v>
      </c>
      <c r="AC40" s="35"/>
      <c r="AD40" s="2"/>
    </row>
    <row r="41" spans="1:30" ht="15" hidden="1" x14ac:dyDescent="0.25">
      <c r="A41" s="1191">
        <v>201328</v>
      </c>
      <c r="B41" s="1192">
        <f t="shared" si="4"/>
        <v>124072.29</v>
      </c>
      <c r="C41" s="1193">
        <f>(AB41-$AF$1)</f>
        <v>2927</v>
      </c>
      <c r="D41" s="1194">
        <f t="shared" si="1"/>
        <v>3.2219999999999999E-2</v>
      </c>
      <c r="E41" s="1195">
        <f>duration_titre($AF$1,AA41,AB41,M41,K41,W41,V41,P41,Q41,N41,D41)</f>
        <v>6.439372106433022</v>
      </c>
      <c r="F41" s="1195">
        <f t="shared" si="2"/>
        <v>6.2383717680659379</v>
      </c>
      <c r="G41" s="1195">
        <f>convexite_titre($AF$1,AA41,AB41,M41,K41,W41,V41,P41,Q41,N41,D41)</f>
        <v>51.20606997684083</v>
      </c>
      <c r="H41" s="1196">
        <f>+ROUND(coupon_courru($AF$1,AA41,AB41,M41,K41,W41,P41,Q41,N41,V41,"V"),4)</f>
        <v>5769.8630000000003</v>
      </c>
      <c r="I41" s="1199">
        <f>+IF(Y41=1,B41,D41*100)</f>
        <v>124072.29</v>
      </c>
      <c r="J41" s="1193" t="str">
        <f>VLOOKUP(A41,Marché!B953:L3247,2,FALSE)</f>
        <v>BDT DU 31/03/2014 à 5.85% 20 ans</v>
      </c>
      <c r="K41" s="1193">
        <f>VLOOKUP(A41,Marché!B953:L3247,3,FALSE)</f>
        <v>100000</v>
      </c>
      <c r="L41" s="1193">
        <f>VLOOKUP(A41,Marché!B953:L3247,4,FALSE)</f>
        <v>0</v>
      </c>
      <c r="M41" s="1197">
        <f>VLOOKUP(A41,Marché!B953:L3247,5,FALSE)</f>
        <v>5.8500000000000003E-2</v>
      </c>
      <c r="N41" s="1193">
        <f>VLOOKUP(A41,Marché!B952:L3246,8,FALSE)</f>
        <v>20</v>
      </c>
      <c r="O41" s="1200" t="str">
        <f>VLOOKUP(A41,Marché!B952:L3246,9,FALSE)</f>
        <v>A</v>
      </c>
      <c r="P41" s="1200" t="s">
        <v>1716</v>
      </c>
      <c r="Q41" s="1200" t="s">
        <v>1014</v>
      </c>
      <c r="R41" s="1287">
        <v>0</v>
      </c>
      <c r="S41" s="1229" cm="1">
        <f t="array" ref="S41">IF(C41&gt;'Courbe des taux'!$D$50,ROUND( TREND('Courbe des taux'!$E$49:$E$50,'Courbe des taux'!$D$49:$D$50,Lignes_détenues!C41),5),ROUND(IF(C41&gt;365,interpoler(_mat2,taux2,C41),interpoler(_mat1,taux1,C41)),5))</f>
        <v>3.2219999999999999E-2</v>
      </c>
      <c r="T41" s="1201">
        <f t="shared" si="3"/>
        <v>3.2219999999999999E-2</v>
      </c>
      <c r="U41" s="1201" t="str">
        <f>VLOOKUP(A41,Marché!$B$1:M3439,12,FALSE)</f>
        <v>Bon du Trésor</v>
      </c>
      <c r="V41" s="1202" t="str">
        <f>+IF((AB41-$AF$1)&lt;=366,"M","A")</f>
        <v>A</v>
      </c>
      <c r="W41" s="1202" t="s">
        <v>287</v>
      </c>
      <c r="X41" s="1212">
        <f>+prix_titre(AF$1,AA41,AB41,M41,K41,W41,V41,P41,Q41,N41,D41,Y41)</f>
        <v>124072.29280977132</v>
      </c>
      <c r="Y41" s="1202">
        <v>1</v>
      </c>
      <c r="Z41" s="35"/>
      <c r="AA41" s="1198">
        <f>VLOOKUP(A41,Marché!$B$1:$L$2409,6,FALSE)</f>
        <v>41729</v>
      </c>
      <c r="AB41" s="1198">
        <f>VLOOKUP(A41,Marché!$B$1:$L$2409,7,FALSE)</f>
        <v>49034</v>
      </c>
      <c r="AC41" s="35"/>
      <c r="AD41" s="2"/>
    </row>
    <row r="42" spans="1:30" ht="15" hidden="1" x14ac:dyDescent="0.25">
      <c r="A42" s="1191">
        <v>201331</v>
      </c>
      <c r="B42" s="1192">
        <f t="shared" si="4"/>
        <v>111592.68</v>
      </c>
      <c r="C42" s="1193">
        <f>(AB42-$AF$1)</f>
        <v>1229</v>
      </c>
      <c r="D42" s="1194">
        <f t="shared" si="1"/>
        <v>2.8750000000000001E-2</v>
      </c>
      <c r="E42" s="1195">
        <f>duration_titre($AF$1,AA42,AB42,M42,K42,W42,V42,P42,Q42,N42,D42)</f>
        <v>3.0821922120050238</v>
      </c>
      <c r="F42" s="1195">
        <f t="shared" si="2"/>
        <v>2.9960556131276048</v>
      </c>
      <c r="G42" s="1195">
        <f>convexite_titre($AF$1,AA42,AB42,M42,K42,W42,V42,P42,Q42,N42,D42)</f>
        <v>12.445036676666025</v>
      </c>
      <c r="H42" s="1196">
        <f>+ROUND(coupon_courru($AF$1,AA42,AB42,M42,K42,W42,P42,Q42,N42,V42,"V"),4)</f>
        <v>3464.1095999999998</v>
      </c>
      <c r="I42" s="1199">
        <f>+IF(Y42=1,B42,D42*100)</f>
        <v>111592.68</v>
      </c>
      <c r="J42" s="1193" t="str">
        <f>VLOOKUP(A42,Marché!B960:L3254,2,FALSE)</f>
        <v>BDT DU 060814 15 ANS 5.45% ATYP 14/04/2014</v>
      </c>
      <c r="K42" s="1193">
        <f>VLOOKUP(A42,Marché!B960:L3254,3,FALSE)</f>
        <v>100000</v>
      </c>
      <c r="L42" s="1193">
        <f>VLOOKUP(A42,Marché!B960:L3254,4,FALSE)</f>
        <v>0</v>
      </c>
      <c r="M42" s="1197">
        <f>VLOOKUP(A42,Marché!B960:L3254,5,FALSE)</f>
        <v>5.45E-2</v>
      </c>
      <c r="N42" s="1193">
        <f>VLOOKUP(A42,Marché!B959:L3253,8,FALSE)</f>
        <v>15</v>
      </c>
      <c r="O42" s="1200" t="str">
        <f>VLOOKUP(A42,Marché!B959:L3253,9,FALSE)</f>
        <v>A</v>
      </c>
      <c r="P42" s="1200" t="s">
        <v>1716</v>
      </c>
      <c r="Q42" s="1200" t="s">
        <v>1014</v>
      </c>
      <c r="R42" s="1287">
        <v>0</v>
      </c>
      <c r="S42" s="1229" cm="1">
        <f t="array" ref="S42">IF(C42&gt;'Courbe des taux'!$D$50,ROUND( TREND('Courbe des taux'!$E$49:$E$50,'Courbe des taux'!$D$49:$D$50,Lignes_détenues!C42),5),ROUND(IF(C42&gt;365,interpoler(_mat2,taux2,C42),interpoler(_mat1,taux1,C42)),5))</f>
        <v>2.8750000000000001E-2</v>
      </c>
      <c r="T42" s="1201">
        <f t="shared" si="3"/>
        <v>2.8750000000000001E-2</v>
      </c>
      <c r="U42" s="1201" t="str">
        <f>VLOOKUP(A42,Marché!$B$1:M3446,12,FALSE)</f>
        <v>Bon du Trésor</v>
      </c>
      <c r="V42" s="1202" t="str">
        <f>+IF((AB42-$AF$1)&lt;=366,"M","A")</f>
        <v>A</v>
      </c>
      <c r="W42" s="1202" t="s">
        <v>287</v>
      </c>
      <c r="X42" s="1212">
        <f>+prix_atp(AF$1,AA42,Z42,AB42,M42,K42,W42,V42,P42,Q42,N42,D42,Y42)</f>
        <v>111592.6834346751</v>
      </c>
      <c r="Y42" s="1202">
        <v>1</v>
      </c>
      <c r="Z42" s="35">
        <v>41857</v>
      </c>
      <c r="AA42" s="1198">
        <f>VLOOKUP(A42,Marché!$B$1:$L$2409,6,FALSE)</f>
        <v>41743</v>
      </c>
      <c r="AB42" s="1198">
        <f>VLOOKUP(A42,Marché!$B$1:$L$2409,7,FALSE)</f>
        <v>47336</v>
      </c>
      <c r="AC42" s="35"/>
      <c r="AD42" s="2"/>
    </row>
    <row r="43" spans="1:30" ht="15" hidden="1" x14ac:dyDescent="0.25">
      <c r="A43" s="1191">
        <v>201338</v>
      </c>
      <c r="B43" s="1192">
        <f t="shared" si="4"/>
        <v>0</v>
      </c>
      <c r="C43" s="1193">
        <f>(AB43-$AF$1)</f>
        <v>-297</v>
      </c>
      <c r="D43" s="1194">
        <f t="shared" si="1"/>
        <v>2.2700000000000001E-2</v>
      </c>
      <c r="E43" s="1195">
        <f>duration_titre($AF$1,AA43,AB43,M43,K43,W43,V43,P43,Q43,N43,D43)</f>
        <v>0</v>
      </c>
      <c r="F43" s="1195">
        <f t="shared" si="2"/>
        <v>0</v>
      </c>
      <c r="G43" s="1195">
        <f>convexite_titre($AF$1,AA43,AB43,M43,K43,W43,V43,P43,Q43,N43,D43)</f>
        <v>0</v>
      </c>
      <c r="H43" s="1196">
        <f>+ROUND(coupon_courru($AF$1,AA43,AB43,M43,K43,W43,P43,Q43,N43,V43,"V"),4)</f>
        <v>3702.3287999999998</v>
      </c>
      <c r="I43" s="1199">
        <f>+IF(Y43=1,B43,D43*100)</f>
        <v>0</v>
      </c>
      <c r="J43" s="1193" t="str">
        <f>VLOOKUP(A43,Marché!B974:L3268,2,FALSE)</f>
        <v>BDT DU 02/06/2014 11 ANS 4.55%</v>
      </c>
      <c r="K43" s="1193">
        <f>VLOOKUP(A43,Marché!B974:L3268,3,FALSE)</f>
        <v>100000</v>
      </c>
      <c r="L43" s="1193">
        <f>VLOOKUP(A43,Marché!B974:L3268,4,FALSE)</f>
        <v>0</v>
      </c>
      <c r="M43" s="1197">
        <f>VLOOKUP(A43,Marché!B974:L3268,5,FALSE)</f>
        <v>4.5499999999999999E-2</v>
      </c>
      <c r="N43" s="1193">
        <f>VLOOKUP(A43,Marché!B973:L3267,8,FALSE)</f>
        <v>11</v>
      </c>
      <c r="O43" s="1200" t="s">
        <v>1716</v>
      </c>
      <c r="P43" s="1200" t="s">
        <v>1716</v>
      </c>
      <c r="Q43" s="1200" t="s">
        <v>1014</v>
      </c>
      <c r="R43" s="1287">
        <v>0</v>
      </c>
      <c r="S43" s="1229" cm="1">
        <f t="array" ref="S43">IF(C43&gt;'Courbe des taux'!$D$50,ROUND( TREND('Courbe des taux'!$E$49:$E$50,'Courbe des taux'!$D$49:$D$50,Lignes_détenues!C43),5),ROUND(IF(C43&gt;365,interpoler(_mat2,taux2,C43),interpoler(_mat1,taux1,C43)),5))</f>
        <v>2.2700000000000001E-2</v>
      </c>
      <c r="T43" s="1201">
        <f t="shared" si="3"/>
        <v>2.2700000000000001E-2</v>
      </c>
      <c r="U43" s="1201" t="str">
        <f>VLOOKUP(A43,Marché!$B$1:M3460,12,FALSE)</f>
        <v>Bon du Trésor</v>
      </c>
      <c r="V43" s="1202" t="str">
        <f>+IF((AB43-$AF$1)&lt;=366,"M","A")</f>
        <v>M</v>
      </c>
      <c r="W43" s="1202" t="s">
        <v>287</v>
      </c>
      <c r="X43" s="1212">
        <f>+prix_titre(AF$1,AA43,AB43,M43,K43,W43,V43,P43,Q43,N43,D43,Y43)</f>
        <v>0</v>
      </c>
      <c r="Y43" s="1202">
        <v>1</v>
      </c>
      <c r="Z43" s="35">
        <v>41778</v>
      </c>
      <c r="AA43" s="1198">
        <f>VLOOKUP(A43,Marché!$B$1:$L$2409,6,FALSE)</f>
        <v>41792</v>
      </c>
      <c r="AB43" s="1198">
        <f>VLOOKUP(A43,Marché!$B$1:$L$2409,7,FALSE)</f>
        <v>45810</v>
      </c>
      <c r="AC43" s="35"/>
      <c r="AD43" s="2"/>
    </row>
    <row r="44" spans="1:30" ht="15" hidden="1" x14ac:dyDescent="0.25">
      <c r="A44" s="1191">
        <v>201344</v>
      </c>
      <c r="B44" s="1192">
        <f t="shared" si="4"/>
        <v>118716.1</v>
      </c>
      <c r="C44" s="1193">
        <f>(AB44-$AF$1)</f>
        <v>3252</v>
      </c>
      <c r="D44" s="1194">
        <f t="shared" si="1"/>
        <v>3.2640000000000002E-2</v>
      </c>
      <c r="E44" s="1195">
        <f>duration_titre($AF$1,AA44,AB44,M44,K44,W44,V44,P44,Q44,N44,D44)</f>
        <v>7.3613112352435381</v>
      </c>
      <c r="F44" s="1195">
        <f t="shared" si="2"/>
        <v>7.1286326650561067</v>
      </c>
      <c r="G44" s="1195">
        <f>convexite_titre($AF$1,AA44,AB44,M44,K44,W44,V44,P44,Q44,N44,D44)</f>
        <v>63.88423418538369</v>
      </c>
      <c r="H44" s="1196">
        <f>+ROUND(coupon_courru($AF$1,AA44,AB44,M44,K44,W44,P44,Q44,N44,V44,"V"),4)</f>
        <v>541.7808</v>
      </c>
      <c r="I44" s="1199">
        <f>+IF(Y44=1,B44,D44*100)</f>
        <v>118716.1</v>
      </c>
      <c r="J44" s="1193" t="str">
        <f>VLOOKUP(A44,Marché!B987:L3281,2,FALSE)</f>
        <v>BDT du 19/02/15 à 5.65% ATYP 04/08/14 20 ANS</v>
      </c>
      <c r="K44" s="1193">
        <f>VLOOKUP(A44,Marché!B987:L3281,3,FALSE)</f>
        <v>100000</v>
      </c>
      <c r="L44" s="1193">
        <f>VLOOKUP(A44,Marché!B987:L3281,4,FALSE)</f>
        <v>0</v>
      </c>
      <c r="M44" s="1197">
        <f>VLOOKUP(A44,Marché!B987:L3281,5,FALSE)</f>
        <v>5.6500000000000002E-2</v>
      </c>
      <c r="N44" s="1193">
        <f>VLOOKUP(A44,Marché!B986:L3280,8,FALSE)</f>
        <v>20</v>
      </c>
      <c r="O44" s="1200" t="str">
        <f>VLOOKUP(A44,Marché!B986:L3280,9,FALSE)</f>
        <v>A</v>
      </c>
      <c r="P44" s="1200" t="s">
        <v>1716</v>
      </c>
      <c r="Q44" s="1200" t="s">
        <v>1014</v>
      </c>
      <c r="R44" s="1287">
        <v>0</v>
      </c>
      <c r="S44" s="1229" cm="1">
        <f t="array" ref="S44">IF(C44&gt;'Courbe des taux'!$D$50,ROUND( TREND('Courbe des taux'!$E$49:$E$50,'Courbe des taux'!$D$49:$D$50,Lignes_détenues!C44),5),ROUND(IF(C44&gt;365,interpoler(_mat2,taux2,C44),interpoler(_mat1,taux1,C44)),5))</f>
        <v>3.2640000000000002E-2</v>
      </c>
      <c r="T44" s="1201">
        <f t="shared" si="3"/>
        <v>3.2640000000000002E-2</v>
      </c>
      <c r="U44" s="1201" t="str">
        <f>VLOOKUP(A44,Marché!$B$1:M3473,12,FALSE)</f>
        <v>Bon du Trésor</v>
      </c>
      <c r="V44" s="1202" t="str">
        <f>+IF((AB44-$AF$1)&lt;=366,"M","A")</f>
        <v>A</v>
      </c>
      <c r="W44" s="1202" t="s">
        <v>287</v>
      </c>
      <c r="X44" s="1212">
        <f>+prix_atp(AF$1,AA44,Z44,AB44,M44,K44,W44,V44,P44,Q44,N44,D44,Y44)</f>
        <v>118716.10331336729</v>
      </c>
      <c r="Y44" s="1202">
        <v>1</v>
      </c>
      <c r="Z44" s="35">
        <v>42054</v>
      </c>
      <c r="AA44" s="1198">
        <f>VLOOKUP(A44,Marché!$B$1:$L$2409,6,FALSE)</f>
        <v>41855</v>
      </c>
      <c r="AB44" s="1198">
        <f>VLOOKUP(A44,Marché!$B$1:$L$2409,7,FALSE)</f>
        <v>49359</v>
      </c>
      <c r="AC44" s="35"/>
      <c r="AD44" s="2"/>
    </row>
    <row r="45" spans="1:30" ht="15" hidden="1" x14ac:dyDescent="0.25">
      <c r="A45" s="1191">
        <v>201350</v>
      </c>
      <c r="B45" s="1192">
        <f t="shared" si="4"/>
        <v>128536.96000000001</v>
      </c>
      <c r="C45" s="1193">
        <f>(AB45-$AF$1)</f>
        <v>6892</v>
      </c>
      <c r="D45" s="1194">
        <f t="shared" si="1"/>
        <v>3.6380000000000003E-2</v>
      </c>
      <c r="E45" s="1195">
        <f>duration_titre($AF$1,AA45,AB45,M45,K45,W45,V45,P45,Q45,N45,D45)</f>
        <v>12.801890608667039</v>
      </c>
      <c r="F45" s="1195">
        <f t="shared" si="2"/>
        <v>12.352506424928151</v>
      </c>
      <c r="G45" s="1195">
        <f>convexite_titre($AF$1,AA45,AB45,M45,K45,W45,V45,P45,Q45,N45,D45)</f>
        <v>203.60332637482483</v>
      </c>
      <c r="H45" s="1196">
        <f>+ROUND(coupon_courru($AF$1,AA45,AB45,M45,K45,W45,P45,Q45,N45,V45,"V"),4)</f>
        <v>749.58900000000006</v>
      </c>
      <c r="I45" s="1199">
        <f>+IF(Y45=1,B45,D45*100)</f>
        <v>128536.96000000001</v>
      </c>
      <c r="J45" s="1193" t="str">
        <f>VLOOKUP(A45,Marché!B1000:L3294,2,FALSE)</f>
        <v>BDT DU 07/10/14 30ANS 5.70%</v>
      </c>
      <c r="K45" s="1193">
        <f>VLOOKUP(A45,Marché!B1000:L3294,3,FALSE)</f>
        <v>100000</v>
      </c>
      <c r="L45" s="1193">
        <f>VLOOKUP(A45,Marché!B1000:L3294,4,FALSE)</f>
        <v>0</v>
      </c>
      <c r="M45" s="1197">
        <f>VLOOKUP(A45,Marché!B1000:L3294,5,FALSE)</f>
        <v>5.7000000000000002E-2</v>
      </c>
      <c r="N45" s="1193">
        <f>VLOOKUP(A45,Marché!B999:L3293,8,FALSE)</f>
        <v>30</v>
      </c>
      <c r="O45" s="1200" t="s">
        <v>369</v>
      </c>
      <c r="P45" s="1200" t="s">
        <v>1716</v>
      </c>
      <c r="Q45" s="1200" t="s">
        <v>1014</v>
      </c>
      <c r="R45" s="1287">
        <v>0</v>
      </c>
      <c r="S45" s="1229" cm="1">
        <f t="array" ref="S45">IF(C45&gt;'Courbe des taux'!$D$50,ROUND( TREND('Courbe des taux'!$E$49:$E$50,'Courbe des taux'!$D$49:$D$50,Lignes_détenues!C45),5),ROUND(IF(C45&gt;365,interpoler(_mat2,taux2,C45),interpoler(_mat1,taux1,C45)),5))</f>
        <v>3.6380000000000003E-2</v>
      </c>
      <c r="T45" s="1201">
        <f t="shared" si="3"/>
        <v>3.6380000000000003E-2</v>
      </c>
      <c r="U45" s="1201" t="str">
        <f>VLOOKUP(A45,Marché!$B$1:M3486,12,FALSE)</f>
        <v>Bon du Trésor</v>
      </c>
      <c r="V45" s="1202" t="str">
        <f>+IF((AB45-$AF$1)&lt;=366,"M","A")</f>
        <v>A</v>
      </c>
      <c r="W45" s="1202" t="s">
        <v>287</v>
      </c>
      <c r="X45" s="1212">
        <f>+prix_atp(AF$1,AA45,Z45,AB45,M45,K45,W45,V45,P45,Q45,N45,D45,Y45)</f>
        <v>128536.95819384372</v>
      </c>
      <c r="Y45" s="1202">
        <v>1</v>
      </c>
      <c r="Z45" s="35">
        <v>42041</v>
      </c>
      <c r="AA45" s="1198">
        <f>VLOOKUP(A45,Marché!$B$1:$L$2409,6,FALSE)</f>
        <v>41919</v>
      </c>
      <c r="AB45" s="1198">
        <f>VLOOKUP(A45,Marché!$B$1:$L$2409,7,FALSE)</f>
        <v>52999</v>
      </c>
      <c r="AC45" s="35"/>
      <c r="AD45" s="2"/>
    </row>
    <row r="46" spans="1:30" ht="15" hidden="1" x14ac:dyDescent="0.25">
      <c r="A46" s="1191">
        <v>9240</v>
      </c>
      <c r="B46" s="1192">
        <f t="shared" si="4"/>
        <v>27018.11</v>
      </c>
      <c r="C46" s="1193">
        <f>(AB46-$AF$1)</f>
        <v>1353</v>
      </c>
      <c r="D46" s="1194">
        <f t="shared" si="1"/>
        <v>2.9270000000000001E-2</v>
      </c>
      <c r="E46" s="1195">
        <f>duration_titre($AF$1,AA46,AB46,M46,K46,W46,V46,P46,Q46,N46,D46)</f>
        <v>3.4717154200238132</v>
      </c>
      <c r="F46" s="1195">
        <f t="shared" si="2"/>
        <v>3.372988059521616</v>
      </c>
      <c r="G46" s="1195">
        <f>convexite_titre($AF$1,AA46,AB46,M46,K46,W46,V46,P46,Q46,N46,D46)</f>
        <v>15.123893410730405</v>
      </c>
      <c r="H46" s="1196">
        <f>+ROUND(coupon_courru($AF$1,AA46,AB46,M46,K46,W46,P46,Q46,N46,V46,"V"),4)</f>
        <v>1278.2465999999999</v>
      </c>
      <c r="I46" s="1199">
        <f>+IF(Y46=1,B46,D46*100)</f>
        <v>27018.11</v>
      </c>
      <c r="J46" s="1193" t="str">
        <f>VLOOKUP(A46,Marché!B1007:L3301,2,FALSE)</f>
        <v>OBL FEC du 08/12/2014 à 4.32% Révisable 5 ans</v>
      </c>
      <c r="K46" s="1193">
        <f>VLOOKUP(A46,Marché!B1007:L3301,3,FALSE)</f>
        <v>100000</v>
      </c>
      <c r="L46" s="1193">
        <f>VLOOKUP(A46,Marché!B1007:L3301,4,FALSE)</f>
        <v>0</v>
      </c>
      <c r="M46" s="1197">
        <f>VLOOKUP(A46,Marché!B1007:L3301,5,FALSE)</f>
        <v>4.3200000000000002E-2</v>
      </c>
      <c r="N46" s="1193">
        <f>VLOOKUP(A46,Marché!B1006:L3300,8,FALSE)</f>
        <v>15</v>
      </c>
      <c r="O46" s="1200" t="s">
        <v>369</v>
      </c>
      <c r="P46" s="1200" t="s">
        <v>1716</v>
      </c>
      <c r="Q46" s="1200" t="s">
        <v>1014</v>
      </c>
      <c r="R46" s="1287">
        <v>0</v>
      </c>
      <c r="S46" s="1229" cm="1">
        <f t="array" ref="S46">IF(C46&gt;'Courbe des taux'!$D$50,ROUND( TREND('Courbe des taux'!$E$49:$E$50,'Courbe des taux'!$D$49:$D$50,Lignes_détenues!C46),5),ROUND(IF(C46&gt;365,interpoler(_mat2,taux2,C46),interpoler(_mat1,taux1,C46)),5))</f>
        <v>2.9270000000000001E-2</v>
      </c>
      <c r="T46" s="1201">
        <f t="shared" si="3"/>
        <v>2.9270000000000001E-2</v>
      </c>
      <c r="U46" s="1201" t="str">
        <f>VLOOKUP(A46,Marché!$B$1:M3493,12,FALSE)</f>
        <v>ORD</v>
      </c>
      <c r="V46" s="1202" t="str">
        <f>+IF((AB46-$AF$1)&lt;=366,"M","A")</f>
        <v>A</v>
      </c>
      <c r="W46" s="1202" t="s">
        <v>287</v>
      </c>
      <c r="X46" s="1212">
        <f>'FEC9149-2140'!C114</f>
        <v>27018.114509610867</v>
      </c>
      <c r="Y46" s="1202">
        <v>1</v>
      </c>
      <c r="Z46" s="35" t="s">
        <v>2503</v>
      </c>
      <c r="AA46" s="1198">
        <f>VLOOKUP(A46,Marché!$B$1:$L$2409,6,FALSE)</f>
        <v>41981</v>
      </c>
      <c r="AB46" s="1198">
        <f>VLOOKUP(A46,Marché!$B$1:$L$2409,7,FALSE)</f>
        <v>47460</v>
      </c>
      <c r="AC46" s="35"/>
      <c r="AD46" s="2"/>
    </row>
    <row r="47" spans="1:30" ht="15" hidden="1" x14ac:dyDescent="0.25">
      <c r="A47" s="1191">
        <v>9167</v>
      </c>
      <c r="B47" s="1192">
        <f t="shared" si="4"/>
        <v>106156.15</v>
      </c>
      <c r="C47" s="1193">
        <f>(AB47-$AF$1)</f>
        <v>416</v>
      </c>
      <c r="D47" s="1194">
        <f t="shared" si="1"/>
        <v>2.836E-2</v>
      </c>
      <c r="E47" s="1195">
        <f>duration_titre($AF$1,AA47,AB47,M47,K47,W47,V47,P47,Q47,N47,D47)</f>
        <v>1.0953427905223057</v>
      </c>
      <c r="F47" s="1195">
        <f t="shared" si="2"/>
        <v>1.0651355464256735</v>
      </c>
      <c r="G47" s="1195">
        <f>convexite_titre($AF$1,AA47,AB47,M47,K47,W47,V47,P47,Q47,N47,D47)</f>
        <v>2.2103813665737233</v>
      </c>
      <c r="H47" s="1196">
        <f>+ROUND(coupon_courru($AF$1,AA47,AB47,M47,K47,W47,P47,Q47,N47,V47,"V"),4)</f>
        <v>4069.0958999999998</v>
      </c>
      <c r="I47" s="1199">
        <f>+IF(Y47=1,B47,D47*100)</f>
        <v>106156.15</v>
      </c>
      <c r="J47" s="1193" t="str">
        <f>VLOOKUP(A47,Marché!B1008:L3302,2,FALSE)</f>
        <v xml:space="preserve">OBL TM2SA du 16/05/2012  à 4.73% 15 ans </v>
      </c>
      <c r="K47" s="1193">
        <f>VLOOKUP(A47,Marché!B1008:L3302,3,FALSE)</f>
        <v>100000</v>
      </c>
      <c r="L47" s="1193">
        <f>VLOOKUP(A47,Marché!B1008:L3302,4,FALSE)</f>
        <v>0</v>
      </c>
      <c r="M47" s="1197">
        <f>VLOOKUP(A47,Marché!B1008:L3302,5,FALSE)</f>
        <v>4.7300000000000002E-2</v>
      </c>
      <c r="N47" s="1193">
        <f>VLOOKUP(A47,Marché!B1007:L3301,8,FALSE)</f>
        <v>15</v>
      </c>
      <c r="O47" s="1200" t="str">
        <f>VLOOKUP(A47,Marché!B1007:L3301,9,FALSE)</f>
        <v>A</v>
      </c>
      <c r="P47" s="1200" t="s">
        <v>1716</v>
      </c>
      <c r="Q47" s="1200" t="s">
        <v>1014</v>
      </c>
      <c r="R47" s="1287">
        <v>3.0000000000000001E-3</v>
      </c>
      <c r="S47" s="1229" cm="1">
        <f t="array" ref="S47">IF(C47&gt;'Courbe des taux'!$D$50,ROUND( TREND('Courbe des taux'!$E$49:$E$50,'Courbe des taux'!$D$49:$D$50,Lignes_détenues!C47),5),ROUND(IF(C47&gt;365,interpoler(_mat2,taux2,C47),interpoler(_mat1,taux1,C47)),5))</f>
        <v>2.5360000000000001E-2</v>
      </c>
      <c r="T47" s="1201">
        <f t="shared" si="3"/>
        <v>2.5360000000000001E-2</v>
      </c>
      <c r="U47" s="1201" t="str">
        <f>VLOOKUP(A47,Marché!$B$1:M3494,12,FALSE)</f>
        <v>ORD</v>
      </c>
      <c r="V47" s="1202" t="str">
        <f>+IF((AB47-$AF$1)&lt;=366,"M","A")</f>
        <v>A</v>
      </c>
      <c r="W47" s="1202" t="s">
        <v>287</v>
      </c>
      <c r="X47" s="1212">
        <f>+prix_titre(AF$1,AA47,AB47,M47,K47,W47,V47,P47,Q47,N47,D47,Y47)</f>
        <v>106156.15292271522</v>
      </c>
      <c r="Y47" s="1202">
        <v>1</v>
      </c>
      <c r="Z47" s="35"/>
      <c r="AA47" s="1198">
        <f>VLOOKUP(A47,Marché!$B$1:$L$2409,6,FALSE)</f>
        <v>41045</v>
      </c>
      <c r="AB47" s="1198">
        <f>VLOOKUP(A47,Marché!$B$1:$L$2409,7,FALSE)</f>
        <v>46523</v>
      </c>
      <c r="AC47" s="35"/>
      <c r="AD47" s="2"/>
    </row>
    <row r="48" spans="1:30" ht="15" hidden="1" x14ac:dyDescent="0.25">
      <c r="A48" s="1191">
        <v>9243</v>
      </c>
      <c r="B48" s="1192">
        <f t="shared" si="4"/>
        <v>0</v>
      </c>
      <c r="C48" s="1193">
        <f>(AB48-$AF$1)</f>
        <v>-459</v>
      </c>
      <c r="D48" s="1194">
        <f t="shared" si="1"/>
        <v>2.9950000000000001E-2</v>
      </c>
      <c r="E48" s="1195">
        <f>duration_titre($AF$1,AA48,AB48,M48,K48,W48,V48,P48,Q48,N48,D48)</f>
        <v>0</v>
      </c>
      <c r="F48" s="1195">
        <f t="shared" si="2"/>
        <v>0</v>
      </c>
      <c r="G48" s="1195">
        <f>convexite_titre($AF$1,AA48,AB48,M48,K48,W48,V48,P48,Q48,N48,D48)</f>
        <v>0</v>
      </c>
      <c r="H48" s="1196">
        <f>+ROUND(coupon_courru($AF$1,AA48,AB48,M48,K48,W48,P48,Q48,N48,V48,"V"),4)</f>
        <v>5973.2876999999999</v>
      </c>
      <c r="I48" s="1199">
        <f>+IF(Y48=1,B48,D48*100)</f>
        <v>0</v>
      </c>
      <c r="J48" s="1193" t="str">
        <f>VLOOKUP(A48,Marché!B1017:L3311,2,FALSE)</f>
        <v>OBL ATW du 22/12/2014 à 4.75% 10 ans</v>
      </c>
      <c r="K48" s="1193">
        <f>VLOOKUP(A48,Marché!B1017:L3311,3,FALSE)</f>
        <v>100000</v>
      </c>
      <c r="L48" s="1193">
        <f>VLOOKUP(A48,Marché!B1017:L3311,4,FALSE)</f>
        <v>0</v>
      </c>
      <c r="M48" s="1197">
        <f>VLOOKUP(A48,Marché!B1017:L3311,5,FALSE)</f>
        <v>4.7500000000000001E-2</v>
      </c>
      <c r="N48" s="1193">
        <f>VLOOKUP(A48,Marché!B1016:L3310,8,FALSE)</f>
        <v>10</v>
      </c>
      <c r="O48" s="1200" t="s">
        <v>1716</v>
      </c>
      <c r="P48" s="1200" t="s">
        <v>1716</v>
      </c>
      <c r="Q48" s="1200" t="s">
        <v>1014</v>
      </c>
      <c r="R48" s="1287">
        <v>7.2500000000000004E-3</v>
      </c>
      <c r="S48" s="1229" cm="1">
        <f t="array" ref="S48">IF(C48&gt;'Courbe des taux'!$D$50,ROUND( TREND('Courbe des taux'!$E$49:$E$50,'Courbe des taux'!$D$49:$D$50,Lignes_détenues!C48),5),ROUND(IF(C48&gt;365,interpoler(_mat2,taux2,C48),interpoler(_mat1,taux1,C48)),5))</f>
        <v>2.2700000000000001E-2</v>
      </c>
      <c r="T48" s="1201">
        <f t="shared" si="3"/>
        <v>2.2700000000000001E-2</v>
      </c>
      <c r="U48" s="1201" t="str">
        <f>VLOOKUP(A48,Marché!$B$1:M3503,12,FALSE)</f>
        <v>ORD</v>
      </c>
      <c r="V48" s="1202" t="str">
        <f>+IF((AB48-$AF$1)&lt;=366,"M","A")</f>
        <v>M</v>
      </c>
      <c r="W48" s="1202" t="s">
        <v>287</v>
      </c>
      <c r="X48" s="1212">
        <f>+prix_titre(AF$1,AA48,AB48,M48,K48,W48,V48,P48,Q48,N48,D48,Y48)</f>
        <v>0</v>
      </c>
      <c r="Y48" s="1202">
        <v>1</v>
      </c>
      <c r="Z48" s="35"/>
      <c r="AA48" s="1198">
        <f>VLOOKUP(A48,Marché!$B$1:$L$2409,6,FALSE)</f>
        <v>41995</v>
      </c>
      <c r="AB48" s="1198">
        <f>VLOOKUP(A48,Marché!$B$1:$L$2409,7,FALSE)</f>
        <v>45648</v>
      </c>
      <c r="AC48" s="35"/>
      <c r="AD48" s="2"/>
    </row>
    <row r="49" spans="1:30" ht="15" hidden="1" x14ac:dyDescent="0.25">
      <c r="A49" s="1191">
        <v>9253</v>
      </c>
      <c r="B49" s="1192">
        <f t="shared" si="4"/>
        <v>112498.6</v>
      </c>
      <c r="C49" s="1193">
        <f>(AB49-$AF$1)</f>
        <v>3363</v>
      </c>
      <c r="D49" s="1194">
        <f t="shared" si="1"/>
        <v>3.6679999999999997E-2</v>
      </c>
      <c r="E49" s="1195">
        <f>duration_titre($AF$1,AA49,AB49,M49,K49,W49,V49,P49,Q49,N49,D49)</f>
        <v>7.4761206004984979</v>
      </c>
      <c r="F49" s="1195">
        <f t="shared" si="2"/>
        <v>7.2115991439002372</v>
      </c>
      <c r="G49" s="1195">
        <f>convexite_titre($AF$1,AA49,AB49,M49,K49,W49,V49,P49,Q49,N49,D49)</f>
        <v>66.678476783501353</v>
      </c>
      <c r="H49" s="1196">
        <f>+ROUND(coupon_courru($AF$1,AA49,AB49,M49,K49,W49,P49,Q49,N49,V49,"V"),4)</f>
        <v>3800.5479</v>
      </c>
      <c r="I49" s="1199">
        <f>+IF(Y49=1,B49,D49*100)</f>
        <v>112498.6</v>
      </c>
      <c r="J49" s="1193" t="str">
        <f>VLOOKUP(A49,Marché!B1061:L3355,2,FALSE)</f>
        <v>OBL ADM du 10/06/2015 à 4.80% 20 ans</v>
      </c>
      <c r="K49" s="1193">
        <f>VLOOKUP(A49,Marché!B1061:L3355,3,FALSE)</f>
        <v>100000</v>
      </c>
      <c r="L49" s="1193">
        <f>VLOOKUP(A49,Marché!B1061:L3355,4,FALSE)</f>
        <v>0</v>
      </c>
      <c r="M49" s="1197">
        <f>VLOOKUP(A49,Marché!B1061:L3355,5,FALSE)</f>
        <v>4.8000000000000001E-2</v>
      </c>
      <c r="N49" s="1193">
        <f>VLOOKUP(A49,Marché!B1060:L3354,8,FALSE)</f>
        <v>20</v>
      </c>
      <c r="O49" s="1200" t="s">
        <v>1716</v>
      </c>
      <c r="P49" s="1200" t="s">
        <v>1716</v>
      </c>
      <c r="Q49" s="1200" t="s">
        <v>1014</v>
      </c>
      <c r="R49" s="1287">
        <v>3.8899999999999998E-3</v>
      </c>
      <c r="S49" s="1229" cm="1">
        <f t="array" ref="S49">IF(C49&gt;'Courbe des taux'!$D$50,ROUND( TREND('Courbe des taux'!$E$49:$E$50,'Courbe des taux'!$D$49:$D$50,Lignes_détenues!C49),5),ROUND(IF(C49&gt;365,interpoler(_mat2,taux2,C49),interpoler(_mat1,taux1,C49)),5))</f>
        <v>3.279E-2</v>
      </c>
      <c r="T49" s="1201">
        <f t="shared" si="3"/>
        <v>3.279E-2</v>
      </c>
      <c r="U49" s="1201" t="str">
        <f>VLOOKUP(A49,Marché!$B$1:M3547,12,FALSE)</f>
        <v>ORD</v>
      </c>
      <c r="V49" s="1202" t="str">
        <f>+IF((AB49-$AF$1)&lt;=366,"M","A")</f>
        <v>A</v>
      </c>
      <c r="W49" s="1202" t="s">
        <v>287</v>
      </c>
      <c r="X49" s="1212">
        <f>+prix_titre(AF$1,AA49,AB49,M49,K49,W49,V49,P49,Q49,N49,D49,Y49)</f>
        <v>112498.59846458094</v>
      </c>
      <c r="Y49" s="1202">
        <v>1</v>
      </c>
      <c r="Z49" s="35"/>
      <c r="AA49" s="1198">
        <f>VLOOKUP(A49,Marché!$B$1:$L$2409,6,FALSE)</f>
        <v>42165</v>
      </c>
      <c r="AB49" s="1198">
        <f>VLOOKUP(A49,Marché!$B$1:$L$2409,7,FALSE)</f>
        <v>49470</v>
      </c>
      <c r="AC49" s="35"/>
      <c r="AD49" s="2"/>
    </row>
    <row r="50" spans="1:30" ht="15" hidden="1" x14ac:dyDescent="0.25">
      <c r="A50" s="1191">
        <v>9256</v>
      </c>
      <c r="B50" s="1192">
        <f t="shared" si="4"/>
        <v>0</v>
      </c>
      <c r="C50" s="1193">
        <f>(AB50-$AF$1)</f>
        <v>-283</v>
      </c>
      <c r="D50" s="1194">
        <f t="shared" si="1"/>
        <v>2.9700000000000001E-2</v>
      </c>
      <c r="E50" s="1195">
        <f>duration_titre($AF$1,AA50,AB50,M50,K50,W50,V50,P50,Q50,N50,D50)</f>
        <v>0</v>
      </c>
      <c r="F50" s="1195">
        <f t="shared" si="2"/>
        <v>0</v>
      </c>
      <c r="G50" s="1195">
        <f>convexite_titre($AF$1,AA50,AB50,M50,K50,W50,V50,P50,Q50,N50,D50)</f>
        <v>0</v>
      </c>
      <c r="H50" s="1196">
        <f>+ROUND(coupon_courru($AF$1,AA50,AB50,M50,K50,W50,P50,Q50,N50,V50,"V"),4)</f>
        <v>7686</v>
      </c>
      <c r="I50" s="1199">
        <f>+IF(Y50=1,B50,D50*100)</f>
        <v>0</v>
      </c>
      <c r="J50" s="1193" t="str">
        <f>VLOOKUP(A50,Marché!B1064:L3358,2,FALSE)</f>
        <v>OBL BMCE DU 16/06/2015 3.69% 10ANS</v>
      </c>
      <c r="K50" s="1193">
        <f>VLOOKUP(A50,Marché!B1064:L3358,3,FALSE)</f>
        <v>100000</v>
      </c>
      <c r="L50" s="1193">
        <f>VLOOKUP(A50,Marché!B1064:L3358,4,FALSE)</f>
        <v>0</v>
      </c>
      <c r="M50" s="1197">
        <v>4.2700000000000002E-2</v>
      </c>
      <c r="N50" s="1193">
        <v>52</v>
      </c>
      <c r="O50" s="1200" t="s">
        <v>369</v>
      </c>
      <c r="P50" s="1200" t="s">
        <v>1716</v>
      </c>
      <c r="Q50" s="1200" t="s">
        <v>1014</v>
      </c>
      <c r="R50" s="1287">
        <v>7.0000000000000001E-3</v>
      </c>
      <c r="S50" s="1229" cm="1">
        <f t="array" ref="S50">IF(C50&gt;'Courbe des taux'!$D$50,ROUND( TREND('Courbe des taux'!$E$49:$E$50,'Courbe des taux'!$D$49:$D$50,Lignes_détenues!C50),5),ROUND(IF(C50&gt;365,interpoler(_mat2,taux2,C50),interpoler(_mat1,taux1,C50)),5))</f>
        <v>2.2700000000000001E-2</v>
      </c>
      <c r="T50" s="1201">
        <f t="shared" si="3"/>
        <v>2.2700000000000001E-2</v>
      </c>
      <c r="U50" s="1201" t="str">
        <f>VLOOKUP(A50,Marché!$B$1:M3550,12,FALSE)</f>
        <v>ORD</v>
      </c>
      <c r="V50" s="1202" t="str">
        <f>+IF((AB50-$AF$1)&lt;=366,"M","A")</f>
        <v>M</v>
      </c>
      <c r="W50" s="1202" t="s">
        <v>287</v>
      </c>
      <c r="X50" s="1212">
        <f>+prix_titre(AF$1,AA50,AB50,M50,K50,W50,V50,P50,Q50,N50,D50,Y50)</f>
        <v>0</v>
      </c>
      <c r="Y50" s="1202">
        <v>1</v>
      </c>
      <c r="Z50" s="35"/>
      <c r="AA50" s="1198">
        <v>45459</v>
      </c>
      <c r="AB50" s="1198">
        <v>45824</v>
      </c>
      <c r="AC50" s="35"/>
      <c r="AD50" s="2"/>
    </row>
    <row r="51" spans="1:30" ht="15" hidden="1" x14ac:dyDescent="0.25">
      <c r="A51" s="1191">
        <v>9255</v>
      </c>
      <c r="B51" s="1192">
        <f t="shared" si="4"/>
        <v>0</v>
      </c>
      <c r="C51" s="1193">
        <f>(AB51-$AF$1)</f>
        <v>-283</v>
      </c>
      <c r="D51" s="1194">
        <f t="shared" si="1"/>
        <v>2.9669999999999998E-2</v>
      </c>
      <c r="E51" s="1195">
        <f>duration_titre($AF$1,AA51,AB51,M51,K51,W51,V51,P51,Q51,N51,D51)</f>
        <v>0</v>
      </c>
      <c r="F51" s="1195">
        <f t="shared" si="2"/>
        <v>0</v>
      </c>
      <c r="G51" s="1195">
        <f>convexite_titre($AF$1,AA51,AB51,M51,K51,W51,V51,P51,Q51,N51,D51)</f>
        <v>0</v>
      </c>
      <c r="H51" s="1196">
        <f>+ROUND(coupon_courru($AF$1,AA51,AB51,M51,K51,W51,P51,Q51,N51,V51,"V"),4)</f>
        <v>3675.1233000000002</v>
      </c>
      <c r="I51" s="1199">
        <f>+IF(Y51=1,B51,D51*100)</f>
        <v>0</v>
      </c>
      <c r="J51" s="1193" t="str">
        <f>VLOOKUP(A51,Marché!B1065:L3359,2,FALSE)</f>
        <v>OBL BMCE DU 16/06/2015 à 4.74%</v>
      </c>
      <c r="K51" s="1193">
        <f>VLOOKUP(A51,Marché!B1065:L3359,3,FALSE)</f>
        <v>100000</v>
      </c>
      <c r="L51" s="1193">
        <f>VLOOKUP(A51,Marché!B1065:L3359,4,FALSE)</f>
        <v>0</v>
      </c>
      <c r="M51" s="1197">
        <f>VLOOKUP(A51,Marché!B1065:L3359,5,FALSE)</f>
        <v>4.7399999999999998E-2</v>
      </c>
      <c r="N51" s="1193">
        <v>10</v>
      </c>
      <c r="O51" s="1200" t="s">
        <v>1716</v>
      </c>
      <c r="P51" s="1200" t="s">
        <v>1716</v>
      </c>
      <c r="Q51" s="1200" t="s">
        <v>1014</v>
      </c>
      <c r="R51" s="1287">
        <v>6.9699999999999996E-3</v>
      </c>
      <c r="S51" s="1229" cm="1">
        <f t="array" ref="S51">IF(C51&gt;'Courbe des taux'!$D$50,ROUND( TREND('Courbe des taux'!$E$49:$E$50,'Courbe des taux'!$D$49:$D$50,Lignes_détenues!C51),5),ROUND(IF(C51&gt;365,interpoler(_mat2,taux2,C51),interpoler(_mat1,taux1,C51)),5))</f>
        <v>2.2700000000000001E-2</v>
      </c>
      <c r="T51" s="1201">
        <f t="shared" si="3"/>
        <v>2.2700000000000001E-2</v>
      </c>
      <c r="U51" s="1201" t="str">
        <f>VLOOKUP(A51,Marché!$B$1:M3551,12,FALSE)</f>
        <v>ORD</v>
      </c>
      <c r="V51" s="1202" t="str">
        <f>+IF((AB51-$AF$1)&lt;=366,"M","A")</f>
        <v>M</v>
      </c>
      <c r="W51" s="1202" t="s">
        <v>287</v>
      </c>
      <c r="X51" s="1212">
        <f>+prix_titre(AF$1,AA51,AB51,M51,K51,W51,V51,P51,Q51,N51,D51,Y51)</f>
        <v>0</v>
      </c>
      <c r="Y51" s="1202">
        <v>1</v>
      </c>
      <c r="Z51" s="35"/>
      <c r="AA51" s="1198">
        <f>VLOOKUP(A51,Marché!$B$1:$L$2409,6,FALSE)</f>
        <v>42171</v>
      </c>
      <c r="AB51" s="1198">
        <f>VLOOKUP(A51,Marché!$B$1:$L$2409,7,FALSE)</f>
        <v>45824</v>
      </c>
      <c r="AC51" s="35"/>
      <c r="AD51" s="2"/>
    </row>
    <row r="52" spans="1:30" ht="15" hidden="1" x14ac:dyDescent="0.25">
      <c r="A52" s="1191">
        <v>201379</v>
      </c>
      <c r="B52" s="1192">
        <f t="shared" si="4"/>
        <v>106526.24</v>
      </c>
      <c r="C52" s="1193">
        <f>(AB52-$AF$1)</f>
        <v>1593</v>
      </c>
      <c r="D52" s="1194">
        <f t="shared" si="1"/>
        <v>3.0110000000000001E-2</v>
      </c>
      <c r="E52" s="1195">
        <f>duration_titre($AF$1,AA52,AB52,M52,K52,W52,V52,P52,Q52,N52,D52)</f>
        <v>4.0033775748443556</v>
      </c>
      <c r="F52" s="1195">
        <f t="shared" si="2"/>
        <v>3.8863592964288816</v>
      </c>
      <c r="G52" s="1195">
        <f>convexite_titre($AF$1,AA52,AB52,M52,K52,W52,V52,P52,Q52,N52,D52)</f>
        <v>19.785128725996518</v>
      </c>
      <c r="H52" s="1196">
        <f>+ROUND(coupon_courru($AF$1,AA52,AB52,M52,K52,W52,P52,Q52,N52,V52,"V"),4)</f>
        <v>2553.4247</v>
      </c>
      <c r="I52" s="1199">
        <f>+IF(Y52=1,B52,D52*100)</f>
        <v>106526.24</v>
      </c>
      <c r="J52" s="1193" t="str">
        <f>VLOOKUP(A52,Marché!B1071:L3365,2,FALSE)</f>
        <v>BDT DU 05/08/2015 15 ANS à 4%</v>
      </c>
      <c r="K52" s="1193">
        <f>VLOOKUP(A52,Marché!B1071:L3365,3,FALSE)</f>
        <v>100000</v>
      </c>
      <c r="L52" s="1193">
        <f>VLOOKUP(A52,Marché!B1071:L3365,4,FALSE)</f>
        <v>0</v>
      </c>
      <c r="M52" s="1197">
        <f>VLOOKUP(A52,Marché!B1071:L3365,5,FALSE)</f>
        <v>0.04</v>
      </c>
      <c r="N52" s="1193">
        <f>VLOOKUP(A52,Marché!B1070:L3364,8,FALSE)</f>
        <v>15</v>
      </c>
      <c r="O52" s="1200" t="s">
        <v>1716</v>
      </c>
      <c r="P52" s="1200" t="s">
        <v>1716</v>
      </c>
      <c r="Q52" s="1200" t="s">
        <v>1014</v>
      </c>
      <c r="R52" s="1287">
        <v>0</v>
      </c>
      <c r="S52" s="1229" cm="1">
        <f t="array" ref="S52">IF(C52&gt;'Courbe des taux'!$D$50,ROUND( TREND('Courbe des taux'!$E$49:$E$50,'Courbe des taux'!$D$49:$D$50,Lignes_détenues!C52),5),ROUND(IF(C52&gt;365,interpoler(_mat2,taux2,C52),interpoler(_mat1,taux1,C52)),5))</f>
        <v>3.0110000000000001E-2</v>
      </c>
      <c r="T52" s="1201">
        <f t="shared" si="3"/>
        <v>3.0110000000000001E-2</v>
      </c>
      <c r="U52" s="1201" t="str">
        <f>VLOOKUP(A52,Marché!$B$1:M3557,12,FALSE)</f>
        <v>Bon du Trésor</v>
      </c>
      <c r="V52" s="1202" t="str">
        <f>+IF((AB52-$AF$1)&lt;=366,"M","A")</f>
        <v>A</v>
      </c>
      <c r="W52" s="1202" t="s">
        <v>287</v>
      </c>
      <c r="X52" s="1212">
        <f>+prix_atp(AF$1,AA52,Z52,AB52,M52,K52,W52,V52,P52,Q52,N52,D52,Y52)</f>
        <v>106526.23723287405</v>
      </c>
      <c r="Y52" s="1202">
        <v>1</v>
      </c>
      <c r="Z52" s="35">
        <v>42221</v>
      </c>
      <c r="AA52" s="1198">
        <f>VLOOKUP(A52,Marché!$B$1:$L$2409,6,FALSE)</f>
        <v>42142</v>
      </c>
      <c r="AB52" s="1198">
        <f>VLOOKUP(A52,Marché!$B$1:$L$2409,7,FALSE)</f>
        <v>47700</v>
      </c>
      <c r="AC52" s="35"/>
      <c r="AD52" s="2"/>
    </row>
    <row r="53" spans="1:30" ht="15" hidden="1" x14ac:dyDescent="0.25">
      <c r="A53" s="1191">
        <v>201386</v>
      </c>
      <c r="B53" s="1192">
        <f t="shared" si="4"/>
        <v>109588.02</v>
      </c>
      <c r="C53" s="1193">
        <f>(AB53-$AF$1)</f>
        <v>3602</v>
      </c>
      <c r="D53" s="1194">
        <f t="shared" si="1"/>
        <v>3.3160000000000002E-2</v>
      </c>
      <c r="E53" s="1195">
        <f>duration_titre($AF$1,AA53,AB53,M53,K53,W53,V53,P53,Q53,N53,D53)</f>
        <v>8.2531548001251203</v>
      </c>
      <c r="F53" s="1195">
        <f t="shared" si="2"/>
        <v>7.9882639669800612</v>
      </c>
      <c r="G53" s="1195">
        <f>convexite_titre($AF$1,AA53,AB53,M53,K53,W53,V53,P53,Q53,N53,D53)</f>
        <v>78.926248082413025</v>
      </c>
      <c r="H53" s="1196">
        <f>+ROUND(coupon_courru($AF$1,AA53,AB53,M53,K53,W53,P53,Q53,N53,V53,"V"),4)</f>
        <v>602.73969999999997</v>
      </c>
      <c r="I53" s="1199">
        <f>+IF(Y53=1,B53,D53*100)</f>
        <v>109588.02</v>
      </c>
      <c r="J53" s="1193" t="str">
        <f>VLOOKUP(A53,Marché!B1082:L3376,2,FALSE)</f>
        <v>BDT DU 06/07/2015 20 ANS à 4.40%</v>
      </c>
      <c r="K53" s="1193">
        <f>VLOOKUP(A53,Marché!B1082:L3376,3,FALSE)</f>
        <v>100000</v>
      </c>
      <c r="L53" s="1193">
        <f>VLOOKUP(A53,Marché!B1082:L3376,4,FALSE)</f>
        <v>0</v>
      </c>
      <c r="M53" s="1197">
        <f>VLOOKUP(A53,Marché!B1082:L3376,5,FALSE)</f>
        <v>4.3999999999999997E-2</v>
      </c>
      <c r="N53" s="1193">
        <f>VLOOKUP(A53,Marché!B1081:L3375,8,FALSE)</f>
        <v>20</v>
      </c>
      <c r="O53" s="1200" t="s">
        <v>1716</v>
      </c>
      <c r="P53" s="1200" t="s">
        <v>1716</v>
      </c>
      <c r="Q53" s="1200" t="s">
        <v>1014</v>
      </c>
      <c r="R53" s="1287">
        <v>0</v>
      </c>
      <c r="S53" s="1229" cm="1">
        <f t="array" ref="S53">IF(C53&gt;'Courbe des taux'!$D$50,ROUND( TREND('Courbe des taux'!$E$49:$E$50,'Courbe des taux'!$D$49:$D$50,Lignes_détenues!C53),5),ROUND(IF(C53&gt;365,interpoler(_mat2,taux2,C53),interpoler(_mat1,taux1,C53)),5))</f>
        <v>3.3160000000000002E-2</v>
      </c>
      <c r="T53" s="1201">
        <f t="shared" si="3"/>
        <v>3.3160000000000002E-2</v>
      </c>
      <c r="U53" s="1201" t="str">
        <f>VLOOKUP(A53,Marché!$B$1:M3568,12,FALSE)</f>
        <v>Bon du Trésor</v>
      </c>
      <c r="V53" s="1202" t="str">
        <f>+IF((AB53-$AF$1)&lt;=366,"M","A")</f>
        <v>A</v>
      </c>
      <c r="W53" s="1202" t="s">
        <v>287</v>
      </c>
      <c r="X53" s="1212">
        <f>+prix_atp(AF$1,AA53,Z53,AB53,M53,K53,W53,V53,P53,Q53,N53,D53,Y53)</f>
        <v>109588.0230869074</v>
      </c>
      <c r="Y53" s="1202">
        <v>1</v>
      </c>
      <c r="Z53" s="35">
        <v>42404</v>
      </c>
      <c r="AA53" s="1198">
        <f>VLOOKUP(A53,Marché!$B$1:$L$2409,6,FALSE)</f>
        <v>42191</v>
      </c>
      <c r="AB53" s="1198">
        <f>VLOOKUP(A53,Marché!$B$1:$L$2409,7,FALSE)</f>
        <v>49709</v>
      </c>
      <c r="AC53" s="35"/>
      <c r="AD53" s="2"/>
    </row>
    <row r="54" spans="1:30" ht="15" hidden="1" x14ac:dyDescent="0.25">
      <c r="A54" s="1191">
        <v>9269</v>
      </c>
      <c r="B54" s="1192">
        <f t="shared" si="4"/>
        <v>0</v>
      </c>
      <c r="C54" s="1193">
        <f>(AB54-$AF$1)</f>
        <v>-157</v>
      </c>
      <c r="D54" s="1194">
        <f t="shared" si="1"/>
        <v>3.397E-2</v>
      </c>
      <c r="E54" s="1195">
        <f>duration_titre($AF$1,AA54,AB54,M54,K54,W54,V54,P54,Q54,N54,D54)</f>
        <v>0</v>
      </c>
      <c r="F54" s="1195">
        <f t="shared" si="2"/>
        <v>0</v>
      </c>
      <c r="G54" s="1195">
        <f>convexite_titre($AF$1,AA54,AB54,M54,K54,W54,V54,P54,Q54,N54,D54)</f>
        <v>0</v>
      </c>
      <c r="H54" s="1196">
        <f>+ROUND(coupon_courru($AF$1,AA54,AB54,M54,K54,W54,P54,Q54,N54,V54,"V"),4)</f>
        <v>2025.9452000000001</v>
      </c>
      <c r="I54" s="1199">
        <f>+IF(Y54=1,B54,D54*100)</f>
        <v>0</v>
      </c>
      <c r="J54" s="1193" t="str">
        <f>VLOOKUP(A54,Marché!B1090:L3384,2,FALSE)</f>
        <v>OBL AL BARID DU 20/10/2015 à 4.71% 10 ans</v>
      </c>
      <c r="K54" s="1193">
        <f>VLOOKUP(A54,Marché!B1090:L3384,3,FALSE)</f>
        <v>100000</v>
      </c>
      <c r="L54" s="1193">
        <f>VLOOKUP(A54,Marché!B1090:L3384,4,FALSE)</f>
        <v>0</v>
      </c>
      <c r="M54" s="1197">
        <f>VLOOKUP(A54,Marché!B1090:L3384,5,FALSE)</f>
        <v>4.7100000000000003E-2</v>
      </c>
      <c r="N54" s="1193">
        <f>VLOOKUP(A54,Marché!B1089:L3383,8,FALSE)</f>
        <v>10</v>
      </c>
      <c r="O54" s="1200" t="s">
        <v>1716</v>
      </c>
      <c r="P54" s="1200" t="s">
        <v>1716</v>
      </c>
      <c r="Q54" s="1200" t="s">
        <v>1014</v>
      </c>
      <c r="R54" s="1287">
        <v>1.1270000000000001E-2</v>
      </c>
      <c r="S54" s="1229" cm="1">
        <f t="array" ref="S54">IF(C54&gt;'Courbe des taux'!$D$50,ROUND( TREND('Courbe des taux'!$E$49:$E$50,'Courbe des taux'!$D$49:$D$50,Lignes_détenues!C54),5),ROUND(IF(C54&gt;365,interpoler(_mat2,taux2,C54),interpoler(_mat1,taux1,C54)),5))</f>
        <v>2.2700000000000001E-2</v>
      </c>
      <c r="T54" s="1201">
        <f t="shared" si="3"/>
        <v>2.2700000000000001E-2</v>
      </c>
      <c r="U54" s="1201" t="str">
        <f>VLOOKUP(A54,Marché!$B$1:M3576,12,FALSE)</f>
        <v>ORD</v>
      </c>
      <c r="V54" s="1202" t="str">
        <f>+IF((AB54-$AF$1)&lt;=366,"M","A")</f>
        <v>M</v>
      </c>
      <c r="W54" s="1202" t="s">
        <v>287</v>
      </c>
      <c r="X54" s="1212">
        <f>+prix_titre(AF$1,AA54,AB54,M54,K54,W54,V54,P54,Q54,N54,D54,Y54)</f>
        <v>0</v>
      </c>
      <c r="Y54" s="1202">
        <v>1</v>
      </c>
      <c r="Z54" s="35" t="e">
        <f>#REF!/(1+#REF!)^#REF!</f>
        <v>#REF!</v>
      </c>
      <c r="AA54" s="1198">
        <f>VLOOKUP(A54,Marché!$B$1:$L$2409,6,FALSE)</f>
        <v>42297</v>
      </c>
      <c r="AB54" s="1198">
        <f>VLOOKUP(A54,Marché!$B$1:$L$2409,7,FALSE)</f>
        <v>45950</v>
      </c>
      <c r="AC54" s="35"/>
      <c r="AD54" s="2"/>
    </row>
    <row r="55" spans="1:30" s="342" customFormat="1" ht="15" hidden="1" x14ac:dyDescent="0.25">
      <c r="A55" s="1336">
        <v>201409</v>
      </c>
      <c r="B55" s="1209">
        <f t="shared" si="4"/>
        <v>116872.7</v>
      </c>
      <c r="C55" s="1337">
        <f>(AB55-$AF$1)</f>
        <v>7270</v>
      </c>
      <c r="D55" s="1338">
        <f t="shared" si="1"/>
        <v>3.6729999999999999E-2</v>
      </c>
      <c r="E55" s="1339">
        <f>duration_titre($AF$1,AA55,AB55,M55,K55,W55,V55,P55,Q55,N55,D55)</f>
        <v>13.683890561681981</v>
      </c>
      <c r="F55" s="1339">
        <f t="shared" si="2"/>
        <v>13.199088057336029</v>
      </c>
      <c r="G55" s="1339">
        <f>convexite_titre($AF$1,AA55,AB55,M55,K55,W55,V55,P55,Q55,N55,D55)</f>
        <v>230.42748069323841</v>
      </c>
      <c r="H55" s="1340">
        <f>+ROUND(coupon_courru($AF$1,AA55,AB55,M55,K55,W55,P55,Q55,N55,V55,"V"),4)</f>
        <v>465.06849999999997</v>
      </c>
      <c r="I55" s="1341">
        <f>+IF(Y55=1,B55,D55*100)</f>
        <v>116872.7</v>
      </c>
      <c r="J55" s="1337" t="str">
        <f>VLOOKUP(A55,Marché!B1100:L3394,2,FALSE)</f>
        <v>BDT DU 19/02/2016 30 ANS à 4.85%</v>
      </c>
      <c r="K55" s="1337">
        <f>VLOOKUP(A55,Marché!B1100:L3394,3,FALSE)</f>
        <v>100000</v>
      </c>
      <c r="L55" s="1337">
        <f>VLOOKUP(A55,Marché!B1100:L3394,4,FALSE)</f>
        <v>0</v>
      </c>
      <c r="M55" s="1342">
        <f>VLOOKUP(A55,Marché!B1100:L3394,5,FALSE)</f>
        <v>4.8500000000000001E-2</v>
      </c>
      <c r="N55" s="1337">
        <f>VLOOKUP(A55,Marché!B1099:L3393,8,FALSE)</f>
        <v>30</v>
      </c>
      <c r="O55" s="1344" t="s">
        <v>1716</v>
      </c>
      <c r="P55" s="1344" t="s">
        <v>1716</v>
      </c>
      <c r="Q55" s="1344" t="s">
        <v>1014</v>
      </c>
      <c r="R55" s="1345">
        <v>0</v>
      </c>
      <c r="S55" s="1346" cm="1">
        <f t="array" ref="S55">IF(C55&gt;'Courbe des taux'!$D$50,ROUND( TREND('Courbe des taux'!$E$49:$E$50,'Courbe des taux'!$D$49:$D$50,Lignes_détenues!C55),5),ROUND(IF(C55&gt;365,interpoler(_mat2,taux2,C55),interpoler(_mat1,taux1,C55)),5))</f>
        <v>3.6729999999999999E-2</v>
      </c>
      <c r="T55" s="1346">
        <f t="shared" si="3"/>
        <v>3.6729999999999999E-2</v>
      </c>
      <c r="U55" s="1346" t="str">
        <f>VLOOKUP(A55,Marché!$B$1:M3586,12,FALSE)</f>
        <v>Bon du Trésor</v>
      </c>
      <c r="V55" s="1347" t="str">
        <f>+IF((AB55-$AF$1)&lt;=366,"M","A")</f>
        <v>A</v>
      </c>
      <c r="W55" s="1347" t="s">
        <v>287</v>
      </c>
      <c r="X55" s="1348">
        <f>+prix_atp(AF$1,AA55,Z55,AB55,M55,K55,W55,V55,P55,Q55,N55,D55,Y55)</f>
        <v>116872.69656668504</v>
      </c>
      <c r="Y55" s="1347">
        <v>1</v>
      </c>
      <c r="Z55" s="1349">
        <v>42419</v>
      </c>
      <c r="AA55" s="1343">
        <f>VLOOKUP(A55,Marché!$B$1:$L$2409,6,FALSE)</f>
        <v>42373</v>
      </c>
      <c r="AB55" s="1343">
        <f>VLOOKUP(A55,Marché!$B$1:$L$2409,7,FALSE)</f>
        <v>53377</v>
      </c>
      <c r="AC55" s="1349"/>
    </row>
    <row r="56" spans="1:30" ht="15" hidden="1" x14ac:dyDescent="0.25">
      <c r="A56" s="1191">
        <v>201408</v>
      </c>
      <c r="B56" s="1192">
        <f t="shared" si="4"/>
        <v>102968.99</v>
      </c>
      <c r="C56" s="1193">
        <f>(AB56-$AF$1)</f>
        <v>81</v>
      </c>
      <c r="D56" s="1194">
        <f t="shared" si="1"/>
        <v>2.2919999999999999E-2</v>
      </c>
      <c r="E56" s="1195">
        <f>duration_titre($AF$1,AA56,AB56,M56,K56,W56,V56,P56,Q56,N56,D56)</f>
        <v>0.22191780821917809</v>
      </c>
      <c r="F56" s="1195">
        <f t="shared" si="2"/>
        <v>0.21694541921086505</v>
      </c>
      <c r="G56" s="1195">
        <f>convexite_titre($AF$1,AA56,AB56,M56,K56,W56,V56,P56,Q56,N56,D56)</f>
        <v>0.25914975867646639</v>
      </c>
      <c r="H56" s="1196">
        <f>+ROUND(coupon_courru($AF$1,AA56,AB56,M56,K56,W56,P56,Q56,N56,V56,"V"),4)</f>
        <v>2723.2876999999999</v>
      </c>
      <c r="I56" s="1199">
        <f>+IF(Y56=1,B56,D56*100)</f>
        <v>102968.99</v>
      </c>
      <c r="J56" s="1193" t="str">
        <f>VLOOKUP(A56,Marché!B1105:L3399,2,FALSE)</f>
        <v>BDT DU 15/06/2016 à 3.50% 10 ANS</v>
      </c>
      <c r="K56" s="1193">
        <f>VLOOKUP(A56,Marché!B1105:L3399,3,FALSE)</f>
        <v>100000</v>
      </c>
      <c r="L56" s="1193">
        <f>VLOOKUP(A56,Marché!B1105:L3399,4,FALSE)</f>
        <v>0</v>
      </c>
      <c r="M56" s="1197">
        <f>VLOOKUP(A56,Marché!B1105:L3399,5,FALSE)</f>
        <v>3.5000000000000003E-2</v>
      </c>
      <c r="N56" s="1193">
        <f>VLOOKUP(A56,Marché!B1104:L3398,8,FALSE)</f>
        <v>10</v>
      </c>
      <c r="O56" s="1200" t="s">
        <v>1716</v>
      </c>
      <c r="P56" s="1200" t="s">
        <v>1716</v>
      </c>
      <c r="Q56" s="1200" t="s">
        <v>1014</v>
      </c>
      <c r="R56" s="1287">
        <v>0</v>
      </c>
      <c r="S56" s="1229" cm="1">
        <f t="array" ref="S56">IF(C56&gt;'Courbe des taux'!$D$50,ROUND( TREND('Courbe des taux'!$E$49:$E$50,'Courbe des taux'!$D$49:$D$50,Lignes_détenues!C56),5),ROUND(IF(C56&gt;365,interpoler(_mat2,taux2,C56),interpoler(_mat1,taux1,C56)),5))</f>
        <v>2.2919999999999999E-2</v>
      </c>
      <c r="T56" s="1201">
        <f t="shared" si="3"/>
        <v>2.2919999999999999E-2</v>
      </c>
      <c r="U56" s="1201" t="str">
        <f>VLOOKUP(A56,Marché!$B$1:M3591,12,FALSE)</f>
        <v>Bon du Trésor</v>
      </c>
      <c r="V56" s="1202" t="str">
        <f>+IF((AB56-$AF$1)&lt;=366,"M","A")</f>
        <v>M</v>
      </c>
      <c r="W56" s="1202" t="s">
        <v>287</v>
      </c>
      <c r="X56" s="1212">
        <f>+prix_atp(AF$1,AA56,Z56,AB56,M56,K56,W56,V56,P56,Q56,N56,D56,Y56)</f>
        <v>102968.98892411831</v>
      </c>
      <c r="Y56" s="1202">
        <v>1</v>
      </c>
      <c r="Z56" s="35">
        <v>42536</v>
      </c>
      <c r="AA56" s="1198">
        <f>VLOOKUP(A56,Marché!$B$1:$L$2409,6,FALSE)</f>
        <v>42373</v>
      </c>
      <c r="AB56" s="1198">
        <f>VLOOKUP(A56,Marché!$B$1:$L$2409,7,FALSE)</f>
        <v>46188</v>
      </c>
      <c r="AC56" s="35"/>
      <c r="AD56" s="2"/>
    </row>
    <row r="57" spans="1:30" ht="15" hidden="1" x14ac:dyDescent="0.25">
      <c r="A57" s="1191">
        <v>201426</v>
      </c>
      <c r="B57" s="1192">
        <f t="shared" si="4"/>
        <v>103892.54</v>
      </c>
      <c r="C57" s="1193">
        <f>(AB57-$AF$1)</f>
        <v>3798</v>
      </c>
      <c r="D57" s="1194">
        <f t="shared" si="1"/>
        <v>3.3459999999999997E-2</v>
      </c>
      <c r="E57" s="1195">
        <f>duration_titre($AF$1,AA57,AB57,M57,K57,W57,V57,P57,Q57,N57,D57)</f>
        <v>8.7178133832276679</v>
      </c>
      <c r="F57" s="1195">
        <f t="shared" si="2"/>
        <v>8.4355595603387332</v>
      </c>
      <c r="G57" s="1195">
        <f>convexite_titre($AF$1,AA57,AB57,M57,K57,W57,V57,P57,Q57,N57,D57)</f>
        <v>88.029395366490292</v>
      </c>
      <c r="H57" s="1196">
        <f>+ROUND(coupon_courru($AF$1,AA57,AB57,M57,K57,W57,P57,Q57,N57,V57,"V"),4)</f>
        <v>2139.7260000000001</v>
      </c>
      <c r="I57" s="1199">
        <f>+IF(Y57=1,B57,D57*100)</f>
        <v>103892.54</v>
      </c>
      <c r="J57" s="1193" t="str">
        <f>VLOOKUP(A57,Marché!B1119:L3413,2,FALSE)</f>
        <v>BDT DU 02/05/2016 20 ANS à 3.55% ATYP</v>
      </c>
      <c r="K57" s="1193">
        <f>VLOOKUP(A57,Marché!B1119:L3413,3,FALSE)</f>
        <v>100000</v>
      </c>
      <c r="L57" s="1193">
        <f>VLOOKUP(A57,Marché!B1119:L3413,4,FALSE)</f>
        <v>0</v>
      </c>
      <c r="M57" s="1197">
        <f>VLOOKUP(A57,Marché!B1119:L3413,5,FALSE)</f>
        <v>3.5499999999999997E-2</v>
      </c>
      <c r="N57" s="1193">
        <v>20</v>
      </c>
      <c r="O57" s="1200" t="s">
        <v>1716</v>
      </c>
      <c r="P57" s="1200" t="s">
        <v>1716</v>
      </c>
      <c r="Q57" s="1200" t="s">
        <v>1014</v>
      </c>
      <c r="R57" s="1287">
        <v>0</v>
      </c>
      <c r="S57" s="1229" cm="1">
        <f t="array" ref="S57">IF(C57&gt;'Courbe des taux'!$D$50,ROUND( TREND('Courbe des taux'!$E$49:$E$50,'Courbe des taux'!$D$49:$D$50,Lignes_détenues!C57),5),ROUND(IF(C57&gt;365,interpoler(_mat2,taux2,C57),interpoler(_mat1,taux1,C57)),5))</f>
        <v>3.3459999999999997E-2</v>
      </c>
      <c r="T57" s="1201">
        <f t="shared" si="3"/>
        <v>3.3459999999999997E-2</v>
      </c>
      <c r="U57" s="1201" t="str">
        <f>VLOOKUP(A57,Marché!$B$1:M3605,12,FALSE)</f>
        <v>Bon du Trésor</v>
      </c>
      <c r="V57" s="1202" t="str">
        <f>+IF((AB57-$AF$1)&lt;=366,"M","A")</f>
        <v>A</v>
      </c>
      <c r="W57" s="1202" t="s">
        <v>287</v>
      </c>
      <c r="X57" s="1212">
        <f>+prix_atp(AF$1,AA57,Z57,AB57,M57,K57,W57,V57,P57,Q57,N57,D57,Y57)</f>
        <v>103892.54134014253</v>
      </c>
      <c r="Y57" s="1202">
        <v>1</v>
      </c>
      <c r="Z57" s="35">
        <v>42600</v>
      </c>
      <c r="AA57" s="1198">
        <f>VLOOKUP(A57,Marché!$B$1:$L$2409,6,FALSE)</f>
        <v>42492</v>
      </c>
      <c r="AB57" s="1198">
        <f>VLOOKUP(A57,Marché!$B$1:$L$2409,7,FALSE)</f>
        <v>49905</v>
      </c>
      <c r="AC57" s="35"/>
      <c r="AD57" s="2"/>
    </row>
    <row r="58" spans="1:30" ht="15" hidden="1" x14ac:dyDescent="0.25">
      <c r="A58" s="1191">
        <v>201432</v>
      </c>
      <c r="B58" s="1192">
        <f t="shared" si="4"/>
        <v>102711.77</v>
      </c>
      <c r="C58" s="1193">
        <f>(AB58-$AF$1)</f>
        <v>1940</v>
      </c>
      <c r="D58" s="1194">
        <f t="shared" si="1"/>
        <v>3.092E-2</v>
      </c>
      <c r="E58" s="1195">
        <f>duration_titre($AF$1,AA58,AB58,M58,K58,W58,V58,P58,Q58,N58,D58)</f>
        <v>4.8700779352206061</v>
      </c>
      <c r="F58" s="1195">
        <f t="shared" si="2"/>
        <v>4.7240114996513851</v>
      </c>
      <c r="G58" s="1195">
        <f>convexite_titre($AF$1,AA58,AB58,M58,K58,W58,V58,P58,Q58,N58,D58)</f>
        <v>28.267978141376478</v>
      </c>
      <c r="H58" s="1196">
        <f>+ROUND(coupon_courru($AF$1,AA58,AB58,M58,K58,W58,P58,Q58,N58,V58,"V"),4)</f>
        <v>2200.5479</v>
      </c>
      <c r="I58" s="1199">
        <f>+IF(Y58=1,B58,D58*100)</f>
        <v>102711.77</v>
      </c>
      <c r="J58" s="1193" t="str">
        <f>VLOOKUP(A58,Marché!B1126:L3420,2,FALSE)</f>
        <v>BDT du 16/05/2016 15 ans à 3.2%</v>
      </c>
      <c r="K58" s="1193">
        <f>VLOOKUP(A58,Marché!B1126:L3420,3,FALSE)</f>
        <v>100000</v>
      </c>
      <c r="L58" s="1193">
        <f>VLOOKUP(A58,Marché!B1126:L3420,4,FALSE)</f>
        <v>0</v>
      </c>
      <c r="M58" s="1197">
        <f>VLOOKUP(A58,Marché!B1126:L3420,5,FALSE)</f>
        <v>3.2000000000000001E-2</v>
      </c>
      <c r="N58" s="1193">
        <v>4</v>
      </c>
      <c r="O58" s="1200" t="s">
        <v>1716</v>
      </c>
      <c r="P58" s="1200" t="s">
        <v>1716</v>
      </c>
      <c r="Q58" s="1200" t="s">
        <v>1014</v>
      </c>
      <c r="R58" s="1287">
        <v>0</v>
      </c>
      <c r="S58" s="1229" cm="1">
        <f t="array" ref="S58">IF(C58&gt;'Courbe des taux'!$D$50,ROUND( TREND('Courbe des taux'!$E$49:$E$50,'Courbe des taux'!$D$49:$D$50,Lignes_détenues!C58),5),ROUND(IF(C58&gt;365,interpoler(_mat2,taux2,C58),interpoler(_mat1,taux1,C58)),5))</f>
        <v>3.092E-2</v>
      </c>
      <c r="T58" s="1201">
        <f t="shared" si="3"/>
        <v>3.092E-2</v>
      </c>
      <c r="U58" s="1201" t="str">
        <f>VLOOKUP(A58,Marché!$B$1:M3612,12,FALSE)</f>
        <v>Bon du Trésor</v>
      </c>
      <c r="V58" s="1202" t="str">
        <f>+IF((AB58-$AF$1)&lt;=366,"M","A")</f>
        <v>A</v>
      </c>
      <c r="W58" s="1202" t="s">
        <v>287</v>
      </c>
      <c r="X58" s="1212">
        <f>+prix_atp(AF$1,AA58,Z58,AB58,M58,K58,W58,V58,P58,Q58,N58,D58,Y58)</f>
        <v>102711.76881672777</v>
      </c>
      <c r="Y58" s="1202">
        <v>1</v>
      </c>
      <c r="Z58" s="35">
        <v>42569</v>
      </c>
      <c r="AA58" s="1198">
        <f>VLOOKUP(A58,Marché!$B$1:$L$2409,6,FALSE)</f>
        <v>42506</v>
      </c>
      <c r="AB58" s="1198">
        <f>VLOOKUP(A58,Marché!$B$1:$L$2409,7,FALSE)</f>
        <v>48047</v>
      </c>
      <c r="AC58" s="35"/>
      <c r="AD58" s="2"/>
    </row>
    <row r="59" spans="1:30" ht="15" hidden="1" x14ac:dyDescent="0.25">
      <c r="A59" s="1191">
        <v>9285</v>
      </c>
      <c r="B59" s="1192">
        <f t="shared" si="4"/>
        <v>102927.82</v>
      </c>
      <c r="C59" s="1193">
        <f>(AB59-$AF$1)</f>
        <v>94</v>
      </c>
      <c r="D59" s="1194">
        <f t="shared" si="1"/>
        <v>3.022E-2</v>
      </c>
      <c r="E59" s="1195">
        <f>duration_titre($AF$1,AA59,AB59,M59,K59,W59,V59,P59,Q59,N59,D59)</f>
        <v>0.25753424657534246</v>
      </c>
      <c r="F59" s="1195">
        <f t="shared" ref="F59:F89" si="5">+E59/(1+D59)</f>
        <v>0.24997985534676329</v>
      </c>
      <c r="G59" s="1195">
        <f>convexite_titre($AF$1,AA59,AB59,M59,K59,W59,V59,P59,Q59,N59,D59)</f>
        <v>0.30513698923774057</v>
      </c>
      <c r="H59" s="1196">
        <f>+ROUND(coupon_courru($AF$1,AA59,AB59,M59,K59,W59,P59,Q59,N59,V59,"V"),4)</f>
        <v>2776.8218999999999</v>
      </c>
      <c r="I59" s="1199">
        <f>+IF(Y59=1,B59,D59*100)</f>
        <v>102927.82</v>
      </c>
      <c r="J59" s="1193" t="str">
        <f>VLOOKUP(A59,Marché!B1129:L3423,2,FALSE)</f>
        <v>OBL ATW NC du 28/06/2016 à 3.74% 10 ans</v>
      </c>
      <c r="K59" s="1193">
        <f>VLOOKUP(A59,Marché!B1129:L3423,3,FALSE)</f>
        <v>100000</v>
      </c>
      <c r="L59" s="1193">
        <f>VLOOKUP(A59,Marché!B1129:L3423,4,FALSE)</f>
        <v>0</v>
      </c>
      <c r="M59" s="1197">
        <f>VLOOKUP(A59,Marché!B1129:L3423,5,FALSE)</f>
        <v>3.7400000000000003E-2</v>
      </c>
      <c r="N59" s="1193">
        <v>10</v>
      </c>
      <c r="O59" s="1200" t="s">
        <v>1716</v>
      </c>
      <c r="P59" s="1200" t="s">
        <v>1716</v>
      </c>
      <c r="Q59" s="1200" t="s">
        <v>1014</v>
      </c>
      <c r="R59" s="1287">
        <v>7.1999999999999998E-3</v>
      </c>
      <c r="S59" s="1229" cm="1">
        <f t="array" ref="S59">IF(C59&gt;'Courbe des taux'!$D$50,ROUND( TREND('Courbe des taux'!$E$49:$E$50,'Courbe des taux'!$D$49:$D$50,Lignes_détenues!C59),5),ROUND(IF(C59&gt;365,interpoler(_mat2,taux2,C59),interpoler(_mat1,taux1,C59)),5))</f>
        <v>2.3019999999999999E-2</v>
      </c>
      <c r="T59" s="1201">
        <f t="shared" si="3"/>
        <v>2.3019999999999999E-2</v>
      </c>
      <c r="U59" s="1201" t="str">
        <f>VLOOKUP(A59,Marché!$B$1:M3615,12,FALSE)</f>
        <v>ORD</v>
      </c>
      <c r="V59" s="1202" t="str">
        <f>+IF((AB59-$AF$1)&lt;=366,"M","A")</f>
        <v>M</v>
      </c>
      <c r="W59" s="1202" t="s">
        <v>287</v>
      </c>
      <c r="X59" s="1212">
        <f>+prix_titre(AF$1,AA59,AB59,M59,K59,W59,V59,P59,Q59,N59,D59,Y59)</f>
        <v>102927.8194495722</v>
      </c>
      <c r="Y59" s="1202">
        <v>1</v>
      </c>
      <c r="Z59" s="35">
        <v>43664</v>
      </c>
      <c r="AA59" s="1198">
        <f>VLOOKUP(A59,Marché!$B$1:$L$2409,6,FALSE)</f>
        <v>42549</v>
      </c>
      <c r="AB59" s="1198">
        <f>VLOOKUP(A59,Marché!$B$1:$L$2409,7,FALSE)</f>
        <v>46201</v>
      </c>
      <c r="AC59" s="35"/>
      <c r="AD59" s="2"/>
    </row>
    <row r="60" spans="1:30" ht="15" hidden="1" x14ac:dyDescent="0.25">
      <c r="A60" s="1191">
        <v>201465</v>
      </c>
      <c r="B60" s="1192">
        <f t="shared" si="4"/>
        <v>103264.75</v>
      </c>
      <c r="C60" s="1193">
        <f>(AB60-$AF$1)</f>
        <v>445</v>
      </c>
      <c r="D60" s="1194">
        <f t="shared" si="1"/>
        <v>2.5479999999999999E-2</v>
      </c>
      <c r="E60" s="1195">
        <f>duration_titre($AF$1,AA60,AB60,M60,K60,W60,V60,P60,Q60,N60,D60)</f>
        <v>1.1883601946661912</v>
      </c>
      <c r="F60" s="1195">
        <f t="shared" si="5"/>
        <v>1.1588331266004128</v>
      </c>
      <c r="G60" s="1195">
        <f>convexite_titre($AF$1,AA60,AB60,M60,K60,W60,V60,P60,Q60,N60,D60)</f>
        <v>2.5013362532646988</v>
      </c>
      <c r="H60" s="1196">
        <f>+ROUND(coupon_courru($AF$1,AA60,AB60,M60,K60,W60,P60,Q60,N60,V60,"V"),4)</f>
        <v>2498.6300999999999</v>
      </c>
      <c r="I60" s="1199">
        <f>+IF(Y60=1,B60,D60*100)</f>
        <v>103264.75</v>
      </c>
      <c r="J60" s="1193" t="str">
        <f>VLOOKUP(A60,Marché!B1151:L3445,2,FALSE)</f>
        <v>BDT DU 05/09/2016 à 3.20% 10 ANS</v>
      </c>
      <c r="K60" s="1193">
        <f>VLOOKUP(A60,Marché!B1151:L3445,3,FALSE)</f>
        <v>100000</v>
      </c>
      <c r="L60" s="1193">
        <f>VLOOKUP(A60,Marché!B1151:L3445,4,FALSE)</f>
        <v>0</v>
      </c>
      <c r="M60" s="1197">
        <f>VLOOKUP(A60,Marché!B1151:L3445,5,FALSE)</f>
        <v>3.2000000000000001E-2</v>
      </c>
      <c r="N60" s="1193">
        <v>3</v>
      </c>
      <c r="O60" s="1200" t="s">
        <v>1716</v>
      </c>
      <c r="P60" s="1200" t="s">
        <v>1716</v>
      </c>
      <c r="Q60" s="1200" t="s">
        <v>1014</v>
      </c>
      <c r="R60" s="1287">
        <v>0</v>
      </c>
      <c r="S60" s="1229" cm="1">
        <f t="array" ref="S60">IF(C60&gt;'Courbe des taux'!$D$50,ROUND( TREND('Courbe des taux'!$E$49:$E$50,'Courbe des taux'!$D$49:$D$50,Lignes_détenues!C60),5),ROUND(IF(C60&gt;365,interpoler(_mat2,taux2,C60),interpoler(_mat1,taux1,C60)),5))</f>
        <v>2.5479999999999999E-2</v>
      </c>
      <c r="T60" s="1201">
        <f t="shared" si="3"/>
        <v>2.5479999999999999E-2</v>
      </c>
      <c r="U60" s="1201" t="str">
        <f>VLOOKUP(A60,Marché!$B$1:M3637,12,FALSE)</f>
        <v>Bon du Trésor</v>
      </c>
      <c r="V60" s="1202" t="str">
        <f>+IF((AB60-$AF$1)&lt;=366,"M","A")</f>
        <v>A</v>
      </c>
      <c r="W60" s="1202" t="s">
        <v>287</v>
      </c>
      <c r="X60" s="1212">
        <f>+prix_atp(AF$1,AA60,Z60,AB60,M60,K60,W60,V60,P60,Q60,N60,D60,Y60)</f>
        <v>103264.75308232401</v>
      </c>
      <c r="Y60" s="1202">
        <v>1</v>
      </c>
      <c r="Z60" s="35">
        <v>42900</v>
      </c>
      <c r="AA60" s="1198">
        <f>VLOOKUP(A60,Marché!$B$1:$L$2409,6,FALSE)</f>
        <v>42618</v>
      </c>
      <c r="AB60" s="1198">
        <f>VLOOKUP(A60,Marché!$B$1:$L$2409,7,FALSE)</f>
        <v>46552</v>
      </c>
      <c r="AC60" s="35"/>
      <c r="AD60" s="2"/>
    </row>
    <row r="61" spans="1:30" s="1441" customFormat="1" ht="15" hidden="1" x14ac:dyDescent="0.25">
      <c r="A61" s="1426">
        <v>9300</v>
      </c>
      <c r="B61" s="1427">
        <f t="shared" si="4"/>
        <v>100760.88</v>
      </c>
      <c r="C61" s="1428">
        <f>(AB61-$AF$1)</f>
        <v>270</v>
      </c>
      <c r="D61" s="1429">
        <f t="shared" si="1"/>
        <v>3.2730000000000002E-2</v>
      </c>
      <c r="E61" s="1430">
        <f>duration_titre($AF$1,AA61,AB61,M61,K61,W61,V61,P61,Q61,N61,D61)</f>
        <v>0.73972602739726023</v>
      </c>
      <c r="F61" s="1430">
        <f t="shared" si="5"/>
        <v>0.71628211381218743</v>
      </c>
      <c r="G61" s="1430">
        <f>convexite_titre($AF$1,AA61,AB61,M61,K61,W61,V61,P61,Q61,N61,D61)</f>
        <v>1.2066412676674336</v>
      </c>
      <c r="H61" s="1431">
        <f>+ROUND(coupon_courru($AF$1,AA61,AB61,M61,K61,W61,P61,Q61,N61,V61,"V"),4)</f>
        <v>841.80560000000003</v>
      </c>
      <c r="I61" s="1432">
        <f>+IF(Y61=1,B61,D61*100)</f>
        <v>100760.88</v>
      </c>
      <c r="J61" s="1428" t="str">
        <f>VLOOKUP(A61,Marché!B1168:L3462,2,FALSE)</f>
        <v>OBL SUBORD CDM du 21/12/2016 à 3.13% REVISABLE 10 ANS</v>
      </c>
      <c r="K61" s="1428">
        <f>VLOOKUP(A61,Marché!B1168:L3462,3,FALSE)</f>
        <v>100000</v>
      </c>
      <c r="L61" s="1428">
        <f>VLOOKUP(A61,Marché!B1168:L3462,4,FALSE)</f>
        <v>0</v>
      </c>
      <c r="M61" s="1433">
        <v>3.1899999999999998E-2</v>
      </c>
      <c r="N61" s="1428">
        <v>52</v>
      </c>
      <c r="O61" s="1435" t="s">
        <v>369</v>
      </c>
      <c r="P61" s="1435" t="s">
        <v>1716</v>
      </c>
      <c r="Q61" s="1435" t="s">
        <v>1014</v>
      </c>
      <c r="R61" s="1436">
        <v>8.5000000000000006E-3</v>
      </c>
      <c r="S61" s="1437" cm="1">
        <f t="array" ref="S61">IF(C61&gt;'Courbe des taux'!$D$50,ROUND( TREND('Courbe des taux'!$E$49:$E$50,'Courbe des taux'!$D$49:$D$50,Lignes_détenues!C61),5),ROUND(IF(C61&gt;365,interpoler(_mat2,taux2,C61),interpoler(_mat1,taux1,C61)),5))</f>
        <v>2.4230000000000002E-2</v>
      </c>
      <c r="T61" s="1437">
        <f t="shared" si="3"/>
        <v>2.4230000000000002E-2</v>
      </c>
      <c r="U61" s="1437" t="str">
        <f>VLOOKUP(A61,Marché!$B$1:M3654,12,FALSE)</f>
        <v>ORD</v>
      </c>
      <c r="V61" s="1438" t="str">
        <f>+IF((AB61-$AF$1)&lt;=366,"M","A")</f>
        <v>M</v>
      </c>
      <c r="W61" s="1438" t="s">
        <v>287</v>
      </c>
      <c r="X61" s="1439">
        <f>+prix_titre(AF$1,AA61,AB61,M61,K61,W61,V61,P61,Q61,N61,D61,Y61)</f>
        <v>100760.88224313661</v>
      </c>
      <c r="Y61" s="1438">
        <v>1</v>
      </c>
      <c r="Z61" s="1440" t="s">
        <v>2385</v>
      </c>
      <c r="AA61" s="1434">
        <v>46012</v>
      </c>
      <c r="AB61" s="1434">
        <v>46377</v>
      </c>
      <c r="AC61" s="35"/>
    </row>
    <row r="62" spans="1:30" ht="15" hidden="1" x14ac:dyDescent="0.25">
      <c r="A62" s="1191">
        <v>9302</v>
      </c>
      <c r="B62" s="1192">
        <f t="shared" si="4"/>
        <v>100789.09</v>
      </c>
      <c r="C62" s="1193">
        <f>(AB62-$AF$1)</f>
        <v>272</v>
      </c>
      <c r="D62" s="1194">
        <f t="shared" si="1"/>
        <v>3.424E-2</v>
      </c>
      <c r="E62" s="1195">
        <f>duration_titre($AF$1,AA62,AB62,M62,K62,W62,V62,P62,Q62,N62,D62)</f>
        <v>0.74520547945205484</v>
      </c>
      <c r="F62" s="1195">
        <f t="shared" si="5"/>
        <v>0.72053438220534383</v>
      </c>
      <c r="G62" s="1195">
        <f>convexite_titre($AF$1,AA62,AB62,M62,K62,W62,V62,P62,Q62,N62,D62)</f>
        <v>1.2158498529919235</v>
      </c>
      <c r="H62" s="1196">
        <f>+ROUND(coupon_courru($AF$1,AA62,AB62,M62,K62,W62,P62,Q62,N62,V62,"V"),4)</f>
        <v>865.41669999999999</v>
      </c>
      <c r="I62" s="1199">
        <f>+IF(Y62=1,B62,D62*100)</f>
        <v>100789.09</v>
      </c>
      <c r="J62" s="1193" t="str">
        <f>VLOOKUP(A62,Marché!B1169:L3463,2,FALSE)</f>
        <v>OBL OCP PERPITUELLE SUB DU 23/12/16 REVISB</v>
      </c>
      <c r="K62" s="1193">
        <f>VLOOKUP(A62,Marché!B1169:L3463,3,FALSE)</f>
        <v>100000</v>
      </c>
      <c r="L62" s="1193">
        <f>VLOOKUP(A62,Marché!B1169:L3463,4,FALSE)</f>
        <v>0</v>
      </c>
      <c r="M62" s="1197">
        <v>3.3500000000000002E-2</v>
      </c>
      <c r="N62" s="1193">
        <v>52</v>
      </c>
      <c r="O62" s="1200" t="s">
        <v>369</v>
      </c>
      <c r="P62" s="1200" t="s">
        <v>1716</v>
      </c>
      <c r="Q62" s="1200" t="s">
        <v>1014</v>
      </c>
      <c r="R62" s="1287">
        <v>0.01</v>
      </c>
      <c r="S62" s="1229" cm="1">
        <f t="array" ref="S62">IF(C62&gt;'Courbe des taux'!$D$50,ROUND( TREND('Courbe des taux'!$E$49:$E$50,'Courbe des taux'!$D$49:$D$50,Lignes_détenues!C62),5),ROUND(IF(C62&gt;365,interpoler(_mat2,taux2,C62),interpoler(_mat1,taux1,C62)),5))</f>
        <v>2.4240000000000001E-2</v>
      </c>
      <c r="T62" s="1201">
        <f t="shared" si="3"/>
        <v>2.4240000000000001E-2</v>
      </c>
      <c r="U62" s="1201" t="str">
        <f>VLOOKUP(A62,Marché!$B$1:M3655,12,FALSE)</f>
        <v>ORD</v>
      </c>
      <c r="V62" s="1202" t="str">
        <f>+IF((AB62-$AF$1)&lt;=366,"M","A")</f>
        <v>M</v>
      </c>
      <c r="W62" s="1202" t="s">
        <v>287</v>
      </c>
      <c r="X62" s="1212">
        <f>+prix_titre(AF$1,AA62,AB62,M62,K62,W62,V62,P62,Q62,N62,D62,Y62)</f>
        <v>100789.09374718396</v>
      </c>
      <c r="Y62" s="1202">
        <v>1</v>
      </c>
      <c r="Z62" s="35" t="s">
        <v>2387</v>
      </c>
      <c r="AA62" s="1198">
        <v>46014</v>
      </c>
      <c r="AB62" s="1198">
        <v>46379</v>
      </c>
      <c r="AC62" s="35"/>
      <c r="AD62" s="2"/>
    </row>
    <row r="63" spans="1:30" ht="15" hidden="1" x14ac:dyDescent="0.25">
      <c r="A63" s="1191">
        <v>9307</v>
      </c>
      <c r="B63" s="1192">
        <f t="shared" si="4"/>
        <v>100960.41</v>
      </c>
      <c r="C63" s="1193">
        <f>(AB63-$AF$1)</f>
        <v>272</v>
      </c>
      <c r="D63" s="1194">
        <f t="shared" si="1"/>
        <v>4.1239999999999999E-2</v>
      </c>
      <c r="E63" s="1195">
        <f>duration_titre($AF$1,AA63,AB63,M63,K63,W63,V63,P63,Q63,N63,D63)</f>
        <v>0.74520547945205484</v>
      </c>
      <c r="F63" s="1195">
        <f t="shared" si="5"/>
        <v>0.71569040706470644</v>
      </c>
      <c r="G63" s="1195">
        <f>convexite_titre($AF$1,AA63,AB63,M63,K63,W63,V63,P63,Q63,N63,D63)</f>
        <v>1.1995570857829099</v>
      </c>
      <c r="H63" s="1196">
        <f>+ROUND(coupon_courru($AF$1,AA63,AB63,M63,K63,W63,P63,Q63,N63,V63,"V"),4)</f>
        <v>1046.25</v>
      </c>
      <c r="I63" s="1199">
        <f>+IF(Y63=1,B63,D63*100)</f>
        <v>100960.41</v>
      </c>
      <c r="J63" s="1193" t="str">
        <f>VLOOKUP(A63,Marché!B1172:L3466,2,FALSE)</f>
        <v>OBL ATW PERPETUELLE REVIS 52 SEM du 23/12/2016</v>
      </c>
      <c r="K63" s="1193">
        <f>VLOOKUP(A63,Marché!B1172:L3466,3,FALSE)</f>
        <v>100000</v>
      </c>
      <c r="L63" s="1193">
        <f>VLOOKUP(A63,Marché!B1172:L3466,4,FALSE)</f>
        <v>0</v>
      </c>
      <c r="M63" s="1197">
        <v>4.0500000000000001E-2</v>
      </c>
      <c r="N63" s="1193">
        <v>52</v>
      </c>
      <c r="O63" s="1200" t="s">
        <v>369</v>
      </c>
      <c r="P63" s="1200" t="s">
        <v>1716</v>
      </c>
      <c r="Q63" s="1200" t="s">
        <v>1014</v>
      </c>
      <c r="R63" s="1287">
        <v>1.7000000000000001E-2</v>
      </c>
      <c r="S63" s="1229" cm="1">
        <f t="array" ref="S63">IF(C63&gt;'Courbe des taux'!$D$50,ROUND( TREND('Courbe des taux'!$E$49:$E$50,'Courbe des taux'!$D$49:$D$50,Lignes_détenues!C63),5),ROUND(IF(C63&gt;365,interpoler(_mat2,taux2,C63),interpoler(_mat1,taux1,C63)),5))</f>
        <v>2.4240000000000001E-2</v>
      </c>
      <c r="T63" s="1201">
        <f t="shared" si="3"/>
        <v>2.4240000000000001E-2</v>
      </c>
      <c r="U63" s="1201" t="str">
        <f>VLOOKUP(A63,Marché!$B$1:M3658,12,FALSE)</f>
        <v>ORD</v>
      </c>
      <c r="V63" s="1202" t="str">
        <f>+IF((AB63-$AF$1)&lt;=366,"M","A")</f>
        <v>M</v>
      </c>
      <c r="W63" s="1202" t="s">
        <v>287</v>
      </c>
      <c r="X63" s="1212">
        <f>+prix_titre(AF$1,AA63,AB63,M63,K63,W63,V63,P63,Q63,N63,D63,Y63)</f>
        <v>100960.41326524454</v>
      </c>
      <c r="Y63" s="1202">
        <v>1</v>
      </c>
      <c r="Z63" s="35" t="s">
        <v>2386</v>
      </c>
      <c r="AA63" s="1198">
        <v>46014</v>
      </c>
      <c r="AB63" s="1198">
        <v>46379</v>
      </c>
      <c r="AC63" s="35"/>
      <c r="AD63" s="2"/>
    </row>
    <row r="64" spans="1:30" ht="15" hidden="1" x14ac:dyDescent="0.25">
      <c r="A64" s="1191">
        <v>9313</v>
      </c>
      <c r="B64" s="1192">
        <f t="shared" si="4"/>
        <v>104874.4</v>
      </c>
      <c r="C64" s="1193">
        <f>(AB64-$AF$1)</f>
        <v>4015</v>
      </c>
      <c r="D64" s="1194">
        <f t="shared" si="1"/>
        <v>3.8420000000000003E-2</v>
      </c>
      <c r="E64" s="1195">
        <f>duration_titre($AF$1,AA64,AB64,M64,K64,W64,V64,P64,Q64,N64,D64)</f>
        <v>9.0093023418149478</v>
      </c>
      <c r="F64" s="1195">
        <f t="shared" si="5"/>
        <v>8.6759715161639299</v>
      </c>
      <c r="G64" s="1195">
        <f>convexite_titre($AF$1,AA64,AB64,M64,K64,W64,V64,P64,Q64,N64,D64)</f>
        <v>93.291506248750494</v>
      </c>
      <c r="H64" s="1196">
        <f>+ROUND(coupon_courru($AF$1,AA64,AB64,M64,K64,W64,P64,Q64,N64,V64,"V"),4)</f>
        <v>36.0822</v>
      </c>
      <c r="I64" s="1199">
        <f>+IF(Y64=1,B64,D64*100)</f>
        <v>104874.4</v>
      </c>
      <c r="J64" s="1193" t="str">
        <f>VLOOKUP(A64,Marché!B1189:L3483,2,FALSE)</f>
        <v>Obligation TMSA 2 du 23/03/2017 à 4.39% 20 ans</v>
      </c>
      <c r="K64" s="1193">
        <f>VLOOKUP(A64,Marché!B1189:L3483,3,FALSE)</f>
        <v>100000</v>
      </c>
      <c r="L64" s="1193">
        <f>VLOOKUP(A64,Marché!B1189:L3483,4,FALSE)</f>
        <v>0</v>
      </c>
      <c r="M64" s="1197">
        <f>VLOOKUP(A64,Marché!B1189:L3483,5,FALSE)</f>
        <v>4.3900000000000002E-2</v>
      </c>
      <c r="N64" s="1193">
        <f>VLOOKUP(A64,Marché!$B$1:$L$2409,8,FALSE)</f>
        <v>20</v>
      </c>
      <c r="O64" s="1200" t="str">
        <f>VLOOKUP(A64,Marché!$B$1:$L$2409,9,FALSE)</f>
        <v>A</v>
      </c>
      <c r="P64" s="1200" t="str">
        <f>VLOOKUP(A64,Marché!$B$1:$L$2409,10,FALSE)</f>
        <v>A</v>
      </c>
      <c r="Q64" s="1200" t="s">
        <v>1014</v>
      </c>
      <c r="R64" s="1287">
        <v>4.6299999999999996E-3</v>
      </c>
      <c r="S64" s="1229" cm="1">
        <f t="array" ref="S64">IF(C64&gt;'Courbe des taux'!$D$50,ROUND( TREND('Courbe des taux'!$E$49:$E$50,'Courbe des taux'!$D$49:$D$50,Lignes_détenues!C64),5),ROUND(IF(C64&gt;365,interpoler(_mat2,taux2,C64),interpoler(_mat1,taux1,C64)),5))</f>
        <v>3.3790000000000001E-2</v>
      </c>
      <c r="T64" s="1201">
        <f t="shared" si="3"/>
        <v>3.3790000000000001E-2</v>
      </c>
      <c r="U64" s="1201" t="str">
        <f>VLOOKUP(A64,Marché!$B$1:M3675,12,FALSE)</f>
        <v>ORD</v>
      </c>
      <c r="V64" s="1202" t="str">
        <f>+IF((AB64-$AF$1)&lt;=366,"M","A")</f>
        <v>A</v>
      </c>
      <c r="W64" s="1202" t="s">
        <v>287</v>
      </c>
      <c r="X64" s="1212">
        <f>+prix_titre(AF$1,AA64,AB64,M64,K64,W64,V64,P64,Q64,N64,D64,Y64)</f>
        <v>104874.40378138302</v>
      </c>
      <c r="Y64" s="1202">
        <v>1</v>
      </c>
      <c r="Z64" s="35">
        <v>43542</v>
      </c>
      <c r="AA64" s="1198">
        <f>VLOOKUP(A64,Marché!$B$1:$L$2409,6,FALSE)</f>
        <v>42817</v>
      </c>
      <c r="AB64" s="1198">
        <f>VLOOKUP(A64,Marché!$B$1:$L$2409,7,FALSE)</f>
        <v>50122</v>
      </c>
      <c r="AC64" s="35"/>
      <c r="AD64" s="2"/>
    </row>
    <row r="65" spans="1:33" ht="15" hidden="1" x14ac:dyDescent="0.25">
      <c r="A65" s="1191">
        <v>9329</v>
      </c>
      <c r="B65" s="1192">
        <f t="shared" si="4"/>
        <v>106232.85</v>
      </c>
      <c r="C65" s="1193">
        <f>(AB65-$AF$1)</f>
        <v>454</v>
      </c>
      <c r="D65" s="1194">
        <f t="shared" si="1"/>
        <v>6.2399999999999997E-2</v>
      </c>
      <c r="E65" s="1195">
        <f>duration_titre($AF$1,AA65,AB65,M65,K65,W65,V65,P65,Q65,N65,D65)</f>
        <v>1.178444266418206</v>
      </c>
      <c r="F65" s="1195">
        <f t="shared" si="5"/>
        <v>1.1092284134207511</v>
      </c>
      <c r="G65" s="1195">
        <f>convexite_titre($AF$1,AA65,AB65,M65,K65,W65,V65,P65,Q65,N65,D65)</f>
        <v>2.3286125696618023</v>
      </c>
      <c r="H65" s="1196">
        <f>+ROUND(coupon_courru($AF$1,AA65,AB65,M65,K65,W65,P65,Q65,N65,V65,"V"),4)</f>
        <v>5330.9588999999996</v>
      </c>
      <c r="I65" s="1199">
        <f>+IF(Y65=1,B65,D65*100)</f>
        <v>106232.85</v>
      </c>
      <c r="J65" s="1193" t="str">
        <f>VLOOKUP(A65,Marché!B1223:L3517,2,FALSE)</f>
        <v>OBL BMCE PERPET du 23/06/2017 à 7.05% REV /10 ANS</v>
      </c>
      <c r="K65" s="1193">
        <f>VLOOKUP(A65,Marché!B1223:L3517,3,FALSE)</f>
        <v>100000</v>
      </c>
      <c r="L65" s="1193">
        <f>VLOOKUP(A65,Marché!B1223:L3517,4,FALSE)</f>
        <v>0</v>
      </c>
      <c r="M65" s="1197">
        <f>VLOOKUP(A65,Marché!B1223:L3517,5,FALSE)</f>
        <v>7.0499999999999993E-2</v>
      </c>
      <c r="N65" s="1193">
        <f>VLOOKUP(A65,Marché!$B$1:$L$2409,8,FALSE)</f>
        <v>10</v>
      </c>
      <c r="O65" s="1200" t="str">
        <f>VLOOKUP(A65,Marché!$B$1:$L$2409,9,FALSE)</f>
        <v>A</v>
      </c>
      <c r="P65" s="1200" t="str">
        <f>VLOOKUP(A65,Marché!$B$1:$L$2409,10,FALSE)</f>
        <v>A</v>
      </c>
      <c r="Q65" s="1200" t="s">
        <v>1014</v>
      </c>
      <c r="R65" s="1287">
        <v>3.6880000000000003E-2</v>
      </c>
      <c r="S65" s="1229" cm="1">
        <f t="array" ref="S65">IF(C65&gt;'Courbe des taux'!$D$50,ROUND( TREND('Courbe des taux'!$E$49:$E$50,'Courbe des taux'!$D$49:$D$50,Lignes_détenues!C65),5),ROUND(IF(C65&gt;365,interpoler(_mat2,taux2,C65),interpoler(_mat1,taux1,C65)),5))</f>
        <v>2.5520000000000001E-2</v>
      </c>
      <c r="T65" s="1201">
        <f t="shared" si="3"/>
        <v>2.5520000000000001E-2</v>
      </c>
      <c r="U65" s="1201" t="str">
        <f>VLOOKUP(A65,Marché!$B$1:M3709,12,FALSE)</f>
        <v>ORD</v>
      </c>
      <c r="V65" s="1202" t="str">
        <f>+IF((AB65-$AF$1)&lt;=366,"M","A")</f>
        <v>A</v>
      </c>
      <c r="W65" s="1202" t="s">
        <v>287</v>
      </c>
      <c r="X65" s="1212">
        <f>IF(AF1=AB65,"Taux à changer",prix_titre(AF$1,AA65,AB65,M65,K65,W65,V65,P65,Q65,N65,D65,Y65))</f>
        <v>106232.85361728226</v>
      </c>
      <c r="Y65" s="1202">
        <v>1</v>
      </c>
      <c r="Z65" s="35"/>
      <c r="AA65" s="1198">
        <f>VLOOKUP(A65,Marché!$B$1:$L$2409,6,FALSE)</f>
        <v>42909</v>
      </c>
      <c r="AB65" s="1198">
        <f>VLOOKUP(A65,Marché!$B$1:$L$2409,7,FALSE)</f>
        <v>46561</v>
      </c>
      <c r="AC65" s="35"/>
      <c r="AD65" s="2"/>
    </row>
    <row r="66" spans="1:33" ht="15" hidden="1" x14ac:dyDescent="0.25">
      <c r="A66" s="1191">
        <v>9346</v>
      </c>
      <c r="B66" s="1192">
        <f t="shared" si="4"/>
        <v>20448.900000000001</v>
      </c>
      <c r="C66" s="1193">
        <f>(AB66-$AF$1)</f>
        <v>584</v>
      </c>
      <c r="D66" s="1194">
        <f t="shared" si="1"/>
        <v>3.1940000000000003E-2</v>
      </c>
      <c r="E66" s="1195">
        <f>duration_titre($AF$1,AA66,AB66,M66,K66,W66,V66,P66,Q66,N66,D66)</f>
        <v>1.5633304439357911</v>
      </c>
      <c r="F66" s="1195">
        <f t="shared" si="5"/>
        <v>1.514943159423795</v>
      </c>
      <c r="G66" s="1195">
        <f>convexite_titre($AF$1,AA66,AB66,M66,K66,W66,V66,P66,Q66,N66,D66)</f>
        <v>3.796278335546432</v>
      </c>
      <c r="H66" s="1196">
        <f>+ROUND(coupon_courru($AF$1,AA66,AB66,M66,K66,W66,P66,Q66,N66,V66,"V"),4)</f>
        <v>1532</v>
      </c>
      <c r="I66" s="1199">
        <f>+IF(Y66=1,B66,D66*100)</f>
        <v>20448.900000000001</v>
      </c>
      <c r="J66" s="1193" t="str">
        <f>VLOOKUP(A66,Marché!B1261:L3555,2,FALSE)</f>
        <v>OBL ANP DU 31/10/2017 10ANS 3.83%</v>
      </c>
      <c r="K66" s="1193">
        <f>VLOOKUP(A66,Marché!B1261:L3555,3,FALSE)</f>
        <v>100000</v>
      </c>
      <c r="L66" s="1193">
        <f>VLOOKUP(A66,Marché!B1261:L3555,4,FALSE)</f>
        <v>0</v>
      </c>
      <c r="M66" s="1197">
        <f>VLOOKUP(A66,Marché!B1261:L3555,5,FALSE)</f>
        <v>3.8300000000000001E-2</v>
      </c>
      <c r="N66" s="1193">
        <f>VLOOKUP(A66,Marché!$B$1:$L$2409,8,FALSE)</f>
        <v>10</v>
      </c>
      <c r="O66" s="1200" t="str">
        <f>VLOOKUP(A66,Marché!$B$1:$L$2409,9,FALSE)</f>
        <v>A</v>
      </c>
      <c r="P66" s="1200" t="str">
        <f>VLOOKUP(A66,Marché!$B$1:$L$2409,10,FALSE)</f>
        <v>A</v>
      </c>
      <c r="Q66" s="1200" t="s">
        <v>1014</v>
      </c>
      <c r="R66" s="1287">
        <v>5.8700000000000002E-3</v>
      </c>
      <c r="S66" s="1229" cm="1">
        <f t="array" ref="S66">IF(C66&gt;'Courbe des taux'!$D$50,ROUND( TREND('Courbe des taux'!$E$49:$E$50,'Courbe des taux'!$D$49:$D$50,Lignes_détenues!C66),5),ROUND(IF(C66&gt;365,interpoler(_mat2,taux2,C66),interpoler(_mat1,taux1,C66)),5))</f>
        <v>2.6069999999999999E-2</v>
      </c>
      <c r="T66" s="1201">
        <f t="shared" si="3"/>
        <v>2.6069999999999999E-2</v>
      </c>
      <c r="U66" s="1201" t="str">
        <f>VLOOKUP(A66,Marché!$B$1:M3747,12,FALSE)</f>
        <v>ORD</v>
      </c>
      <c r="V66" s="1202" t="str">
        <f>+IF((AB66-$AF$1)&lt;=366,"M","A")</f>
        <v>A</v>
      </c>
      <c r="W66" s="1202" t="s">
        <v>287</v>
      </c>
      <c r="X66" s="1212">
        <f>Ammortissable!C91</f>
        <v>20448.903209106669</v>
      </c>
      <c r="Y66" s="1202">
        <v>1</v>
      </c>
      <c r="Z66" s="35">
        <f>100000*3.11%*366/360</f>
        <v>3161.8333333333335</v>
      </c>
      <c r="AA66" s="1198">
        <f>VLOOKUP(A66,Marché!$B$1:$L$2409,6,FALSE)</f>
        <v>43039</v>
      </c>
      <c r="AB66" s="1198">
        <f>VLOOKUP(A66,Marché!$B$1:$L$2409,7,FALSE)</f>
        <v>46691</v>
      </c>
      <c r="AC66" s="35"/>
      <c r="AD66" s="2"/>
    </row>
    <row r="67" spans="1:33" s="342" customFormat="1" ht="15" hidden="1" x14ac:dyDescent="0.25">
      <c r="A67" s="1336">
        <v>9345</v>
      </c>
      <c r="B67" s="1209">
        <f t="shared" si="4"/>
        <v>20227.79</v>
      </c>
      <c r="C67" s="1337">
        <f>(AB67-$AF$1)</f>
        <v>219</v>
      </c>
      <c r="D67" s="1338">
        <f t="shared" si="1"/>
        <v>3.109E-2</v>
      </c>
      <c r="E67" s="1339">
        <f>duration_titre($AF$1,AA67,AB67,M67,K67,W67,V67,P67,Q67,N67,D67)</f>
        <v>0.6</v>
      </c>
      <c r="F67" s="1339">
        <f t="shared" si="5"/>
        <v>0.58190846579832989</v>
      </c>
      <c r="G67" s="1339">
        <f>convexite_titre($AF$1,AA67,AB67,M67,K67,W67,V67,P67,Q67,N67,D67)</f>
        <v>0.90297990018070939</v>
      </c>
      <c r="H67" s="1340">
        <f>+ROUND(coupon_courru($AF$1,AA67,AB67,M67,K67,W67,P67,Q67,N67,V67,"V"),4)</f>
        <v>31763.861099999998</v>
      </c>
      <c r="I67" s="1341">
        <f>+IF(Y67=1,B67,D67*100)</f>
        <v>20227.79</v>
      </c>
      <c r="J67" s="1337" t="str">
        <f>VLOOKUP(A67,Marché!B1264:L3558,2,FALSE)</f>
        <v>OBL ANP DU 31/10/2017 10ANS 3.02%</v>
      </c>
      <c r="K67" s="1337">
        <f>VLOOKUP(A67,Marché!B1264:L3558,3,FALSE)</f>
        <v>100000</v>
      </c>
      <c r="L67" s="1337">
        <f>VLOOKUP(A67,Marché!B1264:L3558,4,FALSE)</f>
        <v>0</v>
      </c>
      <c r="M67" s="1342">
        <v>3.0099999999999998E-2</v>
      </c>
      <c r="N67" s="1337">
        <v>52</v>
      </c>
      <c r="O67" s="1344" t="s">
        <v>369</v>
      </c>
      <c r="P67" s="1344" t="str">
        <f>VLOOKUP(A67,Marché!$B$1:$L$2409,10,FALSE)</f>
        <v>A</v>
      </c>
      <c r="Q67" s="1344" t="s">
        <v>1014</v>
      </c>
      <c r="R67" s="1345">
        <v>7.1999999999999998E-3</v>
      </c>
      <c r="S67" s="1346" cm="1">
        <f t="array" ref="S67">IF(C67&gt;'Courbe des taux'!$D$50,ROUND( TREND('Courbe des taux'!$E$49:$E$50,'Courbe des taux'!$D$49:$D$50,Lignes_détenues!C67),5),ROUND(IF(C67&gt;365,interpoler(_mat2,taux2,C67),interpoler(_mat1,taux1,C67)),5))</f>
        <v>2.3890000000000002E-2</v>
      </c>
      <c r="T67" s="1346">
        <f t="shared" si="3"/>
        <v>2.3890000000000002E-2</v>
      </c>
      <c r="U67" s="1346" t="str">
        <f>VLOOKUP(A67,Marché!$B$1:M3750,12,FALSE)</f>
        <v>ORD</v>
      </c>
      <c r="V67" s="1347" t="str">
        <f>+IF((AB67-$AF$1)&lt;=366,"M","A")</f>
        <v>M</v>
      </c>
      <c r="W67" s="1347" t="s">
        <v>287</v>
      </c>
      <c r="X67" s="1348">
        <f>Ammortissable!C74</f>
        <v>20227.791210301413</v>
      </c>
      <c r="Y67" s="1347">
        <v>1</v>
      </c>
      <c r="Z67" s="1349" t="s">
        <v>2473</v>
      </c>
      <c r="AA67" s="1343">
        <v>42308</v>
      </c>
      <c r="AB67" s="1343">
        <v>46326</v>
      </c>
      <c r="AC67" s="35"/>
      <c r="AF67" s="1374">
        <f>M67*K67*(AB67-AA67)/360</f>
        <v>33594.944444444445</v>
      </c>
      <c r="AG67" s="1374"/>
    </row>
    <row r="68" spans="1:33" ht="15" hidden="1" x14ac:dyDescent="0.25">
      <c r="A68" s="1191">
        <v>5061</v>
      </c>
      <c r="B68" s="1192">
        <f t="shared" si="4"/>
        <v>73369.259999999995</v>
      </c>
      <c r="C68" s="1193">
        <f>(AB68-$AF$1)</f>
        <v>3560</v>
      </c>
      <c r="D68" s="1194">
        <f t="shared" si="1"/>
        <v>3.8589999999999999E-2</v>
      </c>
      <c r="E68" s="1195">
        <f>duration_titre($AF$1,AA68,AB68,M68,K68,W68,V68,P68,Q68,N68,D68)</f>
        <v>8.1904294986798014</v>
      </c>
      <c r="F68" s="1195">
        <f t="shared" si="5"/>
        <v>7.8861047176265924</v>
      </c>
      <c r="G68" s="1195">
        <f>convexite_titre($AF$1,AA68,AB68,M68,K68,W68,V68,P68,Q68,N68,D68)</f>
        <v>76.963352861258429</v>
      </c>
      <c r="H68" s="1196">
        <f>+ROUND(coupon_courru($AF$1,AA68,AB68,M68,K68,W68,P68,Q68,N68,V68,"V"),4)</f>
        <v>1015.7808</v>
      </c>
      <c r="I68" s="1199">
        <f>+IF(Y68=1,B68,D68*100)</f>
        <v>73369.259999999995</v>
      </c>
      <c r="J68" s="1193" t="str">
        <f>VLOOKUP(A68,Marché!B1282:L3576,2,FALSE)</f>
        <v>OBLIGATION FT MIFTAH A2 du 15/11/2017 à 4.03%</v>
      </c>
      <c r="K68" s="1193">
        <f>VLOOKUP(A68,Marché!B1282:L3576,3,FALSE)</f>
        <v>100000</v>
      </c>
      <c r="L68" s="1193">
        <f>VLOOKUP(A68,Marché!B1282:L3576,4,FALSE)</f>
        <v>0</v>
      </c>
      <c r="M68" s="1197">
        <f>VLOOKUP(A68,Marché!B1282:L3576,5,FALSE)</f>
        <v>4.0300000000000002E-2</v>
      </c>
      <c r="N68" s="1193">
        <f>VLOOKUP(A68,Marché!$B$1:$L$2409,8,FALSE)</f>
        <v>9</v>
      </c>
      <c r="O68" s="1200" t="str">
        <f>VLOOKUP(A68,Marché!$B$1:$L$2409,9,FALSE)</f>
        <v>A</v>
      </c>
      <c r="P68" s="1200" t="str">
        <f>VLOOKUP(A68,Marché!$B$1:$L$2409,10,FALSE)</f>
        <v>A</v>
      </c>
      <c r="Q68" s="1200" t="s">
        <v>1014</v>
      </c>
      <c r="R68" s="1287">
        <v>5.4999999999999997E-3</v>
      </c>
      <c r="S68" s="1229" cm="1">
        <f t="array" ref="S68">IF(C68&gt;'Courbe des taux'!$D$50,ROUND( TREND('Courbe des taux'!$E$49:$E$50,'Courbe des taux'!$D$49:$D$50,Lignes_détenues!C68),5),ROUND(IF(C68&gt;365,interpoler(_mat2,taux2,C68),interpoler(_mat1,taux1,C68)),5))</f>
        <v>3.3090000000000001E-2</v>
      </c>
      <c r="T68" s="1201">
        <f t="shared" si="3"/>
        <v>3.3090000000000001E-2</v>
      </c>
      <c r="U68" s="1201" t="str">
        <f>VLOOKUP(A68,Marché!$B$1:M3768,12,FALSE)</f>
        <v>ORD</v>
      </c>
      <c r="V68" s="1202" t="str">
        <f>+IF((AB68-$AF$1)&lt;=366,"M","A")</f>
        <v>A</v>
      </c>
      <c r="W68" s="1202" t="s">
        <v>287</v>
      </c>
      <c r="X68" s="1212">
        <f>'Echéanciers des Parts'!CH3</f>
        <v>73369.259500000029</v>
      </c>
      <c r="Y68" s="1202">
        <v>1</v>
      </c>
      <c r="Z68" s="35"/>
      <c r="AA68" s="1198">
        <f>VLOOKUP(A68,Marché!$B$1:$L$2409,6,FALSE)</f>
        <v>43054</v>
      </c>
      <c r="AB68" s="1198">
        <f>VLOOKUP(A68,Marché!$B$1:$L$2409,7,FALSE)</f>
        <v>49667</v>
      </c>
      <c r="AC68" s="35"/>
      <c r="AD68" s="2"/>
    </row>
    <row r="69" spans="1:33" ht="15" hidden="1" x14ac:dyDescent="0.25">
      <c r="A69" s="1191">
        <v>9351</v>
      </c>
      <c r="B69" s="1192">
        <f>X69</f>
        <v>47586.432199999996</v>
      </c>
      <c r="C69" s="1193">
        <f>(AB69-$AF$1)</f>
        <v>2447</v>
      </c>
      <c r="D69" s="1194">
        <f t="shared" si="1"/>
        <v>3.8589999999999999E-2</v>
      </c>
      <c r="E69" s="1195">
        <f>duration_titre($AF$1,AA69,AB69,M69,K69,W69,V69,P69,Q69,N69,D69)</f>
        <v>5.9592177309568255</v>
      </c>
      <c r="F69" s="1195">
        <f t="shared" si="5"/>
        <v>5.7377961765054799</v>
      </c>
      <c r="G69" s="1195">
        <f>convexite_titre($AF$1,AA69,AB69,M69,K69,W69,V69,P69,Q69,N69,D69)</f>
        <v>40.984849721936094</v>
      </c>
      <c r="H69" s="1196">
        <f>+ROUND(coupon_courru($AF$1,AA69,AB69,M69,K69,W69,P69,Q69,N69,V69,"V"),4)</f>
        <v>1184.3835999999999</v>
      </c>
      <c r="I69" s="1199">
        <f>+IF(Y69=1,B69,D69*100)</f>
        <v>47586.432199999996</v>
      </c>
      <c r="J69" s="1193" t="str">
        <f>VLOOKUP(A69,Marché!B1288:L3582,2,FALSE)</f>
        <v>OBL FEC DU 06/12/2017 à 3.93%  15 ANS</v>
      </c>
      <c r="K69" s="1193">
        <f>VLOOKUP(A69,Marché!B1288:L3582,3,FALSE)</f>
        <v>100000</v>
      </c>
      <c r="L69" s="1193">
        <f>VLOOKUP(A69,Marché!B1288:L3582,4,FALSE)</f>
        <v>0</v>
      </c>
      <c r="M69" s="1197">
        <f>VLOOKUP(A69,Marché!B1288:L3582,5,FALSE)</f>
        <v>3.9300000000000002E-2</v>
      </c>
      <c r="N69" s="1193">
        <f>VLOOKUP(A69,Marché!$B$1:$L$2409,8,FALSE)</f>
        <v>15</v>
      </c>
      <c r="O69" s="1200" t="str">
        <f>VLOOKUP(A69,Marché!$B$1:$L$2409,9,FALSE)</f>
        <v>A</v>
      </c>
      <c r="P69" s="1200" t="str">
        <f>VLOOKUP(A69,Marché!$B$1:$L$2409,10,FALSE)</f>
        <v>A</v>
      </c>
      <c r="Q69" s="1200" t="s">
        <v>1014</v>
      </c>
      <c r="R69" s="1287">
        <v>7.0000000000000001E-3</v>
      </c>
      <c r="S69" s="1229" cm="1">
        <f t="array" ref="S69">IF(C69&gt;'Courbe des taux'!$D$50,ROUND( TREND('Courbe des taux'!$E$49:$E$50,'Courbe des taux'!$D$49:$D$50,Lignes_détenues!C69),5),ROUND(IF(C69&gt;365,interpoler(_mat2,taux2,C69),interpoler(_mat1,taux1,C69)),5))</f>
        <v>3.159E-2</v>
      </c>
      <c r="T69" s="1201">
        <f t="shared" si="3"/>
        <v>3.159E-2</v>
      </c>
      <c r="U69" s="1201" t="str">
        <f>VLOOKUP(A69,Marché!$B$1:M3774,12,FALSE)</f>
        <v>ORD</v>
      </c>
      <c r="V69" s="1202" t="str">
        <f>+IF((AB69-$AF$1)&lt;=366,"M","A")</f>
        <v>A</v>
      </c>
      <c r="W69" s="1202" t="s">
        <v>287</v>
      </c>
      <c r="X69" s="1212">
        <f>'FEC9149-2140'!C238</f>
        <v>47586.432199999996</v>
      </c>
      <c r="Y69" s="1202">
        <v>1</v>
      </c>
      <c r="Z69" s="35"/>
      <c r="AA69" s="1198">
        <f>VLOOKUP(A69,Marché!$B$1:$L$2409,6,FALSE)</f>
        <v>43075</v>
      </c>
      <c r="AB69" s="1198">
        <f>VLOOKUP(A69,Marché!$B$1:$L$2409,7,FALSE)</f>
        <v>48554</v>
      </c>
      <c r="AC69" s="35"/>
      <c r="AD69" s="2"/>
    </row>
    <row r="70" spans="1:33" s="342" customFormat="1" ht="15" hidden="1" x14ac:dyDescent="0.25">
      <c r="A70" s="1336">
        <v>9352</v>
      </c>
      <c r="B70" s="1209">
        <f t="shared" ref="B70:B100" si="6">+ROUND(X70,2)</f>
        <v>100789.64</v>
      </c>
      <c r="C70" s="1337">
        <f>(AB70-$AF$1)</f>
        <v>255</v>
      </c>
      <c r="D70" s="1338">
        <f t="shared" si="1"/>
        <v>2.913E-2</v>
      </c>
      <c r="E70" s="1339">
        <f>duration_titre($AF$1,AA70,AB70,M70,K70,W70,V70,P70,Q70,N70,D70)</f>
        <v>0.69863013698630139</v>
      </c>
      <c r="F70" s="1339">
        <f t="shared" si="5"/>
        <v>0.67885508826513785</v>
      </c>
      <c r="G70" s="1339">
        <f>convexite_titre($AF$1,AA70,AB70,M70,K70,W70,V70,P70,Q70,N70,D70)</f>
        <v>1.1204840122954909</v>
      </c>
      <c r="H70" s="1340">
        <f>+ROUND(coupon_courru($AF$1,AA70,AB70,M70,K70,W70,P70,Q70,N70,V70,"V"),4)</f>
        <v>864.72220000000004</v>
      </c>
      <c r="I70" s="1341">
        <f>+IF(Y70=1,B70,D70*100)</f>
        <v>100789.64</v>
      </c>
      <c r="J70" s="1337" t="str">
        <f>VLOOKUP(A70,Marché!B1289:L3583,2,FALSE)</f>
        <v>OBL FEC DU 06/12/2017 à 2.77% REVIS 10 ans</v>
      </c>
      <c r="K70" s="1337">
        <f>VLOOKUP(A70,Marché!B1289:L3583,3,FALSE)</f>
        <v>100000</v>
      </c>
      <c r="L70" s="1337">
        <f>VLOOKUP(A70,Marché!B1289:L3583,4,FALSE)</f>
        <v>0</v>
      </c>
      <c r="M70" s="1342">
        <v>2.8299999999999999E-2</v>
      </c>
      <c r="N70" s="1337">
        <v>52</v>
      </c>
      <c r="O70" s="1344" t="s">
        <v>369</v>
      </c>
      <c r="P70" s="1344" t="str">
        <f>VLOOKUP(A70,Marché!$B$1:$L$2409,10,FALSE)</f>
        <v>A</v>
      </c>
      <c r="Q70" s="1344" t="s">
        <v>1014</v>
      </c>
      <c r="R70" s="1345">
        <v>5.0000000000000001E-3</v>
      </c>
      <c r="S70" s="1346" cm="1">
        <f t="array" ref="S70">IF(C70&gt;'Courbe des taux'!$D$50,ROUND( TREND('Courbe des taux'!$E$49:$E$50,'Courbe des taux'!$D$49:$D$50,Lignes_détenues!C70),5),ROUND(IF(C70&gt;365,interpoler(_mat2,taux2,C70),interpoler(_mat1,taux1,C70)),5))</f>
        <v>2.4129999999999999E-2</v>
      </c>
      <c r="T70" s="1346">
        <f t="shared" si="3"/>
        <v>2.4129999999999999E-2</v>
      </c>
      <c r="U70" s="1346" t="str">
        <f>VLOOKUP(A70,Marché!$B$1:M3775,12,FALSE)</f>
        <v>ORD</v>
      </c>
      <c r="V70" s="1347" t="str">
        <f>+IF((AB70-$AF$1)&lt;=366,"M","A")</f>
        <v>M</v>
      </c>
      <c r="W70" s="1347" t="s">
        <v>287</v>
      </c>
      <c r="X70" s="1348">
        <f>prix_titre(AF$1,AA70,AB70,M70,K70,W70,V70,P70,Q70,N70,D70,Y70)</f>
        <v>100789.64172995454</v>
      </c>
      <c r="Y70" s="1347">
        <v>1</v>
      </c>
      <c r="Z70" s="1349" t="s">
        <v>2367</v>
      </c>
      <c r="AA70" s="1343">
        <v>45997</v>
      </c>
      <c r="AB70" s="1343">
        <v>46362</v>
      </c>
      <c r="AC70" s="35"/>
    </row>
    <row r="71" spans="1:33" ht="15" hidden="1" x14ac:dyDescent="0.25">
      <c r="A71" s="1191">
        <v>9355</v>
      </c>
      <c r="B71" s="1192">
        <f t="shared" si="6"/>
        <v>0</v>
      </c>
      <c r="C71" s="1193">
        <f>(AB71-$AF$1)</f>
        <v>-453</v>
      </c>
      <c r="D71" s="1194">
        <f t="shared" si="1"/>
        <v>2.9000000000000001E-2</v>
      </c>
      <c r="E71" s="1195">
        <f>duration_titre($AF$1,AA71,AB71,M71,K71,W71,V71,P71,Q71,N71,D71)</f>
        <v>0</v>
      </c>
      <c r="F71" s="1195">
        <f t="shared" si="5"/>
        <v>0</v>
      </c>
      <c r="G71" s="1195">
        <f>convexite_titre($AF$1,AA71,AB71,M71,K71,W71,V71,P71,Q71,N71,D71)</f>
        <v>0</v>
      </c>
      <c r="H71" s="1196">
        <f>+ROUND(coupon_courru($AF$1,AA71,AB71,M71,K71,W71,P71,Q71,N71,V71,"V"),4)</f>
        <v>8485.75</v>
      </c>
      <c r="I71" s="1199">
        <f>+IF(Y71=1,B71,D71*100)</f>
        <v>0</v>
      </c>
      <c r="J71" s="1193" t="str">
        <f>VLOOKUP(A71,Marché!B1293:L3587,2,FALSE)</f>
        <v>OBL ATW du 28/12/2017 à 2.92% REVIS 7 ANS</v>
      </c>
      <c r="K71" s="1193">
        <f>VLOOKUP(A71,Marché!B1293:L3587,3,FALSE)</f>
        <v>100000</v>
      </c>
      <c r="L71" s="1193">
        <f>VLOOKUP(A71,Marché!B1293:L3587,4,FALSE)</f>
        <v>0</v>
      </c>
      <c r="M71" s="1197">
        <v>3.73E-2</v>
      </c>
      <c r="N71" s="1193">
        <v>52</v>
      </c>
      <c r="O71" s="1200" t="s">
        <v>369</v>
      </c>
      <c r="P71" s="1200" t="str">
        <f>VLOOKUP(A71,Marché!$B$1:$L$2409,10,FALSE)</f>
        <v>A</v>
      </c>
      <c r="Q71" s="1200" t="s">
        <v>1014</v>
      </c>
      <c r="R71" s="1287">
        <v>6.3E-3</v>
      </c>
      <c r="S71" s="1229" cm="1">
        <f t="array" ref="S71">IF(C71&gt;'Courbe des taux'!$D$50,ROUND( TREND('Courbe des taux'!$E$49:$E$50,'Courbe des taux'!$D$49:$D$50,Lignes_détenues!C71),5),ROUND(IF(C71&gt;365,interpoler(_mat2,taux2,C71),interpoler(_mat1,taux1,C71)),5))</f>
        <v>2.2700000000000001E-2</v>
      </c>
      <c r="T71" s="1201">
        <f t="shared" si="3"/>
        <v>2.2700000000000001E-2</v>
      </c>
      <c r="U71" s="1201" t="str">
        <f>VLOOKUP(A71,Marché!$B$1:M3779,12,FALSE)</f>
        <v>ORD</v>
      </c>
      <c r="V71" s="1202" t="str">
        <f>+IF((AB71-$AF$1)&lt;=366,"M","A")</f>
        <v>M</v>
      </c>
      <c r="W71" s="1202" t="s">
        <v>287</v>
      </c>
      <c r="X71" s="1212">
        <f>+prix_titre(AF$1,AA71,AB71,M71,K71,W71,V71,P71,Q71,N71,D71,Y71)</f>
        <v>0</v>
      </c>
      <c r="Y71" s="1202">
        <v>1</v>
      </c>
      <c r="Z71" s="35" t="s">
        <v>2392</v>
      </c>
      <c r="AA71" s="1198">
        <v>45288</v>
      </c>
      <c r="AB71" s="1198">
        <v>45654</v>
      </c>
      <c r="AC71" s="35"/>
      <c r="AD71" s="2"/>
    </row>
    <row r="72" spans="1:33" ht="15" hidden="1" x14ac:dyDescent="0.25">
      <c r="A72" s="1191">
        <v>9358</v>
      </c>
      <c r="B72" s="1192">
        <f t="shared" si="6"/>
        <v>0</v>
      </c>
      <c r="C72" s="1193">
        <f>(AB72-$AF$1)</f>
        <v>-453</v>
      </c>
      <c r="D72" s="1194">
        <f t="shared" si="1"/>
        <v>2.7699999999999999E-2</v>
      </c>
      <c r="E72" s="1195">
        <f>duration_titre($AF$1,AA72,AB72,M72,K72,W72,V72,P72,Q72,N72,D72)</f>
        <v>0</v>
      </c>
      <c r="F72" s="1195">
        <f t="shared" si="5"/>
        <v>0</v>
      </c>
      <c r="G72" s="1195">
        <f>convexite_titre($AF$1,AA72,AB72,M72,K72,W72,V72,P72,Q72,N72,D72)</f>
        <v>0</v>
      </c>
      <c r="H72" s="1196">
        <f>+ROUND(coupon_courru($AF$1,AA72,AB72,M72,K72,W72,P72,Q72,N72,V72,"V"),4)</f>
        <v>8144.5</v>
      </c>
      <c r="I72" s="1199">
        <f>+IF(Y72=1,B72,D72*100)</f>
        <v>0</v>
      </c>
      <c r="J72" s="1193" t="str">
        <f>VLOOKUP(A72,Marché!B1294:L3588,2,FALSE)</f>
        <v>OBL BCP DU 28/12/2017 à 2.79% REVIS 7 ANS</v>
      </c>
      <c r="K72" s="1193">
        <f>VLOOKUP(A72,Marché!B1294:L3588,3,FALSE)</f>
        <v>100000</v>
      </c>
      <c r="L72" s="1193">
        <f>VLOOKUP(A72,Marché!B1294:L3588,4,FALSE)</f>
        <v>0</v>
      </c>
      <c r="M72" s="1197">
        <v>3.5799999999999998E-2</v>
      </c>
      <c r="N72" s="1193">
        <v>52</v>
      </c>
      <c r="O72" s="1200" t="s">
        <v>369</v>
      </c>
      <c r="P72" s="1200" t="str">
        <f>VLOOKUP(A72,Marché!$B$1:$L$2409,10,FALSE)</f>
        <v>A</v>
      </c>
      <c r="Q72" s="1200" t="s">
        <v>1014</v>
      </c>
      <c r="R72" s="1287">
        <v>5.0000000000000001E-3</v>
      </c>
      <c r="S72" s="1229" cm="1">
        <f t="array" ref="S72">IF(C72&gt;'Courbe des taux'!$D$50,ROUND( TREND('Courbe des taux'!$E$49:$E$50,'Courbe des taux'!$D$49:$D$50,Lignes_détenues!C72),5),ROUND(IF(C72&gt;365,interpoler(_mat2,taux2,C72),interpoler(_mat1,taux1,C72)),5))</f>
        <v>2.2700000000000001E-2</v>
      </c>
      <c r="T72" s="1201">
        <f t="shared" si="3"/>
        <v>2.2700000000000001E-2</v>
      </c>
      <c r="U72" s="1201" t="str">
        <f>VLOOKUP(A72,Marché!$B$1:M3780,12,FALSE)</f>
        <v>ORD</v>
      </c>
      <c r="V72" s="1202" t="str">
        <f>+IF((AB72-$AF$1)&lt;=366,"M","A")</f>
        <v>M</v>
      </c>
      <c r="W72" s="1202" t="s">
        <v>287</v>
      </c>
      <c r="X72" s="1212">
        <f>+prix_titre(AF$1,AA72,AB72,M72,K72,W72,V72,P72,Q72,N72,D72,Y72)</f>
        <v>0</v>
      </c>
      <c r="Y72" s="1202">
        <v>1</v>
      </c>
      <c r="Z72" s="35" t="s">
        <v>2393</v>
      </c>
      <c r="AA72" s="1198">
        <v>45288</v>
      </c>
      <c r="AB72" s="1198">
        <v>45654</v>
      </c>
      <c r="AC72" s="35"/>
      <c r="AD72" s="2"/>
    </row>
    <row r="73" spans="1:33" ht="15" hidden="1" x14ac:dyDescent="0.25">
      <c r="A73" s="1191">
        <v>9360</v>
      </c>
      <c r="B73" s="1192">
        <f t="shared" si="6"/>
        <v>101858.38</v>
      </c>
      <c r="C73" s="1193">
        <f>(AB73-$AF$1)</f>
        <v>662</v>
      </c>
      <c r="D73" s="1194">
        <f t="shared" si="1"/>
        <v>3.4389999999999997E-2</v>
      </c>
      <c r="E73" s="1195">
        <f>duration_titre($AF$1,AA73,AB73,M73,K73,W73,V73,P73,Q73,N73,D73)</f>
        <v>1.774730032971958</v>
      </c>
      <c r="F73" s="1195">
        <f t="shared" si="5"/>
        <v>1.715726208656269</v>
      </c>
      <c r="G73" s="1195">
        <f>convexite_titre($AF$1,AA73,AB73,M73,K73,W73,V73,P73,Q73,N73,D73)</f>
        <v>4.6374017504424536</v>
      </c>
      <c r="H73" s="1196">
        <f>+ROUND(coupon_courru($AF$1,AA73,AB73,M73,K73,W73,P73,Q73,N73,V73,"V"),4)</f>
        <v>760.1096</v>
      </c>
      <c r="I73" s="1199">
        <f>+IF(Y73=1,B73,D73*100)</f>
        <v>101858.38</v>
      </c>
      <c r="J73" s="1193" t="str">
        <f>VLOOKUP(A73,Marché!B1298:L3592,2,FALSE)</f>
        <v>OBL SNI DU 17/01/2018 à 4.08% 10 ANS</v>
      </c>
      <c r="K73" s="1193">
        <f>VLOOKUP(A73,Marché!B1298:L3592,3,FALSE)</f>
        <v>100000</v>
      </c>
      <c r="L73" s="1193">
        <f>VLOOKUP(A73,Marché!B1298:L3592,4,FALSE)</f>
        <v>0</v>
      </c>
      <c r="M73" s="1197">
        <f>VLOOKUP(A73,Marché!B1298:L3592,5,FALSE)</f>
        <v>4.0800000000000003E-2</v>
      </c>
      <c r="N73" s="1193">
        <f>VLOOKUP(A73,Marché!$B$1:$L$2409,8,FALSE)</f>
        <v>10</v>
      </c>
      <c r="O73" s="1200" t="str">
        <f>VLOOKUP(A73,Marché!$B$1:$L$2409,9,FALSE)</f>
        <v>A</v>
      </c>
      <c r="P73" s="1200" t="str">
        <f>VLOOKUP(A73,Marché!$B$1:$L$2409,10,FALSE)</f>
        <v>A</v>
      </c>
      <c r="Q73" s="1200" t="s">
        <v>1014</v>
      </c>
      <c r="R73" s="1287">
        <v>8.0000000000000002E-3</v>
      </c>
      <c r="S73" s="1229" cm="1">
        <f t="array" ref="S73">IF(C73&gt;'Courbe des taux'!$D$50,ROUND( TREND('Courbe des taux'!$E$49:$E$50,'Courbe des taux'!$D$49:$D$50,Lignes_détenues!C73),5),ROUND(IF(C73&gt;365,interpoler(_mat2,taux2,C73),interpoler(_mat1,taux1,C73)),5))</f>
        <v>2.639E-2</v>
      </c>
      <c r="T73" s="1201">
        <f t="shared" si="3"/>
        <v>2.639E-2</v>
      </c>
      <c r="U73" s="1201" t="str">
        <f>VLOOKUP(A73,Marché!$B$1:M3784,12,FALSE)</f>
        <v>ORD</v>
      </c>
      <c r="V73" s="1202" t="str">
        <f>+IF((AB73-$AF$1)&lt;=366,"M","A")</f>
        <v>A</v>
      </c>
      <c r="W73" s="1202" t="s">
        <v>287</v>
      </c>
      <c r="X73" s="1212">
        <f>+prix_titre(AF$1,AA73,AB73,M73,K73,W73,V73,P73,Q73,N73,D73,Y73)</f>
        <v>101858.3849017295</v>
      </c>
      <c r="Y73" s="1202">
        <v>1</v>
      </c>
      <c r="Z73" s="35"/>
      <c r="AA73" s="1198">
        <f>VLOOKUP(A73,Marché!$B$1:$L$2409,6,FALSE)</f>
        <v>43117</v>
      </c>
      <c r="AB73" s="1198">
        <f>VLOOKUP(A73,Marché!$B$1:$L$2409,7,FALSE)</f>
        <v>46769</v>
      </c>
      <c r="AC73" s="35"/>
      <c r="AD73" s="2"/>
    </row>
    <row r="74" spans="1:33" s="1512" customFormat="1" ht="15" hidden="1" x14ac:dyDescent="0.25">
      <c r="A74" s="1497">
        <v>201519</v>
      </c>
      <c r="B74" s="1498">
        <f t="shared" si="6"/>
        <v>103798.39</v>
      </c>
      <c r="C74" s="1499">
        <f>(AB74-$AF$1)</f>
        <v>816</v>
      </c>
      <c r="D74" s="1500">
        <f t="shared" si="1"/>
        <v>2.7040000000000002E-2</v>
      </c>
      <c r="E74" s="1501">
        <f>duration_titre($AF$1,AA74,AB74,M74,K74,W74,V74,P74,Q74,N74,D74)</f>
        <v>2.1414845657343222</v>
      </c>
      <c r="F74" s="1501">
        <f t="shared" si="5"/>
        <v>2.0851033705934747</v>
      </c>
      <c r="G74" s="1501">
        <f>convexite_titre($AF$1,AA74,AB74,M74,K74,W74,V74,P74,Q74,N74,D74)</f>
        <v>6.5189408006060585</v>
      </c>
      <c r="H74" s="1502">
        <f>+ROUND(coupon_courru($AF$1,AA74,AB74,M74,K74,W74,P74,Q74,N74,V74,"V"),4)</f>
        <v>2531.5068000000001</v>
      </c>
      <c r="I74" s="1503">
        <f>+IF(Y74=1,B74,D74*100)</f>
        <v>103798.39</v>
      </c>
      <c r="J74" s="1499" t="str">
        <f>VLOOKUP(A74,Marché!B1305:L3599,2,FALSE)</f>
        <v>BDT DU 05/02/2018 à 3.30% 10 ANS</v>
      </c>
      <c r="K74" s="1499">
        <f>VLOOKUP(A74,Marché!B1305:L3599,3,FALSE)</f>
        <v>100000</v>
      </c>
      <c r="L74" s="1499">
        <f>VLOOKUP(A74,Marché!B1305:L3599,4,FALSE)</f>
        <v>0</v>
      </c>
      <c r="M74" s="1504">
        <f>VLOOKUP(A74,Marché!B1305:L3599,5,FALSE)</f>
        <v>3.3000000000000002E-2</v>
      </c>
      <c r="N74" s="1499">
        <f>VLOOKUP(A74,Marché!$B$1:$L$2409,8,FALSE)</f>
        <v>10</v>
      </c>
      <c r="O74" s="1506" t="str">
        <f>VLOOKUP(A74,Marché!$B$1:$L$2409,9,FALSE)</f>
        <v>A</v>
      </c>
      <c r="P74" s="1506" t="str">
        <f>VLOOKUP(A74,Marché!$B$1:$L$2409,10,FALSE)</f>
        <v>A</v>
      </c>
      <c r="Q74" s="1506" t="s">
        <v>1014</v>
      </c>
      <c r="R74" s="1507">
        <v>0</v>
      </c>
      <c r="S74" s="1508" cm="1">
        <f t="array" ref="S74">IF(C74&gt;'Courbe des taux'!$D$50,ROUND( TREND('Courbe des taux'!$E$49:$E$50,'Courbe des taux'!$D$49:$D$50,Lignes_détenues!C74),5),ROUND(IF(C74&gt;365,interpoler(_mat2,taux2,C74),interpoler(_mat1,taux1,C74)),5))</f>
        <v>2.7040000000000002E-2</v>
      </c>
      <c r="T74" s="1508">
        <f t="shared" si="3"/>
        <v>2.7040000000000002E-2</v>
      </c>
      <c r="U74" s="1508" t="str">
        <f>VLOOKUP(A74,Marché!$B$1:M3791,12,FALSE)</f>
        <v>Bon du Trésor</v>
      </c>
      <c r="V74" s="1509" t="str">
        <f>+IF((AB74-$AF$1)&lt;=366,"M","A")</f>
        <v>A</v>
      </c>
      <c r="W74" s="1509" t="s">
        <v>287</v>
      </c>
      <c r="X74" s="1510">
        <f>+prix_atp(AF$1,AA74,Z74,AB74,M74,K74,W74,V74,P74,Q74,N74,D74,Y74)</f>
        <v>103798.39443793312</v>
      </c>
      <c r="Y74" s="1509">
        <v>1</v>
      </c>
      <c r="Z74" s="1511">
        <v>43270</v>
      </c>
      <c r="AA74" s="1505">
        <f>VLOOKUP(A74,Marché!$B$1:$L$2409,6,FALSE)</f>
        <v>43136</v>
      </c>
      <c r="AB74" s="1505">
        <f>VLOOKUP(A74,Marché!$B$1:$L$2409,7,FALSE)</f>
        <v>46923</v>
      </c>
      <c r="AC74" s="1511"/>
    </row>
    <row r="75" spans="1:33" ht="15" hidden="1" x14ac:dyDescent="0.25">
      <c r="A75" s="1191">
        <v>201516</v>
      </c>
      <c r="B75" s="1192">
        <f t="shared" si="6"/>
        <v>105825.07</v>
      </c>
      <c r="C75" s="1193">
        <f>(AB75-$AF$1)</f>
        <v>2671</v>
      </c>
      <c r="D75" s="1194">
        <f t="shared" si="1"/>
        <v>3.1879999999999999E-2</v>
      </c>
      <c r="E75" s="1195">
        <f>duration_titre($AF$1,AA75,AB75,M75,K75,W75,V75,P75,Q75,N75,D75)</f>
        <v>6.4052192418766962</v>
      </c>
      <c r="F75" s="1195">
        <f t="shared" si="5"/>
        <v>6.2073295750249029</v>
      </c>
      <c r="G75" s="1195">
        <f>convexite_titre($AF$1,AA75,AB75,M75,K75,W75,V75,P75,Q75,N75,D75)</f>
        <v>48.132574339034001</v>
      </c>
      <c r="H75" s="1196">
        <f>+ROUND(coupon_courru($AF$1,AA75,AB75,M75,K75,W75,P75,Q75,N75,V75,"V"),4)</f>
        <v>2544.3836000000001</v>
      </c>
      <c r="I75" s="1199">
        <f>+IF(Y75=1,B75,D75*100)</f>
        <v>105825.07</v>
      </c>
      <c r="J75" s="1193" t="str">
        <f>VLOOKUP(A75,Marché!B1316:L3610,2,FALSE)</f>
        <v>BDT du 15/01/2018 ATYP jouiss 18/07/2018 à 3.70% 15 ans</v>
      </c>
      <c r="K75" s="1193">
        <f>VLOOKUP(A75,Marché!B1316:L3610,3,FALSE)</f>
        <v>100000</v>
      </c>
      <c r="L75" s="1193">
        <f>VLOOKUP(A75,Marché!B1316:L3610,4,FALSE)</f>
        <v>0</v>
      </c>
      <c r="M75" s="1197">
        <f>VLOOKUP(A75,Marché!B1316:L3610,5,FALSE)</f>
        <v>3.6999999999999998E-2</v>
      </c>
      <c r="N75" s="1193">
        <f>VLOOKUP(A75,Marché!$B$1:$L$2409,8,FALSE)</f>
        <v>15</v>
      </c>
      <c r="O75" s="1200" t="str">
        <f>VLOOKUP(A75,Marché!$B$1:$L$2409,9,FALSE)</f>
        <v>A</v>
      </c>
      <c r="P75" s="1200" t="str">
        <f>VLOOKUP(A75,Marché!$B$1:$L$2409,10,FALSE)</f>
        <v>A</v>
      </c>
      <c r="Q75" s="1200" t="s">
        <v>1014</v>
      </c>
      <c r="R75" s="1287">
        <v>0</v>
      </c>
      <c r="S75" s="1229" cm="1">
        <f t="array" ref="S75">IF(C75&gt;'Courbe des taux'!$D$50,ROUND( TREND('Courbe des taux'!$E$49:$E$50,'Courbe des taux'!$D$49:$D$50,Lignes_détenues!C75),5),ROUND(IF(C75&gt;365,interpoler(_mat2,taux2,C75),interpoler(_mat1,taux1,C75)),5))</f>
        <v>3.1879999999999999E-2</v>
      </c>
      <c r="T75" s="1201">
        <f t="shared" si="3"/>
        <v>3.1879999999999999E-2</v>
      </c>
      <c r="U75" s="1201" t="str">
        <f>VLOOKUP(A75,Marché!$B$1:M3802,12,FALSE)</f>
        <v>Bon du Trésor</v>
      </c>
      <c r="V75" s="1202" t="str">
        <f>+IF((AB75-$AF$1)&lt;=366,"M","A")</f>
        <v>A</v>
      </c>
      <c r="W75" s="1202" t="s">
        <v>287</v>
      </c>
      <c r="X75" s="1212">
        <f>+prix_atp(AF$1,AA75,Z75,AB75,M75,K75,W75,V75,P75,Q75,N75,D75,Y75)</f>
        <v>105825.06753707872</v>
      </c>
      <c r="Y75" s="1202">
        <v>1</v>
      </c>
      <c r="Z75" s="35">
        <v>43299</v>
      </c>
      <c r="AA75" s="1198">
        <f>VLOOKUP(A75,Marché!$B$1:$L$2409,6,FALSE)</f>
        <v>43115</v>
      </c>
      <c r="AB75" s="1198">
        <f>VLOOKUP(A75,Marché!$B$1:$L$2409,7,FALSE)</f>
        <v>48778</v>
      </c>
      <c r="AC75" s="35"/>
      <c r="AD75" s="2"/>
    </row>
    <row r="76" spans="1:33" ht="15" hidden="1" x14ac:dyDescent="0.25">
      <c r="A76" s="1191">
        <v>2185</v>
      </c>
      <c r="B76" s="1192">
        <f t="shared" si="6"/>
        <v>104575.32</v>
      </c>
      <c r="C76" s="1193">
        <f>(AB76-$AF$1)</f>
        <v>780</v>
      </c>
      <c r="D76" s="1194">
        <f t="shared" si="1"/>
        <v>3.4889999999999997E-2</v>
      </c>
      <c r="E76" s="1195">
        <f>duration_titre($AF$1,AA76,AB76,M76,K76,W76,V76,P76,Q76,N76,D76)</f>
        <v>2.0229836007306616</v>
      </c>
      <c r="F76" s="1195">
        <f t="shared" si="5"/>
        <v>1.9547812818083674</v>
      </c>
      <c r="G76" s="1195">
        <f>convexite_titre($AF$1,AA76,AB76,M76,K76,W76,V76,P76,Q76,N76,D76)</f>
        <v>5.8763882693623897</v>
      </c>
      <c r="H76" s="1196">
        <f>+ROUND(coupon_courru($AF$1,AA76,AB76,M76,K76,W76,P76,Q76,N76,V76,"V"),4)</f>
        <v>3488.9863</v>
      </c>
      <c r="I76" s="1199">
        <f>+IF(Y76=1,B76,D76*100)</f>
        <v>104575.32</v>
      </c>
      <c r="J76" s="1193" t="str">
        <f>VLOOKUP(A76,Marché!B1323:L3617,2,FALSE)</f>
        <v>OBL OCP PERPET du 14/05/18 Révis 10 ans 4.03%</v>
      </c>
      <c r="K76" s="1193">
        <f>VLOOKUP(A76,Marché!B1323:L3617,3,FALSE)</f>
        <v>100000</v>
      </c>
      <c r="L76" s="1193">
        <f>VLOOKUP(A76,Marché!B1323:L3617,4,FALSE)</f>
        <v>0</v>
      </c>
      <c r="M76" s="1197">
        <f>VLOOKUP(A76,Marché!B1323:L3617,5,FALSE)</f>
        <v>4.0300000000000002E-2</v>
      </c>
      <c r="N76" s="1193">
        <f>VLOOKUP(A76,Marché!$B$1:$L$2409,8,FALSE)</f>
        <v>10</v>
      </c>
      <c r="O76" s="1200" t="str">
        <f>VLOOKUP(A76,Marché!$B$1:$L$2409,9,FALSE)</f>
        <v>A</v>
      </c>
      <c r="P76" s="1200" t="str">
        <f>VLOOKUP(A76,Marché!$B$1:$L$2409,10,FALSE)</f>
        <v>A</v>
      </c>
      <c r="Q76" s="1200" t="s">
        <v>1014</v>
      </c>
      <c r="R76" s="1287">
        <v>8.0000000000000002E-3</v>
      </c>
      <c r="S76" s="1229" cm="1">
        <f t="array" ref="S76">IF(C76&gt;'Courbe des taux'!$D$50,ROUND( TREND('Courbe des taux'!$E$49:$E$50,'Courbe des taux'!$D$49:$D$50,Lignes_détenues!C76),5),ROUND(IF(C76&gt;365,interpoler(_mat2,taux2,C76),interpoler(_mat1,taux1,C76)),5))</f>
        <v>2.6890000000000001E-2</v>
      </c>
      <c r="T76" s="1201">
        <f t="shared" si="3"/>
        <v>2.6890000000000001E-2</v>
      </c>
      <c r="U76" s="1201" t="str">
        <f>VLOOKUP(A76,Marché!$B$1:M3809,12,FALSE)</f>
        <v>ORD</v>
      </c>
      <c r="V76" s="1202" t="str">
        <f>+IF((AB76-$AF$1)&lt;=366,"M","A")</f>
        <v>A</v>
      </c>
      <c r="W76" s="1202" t="s">
        <v>287</v>
      </c>
      <c r="X76" s="1212">
        <f>+prix_titre(AF$1,AA76,AB76,M76,K76,W76,V76,P76,Q76,N76,D76,Y76)</f>
        <v>104575.32216260639</v>
      </c>
      <c r="Y76" s="1202">
        <v>1</v>
      </c>
      <c r="Z76" s="35" t="s">
        <v>2297</v>
      </c>
      <c r="AA76" s="1198">
        <f>VLOOKUP(A76,Marché!$B$1:$L$2409,6,FALSE)</f>
        <v>43234</v>
      </c>
      <c r="AB76" s="1198">
        <f>VLOOKUP(A76,Marché!$B$1:$L$2409,7,FALSE)</f>
        <v>46887</v>
      </c>
      <c r="AC76" s="35"/>
      <c r="AD76" s="2"/>
    </row>
    <row r="77" spans="1:33" ht="15" hidden="1" x14ac:dyDescent="0.25">
      <c r="A77" s="1191">
        <v>9362</v>
      </c>
      <c r="B77" s="1192">
        <f t="shared" si="6"/>
        <v>102495.52</v>
      </c>
      <c r="C77" s="1193">
        <f>(AB77-$AF$1)</f>
        <v>49</v>
      </c>
      <c r="D77" s="1194">
        <f t="shared" si="1"/>
        <v>2.9700000000000001E-2</v>
      </c>
      <c r="E77" s="1195">
        <f>duration_titre($AF$1,AA77,AB77,M77,K77,W77,V77,P77,Q77,N77,D77)</f>
        <v>0.13424657534246576</v>
      </c>
      <c r="F77" s="1195">
        <f t="shared" si="5"/>
        <v>0.13037445405697362</v>
      </c>
      <c r="G77" s="1195">
        <f>convexite_titre($AF$1,AA77,AB77,M77,K77,W77,V77,P77,Q77,N77,D77)</f>
        <v>0.14361151600103522</v>
      </c>
      <c r="H77" s="1196">
        <f>+ROUND(coupon_courru($AF$1,AA77,AB77,M77,K77,W77,P77,Q77,N77,V77,"V"),4)</f>
        <v>2519.2222000000002</v>
      </c>
      <c r="I77" s="1199">
        <f>+IF(Y77=1,B77,D77*100)</f>
        <v>102495.52</v>
      </c>
      <c r="J77" s="1193" t="str">
        <f>VLOOKUP(A77,Marché!B1324:L3618,2,FALSE)</f>
        <v>OBL OCP PERPET du 14/05/2018 Révis tt ans 3%</v>
      </c>
      <c r="K77" s="1193">
        <f>VLOOKUP(A77,Marché!B1324:L3618,3,FALSE)</f>
        <v>100000</v>
      </c>
      <c r="L77" s="1193">
        <f>VLOOKUP(A77,Marché!B1324:L3618,4,FALSE)</f>
        <v>0</v>
      </c>
      <c r="M77" s="1197">
        <v>2.87E-2</v>
      </c>
      <c r="N77" s="1193">
        <v>52</v>
      </c>
      <c r="O77" s="1200" t="s">
        <v>1137</v>
      </c>
      <c r="P77" s="1200" t="str">
        <f>VLOOKUP(A77,Marché!$B$1:$L$2409,10,FALSE)</f>
        <v>A</v>
      </c>
      <c r="Q77" s="1200" t="s">
        <v>1014</v>
      </c>
      <c r="R77" s="1287">
        <v>7.0000000000000001E-3</v>
      </c>
      <c r="S77" s="1229" cm="1">
        <f t="array" ref="S77">IF(C77&gt;'Courbe des taux'!$D$50,ROUND( TREND('Courbe des taux'!$E$49:$E$50,'Courbe des taux'!$D$49:$D$50,Lignes_détenues!C77),5),ROUND(IF(C77&gt;365,interpoler(_mat2,taux2,C77),interpoler(_mat1,taux1,C77)),5))</f>
        <v>2.2700000000000001E-2</v>
      </c>
      <c r="T77" s="1201">
        <f t="shared" si="3"/>
        <v>2.2700000000000001E-2</v>
      </c>
      <c r="U77" s="1201" t="str">
        <f>VLOOKUP(A77,Marché!$B$1:M3810,12,FALSE)</f>
        <v>ORD</v>
      </c>
      <c r="V77" s="1202" t="str">
        <f>+IF((AB77-$AF$1)&lt;=366,"M","A")</f>
        <v>M</v>
      </c>
      <c r="W77" s="1202" t="s">
        <v>287</v>
      </c>
      <c r="X77" s="1212">
        <f>+prix_titre(AF$1,AA77,AB77,M77,K77,W77,V77,P77,Q77,N77,D77,Y77)</f>
        <v>102495.52185290962</v>
      </c>
      <c r="Y77" s="1202">
        <v>1</v>
      </c>
      <c r="Z77" s="35" t="s">
        <v>2431</v>
      </c>
      <c r="AA77" s="1198">
        <v>45791</v>
      </c>
      <c r="AB77" s="1198">
        <v>46156</v>
      </c>
      <c r="AC77" s="35"/>
      <c r="AD77" s="2"/>
    </row>
    <row r="78" spans="1:33" ht="15" hidden="1" x14ac:dyDescent="0.25">
      <c r="A78" s="1191">
        <v>9363</v>
      </c>
      <c r="B78" s="1192">
        <f t="shared" si="6"/>
        <v>106940.63</v>
      </c>
      <c r="C78" s="1193">
        <f>(AB78-$AF$1)</f>
        <v>2606</v>
      </c>
      <c r="D78" s="1194">
        <f t="shared" si="1"/>
        <v>4.2459999999999998E-2</v>
      </c>
      <c r="E78" s="1195">
        <f>duration_titre($AF$1,AA78,AB78,M78,K78,W78,V78,P78,Q78,N78,D78)</f>
        <v>6.0049221234364829</v>
      </c>
      <c r="F78" s="1195">
        <f t="shared" si="5"/>
        <v>5.7603381649525964</v>
      </c>
      <c r="G78" s="1195">
        <f>convexite_titre($AF$1,AA78,AB78,M78,K78,W78,V78,P78,Q78,N78,D78)</f>
        <v>42.875197922156254</v>
      </c>
      <c r="H78" s="1196">
        <f>+ROUND(coupon_courru($AF$1,AA78,AB78,M78,K78,W78,P78,Q78,N78,V78,"V"),4)</f>
        <v>4086.3562000000002</v>
      </c>
      <c r="I78" s="1199">
        <f>+IF(Y78=1,B78,D78*100)</f>
        <v>106940.63</v>
      </c>
      <c r="J78" s="1193" t="str">
        <f>VLOOKUP(A78,Marché!B1325:L3619,2,FALSE)</f>
        <v>OBL OCP PERPET du 14/05/2018 Révis 15 ans à 4.72%</v>
      </c>
      <c r="K78" s="1193">
        <f>VLOOKUP(A78,Marché!B1325:L3619,3,FALSE)</f>
        <v>100000</v>
      </c>
      <c r="L78" s="1193">
        <f>VLOOKUP(A78,Marché!B1325:L3619,4,FALSE)</f>
        <v>0</v>
      </c>
      <c r="M78" s="1197">
        <f>VLOOKUP(A78,Marché!B1325:L3619,5,FALSE)</f>
        <v>4.7199999999999999E-2</v>
      </c>
      <c r="N78" s="1193">
        <f>VLOOKUP(A78,Marché!$B$1:$L$2409,8,FALSE)</f>
        <v>15</v>
      </c>
      <c r="O78" s="1200" t="str">
        <f>VLOOKUP(A78,Marché!$B$1:$L$2409,9,FALSE)</f>
        <v>A</v>
      </c>
      <c r="P78" s="1200" t="str">
        <f>VLOOKUP(A78,Marché!$B$1:$L$2409,10,FALSE)</f>
        <v>A</v>
      </c>
      <c r="Q78" s="1200" t="s">
        <v>1014</v>
      </c>
      <c r="R78" s="1287">
        <v>1.0659999999999999E-2</v>
      </c>
      <c r="S78" s="1229" cm="1">
        <f t="array" ref="S78">IF(C78&gt;'Courbe des taux'!$D$50,ROUND( TREND('Courbe des taux'!$E$49:$E$50,'Courbe des taux'!$D$49:$D$50,Lignes_détenues!C78),5),ROUND(IF(C78&gt;365,interpoler(_mat2,taux2,C78),interpoler(_mat1,taux1,C78)),5))</f>
        <v>3.1800000000000002E-2</v>
      </c>
      <c r="T78" s="1201">
        <f t="shared" si="3"/>
        <v>3.1800000000000002E-2</v>
      </c>
      <c r="U78" s="1201" t="str">
        <f>VLOOKUP(A78,Marché!$B$1:M3811,12,FALSE)</f>
        <v>ORD</v>
      </c>
      <c r="V78" s="1202" t="str">
        <f>+IF((AB78-$AF$1)&lt;=366,"M","A")</f>
        <v>A</v>
      </c>
      <c r="W78" s="1202" t="s">
        <v>287</v>
      </c>
      <c r="X78" s="1212">
        <f>+prix_titre(AF$1,AA78,AB78,M78,K78,W78,V78,P78,Q78,N78,D78,Y78)</f>
        <v>106940.63274158204</v>
      </c>
      <c r="Y78" s="1202">
        <v>1</v>
      </c>
      <c r="Z78" s="35" t="s">
        <v>2299</v>
      </c>
      <c r="AA78" s="1198">
        <f>VLOOKUP(A78,Marché!$B$1:$L$2409,6,FALSE)</f>
        <v>43234</v>
      </c>
      <c r="AB78" s="1198">
        <f>VLOOKUP(A78,Marché!$B$1:$L$2409,7,FALSE)</f>
        <v>48713</v>
      </c>
      <c r="AC78" s="35"/>
      <c r="AD78" s="2"/>
    </row>
    <row r="79" spans="1:33" ht="15" hidden="1" x14ac:dyDescent="0.25">
      <c r="A79" s="1191">
        <v>2136</v>
      </c>
      <c r="B79" s="1192">
        <f t="shared" si="6"/>
        <v>0</v>
      </c>
      <c r="C79" s="1193">
        <f>(AB79-$AF$1)</f>
        <v>-425</v>
      </c>
      <c r="D79" s="1194">
        <f t="shared" si="1"/>
        <v>4.4699999999999997E-2</v>
      </c>
      <c r="E79" s="1195">
        <f>duration_titre($AF$1,AA79,AB79,M79,K79,W79,V79,P79,Q79,N79,D79)</f>
        <v>0</v>
      </c>
      <c r="F79" s="1195">
        <f t="shared" si="5"/>
        <v>0</v>
      </c>
      <c r="G79" s="1195">
        <f>convexite_titre($AF$1,AA79,AB79,M79,K79,W79,V79,P79,Q79,N79,D79)</f>
        <v>0</v>
      </c>
      <c r="H79" s="1196">
        <f>+ROUND(coupon_courru($AF$1,AA79,AB79,M79,K79,W79,P79,Q79,N79,V79,"V"),4)</f>
        <v>5961.6437999999998</v>
      </c>
      <c r="I79" s="1199">
        <f>+IF(Y79=1,B79,D79*100)</f>
        <v>0</v>
      </c>
      <c r="J79" s="1193" t="str">
        <f>VLOOKUP(A79,Marché!B1339:L3633,2,FALSE)</f>
        <v>OBLIG ONCF du 25/01/10 15 ans 5.12% (TRANCHE A)COTE</v>
      </c>
      <c r="K79" s="1193">
        <f>VLOOKUP(A79,Marché!B1339:L3633,3,FALSE)</f>
        <v>100000</v>
      </c>
      <c r="L79" s="1193">
        <f>VLOOKUP(A79,Marché!B1339:L3633,4,FALSE)</f>
        <v>0</v>
      </c>
      <c r="M79" s="1197">
        <f>VLOOKUP(A79,Marché!B1339:L3633,5,FALSE)</f>
        <v>5.1200000000000002E-2</v>
      </c>
      <c r="N79" s="1193">
        <f>VLOOKUP(A79,Marché!$B$1:$L$2409,8,FALSE)</f>
        <v>15</v>
      </c>
      <c r="O79" s="1200" t="str">
        <f>VLOOKUP(A79,Marché!$B$1:$L$2409,9,FALSE)</f>
        <v>A</v>
      </c>
      <c r="P79" s="1200" t="str">
        <f>VLOOKUP(A79,Marché!$B$1:$L$2409,10,FALSE)</f>
        <v>A</v>
      </c>
      <c r="Q79" s="1200" t="s">
        <v>1014</v>
      </c>
      <c r="R79" s="1287">
        <v>2.1999999999999999E-2</v>
      </c>
      <c r="S79" s="1229" cm="1">
        <f t="array" ref="S79">IF(C79&gt;'Courbe des taux'!$D$50,ROUND( TREND('Courbe des taux'!$E$49:$E$50,'Courbe des taux'!$D$49:$D$50,Lignes_détenues!C79),5),ROUND(IF(C79&gt;365,interpoler(_mat2,taux2,C79),interpoler(_mat1,taux1,C79)),5))</f>
        <v>2.2700000000000001E-2</v>
      </c>
      <c r="T79" s="1201">
        <f t="shared" si="3"/>
        <v>2.2700000000000001E-2</v>
      </c>
      <c r="U79" s="1201" t="str">
        <f>VLOOKUP(A79,Marché!$B$1:M3825,12,FALSE)</f>
        <v>ORD</v>
      </c>
      <c r="V79" s="1202" t="str">
        <f>+IF((AB79-$AF$1)&lt;=366,"M","A")</f>
        <v>M</v>
      </c>
      <c r="W79" s="1202" t="s">
        <v>287</v>
      </c>
      <c r="X79" s="1212">
        <f>ONCF!S202</f>
        <v>0</v>
      </c>
      <c r="Y79" s="1202">
        <v>1</v>
      </c>
      <c r="Z79" s="35">
        <v>43661</v>
      </c>
      <c r="AA79" s="1198">
        <f>VLOOKUP(A79,Marché!$B$1:$L$2409,6,FALSE)</f>
        <v>40203</v>
      </c>
      <c r="AB79" s="1198">
        <f>VLOOKUP(A79,Marché!$B$1:$L$2409,7,FALSE)</f>
        <v>45682</v>
      </c>
      <c r="AC79" s="35"/>
      <c r="AD79" s="2"/>
    </row>
    <row r="80" spans="1:33" ht="15" hidden="1" x14ac:dyDescent="0.25">
      <c r="A80" s="1191">
        <v>9369</v>
      </c>
      <c r="B80" s="1192">
        <f t="shared" si="6"/>
        <v>104116.89</v>
      </c>
      <c r="C80" s="1193">
        <f>(AB80-$AF$1)</f>
        <v>825</v>
      </c>
      <c r="D80" s="1194">
        <f t="shared" si="1"/>
        <v>3.4569999999999997E-2</v>
      </c>
      <c r="E80" s="1195">
        <f>duration_titre($AF$1,AA80,AB80,M80,K80,W80,V80,P80,Q80,N80,D80)</f>
        <v>2.1470808825993948</v>
      </c>
      <c r="F80" s="1195">
        <f t="shared" si="5"/>
        <v>2.0753364998012649</v>
      </c>
      <c r="G80" s="1195">
        <f>convexite_titre($AF$1,AA80,AB80,M80,K80,W80,V80,P80,Q80,N80,D80)</f>
        <v>6.4783504488275208</v>
      </c>
      <c r="H80" s="1196">
        <f>+ROUND(coupon_courru($AF$1,AA80,AB80,M80,K80,W80,P80,Q80,N80,V80,"V"),4)</f>
        <v>2969.8629999999998</v>
      </c>
      <c r="I80" s="1199">
        <f>+IF(Y80=1,B80,D80*100)</f>
        <v>104116.89</v>
      </c>
      <c r="J80" s="1193" t="str">
        <f>VLOOKUP(A80,Marché!B1348:L3642,2,FALSE)</f>
        <v xml:space="preserve">OBL SGMB du 28/06/2018 à 4% 10 ANS </v>
      </c>
      <c r="K80" s="1193">
        <f>VLOOKUP(A80,Marché!B1348:L3642,3,FALSE)</f>
        <v>100000</v>
      </c>
      <c r="L80" s="1193">
        <f>VLOOKUP(A80,Marché!B1348:L3642,4,FALSE)</f>
        <v>0</v>
      </c>
      <c r="M80" s="1197">
        <f>VLOOKUP(A80,Marché!B1348:L3642,5,FALSE)</f>
        <v>0.04</v>
      </c>
      <c r="N80" s="1193">
        <f>VLOOKUP(A80,Marché!$B$1:$L$2409,8,FALSE)</f>
        <v>10</v>
      </c>
      <c r="O80" s="1200" t="str">
        <f>VLOOKUP(A80,Marché!$B$1:$L$2409,9,FALSE)</f>
        <v>A</v>
      </c>
      <c r="P80" s="1200" t="str">
        <f>VLOOKUP(A80,Marché!$B$1:$L$2409,10,FALSE)</f>
        <v>A</v>
      </c>
      <c r="Q80" s="1200" t="s">
        <v>1014</v>
      </c>
      <c r="R80" s="1287">
        <v>7.4999999999999997E-3</v>
      </c>
      <c r="S80" s="1229" cm="1">
        <f t="array" ref="S80">IF(C80&gt;'Courbe des taux'!$D$50,ROUND( TREND('Courbe des taux'!$E$49:$E$50,'Courbe des taux'!$D$49:$D$50,Lignes_détenues!C80),5),ROUND(IF(C80&gt;365,interpoler(_mat2,taux2,C80),interpoler(_mat1,taux1,C80)),5))</f>
        <v>2.707E-2</v>
      </c>
      <c r="T80" s="1201">
        <f t="shared" si="3"/>
        <v>2.707E-2</v>
      </c>
      <c r="U80" s="1201" t="str">
        <f>VLOOKUP(A80,Marché!$B$1:M3834,12,FALSE)</f>
        <v>ORD</v>
      </c>
      <c r="V80" s="1202" t="str">
        <f>+IF((AB80-$AF$1)&lt;=366,"M","A")</f>
        <v>A</v>
      </c>
      <c r="W80" s="1202" t="s">
        <v>287</v>
      </c>
      <c r="X80" s="1212">
        <f>+prix_titre(AF$1,AA80,AB80,M80,K80,W80,V80,P80,Q80,N80,D80,Y80)</f>
        <v>104116.88779566217</v>
      </c>
      <c r="Y80" s="1202">
        <v>1</v>
      </c>
      <c r="Z80" s="35"/>
      <c r="AA80" s="1198">
        <f>VLOOKUP(A80,Marché!$B$1:$L$2409,6,FALSE)</f>
        <v>43279</v>
      </c>
      <c r="AB80" s="1198">
        <f>VLOOKUP(A80,Marché!$B$1:$L$2409,7,FALSE)</f>
        <v>46932</v>
      </c>
      <c r="AC80" s="35"/>
      <c r="AD80" s="2"/>
    </row>
    <row r="81" spans="1:31" ht="15" hidden="1" x14ac:dyDescent="0.25">
      <c r="A81" s="1191">
        <v>9371</v>
      </c>
      <c r="B81" s="1192">
        <f t="shared" si="6"/>
        <v>0</v>
      </c>
      <c r="C81" s="1193">
        <f>(AB81-$AF$1)</f>
        <v>-270</v>
      </c>
      <c r="D81" s="1194">
        <f t="shared" si="1"/>
        <v>2.7699999999999999E-2</v>
      </c>
      <c r="E81" s="1195">
        <f>duration_titre($AF$1,AA81,AB81,M81,K81,W81,V81,P81,Q81,N81,D81)</f>
        <v>0</v>
      </c>
      <c r="F81" s="1195">
        <f t="shared" si="5"/>
        <v>0</v>
      </c>
      <c r="G81" s="1195">
        <f>convexite_titre($AF$1,AA81,AB81,M81,K81,W81,V81,P81,Q81,N81,D81)</f>
        <v>0</v>
      </c>
      <c r="H81" s="1196">
        <f>+ROUND(coupon_courru($AF$1,AA81,AB81,M81,K81,W81,P81,Q81,N81,V81,"V"),4)</f>
        <v>2455.8904000000002</v>
      </c>
      <c r="I81" s="1199">
        <f>+IF(Y81=1,B81,D81*100)</f>
        <v>0</v>
      </c>
      <c r="J81" s="1193" t="str">
        <f>VLOOKUP(A81,Marché!B1350:L3644,2,FALSE)</f>
        <v xml:space="preserve">OBL ATW SUBRD du 29/06/2018 à 3.32% 7ans Amort </v>
      </c>
      <c r="K81" s="1193">
        <f>VLOOKUP(A81,Marché!B1350:L3644,3,FALSE)</f>
        <v>100000</v>
      </c>
      <c r="L81" s="1193">
        <f>VLOOKUP(A81,Marché!B1350:L3644,4,FALSE)</f>
        <v>0</v>
      </c>
      <c r="M81" s="1197">
        <f>VLOOKUP(A81,Marché!B1350:L3644,5,FALSE)</f>
        <v>3.32E-2</v>
      </c>
      <c r="N81" s="1193">
        <f>VLOOKUP(A81,Marché!$B$1:$L$2409,8,FALSE)</f>
        <v>7</v>
      </c>
      <c r="O81" s="1200" t="str">
        <f>VLOOKUP(A81,Marché!$B$1:$L$2409,9,FALSE)</f>
        <v>A</v>
      </c>
      <c r="P81" s="1200" t="str">
        <f>VLOOKUP(A81,Marché!$B$1:$L$2409,10,FALSE)</f>
        <v>A</v>
      </c>
      <c r="Q81" s="1200" t="s">
        <v>1014</v>
      </c>
      <c r="R81" s="1287">
        <v>5.0000000000000001E-3</v>
      </c>
      <c r="S81" s="1229" cm="1">
        <f t="array" ref="S81">IF(C81&gt;'Courbe des taux'!$D$50,ROUND( TREND('Courbe des taux'!$E$49:$E$50,'Courbe des taux'!$D$49:$D$50,Lignes_détenues!C81),5),ROUND(IF(C81&gt;365,interpoler(_mat2,taux2,C81),interpoler(_mat1,taux1,C81)),5))</f>
        <v>2.2700000000000001E-2</v>
      </c>
      <c r="T81" s="1201">
        <f t="shared" si="3"/>
        <v>2.2700000000000001E-2</v>
      </c>
      <c r="U81" s="1201" t="str">
        <f>VLOOKUP(A81,Marché!$B$1:M3836,12,FALSE)</f>
        <v>ORD</v>
      </c>
      <c r="V81" s="1202" t="str">
        <f>+IF((AB81-$AF$1)&lt;=366,"M","A")</f>
        <v>M</v>
      </c>
      <c r="W81" s="1202" t="s">
        <v>287</v>
      </c>
      <c r="X81" s="1212">
        <f>Ammortissable!C22</f>
        <v>0</v>
      </c>
      <c r="Y81" s="1202">
        <v>1</v>
      </c>
      <c r="Z81" s="35">
        <v>2.4637210884353701E-2</v>
      </c>
      <c r="AA81" s="1198">
        <f>VLOOKUP(A81,Marché!$B$1:$L$2409,6,FALSE)</f>
        <v>43280</v>
      </c>
      <c r="AB81" s="1198">
        <f>VLOOKUP(A81,Marché!$B$1:$L$2409,7,FALSE)</f>
        <v>45837</v>
      </c>
      <c r="AC81" s="35"/>
      <c r="AD81" s="2"/>
    </row>
    <row r="82" spans="1:31" ht="15" hidden="1" x14ac:dyDescent="0.25">
      <c r="A82" s="1191">
        <v>9385</v>
      </c>
      <c r="B82" s="1192">
        <f t="shared" si="6"/>
        <v>102601.61</v>
      </c>
      <c r="C82" s="1193">
        <f>(AB82-$AF$1)</f>
        <v>997</v>
      </c>
      <c r="D82" s="1194">
        <f t="shared" si="1"/>
        <v>3.458E-2</v>
      </c>
      <c r="E82" s="1195">
        <f>duration_titre($AF$1,AA82,AB82,M82,K82,W82,V82,P82,Q82,N82,D82)</f>
        <v>2.6170551754224625</v>
      </c>
      <c r="F82" s="1195">
        <f t="shared" si="5"/>
        <v>2.5295822221794952</v>
      </c>
      <c r="G82" s="1195">
        <f>convexite_titre($AF$1,AA82,AB82,M82,K82,W82,V82,P82,Q82,N82,D82)</f>
        <v>9.0108594281227798</v>
      </c>
      <c r="H82" s="1196">
        <f>+ROUND(coupon_courru($AF$1,AA82,AB82,M82,K82,W82,P82,Q82,N82,V82,"V"),4)</f>
        <v>1098.4931999999999</v>
      </c>
      <c r="I82" s="1199">
        <f>+IF(Y82=1,B82,D82*100)</f>
        <v>102601.61</v>
      </c>
      <c r="J82" s="1193" t="str">
        <f>VLOOKUP(A82,Marché!B1377:L3671,2,FALSE)</f>
        <v>OBL SUB CDM 17/12/2048 à 4.05% 10 ANS</v>
      </c>
      <c r="K82" s="1193">
        <f>VLOOKUP(A82,Marché!B1377:L3671,3,FALSE)</f>
        <v>100000</v>
      </c>
      <c r="L82" s="1193">
        <f>VLOOKUP(A82,Marché!B1377:L3671,4,FALSE)</f>
        <v>0</v>
      </c>
      <c r="M82" s="1197">
        <f>VLOOKUP(A82,Marché!B1377:L3671,5,FALSE)</f>
        <v>4.0500000000000001E-2</v>
      </c>
      <c r="N82" s="1193">
        <f>VLOOKUP(A82,Marché!$B$1:$L$2409,8,FALSE)</f>
        <v>10</v>
      </c>
      <c r="O82" s="1200" t="str">
        <f>VLOOKUP(A82,Marché!$B$1:$L$2409,9,FALSE)</f>
        <v>A</v>
      </c>
      <c r="P82" s="1200" t="str">
        <f>VLOOKUP(A82,Marché!$B$1:$L$2409,10,FALSE)</f>
        <v>A</v>
      </c>
      <c r="Q82" s="1200" t="s">
        <v>1014</v>
      </c>
      <c r="R82" s="1287">
        <v>6.79E-3</v>
      </c>
      <c r="S82" s="1229" cm="1">
        <f t="array" ref="S82">IF(C82&gt;'Courbe des taux'!$D$50,ROUND( TREND('Courbe des taux'!$E$49:$E$50,'Courbe des taux'!$D$49:$D$50,Lignes_détenues!C82),5),ROUND(IF(C82&gt;365,interpoler(_mat2,taux2,C82),interpoler(_mat1,taux1,C82)),5))</f>
        <v>2.7789999999999999E-2</v>
      </c>
      <c r="T82" s="1201">
        <f t="shared" si="3"/>
        <v>2.7789999999999999E-2</v>
      </c>
      <c r="U82" s="1201" t="str">
        <f>VLOOKUP(A82,Marché!$B$1:M3863,12,FALSE)</f>
        <v>SUB</v>
      </c>
      <c r="V82" s="1202" t="str">
        <f>+IF((AB82-$AF$1)&lt;=366,"M","A")</f>
        <v>A</v>
      </c>
      <c r="W82" s="1202" t="s">
        <v>287</v>
      </c>
      <c r="X82" s="1212">
        <f>+prix_titre(AF$1,AA82,AB82,M82,K82,W82,V82,P82,Q82,N82,D82,Y82)</f>
        <v>102601.61206260651</v>
      </c>
      <c r="Y82" s="1202">
        <v>1</v>
      </c>
      <c r="Z82" s="35" t="s">
        <v>2374</v>
      </c>
      <c r="AA82" s="1198">
        <f>VLOOKUP(A82,Marché!$B$1:$L$2409,6,FALSE)</f>
        <v>43451</v>
      </c>
      <c r="AB82" s="1198">
        <f>VLOOKUP(A82,Marché!$B$1:$L$2409,7,FALSE)</f>
        <v>47104</v>
      </c>
      <c r="AC82" s="35"/>
      <c r="AD82" s="2"/>
    </row>
    <row r="83" spans="1:31" ht="15" hidden="1" x14ac:dyDescent="0.25">
      <c r="A83" s="1191">
        <v>9387</v>
      </c>
      <c r="B83" s="1192">
        <f t="shared" si="6"/>
        <v>0</v>
      </c>
      <c r="C83" s="1193">
        <f>(AB83-$AF$1)</f>
        <v>-98</v>
      </c>
      <c r="D83" s="1194">
        <f t="shared" si="1"/>
        <v>3.3700000000000001E-2</v>
      </c>
      <c r="E83" s="1195">
        <f>duration_titre($AF$1,AA83,AB83,M83,K83,W83,V83,P83,Q83,N83,D83)</f>
        <v>0</v>
      </c>
      <c r="F83" s="1195">
        <f t="shared" si="5"/>
        <v>0</v>
      </c>
      <c r="G83" s="1195">
        <f>convexite_titre($AF$1,AA83,AB83,M83,K83,W83,V83,P83,Q83,N83,D83)</f>
        <v>0</v>
      </c>
      <c r="H83" s="1196">
        <f>+ROUND(coupon_courru($AF$1,AA83,AB83,M83,K83,W83,P83,Q83,N83,V83,"V"),4)</f>
        <v>1065.9177999999999</v>
      </c>
      <c r="I83" s="1199">
        <f>+IF(Y83=1,B83,D83*100)</f>
        <v>0</v>
      </c>
      <c r="J83" s="1193" t="str">
        <f>VLOOKUP(A83,Marché!B1378:L3672,2,FALSE)</f>
        <v>OBL MEDITEL du 18/12/2018 à 3.97% 7 ans</v>
      </c>
      <c r="K83" s="1193">
        <f>VLOOKUP(A83,Marché!B1378:L3672,3,FALSE)</f>
        <v>100000</v>
      </c>
      <c r="L83" s="1193">
        <f>VLOOKUP(A83,Marché!B1378:L3672,4,FALSE)</f>
        <v>0</v>
      </c>
      <c r="M83" s="1197">
        <f>VLOOKUP(A83,Marché!B1378:L3672,5,FALSE)</f>
        <v>3.9699999999999999E-2</v>
      </c>
      <c r="N83" s="1193">
        <f>VLOOKUP(A83,Marché!$B$1:$L$2409,8,FALSE)</f>
        <v>7</v>
      </c>
      <c r="O83" s="1200" t="str">
        <f>VLOOKUP(A83,Marché!$B$1:$L$2409,9,FALSE)</f>
        <v>A</v>
      </c>
      <c r="P83" s="1200" t="str">
        <f>VLOOKUP(A83,Marché!$B$1:$L$2409,10,FALSE)</f>
        <v>A</v>
      </c>
      <c r="Q83" s="1200" t="s">
        <v>1014</v>
      </c>
      <c r="R83" s="1287">
        <v>1.0999999999999999E-2</v>
      </c>
      <c r="S83" s="1229" cm="1">
        <f t="array" ref="S83">IF(C83&gt;'Courbe des taux'!$D$50,ROUND( TREND('Courbe des taux'!$E$49:$E$50,'Courbe des taux'!$D$49:$D$50,Lignes_détenues!C83),5),ROUND(IF(C83&gt;365,interpoler(_mat2,taux2,C83),interpoler(_mat1,taux1,C83)),5))</f>
        <v>2.2700000000000001E-2</v>
      </c>
      <c r="T83" s="1201">
        <f t="shared" si="3"/>
        <v>2.2700000000000001E-2</v>
      </c>
      <c r="U83" s="1201" t="str">
        <f>VLOOKUP(A83,Marché!$B$1:M3864,12,FALSE)</f>
        <v>ORD</v>
      </c>
      <c r="V83" s="1202" t="str">
        <f>+IF((AB83-$AF$1)&lt;=366,"M","A")</f>
        <v>M</v>
      </c>
      <c r="W83" s="1202" t="s">
        <v>287</v>
      </c>
      <c r="X83" s="1212">
        <f>Ammortissable!C111</f>
        <v>0</v>
      </c>
      <c r="Y83" s="1202">
        <v>1</v>
      </c>
      <c r="Z83" s="35"/>
      <c r="AA83" s="1198">
        <f>VLOOKUP(A83,Marché!$B$1:$L$2409,6,FALSE)</f>
        <v>43452</v>
      </c>
      <c r="AB83" s="1198">
        <f>VLOOKUP(A83,Marché!$B$1:$L$2409,7,FALSE)</f>
        <v>46009</v>
      </c>
      <c r="AC83" s="35"/>
      <c r="AD83" s="2"/>
    </row>
    <row r="84" spans="1:31" s="1441" customFormat="1" ht="15" hidden="1" x14ac:dyDescent="0.25">
      <c r="A84" s="1426">
        <v>9388</v>
      </c>
      <c r="B84" s="1427">
        <f t="shared" si="6"/>
        <v>100681.18</v>
      </c>
      <c r="C84" s="1428">
        <f>(AB84-$AF$1)</f>
        <v>269</v>
      </c>
      <c r="D84" s="1429">
        <f t="shared" si="1"/>
        <v>2.9219999999999999E-2</v>
      </c>
      <c r="E84" s="1430">
        <f>duration_titre($AF$1,AA84,AB84,M84,K84,W84,V84,P84,Q84,N84,D84)</f>
        <v>0.73698630136986298</v>
      </c>
      <c r="F84" s="1430">
        <f t="shared" si="5"/>
        <v>0.71606294219881361</v>
      </c>
      <c r="G84" s="1430">
        <f>convexite_titre($AF$1,AA84,AB84,M84,K84,W84,V84,P84,Q84,N84,D84)</f>
        <v>1.2084797434153429</v>
      </c>
      <c r="H84" s="1431">
        <f>+ROUND(coupon_courru($AF$1,AA84,AB84,M84,K84,W84,P84,Q84,N84,V84,"V"),4)</f>
        <v>757.33330000000001</v>
      </c>
      <c r="I84" s="1432">
        <f>+IF(Y84=1,B84,D84*100)</f>
        <v>100681.18</v>
      </c>
      <c r="J84" s="1428" t="str">
        <f>VLOOKUP(A84,Marché!B1379:L3673,2,FALSE)</f>
        <v xml:space="preserve">OBL SUB BCP du 20/12/2018  à  2.94 % Var 10 ans </v>
      </c>
      <c r="K84" s="1428">
        <f>VLOOKUP(A84,Marché!B1379:L3673,3,FALSE)</f>
        <v>100000</v>
      </c>
      <c r="L84" s="1428">
        <f>VLOOKUP(A84,Marché!B1379:L3673,4,FALSE)</f>
        <v>0</v>
      </c>
      <c r="M84" s="1433">
        <v>2.8400000000000002E-2</v>
      </c>
      <c r="N84" s="1428">
        <f>VLOOKUP(A84,Marché!$B$1:$L$2409,8,FALSE)</f>
        <v>52</v>
      </c>
      <c r="O84" s="1435" t="str">
        <f>VLOOKUP(A84,Marché!$B$1:$L$2409,9,FALSE)</f>
        <v>S</v>
      </c>
      <c r="P84" s="1435" t="s">
        <v>1716</v>
      </c>
      <c r="Q84" s="1435" t="s">
        <v>1014</v>
      </c>
      <c r="R84" s="1436">
        <v>5.0000000000000001E-3</v>
      </c>
      <c r="S84" s="1437" cm="1">
        <f t="array" ref="S84">IF(C84&gt;'Courbe des taux'!$D$50,ROUND( TREND('Courbe des taux'!$E$49:$E$50,'Courbe des taux'!$D$49:$D$50,Lignes_détenues!C84),5),ROUND(IF(C84&gt;365,interpoler(_mat2,taux2,C84),interpoler(_mat1,taux1,C84)),5))</f>
        <v>2.4219999999999998E-2</v>
      </c>
      <c r="T84" s="1437">
        <f t="shared" si="3"/>
        <v>2.4219999999999998E-2</v>
      </c>
      <c r="U84" s="1437" t="str">
        <f>VLOOKUP(A84,Marché!$B$1:M3865,12,FALSE)</f>
        <v xml:space="preserve">OBL SUBORDONNE </v>
      </c>
      <c r="V84" s="1438" t="str">
        <f>+IF((AB84-$AF$1)&lt;=366,"M","A")</f>
        <v>M</v>
      </c>
      <c r="W84" s="1438" t="s">
        <v>287</v>
      </c>
      <c r="X84" s="1439">
        <f>+prix_titre(AF$1,AA84,AB84,M84,K84,W84,V84,P84,Q84,N84,D84,Y84)</f>
        <v>100681.18381282801</v>
      </c>
      <c r="Y84" s="1438">
        <v>1</v>
      </c>
      <c r="Z84" s="1440" t="s">
        <v>2382</v>
      </c>
      <c r="AA84" s="1434">
        <v>46011</v>
      </c>
      <c r="AB84" s="1434">
        <v>46376</v>
      </c>
      <c r="AC84" s="35"/>
    </row>
    <row r="85" spans="1:31" ht="15" hidden="1" x14ac:dyDescent="0.25">
      <c r="A85" s="1191">
        <v>9389</v>
      </c>
      <c r="B85" s="1192">
        <f t="shared" si="6"/>
        <v>102921.62</v>
      </c>
      <c r="C85" s="1193">
        <f>(AB85-$AF$1)</f>
        <v>1007</v>
      </c>
      <c r="D85" s="1194">
        <f t="shared" si="1"/>
        <v>5.3830000000000003E-2</v>
      </c>
      <c r="E85" s="1195">
        <f>duration_titre($AF$1,AA85,AB85,M85,K85,W85,V85,P85,Q85,N85,D85)</f>
        <v>2.5939054222266362</v>
      </c>
      <c r="F85" s="1195">
        <f t="shared" si="5"/>
        <v>2.4614078382914095</v>
      </c>
      <c r="G85" s="1195">
        <f>convexite_titre($AF$1,AA85,AB85,M85,K85,W85,V85,P85,Q85,N85,D85)</f>
        <v>8.619392275848913</v>
      </c>
      <c r="H85" s="1196">
        <f>+ROUND(coupon_courru($AF$1,AA85,AB85,M85,K85,W85,P85,Q85,N85,V85,"V"),4)</f>
        <v>1458.1369999999999</v>
      </c>
      <c r="I85" s="1199">
        <f>+IF(Y85=1,B85,D85*100)</f>
        <v>102921.62</v>
      </c>
      <c r="J85" s="1193" t="str">
        <f>VLOOKUP(A85,Marché!B1382:L3676,2,FALSE)</f>
        <v>OBL ATW SUB PERP 27/12/2018 à 5.98% REVIS 10ans</v>
      </c>
      <c r="K85" s="1193">
        <f>VLOOKUP(A85,Marché!B1382:L3676,3,FALSE)</f>
        <v>100000</v>
      </c>
      <c r="L85" s="1193">
        <f>VLOOKUP(A85,Marché!B1382:L3676,4,FALSE)</f>
        <v>0</v>
      </c>
      <c r="M85" s="1197">
        <f>VLOOKUP(A85,Marché!B1382:L3676,5,FALSE)</f>
        <v>5.9799999999999999E-2</v>
      </c>
      <c r="N85" s="1193">
        <f>VLOOKUP(A85,Marché!$B$1:$L$2409,8,FALSE)</f>
        <v>10</v>
      </c>
      <c r="O85" s="1200" t="str">
        <f>VLOOKUP(A85,Marché!$B$1:$L$2409,9,FALSE)</f>
        <v>A</v>
      </c>
      <c r="P85" s="1200" t="str">
        <f>VLOOKUP(A85,Marché!$B$1:$L$2409,10,FALSE)</f>
        <v>A</v>
      </c>
      <c r="Q85" s="1200" t="s">
        <v>1014</v>
      </c>
      <c r="R85" s="1287">
        <v>2.5999999999999999E-2</v>
      </c>
      <c r="S85" s="1229" cm="1">
        <f t="array" ref="S85">IF(C85&gt;'Courbe des taux'!$D$50,ROUND( TREND('Courbe des taux'!$E$49:$E$50,'Courbe des taux'!$D$49:$D$50,Lignes_détenues!C85),5),ROUND(IF(C85&gt;365,interpoler(_mat2,taux2,C85),interpoler(_mat1,taux1,C85)),5))</f>
        <v>2.7830000000000001E-2</v>
      </c>
      <c r="T85" s="1201">
        <f t="shared" si="3"/>
        <v>2.7830000000000001E-2</v>
      </c>
      <c r="U85" s="1201" t="str">
        <f>VLOOKUP(A85,Marché!$B$1:M3868,12,FALSE)</f>
        <v xml:space="preserve">OBL SUBORDONNE </v>
      </c>
      <c r="V85" s="1202" t="str">
        <f>+IF((AB85-$AF$1)&lt;=366,"M","A")</f>
        <v>A</v>
      </c>
      <c r="W85" s="1202" t="s">
        <v>287</v>
      </c>
      <c r="X85" s="1212">
        <f>IF(AB85=AF1,"attention révisable chaque 10 ans",prix_titre(AF$1,AA85,AB85,M85,K85,W85,V85,P85,Q85,N85,D85,Y85))</f>
        <v>102921.61583572302</v>
      </c>
      <c r="Y85" s="1202">
        <v>1</v>
      </c>
      <c r="Z85" s="35" t="s">
        <v>2389</v>
      </c>
      <c r="AA85" s="1198">
        <f>VLOOKUP(A85,Marché!$B$1:$L$2409,6,FALSE)</f>
        <v>43461</v>
      </c>
      <c r="AB85" s="1198">
        <f>VLOOKUP(A85,Marché!$B$1:$L$2409,7,FALSE)</f>
        <v>47114</v>
      </c>
      <c r="AC85" s="35"/>
      <c r="AD85" s="2"/>
    </row>
    <row r="86" spans="1:31" ht="15" hidden="1" x14ac:dyDescent="0.25">
      <c r="A86" s="1191">
        <v>9390</v>
      </c>
      <c r="B86" s="1192">
        <f t="shared" si="6"/>
        <v>101024.82</v>
      </c>
      <c r="C86" s="1193">
        <f>(AB86-$AF$1)</f>
        <v>276</v>
      </c>
      <c r="D86" s="1194">
        <f t="shared" si="1"/>
        <v>4.777E-2</v>
      </c>
      <c r="E86" s="1195">
        <f>duration_titre($AF$1,AA86,AB86,M86,K86,W86,V86,P86,Q86,N86,D86)</f>
        <v>0.75616438356164384</v>
      </c>
      <c r="F86" s="1195">
        <f t="shared" si="5"/>
        <v>0.72168928635258101</v>
      </c>
      <c r="G86" s="1195">
        <f>convexite_titre($AF$1,AA86,AB86,M86,K86,W86,V86,P86,Q86,N86,D86)</f>
        <v>1.2096214061200672</v>
      </c>
      <c r="H86" s="1196">
        <f>+ROUND(coupon_courru($AF$1,AA86,AB86,M86,K86,W86,P86,Q86,N86,V86,"V"),4)</f>
        <v>1152.0555999999999</v>
      </c>
      <c r="I86" s="1199">
        <f>+IF(Y86=1,B86,D86*100)</f>
        <v>101024.82</v>
      </c>
      <c r="J86" s="1193" t="str">
        <f>VLOOKUP(A86,Marché!B1383:L3677,2,FALSE)</f>
        <v>OBL SUB ATW du 27/12/2018 PERPET REVIS 52 SEM</v>
      </c>
      <c r="K86" s="1193">
        <f>VLOOKUP(A86,Marché!B1383:L3677,3,FALSE)</f>
        <v>100000</v>
      </c>
      <c r="L86" s="1193">
        <f>VLOOKUP(A86,Marché!B1383:L3677,4,FALSE)</f>
        <v>0</v>
      </c>
      <c r="M86" s="1197">
        <v>4.6600000000000003E-2</v>
      </c>
      <c r="N86" s="1193">
        <f>VLOOKUP(A86,Marché!$B$1:$L$2409,8,FALSE)</f>
        <v>52</v>
      </c>
      <c r="O86" s="1200" t="str">
        <f>VLOOKUP(A86,Marché!$B$1:$L$2409,9,FALSE)</f>
        <v>S</v>
      </c>
      <c r="P86" s="1200" t="str">
        <f>VLOOKUP(A86,Marché!$B$1:$L$2409,10,FALSE)</f>
        <v>A</v>
      </c>
      <c r="Q86" s="1200" t="s">
        <v>1014</v>
      </c>
      <c r="R86" s="1287">
        <v>2.35E-2</v>
      </c>
      <c r="S86" s="1229" cm="1">
        <f t="array" ref="S86">IF(C86&gt;'Courbe des taux'!$D$50,ROUND( TREND('Courbe des taux'!$E$49:$E$50,'Courbe des taux'!$D$49:$D$50,Lignes_détenues!C86),5),ROUND(IF(C86&gt;365,interpoler(_mat2,taux2,C86),interpoler(_mat1,taux1,C86)),5))</f>
        <v>2.427E-2</v>
      </c>
      <c r="T86" s="1201">
        <f t="shared" si="3"/>
        <v>2.427E-2</v>
      </c>
      <c r="U86" s="1201" t="str">
        <f>VLOOKUP(A86,Marché!$B$1:M3869,12,FALSE)</f>
        <v xml:space="preserve">OBL SUBORDONNE </v>
      </c>
      <c r="V86" s="1202" t="str">
        <f>+IF((AB86-$AF$1)&lt;=366,"M","A")</f>
        <v>M</v>
      </c>
      <c r="W86" s="1202" t="s">
        <v>287</v>
      </c>
      <c r="X86" s="1212">
        <f>IF(AB86=AF1,"attention révisable chaque 10 ans",prix_titre(AF$1,AA86,AB86,M86,K86,W86,V86,P86,Q86,N86,D86,Y86))</f>
        <v>101024.82064368587</v>
      </c>
      <c r="Y86" s="1202">
        <v>1</v>
      </c>
      <c r="Z86" s="35" t="s">
        <v>2391</v>
      </c>
      <c r="AA86" s="1198">
        <v>46018</v>
      </c>
      <c r="AB86" s="1198">
        <v>46383</v>
      </c>
      <c r="AC86" s="35"/>
      <c r="AD86" s="2"/>
    </row>
    <row r="87" spans="1:31" ht="15" hidden="1" x14ac:dyDescent="0.25">
      <c r="A87" s="1191">
        <v>152037</v>
      </c>
      <c r="B87" s="1192">
        <f t="shared" si="6"/>
        <v>0</v>
      </c>
      <c r="C87" s="1193">
        <f>(AB87-$AF$1)</f>
        <v>-277</v>
      </c>
      <c r="D87" s="1194">
        <f t="shared" si="1"/>
        <v>2.7699999999999999E-2</v>
      </c>
      <c r="E87" s="1195">
        <f>duration_titre($AF$1,AA87,AB87,M87,K87,W87,V87,P87,Q87,N87,D87)</f>
        <v>0</v>
      </c>
      <c r="F87" s="1195">
        <f t="shared" si="5"/>
        <v>0</v>
      </c>
      <c r="G87" s="1195">
        <f>convexite_titre($AF$1,AA87,AB87,M87,K87,W87,V87,P87,Q87,N87,D87)</f>
        <v>0</v>
      </c>
      <c r="H87" s="1196">
        <f>+ROUND(coupon_courru($AF$1,AA87,AB87,M87,K87,W87,P87,Q87,N87,V87,"V"),4)</f>
        <v>2511.9726000000001</v>
      </c>
      <c r="I87" s="1199">
        <f>+IF(Y87=1,B87,D87*100)</f>
        <v>0</v>
      </c>
      <c r="J87" s="1193" t="str">
        <f>VLOOKUP(A87,Marché!B1392:L3686,2,FALSE)</f>
        <v>CD SGMB du 22/02/2019 ATYP à 3.31% 6 ans</v>
      </c>
      <c r="K87" s="1193">
        <f>VLOOKUP(A87,Marché!B1392:L3686,3,FALSE)</f>
        <v>100000</v>
      </c>
      <c r="L87" s="1193">
        <f>VLOOKUP(A87,Marché!B1392:L3686,4,FALSE)</f>
        <v>0</v>
      </c>
      <c r="M87" s="1197">
        <f>VLOOKUP(A87,Marché!B1392:L3686,5,FALSE)</f>
        <v>3.3099999999999997E-2</v>
      </c>
      <c r="N87" s="1193">
        <f>VLOOKUP(A87,Marché!$B$1:$L$2409,8,FALSE)</f>
        <v>6</v>
      </c>
      <c r="O87" s="1200" t="str">
        <f>VLOOKUP(A87,Marché!$B$1:$L$2409,9,FALSE)</f>
        <v>A</v>
      </c>
      <c r="P87" s="1200" t="str">
        <f>VLOOKUP(A87,Marché!$B$1:$L$2409,10,FALSE)</f>
        <v>A</v>
      </c>
      <c r="Q87" s="1200" t="s">
        <v>1014</v>
      </c>
      <c r="R87" s="1287">
        <v>5.0000000000000001E-3</v>
      </c>
      <c r="S87" s="1229" cm="1">
        <f t="array" ref="S87">IF(C87&gt;'Courbe des taux'!$D$50,ROUND( TREND('Courbe des taux'!$E$49:$E$50,'Courbe des taux'!$D$49:$D$50,Lignes_détenues!C87),5),ROUND(IF(C87&gt;365,interpoler(_mat2,taux2,C87),interpoler(_mat1,taux1,C87)),5))</f>
        <v>2.2700000000000001E-2</v>
      </c>
      <c r="T87" s="1201">
        <f t="shared" si="3"/>
        <v>2.2700000000000001E-2</v>
      </c>
      <c r="U87" s="1201" t="str">
        <f>VLOOKUP(A87,Marché!$B$1:M3878,12,FALSE)</f>
        <v>Certificat de dépôt</v>
      </c>
      <c r="V87" s="1202" t="str">
        <f>+IF((AB87-$AF$1)&lt;=366,"M","A")</f>
        <v>M</v>
      </c>
      <c r="W87" s="1202" t="s">
        <v>287</v>
      </c>
      <c r="X87" s="1212">
        <f>+prix_titre(AF$1,AA87,AB87,M87,K87,W87,V87,P87,Q87,N87,D87,Y87)</f>
        <v>0</v>
      </c>
      <c r="Y87" s="1202">
        <v>1</v>
      </c>
      <c r="Z87" s="35">
        <v>45465</v>
      </c>
      <c r="AA87" s="1198">
        <f>VLOOKUP(A87,Marché!$B$1:$L$2409,6,FALSE)</f>
        <v>43518</v>
      </c>
      <c r="AB87" s="1198">
        <f>VLOOKUP(A87,Marché!$B$1:$L$2409,7,FALSE)</f>
        <v>45830</v>
      </c>
      <c r="AC87" s="35"/>
      <c r="AD87" s="2"/>
    </row>
    <row r="88" spans="1:31" ht="15" hidden="1" x14ac:dyDescent="0.25">
      <c r="A88" s="1191">
        <v>201535</v>
      </c>
      <c r="B88" s="1192">
        <f t="shared" si="6"/>
        <v>104077.63</v>
      </c>
      <c r="C88" s="1193">
        <f>(AB88-$AF$1)</f>
        <v>1180</v>
      </c>
      <c r="D88" s="1194">
        <f t="shared" si="1"/>
        <v>2.8549999999999999E-2</v>
      </c>
      <c r="E88" s="1195">
        <f>duration_titre($AF$1,AA88,AB88,M88,K88,W88,V88,P88,Q88,N88,D88)</f>
        <v>3.0443407099779529</v>
      </c>
      <c r="F88" s="1195">
        <f t="shared" si="5"/>
        <v>2.9598373535345415</v>
      </c>
      <c r="G88" s="1195">
        <f>convexite_titre($AF$1,AA88,AB88,M88,K88,W88,V88,P88,Q88,N88,D88)</f>
        <v>12.023758501195676</v>
      </c>
      <c r="H88" s="1196">
        <f>+ROUND(coupon_courru($AF$1,AA88,AB88,M88,K88,W88,P88,Q88,N88,V88,"V"),4)</f>
        <v>2579.0410999999999</v>
      </c>
      <c r="I88" s="1199">
        <f>+IF(Y88=1,B88,D88*100)</f>
        <v>104077.63</v>
      </c>
      <c r="J88" s="1193" t="str">
        <f>VLOOKUP(A88,Marché!B1393:L3687,2,FALSE)</f>
        <v>BDT du 04/02/19 ATYP 18/06/19 à 3.35%  10 ans</v>
      </c>
      <c r="K88" s="1193">
        <f>VLOOKUP(A88,Marché!B1393:L3687,3,FALSE)</f>
        <v>100000</v>
      </c>
      <c r="L88" s="1193">
        <f>VLOOKUP(A88,Marché!B1393:L3687,4,FALSE)</f>
        <v>0</v>
      </c>
      <c r="M88" s="1197">
        <f>VLOOKUP(A88,Marché!B1393:L3687,5,FALSE)</f>
        <v>3.3500000000000002E-2</v>
      </c>
      <c r="N88" s="1193">
        <f>VLOOKUP(A88,Marché!$B$1:$L$2409,8,FALSE)</f>
        <v>10</v>
      </c>
      <c r="O88" s="1200" t="str">
        <f>VLOOKUP(A88,Marché!$B$1:$L$2409,9,FALSE)</f>
        <v>A</v>
      </c>
      <c r="P88" s="1200" t="str">
        <f>VLOOKUP(A88,Marché!$B$1:$L$2409,10,FALSE)</f>
        <v>A</v>
      </c>
      <c r="Q88" s="1200" t="s">
        <v>1014</v>
      </c>
      <c r="R88" s="1287">
        <v>0</v>
      </c>
      <c r="S88" s="1229" cm="1">
        <f t="array" ref="S88">IF(C88&gt;'Courbe des taux'!$D$50,ROUND( TREND('Courbe des taux'!$E$49:$E$50,'Courbe des taux'!$D$49:$D$50,Lignes_détenues!C88),5),ROUND(IF(C88&gt;365,interpoler(_mat2,taux2,C88),interpoler(_mat1,taux1,C88)),5))</f>
        <v>2.8549999999999999E-2</v>
      </c>
      <c r="T88" s="1201">
        <f t="shared" si="3"/>
        <v>2.8549999999999999E-2</v>
      </c>
      <c r="U88" s="1201" t="str">
        <f>VLOOKUP(A88,Marché!$B$1:M3879,12,FALSE)</f>
        <v>Bon du Trésor</v>
      </c>
      <c r="V88" s="1202" t="str">
        <f>+IF((AB88-$AF$1)&lt;=366,"M","A")</f>
        <v>A</v>
      </c>
      <c r="W88" s="1202" t="s">
        <v>287</v>
      </c>
      <c r="X88" s="1212">
        <f>+prix_atp(AF$1,AA88,Z88,AB88,M88,K88,W88,V88,P88,Q88,N88,D88,Y88)</f>
        <v>104077.63335122704</v>
      </c>
      <c r="Y88" s="1202">
        <v>1</v>
      </c>
      <c r="Z88" s="35">
        <v>43634</v>
      </c>
      <c r="AA88" s="1198">
        <f>VLOOKUP(A88,Marché!$B$1:$L$2409,6,FALSE)</f>
        <v>43500</v>
      </c>
      <c r="AB88" s="1198">
        <f>VLOOKUP(A88,Marché!$B$1:$L$2409,7,FALSE)</f>
        <v>47287</v>
      </c>
      <c r="AC88" s="35"/>
      <c r="AD88" s="2"/>
    </row>
    <row r="89" spans="1:31" ht="15" hidden="1" x14ac:dyDescent="0.25">
      <c r="A89" s="1191">
        <v>201524</v>
      </c>
      <c r="B89" s="1192">
        <f t="shared" si="6"/>
        <v>107277.75999999999</v>
      </c>
      <c r="C89" s="1193">
        <f>(AB89-$AF$1)</f>
        <v>4526</v>
      </c>
      <c r="D89" s="1194">
        <f t="shared" si="1"/>
        <v>3.458E-2</v>
      </c>
      <c r="E89" s="1195">
        <f>duration_titre($AF$1,AA89,AB89,M89,K89,W89,V89,P89,Q89,N89,D89)</f>
        <v>9.8840330667762331</v>
      </c>
      <c r="F89" s="1195">
        <f t="shared" si="5"/>
        <v>9.553667253161894</v>
      </c>
      <c r="G89" s="1195">
        <f>convexite_titre($AF$1,AA89,AB89,M89,K89,W89,V89,P89,Q89,N89,D89)</f>
        <v>114.85892836734058</v>
      </c>
      <c r="H89" s="1196">
        <f>+ROUND(coupon_courru($AF$1,AA89,AB89,M89,K89,W89,P89,Q89,N89,V89,"V"),4)</f>
        <v>2402.4657999999999</v>
      </c>
      <c r="I89" s="1199">
        <f>+IF(Y89=1,B89,D89*100)</f>
        <v>107277.75999999999</v>
      </c>
      <c r="J89" s="1193" t="str">
        <f>VLOOKUP(A89,Marché!B1394:L3688,2,FALSE)</f>
        <v>BDT du 02/04/18 ATYP 16/08/18 à 3.95% 20 ANS</v>
      </c>
      <c r="K89" s="1193">
        <f>VLOOKUP(A89,Marché!B1394:L3688,3,FALSE)</f>
        <v>100000</v>
      </c>
      <c r="L89" s="1193">
        <f>VLOOKUP(A89,Marché!B1394:L3688,4,FALSE)</f>
        <v>0</v>
      </c>
      <c r="M89" s="1197">
        <f>VLOOKUP(A89,Marché!B1394:L3688,5,FALSE)</f>
        <v>3.95E-2</v>
      </c>
      <c r="N89" s="1193">
        <f>VLOOKUP(A89,Marché!$B$1:$L$2409,8,FALSE)</f>
        <v>20</v>
      </c>
      <c r="O89" s="1200" t="str">
        <f>VLOOKUP(A89,Marché!$B$1:$L$2409,9,FALSE)</f>
        <v>A</v>
      </c>
      <c r="P89" s="1200" t="str">
        <f>VLOOKUP(A89,Marché!$B$1:$L$2409,10,FALSE)</f>
        <v>A</v>
      </c>
      <c r="Q89" s="1200" t="s">
        <v>1014</v>
      </c>
      <c r="R89" s="1287">
        <v>0</v>
      </c>
      <c r="S89" s="1229" cm="1">
        <f t="array" ref="S89">IF(C89&gt;'Courbe des taux'!$D$50,ROUND( TREND('Courbe des taux'!$E$49:$E$50,'Courbe des taux'!$D$49:$D$50,Lignes_détenues!C89),5),ROUND(IF(C89&gt;365,interpoler(_mat2,taux2,C89),interpoler(_mat1,taux1,C89)),5))</f>
        <v>3.458E-2</v>
      </c>
      <c r="T89" s="1201">
        <f t="shared" si="3"/>
        <v>3.458E-2</v>
      </c>
      <c r="U89" s="1201" t="str">
        <f>VLOOKUP(A89,Marché!$B$1:M3880,12,FALSE)</f>
        <v>Bon du Trésor</v>
      </c>
      <c r="V89" s="1202" t="str">
        <f>+IF((AB89-$AF$1)&lt;=366,"M","A")</f>
        <v>A</v>
      </c>
      <c r="W89" s="1202" t="s">
        <v>287</v>
      </c>
      <c r="X89" s="1212">
        <f>+prix_atp(AF$1,AA89,Z89,AB89,M89,K89,W89,V89,P89,Q89,N89,D89,Y89)</f>
        <v>107277.76499914186</v>
      </c>
      <c r="Y89" s="1202">
        <v>1</v>
      </c>
      <c r="Z89" s="35">
        <v>43328</v>
      </c>
      <c r="AA89" s="1198">
        <f>VLOOKUP(A89,Marché!$B$1:$L$2409,6,FALSE)</f>
        <v>43192</v>
      </c>
      <c r="AB89" s="1198">
        <f>VLOOKUP(A89,Marché!$B$1:$L$2409,7,FALSE)</f>
        <v>50633</v>
      </c>
      <c r="AC89" s="35"/>
      <c r="AD89" s="2"/>
    </row>
    <row r="90" spans="1:31" ht="15" hidden="1" x14ac:dyDescent="0.25">
      <c r="A90" s="1191">
        <v>152052</v>
      </c>
      <c r="B90" s="1192">
        <f t="shared" si="6"/>
        <v>0</v>
      </c>
      <c r="C90" s="1193">
        <f>(AB90-$AF$1)</f>
        <v>-98</v>
      </c>
      <c r="D90" s="1194">
        <f t="shared" si="1"/>
        <v>2.784E-2</v>
      </c>
      <c r="E90" s="1195">
        <f>duration_titre($AF$1,AA90,AB90,M90,K90,W90,V90,P90,Q90,N90,D90)</f>
        <v>0</v>
      </c>
      <c r="F90" s="1195">
        <f t="shared" ref="F90:F102" si="7">+E90/(1+D90)</f>
        <v>0</v>
      </c>
      <c r="G90" s="1195">
        <f>convexite_titre($AF$1,AA90,AB90,M90,K90,W90,V90,P90,Q90,N90,D90)</f>
        <v>0</v>
      </c>
      <c r="H90" s="1196">
        <f>+ROUND(coupon_courru($AF$1,AA90,AB90,M90,K90,W90,P90,Q90,N90,V90,"V"),4)</f>
        <v>907.5068</v>
      </c>
      <c r="I90" s="1199">
        <f>+IF(Y90=1,B90,D90*100)</f>
        <v>0</v>
      </c>
      <c r="J90" s="1193" t="str">
        <f>VLOOKUP(A90,Marché!B1401:L3695,2,FALSE)</f>
        <v>CD SGMB du 29/03/2019 ATYP à 3,38% 6 an</v>
      </c>
      <c r="K90" s="1193">
        <f>VLOOKUP(A90,Marché!B1401:L3695,3,FALSE)</f>
        <v>100000</v>
      </c>
      <c r="L90" s="1193">
        <f>VLOOKUP(A90,Marché!B1401:L3695,4,FALSE)</f>
        <v>0</v>
      </c>
      <c r="M90" s="1197">
        <f>VLOOKUP(A90,Marché!B1401:L3695,5,FALSE)</f>
        <v>3.3799999999999997E-2</v>
      </c>
      <c r="N90" s="1193">
        <f>VLOOKUP(A90,Marché!$B$1:$L$2409,8,FALSE)</f>
        <v>6</v>
      </c>
      <c r="O90" s="1200" t="str">
        <f>VLOOKUP(A90,Marché!$B$1:$L$2409,9,FALSE)</f>
        <v>A</v>
      </c>
      <c r="P90" s="1200" t="str">
        <f>VLOOKUP(A90,Marché!$B$1:$L$2409,10,FALSE)</f>
        <v>A</v>
      </c>
      <c r="Q90" s="1200" t="s">
        <v>1014</v>
      </c>
      <c r="R90" s="1287">
        <v>5.1399999999999996E-3</v>
      </c>
      <c r="S90" s="1229" cm="1">
        <f t="array" ref="S90">IF(C90&gt;'Courbe des taux'!$D$50,ROUND( TREND('Courbe des taux'!$E$49:$E$50,'Courbe des taux'!$D$49:$D$50,Lignes_détenues!C90),5),ROUND(IF(C90&gt;365,interpoler(_mat2,taux2,C90),interpoler(_mat1,taux1,C90)),5))</f>
        <v>2.2700000000000001E-2</v>
      </c>
      <c r="T90" s="1201">
        <f t="shared" si="3"/>
        <v>2.2700000000000001E-2</v>
      </c>
      <c r="U90" s="1201" t="str">
        <f>VLOOKUP(A90,Marché!$B$1:M3887,12,FALSE)</f>
        <v>Certificat de dépôt</v>
      </c>
      <c r="V90" s="1202" t="str">
        <f>+IF((AB90-$AF$1)&lt;=366,"M","A")</f>
        <v>M</v>
      </c>
      <c r="W90" s="1202" t="s">
        <v>287</v>
      </c>
      <c r="X90" s="1212">
        <f>+prix_atp(AF$1,AA90,Z90,AB90,M90,K90,W90,V90,P90,Q90,N90,D90,Y90)</f>
        <v>0</v>
      </c>
      <c r="Y90" s="1202">
        <v>1</v>
      </c>
      <c r="Z90" s="35">
        <v>43817</v>
      </c>
      <c r="AA90" s="1198">
        <f>VLOOKUP(A90,Marché!$B$1:$L$2409,6,FALSE)</f>
        <v>43553</v>
      </c>
      <c r="AB90" s="1198">
        <f>VLOOKUP(A90,Marché!$B$1:$L$2409,7,FALSE)</f>
        <v>46009</v>
      </c>
      <c r="AC90" s="35"/>
      <c r="AD90" s="2"/>
    </row>
    <row r="91" spans="1:31" ht="15" hidden="1" x14ac:dyDescent="0.25">
      <c r="A91" s="1191">
        <v>152053</v>
      </c>
      <c r="B91" s="1192">
        <f t="shared" si="6"/>
        <v>102966.86</v>
      </c>
      <c r="C91" s="1193">
        <f>(AB91-$AF$1)</f>
        <v>3</v>
      </c>
      <c r="D91" s="1194">
        <f t="shared" ref="D91:D154" si="8">ROUND(T91+R91,5)</f>
        <v>2.81E-2</v>
      </c>
      <c r="E91" s="1195">
        <f>duration_titre($AF$1,AA91,AB91,M91,K91,W91,V91,P91,Q91,N91,D91)</f>
        <v>8.21917808219178E-3</v>
      </c>
      <c r="F91" s="1195">
        <f t="shared" si="7"/>
        <v>7.9945317402896413E-3</v>
      </c>
      <c r="G91" s="1195">
        <f>convexite_titre($AF$1,AA91,AB91,M91,K91,W91,V91,P91,Q91,N91,D91)</f>
        <v>7.8399379635704855E-3</v>
      </c>
      <c r="H91" s="1196">
        <f>+ROUND(coupon_courru($AF$1,AA91,AB91,M91,K91,W91,P91,Q91,N91,V91,"V"),4)</f>
        <v>2966.3888999999999</v>
      </c>
      <c r="I91" s="1199">
        <f>+IF(Y91=1,B91,D91*100)</f>
        <v>102966.86</v>
      </c>
      <c r="J91" s="1193" t="str">
        <f>VLOOKUP(A91,Marché!B1402:L3696,2,FALSE)</f>
        <v xml:space="preserve">CD SGMB du 29/03/2019 à 2.92% 7 ans Révis 52 sem </v>
      </c>
      <c r="K91" s="1193">
        <f>VLOOKUP(A91,Marché!B1402:L3696,3,FALSE)</f>
        <v>100000</v>
      </c>
      <c r="L91" s="1193">
        <f>VLOOKUP(A91,Marché!B1402:L3696,4,FALSE)</f>
        <v>0</v>
      </c>
      <c r="M91" s="1197">
        <v>2.9499999999999998E-2</v>
      </c>
      <c r="N91" s="1193">
        <v>52</v>
      </c>
      <c r="O91" s="1200" t="s">
        <v>369</v>
      </c>
      <c r="P91" s="1200" t="str">
        <f>VLOOKUP(A91,Marché!$B$1:$L$2409,10,FALSE)</f>
        <v>A</v>
      </c>
      <c r="Q91" s="1200" t="s">
        <v>1014</v>
      </c>
      <c r="R91" s="1287">
        <v>5.4000000000000003E-3</v>
      </c>
      <c r="S91" s="1229" cm="1">
        <f t="array" ref="S91">IF(C91&gt;'Courbe des taux'!$D$50,ROUND( TREND('Courbe des taux'!$E$49:$E$50,'Courbe des taux'!$D$49:$D$50,Lignes_détenues!C91),5),ROUND(IF(C91&gt;365,interpoler(_mat2,taux2,C91),interpoler(_mat1,taux1,C91)),5))</f>
        <v>2.2700000000000001E-2</v>
      </c>
      <c r="T91" s="1201">
        <f t="shared" si="3"/>
        <v>2.2700000000000001E-2</v>
      </c>
      <c r="U91" s="1201" t="str">
        <f>VLOOKUP(A91,Marché!$B$1:M3888,12,FALSE)</f>
        <v>Certificat de dépôt</v>
      </c>
      <c r="V91" s="1202" t="str">
        <f>+IF((AB91-$AF$1)&lt;=366,"M","A")</f>
        <v>M</v>
      </c>
      <c r="W91" s="1202" t="s">
        <v>287</v>
      </c>
      <c r="X91" s="1212">
        <f>+prix_titre(AF$1,AA91,AB91,M91,K91,W91,V91,P91,Q91,N91,D91,Y91)</f>
        <v>102966.85859394592</v>
      </c>
      <c r="Y91" s="1202">
        <v>1</v>
      </c>
      <c r="Z91" s="35" t="s">
        <v>2550</v>
      </c>
      <c r="AA91" s="1198">
        <v>45745</v>
      </c>
      <c r="AB91" s="1198">
        <v>46110</v>
      </c>
      <c r="AC91" s="35"/>
      <c r="AD91" s="2"/>
    </row>
    <row r="92" spans="1:31" ht="15" hidden="1" x14ac:dyDescent="0.25">
      <c r="A92" s="1191">
        <v>9394</v>
      </c>
      <c r="B92" s="1192">
        <f t="shared" si="6"/>
        <v>108707.02</v>
      </c>
      <c r="C92" s="1193">
        <f>(AB92-$AF$1)</f>
        <v>8435</v>
      </c>
      <c r="D92" s="1194">
        <f t="shared" si="8"/>
        <v>4.1849999999999998E-2</v>
      </c>
      <c r="E92" s="1195">
        <f>duration_titre($AF$1,AA92,AB92,M92,K92,W92,V92,P92,Q92,N92,D92)</f>
        <v>14.583228903150253</v>
      </c>
      <c r="F92" s="1195">
        <f t="shared" si="7"/>
        <v>13.997436198253352</v>
      </c>
      <c r="G92" s="1195">
        <f>convexite_titre($AF$1,AA92,AB92,M92,K92,W92,V92,P92,Q92,N92,D92)</f>
        <v>274.71919330546029</v>
      </c>
      <c r="H92" s="1196">
        <f>+ROUND(coupon_courru($AF$1,AA92,AB92,M92,K92,W92,P92,Q92,N92,V92,"V"),4)</f>
        <v>3926.6574999999998</v>
      </c>
      <c r="I92" s="1199">
        <f>+IF(Y92=1,B92,D92*100)</f>
        <v>108707.02</v>
      </c>
      <c r="J92" s="1193" t="str">
        <f>VLOOKUP(A92,Marché!B1410:L3704,2,FALSE)</f>
        <v>OBL ADM du 29/04/19 30ans à 4.33% AMORT avec DIF 15</v>
      </c>
      <c r="K92" s="1193">
        <f>VLOOKUP(A92,Marché!B1410:L3704,3,FALSE)</f>
        <v>100000</v>
      </c>
      <c r="L92" s="1193">
        <f>VLOOKUP(A92,Marché!B1410:L3704,4,FALSE)</f>
        <v>0</v>
      </c>
      <c r="M92" s="1197">
        <f>VLOOKUP(A92,Marché!B1410:L3704,5,FALSE)</f>
        <v>4.3299999999999998E-2</v>
      </c>
      <c r="N92" s="1193">
        <f>VLOOKUP(A92,Marché!$B$1:$L$2409,8,FALSE)</f>
        <v>30</v>
      </c>
      <c r="O92" s="1200" t="str">
        <f>VLOOKUP(A92,Marché!$B$1:$L$2409,9,FALSE)</f>
        <v>A</v>
      </c>
      <c r="P92" s="1200" t="str">
        <f>VLOOKUP(A92,Marché!$B$1:$L$2409,10,FALSE)</f>
        <v>A</v>
      </c>
      <c r="Q92" s="1200" t="s">
        <v>1014</v>
      </c>
      <c r="R92" s="1287">
        <v>3.7000000000000002E-3</v>
      </c>
      <c r="S92" s="1229" cm="1">
        <f t="array" ref="S92">IF(C92&gt;'Courbe des taux'!$D$50,ROUND( TREND('Courbe des taux'!$E$49:$E$50,'Courbe des taux'!$D$49:$D$50,Lignes_détenues!C92),5),ROUND(IF(C92&gt;365,interpoler(_mat2,taux2,C92),interpoler(_mat1,taux1,C92)),5))</f>
        <v>3.8150000000000003E-2</v>
      </c>
      <c r="T92" s="1201">
        <f t="shared" ref="T92:T155" si="9">S92</f>
        <v>3.8150000000000003E-2</v>
      </c>
      <c r="U92" s="1201" t="str">
        <f>VLOOKUP(A92,Marché!$B$1:M3896,12,FALSE)</f>
        <v xml:space="preserve">OBL SUBORDONNE </v>
      </c>
      <c r="V92" s="1202" t="str">
        <f>+IF((AB92-$AF$1)&lt;=366,"M","A")</f>
        <v>A</v>
      </c>
      <c r="W92" s="1202" t="s">
        <v>287</v>
      </c>
      <c r="X92" s="1212">
        <f>Ammortissable!C130</f>
        <v>108707.01903000001</v>
      </c>
      <c r="Y92" s="1202">
        <v>1</v>
      </c>
      <c r="Z92" s="35"/>
      <c r="AA92" s="1198">
        <f>VLOOKUP(A92,Marché!$B$1:$L$2409,6,FALSE)</f>
        <v>43584</v>
      </c>
      <c r="AB92" s="1198">
        <f>VLOOKUP(A92,Marché!$B$1:$L$2409,7,FALSE)</f>
        <v>54542</v>
      </c>
      <c r="AC92" s="35"/>
      <c r="AD92" s="2"/>
    </row>
    <row r="93" spans="1:31" ht="15" hidden="1" x14ac:dyDescent="0.25">
      <c r="A93" s="1191">
        <v>201536</v>
      </c>
      <c r="B93" s="1192">
        <f t="shared" si="6"/>
        <v>104301.43</v>
      </c>
      <c r="C93" s="1193">
        <f>(AB93-$AF$1)</f>
        <v>3035</v>
      </c>
      <c r="D93" s="1194">
        <f t="shared" si="8"/>
        <v>3.236E-2</v>
      </c>
      <c r="E93" s="1195">
        <f>duration_titre($AF$1,AA93,AB93,M93,K93,W93,V93,P93,Q93,N93,D93)</f>
        <v>7.2015920745816997</v>
      </c>
      <c r="F93" s="1195">
        <f t="shared" si="7"/>
        <v>6.9758534567221711</v>
      </c>
      <c r="G93" s="1195">
        <f>convexite_titre($AF$1,AA93,AB93,M93,K93,W93,V93,P93,Q93,N93,D93)</f>
        <v>60.307956108033004</v>
      </c>
      <c r="H93" s="1196">
        <f>+ROUND(coupon_courru($AF$1,AA93,AB93,M93,K93,W93,P93,Q93,N93,V93,"V"),4)</f>
        <v>2416.4384</v>
      </c>
      <c r="I93" s="1199">
        <f>+IF(Y93=1,B93,D93*100)</f>
        <v>104301.43</v>
      </c>
      <c r="J93" s="1193" t="str">
        <f>VLOOKUP(A93,Marché!B1411:L3705,2,FALSE)</f>
        <v>BDT du 15/04/19 ATYP 17/07/19 à 3.50% 15ANS</v>
      </c>
      <c r="K93" s="1193">
        <f>VLOOKUP(A93,Marché!B1411:L3705,3,FALSE)</f>
        <v>100000</v>
      </c>
      <c r="L93" s="1193">
        <f>VLOOKUP(A93,Marché!B1411:L3705,4,FALSE)</f>
        <v>0</v>
      </c>
      <c r="M93" s="1197">
        <f>VLOOKUP(A93,Marché!B1411:L3705,5,FALSE)</f>
        <v>3.5000000000000003E-2</v>
      </c>
      <c r="N93" s="1193">
        <f>VLOOKUP(A93,Marché!$B$1:$L$2409,8,FALSE)</f>
        <v>15</v>
      </c>
      <c r="O93" s="1200" t="str">
        <f>VLOOKUP(A93,Marché!$B$1:$L$2409,9,FALSE)</f>
        <v>A</v>
      </c>
      <c r="P93" s="1200" t="str">
        <f>VLOOKUP(A93,Marché!$B$1:$L$2409,10,FALSE)</f>
        <v>A</v>
      </c>
      <c r="Q93" s="1200" t="s">
        <v>1014</v>
      </c>
      <c r="R93" s="1287">
        <v>0</v>
      </c>
      <c r="S93" s="1229" cm="1">
        <f t="array" ref="S93">IF(C93&gt;'Courbe des taux'!$D$50,ROUND( TREND('Courbe des taux'!$E$49:$E$50,'Courbe des taux'!$D$49:$D$50,Lignes_détenues!C93),5),ROUND(IF(C93&gt;365,interpoler(_mat2,taux2,C93),interpoler(_mat1,taux1,C93)),5))</f>
        <v>3.236E-2</v>
      </c>
      <c r="T93" s="1201">
        <f t="shared" si="9"/>
        <v>3.236E-2</v>
      </c>
      <c r="U93" s="1201" t="str">
        <f>VLOOKUP(A93,Marché!$B$1:M3897,12,FALSE)</f>
        <v>Bon du Trésor</v>
      </c>
      <c r="V93" s="1202" t="str">
        <f>+IF((AB93-$AF$1)&lt;=366,"M","A")</f>
        <v>A</v>
      </c>
      <c r="W93" s="1202" t="s">
        <v>287</v>
      </c>
      <c r="X93" s="1212">
        <f>+prix_atp(AF$1,AA93,Z93,AB93,M93,K93,W93,V93,P93,Q93,N93,D93,Y93)</f>
        <v>104301.42811759899</v>
      </c>
      <c r="Y93" s="1202">
        <v>1</v>
      </c>
      <c r="Z93" s="35">
        <v>43663</v>
      </c>
      <c r="AA93" s="1198">
        <f>VLOOKUP(A93,Marché!$B$1:$L$2409,6,FALSE)</f>
        <v>43570</v>
      </c>
      <c r="AB93" s="1198">
        <f>VLOOKUP(A93,Marché!$B$1:$L$2409,7,FALSE)</f>
        <v>49142</v>
      </c>
      <c r="AC93" s="35"/>
      <c r="AD93" s="2"/>
    </row>
    <row r="94" spans="1:31" ht="15" hidden="1" x14ac:dyDescent="0.25">
      <c r="A94" s="1191">
        <v>9395</v>
      </c>
      <c r="B94" s="1192">
        <f t="shared" si="6"/>
        <v>61784.81</v>
      </c>
      <c r="C94" s="1193">
        <f>(AB94-$AF$1)</f>
        <v>2992</v>
      </c>
      <c r="D94" s="1194">
        <f t="shared" si="8"/>
        <v>4.1300000000000003E-2</v>
      </c>
      <c r="E94" s="1195">
        <f>duration_titre($AF$1,AA94,AB94,M94,K94,W94,V94,P94,Q94,N94,D94)</f>
        <v>6.9421115164822869</v>
      </c>
      <c r="F94" s="1195">
        <f t="shared" si="7"/>
        <v>6.6667737601865804</v>
      </c>
      <c r="G94" s="1195">
        <f>convexite_titre($AF$1,AA94,AB94,M94,K94,W94,V94,P94,Q94,N94,D94)</f>
        <v>56.137429896185409</v>
      </c>
      <c r="H94" s="1196">
        <f>+ROUND(coupon_courru($AF$1,AA94,AB94,M94,K94,W94,P94,Q94,N94,V94,"V"),4)</f>
        <v>3160.1370000000002</v>
      </c>
      <c r="I94" s="1199">
        <f>+IF(Y94=1,B94,D94*100)</f>
        <v>61784.81</v>
      </c>
      <c r="J94" s="1193" t="str">
        <f>VLOOKUP(A94,Marché!B1415:L3709,2,FALSE)</f>
        <v xml:space="preserve">OBL ANP du 04/06/2019 à 3.91% 15 ans TRANCH B </v>
      </c>
      <c r="K94" s="1193">
        <f>VLOOKUP(A94,Marché!B1415:L3709,3,FALSE)</f>
        <v>100000</v>
      </c>
      <c r="L94" s="1193">
        <f>VLOOKUP(A94,Marché!B1415:L3709,4,FALSE)</f>
        <v>0</v>
      </c>
      <c r="M94" s="1197">
        <f>VLOOKUP(A94,Marché!B1415:L3709,5,FALSE)</f>
        <v>3.9100000000000003E-2</v>
      </c>
      <c r="N94" s="1193">
        <f>VLOOKUP(A94,Marché!$B$1:$L$2409,8,FALSE)</f>
        <v>15</v>
      </c>
      <c r="O94" s="1200" t="str">
        <f>VLOOKUP(A94,Marché!$B$1:$L$2409,9,FALSE)</f>
        <v>A</v>
      </c>
      <c r="P94" s="1200" t="str">
        <f>VLOOKUP(A94,Marché!$B$1:$L$2409,10,FALSE)</f>
        <v>A</v>
      </c>
      <c r="Q94" s="1200" t="s">
        <v>1014</v>
      </c>
      <c r="R94" s="1287">
        <v>8.9999999999999993E-3</v>
      </c>
      <c r="S94" s="1229" cm="1">
        <f t="array" ref="S94">IF(C94&gt;'Courbe des taux'!$D$50,ROUND( TREND('Courbe des taux'!$E$49:$E$50,'Courbe des taux'!$D$49:$D$50,Lignes_détenues!C94),5),ROUND(IF(C94&gt;365,interpoler(_mat2,taux2,C94),interpoler(_mat1,taux1,C94)),5))</f>
        <v>3.2300000000000002E-2</v>
      </c>
      <c r="T94" s="1201">
        <f t="shared" si="9"/>
        <v>3.2300000000000002E-2</v>
      </c>
      <c r="U94" s="1201" t="str">
        <f>VLOOKUP(A94,Marché!$B$1:M3901,12,FALSE)</f>
        <v>OBLIG</v>
      </c>
      <c r="V94" s="1202" t="str">
        <f>+IF((AB94-$AF$1)&lt;=366,"M","A")</f>
        <v>A</v>
      </c>
      <c r="W94" s="1202" t="s">
        <v>287</v>
      </c>
      <c r="X94" s="1212">
        <f>Ammortissable!C170</f>
        <v>61784.814299999998</v>
      </c>
      <c r="Y94" s="1202">
        <v>1</v>
      </c>
      <c r="Z94" s="35"/>
      <c r="AA94" s="1198">
        <f>VLOOKUP(A94,Marché!$B$1:$L$2409,6,FALSE)</f>
        <v>43620</v>
      </c>
      <c r="AB94" s="1198">
        <f>VLOOKUP(A94,Marché!$B$1:$L$2409,7,FALSE)</f>
        <v>49099</v>
      </c>
      <c r="AC94" s="35"/>
      <c r="AD94" s="2"/>
    </row>
    <row r="95" spans="1:31" ht="15" hidden="1" x14ac:dyDescent="0.25">
      <c r="A95" s="1191">
        <v>9396</v>
      </c>
      <c r="B95" s="1192">
        <f t="shared" si="6"/>
        <v>40910.43</v>
      </c>
      <c r="C95" s="1193">
        <f>(AA95-$AF$1)</f>
        <v>-295</v>
      </c>
      <c r="D95" s="1194">
        <f t="shared" si="8"/>
        <v>2.9700000000000001E-2</v>
      </c>
      <c r="E95" s="1195">
        <f>duration_titre($AF$1,#REF!,AA95,M95,K95,W95,V95,P95,Q95,N95,D95)</f>
        <v>0</v>
      </c>
      <c r="F95" s="1195">
        <f t="shared" si="7"/>
        <v>0</v>
      </c>
      <c r="G95" s="1195">
        <f>convexite_titre($AF$1,#REF!,AA95,M95,K95,W95,V95,P95,Q95,N95,D95)</f>
        <v>0</v>
      </c>
      <c r="H95" s="1196" t="e">
        <f>+ROUND(coupon_courru($AF$1,#REF!,AA95,M95,K95,W95,P95,Q95,N95,V95,"V"),4)</f>
        <v>#VALUE!</v>
      </c>
      <c r="I95" s="1199">
        <f>+IF(Y95=1,B95,D95*100)</f>
        <v>40910.43</v>
      </c>
      <c r="J95" s="1193" t="str">
        <f>VLOOKUP(A95,Marché!B1416:L3710,2,FALSE)</f>
        <v xml:space="preserve">OBL ANP du 04/06/2019 à 3.02% 10 ans TRANCH A </v>
      </c>
      <c r="K95" s="1193">
        <f>VLOOKUP(A95,Marché!B1416:L3710,3,FALSE)</f>
        <v>100000</v>
      </c>
      <c r="L95" s="1193">
        <f>VLOOKUP(A95,Marché!B1416:L3710,4,FALSE)</f>
        <v>0</v>
      </c>
      <c r="M95" s="1197">
        <v>2.8299999999999999E-2</v>
      </c>
      <c r="N95" s="1193">
        <v>52</v>
      </c>
      <c r="O95" s="1200" t="s">
        <v>369</v>
      </c>
      <c r="P95" s="1200" t="str">
        <f>VLOOKUP(A95,Marché!$B$1:$L$2409,10,FALSE)</f>
        <v>A</v>
      </c>
      <c r="Q95" s="1200" t="s">
        <v>1014</v>
      </c>
      <c r="R95" s="1287">
        <v>7.0000000000000001E-3</v>
      </c>
      <c r="S95" s="1229" cm="1">
        <f t="array" ref="S95">IF(C95&gt;'Courbe des taux'!$D$50,ROUND( TREND('Courbe des taux'!$E$49:$E$50,'Courbe des taux'!$D$49:$D$50,Lignes_détenues!C95),5),ROUND(IF(C95&gt;365,interpoler(_mat2,taux2,C95),interpoler(_mat1,taux1,C95)),5))</f>
        <v>2.2700000000000001E-2</v>
      </c>
      <c r="T95" s="1201">
        <f t="shared" si="9"/>
        <v>2.2700000000000001E-2</v>
      </c>
      <c r="U95" s="1201" t="str">
        <f>VLOOKUP(A95,Marché!$B$1:M3902,12,FALSE)</f>
        <v>OBLIG</v>
      </c>
      <c r="V95" s="1202" t="str">
        <f>+IF((AA95-$AF$1)&lt;=366,"M","A")</f>
        <v>M</v>
      </c>
      <c r="W95" s="1202" t="s">
        <v>287</v>
      </c>
      <c r="X95" s="1212">
        <f>Ammortissable!C58</f>
        <v>40910.430362113533</v>
      </c>
      <c r="Y95" s="1202">
        <v>1</v>
      </c>
      <c r="Z95" s="35" t="s">
        <v>2657</v>
      </c>
      <c r="AA95" s="1198">
        <v>45812</v>
      </c>
      <c r="AB95" s="1198">
        <v>46177</v>
      </c>
      <c r="AC95" s="35"/>
      <c r="AD95" s="2"/>
    </row>
    <row r="96" spans="1:31" ht="15" hidden="1" x14ac:dyDescent="0.25">
      <c r="A96" s="1191">
        <v>152038</v>
      </c>
      <c r="B96" s="1192">
        <f t="shared" si="6"/>
        <v>0</v>
      </c>
      <c r="C96" s="1193">
        <f>(AB96-$AF$1)</f>
        <v>-32</v>
      </c>
      <c r="D96" s="1194">
        <f t="shared" si="8"/>
        <v>2.8199999999999999E-2</v>
      </c>
      <c r="E96" s="1195">
        <f>duration_titre($AF$1,AA96,AB96,M96,K96,W96,V96,P96,Q96,N96,D96)</f>
        <v>0</v>
      </c>
      <c r="F96" s="1195">
        <f t="shared" si="7"/>
        <v>0</v>
      </c>
      <c r="G96" s="1195">
        <f>convexite_titre($AF$1,AA96,AB96,M96,K96,W96,V96,P96,Q96,N96,D96)</f>
        <v>0</v>
      </c>
      <c r="H96" s="1196">
        <f>+ROUND(coupon_courru($AF$1,AA96,AB96,M96,K96,W96,P96,Q96,N96,V96,"V"),4)</f>
        <v>3429.6388999999999</v>
      </c>
      <c r="I96" s="1199">
        <f>+IF(Y96=1,B96,D96*100)</f>
        <v>0</v>
      </c>
      <c r="J96" s="1193" t="str">
        <f>VLOOKUP(A96,Marché!B1421:L3715,2,FALSE)</f>
        <v xml:space="preserve">CD SGMB du 22/02/2019 à 2.92% 7 ans Révis 52 sem </v>
      </c>
      <c r="K96" s="1193">
        <f>VLOOKUP(A96,Marché!B1421:L3715,3,FALSE)</f>
        <v>100000</v>
      </c>
      <c r="L96" s="1193">
        <f>VLOOKUP(A96,Marché!B1421:L3715,4,FALSE)</f>
        <v>0</v>
      </c>
      <c r="M96" s="1197">
        <f>VLOOKUP(A96,Marché!B1421:L3715,5,FALSE)</f>
        <v>3.1099999999999999E-2</v>
      </c>
      <c r="N96" s="1193">
        <f>VLOOKUP(A96,Marché!$B$1:$L$2409,8,FALSE)</f>
        <v>52</v>
      </c>
      <c r="O96" s="1200" t="str">
        <f>VLOOKUP(A96,Marché!$B$1:$L$2409,9,FALSE)</f>
        <v>S</v>
      </c>
      <c r="P96" s="1200" t="str">
        <f>VLOOKUP(A96,Marché!$B$1:$L$2409,10,FALSE)</f>
        <v>A</v>
      </c>
      <c r="Q96" s="1200" t="s">
        <v>1014</v>
      </c>
      <c r="R96" s="1287">
        <v>5.4999999999999997E-3</v>
      </c>
      <c r="S96" s="1229" cm="1">
        <f t="array" ref="S96">IF(C96&gt;'Courbe des taux'!$D$50,ROUND( TREND('Courbe des taux'!$E$49:$E$50,'Courbe des taux'!$D$49:$D$50,Lignes_détenues!C96),5),ROUND(IF(C96&gt;365,interpoler(_mat2,taux2,C96),interpoler(_mat1,taux1,C96)),5))</f>
        <v>2.2700000000000001E-2</v>
      </c>
      <c r="T96" s="1201">
        <f t="shared" si="9"/>
        <v>2.2700000000000001E-2</v>
      </c>
      <c r="U96" s="1201">
        <f>ROUND(IF(D96*366&gt;366,interpoler(_mat2,taux2,D96*366),interpoler(_mat1,taux1,D96*366)),5)</f>
        <v>2.2700000000000001E-2</v>
      </c>
      <c r="V96" s="1202" t="str">
        <f>+IF((AB96-$AF$1)&lt;=366,"M","A")</f>
        <v>M</v>
      </c>
      <c r="W96" s="1202" t="s">
        <v>287</v>
      </c>
      <c r="X96" s="1212">
        <f>+prix_titre(AF$1,AA96,AB96,M96,K96,W96,V96,P96,Q96,N96,D96,Y96)</f>
        <v>0</v>
      </c>
      <c r="Y96" s="1202">
        <v>1</v>
      </c>
      <c r="Z96" s="35">
        <f>AB97-AA97</f>
        <v>365</v>
      </c>
      <c r="AA96" s="1198">
        <v>45710</v>
      </c>
      <c r="AB96" s="1198">
        <v>46075</v>
      </c>
      <c r="AC96" s="35"/>
      <c r="AD96" s="2"/>
      <c r="AE96" s="2">
        <v>100012.83692</v>
      </c>
    </row>
    <row r="97" spans="1:31" ht="15" hidden="1" x14ac:dyDescent="0.25">
      <c r="A97" s="1191">
        <v>9397</v>
      </c>
      <c r="B97" s="1192">
        <f t="shared" si="6"/>
        <v>102154.43</v>
      </c>
      <c r="C97" s="1193">
        <f>(AB97-$AF$1)</f>
        <v>93</v>
      </c>
      <c r="D97" s="1194">
        <f t="shared" si="8"/>
        <v>2.9010000000000001E-2</v>
      </c>
      <c r="E97" s="1195">
        <f>duration_titre($AF$1,AA97,AB97,M97,K97,W97,V97,P97,Q97,N97,D97)</f>
        <v>0.25479452054794521</v>
      </c>
      <c r="F97" s="1195">
        <f t="shared" si="7"/>
        <v>0.24761131626315119</v>
      </c>
      <c r="G97" s="1195">
        <f>convexite_titre($AF$1,AA97,AB97,M97,K97,W97,V97,P97,Q97,N97,D97)</f>
        <v>0.30194198586278703</v>
      </c>
      <c r="H97" s="1196">
        <f>+ROUND(coupon_courru($AF$1,AA97,AB97,M97,K97,W97,P97,Q97,N97,V97,"V"),4)</f>
        <v>2176</v>
      </c>
      <c r="I97" s="1199">
        <f>+IF(Y97=1,B97,D97*100)</f>
        <v>102154.43</v>
      </c>
      <c r="J97" s="1193" t="str">
        <f>VLOOKUP(A97,Marché!B1422:L3716,2,FALSE)</f>
        <v>OBL WAFASALAF du 27/06/2019 7 ans à 2.91% Rév Annuel</v>
      </c>
      <c r="K97" s="1193">
        <f>VLOOKUP(A97,Marché!B1422:L3716,3,FALSE)</f>
        <v>100000</v>
      </c>
      <c r="L97" s="1193">
        <f>VLOOKUP(A97,Marché!B1422:L3716,4,FALSE)</f>
        <v>0</v>
      </c>
      <c r="M97" s="1197">
        <v>2.8799999999999999E-2</v>
      </c>
      <c r="N97" s="1193">
        <f>VLOOKUP(A97,Marché!$B$1:$L$2409,8,FALSE)</f>
        <v>52</v>
      </c>
      <c r="O97" s="1200" t="str">
        <f>VLOOKUP(A97,Marché!$B$1:$L$2409,9,FALSE)</f>
        <v>S</v>
      </c>
      <c r="P97" s="1200" t="str">
        <f>VLOOKUP(A97,Marché!$B$1:$L$2409,10,FALSE)</f>
        <v>A</v>
      </c>
      <c r="Q97" s="1200" t="s">
        <v>1014</v>
      </c>
      <c r="R97" s="1287">
        <v>6.0000000000000001E-3</v>
      </c>
      <c r="S97" s="1229" cm="1">
        <f t="array" ref="S97">IF(C97&gt;'Courbe des taux'!$D$50,ROUND( TREND('Courbe des taux'!$E$49:$E$50,'Courbe des taux'!$D$49:$D$50,Lignes_détenues!C97),5),ROUND(IF(C97&gt;365,interpoler(_mat2,taux2,C97),interpoler(_mat1,taux1,C97)),5))</f>
        <v>2.3009999999999999E-2</v>
      </c>
      <c r="T97" s="1201">
        <f t="shared" si="9"/>
        <v>2.3009999999999999E-2</v>
      </c>
      <c r="U97" s="1201">
        <f>ROUND(IF(D97*366&gt;366,interpoler(_mat2,taux2,D97*366),interpoler(_mat1,taux1,D97*366)),5)</f>
        <v>2.2700000000000001E-2</v>
      </c>
      <c r="V97" s="1202" t="str">
        <f>+IF((AB97-$AF$1)&lt;=366,"M","A")</f>
        <v>M</v>
      </c>
      <c r="W97" s="1202" t="s">
        <v>287</v>
      </c>
      <c r="X97" s="1212">
        <f>+prix_titre(AF$1,AA97,AB97,M97,K97,W97,V97,P97,Q97,N97,D97,Y97)</f>
        <v>102154.42916919875</v>
      </c>
      <c r="Y97" s="1202">
        <v>1</v>
      </c>
      <c r="Z97" s="35" t="s">
        <v>2578</v>
      </c>
      <c r="AA97" s="1198">
        <v>45835</v>
      </c>
      <c r="AB97" s="1198">
        <v>46200</v>
      </c>
      <c r="AC97" s="35"/>
      <c r="AD97" s="2"/>
      <c r="AE97" s="2" t="str">
        <f>IF(AB97&lt;AF1, "changer le taux révisable", " " )</f>
        <v xml:space="preserve"> </v>
      </c>
    </row>
    <row r="98" spans="1:31" ht="15" hidden="1" x14ac:dyDescent="0.25">
      <c r="A98" s="1191">
        <v>9398</v>
      </c>
      <c r="B98" s="1192">
        <f t="shared" si="6"/>
        <v>104394.34</v>
      </c>
      <c r="C98" s="1193">
        <f>(AB98-$AF$1)</f>
        <v>1190</v>
      </c>
      <c r="D98" s="1194">
        <f t="shared" si="8"/>
        <v>5.3589999999999999E-2</v>
      </c>
      <c r="E98" s="1195">
        <f>duration_titre($AF$1,AA98,AB98,M98,K98,W98,V98,P98,Q98,N98,D98)</f>
        <v>2.9596153228217905</v>
      </c>
      <c r="F98" s="1195">
        <f t="shared" si="7"/>
        <v>2.8090768921703799</v>
      </c>
      <c r="G98" s="1195">
        <f>convexite_titre($AF$1,AA98,AB98,M98,K98,W98,V98,P98,Q98,N98,D98)</f>
        <v>11.116090813853107</v>
      </c>
      <c r="H98" s="1196">
        <f>+ROUND(coupon_courru($AF$1,AA98,AB98,M98,K98,W98,P98,Q98,N98,V98,"V"),4)</f>
        <v>4068.7123000000001</v>
      </c>
      <c r="I98" s="1199">
        <f>+IF(Y98=1,B98,D98*100)</f>
        <v>104394.34</v>
      </c>
      <c r="J98" s="1193" t="str">
        <f>VLOOKUP(A98,Marché!B1424:L3718,2,FALSE)</f>
        <v>OBL SUB ATW du 28/06/19 PERPET 5.48 % REV 10ans</v>
      </c>
      <c r="K98" s="1193">
        <f>VLOOKUP(A98,Marché!B1424:L3718,3,FALSE)</f>
        <v>100000</v>
      </c>
      <c r="L98" s="1193">
        <f>VLOOKUP(A98,Marché!B1424:L3718,4,FALSE)</f>
        <v>0</v>
      </c>
      <c r="M98" s="1197">
        <f>VLOOKUP(A98,Marché!B1424:L3718,5,FALSE)</f>
        <v>5.4800000000000001E-2</v>
      </c>
      <c r="N98" s="1193">
        <f>VLOOKUP(A98,Marché!$B$1:$L$2409,8,FALSE)</f>
        <v>10</v>
      </c>
      <c r="O98" s="1200" t="str">
        <f>VLOOKUP(A98,Marché!$B$1:$L$2409,9,FALSE)</f>
        <v>A</v>
      </c>
      <c r="P98" s="1200" t="str">
        <f>VLOOKUP(A98,Marché!$B$1:$L$2409,10,FALSE)</f>
        <v>A</v>
      </c>
      <c r="Q98" s="1200" t="s">
        <v>1014</v>
      </c>
      <c r="R98" s="1287">
        <v>2.5000000000000001E-2</v>
      </c>
      <c r="S98" s="1229" cm="1">
        <f t="array" ref="S98">IF(C98&gt;'Courbe des taux'!$D$50,ROUND( TREND('Courbe des taux'!$E$49:$E$50,'Courbe des taux'!$D$49:$D$50,Lignes_détenues!C98),5),ROUND(IF(C98&gt;365,interpoler(_mat2,taux2,C98),interpoler(_mat1,taux1,C98)),5))</f>
        <v>2.8590000000000001E-2</v>
      </c>
      <c r="T98" s="1201">
        <f t="shared" si="9"/>
        <v>2.8590000000000001E-2</v>
      </c>
      <c r="U98" s="1201">
        <f>ROUND(IF(D98*366&gt;366,interpoler(_mat2,taux2,D98*366),interpoler(_mat1,taux1,D98*366)),5)</f>
        <v>2.2700000000000001E-2</v>
      </c>
      <c r="V98" s="1202" t="str">
        <f>+IF((AB98-$AF$1)&lt;=366,"M","A")</f>
        <v>A</v>
      </c>
      <c r="W98" s="1202" t="s">
        <v>287</v>
      </c>
      <c r="X98" s="1212">
        <f>+prix_titre(AF$1,AA98,AB98,M98,K98,W98,V98,P98,Q98,N98,D98,Y98)</f>
        <v>104394.33805242123</v>
      </c>
      <c r="Y98" s="1202">
        <v>1</v>
      </c>
      <c r="Z98" s="35"/>
      <c r="AA98" s="1198">
        <f>VLOOKUP(A98,Marché!$B$1:$L$2409,6,FALSE)</f>
        <v>43644</v>
      </c>
      <c r="AB98" s="1198">
        <f>VLOOKUP(A98,Marché!$B$1:$L$2409,7,FALSE)</f>
        <v>47297</v>
      </c>
      <c r="AC98" s="35"/>
      <c r="AD98" s="2"/>
    </row>
    <row r="99" spans="1:31" ht="15" hidden="1" x14ac:dyDescent="0.25">
      <c r="A99" s="1191">
        <v>9399</v>
      </c>
      <c r="B99" s="1192">
        <f t="shared" si="6"/>
        <v>103401.11</v>
      </c>
      <c r="C99" s="1193">
        <f>(AB99-$AF$1)</f>
        <v>94</v>
      </c>
      <c r="D99" s="1194">
        <f t="shared" si="8"/>
        <v>4.6019999999999998E-2</v>
      </c>
      <c r="E99" s="1195">
        <f>duration_titre($AF$1,AA99,AB99,M99,K99,W99,V99,P99,Q99,N99,D99)</f>
        <v>0.25753424657534246</v>
      </c>
      <c r="F99" s="1195">
        <f t="shared" si="7"/>
        <v>0.24620394120126046</v>
      </c>
      <c r="G99" s="1195">
        <f>convexite_titre($AF$1,AA99,AB99,M99,K99,W99,V99,P99,Q99,N99,D99)</f>
        <v>0.29598849706736685</v>
      </c>
      <c r="H99" s="1196">
        <f>+ROUND(coupon_courru($AF$1,AA99,AB99,M99,K99,W99,P99,Q99,N99,V99,"V"),4)</f>
        <v>3447.7222000000002</v>
      </c>
      <c r="I99" s="1199">
        <f>+IF(Y99=1,B99,D99*100)</f>
        <v>103401.11</v>
      </c>
      <c r="J99" s="1193" t="str">
        <f>VLOOKUP(A99,Marché!B1425:L3719,2,FALSE)</f>
        <v xml:space="preserve">OBL ATW du 28/06/19 à 4.60% PERP Révis 52 SEM </v>
      </c>
      <c r="K99" s="1193">
        <f>VLOOKUP(A99,Marché!B1425:L3719,3,FALSE)</f>
        <v>100000</v>
      </c>
      <c r="L99" s="1193">
        <f>VLOOKUP(A99,Marché!B1425:L3719,4,FALSE)</f>
        <v>0</v>
      </c>
      <c r="M99" s="1197">
        <v>4.58E-2</v>
      </c>
      <c r="N99" s="1193">
        <f>VLOOKUP(A99,Marché!$B$1:$L$2409,8,FALSE)</f>
        <v>52</v>
      </c>
      <c r="O99" s="1200" t="str">
        <f>VLOOKUP(A99,Marché!$B$1:$L$2409,9,FALSE)</f>
        <v>S</v>
      </c>
      <c r="P99" s="1200" t="str">
        <f>VLOOKUP(A99,Marché!$B$1:$L$2409,10,FALSE)</f>
        <v>A</v>
      </c>
      <c r="Q99" s="1200" t="s">
        <v>1014</v>
      </c>
      <c r="R99" s="1287">
        <v>2.3E-2</v>
      </c>
      <c r="S99" s="1229" cm="1">
        <f t="array" ref="S99">IF(C99&gt;'Courbe des taux'!$D$50,ROUND( TREND('Courbe des taux'!$E$49:$E$50,'Courbe des taux'!$D$49:$D$50,Lignes_détenues!C99),5),ROUND(IF(C99&gt;365,interpoler(_mat2,taux2,C99),interpoler(_mat1,taux1,C99)),5))</f>
        <v>2.3019999999999999E-2</v>
      </c>
      <c r="T99" s="1201">
        <f t="shared" si="9"/>
        <v>2.3019999999999999E-2</v>
      </c>
      <c r="U99" s="1201">
        <f>ROUND(IF(D99*366&gt;366,interpoler(_mat2,taux2,D99*366),interpoler(_mat1,taux1,D99*366)),5)</f>
        <v>2.2700000000000001E-2</v>
      </c>
      <c r="V99" s="1202" t="str">
        <f>+IF((AB99-$AF$1)&lt;=366,"M","A")</f>
        <v>M</v>
      </c>
      <c r="W99" s="1202" t="s">
        <v>287</v>
      </c>
      <c r="X99" s="1212">
        <f>+prix_titre(AF$1,AA99,AB99,M99,K99,W99,V99,P99,Q99,N99,D99,Y99)</f>
        <v>103401.10782138232</v>
      </c>
      <c r="Y99" s="1202">
        <v>1</v>
      </c>
      <c r="Z99" s="35"/>
      <c r="AA99" s="1198">
        <v>45836</v>
      </c>
      <c r="AB99" s="1198">
        <v>46201</v>
      </c>
      <c r="AC99" s="35"/>
      <c r="AD99" s="2"/>
    </row>
    <row r="100" spans="1:31" ht="15" hidden="1" x14ac:dyDescent="0.25">
      <c r="A100" s="1191">
        <v>9402</v>
      </c>
      <c r="B100" s="1192">
        <f t="shared" si="6"/>
        <v>61299.4</v>
      </c>
      <c r="C100" s="1193">
        <f>(AB100-$AF$1)</f>
        <v>3030</v>
      </c>
      <c r="D100" s="1194">
        <f t="shared" si="8"/>
        <v>3.7350000000000001E-2</v>
      </c>
      <c r="E100" s="1195">
        <f>duration_titre($AF$1,AA100,AB100,M100,K100,W100,V100,P100,Q100,N100,D100)</f>
        <v>7.4037220276584303</v>
      </c>
      <c r="F100" s="1195">
        <f t="shared" si="7"/>
        <v>7.1371494940554587</v>
      </c>
      <c r="G100" s="1195">
        <f>convexite_titre($AF$1,AA100,AB100,M100,K100,W100,V100,P100,Q100,N100,D100)</f>
        <v>61.917062232763293</v>
      </c>
      <c r="H100" s="1196">
        <f>+ROUND(coupon_courru($AF$1,AA100,AB100,M100,K100,W100,P100,Q100,N100,V100,"V"),4)</f>
        <v>1802.5205000000001</v>
      </c>
      <c r="I100" s="1199">
        <f>+IF(Y100=1,B100,D100*100)</f>
        <v>61299.4</v>
      </c>
      <c r="J100" s="1193" t="str">
        <f>VLOOKUP(A100,Marché!B1429:L3723,2,FALSE)</f>
        <v>OBL FEC du 12/07/2019 à 3.49% 15 ans Amrt Annuel</v>
      </c>
      <c r="K100" s="1193">
        <f>VLOOKUP(A100,Marché!B1429:L3723,3,FALSE)</f>
        <v>100000</v>
      </c>
      <c r="L100" s="1193">
        <f>VLOOKUP(A100,Marché!B1429:L3723,4,FALSE)</f>
        <v>0</v>
      </c>
      <c r="M100" s="1197">
        <v>2.5600000000000001E-2</v>
      </c>
      <c r="N100" s="1193">
        <f>VLOOKUP(A100,Marché!$B$1:$L$2409,8,FALSE)</f>
        <v>5</v>
      </c>
      <c r="O100" s="1200" t="str">
        <f>VLOOKUP(A100,Marché!$B$1:$L$2409,9,FALSE)</f>
        <v>A</v>
      </c>
      <c r="P100" s="1200" t="str">
        <f>VLOOKUP(A100,Marché!$B$1:$L$2409,10,FALSE)</f>
        <v>A</v>
      </c>
      <c r="Q100" s="1200" t="s">
        <v>1014</v>
      </c>
      <c r="R100" s="1287">
        <v>5.0000000000000001E-3</v>
      </c>
      <c r="S100" s="1229" cm="1">
        <f t="array" ref="S100">IF(C100&gt;'Courbe des taux'!$D$50,ROUND( TREND('Courbe des taux'!$E$49:$E$50,'Courbe des taux'!$D$49:$D$50,Lignes_détenues!C100),5),ROUND(IF(C100&gt;365,interpoler(_mat2,taux2,C100),interpoler(_mat1,taux1,C100)),5))</f>
        <v>3.2349999999999997E-2</v>
      </c>
      <c r="T100" s="1201">
        <f t="shared" si="9"/>
        <v>3.2349999999999997E-2</v>
      </c>
      <c r="U100" s="1201">
        <f>ROUND(IF(D100*366&gt;366,interpoler(_mat2,taux2,D100*366),interpoler(_mat1,taux1,D100*366)),5)</f>
        <v>2.2700000000000001E-2</v>
      </c>
      <c r="V100" s="1202" t="str">
        <f>+IF((AB100-$AF$1)&lt;=366,"M","A")</f>
        <v>A</v>
      </c>
      <c r="W100" s="1202" t="s">
        <v>287</v>
      </c>
      <c r="X100" s="1212">
        <f>Ammortissable!C191</f>
        <v>61299.401963085416</v>
      </c>
      <c r="Y100" s="1202">
        <v>1</v>
      </c>
      <c r="Z100" s="35"/>
      <c r="AA100" s="1198">
        <f>VLOOKUP(A100,Marché!$B$1:$L$2409,6,FALSE)</f>
        <v>43658</v>
      </c>
      <c r="AB100" s="1198">
        <f>VLOOKUP(A100,Marché!$B$1:$L$2409,7,FALSE)</f>
        <v>49137</v>
      </c>
      <c r="AC100" s="35"/>
      <c r="AD100" s="2"/>
    </row>
    <row r="101" spans="1:31" s="342" customFormat="1" ht="15" hidden="1" x14ac:dyDescent="0.25">
      <c r="A101" s="1336">
        <v>9411</v>
      </c>
      <c r="B101" s="1209">
        <f t="shared" ref="B101:B132" si="10">+ROUND(X101,2)</f>
        <v>103014.78</v>
      </c>
      <c r="C101" s="1337">
        <f>(AB101-$AF$1)</f>
        <v>8620</v>
      </c>
      <c r="D101" s="1338">
        <f t="shared" si="8"/>
        <v>4.1369999999999997E-2</v>
      </c>
      <c r="E101" s="1339">
        <f>duration_titre($AF$1,AA101,AB101,M101,K101,W101,V101,P101,Q101,N101,D101)</f>
        <v>15.356659343104752</v>
      </c>
      <c r="F101" s="1339">
        <f t="shared" si="7"/>
        <v>14.746592799009722</v>
      </c>
      <c r="G101" s="1339">
        <f>convexite_titre($AF$1,AA101,AB101,M101,K101,W101,V101,P101,Q101,N101,D101)</f>
        <v>296.93148162125539</v>
      </c>
      <c r="H101" s="1340">
        <f>+ROUND(coupon_courru($AF$1,AA101,AB101,M101,K101,W101,P101,Q101,N101,V101,"V"),5)</f>
        <v>1608</v>
      </c>
      <c r="I101" s="1341">
        <f>+IF(Y101=1,B101,D101*100)</f>
        <v>103014.78</v>
      </c>
      <c r="J101" s="1337" t="str">
        <f>VLOOKUP(A101,Marché!B1445:L3739,2,FALSE)</f>
        <v>OBL ONCF du 31/10/19 à 4.02% 30 ANS AMRT LIN 15ans</v>
      </c>
      <c r="K101" s="1337">
        <f>VLOOKUP(A101,Marché!B1445:L3739,3,FALSE)</f>
        <v>100000</v>
      </c>
      <c r="L101" s="1337">
        <f>VLOOKUP(A101,Marché!B1445:L3739,4,FALSE)</f>
        <v>0</v>
      </c>
      <c r="M101" s="1342">
        <f>VLOOKUP(A101,Marché!B1445:L3739,5,FALSE)</f>
        <v>4.02E-2</v>
      </c>
      <c r="N101" s="1337">
        <f>VLOOKUP(A101,Marché!$B$1:$L$2409,8,FALSE)</f>
        <v>30</v>
      </c>
      <c r="O101" s="1344" t="str">
        <f>VLOOKUP(A101,Marché!$B$1:$L$2409,9,FALSE)</f>
        <v>A</v>
      </c>
      <c r="P101" s="1344" t="str">
        <f>VLOOKUP(A101,Marché!$B$1:$L$2409,10,FALSE)</f>
        <v>A</v>
      </c>
      <c r="Q101" s="1344" t="s">
        <v>1014</v>
      </c>
      <c r="R101" s="1345">
        <v>3.0000000000000001E-3</v>
      </c>
      <c r="S101" s="1346" cm="1">
        <f t="array" ref="S101">IF(C101&gt;'Courbe des taux'!$D$50,ROUND( TREND('Courbe des taux'!$E$49:$E$50,'Courbe des taux'!$D$49:$D$50,Lignes_détenues!C101),5),ROUND(IF(C101&gt;365,interpoler(_mat2,taux2,C101),interpoler(_mat1,taux1,C101)),5))</f>
        <v>3.8370000000000001E-2</v>
      </c>
      <c r="T101" s="1346">
        <f t="shared" si="9"/>
        <v>3.8370000000000001E-2</v>
      </c>
      <c r="U101" s="1346">
        <f>ROUND(IF(D101*366&gt;366,interpoler(_mat2,taux2,D101*366),interpoler(_mat1,taux1,D101*366)),5)</f>
        <v>2.2700000000000001E-2</v>
      </c>
      <c r="V101" s="1347" t="str">
        <f>+IF((AB101-$AF$1)&lt;=366,"M","A")</f>
        <v>A</v>
      </c>
      <c r="W101" s="1347" t="s">
        <v>287</v>
      </c>
      <c r="X101" s="1348">
        <f>Ammortissable!C781</f>
        <v>103014.78323646449</v>
      </c>
      <c r="Y101" s="1347">
        <v>1</v>
      </c>
      <c r="Z101" s="1349"/>
      <c r="AA101" s="1343">
        <f>VLOOKUP(A101,Marché!$B$1:$L$2409,6,FALSE)</f>
        <v>43769</v>
      </c>
      <c r="AB101" s="1343">
        <f>VLOOKUP(A101,Marché!$B$1:$L$2409,7,FALSE)</f>
        <v>54727</v>
      </c>
      <c r="AC101" s="35"/>
    </row>
    <row r="102" spans="1:31" ht="15" hidden="1" x14ac:dyDescent="0.25">
      <c r="A102" s="1191">
        <v>5106</v>
      </c>
      <c r="B102" s="1192">
        <f t="shared" si="10"/>
        <v>29757.88</v>
      </c>
      <c r="C102" s="1193">
        <f>(AB102-$AF$1)</f>
        <v>1916</v>
      </c>
      <c r="D102" s="1194">
        <f t="shared" si="8"/>
        <v>1.0328900000000001</v>
      </c>
      <c r="E102" s="1195">
        <f>duration_titre($AF$1,AA102,AB102,M102,K102,W102,V102,P102,Q102,N102,D102)</f>
        <v>2.482031559812897</v>
      </c>
      <c r="F102" s="1195">
        <f t="shared" si="7"/>
        <v>1.2209374633221162</v>
      </c>
      <c r="G102" s="1195">
        <f>convexite_titre($AF$1,AA102,AB102,M102,K102,W102,V102,P102,Q102,N102,D102)</f>
        <v>3.2222669722283426</v>
      </c>
      <c r="H102" s="1196">
        <f>+ROUND(coupon_courru($AF$1,AA102,AB102,M102,K102,W102,P102,Q102,N102,V102,"V"),5)</f>
        <v>2282.87671</v>
      </c>
      <c r="I102" s="1199">
        <f>+IF(Y102=1,B102,D102*100)</f>
        <v>29757.88</v>
      </c>
      <c r="J102" s="1193" t="str">
        <f>VLOOKUP(A102,Marché!B1458:L3752,2,FALSE)</f>
        <v>OBLIGATION A1 MIFTTAH 09/12/2019 12 ANS AMORT</v>
      </c>
      <c r="K102" s="1193">
        <f>VLOOKUP(A102,Marché!B1458:L3752,3,FALSE)</f>
        <v>100000</v>
      </c>
      <c r="L102" s="1193">
        <f>VLOOKUP(A102,Marché!B1458:L3752,4,FALSE)</f>
        <v>0</v>
      </c>
      <c r="M102" s="1197">
        <f>VLOOKUP(A102,Marché!B1458:L3752,5,FALSE)</f>
        <v>3.0300000000000001E-2</v>
      </c>
      <c r="N102" s="1193">
        <f>VLOOKUP(A102,Marché!$B$1:$L$2409,8,FALSE)</f>
        <v>12</v>
      </c>
      <c r="O102" s="1200" t="str">
        <f>VLOOKUP(A102,Marché!$B$1:$L$2409,9,FALSE)</f>
        <v>A</v>
      </c>
      <c r="P102" s="1200" t="str">
        <f>VLOOKUP(A102,Marché!$B$1:$L$2409,10,FALSE)</f>
        <v>A</v>
      </c>
      <c r="Q102" s="1200" t="s">
        <v>1014</v>
      </c>
      <c r="R102" s="1287">
        <v>1.002</v>
      </c>
      <c r="S102" s="1229" cm="1">
        <f t="array" ref="S102">IF(C102&gt;'Courbe des taux'!$D$50,ROUND( TREND('Courbe des taux'!$E$49:$E$50,'Courbe des taux'!$D$49:$D$50,Lignes_détenues!C102),5),ROUND(IF(C102&gt;365,interpoler(_mat2,taux2,C102),interpoler(_mat1,taux1,C102)),5))</f>
        <v>3.0890000000000001E-2</v>
      </c>
      <c r="T102" s="1201">
        <f t="shared" si="9"/>
        <v>3.0890000000000001E-2</v>
      </c>
      <c r="U102" s="1201">
        <f>ROUND(IF(D102*366&gt;366,interpoler(_mat2,taux2,D102*366),interpoler(_mat1,taux1,D102*366)),5)</f>
        <v>2.52E-2</v>
      </c>
      <c r="V102" s="1202" t="str">
        <f>+IF((AB102-$AF$1)&lt;=366,"M","A")</f>
        <v>A</v>
      </c>
      <c r="W102" s="1202" t="s">
        <v>287</v>
      </c>
      <c r="X102" s="1212">
        <f>'Echéanciers des Parts'!FI3</f>
        <v>29757.884849999995</v>
      </c>
      <c r="Y102" s="1202">
        <v>1</v>
      </c>
      <c r="Z102" s="35"/>
      <c r="AA102" s="1198">
        <f>VLOOKUP(A102,Marché!$B$1:$L$2409,6,FALSE)</f>
        <v>43808</v>
      </c>
      <c r="AB102" s="1198">
        <f>VLOOKUP(A102,Marché!$B$1:$L$2409,7,FALSE)</f>
        <v>48023</v>
      </c>
      <c r="AC102" s="35"/>
      <c r="AD102" s="2"/>
    </row>
    <row r="103" spans="1:31" ht="15" hidden="1" x14ac:dyDescent="0.25">
      <c r="A103" s="1191">
        <v>5107</v>
      </c>
      <c r="B103" s="1192">
        <f t="shared" si="10"/>
        <v>98741.38</v>
      </c>
      <c r="C103" s="1193">
        <f>(AB103-$AF$1)</f>
        <v>-46107</v>
      </c>
      <c r="D103" s="1194">
        <f t="shared" si="8"/>
        <v>2.2700000000000001E-2</v>
      </c>
      <c r="E103" s="1195"/>
      <c r="F103" s="1195"/>
      <c r="G103" s="1195"/>
      <c r="H103" s="1196"/>
      <c r="I103" s="1199"/>
      <c r="J103" s="1193"/>
      <c r="K103" s="1193"/>
      <c r="L103" s="1193"/>
      <c r="M103" s="1197"/>
      <c r="N103" s="1193"/>
      <c r="O103" s="1200"/>
      <c r="P103" s="1200"/>
      <c r="Q103" s="1200"/>
      <c r="R103" s="1287"/>
      <c r="S103" s="1229" cm="1">
        <f t="array" ref="S103">IF(C103&gt;'Courbe des taux'!$D$50,ROUND( TREND('Courbe des taux'!$E$49:$E$50,'Courbe des taux'!$D$49:$D$50,Lignes_détenues!C103),5),ROUND(IF(C103&gt;365,interpoler(_mat2,taux2,C103),interpoler(_mat1,taux1,C103)),5))</f>
        <v>2.2700000000000001E-2</v>
      </c>
      <c r="T103" s="1201">
        <f t="shared" si="9"/>
        <v>2.2700000000000001E-2</v>
      </c>
      <c r="U103" s="1201">
        <f>ROUND(IF(D103*366&gt;366,interpoler(_mat2,taux2,D103*366),interpoler(_mat1,taux1,D103*366)),5)</f>
        <v>2.2700000000000001E-2</v>
      </c>
      <c r="V103" s="1202"/>
      <c r="W103" s="1202"/>
      <c r="X103" s="1212">
        <f>'Echéanciers des Parts'!FV3</f>
        <v>98741.376600000018</v>
      </c>
      <c r="Y103" s="1202"/>
      <c r="Z103" s="35"/>
      <c r="AA103" s="1198"/>
      <c r="AB103" s="1198"/>
      <c r="AC103" s="35"/>
      <c r="AD103" s="2"/>
    </row>
    <row r="104" spans="1:31" ht="15" hidden="1" x14ac:dyDescent="0.25">
      <c r="A104" s="1191">
        <v>9424</v>
      </c>
      <c r="B104" s="1192">
        <f t="shared" si="10"/>
        <v>75571.47</v>
      </c>
      <c r="C104" s="1193">
        <f>(AB104-$AF$1)</f>
        <v>-46107</v>
      </c>
      <c r="D104" s="1194">
        <f t="shared" si="8"/>
        <v>2.2700000000000001E-2</v>
      </c>
      <c r="E104" s="1195"/>
      <c r="F104" s="1195"/>
      <c r="G104" s="1195"/>
      <c r="H104" s="1196"/>
      <c r="I104" s="1199"/>
      <c r="J104" s="1193"/>
      <c r="K104" s="1193"/>
      <c r="L104" s="1193"/>
      <c r="M104" s="1197"/>
      <c r="N104" s="1193"/>
      <c r="O104" s="1200"/>
      <c r="P104" s="1200"/>
      <c r="Q104" s="1200"/>
      <c r="R104" s="1287"/>
      <c r="S104" s="1229" cm="1">
        <f t="array" ref="S104">IF(C104&gt;'Courbe des taux'!$D$50,ROUND( TREND('Courbe des taux'!$E$49:$E$50,'Courbe des taux'!$D$49:$D$50,Lignes_détenues!C104),5),ROUND(IF(C104&gt;365,interpoler(_mat2,taux2,C104),interpoler(_mat1,taux1,C104)),5))</f>
        <v>2.2700000000000001E-2</v>
      </c>
      <c r="T104" s="1201">
        <f t="shared" si="9"/>
        <v>2.2700000000000001E-2</v>
      </c>
      <c r="U104" s="1201">
        <f>ROUND(IF(D104*366&gt;366,interpoler(_mat2,taux2,D104*366),interpoler(_mat1,taux1,D104*366)),5)</f>
        <v>2.2700000000000001E-2</v>
      </c>
      <c r="V104" s="1202"/>
      <c r="W104" s="1202"/>
      <c r="X104" s="1212">
        <f>Ammortissable!C215</f>
        <v>75571.467300000004</v>
      </c>
      <c r="Y104" s="1202">
        <v>1</v>
      </c>
      <c r="Z104" s="35"/>
      <c r="AA104" s="1198"/>
      <c r="AB104" s="1198"/>
      <c r="AC104" s="35"/>
      <c r="AD104" s="2"/>
    </row>
    <row r="105" spans="1:31" ht="15" hidden="1" x14ac:dyDescent="0.25">
      <c r="A105" s="1191">
        <v>9425</v>
      </c>
      <c r="B105" s="1192">
        <f t="shared" si="10"/>
        <v>100092.07</v>
      </c>
      <c r="C105" s="1193">
        <f>(AB105-$AF$1)</f>
        <v>1371</v>
      </c>
      <c r="D105" s="1194">
        <f t="shared" si="8"/>
        <v>3.4840000000000003E-2</v>
      </c>
      <c r="E105" s="1195">
        <f>duration_titre($AF$1,AA105,AB105,M105,K105,W105,V105,P105,Q105,N105,D105)</f>
        <v>3.5686324686424102</v>
      </c>
      <c r="F105" s="1195">
        <f t="shared" ref="F105:F126" si="11">+E105/(1+D105)</f>
        <v>3.4484871754497415</v>
      </c>
      <c r="G105" s="1195">
        <f>convexite_titre($AF$1,AA105,AB105,M105,K105,W105,V105,P105,Q105,N105,D105)</f>
        <v>15.603954281286313</v>
      </c>
      <c r="H105" s="1196">
        <f>+ROUND(coupon_courru($AF$1,AA105,AB105,M105,K105,W105,P105,Q105,N105,V105,"V"),5)</f>
        <v>808.76711999999998</v>
      </c>
      <c r="I105" s="1199">
        <f>+IF(Y105=1,B105,D105*100)</f>
        <v>100092.07</v>
      </c>
      <c r="J105" s="1193" t="str">
        <f>VLOOKUP(A105,Marché!B1466:L3760,2,FALSE)</f>
        <v>OBL SUB BCP du 26/12/2019 à 3.28% 10ans  Fixe</v>
      </c>
      <c r="K105" s="1193">
        <f>VLOOKUP(A105,Marché!B1466:L3760,3,FALSE)</f>
        <v>100000</v>
      </c>
      <c r="L105" s="1193">
        <f>VLOOKUP(A105,Marché!B1466:L3760,4,FALSE)</f>
        <v>0</v>
      </c>
      <c r="M105" s="1197">
        <f>VLOOKUP(A105,Marché!B1466:L3760,5,FALSE)</f>
        <v>3.2800000000000003E-2</v>
      </c>
      <c r="N105" s="1193">
        <f>VLOOKUP(A105,Marché!$B$1:$L$2409,8,FALSE)</f>
        <v>10</v>
      </c>
      <c r="O105" s="1200" t="str">
        <f>VLOOKUP(A105,Marché!$B$1:$L$2409,9,FALSE)</f>
        <v>A</v>
      </c>
      <c r="P105" s="1200" t="str">
        <f>VLOOKUP(A105,Marché!$B$1:$L$2409,10,FALSE)</f>
        <v>A</v>
      </c>
      <c r="Q105" s="1200" t="s">
        <v>1014</v>
      </c>
      <c r="R105" s="1287">
        <v>5.4999999999999997E-3</v>
      </c>
      <c r="S105" s="1229" cm="1">
        <f t="array" ref="S105">IF(C105&gt;'Courbe des taux'!$D$50,ROUND( TREND('Courbe des taux'!$E$49:$E$50,'Courbe des taux'!$D$49:$D$50,Lignes_détenues!C105),5),ROUND(IF(C105&gt;365,interpoler(_mat2,taux2,C105),interpoler(_mat1,taux1,C105)),5))</f>
        <v>2.9340000000000001E-2</v>
      </c>
      <c r="T105" s="1201">
        <f t="shared" si="9"/>
        <v>2.9340000000000001E-2</v>
      </c>
      <c r="U105" s="1201">
        <f>ROUND(IF(D105*366&gt;366,interpoler(_mat2,taux2,D105*366),interpoler(_mat1,taux1,D105*366)),5)</f>
        <v>2.2700000000000001E-2</v>
      </c>
      <c r="V105" s="1202" t="str">
        <f>+IF((AB105-$AF$1)&lt;=366,"M","A")</f>
        <v>A</v>
      </c>
      <c r="W105" s="1202" t="s">
        <v>287</v>
      </c>
      <c r="X105" s="1212">
        <f>+prix_titre(AF$1,AA105,AB105,M105,K105,W105,V105,P105,Q105,N105,D105,Y105)</f>
        <v>100092.06820648495</v>
      </c>
      <c r="Y105" s="1202">
        <v>1</v>
      </c>
      <c r="Z105" s="35" t="s">
        <v>2512</v>
      </c>
      <c r="AA105" s="1198">
        <f>VLOOKUP(A105,Marché!$B$1:$L$2409,6,FALSE)</f>
        <v>43825</v>
      </c>
      <c r="AB105" s="1198">
        <f>VLOOKUP(A105,Marché!$B$1:$L$2409,7,FALSE)</f>
        <v>47478</v>
      </c>
      <c r="AC105" s="35"/>
      <c r="AD105" s="2"/>
    </row>
    <row r="106" spans="1:31" ht="15" hidden="1" x14ac:dyDescent="0.25">
      <c r="A106" s="1191">
        <v>9428</v>
      </c>
      <c r="B106" s="1192">
        <f t="shared" si="10"/>
        <v>100569.87</v>
      </c>
      <c r="C106" s="1193">
        <f>(AB106-$AF$1)</f>
        <v>1372</v>
      </c>
      <c r="D106" s="1194">
        <f t="shared" si="8"/>
        <v>5.4350000000000002E-2</v>
      </c>
      <c r="E106" s="1195">
        <f>duration_titre($AF$1,AA106,AB106,M106,K106,W106,V106,P106,Q106,N106,D106)</f>
        <v>3.4689939035432849</v>
      </c>
      <c r="F106" s="1195">
        <f t="shared" si="11"/>
        <v>3.2901730009420831</v>
      </c>
      <c r="G106" s="1195">
        <f>convexite_titre($AF$1,AA106,AB106,M106,K106,W106,V106,P106,Q106,N106,D106)</f>
        <v>14.486935663444584</v>
      </c>
      <c r="H106" s="1196">
        <f>+ROUND(coupon_courru($AF$1,AA106,AB106,M106,K106,W106,P106,Q106,N106,V106,"V"),5)</f>
        <v>1275.26027</v>
      </c>
      <c r="I106" s="1199">
        <f>+IF(Y106=1,B106,D106*100)</f>
        <v>100569.87</v>
      </c>
      <c r="J106" s="1193" t="str">
        <f>VLOOKUP(A106,Marché!B1467:L3761,2,FALSE)</f>
        <v>OBL ATW SUB PERP 27/12/2019 à 5.23% REVIS 10ans</v>
      </c>
      <c r="K106" s="1193">
        <f>VLOOKUP(A106,Marché!B1467:L3761,3,FALSE)</f>
        <v>100000</v>
      </c>
      <c r="L106" s="1193">
        <f>VLOOKUP(A106,Marché!B1467:L3761,4,FALSE)</f>
        <v>0</v>
      </c>
      <c r="M106" s="1197">
        <f>VLOOKUP(A106,Marché!B1467:L3761,5,FALSE)</f>
        <v>5.2299999999999999E-2</v>
      </c>
      <c r="N106" s="1193">
        <f>VLOOKUP(A106,Marché!$B$1:$L$2409,8,FALSE)</f>
        <v>10</v>
      </c>
      <c r="O106" s="1200" t="str">
        <f>VLOOKUP(A106,Marché!$B$1:$L$2409,9,FALSE)</f>
        <v>A</v>
      </c>
      <c r="P106" s="1200" t="str">
        <f>VLOOKUP(A106,Marché!$B$1:$L$2409,10,FALSE)</f>
        <v>A</v>
      </c>
      <c r="Q106" s="1200" t="s">
        <v>1014</v>
      </c>
      <c r="R106" s="1287">
        <v>2.5000000000000001E-2</v>
      </c>
      <c r="S106" s="1229" cm="1">
        <f t="array" ref="S106">IF(C106&gt;'Courbe des taux'!$D$50,ROUND( TREND('Courbe des taux'!$E$49:$E$50,'Courbe des taux'!$D$49:$D$50,Lignes_détenues!C106),5),ROUND(IF(C106&gt;365,interpoler(_mat2,taux2,C106),interpoler(_mat1,taux1,C106)),5))</f>
        <v>2.9350000000000001E-2</v>
      </c>
      <c r="T106" s="1201">
        <f t="shared" si="9"/>
        <v>2.9350000000000001E-2</v>
      </c>
      <c r="U106" s="1201">
        <f>ROUND(IF(D106*366&gt;366,interpoler(_mat2,taux2,D106*366),interpoler(_mat1,taux1,D106*366)),5)</f>
        <v>2.2700000000000001E-2</v>
      </c>
      <c r="V106" s="1202" t="str">
        <f>+IF((AB106-$AF$1)&lt;=366,"M","A")</f>
        <v>A</v>
      </c>
      <c r="W106" s="1202" t="s">
        <v>287</v>
      </c>
      <c r="X106" s="1212">
        <f>+prix_titre(AF$1,AA106,AB106,M106,K106,W106,V106,P106,Q106,N106,D106,Y106)</f>
        <v>100569.86840252638</v>
      </c>
      <c r="Y106" s="1202">
        <v>1</v>
      </c>
      <c r="Z106" s="35" t="s">
        <v>2514</v>
      </c>
      <c r="AA106" s="1198">
        <f>VLOOKUP(A106,Marché!$B$1:$L$2409,6,FALSE)</f>
        <v>43826</v>
      </c>
      <c r="AB106" s="1198">
        <f>VLOOKUP(A106,Marché!$B$1:$L$2409,7,FALSE)</f>
        <v>47479</v>
      </c>
      <c r="AC106" s="35"/>
      <c r="AD106" s="2"/>
    </row>
    <row r="107" spans="1:31" s="1530" customFormat="1" ht="15" hidden="1" x14ac:dyDescent="0.25">
      <c r="A107" s="1515">
        <v>9429</v>
      </c>
      <c r="B107" s="1516">
        <f t="shared" si="10"/>
        <v>101013.28</v>
      </c>
      <c r="C107" s="1517">
        <f>(AB107-$AF$1)</f>
        <v>276</v>
      </c>
      <c r="D107" s="1518">
        <f t="shared" si="8"/>
        <v>4.727E-2</v>
      </c>
      <c r="E107" s="1519">
        <f>duration_titre($AF$1,AA107,AB107,M107,K107,W107,V107,P107,Q107,N107,D107)</f>
        <v>0.75616438356164384</v>
      </c>
      <c r="F107" s="1519">
        <f t="shared" si="11"/>
        <v>0.72203384376678781</v>
      </c>
      <c r="G107" s="1519">
        <f>convexite_titre($AF$1,AA107,AB107,M107,K107,W107,V107,P107,Q107,N107,D107)</f>
        <v>1.210776705290274</v>
      </c>
      <c r="H107" s="1520">
        <f>+ROUND(coupon_courru($AF$1,AA107,AB107,M107,K107,W107,P107,Q107,N107,V107,"V"),5)</f>
        <v>1139.69444</v>
      </c>
      <c r="I107" s="1521">
        <f>+IF(Y107=1,B107,D107*100)</f>
        <v>101013.28</v>
      </c>
      <c r="J107" s="1517" t="str">
        <f>VLOOKUP(A107,Marché!B1468:L3762,2,FALSE)</f>
        <v>OBL SUB ATW du 27/12/2019 PERPET REVIS 52 SEM</v>
      </c>
      <c r="K107" s="1517">
        <f>VLOOKUP(A107,Marché!B1468:L3762,3,FALSE)</f>
        <v>100000</v>
      </c>
      <c r="L107" s="1517">
        <f>VLOOKUP(A107,Marché!B1468:L3762,4,FALSE)</f>
        <v>0</v>
      </c>
      <c r="M107" s="1522">
        <v>4.6100000000000002E-2</v>
      </c>
      <c r="N107" s="1517">
        <v>52</v>
      </c>
      <c r="O107" s="1524" t="str">
        <f>VLOOKUP(A107,Marché!$B$1:$L$2409,9,FALSE)</f>
        <v>A</v>
      </c>
      <c r="P107" s="1524" t="str">
        <f>VLOOKUP(A107,Marché!$B$1:$L$2409,10,FALSE)</f>
        <v>A</v>
      </c>
      <c r="Q107" s="1524" t="s">
        <v>1014</v>
      </c>
      <c r="R107" s="1525">
        <v>2.3E-2</v>
      </c>
      <c r="S107" s="1526" cm="1">
        <f t="array" ref="S107">IF(C107&gt;'Courbe des taux'!$D$50,ROUND( TREND('Courbe des taux'!$E$49:$E$50,'Courbe des taux'!$D$49:$D$50,Lignes_détenues!C107),5),ROUND(IF(C107&gt;365,interpoler(_mat2,taux2,C107),interpoler(_mat1,taux1,C107)),5))</f>
        <v>2.427E-2</v>
      </c>
      <c r="T107" s="1526">
        <f t="shared" si="9"/>
        <v>2.427E-2</v>
      </c>
      <c r="U107" s="1526">
        <f>ROUND(IF(D107*366&gt;366,interpoler(_mat2,taux2,D107*366),interpoler(_mat1,taux1,D107*366)),5)</f>
        <v>2.2700000000000001E-2</v>
      </c>
      <c r="V107" s="1527" t="str">
        <f>+IF((AB107-$AF$1)&lt;=366,"M","A")</f>
        <v>M</v>
      </c>
      <c r="W107" s="1527" t="s">
        <v>287</v>
      </c>
      <c r="X107" s="1528">
        <f>+prix_titre(AF$1,AA107,AB107,M107,K107,W107,V107,P107,Q107,N107,D107,Y107)</f>
        <v>101013.27523441311</v>
      </c>
      <c r="Y107" s="1527">
        <v>1</v>
      </c>
      <c r="Z107" s="1529" t="s">
        <v>2516</v>
      </c>
      <c r="AA107" s="1523">
        <v>46018</v>
      </c>
      <c r="AB107" s="1523">
        <v>46383</v>
      </c>
      <c r="AC107" s="1529"/>
      <c r="AD107" s="1531">
        <f>K107*M107*(AB107-AF1)/360</f>
        <v>3534.3333333333335</v>
      </c>
    </row>
    <row r="108" spans="1:31" ht="15" hidden="1" x14ac:dyDescent="0.25">
      <c r="A108" s="1191">
        <v>152179</v>
      </c>
      <c r="B108" s="1192">
        <f t="shared" si="10"/>
        <v>0</v>
      </c>
      <c r="C108" s="1193">
        <f>(AB108-$AF$1)</f>
        <v>-451</v>
      </c>
      <c r="D108" s="1194">
        <f t="shared" si="8"/>
        <v>2.6939999999999999E-2</v>
      </c>
      <c r="E108" s="1195">
        <f>duration_titre($AF$1,AA108,AB108,M108,K108,W108,V108,P108,Q108,N108,D108)</f>
        <v>0</v>
      </c>
      <c r="F108" s="1195">
        <f t="shared" si="11"/>
        <v>0</v>
      </c>
      <c r="G108" s="1195">
        <f>convexite_titre($AF$1,AA108,AB108,M108,K108,W108,V108,P108,Q108,N108,D108)</f>
        <v>0</v>
      </c>
      <c r="H108" s="1196">
        <f>+ROUND(coupon_courru($AF$1,AA108,AB108,M108,K108,W108,P108,Q108,N108,V108,"V"),5)</f>
        <v>3484.4383600000001</v>
      </c>
      <c r="I108" s="1199">
        <f>+IF(Y108=1,B108,D108*100)</f>
        <v>0</v>
      </c>
      <c r="J108" s="1193" t="str">
        <f>VLOOKUP(A108,Marché!B1470:L3764,2,FALSE)</f>
        <v xml:space="preserve">CD FEC du 30/12/2019 à 2.82% 5 ans </v>
      </c>
      <c r="K108" s="1193">
        <f>VLOOKUP(A108,Marché!B1470:L3764,3,FALSE)</f>
        <v>100000</v>
      </c>
      <c r="L108" s="1193">
        <f>VLOOKUP(A108,Marché!B1470:L3764,4,FALSE)</f>
        <v>0</v>
      </c>
      <c r="M108" s="1197">
        <f>VLOOKUP(A108,Marché!B1470:L3764,5,FALSE)</f>
        <v>2.8199999999999999E-2</v>
      </c>
      <c r="N108" s="1193">
        <f>VLOOKUP(A108,Marché!$B$1:$L$2409,8,FALSE)</f>
        <v>5</v>
      </c>
      <c r="O108" s="1200" t="str">
        <f>VLOOKUP(A108,Marché!$B$1:$L$2409,9,FALSE)</f>
        <v>A</v>
      </c>
      <c r="P108" s="1200" t="str">
        <f>VLOOKUP(A108,Marché!$B$1:$L$2409,10,FALSE)</f>
        <v>A</v>
      </c>
      <c r="Q108" s="1200" t="s">
        <v>1014</v>
      </c>
      <c r="R108" s="1287">
        <v>4.2399999999999998E-3</v>
      </c>
      <c r="S108" s="1229" cm="1">
        <f t="array" ref="S108">IF(C108&gt;'Courbe des taux'!$D$50,ROUND( TREND('Courbe des taux'!$E$49:$E$50,'Courbe des taux'!$D$49:$D$50,Lignes_détenues!C108),5),ROUND(IF(C108&gt;365,interpoler(_mat2,taux2,C108),interpoler(_mat1,taux1,C108)),5))</f>
        <v>2.2700000000000001E-2</v>
      </c>
      <c r="T108" s="1201">
        <f t="shared" si="9"/>
        <v>2.2700000000000001E-2</v>
      </c>
      <c r="U108" s="1201">
        <f>ROUND(IF(D108*366&gt;366,interpoler(_mat2,taux2,D108*366),interpoler(_mat1,taux1,D108*366)),5)</f>
        <v>2.2700000000000001E-2</v>
      </c>
      <c r="V108" s="1202" t="str">
        <f>+IF((AB108-$AF$1)&lt;=366,"M","A")</f>
        <v>M</v>
      </c>
      <c r="W108" s="1202" t="s">
        <v>287</v>
      </c>
      <c r="X108" s="1212">
        <f>+prix_titre(AF$1,AA108,AB108,M108,K108,W108,V108,P108,Q108,N108,D108,Y108)</f>
        <v>0</v>
      </c>
      <c r="Y108" s="1202">
        <v>1</v>
      </c>
      <c r="Z108" s="35"/>
      <c r="AA108" s="1198">
        <f>VLOOKUP(A108,Marché!$B$1:$L$2409,6,FALSE)</f>
        <v>43829</v>
      </c>
      <c r="AB108" s="1198">
        <f>VLOOKUP(A108,Marché!$B$1:$L$2409,7,FALSE)</f>
        <v>45656</v>
      </c>
      <c r="AC108" s="35"/>
      <c r="AD108" s="2"/>
    </row>
    <row r="109" spans="1:31" ht="15" hidden="1" x14ac:dyDescent="0.25">
      <c r="A109" s="1191">
        <v>9431</v>
      </c>
      <c r="B109" s="1192">
        <f t="shared" si="10"/>
        <v>20136.78</v>
      </c>
      <c r="C109" s="1193">
        <f>(AB109-$AF$1)</f>
        <v>280</v>
      </c>
      <c r="D109" s="1194">
        <f t="shared" si="8"/>
        <v>2.93E-2</v>
      </c>
      <c r="E109" s="1195">
        <f>duration_titre($AF$1,AA109,AB109,M109,K109,W109,V109,P109,Q109,N109,D109)</f>
        <v>0.76712328767123283</v>
      </c>
      <c r="F109" s="1195">
        <f t="shared" si="11"/>
        <v>0.74528639626079152</v>
      </c>
      <c r="G109" s="1195">
        <f>convexite_titre($AF$1,AA109,AB109,M109,K109,W109,V109,P109,Q109,N109,D109)</f>
        <v>1.2795229251112554</v>
      </c>
      <c r="H109" s="1196">
        <f>+ROUND(coupon_courru($AF$1,AA109,AB109,M109,K109,W109,P109,Q109,N109,V109,"V"),5)</f>
        <v>691.64383999999995</v>
      </c>
      <c r="I109" s="1199">
        <f>+IF(Y109=1,B109,D109*100)</f>
        <v>20136.78</v>
      </c>
      <c r="J109" s="1193" t="str">
        <f>VLOOKUP(A109,Marché!B1472:L3766,2,FALSE)</f>
        <v>OBL SUB ATW du 31/12/2019 à 2.97% 7 ANS Amrt 5ans</v>
      </c>
      <c r="K109" s="1193">
        <f>VLOOKUP(A109,Marché!B1472:L3766,3,FALSE)</f>
        <v>100000</v>
      </c>
      <c r="L109" s="1193">
        <f>VLOOKUP(A109,Marché!B1472:L3766,4,FALSE)</f>
        <v>0</v>
      </c>
      <c r="M109" s="1197">
        <f>VLOOKUP(A109,Marché!B1472:L3766,5,FALSE)</f>
        <v>2.9700000000000001E-2</v>
      </c>
      <c r="N109" s="1193">
        <f>VLOOKUP(A109,Marché!$B$1:$L$2409,8,FALSE)</f>
        <v>7</v>
      </c>
      <c r="O109" s="1200" t="str">
        <f>VLOOKUP(A109,Marché!$B$1:$L$2409,9,FALSE)</f>
        <v>A</v>
      </c>
      <c r="P109" s="1200" t="str">
        <f>VLOOKUP(A109,Marché!$B$1:$L$2409,10,FALSE)</f>
        <v>A</v>
      </c>
      <c r="Q109" s="1200" t="s">
        <v>1014</v>
      </c>
      <c r="R109" s="1287">
        <v>5.0000000000000001E-3</v>
      </c>
      <c r="S109" s="1229" cm="1">
        <f t="array" ref="S109">IF(C109&gt;'Courbe des taux'!$D$50,ROUND( TREND('Courbe des taux'!$E$49:$E$50,'Courbe des taux'!$D$49:$D$50,Lignes_détenues!C109),5),ROUND(IF(C109&gt;365,interpoler(_mat2,taux2,C109),interpoler(_mat1,taux1,C109)),5))</f>
        <v>2.4299999999999999E-2</v>
      </c>
      <c r="T109" s="1201">
        <f t="shared" si="9"/>
        <v>2.4299999999999999E-2</v>
      </c>
      <c r="U109" s="1201">
        <f>ROUND(IF(D109*366&gt;366,interpoler(_mat2,taux2,D109*366),interpoler(_mat1,taux1,D109*366)),5)</f>
        <v>2.2700000000000001E-2</v>
      </c>
      <c r="V109" s="1202" t="str">
        <f>+IF((AB109-$AF$1)&lt;=366,"M","A")</f>
        <v>M</v>
      </c>
      <c r="W109" s="1202" t="s">
        <v>287</v>
      </c>
      <c r="X109" s="1212">
        <f>Ammortissable!C233</f>
        <v>20136.78</v>
      </c>
      <c r="Y109" s="1202">
        <v>1</v>
      </c>
      <c r="Z109" s="35"/>
      <c r="AA109" s="1198">
        <f>VLOOKUP(A109,Marché!$B$1:$L$2409,6,FALSE)</f>
        <v>43830</v>
      </c>
      <c r="AB109" s="1198">
        <f>VLOOKUP(A109,Marché!$B$1:$L$2409,7,FALSE)</f>
        <v>46387</v>
      </c>
      <c r="AC109" s="35"/>
      <c r="AD109" s="2"/>
    </row>
    <row r="110" spans="1:31" ht="15" hidden="1" x14ac:dyDescent="0.25">
      <c r="A110" s="1191">
        <v>201551</v>
      </c>
      <c r="B110" s="1192">
        <f t="shared" si="10"/>
        <v>101218.51</v>
      </c>
      <c r="C110" s="1193">
        <f>(AB110-$AF$1)</f>
        <v>5135</v>
      </c>
      <c r="D110" s="1194">
        <f t="shared" si="8"/>
        <v>3.5270000000000003E-2</v>
      </c>
      <c r="E110" s="1195">
        <f>duration_titre($AF$1,AA110,AB110,M110,K110,W110,V110,P110,Q110,N110,D110)</f>
        <v>11.060602418781682</v>
      </c>
      <c r="F110" s="1195">
        <f t="shared" si="11"/>
        <v>10.683785310867391</v>
      </c>
      <c r="G110" s="1195">
        <f>convexite_titre($AF$1,AA110,AB110,M110,K110,W110,V110,P110,Q110,N110,D110)</f>
        <v>144.25789727044693</v>
      </c>
      <c r="H110" s="1196">
        <f>+ROUND(coupon_courru($AF$1,AA110,AB110,M110,K110,W110,P110,Q110,N110,V110,"V"),5)</f>
        <v>3157.2602700000002</v>
      </c>
      <c r="I110" s="1199">
        <f>+IF(Y110=1,B110,D110*100)</f>
        <v>101218.51</v>
      </c>
      <c r="J110" s="1193" t="str">
        <f>VLOOKUP(A110,Marché!B1473:L3767,2,FALSE)</f>
        <v xml:space="preserve">BDT DU 16/04/2020 3.35% </v>
      </c>
      <c r="K110" s="1193">
        <f>VLOOKUP(A110,Marché!B1473:L3767,3,FALSE)</f>
        <v>100000</v>
      </c>
      <c r="L110" s="1193">
        <f>VLOOKUP(A110,Marché!B1473:L3767,4,FALSE)</f>
        <v>0</v>
      </c>
      <c r="M110" s="1197">
        <f>VLOOKUP(A110,Marché!B1473:L3767,5,FALSE)</f>
        <v>3.3500000000000002E-2</v>
      </c>
      <c r="N110" s="1193">
        <f>VLOOKUP(A110,Marché!$B$1:$L$2409,8,FALSE)</f>
        <v>20</v>
      </c>
      <c r="O110" s="1200" t="str">
        <f>VLOOKUP(A110,Marché!$B$1:$L$2409,9,FALSE)</f>
        <v>A</v>
      </c>
      <c r="P110" s="1200" t="str">
        <f>VLOOKUP(A110,Marché!$B$1:$L$2409,10,FALSE)</f>
        <v>A</v>
      </c>
      <c r="Q110" s="1200" t="s">
        <v>1014</v>
      </c>
      <c r="R110" s="1287">
        <v>0</v>
      </c>
      <c r="S110" s="1229" cm="1">
        <f t="array" ref="S110">IF(C110&gt;'Courbe des taux'!$D$50,ROUND( TREND('Courbe des taux'!$E$49:$E$50,'Courbe des taux'!$D$49:$D$50,Lignes_détenues!C110),5),ROUND(IF(C110&gt;365,interpoler(_mat2,taux2,C110),interpoler(_mat1,taux1,C110)),5))</f>
        <v>3.5270000000000003E-2</v>
      </c>
      <c r="T110" s="1201">
        <f t="shared" si="9"/>
        <v>3.5270000000000003E-2</v>
      </c>
      <c r="U110" s="1201">
        <f>ROUND(IF(D110*366&gt;366,interpoler(_mat2,taux2,D110*366),interpoler(_mat1,taux1,D110*366)),5)</f>
        <v>2.2700000000000001E-2</v>
      </c>
      <c r="V110" s="1202" t="str">
        <f>+IF((AB110-$AF$1)&lt;=366,"M","A")</f>
        <v>A</v>
      </c>
      <c r="W110" s="1202" t="s">
        <v>287</v>
      </c>
      <c r="X110" s="1212">
        <f>+prix_atp(AF$1,AA110,Z110,AB110,M110,K110,W110,V110,P110,Q110,N110,D110,Y110)</f>
        <v>101218.50610843746</v>
      </c>
      <c r="Y110" s="1202">
        <v>1</v>
      </c>
      <c r="Z110" s="35">
        <v>43937</v>
      </c>
      <c r="AA110" s="1198">
        <f>VLOOKUP(A110,Marché!$B$1:$L$2409,6,FALSE)</f>
        <v>43836</v>
      </c>
      <c r="AB110" s="1198">
        <f>VLOOKUP(A110,Marché!$B$1:$L$2409,7,FALSE)</f>
        <v>51242</v>
      </c>
      <c r="AC110" s="35"/>
      <c r="AD110" s="2"/>
    </row>
    <row r="111" spans="1:31" ht="15" hidden="1" x14ac:dyDescent="0.25">
      <c r="A111" s="1191">
        <v>201553</v>
      </c>
      <c r="B111" s="1192">
        <f t="shared" si="10"/>
        <v>102747.07</v>
      </c>
      <c r="C111" s="1193">
        <f>(AB111-$AF$1)</f>
        <v>8726</v>
      </c>
      <c r="D111" s="1194">
        <f t="shared" si="8"/>
        <v>3.85E-2</v>
      </c>
      <c r="E111" s="1195">
        <f>duration_titre($AF$1,AA111,AB111,M111,K111,W111,V111,P111,Q111,N111,D111)</f>
        <v>15.857425030261112</v>
      </c>
      <c r="F111" s="1195">
        <f t="shared" si="11"/>
        <v>15.269547453308727</v>
      </c>
      <c r="G111" s="1195">
        <f>convexite_titre($AF$1,AA111,AB111,M111,K111,W111,V111,P111,Q111,N111,D111)</f>
        <v>312.88383524859262</v>
      </c>
      <c r="H111" s="1196">
        <f>+ROUND(coupon_courru($AF$1,AA111,AB111,M111,K111,W111,P111,Q111,N111,V111,"V"),5)</f>
        <v>438.35615999999999</v>
      </c>
      <c r="I111" s="1199">
        <f>+IF(Y111=1,B111,D111*100)</f>
        <v>102747.07</v>
      </c>
      <c r="J111" s="1193" t="str">
        <f>VLOOKUP(A111,Marché!B1474:L3768,2,FALSE)</f>
        <v>BDT DU 14/02/2020 30ANS 4%</v>
      </c>
      <c r="K111" s="1193">
        <f>VLOOKUP(A111,Marché!B1474:L3768,3,FALSE)</f>
        <v>100000</v>
      </c>
      <c r="L111" s="1193">
        <f>VLOOKUP(A111,Marché!B1474:L3768,4,FALSE)</f>
        <v>0</v>
      </c>
      <c r="M111" s="1197">
        <f>VLOOKUP(A111,Marché!B1474:L3768,5,FALSE)</f>
        <v>0.04</v>
      </c>
      <c r="N111" s="1193">
        <f>VLOOKUP(A111,Marché!$B$1:$L$2409,8,FALSE)</f>
        <v>30</v>
      </c>
      <c r="O111" s="1200" t="str">
        <f>VLOOKUP(A111,Marché!$B$1:$L$2409,9,FALSE)</f>
        <v>A</v>
      </c>
      <c r="P111" s="1200" t="str">
        <f>VLOOKUP(A111,Marché!$B$1:$L$2409,10,FALSE)</f>
        <v>A</v>
      </c>
      <c r="Q111" s="1200" t="s">
        <v>1014</v>
      </c>
      <c r="R111" s="1287">
        <v>0</v>
      </c>
      <c r="S111" s="1229" cm="1">
        <f t="array" ref="S111">IF(C111&gt;'Courbe des taux'!$D$50,ROUND( TREND('Courbe des taux'!$E$49:$E$50,'Courbe des taux'!$D$49:$D$50,Lignes_détenues!C111),5),ROUND(IF(C111&gt;365,interpoler(_mat2,taux2,C111),interpoler(_mat1,taux1,C111)),5))</f>
        <v>3.85E-2</v>
      </c>
      <c r="T111" s="1201">
        <f t="shared" si="9"/>
        <v>3.85E-2</v>
      </c>
      <c r="U111" s="1201">
        <f>ROUND(IF(D111*366&gt;366,interpoler(_mat2,taux2,D111*366),interpoler(_mat1,taux1,D111*366)),5)</f>
        <v>2.2700000000000001E-2</v>
      </c>
      <c r="V111" s="1202" t="str">
        <f>+IF((AB111-$AF$1)&lt;=366,"M","A")</f>
        <v>A</v>
      </c>
      <c r="W111" s="1202" t="s">
        <v>287</v>
      </c>
      <c r="X111" s="1212">
        <f>+prix_atp(AF$1,AA111,Z111,AB111,M111,K111,W111,V111,P111,Q111,N111,D111,Y111)</f>
        <v>102747.06780690071</v>
      </c>
      <c r="Y111" s="1202">
        <v>1</v>
      </c>
      <c r="Z111" s="35">
        <v>43875</v>
      </c>
      <c r="AA111" s="1198">
        <f>VLOOKUP(A111,Marché!$B$1:$L$2409,6,FALSE)</f>
        <v>43836</v>
      </c>
      <c r="AB111" s="1198">
        <f>VLOOKUP(A111,Marché!$B$1:$L$2409,7,FALSE)</f>
        <v>54833</v>
      </c>
      <c r="AC111" s="35"/>
      <c r="AD111" s="2"/>
    </row>
    <row r="112" spans="1:31" ht="15" hidden="1" x14ac:dyDescent="0.25">
      <c r="A112" s="1191">
        <v>201552</v>
      </c>
      <c r="B112" s="1192">
        <f t="shared" si="10"/>
        <v>100916.01</v>
      </c>
      <c r="C112" s="1193">
        <f>(AB112-$AF$1)</f>
        <v>1544</v>
      </c>
      <c r="D112" s="1194">
        <f t="shared" si="8"/>
        <v>2.997E-2</v>
      </c>
      <c r="E112" s="1195">
        <f>duration_titre($AF$1,AA112,AB112,M112,K112,W112,V112,P112,Q112,N112,D112)</f>
        <v>3.9718422335824051</v>
      </c>
      <c r="F112" s="1195">
        <f t="shared" si="11"/>
        <v>3.8562698268710784</v>
      </c>
      <c r="G112" s="1195">
        <f>convexite_titre($AF$1,AA112,AB112,M112,K112,W112,V112,P112,Q112,N112,D112)</f>
        <v>19.290105204945782</v>
      </c>
      <c r="H112" s="1196">
        <f>+ROUND(coupon_courru($AF$1,AA112,AB112,M112,K112,W112,P112,Q112,N112,V112,"V"),5)</f>
        <v>2086.0273999999999</v>
      </c>
      <c r="I112" s="1199">
        <f>+IF(Y112=1,B112,D112*100)</f>
        <v>100916.01</v>
      </c>
      <c r="J112" s="1193" t="str">
        <f>VLOOKUP(A112,Marché!B1475:L3769,2,FALSE)</f>
        <v>BDT DU 17/06/2020 10 ANS 2.7%</v>
      </c>
      <c r="K112" s="1193">
        <f>VLOOKUP(A112,Marché!B1475:L3769,3,FALSE)</f>
        <v>100000</v>
      </c>
      <c r="L112" s="1193">
        <f>VLOOKUP(A112,Marché!B1475:L3769,4,FALSE)</f>
        <v>0</v>
      </c>
      <c r="M112" s="1197">
        <f>VLOOKUP(A112,Marché!B1475:L3769,5,FALSE)</f>
        <v>2.7E-2</v>
      </c>
      <c r="N112" s="1193">
        <f>VLOOKUP(A112,Marché!$B$1:$L$2409,8,FALSE)</f>
        <v>10</v>
      </c>
      <c r="O112" s="1200" t="str">
        <f>VLOOKUP(A112,Marché!$B$1:$L$2409,9,FALSE)</f>
        <v>A</v>
      </c>
      <c r="P112" s="1200" t="str">
        <f>VLOOKUP(A112,Marché!$B$1:$L$2409,10,FALSE)</f>
        <v>A</v>
      </c>
      <c r="Q112" s="1200" t="s">
        <v>1014</v>
      </c>
      <c r="R112" s="1287">
        <v>0</v>
      </c>
      <c r="S112" s="1229" cm="1">
        <f t="array" ref="S112">IF(C112&gt;'Courbe des taux'!$D$50,ROUND( TREND('Courbe des taux'!$E$49:$E$50,'Courbe des taux'!$D$49:$D$50,Lignes_détenues!C112),5),ROUND(IF(C112&gt;365,interpoler(_mat2,taux2,C112),interpoler(_mat1,taux1,C112)),5))</f>
        <v>2.997E-2</v>
      </c>
      <c r="T112" s="1201">
        <f t="shared" si="9"/>
        <v>2.997E-2</v>
      </c>
      <c r="U112" s="1201">
        <f>ROUND(IF(D112*366&gt;366,interpoler(_mat2,taux2,D112*366),interpoler(_mat1,taux1,D112*366)),5)</f>
        <v>2.2700000000000001E-2</v>
      </c>
      <c r="V112" s="1202" t="str">
        <f>+IF((AB112-$AF$1)&lt;=366,"M","A")</f>
        <v>A</v>
      </c>
      <c r="W112" s="1202" t="s">
        <v>287</v>
      </c>
      <c r="X112" s="1212">
        <f>+prix_atp(AF$1,AA112,Z112,AB112,M112,K112,W112,V112,P112,Q112,N112,D112,Y112)</f>
        <v>100916.01453780243</v>
      </c>
      <c r="Y112" s="1202">
        <v>1</v>
      </c>
      <c r="Z112" s="35">
        <v>43999</v>
      </c>
      <c r="AA112" s="1198">
        <f>VLOOKUP(A112,Marché!$B$1:$L$2409,6,FALSE)</f>
        <v>43836</v>
      </c>
      <c r="AB112" s="1198">
        <f>VLOOKUP(A112,Marché!$B$1:$L$2409,7,FALSE)</f>
        <v>47651</v>
      </c>
      <c r="AC112" s="35"/>
      <c r="AD112" s="2"/>
    </row>
    <row r="113" spans="1:30" ht="15" hidden="1" x14ac:dyDescent="0.25">
      <c r="A113" s="1191">
        <v>201554</v>
      </c>
      <c r="B113" s="1192">
        <f t="shared" si="10"/>
        <v>99823.07</v>
      </c>
      <c r="C113" s="1193">
        <f>(AB113-$AF$1)</f>
        <v>3399</v>
      </c>
      <c r="D113" s="1194">
        <f t="shared" si="8"/>
        <v>3.2840000000000001E-2</v>
      </c>
      <c r="E113" s="1195">
        <f>duration_titre($AF$1,AA113,AB113,M113,K113,W113,V113,P113,Q113,N113,D113)</f>
        <v>8.0800041349556508</v>
      </c>
      <c r="F113" s="1195">
        <f t="shared" si="11"/>
        <v>7.8230937366442541</v>
      </c>
      <c r="G113" s="1195">
        <f>convexite_titre($AF$1,AA113,AB113,M113,K113,W113,V113,P113,Q113,N113,D113)</f>
        <v>74.85107913193211</v>
      </c>
      <c r="H113" s="1196">
        <f>+ROUND(coupon_courru($AF$1,AA113,AB113,M113,K113,W113,P113,Q113,N113,V113,"V"),5)</f>
        <v>2079.4520499999999</v>
      </c>
      <c r="I113" s="1199">
        <f>+IF(Y113=1,B113,D113*100)</f>
        <v>99823.07</v>
      </c>
      <c r="J113" s="1193" t="str">
        <f>VLOOKUP(A113,Marché!B1476:L3770,2,FALSE)</f>
        <v>BDT du 16/07/2020 à 3% ATYP 20/01/2020 15 ans</v>
      </c>
      <c r="K113" s="1193">
        <f>VLOOKUP(A113,Marché!B1476:L3770,3,FALSE)</f>
        <v>100000</v>
      </c>
      <c r="L113" s="1193">
        <f>VLOOKUP(A113,Marché!B1476:L3770,4,FALSE)</f>
        <v>0</v>
      </c>
      <c r="M113" s="1197">
        <f>VLOOKUP(A113,Marché!B1476:L3770,5,FALSE)</f>
        <v>0.03</v>
      </c>
      <c r="N113" s="1193">
        <f>VLOOKUP(A113,Marché!$B$1:$L$2409,8,FALSE)</f>
        <v>15</v>
      </c>
      <c r="O113" s="1200" t="str">
        <f>VLOOKUP(A113,Marché!$B$1:$L$2409,9,FALSE)</f>
        <v>A</v>
      </c>
      <c r="P113" s="1200" t="str">
        <f>VLOOKUP(A113,Marché!$B$1:$L$2409,10,FALSE)</f>
        <v>A</v>
      </c>
      <c r="Q113" s="1200" t="s">
        <v>1014</v>
      </c>
      <c r="R113" s="1287">
        <v>0</v>
      </c>
      <c r="S113" s="1229" cm="1">
        <f t="array" ref="S113">IF(C113&gt;'Courbe des taux'!$D$50,ROUND( TREND('Courbe des taux'!$E$49:$E$50,'Courbe des taux'!$D$49:$D$50,Lignes_détenues!C113),5),ROUND(IF(C113&gt;365,interpoler(_mat2,taux2,C113),interpoler(_mat1,taux1,C113)),5))</f>
        <v>3.2840000000000001E-2</v>
      </c>
      <c r="T113" s="1201">
        <f t="shared" si="9"/>
        <v>3.2840000000000001E-2</v>
      </c>
      <c r="U113" s="1201">
        <f>ROUND(IF(D113*366&gt;366,interpoler(_mat2,taux2,D113*366),interpoler(_mat1,taux1,D113*366)),5)</f>
        <v>2.2700000000000001E-2</v>
      </c>
      <c r="V113" s="1202" t="str">
        <f>+IF((AB113-$AF$1)&lt;=366,"M","A")</f>
        <v>A</v>
      </c>
      <c r="W113" s="1202" t="s">
        <v>287</v>
      </c>
      <c r="X113" s="1212">
        <f>+prix_atp(AF$1,AA113,Z113,AB113,M113,K113,W113,V113,P113,Q113,N113,D113,Y113)</f>
        <v>99823.073417215783</v>
      </c>
      <c r="Y113" s="1202">
        <v>1</v>
      </c>
      <c r="Z113" s="35">
        <v>44028</v>
      </c>
      <c r="AA113" s="1198">
        <f>VLOOKUP(A113,Marché!$B$1:$L$2409,6,FALSE)</f>
        <v>43850</v>
      </c>
      <c r="AB113" s="1198">
        <f>VLOOKUP(A113,Marché!$B$1:$L$2409,7,FALSE)</f>
        <v>49506</v>
      </c>
      <c r="AC113" s="35"/>
      <c r="AD113" s="2"/>
    </row>
    <row r="114" spans="1:30" ht="15" hidden="1" x14ac:dyDescent="0.25">
      <c r="A114" s="1191">
        <v>100790</v>
      </c>
      <c r="B114" s="1192">
        <f t="shared" si="10"/>
        <v>0</v>
      </c>
      <c r="C114" s="1193">
        <f>(AB114-$AF$1)</f>
        <v>-426</v>
      </c>
      <c r="D114" s="1194">
        <f t="shared" si="8"/>
        <v>2.7199999999999998E-2</v>
      </c>
      <c r="E114" s="1195">
        <f>duration_titre($AF$1,AA114,AB114,M114,K114,W114,V114,P114,Q114,N114,D114)</f>
        <v>0</v>
      </c>
      <c r="F114" s="1195">
        <f t="shared" si="11"/>
        <v>0</v>
      </c>
      <c r="G114" s="1195">
        <f>convexite_titre($AF$1,AA114,AB114,M114,K114,W114,V114,P114,Q114,N114,D114)</f>
        <v>0</v>
      </c>
      <c r="H114" s="1196">
        <f>+ROUND(coupon_courru($AF$1,AA114,AB114,M114,K114,W114,P114,Q114,N114,V114,"V"),5)</f>
        <v>3361.3150700000001</v>
      </c>
      <c r="I114" s="1199">
        <f>+IF(Y114=1,B114,D114*100)</f>
        <v>0</v>
      </c>
      <c r="J114" s="1193" t="str">
        <f>VLOOKUP(A114,Marché!B1479:L3773,2,FALSE)</f>
        <v>BSF WAFASALAF du 24/01/2020 à 2.88% 5ans</v>
      </c>
      <c r="K114" s="1193">
        <f>VLOOKUP(A114,Marché!B1479:L3773,3,FALSE)</f>
        <v>100000</v>
      </c>
      <c r="L114" s="1193">
        <f>VLOOKUP(A114,Marché!B1479:L3773,4,FALSE)</f>
        <v>0</v>
      </c>
      <c r="M114" s="1197">
        <f>VLOOKUP(A114,Marché!B1479:L3773,5,FALSE)</f>
        <v>2.8799999999999999E-2</v>
      </c>
      <c r="N114" s="1193">
        <f>VLOOKUP(A114,Marché!$B$1:$L$2409,8,FALSE)</f>
        <v>5</v>
      </c>
      <c r="O114" s="1200" t="str">
        <f>VLOOKUP(A114,Marché!$B$1:$L$2409,9,FALSE)</f>
        <v>A</v>
      </c>
      <c r="P114" s="1200" t="str">
        <f>VLOOKUP(A114,Marché!$B$1:$L$2409,10,FALSE)</f>
        <v>A</v>
      </c>
      <c r="Q114" s="1200" t="s">
        <v>1014</v>
      </c>
      <c r="R114" s="1287">
        <v>4.4999999999999997E-3</v>
      </c>
      <c r="S114" s="1229" cm="1">
        <f t="array" ref="S114">IF(C114&gt;'Courbe des taux'!$D$50,ROUND( TREND('Courbe des taux'!$E$49:$E$50,'Courbe des taux'!$D$49:$D$50,Lignes_détenues!C114),5),ROUND(IF(C114&gt;365,interpoler(_mat2,taux2,C114),interpoler(_mat1,taux1,C114)),5))</f>
        <v>2.2700000000000001E-2</v>
      </c>
      <c r="T114" s="1201">
        <f t="shared" si="9"/>
        <v>2.2700000000000001E-2</v>
      </c>
      <c r="U114" s="1201">
        <f>ROUND(IF(D114*366&gt;366,interpoler(_mat2,taux2,D114*366),interpoler(_mat1,taux1,D114*366)),5)</f>
        <v>2.2700000000000001E-2</v>
      </c>
      <c r="V114" s="1202" t="str">
        <f>+IF((AB114-$AF$1)&lt;=366,"M","A")</f>
        <v>M</v>
      </c>
      <c r="W114" s="1202" t="s">
        <v>287</v>
      </c>
      <c r="X114" s="1212">
        <f>+prix_titre(AF$1,AA114,AB114,M114,K114,W114,V114,P114,Q114,N114,D114,Y114)</f>
        <v>0</v>
      </c>
      <c r="Y114" s="1202">
        <v>1</v>
      </c>
      <c r="Z114" s="35">
        <f>AA114</f>
        <v>43854</v>
      </c>
      <c r="AA114" s="1198">
        <f>VLOOKUP(A114,Marché!$B$1:$L$2409,6,FALSE)</f>
        <v>43854</v>
      </c>
      <c r="AB114" s="1198">
        <f>VLOOKUP(A114,Marché!$B$1:$L$2409,7,FALSE)</f>
        <v>45681</v>
      </c>
      <c r="AC114" s="35"/>
      <c r="AD114" s="2"/>
    </row>
    <row r="115" spans="1:30" ht="15" hidden="1" x14ac:dyDescent="0.25">
      <c r="A115" s="1191">
        <v>9434</v>
      </c>
      <c r="B115" s="1192">
        <f t="shared" si="10"/>
        <v>62.49</v>
      </c>
      <c r="C115" s="1193">
        <f>(AB115-$AF$1)</f>
        <v>1407</v>
      </c>
      <c r="D115" s="1194">
        <f t="shared" si="8"/>
        <v>3.3110000000000001E-2</v>
      </c>
      <c r="E115" s="1195">
        <f>duration_titre($AF$1,AA115,AB115,M115,K115,W115,V115,P115,Q115,N115,D115)</f>
        <v>3.6821060556636183</v>
      </c>
      <c r="F115" s="1195">
        <f t="shared" si="11"/>
        <v>3.5640987461776756</v>
      </c>
      <c r="G115" s="1195">
        <f>convexite_titre($AF$1,AA115,AB115,M115,K115,W115,V115,P115,Q115,N115,D115)</f>
        <v>16.505563401242799</v>
      </c>
      <c r="H115" s="1196">
        <f>+ROUND(coupon_courru($AF$1,AA115,AB115,M115,K115,W115,P115,Q115,N115,V115,"V"),5)</f>
        <v>0.44384000000000001</v>
      </c>
      <c r="I115" s="1199">
        <f>+IF(Y115=1,B115,D115*100)</f>
        <v>62.49</v>
      </c>
      <c r="J115" s="1193" t="str">
        <f>VLOOKUP(A115,Marché!B1480:L3774,2,FALSE)</f>
        <v xml:space="preserve">OBL ADI du 31/01/2020 à 3% Différé 3 ans AMORT+INTER </v>
      </c>
      <c r="K115" s="1193">
        <f>VLOOKUP(A115,Marché!B1480:L3774,3,FALSE)</f>
        <v>100</v>
      </c>
      <c r="L115" s="1193">
        <f>VLOOKUP(A115,Marché!B1480:L3774,4,FALSE)</f>
        <v>0</v>
      </c>
      <c r="M115" s="1197">
        <f>VLOOKUP(A115,Marché!B1480:L3774,5,FALSE)</f>
        <v>0.03</v>
      </c>
      <c r="N115" s="1193">
        <f>VLOOKUP(A115,Marché!$B$1:$L$2409,8,FALSE)</f>
        <v>10</v>
      </c>
      <c r="O115" s="1200" t="str">
        <f>VLOOKUP(A115,Marché!$B$1:$L$2409,9,FALSE)</f>
        <v>A</v>
      </c>
      <c r="P115" s="1200" t="str">
        <f>VLOOKUP(A115,Marché!$B$1:$L$2409,10,FALSE)</f>
        <v>A</v>
      </c>
      <c r="Q115" s="1200" t="s">
        <v>1014</v>
      </c>
      <c r="R115" s="1287">
        <v>3.62E-3</v>
      </c>
      <c r="S115" s="1229" cm="1">
        <f t="array" ref="S115">IF(C115&gt;'Courbe des taux'!$D$50,ROUND( TREND('Courbe des taux'!$E$49:$E$50,'Courbe des taux'!$D$49:$D$50,Lignes_détenues!C115),5),ROUND(IF(C115&gt;365,interpoler(_mat2,taux2,C115),interpoler(_mat1,taux1,C115)),5))</f>
        <v>2.9489999999999999E-2</v>
      </c>
      <c r="T115" s="1201">
        <f t="shared" si="9"/>
        <v>2.9489999999999999E-2</v>
      </c>
      <c r="U115" s="1201">
        <f>ROUND(IF(D115*366&gt;366,interpoler(_mat2,taux2,D115*366),interpoler(_mat1,taux1,D115*366)),5)</f>
        <v>2.2700000000000001E-2</v>
      </c>
      <c r="V115" s="1202" t="str">
        <f>+IF((AB115-$AF$1)&lt;=366,"M","A")</f>
        <v>A</v>
      </c>
      <c r="W115" s="1202" t="s">
        <v>287</v>
      </c>
      <c r="X115" s="1212">
        <f>Ammortissable!C252</f>
        <v>62.489600000000003</v>
      </c>
      <c r="Y115" s="1202">
        <v>1</v>
      </c>
      <c r="Z115" s="35"/>
      <c r="AA115" s="1198">
        <f>VLOOKUP(A115,Marché!$B$1:$L$2409,6,FALSE)</f>
        <v>43861</v>
      </c>
      <c r="AB115" s="1198">
        <f>VLOOKUP(A115,Marché!$B$1:$L$2409,7,FALSE)</f>
        <v>47514</v>
      </c>
      <c r="AC115" s="35"/>
      <c r="AD115" s="2"/>
    </row>
    <row r="116" spans="1:30" ht="15" hidden="1" x14ac:dyDescent="0.25">
      <c r="A116" s="1191">
        <v>100792</v>
      </c>
      <c r="B116" s="1192">
        <f t="shared" si="10"/>
        <v>0</v>
      </c>
      <c r="C116" s="1193">
        <f>(AB116-$AF$1)</f>
        <v>-408</v>
      </c>
      <c r="D116" s="1194">
        <f t="shared" si="8"/>
        <v>2.7199999999999998E-2</v>
      </c>
      <c r="E116" s="1195">
        <f>duration_titre($AF$1,AA116,AB116,M116,K116,W116,V116,P116,Q116,N116,D116)</f>
        <v>0</v>
      </c>
      <c r="F116" s="1195">
        <f t="shared" si="11"/>
        <v>0</v>
      </c>
      <c r="G116" s="1195">
        <f>convexite_titre($AF$1,AA116,AB116,M116,K116,W116,V116,P116,Q116,N116,D116)</f>
        <v>0</v>
      </c>
      <c r="H116" s="1196">
        <f>+ROUND(coupon_courru($AF$1,AA116,AB116,M116,K116,W116,P116,Q116,N116,V116,"V"),5)</f>
        <v>3264</v>
      </c>
      <c r="I116" s="1199">
        <f>+IF(Y116=1,B116,D116*100)</f>
        <v>0</v>
      </c>
      <c r="J116" s="1193" t="str">
        <f>VLOOKUP(A116,Marché!B1481:L3775,2,FALSE)</f>
        <v>BSF WAFASALAF du 11/02/2020 à 2.92%  5 ans</v>
      </c>
      <c r="K116" s="1193">
        <f>VLOOKUP(A116,Marché!B1481:L3775,3,FALSE)</f>
        <v>100000</v>
      </c>
      <c r="L116" s="1193">
        <f>VLOOKUP(A116,Marché!B1481:L3775,4,FALSE)</f>
        <v>0</v>
      </c>
      <c r="M116" s="1197">
        <f>VLOOKUP(A116,Marché!B1481:L3775,5,FALSE)</f>
        <v>2.92E-2</v>
      </c>
      <c r="N116" s="1193">
        <f>VLOOKUP(A116,Marché!$B$1:$L$2409,8,FALSE)</f>
        <v>5</v>
      </c>
      <c r="O116" s="1200" t="str">
        <f>VLOOKUP(A116,Marché!$B$1:$L$2409,9,FALSE)</f>
        <v>A</v>
      </c>
      <c r="P116" s="1200" t="str">
        <f>VLOOKUP(A116,Marché!$B$1:$L$2409,10,FALSE)</f>
        <v>A</v>
      </c>
      <c r="Q116" s="1200" t="s">
        <v>1014</v>
      </c>
      <c r="R116" s="1287">
        <v>4.4999999999999997E-3</v>
      </c>
      <c r="S116" s="1229" cm="1">
        <f t="array" ref="S116">IF(C116&gt;'Courbe des taux'!$D$50,ROUND( TREND('Courbe des taux'!$E$49:$E$50,'Courbe des taux'!$D$49:$D$50,Lignes_détenues!C116),5),ROUND(IF(C116&gt;365,interpoler(_mat2,taux2,C116),interpoler(_mat1,taux1,C116)),5))</f>
        <v>2.2700000000000001E-2</v>
      </c>
      <c r="T116" s="1201">
        <f t="shared" si="9"/>
        <v>2.2700000000000001E-2</v>
      </c>
      <c r="U116" s="1201">
        <f>ROUND(IF(D116*366&gt;366,interpoler(_mat2,taux2,D116*366),interpoler(_mat1,taux1,D116*366)),5)</f>
        <v>2.2700000000000001E-2</v>
      </c>
      <c r="V116" s="1202" t="str">
        <f>+IF((AB116-$AF$1)&lt;=366,"M","A")</f>
        <v>M</v>
      </c>
      <c r="W116" s="1202" t="s">
        <v>287</v>
      </c>
      <c r="X116" s="1212">
        <f>+prix_titre(AF$1,AA116,AB116,M116,K116,W116,V116,P116,Q116,N116,D116,Y116)</f>
        <v>0</v>
      </c>
      <c r="Y116" s="1202">
        <v>1</v>
      </c>
      <c r="Z116" s="35"/>
      <c r="AA116" s="1198">
        <f>VLOOKUP(A116,Marché!$B$1:$L$2409,6,FALSE)</f>
        <v>43872</v>
      </c>
      <c r="AB116" s="1198">
        <f>VLOOKUP(A116,Marché!$B$1:$L$2409,7,FALSE)</f>
        <v>45699</v>
      </c>
      <c r="AC116" s="35"/>
      <c r="AD116" s="2"/>
    </row>
    <row r="117" spans="1:30" ht="15" hidden="1" x14ac:dyDescent="0.25">
      <c r="A117" s="1191">
        <v>9436</v>
      </c>
      <c r="B117" s="1192">
        <f t="shared" si="10"/>
        <v>98696.49</v>
      </c>
      <c r="C117" s="1193">
        <f>(AB117-$AF$1)</f>
        <v>8737</v>
      </c>
      <c r="D117" s="1194">
        <f t="shared" si="8"/>
        <v>1.03851</v>
      </c>
      <c r="E117" s="1195">
        <f>duration_titre($AF$1,AA117,AB117,M117,K117,W117,V117,P117,Q117,N117,D117)</f>
        <v>1.883067532261296</v>
      </c>
      <c r="F117" s="1195">
        <f t="shared" si="11"/>
        <v>0.92374701731229969</v>
      </c>
      <c r="G117" s="1195">
        <f>convexite_titre($AF$1,AA117,AB117,M117,K117,W117,V117,P117,Q117,N117,D117)</f>
        <v>1.7614429664362805</v>
      </c>
      <c r="H117" s="1196">
        <f>+ROUND(coupon_courru($AF$1,AA117,AB117,M117,K117,W117,P117,Q117,N117,V117,"V"),5)</f>
        <v>304.30137000000002</v>
      </c>
      <c r="I117" s="1199">
        <f>+IF(Y117=1,B117,D117*100)</f>
        <v>98696.49</v>
      </c>
      <c r="J117" s="1193" t="str">
        <f>VLOOKUP(A117,Marché!B1483:L3777,2,FALSE)</f>
        <v>OBL ADM du 25/02/2020 à 3.83% 30 ans Amort DIF 15ans</v>
      </c>
      <c r="K117" s="1193">
        <f>VLOOKUP(A117,Marché!B1483:L3777,3,FALSE)</f>
        <v>100000</v>
      </c>
      <c r="L117" s="1193">
        <f>VLOOKUP(A117,Marché!B1483:L3777,4,FALSE)</f>
        <v>0</v>
      </c>
      <c r="M117" s="1197">
        <f>VLOOKUP(A117,Marché!B1483:L3777,5,FALSE)</f>
        <v>3.8300000000000001E-2</v>
      </c>
      <c r="N117" s="1193">
        <f>VLOOKUP(A117,Marché!$B$1:$L$2409,8,FALSE)</f>
        <v>30</v>
      </c>
      <c r="O117" s="1200" t="str">
        <f>VLOOKUP(A117,Marché!$B$1:$L$2409,9,FALSE)</f>
        <v>A</v>
      </c>
      <c r="P117" s="1200" t="str">
        <f>VLOOKUP(A117,Marché!$B$1:$L$2409,10,FALSE)</f>
        <v>A</v>
      </c>
      <c r="Q117" s="1200" t="s">
        <v>1014</v>
      </c>
      <c r="R117" s="1287">
        <v>1</v>
      </c>
      <c r="S117" s="1229" cm="1">
        <f t="array" ref="S117">IF(C117&gt;'Courbe des taux'!$D$50,ROUND( TREND('Courbe des taux'!$E$49:$E$50,'Courbe des taux'!$D$49:$D$50,Lignes_détenues!C117),5),ROUND(IF(C117&gt;365,interpoler(_mat2,taux2,C117),interpoler(_mat1,taux1,C117)),5))</f>
        <v>3.8510000000000003E-2</v>
      </c>
      <c r="T117" s="1201">
        <f t="shared" si="9"/>
        <v>3.8510000000000003E-2</v>
      </c>
      <c r="U117" s="1201">
        <f>ROUND(IF(D117*366&gt;366,interpoler(_mat2,taux2,D117*366),interpoler(_mat1,taux1,D117*366)),5)</f>
        <v>2.521E-2</v>
      </c>
      <c r="V117" s="1202" t="str">
        <f>+IF((AB117-$AF$1)&lt;=366,"M","A")</f>
        <v>A</v>
      </c>
      <c r="W117" s="1202" t="s">
        <v>287</v>
      </c>
      <c r="X117" s="1212">
        <f>Ammortissable!C270</f>
        <v>98696.489200000011</v>
      </c>
      <c r="Y117" s="1202">
        <v>1</v>
      </c>
      <c r="Z117" s="35"/>
      <c r="AA117" s="1198">
        <f>VLOOKUP(A117,Marché!$B$1:$L$2409,6,FALSE)</f>
        <v>43886</v>
      </c>
      <c r="AB117" s="1198">
        <f>VLOOKUP(A117,Marché!$B$1:$L$2409,7,FALSE)</f>
        <v>54844</v>
      </c>
      <c r="AC117" s="35"/>
      <c r="AD117" s="2"/>
    </row>
    <row r="118" spans="1:30" ht="15" hidden="1" x14ac:dyDescent="0.25">
      <c r="A118" s="1191">
        <v>100798</v>
      </c>
      <c r="B118" s="1192">
        <f t="shared" si="10"/>
        <v>0</v>
      </c>
      <c r="C118" s="1193">
        <f>(AB118-$AF$1)</f>
        <v>-367</v>
      </c>
      <c r="D118" s="1194">
        <f t="shared" si="8"/>
        <v>2.92E-2</v>
      </c>
      <c r="E118" s="1195">
        <f>duration_titre($AF$1,AA118,AB118,M118,K118,W118,V118,P118,Q118,N118,D118)</f>
        <v>0</v>
      </c>
      <c r="F118" s="1195">
        <f t="shared" si="11"/>
        <v>0</v>
      </c>
      <c r="G118" s="1195">
        <f>convexite_titre($AF$1,AA118,AB118,M118,K118,W118,V118,P118,Q118,N118,D118)</f>
        <v>0</v>
      </c>
      <c r="H118" s="1196">
        <f>+ROUND(coupon_courru($AF$1,AA118,AB118,M118,K118,W118,P118,Q118,N118,V118,"V"),5)</f>
        <v>3147.1506800000002</v>
      </c>
      <c r="I118" s="1199">
        <f>X118</f>
        <v>0</v>
      </c>
      <c r="J118" s="1193" t="str">
        <f>VLOOKUP(A118,Marché!B1489:L3783,2,FALSE)</f>
        <v>BSF WAFABAIL DU 24/03/2020 5ans à 3.13%</v>
      </c>
      <c r="K118" s="1193">
        <f>VLOOKUP(A118,Marché!B1489:L3783,3,FALSE)</f>
        <v>100000</v>
      </c>
      <c r="L118" s="1193">
        <f>VLOOKUP(A118,Marché!B1489:L3783,4,FALSE)</f>
        <v>0</v>
      </c>
      <c r="M118" s="1197">
        <f>VLOOKUP(A118,Marché!B1489:L3783,5,FALSE)</f>
        <v>3.1300000000000001E-2</v>
      </c>
      <c r="N118" s="1193">
        <f>VLOOKUP(A118,Marché!$B$1:$L$2409,8,FALSE)</f>
        <v>5</v>
      </c>
      <c r="O118" s="1200" t="str">
        <f>VLOOKUP(A118,Marché!$B$1:$L$2409,9,FALSE)</f>
        <v>A</v>
      </c>
      <c r="P118" s="1200" t="str">
        <f>VLOOKUP(A118,Marché!$B$1:$L$2409,10,FALSE)</f>
        <v>A</v>
      </c>
      <c r="Q118" s="1200" t="s">
        <v>1014</v>
      </c>
      <c r="R118" s="1287">
        <v>6.4999999999999997E-3</v>
      </c>
      <c r="S118" s="1229" cm="1">
        <f t="array" ref="S118">IF(C118&gt;'Courbe des taux'!$D$50,ROUND( TREND('Courbe des taux'!$E$49:$E$50,'Courbe des taux'!$D$49:$D$50,Lignes_détenues!C118),5),ROUND(IF(C118&gt;365,interpoler(_mat2,taux2,C118),interpoler(_mat1,taux1,C118)),5))</f>
        <v>2.2700000000000001E-2</v>
      </c>
      <c r="T118" s="1201">
        <f t="shared" si="9"/>
        <v>2.2700000000000001E-2</v>
      </c>
      <c r="U118" s="1201">
        <f>ROUND(IF(D118*366&gt;366,interpoler(_mat2,taux2,D118*366),interpoler(_mat1,taux1,D118*366)),5)</f>
        <v>2.2700000000000001E-2</v>
      </c>
      <c r="V118" s="1202" t="str">
        <f>+IF((AB118-$AF$1)&lt;=366,"M","A")</f>
        <v>M</v>
      </c>
      <c r="W118" s="1202" t="s">
        <v>287</v>
      </c>
      <c r="X118" s="1212">
        <f>+prix_titre(AF$1,AA118,AB118,M118,K118,W118,V118,P118,Q118,N118,D118,Y118)</f>
        <v>0</v>
      </c>
      <c r="Y118" s="1202">
        <v>1</v>
      </c>
      <c r="Z118" s="35"/>
      <c r="AA118" s="1198">
        <f>VLOOKUP(A118,Marché!$B$1:$L$2409,6,FALSE)</f>
        <v>43914</v>
      </c>
      <c r="AB118" s="1198">
        <f>VLOOKUP(A118,Marché!$B$1:$L$2409,7,FALSE)</f>
        <v>45740</v>
      </c>
      <c r="AC118" s="35"/>
      <c r="AD118" s="2"/>
    </row>
    <row r="119" spans="1:30" ht="15" hidden="1" x14ac:dyDescent="0.25">
      <c r="A119" s="1191">
        <v>100799</v>
      </c>
      <c r="B119" s="1192">
        <f t="shared" si="10"/>
        <v>0</v>
      </c>
      <c r="C119" s="1193">
        <f>(AB119-$AF$1)</f>
        <v>-367</v>
      </c>
      <c r="D119" s="1194">
        <f t="shared" si="8"/>
        <v>2.87E-2</v>
      </c>
      <c r="E119" s="1195">
        <f>duration_titre($AF$1,AA119,AB119,M119,K119,W119,V119,P119,Q119,N119,D119)</f>
        <v>0</v>
      </c>
      <c r="F119" s="1195">
        <f t="shared" si="11"/>
        <v>0</v>
      </c>
      <c r="G119" s="1195">
        <f>convexite_titre($AF$1,AA119,AB119,M119,K119,W119,V119,P119,Q119,N119,D119)</f>
        <v>0</v>
      </c>
      <c r="H119" s="1196">
        <f>+ROUND(coupon_courru($AF$1,AA119,AB119,M119,K119,W119,P119,Q119,N119,V119,"V"),5)</f>
        <v>3096.87671</v>
      </c>
      <c r="I119" s="1199">
        <f>X119</f>
        <v>0</v>
      </c>
      <c r="J119" s="1193" t="str">
        <f>VLOOKUP(A119,Marché!B1490:L3784,2,FALSE)</f>
        <v>BSF WAFASALAF DU 24/03/2020 5ans à 3.08%</v>
      </c>
      <c r="K119" s="1193">
        <f>VLOOKUP(A119,Marché!B1490:L3784,3,FALSE)</f>
        <v>100000</v>
      </c>
      <c r="L119" s="1193">
        <f>VLOOKUP(A119,Marché!B1490:L3784,4,FALSE)</f>
        <v>0</v>
      </c>
      <c r="M119" s="1197">
        <v>3.0800000000000001E-2</v>
      </c>
      <c r="N119" s="1193">
        <f>VLOOKUP(A119,Marché!$B$1:$L$2409,8,FALSE)</f>
        <v>5</v>
      </c>
      <c r="O119" s="1200" t="str">
        <f>VLOOKUP(A119,Marché!$B$1:$L$2409,9,FALSE)</f>
        <v>A</v>
      </c>
      <c r="P119" s="1200" t="str">
        <f>VLOOKUP(A119,Marché!$B$1:$L$2409,10,FALSE)</f>
        <v>A</v>
      </c>
      <c r="Q119" s="1200" t="s">
        <v>1014</v>
      </c>
      <c r="R119" s="1287">
        <v>6.0000000000000001E-3</v>
      </c>
      <c r="S119" s="1229" cm="1">
        <f t="array" ref="S119">IF(C119&gt;'Courbe des taux'!$D$50,ROUND( TREND('Courbe des taux'!$E$49:$E$50,'Courbe des taux'!$D$49:$D$50,Lignes_détenues!C119),5),ROUND(IF(C119&gt;365,interpoler(_mat2,taux2,C119),interpoler(_mat1,taux1,C119)),5))</f>
        <v>2.2700000000000001E-2</v>
      </c>
      <c r="T119" s="1201">
        <f t="shared" si="9"/>
        <v>2.2700000000000001E-2</v>
      </c>
      <c r="U119" s="1201">
        <f>ROUND(IF(D119*366&gt;366,interpoler(_mat2,taux2,D119*366),interpoler(_mat1,taux1,D119*366)),5)</f>
        <v>2.2700000000000001E-2</v>
      </c>
      <c r="V119" s="1202" t="str">
        <f>+IF((AB119-$AF$1)&lt;=366,"M","A")</f>
        <v>M</v>
      </c>
      <c r="W119" s="1202" t="s">
        <v>287</v>
      </c>
      <c r="X119" s="1212">
        <f>+prix_titre(AF$1,AA119,AB119,M119,K119,W119,V119,P119,Q119,N119,D119,Y119)</f>
        <v>0</v>
      </c>
      <c r="Y119" s="1202">
        <v>1</v>
      </c>
      <c r="Z119" s="35"/>
      <c r="AA119" s="1198">
        <f>VLOOKUP(A119,Marché!$B$1:$L$2409,6,FALSE)</f>
        <v>43914</v>
      </c>
      <c r="AB119" s="1198">
        <f>VLOOKUP(A119,Marché!$B$1:$L$2409,7,FALSE)</f>
        <v>45740</v>
      </c>
      <c r="AC119" s="35"/>
      <c r="AD119" s="2"/>
    </row>
    <row r="120" spans="1:30" ht="15" hidden="1" x14ac:dyDescent="0.25">
      <c r="A120" s="1191">
        <v>9202</v>
      </c>
      <c r="B120" s="1192">
        <f t="shared" si="10"/>
        <v>237.38</v>
      </c>
      <c r="C120" s="1193">
        <f>(AB120-$AF$1)</f>
        <v>493</v>
      </c>
      <c r="D120" s="1194">
        <f t="shared" si="8"/>
        <v>2.5690000000000001E-2</v>
      </c>
      <c r="E120" s="1195">
        <f>duration_titre($AF$1,AA120,AB120,M120,K120,W120,V120,P120,Q120,N120,D120)</f>
        <v>1.3083847948765295</v>
      </c>
      <c r="F120" s="1195">
        <f t="shared" si="11"/>
        <v>1.27561426442349</v>
      </c>
      <c r="G120" s="1195">
        <f>convexite_titre($AF$1,AA120,AB120,M120,K120,W120,V120,P120,Q120,N120,D120)</f>
        <v>2.909363209522247</v>
      </c>
      <c r="H120" s="1196">
        <f>+ROUND(coupon_courru($AF$1,AA120,AB120,M120,K120,W120,P120,Q120,N120,V120,"V"),5)</f>
        <v>29.219180000000001</v>
      </c>
      <c r="I120" s="1199">
        <f>+X120</f>
        <v>237.3827</v>
      </c>
      <c r="J120" s="1193" t="str">
        <f>VLOOKUP(A120,Marché!B1491:L3785,2,FALSE)</f>
        <v>OBL LYDEC à 4.50% du 31/12/2013 13 ans</v>
      </c>
      <c r="K120" s="1193">
        <f>VLOOKUP(A120,Marché!B1491:L3785,3,FALSE)</f>
        <v>1000</v>
      </c>
      <c r="L120" s="1193">
        <f>VLOOKUP(A120,Marché!B1491:L3785,4,FALSE)</f>
        <v>0</v>
      </c>
      <c r="M120" s="1197">
        <f>VLOOKUP(A120,Marché!B1491:L3785,5,FALSE)</f>
        <v>4.4999999999999998E-2</v>
      </c>
      <c r="N120" s="1193">
        <f>VLOOKUP(A120,Marché!$B$1:$L$2409,8,FALSE)</f>
        <v>14</v>
      </c>
      <c r="O120" s="1200" t="str">
        <f>VLOOKUP(A120,Marché!$B$1:$L$2409,9,FALSE)</f>
        <v>A</v>
      </c>
      <c r="P120" s="1200" t="str">
        <f>VLOOKUP(A120,Marché!$B$1:$L$2409,10,FALSE)</f>
        <v>A</v>
      </c>
      <c r="Q120" s="1200" t="s">
        <v>1014</v>
      </c>
      <c r="R120" s="1287">
        <v>0</v>
      </c>
      <c r="S120" s="1229" cm="1">
        <f t="array" ref="S120">IF(C120&gt;'Courbe des taux'!$D$50,ROUND( TREND('Courbe des taux'!$E$49:$E$50,'Courbe des taux'!$D$49:$D$50,Lignes_détenues!C120),5),ROUND(IF(C120&gt;365,interpoler(_mat2,taux2,C120),interpoler(_mat1,taux1,C120)),5))</f>
        <v>2.5690000000000001E-2</v>
      </c>
      <c r="T120" s="1201">
        <f t="shared" si="9"/>
        <v>2.5690000000000001E-2</v>
      </c>
      <c r="U120" s="1201">
        <f>ROUND(IF(D120*366&gt;366,interpoler(_mat2,taux2,D120*366),interpoler(_mat1,taux1,D120*366)),5)</f>
        <v>2.2700000000000001E-2</v>
      </c>
      <c r="V120" s="1202" t="str">
        <f>+IF((AB120-$AF$1)&lt;=366,"M","A")</f>
        <v>A</v>
      </c>
      <c r="W120" s="1202" t="s">
        <v>287</v>
      </c>
      <c r="X120" s="1212">
        <f>+'Echéanciers des Parts'!HX3</f>
        <v>237.3827</v>
      </c>
      <c r="Y120" s="1202">
        <v>1</v>
      </c>
      <c r="Z120" s="35"/>
      <c r="AA120" s="1198">
        <f>VLOOKUP(A120,Marché!$B$1:$L$2409,6,FALSE)</f>
        <v>41639</v>
      </c>
      <c r="AB120" s="1198">
        <f>VLOOKUP(A120,Marché!$B$1:$L$2409,7,FALSE)</f>
        <v>46600</v>
      </c>
      <c r="AC120" s="35"/>
      <c r="AD120" s="2"/>
    </row>
    <row r="121" spans="1:30" ht="15" hidden="1" x14ac:dyDescent="0.25">
      <c r="A121" s="1191">
        <v>9444</v>
      </c>
      <c r="B121" s="1192">
        <f t="shared" si="10"/>
        <v>102422.59</v>
      </c>
      <c r="C121" s="1193">
        <f>(AB121-$AF$1)</f>
        <v>1507</v>
      </c>
      <c r="D121" s="1194">
        <f t="shared" si="8"/>
        <v>3.5929999999999997E-2</v>
      </c>
      <c r="E121" s="1195">
        <f>duration_titre($AF$1,AA121,AB121,M121,K121,W121,V121,P121,Q121,N121,D121)</f>
        <v>3.8055918548715573</v>
      </c>
      <c r="F121" s="1195">
        <f t="shared" si="11"/>
        <v>3.673599427443512</v>
      </c>
      <c r="G121" s="1195">
        <f>convexite_titre($AF$1,AA121,AB121,M121,K121,W121,V121,P121,Q121,N121,D121)</f>
        <v>17.858829255076454</v>
      </c>
      <c r="H121" s="1196">
        <f>+ROUND(coupon_courru($AF$1,AA121,AB121,M121,K121,W121,P121,Q121,N121,V121,"V"),5)</f>
        <v>3006.4657499999998</v>
      </c>
      <c r="I121" s="1199">
        <f>+X121</f>
        <v>102422.59359022178</v>
      </c>
      <c r="J121" s="1193" t="str">
        <f>VLOOKUP(A121,Marché!B1500:L3794,2,FALSE)</f>
        <v>OBL AL MADA du 11/05/2020 à 3.44%  10 ans</v>
      </c>
      <c r="K121" s="1193">
        <f>VLOOKUP(A121,Marché!B1500:L3794,3,FALSE)</f>
        <v>100000</v>
      </c>
      <c r="L121" s="1193">
        <f>VLOOKUP(A121,Marché!B1500:L3794,4,FALSE)</f>
        <v>0</v>
      </c>
      <c r="M121" s="1197">
        <f>VLOOKUP(A121,Marché!B1500:L3794,5,FALSE)</f>
        <v>3.44E-2</v>
      </c>
      <c r="N121" s="1193">
        <f>VLOOKUP(A121,Marché!$B$1:$L$2409,8,FALSE)</f>
        <v>10</v>
      </c>
      <c r="O121" s="1200" t="s">
        <v>1716</v>
      </c>
      <c r="P121" s="1200" t="str">
        <f>VLOOKUP(A121,Marché!$B$1:$L$2409,10,FALSE)</f>
        <v>A</v>
      </c>
      <c r="Q121" s="1200" t="s">
        <v>1014</v>
      </c>
      <c r="R121" s="1287">
        <v>6.0600000000000003E-3</v>
      </c>
      <c r="S121" s="1229" cm="1">
        <f t="array" ref="S121">IF(C121&gt;'Courbe des taux'!$D$50,ROUND( TREND('Courbe des taux'!$E$49:$E$50,'Courbe des taux'!$D$49:$D$50,Lignes_détenues!C121),5),ROUND(IF(C121&gt;365,interpoler(_mat2,taux2,C121),interpoler(_mat1,taux1,C121)),5))</f>
        <v>2.9870000000000001E-2</v>
      </c>
      <c r="T121" s="1201">
        <f t="shared" si="9"/>
        <v>2.9870000000000001E-2</v>
      </c>
      <c r="U121" s="1201">
        <f>ROUND(IF(D121*366&gt;366,interpoler(_mat2,taux2,D121*366),interpoler(_mat1,taux1,D121*366)),5)</f>
        <v>2.2700000000000001E-2</v>
      </c>
      <c r="V121" s="1202" t="str">
        <f>+IF((AB121-$AF$1)&lt;=366,"M","A")</f>
        <v>A</v>
      </c>
      <c r="W121" s="1202" t="s">
        <v>287</v>
      </c>
      <c r="X121" s="1212">
        <f>+prix_titre(AF$1,AA121,AB121,M121,K121,W121,V121,P121,Q121,N121,D121,Y121)</f>
        <v>102422.59359022178</v>
      </c>
      <c r="Y121" s="1202">
        <v>1</v>
      </c>
      <c r="Z121" s="35"/>
      <c r="AA121" s="1198">
        <f>VLOOKUP(A121,Marché!$B$1:$L$2409,6,FALSE)</f>
        <v>43962</v>
      </c>
      <c r="AB121" s="1198">
        <f>VLOOKUP(A121,Marché!$B$1:$L$2409,7,FALSE)</f>
        <v>47614</v>
      </c>
      <c r="AC121" s="35"/>
      <c r="AD121" s="2"/>
    </row>
    <row r="122" spans="1:30" ht="15" hidden="1" x14ac:dyDescent="0.25">
      <c r="A122" s="1191">
        <v>201558</v>
      </c>
      <c r="B122" s="1192">
        <f t="shared" si="10"/>
        <v>0</v>
      </c>
      <c r="C122" s="1193">
        <f>(AB122-$AF$1)</f>
        <v>-346</v>
      </c>
      <c r="D122" s="1194">
        <f t="shared" si="8"/>
        <v>2.2700000000000001E-2</v>
      </c>
      <c r="E122" s="1195">
        <f>duration_titre($AF$1,AA122,AB122,M122,K122,W122,V122,P122,Q122,N122,D122)</f>
        <v>0</v>
      </c>
      <c r="F122" s="1195">
        <f t="shared" si="11"/>
        <v>0</v>
      </c>
      <c r="G122" s="1195">
        <f>convexite_titre($AF$1,AA122,AB122,M122,K122,W122,V122,P122,Q122,N122,D122)</f>
        <v>0</v>
      </c>
      <c r="H122" s="1196">
        <f>+ROUND(coupon_courru($AF$1,AA122,AB122,M122,K122,W122,P122,Q122,N122,V122,"V"),5)</f>
        <v>2369.86301</v>
      </c>
      <c r="I122" s="1199">
        <f>+X122</f>
        <v>0</v>
      </c>
      <c r="J122" s="1193" t="str">
        <f>VLOOKUP(A122,Marché!B1503:L3797,2,FALSE)</f>
        <v>BDT DU 14/04/2020 5 ANS à 2.5%</v>
      </c>
      <c r="K122" s="1193">
        <f>VLOOKUP(A122,Marché!B1503:L3797,3,FALSE)</f>
        <v>100000</v>
      </c>
      <c r="L122" s="1193">
        <f>VLOOKUP(A122,Marché!B1503:L3797,4,FALSE)</f>
        <v>0</v>
      </c>
      <c r="M122" s="1197">
        <f>VLOOKUP(A122,Marché!B1503:L3797,5,FALSE)</f>
        <v>2.5000000000000001E-2</v>
      </c>
      <c r="N122" s="1193">
        <f>VLOOKUP(A122,Marché!$B$1:$L$2409,8,FALSE)</f>
        <v>5</v>
      </c>
      <c r="O122" s="1200" t="s">
        <v>1716</v>
      </c>
      <c r="P122" s="1200" t="str">
        <f>VLOOKUP(A122,Marché!$B$1:$L$2409,10,FALSE)</f>
        <v>A</v>
      </c>
      <c r="Q122" s="1200" t="s">
        <v>1014</v>
      </c>
      <c r="R122" s="1287">
        <v>0</v>
      </c>
      <c r="S122" s="1229" cm="1">
        <f t="array" ref="S122">IF(C122&gt;'Courbe des taux'!$D$50,ROUND( TREND('Courbe des taux'!$E$49:$E$50,'Courbe des taux'!$D$49:$D$50,Lignes_détenues!C122),5),ROUND(IF(C122&gt;365,interpoler(_mat2,taux2,C122),interpoler(_mat1,taux1,C122)),5))</f>
        <v>2.2700000000000001E-2</v>
      </c>
      <c r="T122" s="1201">
        <f t="shared" si="9"/>
        <v>2.2700000000000001E-2</v>
      </c>
      <c r="U122" s="1201">
        <f>ROUND(IF(D122*366&gt;366,interpoler(_mat2,taux2,D122*366),interpoler(_mat1,taux1,D122*366)),5)</f>
        <v>2.2700000000000001E-2</v>
      </c>
      <c r="V122" s="1202" t="str">
        <f>+IF((AB122-$AF$1)&lt;=366,"M","A")</f>
        <v>M</v>
      </c>
      <c r="W122" s="1202" t="s">
        <v>287</v>
      </c>
      <c r="X122" s="1212">
        <f>+prix_atp(AF$1,AA122,Z122,AB122,M122,K122,W122,V122,P122,Q122,N122,D122,Y122)</f>
        <v>0</v>
      </c>
      <c r="Y122" s="1202">
        <v>1</v>
      </c>
      <c r="Z122" s="35">
        <v>43935</v>
      </c>
      <c r="AA122" s="1198">
        <f>VLOOKUP(A122,Marché!$B$1:$L$2409,6,FALSE)</f>
        <v>43906</v>
      </c>
      <c r="AB122" s="1198">
        <f>VLOOKUP(A122,Marché!$B$1:$L$2409,7,FALSE)</f>
        <v>45761</v>
      </c>
      <c r="AC122" s="35"/>
      <c r="AD122" s="2"/>
    </row>
    <row r="123" spans="1:30" ht="15" hidden="1" x14ac:dyDescent="0.25">
      <c r="A123" s="1191">
        <v>9408</v>
      </c>
      <c r="B123" s="1192">
        <f t="shared" si="10"/>
        <v>101997.85</v>
      </c>
      <c r="C123" s="1193">
        <f>(AB123-$AF$1)</f>
        <v>1312</v>
      </c>
      <c r="D123" s="1194">
        <f t="shared" si="8"/>
        <v>5.8819999999999997E-2</v>
      </c>
      <c r="E123" s="1195">
        <f>duration_titre($AF$1,AA123,AB123,M123,K123,W123,V123,P123,Q123,N123,D123)</f>
        <v>3.2774969700543797</v>
      </c>
      <c r="F123" s="1195">
        <f t="shared" si="11"/>
        <v>3.0954241231317687</v>
      </c>
      <c r="G123" s="1195">
        <f>convexite_titre($AF$1,AA123,AB123,M123,K123,W123,V123,P123,Q123,N123,D123)</f>
        <v>13.084846975165844</v>
      </c>
      <c r="H123" s="1196">
        <f>+ROUND(coupon_courru($AF$1,AA123,AB123,M123,K123,W123,P123,Q123,N123,V123,"V"),5)</f>
        <v>2359.5068500000002</v>
      </c>
      <c r="I123" s="1199">
        <f>+X123</f>
        <v>101997.84773949657</v>
      </c>
      <c r="J123" s="1193" t="str">
        <f>VLOOKUP(A123,Marché!B1505:L3799,2,FALSE)</f>
        <v>OBL PERPT Crédit Agricole du 28/10/19 à 5.78% REV 10ans</v>
      </c>
      <c r="K123" s="1193">
        <f>VLOOKUP(A123,Marché!B1505:L3799,3,FALSE)</f>
        <v>100000</v>
      </c>
      <c r="L123" s="1193">
        <f>VLOOKUP(A123,Marché!B1505:L3799,4,FALSE)</f>
        <v>0</v>
      </c>
      <c r="M123" s="1197">
        <f>VLOOKUP(A123,Marché!B1505:L3799,5,FALSE)</f>
        <v>5.7799999999999997E-2</v>
      </c>
      <c r="N123" s="1193">
        <f>VLOOKUP(A123,Marché!$B$1:$L$2409,8,FALSE)</f>
        <v>10</v>
      </c>
      <c r="O123" s="1200" t="s">
        <v>1716</v>
      </c>
      <c r="P123" s="1200" t="str">
        <f>VLOOKUP(A123,Marché!$B$1:$L$2409,10,FALSE)</f>
        <v>A</v>
      </c>
      <c r="Q123" s="1200" t="s">
        <v>1014</v>
      </c>
      <c r="R123" s="1287">
        <v>2.972E-2</v>
      </c>
      <c r="S123" s="1229" cm="1">
        <f t="array" ref="S123">IF(C123&gt;'Courbe des taux'!$D$50,ROUND( TREND('Courbe des taux'!$E$49:$E$50,'Courbe des taux'!$D$49:$D$50,Lignes_détenues!C123),5),ROUND(IF(C123&gt;365,interpoler(_mat2,taux2,C123),interpoler(_mat1,taux1,C123)),5))</f>
        <v>2.9100000000000001E-2</v>
      </c>
      <c r="T123" s="1201">
        <f t="shared" si="9"/>
        <v>2.9100000000000001E-2</v>
      </c>
      <c r="U123" s="1201">
        <f>ROUND(IF(D123*366&gt;366,interpoler(_mat2,taux2,D123*366),interpoler(_mat1,taux1,D123*366)),5)</f>
        <v>2.2700000000000001E-2</v>
      </c>
      <c r="V123" s="1202" t="str">
        <f>+IF((AB123-$AF$1)&lt;=366,"M","A")</f>
        <v>A</v>
      </c>
      <c r="W123" s="1202" t="s">
        <v>287</v>
      </c>
      <c r="X123" s="1212">
        <f>+prix_titre(AF$1,AA123,AB123,M123,K123,W123,V123,P123,Q123,N123,D123,Y123)</f>
        <v>101997.84773949657</v>
      </c>
      <c r="Y123" s="1202">
        <v>1</v>
      </c>
      <c r="Z123" s="35" t="s">
        <v>2556</v>
      </c>
      <c r="AA123" s="1198">
        <f>VLOOKUP(A123,Marché!$B$1:$L$2409,6,FALSE)</f>
        <v>43766</v>
      </c>
      <c r="AB123" s="1198">
        <f>VLOOKUP(A123,Marché!$B$1:$L$2409,7,FALSE)</f>
        <v>47419</v>
      </c>
      <c r="AC123" s="35"/>
      <c r="AD123" s="2"/>
    </row>
    <row r="124" spans="1:30" ht="15" hidden="1" x14ac:dyDescent="0.25">
      <c r="A124" s="1191">
        <v>9452</v>
      </c>
      <c r="B124" s="1192">
        <f t="shared" si="10"/>
        <v>51263.14</v>
      </c>
      <c r="C124" s="1193">
        <f>(AB124-$AF$1)</f>
        <v>1536</v>
      </c>
      <c r="D124" s="1194">
        <f t="shared" si="8"/>
        <v>4.0250000000000001E-2</v>
      </c>
      <c r="E124" s="1195">
        <f>duration_titre($AF$1,AA124,AB124,M124,K124,W124,V124,P124,Q124,N124,D124)</f>
        <v>3.8631450875269326</v>
      </c>
      <c r="F124" s="1195">
        <f t="shared" si="11"/>
        <v>3.7136698750559316</v>
      </c>
      <c r="G124" s="1195">
        <f>convexite_titre($AF$1,AA124,AB124,M124,K124,W124,V124,P124,Q124,N124,D124)</f>
        <v>18.22109835596336</v>
      </c>
      <c r="H124" s="1196">
        <f>+ROUND(coupon_courru($AF$1,AA124,AB124,M124,K124,W124,P124,Q124,N124,V124,"V"),5)</f>
        <v>2915.89041</v>
      </c>
      <c r="I124" s="1199">
        <f>+X124</f>
        <v>51263.143399999994</v>
      </c>
      <c r="J124" s="1193" t="str">
        <f>VLOOKUP(A124,Marché!B1504:L3798,2,FALSE)</f>
        <v>OBL ONDA du 09/06/2020 à 3.67% 10 ANS Trabche A</v>
      </c>
      <c r="K124" s="1193">
        <f>VLOOKUP(A124,Marché!B1504:L3798,3,FALSE)</f>
        <v>100000</v>
      </c>
      <c r="L124" s="1193">
        <f>VLOOKUP(A124,Marché!B1504:L3798,4,FALSE)</f>
        <v>0</v>
      </c>
      <c r="M124" s="1197">
        <f>VLOOKUP(A124,Marché!B1504:L3798,5,FALSE)</f>
        <v>3.6700000000000003E-2</v>
      </c>
      <c r="N124" s="1193">
        <f>VLOOKUP(A124,Marché!$B$1:$L$2409,8,FALSE)</f>
        <v>10</v>
      </c>
      <c r="O124" s="1200" t="str">
        <f>VLOOKUP(A124,Marché!$B$1:$L$2409,9,FALSE)</f>
        <v>A</v>
      </c>
      <c r="P124" s="1200" t="str">
        <f>VLOOKUP(A124,Marché!$B$1:$L$2409,10,FALSE)</f>
        <v>A</v>
      </c>
      <c r="Q124" s="1200" t="s">
        <v>1014</v>
      </c>
      <c r="R124" s="1287">
        <v>1.03E-2</v>
      </c>
      <c r="S124" s="1229" cm="1">
        <f t="array" ref="S124">IF(C124&gt;'Courbe des taux'!$D$50,ROUND( TREND('Courbe des taux'!$E$49:$E$50,'Courbe des taux'!$D$49:$D$50,Lignes_détenues!C124),5),ROUND(IF(C124&gt;365,interpoler(_mat2,taux2,C124),interpoler(_mat1,taux1,C124)),5))</f>
        <v>2.9950000000000001E-2</v>
      </c>
      <c r="T124" s="1201">
        <f t="shared" si="9"/>
        <v>2.9950000000000001E-2</v>
      </c>
      <c r="U124" s="1201">
        <f>ROUND(IF(D124*366&gt;366,interpoler(_mat2,taux2,D124*366),interpoler(_mat1,taux1,D124*366)),5)</f>
        <v>2.2700000000000001E-2</v>
      </c>
      <c r="V124" s="1202" t="str">
        <f>+IF((AB124-$AF$1)&lt;=366,"M","A")</f>
        <v>A</v>
      </c>
      <c r="W124" s="1202" t="s">
        <v>287</v>
      </c>
      <c r="X124" s="1212">
        <f>Ammortissable!C288</f>
        <v>51263.143399999994</v>
      </c>
      <c r="Y124" s="1202">
        <v>1</v>
      </c>
      <c r="Z124" s="35"/>
      <c r="AA124" s="1198">
        <f>VLOOKUP(A124,Marché!$B$1:$L$2409,6,FALSE)</f>
        <v>43991</v>
      </c>
      <c r="AB124" s="1198">
        <f>VLOOKUP(A124,Marché!$B$1:$L$2409,7,FALSE)</f>
        <v>47643</v>
      </c>
      <c r="AC124" s="35"/>
      <c r="AD124" s="2"/>
    </row>
    <row r="125" spans="1:30" ht="15" hidden="1" x14ac:dyDescent="0.25">
      <c r="A125" s="1191">
        <v>9455</v>
      </c>
      <c r="B125" s="1192">
        <f t="shared" si="10"/>
        <v>103074.57</v>
      </c>
      <c r="C125" s="1193">
        <f>(AB125-$AF$1)</f>
        <v>91</v>
      </c>
      <c r="D125" s="1194">
        <f t="shared" si="8"/>
        <v>4.6989999999999997E-2</v>
      </c>
      <c r="E125" s="1195">
        <f>duration_titre($AF$1,AA125,AB125,M125,K125,W125,V125,P125,Q125,N125,D125)</f>
        <v>0.24931506849315069</v>
      </c>
      <c r="F125" s="1195">
        <f t="shared" si="11"/>
        <v>0.23812554894808036</v>
      </c>
      <c r="G125" s="1195">
        <f>convexite_titre($AF$1,AA125,AB125,M125,K125,W125,V125,P125,Q125,N125,D125)</f>
        <v>0.28414200373837389</v>
      </c>
      <c r="H125" s="1196">
        <f>+ROUND(coupon_courru($AF$1,AA125,AB125,M125,K125,W125,P125,Q125,N125,V125,"V"),4)</f>
        <v>3227.1111000000001</v>
      </c>
      <c r="I125" s="1199">
        <f>+IF(Y125=1,B125,D125*100)</f>
        <v>103074.57</v>
      </c>
      <c r="J125" s="1193" t="str">
        <f>VLOOKUP(A125,Marché!B1508:L3802,2,FALSE)</f>
        <v xml:space="preserve">OBL ATW du 25/06/20 à 4.48% PERP Révis 52 SEM </v>
      </c>
      <c r="K125" s="1193">
        <f>VLOOKUP(A125,Marché!B1508:L3802,3,FALSE)</f>
        <v>100000</v>
      </c>
      <c r="L125" s="1193">
        <f>VLOOKUP(A125,Marché!B1508:L3802,4,FALSE)</f>
        <v>0</v>
      </c>
      <c r="M125" s="1197">
        <v>4.24E-2</v>
      </c>
      <c r="N125" s="1193">
        <f>VLOOKUP(A125,Marché!B1508:L3802,8,FALSE)</f>
        <v>52</v>
      </c>
      <c r="O125" s="1200" t="str">
        <f>VLOOKUP(A125,Marché!B1508:L3802,9,FALSE)</f>
        <v>A</v>
      </c>
      <c r="P125" s="1200" t="str">
        <f>VLOOKUP(A125,Marché!B1508:L3802,10,FALSE)</f>
        <v>A</v>
      </c>
      <c r="Q125" s="1200" t="str">
        <f>VLOOKUP(A125,Marché!B1508:L3802,11,FALSE)</f>
        <v>F</v>
      </c>
      <c r="R125" s="1287">
        <v>2.4E-2</v>
      </c>
      <c r="S125" s="1229" cm="1">
        <f t="array" ref="S125">IF(C125&gt;'Courbe des taux'!$D$50,ROUND( TREND('Courbe des taux'!$E$49:$E$50,'Courbe des taux'!$D$49:$D$50,Lignes_détenues!C125),5),ROUND(IF(C125&gt;365,interpoler(_mat2,taux2,C125),interpoler(_mat1,taux1,C125)),5))</f>
        <v>2.299E-2</v>
      </c>
      <c r="T125" s="1201">
        <f t="shared" si="9"/>
        <v>2.299E-2</v>
      </c>
      <c r="U125" s="1201">
        <f>ROUND(IF(D125*366&gt;366,interpoler(_mat2,taux2,D125*366),interpoler(_mat1,taux1,D125*366)),5)</f>
        <v>2.2700000000000001E-2</v>
      </c>
      <c r="V125" s="1202" t="str">
        <f>+IF((AB125-$AF$1)&lt;=366,"M","A")</f>
        <v>M</v>
      </c>
      <c r="W125" s="1202" t="s">
        <v>287</v>
      </c>
      <c r="X125" s="1212">
        <f>+prix_titre(AF$1,AA125,AB125,M125,K125,W125,V125,P125,Q125,N125,D125,Y125)</f>
        <v>103074.56742494409</v>
      </c>
      <c r="Y125" s="1202">
        <v>1</v>
      </c>
      <c r="Z125" s="35" t="s">
        <v>2577</v>
      </c>
      <c r="AA125" s="1198">
        <v>45833</v>
      </c>
      <c r="AB125" s="1198">
        <v>46198</v>
      </c>
      <c r="AC125" s="35"/>
      <c r="AD125" s="2"/>
    </row>
    <row r="126" spans="1:30" ht="15" hidden="1" x14ac:dyDescent="0.25">
      <c r="A126" s="1191">
        <v>9460</v>
      </c>
      <c r="B126" s="1192">
        <f t="shared" si="10"/>
        <v>0</v>
      </c>
      <c r="C126" s="1193">
        <f>(AB126-$AF$1)</f>
        <v>-254</v>
      </c>
      <c r="D126" s="1194">
        <f t="shared" si="8"/>
        <v>2.8389999999999999E-2</v>
      </c>
      <c r="E126" s="1195">
        <f>duration_titre($AF$1,AA126,AB126,M126,K126,W126,V126,P126,Q126,N126,D126)</f>
        <v>0</v>
      </c>
      <c r="F126" s="1195">
        <f t="shared" si="11"/>
        <v>0</v>
      </c>
      <c r="G126" s="1195">
        <f>convexite_titre($AF$1,AA126,AB126,M126,K126,W126,V126,P126,Q126,N126,D126)</f>
        <v>0</v>
      </c>
      <c r="H126" s="1196">
        <f>+ROUND(coupon_courru($AF$1,AA126,AB126,M126,K126,W126,P126,Q126,N126,V126,"V"),4)</f>
        <v>1830.1918000000001</v>
      </c>
      <c r="I126" s="1199">
        <f>+IF(Y126=1,B126,D126*100)</f>
        <v>0</v>
      </c>
      <c r="J126" s="1193" t="str">
        <f>VLOOKUP(A126,Marché!B1514:L3808,2,FALSE)</f>
        <v>OBL AL MADA du 15/07/2020 à 2.63%  5 ans</v>
      </c>
      <c r="K126" s="1193">
        <f>VLOOKUP(A126,Marché!B1514:L3808,3,FALSE)</f>
        <v>100000</v>
      </c>
      <c r="L126" s="1193">
        <f>VLOOKUP(A126,Marché!B1514:L3808,4,FALSE)</f>
        <v>0</v>
      </c>
      <c r="M126" s="1197">
        <f>VLOOKUP(A126,Marché!B1514:L3808,5,FALSE)</f>
        <v>2.63E-2</v>
      </c>
      <c r="N126" s="1193">
        <f>VLOOKUP(A126,Marché!B1514:L3808,8,FALSE)</f>
        <v>5</v>
      </c>
      <c r="O126" s="1200" t="str">
        <f>VLOOKUP(A126,Marché!B1514:L3808,9,FALSE)</f>
        <v>A</v>
      </c>
      <c r="P126" s="1200" t="str">
        <f>VLOOKUP(A126,Marché!B1514:L3808,10,FALSE)</f>
        <v>A</v>
      </c>
      <c r="Q126" s="1200" t="str">
        <f>VLOOKUP(A126,Marché!B1514:L3808,11,FALSE)</f>
        <v>F</v>
      </c>
      <c r="R126" s="1287">
        <v>5.6899999999999997E-3</v>
      </c>
      <c r="S126" s="1229" cm="1">
        <f t="array" ref="S126">IF(C126&gt;'Courbe des taux'!$D$50,ROUND( TREND('Courbe des taux'!$E$49:$E$50,'Courbe des taux'!$D$49:$D$50,Lignes_détenues!C126),5),ROUND(IF(C126&gt;365,interpoler(_mat2,taux2,C126),interpoler(_mat1,taux1,C126)),5))</f>
        <v>2.2700000000000001E-2</v>
      </c>
      <c r="T126" s="1201">
        <f t="shared" si="9"/>
        <v>2.2700000000000001E-2</v>
      </c>
      <c r="U126" s="1201">
        <f>ROUND(IF(D126*366&gt;366,interpoler(_mat2,taux2,D126*366),interpoler(_mat1,taux1,D126*366)),5)</f>
        <v>2.2700000000000001E-2</v>
      </c>
      <c r="V126" s="1202" t="str">
        <f>+IF((AB126-$AF$1)&lt;=366,"M","A")</f>
        <v>M</v>
      </c>
      <c r="W126" s="1202" t="s">
        <v>287</v>
      </c>
      <c r="X126" s="1212">
        <f>+prix_titre(AF$1,AA126,AB126,M126,K126,W126,V126,P126,Q126,N126,D126,Y126)</f>
        <v>0</v>
      </c>
      <c r="Y126" s="1202">
        <v>1</v>
      </c>
      <c r="Z126" s="35"/>
      <c r="AA126" s="1198">
        <f>VLOOKUP(A126,Marché!B1512:L3806,6,FALSE)</f>
        <v>44027</v>
      </c>
      <c r="AB126" s="1198">
        <f>VLOOKUP(A126,Marché!$B$1:$L$2409,7,FALSE)</f>
        <v>45853</v>
      </c>
      <c r="AC126" s="35"/>
      <c r="AD126" s="2"/>
    </row>
    <row r="127" spans="1:30" ht="15" hidden="1" x14ac:dyDescent="0.25">
      <c r="A127" s="1191">
        <v>9461</v>
      </c>
      <c r="B127" s="1192">
        <f t="shared" si="10"/>
        <v>34611.370000000003</v>
      </c>
      <c r="C127" s="1193">
        <f>(AB127-$AF$1)</f>
        <v>-46107</v>
      </c>
      <c r="D127" s="1194">
        <f t="shared" si="8"/>
        <v>2.2700000000000001E-2</v>
      </c>
      <c r="E127" s="1195"/>
      <c r="F127" s="1195"/>
      <c r="G127" s="1195"/>
      <c r="H127" s="1196"/>
      <c r="I127" s="1199"/>
      <c r="J127" s="1193"/>
      <c r="K127" s="1193"/>
      <c r="L127" s="1193"/>
      <c r="M127" s="1197"/>
      <c r="N127" s="1193"/>
      <c r="O127" s="1200"/>
      <c r="P127" s="1200"/>
      <c r="Q127" s="1200"/>
      <c r="R127" s="1287"/>
      <c r="S127" s="1229" cm="1">
        <f t="array" ref="S127">IF(C127&gt;'Courbe des taux'!$D$50,ROUND( TREND('Courbe des taux'!$E$49:$E$50,'Courbe des taux'!$D$49:$D$50,Lignes_détenues!C127),5),ROUND(IF(C127&gt;365,interpoler(_mat2,taux2,C127),interpoler(_mat1,taux1,C127)),5))</f>
        <v>2.2700000000000001E-2</v>
      </c>
      <c r="T127" s="1201">
        <f t="shared" si="9"/>
        <v>2.2700000000000001E-2</v>
      </c>
      <c r="U127" s="1201">
        <f>ROUND(IF(D127*366&gt;366,interpoler(_mat2,taux2,D127*366),interpoler(_mat1,taux1,D127*366)),5)</f>
        <v>2.2700000000000001E-2</v>
      </c>
      <c r="V127" s="1202"/>
      <c r="W127" s="1202"/>
      <c r="X127" s="1212">
        <f>Ammortissable!C40</f>
        <v>34611.373025628593</v>
      </c>
      <c r="Y127" s="1202"/>
      <c r="Z127" s="35"/>
      <c r="AA127" s="1198"/>
      <c r="AB127" s="1198"/>
      <c r="AC127" s="35"/>
      <c r="AD127" s="2"/>
    </row>
    <row r="128" spans="1:30" ht="15" hidden="1" x14ac:dyDescent="0.25">
      <c r="A128" s="1191">
        <v>201570</v>
      </c>
      <c r="B128" s="1192">
        <f t="shared" si="10"/>
        <v>0</v>
      </c>
      <c r="C128" s="1193">
        <f>(AB128-$AF$1)</f>
        <v>-157</v>
      </c>
      <c r="D128" s="1194">
        <f t="shared" si="8"/>
        <v>2.2700000000000001E-2</v>
      </c>
      <c r="E128" s="1195">
        <f>duration_titre($AF$1,AA128,AB128,M128,K128,W128,V128,P128,Q128,N128,D128)</f>
        <v>0</v>
      </c>
      <c r="F128" s="1195">
        <f t="shared" ref="F128:F135" si="12">+E128/(1+D128)</f>
        <v>0</v>
      </c>
      <c r="G128" s="1195">
        <f>convexite_titre($AF$1,AA128,AB128,M128,K128,W128,V128,P128,Q128,N128,D128)</f>
        <v>0</v>
      </c>
      <c r="H128" s="1196">
        <f>+ROUND(coupon_courru($AF$1,AA128,AB128,M128,K128,W128,P128,Q128,N128,V128,"V"),4)</f>
        <v>1032.3288</v>
      </c>
      <c r="I128" s="1199">
        <f>+IF(Y128=1,B128,D128*100)</f>
        <v>0</v>
      </c>
      <c r="J128" s="1193" t="str">
        <f>VLOOKUP(A128,Marché!B1523:L3817,2,FALSE)</f>
        <v xml:space="preserve">BDT du 20/10/2020 à 2.40% 5 ANS ATYP 15/06/2020 </v>
      </c>
      <c r="K128" s="1193">
        <f>VLOOKUP(A128,Marché!B1523:L3817,3,FALSE)</f>
        <v>100000</v>
      </c>
      <c r="L128" s="1193">
        <f>VLOOKUP(A128,Marché!B1523:L3817,4,FALSE)</f>
        <v>0</v>
      </c>
      <c r="M128" s="1197">
        <f>VLOOKUP(A128,Marché!B1523:L3817,5,FALSE)</f>
        <v>2.4E-2</v>
      </c>
      <c r="N128" s="1193">
        <f>VLOOKUP(A128,Marché!B1523:L3817,8,FALSE)</f>
        <v>5</v>
      </c>
      <c r="O128" s="1200" t="str">
        <f>VLOOKUP(A128,Marché!$B$1:$L$2409,9,FALSE)</f>
        <v>A</v>
      </c>
      <c r="P128" s="1200" t="str">
        <f>VLOOKUP(A128,Marché!B1523:L3817,10,FALSE)</f>
        <v>A</v>
      </c>
      <c r="Q128" s="1200" t="str">
        <f>VLOOKUP(A128,Marché!B1523:L3817,11,FALSE)</f>
        <v>F</v>
      </c>
      <c r="R128" s="1287">
        <v>0</v>
      </c>
      <c r="S128" s="1229" cm="1">
        <f t="array" ref="S128">IF(C128&gt;'Courbe des taux'!$D$50,ROUND( TREND('Courbe des taux'!$E$49:$E$50,'Courbe des taux'!$D$49:$D$50,Lignes_détenues!C128),5),ROUND(IF(C128&gt;365,interpoler(_mat2,taux2,C128),interpoler(_mat1,taux1,C128)),5))</f>
        <v>2.2700000000000001E-2</v>
      </c>
      <c r="T128" s="1201">
        <f t="shared" si="9"/>
        <v>2.2700000000000001E-2</v>
      </c>
      <c r="U128" s="1201">
        <f>ROUND(IF(D128*366&gt;366,interpoler(_mat2,taux2,D128*366),interpoler(_mat1,taux1,D128*366)),5)</f>
        <v>2.2700000000000001E-2</v>
      </c>
      <c r="V128" s="1202" t="str">
        <f>+IF((AB128-$AF$1)&lt;=366,"M","A")</f>
        <v>M</v>
      </c>
      <c r="W128" s="1202" t="s">
        <v>287</v>
      </c>
      <c r="X128" s="1212">
        <f>+prix_atp(AF$1,AA128,Z128,AB128,M128,K128,W128,V128,P128,Q128,N128,D128,Y128)</f>
        <v>0</v>
      </c>
      <c r="Y128" s="1202">
        <v>1</v>
      </c>
      <c r="Z128" s="35">
        <v>44124</v>
      </c>
      <c r="AA128" s="1198">
        <f>VLOOKUP(A128,Marché!B1521:L3815,6,FALSE)</f>
        <v>43997</v>
      </c>
      <c r="AB128" s="1198">
        <f>VLOOKUP(A128,Marché!$B$1:$L$2409,7,FALSE)</f>
        <v>45950</v>
      </c>
      <c r="AC128" s="35"/>
      <c r="AD128" s="2"/>
    </row>
    <row r="129" spans="1:31" ht="15" hidden="1" x14ac:dyDescent="0.25">
      <c r="A129" s="1191">
        <v>100815</v>
      </c>
      <c r="B129" s="1192">
        <f t="shared" si="10"/>
        <v>0</v>
      </c>
      <c r="C129" s="1193">
        <f>(AB129-$AF$1)</f>
        <v>-228</v>
      </c>
      <c r="D129" s="1194">
        <f t="shared" si="8"/>
        <v>2.92E-2</v>
      </c>
      <c r="E129" s="1195">
        <f>duration_titre($AF$1,AA129,AB129,M129,K129,W129,V129,P129,Q129,N129,D129)</f>
        <v>0</v>
      </c>
      <c r="F129" s="1195">
        <f t="shared" si="12"/>
        <v>0</v>
      </c>
      <c r="G129" s="1195">
        <f>convexite_titre($AF$1,AA129,AB129,M129,K129,W129,V129,P129,Q129,N129,D129)</f>
        <v>0</v>
      </c>
      <c r="H129" s="1196">
        <f>+ROUND(coupon_courru($AF$1,AA129,AB129,M129,K129,W129,P129,Q129,N129,V129,"V"),4)</f>
        <v>1667.8356000000001</v>
      </c>
      <c r="I129" s="1199">
        <f>+IF(Y129=1,B129,D129*100)</f>
        <v>0</v>
      </c>
      <c r="J129" s="1193" t="str">
        <f>VLOOKUP(A129,Marché!B1526:L3820,2,FALSE)</f>
        <v>BSF WAFABAIL du 10/08/2020 à 2.67%  5ans</v>
      </c>
      <c r="K129" s="1193">
        <f>VLOOKUP(A129,Marché!B1526:L3820,3,FALSE)</f>
        <v>100000</v>
      </c>
      <c r="L129" s="1193">
        <f>VLOOKUP(A129,Marché!B1526:L3820,4,FALSE)</f>
        <v>0</v>
      </c>
      <c r="M129" s="1197">
        <f>VLOOKUP(A129,Marché!B1526:L3820,5,FALSE)</f>
        <v>2.6700000000000002E-2</v>
      </c>
      <c r="N129" s="1193">
        <f>VLOOKUP(A129,Marché!B1526:L3820,8,FALSE)</f>
        <v>5</v>
      </c>
      <c r="O129" s="1200" t="str">
        <f>VLOOKUP(A129,Marché!$B$1:$L$2409,9,FALSE)</f>
        <v>A</v>
      </c>
      <c r="P129" s="1200" t="str">
        <f>VLOOKUP(A129,Marché!B1526:L3820,10,FALSE)</f>
        <v>A</v>
      </c>
      <c r="Q129" s="1200" t="str">
        <f>VLOOKUP(A129,Marché!B1526:L3820,11,FALSE)</f>
        <v>F</v>
      </c>
      <c r="R129" s="1287">
        <v>6.4999999999999997E-3</v>
      </c>
      <c r="S129" s="1229" cm="1">
        <f t="array" ref="S129">IF(C129&gt;'Courbe des taux'!$D$50,ROUND( TREND('Courbe des taux'!$E$49:$E$50,'Courbe des taux'!$D$49:$D$50,Lignes_détenues!C129),5),ROUND(IF(C129&gt;365,interpoler(_mat2,taux2,C129),interpoler(_mat1,taux1,C129)),5))</f>
        <v>2.2700000000000001E-2</v>
      </c>
      <c r="T129" s="1201">
        <f t="shared" si="9"/>
        <v>2.2700000000000001E-2</v>
      </c>
      <c r="U129" s="1201">
        <f>ROUND(IF(D129*366&gt;366,interpoler(_mat2,taux2,D129*366),interpoler(_mat1,taux1,D129*366)),5)</f>
        <v>2.2700000000000001E-2</v>
      </c>
      <c r="V129" s="1202" t="str">
        <f>+IF((AB129-$AF$1)&lt;=366,"M","A")</f>
        <v>M</v>
      </c>
      <c r="W129" s="1202" t="s">
        <v>287</v>
      </c>
      <c r="X129" s="1212">
        <f>+prix_titre(AF$1,AA129,AB129,M129,K129,W129,V129,P129,Q129,N129,D129,Y129)</f>
        <v>0</v>
      </c>
      <c r="Y129" s="1202">
        <v>1</v>
      </c>
      <c r="Z129" s="35"/>
      <c r="AA129" s="1198">
        <f>VLOOKUP(A129,Marché!B1524:L3818,6,FALSE)</f>
        <v>44053</v>
      </c>
      <c r="AB129" s="1198">
        <f>VLOOKUP(A129,Marché!$B$1:$L$2409,7,FALSE)</f>
        <v>45879</v>
      </c>
      <c r="AC129" s="35"/>
      <c r="AD129" s="2"/>
    </row>
    <row r="130" spans="1:31" ht="15" hidden="1" x14ac:dyDescent="0.25">
      <c r="A130" s="1191">
        <v>100816</v>
      </c>
      <c r="B130" s="1192">
        <f t="shared" si="10"/>
        <v>0</v>
      </c>
      <c r="C130" s="1193">
        <f>(AB130-$AF$1)</f>
        <v>-210</v>
      </c>
      <c r="D130" s="1194">
        <f t="shared" si="8"/>
        <v>2.7199999999999998E-2</v>
      </c>
      <c r="E130" s="1195">
        <f>duration_titre($AF$1,AA130,AB130,M130,K130,W130,V130,P130,Q130,N130,D130)</f>
        <v>0</v>
      </c>
      <c r="F130" s="1195">
        <f t="shared" si="12"/>
        <v>0</v>
      </c>
      <c r="G130" s="1195">
        <f>convexite_titre($AF$1,AA130,AB130,M130,K130,W130,V130,P130,Q130,N130,D130)</f>
        <v>0</v>
      </c>
      <c r="H130" s="1196">
        <f>+ROUND(coupon_courru($AF$1,AA130,AB130,M130,K130,W130,P130,Q130,N130,V130,"V"),4)</f>
        <v>1461.3698999999999</v>
      </c>
      <c r="I130" s="1199">
        <f>+IF(Y130=1,B130,D130*100)</f>
        <v>0</v>
      </c>
      <c r="J130" s="1193" t="str">
        <f>VLOOKUP(A130,Marché!B1528:L3822,2,FALSE)</f>
        <v>BSF WAFASALAF du 28/08/2020 à 2.54%  5 ans</v>
      </c>
      <c r="K130" s="1193">
        <f>VLOOKUP(A130,Marché!B1528:L3822,3,FALSE)</f>
        <v>100000</v>
      </c>
      <c r="L130" s="1193">
        <f>VLOOKUP(A130,Marché!B1528:L3822,4,FALSE)</f>
        <v>0</v>
      </c>
      <c r="M130" s="1197">
        <f>VLOOKUP(A130,Marché!B1528:L3822,5,FALSE)</f>
        <v>2.5399999999999999E-2</v>
      </c>
      <c r="N130" s="1193">
        <f>VLOOKUP(A130,Marché!B1528:L3822,8,FALSE)</f>
        <v>5</v>
      </c>
      <c r="O130" s="1200" t="str">
        <f>VLOOKUP(A130,Marché!$B$1:$L$2409,9,FALSE)</f>
        <v>A</v>
      </c>
      <c r="P130" s="1200" t="str">
        <f>VLOOKUP(A130,Marché!B1528:L3822,10,FALSE)</f>
        <v>A</v>
      </c>
      <c r="Q130" s="1200" t="str">
        <f>VLOOKUP(A130,Marché!B1528:L3822,11,FALSE)</f>
        <v>F</v>
      </c>
      <c r="R130" s="1287">
        <v>4.4999999999999997E-3</v>
      </c>
      <c r="S130" s="1229" cm="1">
        <f t="array" ref="S130">IF(C130&gt;'Courbe des taux'!$D$50,ROUND( TREND('Courbe des taux'!$E$49:$E$50,'Courbe des taux'!$D$49:$D$50,Lignes_détenues!C130),5),ROUND(IF(C130&gt;365,interpoler(_mat2,taux2,C130),interpoler(_mat1,taux1,C130)),5))</f>
        <v>2.2700000000000001E-2</v>
      </c>
      <c r="T130" s="1201">
        <f t="shared" si="9"/>
        <v>2.2700000000000001E-2</v>
      </c>
      <c r="U130" s="1201">
        <f>ROUND(IF(D130*366&gt;366,interpoler(_mat2,taux2,D130*366),interpoler(_mat1,taux1,D130*366)),5)</f>
        <v>2.2700000000000001E-2</v>
      </c>
      <c r="V130" s="1202" t="str">
        <f>+IF((AB130-$AF$1)&lt;=366,"M","A")</f>
        <v>M</v>
      </c>
      <c r="W130" s="1202" t="s">
        <v>287</v>
      </c>
      <c r="X130" s="1212">
        <f>+prix_titre(AF$1,AA130,AB130,M130,K130,W130,V130,P130,Q130,N130,D130,Y130)</f>
        <v>0</v>
      </c>
      <c r="Y130" s="1202">
        <v>1</v>
      </c>
      <c r="Z130" s="35"/>
      <c r="AA130" s="1198">
        <f>VLOOKUP(A130,Marché!B1526:L3820,6,FALSE)</f>
        <v>44071</v>
      </c>
      <c r="AB130" s="1198">
        <f>VLOOKUP(A130,Marché!$B$1:$L$2409,7,FALSE)</f>
        <v>45897</v>
      </c>
      <c r="AC130" s="35"/>
      <c r="AD130" s="2"/>
    </row>
    <row r="131" spans="1:31" s="342" customFormat="1" ht="15" hidden="1" x14ac:dyDescent="0.25">
      <c r="A131" s="1336">
        <v>9473</v>
      </c>
      <c r="B131" s="1209">
        <f t="shared" si="10"/>
        <v>68298.25</v>
      </c>
      <c r="C131" s="1337">
        <f>(AB131-$AF$1)</f>
        <v>4388</v>
      </c>
      <c r="D131" s="1338">
        <f t="shared" si="8"/>
        <v>4.7370000000000002E-2</v>
      </c>
      <c r="E131" s="1339">
        <f>duration_titre($AF$1,AA131,AB131,M131,K131,W131,V131,P131,Q131,N131,D131)</f>
        <v>9.3945197708280741</v>
      </c>
      <c r="F131" s="1339">
        <f t="shared" si="12"/>
        <v>8.9696284701949409</v>
      </c>
      <c r="G131" s="1339">
        <f>convexite_titre($AF$1,AA131,AB131,M131,K131,W131,V131,P131,Q131,N131,D131)</f>
        <v>103.60948631377939</v>
      </c>
      <c r="H131" s="1340">
        <f>+ROUND(coupon_courru($AF$1,AA131,AB131,M131,K131,W131,P131,Q131,N131,V131,"V"),4)</f>
        <v>3698.6300999999999</v>
      </c>
      <c r="I131" s="1341">
        <f>+IF(Y131=1,B131,D131*100)</f>
        <v>68298.25</v>
      </c>
      <c r="J131" s="1337" t="str">
        <f>VLOOKUP(A131,Marché!B1532:L3826,2,FALSE)</f>
        <v>OBL TAQA MOROCOO du 07/09/2020 18ans à 3.75%</v>
      </c>
      <c r="K131" s="1337">
        <f>VLOOKUP(A131,Marché!B1532:L3826,3,FALSE)</f>
        <v>100000</v>
      </c>
      <c r="L131" s="1337">
        <f>VLOOKUP(A131,Marché!B1532:L3826,4,FALSE)</f>
        <v>0</v>
      </c>
      <c r="M131" s="1342">
        <f>VLOOKUP(A131,Marché!B1532:L3826,5,FALSE)</f>
        <v>3.7499999999999999E-2</v>
      </c>
      <c r="N131" s="1337">
        <f>VLOOKUP(A131,Marché!B1532:L3826,8,FALSE)</f>
        <v>18</v>
      </c>
      <c r="O131" s="1344" t="str">
        <f>VLOOKUP(A131,Marché!$B$1:$L$2409,9,FALSE)</f>
        <v>A</v>
      </c>
      <c r="P131" s="1344" t="str">
        <f>VLOOKUP(A131,Marché!B1532:L3826,10,FALSE)</f>
        <v>A</v>
      </c>
      <c r="Q131" s="1344" t="str">
        <f>VLOOKUP(A131,Marché!B1532:L3826,11,FALSE)</f>
        <v>F</v>
      </c>
      <c r="R131" s="1345">
        <v>1.2999999999999999E-2</v>
      </c>
      <c r="S131" s="1346" cm="1">
        <f t="array" ref="S131">IF(C131&gt;'Courbe des taux'!$D$50,ROUND( TREND('Courbe des taux'!$E$49:$E$50,'Courbe des taux'!$D$49:$D$50,Lignes_détenues!C131),5),ROUND(IF(C131&gt;365,interpoler(_mat2,taux2,C131),interpoler(_mat1,taux1,C131)),5))</f>
        <v>3.4369999999999998E-2</v>
      </c>
      <c r="T131" s="1346">
        <f t="shared" si="9"/>
        <v>3.4369999999999998E-2</v>
      </c>
      <c r="U131" s="1346">
        <f>ROUND(IF(D131*366&gt;366,interpoler(_mat2,taux2,D131*366),interpoler(_mat1,taux1,D131*366)),5)</f>
        <v>2.2700000000000001E-2</v>
      </c>
      <c r="V131" s="1347" t="str">
        <f>+IF((AB131-$AF$1)&lt;=366,"M","A")</f>
        <v>A</v>
      </c>
      <c r="W131" s="1347" t="s">
        <v>287</v>
      </c>
      <c r="X131" s="1348">
        <f>Ammortissable!C347</f>
        <v>68298.254224999997</v>
      </c>
      <c r="Y131" s="1347">
        <v>1</v>
      </c>
      <c r="Z131" s="1349"/>
      <c r="AA131" s="1343">
        <f>VLOOKUP(A131,Marché!B1530:L3824,6,FALSE)</f>
        <v>44081</v>
      </c>
      <c r="AB131" s="1343">
        <f>VLOOKUP(A131,Marché!$B$1:$L$2409,7,FALSE)</f>
        <v>50495</v>
      </c>
      <c r="AC131" s="35"/>
    </row>
    <row r="132" spans="1:31" ht="15" hidden="1" x14ac:dyDescent="0.25">
      <c r="A132" s="1191">
        <v>100819</v>
      </c>
      <c r="B132" s="1192">
        <f t="shared" si="10"/>
        <v>0</v>
      </c>
      <c r="C132" s="1193">
        <f>(AB132-$AF$1)</f>
        <v>-183</v>
      </c>
      <c r="D132" s="1194">
        <f t="shared" si="8"/>
        <v>2.7699999999999999E-2</v>
      </c>
      <c r="E132" s="1195">
        <f>duration_titre($AF$1,AA132,AB132,M132,K132,W132,V132,P132,Q132,N132,D132)</f>
        <v>0</v>
      </c>
      <c r="F132" s="1195">
        <f t="shared" si="12"/>
        <v>0</v>
      </c>
      <c r="G132" s="1195">
        <f>convexite_titre($AF$1,AA132,AB132,M132,K132,W132,V132,P132,Q132,N132,D132)</f>
        <v>0</v>
      </c>
      <c r="H132" s="1196">
        <f>+ROUND(coupon_courru($AF$1,AA132,AB132,M132,K132,W132,P132,Q132,N132,V132,"V"),4)</f>
        <v>1298.5479</v>
      </c>
      <c r="I132" s="1199">
        <f>+IF(Y132=1,B132,D132*100)</f>
        <v>0</v>
      </c>
      <c r="J132" s="1193" t="str">
        <f>VLOOKUP(A132,Marché!B1539:L3833,2,FALSE)</f>
        <v>BSF WAFASALAF du 24/09/2020 à 2,59% 5ans</v>
      </c>
      <c r="K132" s="1193">
        <f>VLOOKUP(A132,Marché!B1539:L3833,3,FALSE)</f>
        <v>100000</v>
      </c>
      <c r="L132" s="1193">
        <f>VLOOKUP(A132,Marché!B1539:L3833,4,FALSE)</f>
        <v>0</v>
      </c>
      <c r="M132" s="1197">
        <f>VLOOKUP(A132,Marché!B1539:L3833,5,FALSE)</f>
        <v>2.5899999999999999E-2</v>
      </c>
      <c r="N132" s="1193">
        <f>VLOOKUP(A132,Marché!B1539:L3833,8,FALSE)</f>
        <v>5</v>
      </c>
      <c r="O132" s="1200" t="str">
        <f>VLOOKUP(A132,Marché!$B$1:$L$2409,9,FALSE)</f>
        <v>A</v>
      </c>
      <c r="P132" s="1200" t="s">
        <v>1525</v>
      </c>
      <c r="Q132" s="1200" t="str">
        <f>VLOOKUP(A132,Marché!B1539:L3833,11,FALSE)</f>
        <v>F</v>
      </c>
      <c r="R132" s="1287">
        <v>5.0000000000000001E-3</v>
      </c>
      <c r="S132" s="1229" cm="1">
        <f t="array" ref="S132">IF(C132&gt;'Courbe des taux'!$D$50,ROUND( TREND('Courbe des taux'!$E$49:$E$50,'Courbe des taux'!$D$49:$D$50,Lignes_détenues!C132),5),ROUND(IF(C132&gt;365,interpoler(_mat2,taux2,C132),interpoler(_mat1,taux1,C132)),5))</f>
        <v>2.2700000000000001E-2</v>
      </c>
      <c r="T132" s="1201">
        <f t="shared" si="9"/>
        <v>2.2700000000000001E-2</v>
      </c>
      <c r="U132" s="1201">
        <f>ROUND(IF(D132*366&gt;366,interpoler(_mat2,taux2,D132*366),interpoler(_mat1,taux1,D132*366)),5)</f>
        <v>2.2700000000000001E-2</v>
      </c>
      <c r="V132" s="1202" t="str">
        <f>+IF((AB132-$AF$1)&lt;=366,"M","A")</f>
        <v>M</v>
      </c>
      <c r="W132" s="1202" t="s">
        <v>287</v>
      </c>
      <c r="X132" s="1212">
        <f>+prix_titre(AF$1,AA132,AB132,M132,K132,W132,V132,P132,Q132,N132,D132,Y132)</f>
        <v>0</v>
      </c>
      <c r="Y132" s="1202">
        <v>1</v>
      </c>
      <c r="Z132" s="35"/>
      <c r="AA132" s="1198">
        <f>VLOOKUP(A132,Marché!B1537:L3831,6,FALSE)</f>
        <v>44098</v>
      </c>
      <c r="AB132" s="1198">
        <f>VLOOKUP(A132,Marché!$B$1:$L$2409,7,FALSE)</f>
        <v>45924</v>
      </c>
      <c r="AC132" s="35"/>
      <c r="AD132" s="2"/>
    </row>
    <row r="133" spans="1:31" ht="15" hidden="1" x14ac:dyDescent="0.25">
      <c r="A133" s="1191">
        <v>152278</v>
      </c>
      <c r="B133" s="1192">
        <f t="shared" ref="B133:B164" si="13">+ROUND(X133,2)</f>
        <v>0</v>
      </c>
      <c r="C133" s="1193">
        <f>(AB133-$AF$1)</f>
        <v>-178</v>
      </c>
      <c r="D133" s="1194">
        <f t="shared" si="8"/>
        <v>2.7619999999999999E-2</v>
      </c>
      <c r="E133" s="1195">
        <f>duration_titre($AF$1,AA133,AB133,M133,K133,W133,V133,P133,Q133,N133,D133)</f>
        <v>0</v>
      </c>
      <c r="F133" s="1195">
        <f t="shared" si="12"/>
        <v>0</v>
      </c>
      <c r="G133" s="1195">
        <f>convexite_titre($AF$1,AA133,AB133,M133,K133,W133,V133,P133,Q133,N133,D133)</f>
        <v>0</v>
      </c>
      <c r="H133" s="1196">
        <f>+ROUND(coupon_courru($AF$1,AA133,AB133,M133,K133,W133,P133,Q133,N133,V133,"V"),4)</f>
        <v>1263.0685000000001</v>
      </c>
      <c r="I133" s="1199">
        <f>+IF(Y133=1,B133,D133*100)</f>
        <v>0</v>
      </c>
      <c r="J133" s="1193" t="str">
        <f>VLOOKUP(A133,Marché!B1544:L3838,2,FALSE)</f>
        <v>CD CIH du 29/09/2020 à 2.59%  5ans</v>
      </c>
      <c r="K133" s="1193">
        <f>VLOOKUP(A133,Marché!B1544:L3838,3,FALSE)</f>
        <v>100000</v>
      </c>
      <c r="L133" s="1193">
        <f>VLOOKUP(A133,Marché!B1544:L3838,4,FALSE)</f>
        <v>0</v>
      </c>
      <c r="M133" s="1197">
        <f>VLOOKUP(A133,Marché!B1544:L3838,5,FALSE)</f>
        <v>2.5899999999999999E-2</v>
      </c>
      <c r="N133" s="1193">
        <f>VLOOKUP(A133,Marché!B1544:L3838,8,FALSE)</f>
        <v>5</v>
      </c>
      <c r="O133" s="1200" t="str">
        <f>VLOOKUP(A133,Marché!$B$1:$L$2409,9,FALSE)</f>
        <v>A</v>
      </c>
      <c r="P133" s="1200" t="s">
        <v>1525</v>
      </c>
      <c r="Q133" s="1200" t="str">
        <f>VLOOKUP(A133,Marché!B1544:L3838,11,FALSE)</f>
        <v>F</v>
      </c>
      <c r="R133" s="1287">
        <v>4.9199999999999999E-3</v>
      </c>
      <c r="S133" s="1229" cm="1">
        <f t="array" ref="S133">IF(C133&gt;'Courbe des taux'!$D$50,ROUND( TREND('Courbe des taux'!$E$49:$E$50,'Courbe des taux'!$D$49:$D$50,Lignes_détenues!C133),5),ROUND(IF(C133&gt;365,interpoler(_mat2,taux2,C133),interpoler(_mat1,taux1,C133)),5))</f>
        <v>2.2700000000000001E-2</v>
      </c>
      <c r="T133" s="1201">
        <f t="shared" si="9"/>
        <v>2.2700000000000001E-2</v>
      </c>
      <c r="U133" s="1201">
        <f>ROUND(IF(D133*366&gt;366,interpoler(_mat2,taux2,D133*366),interpoler(_mat1,taux1,D133*366)),5)</f>
        <v>2.2700000000000001E-2</v>
      </c>
      <c r="V133" s="1202" t="str">
        <f>+IF((AB133-$AF$1)&lt;=366,"M","A")</f>
        <v>M</v>
      </c>
      <c r="W133" s="1202" t="s">
        <v>287</v>
      </c>
      <c r="X133" s="1212">
        <f>+prix_titre(AF$1,AA133,AB133,M133,K133,W133,V133,P133,Q133,N133,D133,Y133)</f>
        <v>0</v>
      </c>
      <c r="Y133" s="1202">
        <v>1</v>
      </c>
      <c r="Z133" s="35">
        <f>M133-S133</f>
        <v>3.199999999999998E-3</v>
      </c>
      <c r="AA133" s="1198">
        <f>VLOOKUP(A133,Marché!B1542:L3836,6,FALSE)</f>
        <v>44103</v>
      </c>
      <c r="AB133" s="1198">
        <f>VLOOKUP(A133,Marché!$B$1:$L$2409,7,FALSE)</f>
        <v>45929</v>
      </c>
      <c r="AC133" s="35"/>
      <c r="AD133" s="2"/>
    </row>
    <row r="134" spans="1:31" ht="15" hidden="1" x14ac:dyDescent="0.25">
      <c r="A134" s="1191">
        <v>100824</v>
      </c>
      <c r="B134" s="1192">
        <f t="shared" si="13"/>
        <v>0</v>
      </c>
      <c r="C134" s="1193">
        <f>(AB134-$AF$1)</f>
        <v>-156</v>
      </c>
      <c r="D134" s="1194">
        <f t="shared" si="8"/>
        <v>2.7199999999999998E-2</v>
      </c>
      <c r="E134" s="1195">
        <f>duration_titre($AF$1,AA134,AB134,M134,K134,W134,V134,P134,Q134,N134,D134)</f>
        <v>0</v>
      </c>
      <c r="F134" s="1195">
        <f t="shared" si="12"/>
        <v>0</v>
      </c>
      <c r="G134" s="1195">
        <f>convexite_titre($AF$1,AA134,AB134,M134,K134,W134,V134,P134,Q134,N134,D134)</f>
        <v>0</v>
      </c>
      <c r="H134" s="1196">
        <f>+ROUND(coupon_courru($AF$1,AA134,AB134,M134,K134,W134,P134,Q134,N134,V134,"V"),4)</f>
        <v>1089.8630000000001</v>
      </c>
      <c r="I134" s="1199">
        <f>+IF(Y134=1,B134,D134*100)</f>
        <v>0</v>
      </c>
      <c r="J134" s="1193">
        <f>VLOOKUP(A134,Marché!B1550:L3844,2,FALSE)</f>
        <v>0</v>
      </c>
      <c r="K134" s="1193">
        <f>VLOOKUP(A134,Marché!B1550:L3844,3,FALSE)</f>
        <v>100000</v>
      </c>
      <c r="L134" s="1193">
        <f>VLOOKUP(A134,Marché!B1550:L3844,4,FALSE)</f>
        <v>0</v>
      </c>
      <c r="M134" s="1197">
        <f>VLOOKUP(A134,Marché!B1550:L3844,5,FALSE)</f>
        <v>2.5499999999999998E-2</v>
      </c>
      <c r="N134" s="1193">
        <f>VLOOKUP(A134,Marché!B1550:L3844,8,FALSE)</f>
        <v>5</v>
      </c>
      <c r="O134" s="1200" t="str">
        <f>VLOOKUP(A134,Marché!$B$1:$L$2409,9,FALSE)</f>
        <v>A</v>
      </c>
      <c r="P134" s="1200" t="s">
        <v>1525</v>
      </c>
      <c r="Q134" s="1200" t="str">
        <f>VLOOKUP(A134,Marché!B1550:L3844,11,FALSE)</f>
        <v>F</v>
      </c>
      <c r="R134" s="1287">
        <v>4.4999999999999997E-3</v>
      </c>
      <c r="S134" s="1229" cm="1">
        <f t="array" ref="S134">IF(C134&gt;'Courbe des taux'!$D$50,ROUND( TREND('Courbe des taux'!$E$49:$E$50,'Courbe des taux'!$D$49:$D$50,Lignes_détenues!C134),5),ROUND(IF(C134&gt;365,interpoler(_mat2,taux2,C134),interpoler(_mat1,taux1,C134)),5))</f>
        <v>2.2700000000000001E-2</v>
      </c>
      <c r="T134" s="1201">
        <f t="shared" si="9"/>
        <v>2.2700000000000001E-2</v>
      </c>
      <c r="U134" s="1201">
        <f>ROUND(IF(D134*366&gt;366,interpoler(_mat2,taux2,D134*366),interpoler(_mat1,taux1,D134*366)),5)</f>
        <v>2.2700000000000001E-2</v>
      </c>
      <c r="V134" s="1202" t="str">
        <f>+IF((AB134-$AF$1)&lt;=366,"M","A")</f>
        <v>M</v>
      </c>
      <c r="W134" s="1202" t="s">
        <v>287</v>
      </c>
      <c r="X134" s="1212">
        <f>+prix_titre(AF$1,AA134,AB134,M134,K134,W134,V134,P134,Q134,N134,D134,Y134)</f>
        <v>0</v>
      </c>
      <c r="Y134" s="1202">
        <v>1</v>
      </c>
      <c r="Z134" s="35"/>
      <c r="AA134" s="1198">
        <f>VLOOKUP(A134,Marché!B1548:L3842,6,FALSE)</f>
        <v>44125</v>
      </c>
      <c r="AB134" s="1198">
        <f>VLOOKUP(A134,Marché!$B$1:$L$2409,7,FALSE)</f>
        <v>45951</v>
      </c>
      <c r="AC134" s="35"/>
      <c r="AD134" s="2"/>
    </row>
    <row r="135" spans="1:31" ht="15" hidden="1" x14ac:dyDescent="0.25">
      <c r="A135" s="1191">
        <v>9479</v>
      </c>
      <c r="B135" s="1192">
        <f t="shared" si="13"/>
        <v>0</v>
      </c>
      <c r="C135" s="1193">
        <f>(AB135-$AF$1)</f>
        <v>-109</v>
      </c>
      <c r="D135" s="1194">
        <f t="shared" si="8"/>
        <v>3.5700000000000003E-2</v>
      </c>
      <c r="E135" s="1195">
        <f>duration_titre($AF$1,AA135,AB135,M135,K135,W135,V135,P135,Q135,N135,D135)</f>
        <v>0</v>
      </c>
      <c r="F135" s="1195">
        <f t="shared" si="12"/>
        <v>0</v>
      </c>
      <c r="G135" s="1195">
        <f>convexite_titre($AF$1,AA135,AB135,M135,K135,W135,V135,P135,Q135,N135,D135)</f>
        <v>0</v>
      </c>
      <c r="H135" s="1196">
        <f>+ROUND(coupon_courru($AF$1,AA135,AB135,M135,K135,W135,P135,Q135,N135,V135,"V"),4)</f>
        <v>997.42470000000003</v>
      </c>
      <c r="I135" s="1199">
        <f>+IF(Y135=1,B135,D135*100)</f>
        <v>0</v>
      </c>
      <c r="J135" s="1193" t="str">
        <f>VLOOKUP(A135,Marché!B1556:L3850,2,FALSE)</f>
        <v>OBL OULMES du 07/12/2020 à 3.34% 5 ANS</v>
      </c>
      <c r="K135" s="1193">
        <f>VLOOKUP(A135,Marché!B1556:L3850,3,FALSE)</f>
        <v>100000</v>
      </c>
      <c r="L135" s="1193">
        <f>VLOOKUP(A135,Marché!B1556:L3850,4,FALSE)</f>
        <v>0</v>
      </c>
      <c r="M135" s="1197">
        <f>VLOOKUP(A135,Marché!B1556:L3850,5,FALSE)</f>
        <v>3.3399999999999999E-2</v>
      </c>
      <c r="N135" s="1193">
        <f>VLOOKUP(A135,Marché!B1556:L3850,8,FALSE)</f>
        <v>5</v>
      </c>
      <c r="O135" s="1200" t="str">
        <f>VLOOKUP(A135,Marché!$B$1:$L$2409,9,FALSE)</f>
        <v>A</v>
      </c>
      <c r="P135" s="1200" t="s">
        <v>1525</v>
      </c>
      <c r="Q135" s="1200" t="str">
        <f>VLOOKUP(A135,Marché!B1556:L3850,11,FALSE)</f>
        <v>F</v>
      </c>
      <c r="R135" s="1287">
        <v>1.2999999999999999E-2</v>
      </c>
      <c r="S135" s="1229" cm="1">
        <f t="array" ref="S135">IF(C135&gt;'Courbe des taux'!$D$50,ROUND( TREND('Courbe des taux'!$E$49:$E$50,'Courbe des taux'!$D$49:$D$50,Lignes_détenues!C135),5),ROUND(IF(C135&gt;365,interpoler(_mat2,taux2,C135),interpoler(_mat1,taux1,C135)),5))</f>
        <v>2.2700000000000001E-2</v>
      </c>
      <c r="T135" s="1201">
        <f t="shared" si="9"/>
        <v>2.2700000000000001E-2</v>
      </c>
      <c r="U135" s="1201">
        <f>ROUND(IF(D135*366&gt;366,interpoler(_mat2,taux2,D135*366),interpoler(_mat1,taux1,D135*366)),5)</f>
        <v>2.2700000000000001E-2</v>
      </c>
      <c r="V135" s="1202" t="str">
        <f>+IF((AB135-$AF$1)&lt;=366,"M","A")</f>
        <v>M</v>
      </c>
      <c r="W135" s="1202" t="s">
        <v>287</v>
      </c>
      <c r="X135" s="1212">
        <f>Ammortissable!C366</f>
        <v>0</v>
      </c>
      <c r="Y135" s="1202">
        <v>1</v>
      </c>
      <c r="Z135" s="35"/>
      <c r="AA135" s="1198">
        <f>VLOOKUP(A135,Marché!B1554:L3848,6,FALSE)</f>
        <v>44172</v>
      </c>
      <c r="AB135" s="1198">
        <f>VLOOKUP(A135,Marché!$B$1:$L$2409,7,FALSE)</f>
        <v>45998</v>
      </c>
      <c r="AC135" s="35"/>
      <c r="AD135" s="2"/>
    </row>
    <row r="136" spans="1:31" ht="15" hidden="1" x14ac:dyDescent="0.25">
      <c r="A136" s="1191">
        <v>9487</v>
      </c>
      <c r="B136" s="1192">
        <f t="shared" si="13"/>
        <v>75765.350000000006</v>
      </c>
      <c r="C136" s="1193">
        <f>(AB136-$AF$1)</f>
        <v>-46107</v>
      </c>
      <c r="D136" s="1194">
        <f t="shared" si="8"/>
        <v>2.2700000000000001E-2</v>
      </c>
      <c r="E136" s="1195"/>
      <c r="F136" s="1195"/>
      <c r="G136" s="1195"/>
      <c r="H136" s="1196"/>
      <c r="I136" s="1199"/>
      <c r="J136" s="1193"/>
      <c r="K136" s="1193"/>
      <c r="L136" s="1193"/>
      <c r="M136" s="1197"/>
      <c r="N136" s="1193"/>
      <c r="O136" s="1200"/>
      <c r="P136" s="1200"/>
      <c r="Q136" s="1200"/>
      <c r="R136" s="1287"/>
      <c r="S136" s="1229" cm="1">
        <f t="array" ref="S136">IF(C136&gt;'Courbe des taux'!$D$50,ROUND( TREND('Courbe des taux'!$E$49:$E$50,'Courbe des taux'!$D$49:$D$50,Lignes_détenues!C136),5),ROUND(IF(C136&gt;365,interpoler(_mat2,taux2,C136),interpoler(_mat1,taux1,C136)),5))</f>
        <v>2.2700000000000001E-2</v>
      </c>
      <c r="T136" s="1201">
        <f t="shared" si="9"/>
        <v>2.2700000000000001E-2</v>
      </c>
      <c r="U136" s="1201">
        <f>ROUND(IF(D136*366&gt;366,interpoler(_mat2,taux2,D136*366),interpoler(_mat1,taux1,D136*366)),5)</f>
        <v>2.2700000000000001E-2</v>
      </c>
      <c r="V136" s="1202"/>
      <c r="W136" s="1202"/>
      <c r="X136" s="1212">
        <f>+Ammortissable!C384</f>
        <v>75765.346769666066</v>
      </c>
      <c r="Y136" s="1202">
        <v>1</v>
      </c>
      <c r="Z136" s="35" t="s">
        <v>2821</v>
      </c>
      <c r="AA136" s="1198"/>
      <c r="AB136" s="1198"/>
      <c r="AC136" s="35"/>
      <c r="AD136" s="2"/>
    </row>
    <row r="137" spans="1:31" s="1464" customFormat="1" ht="15" hidden="1" x14ac:dyDescent="0.25">
      <c r="A137" s="1449">
        <v>9488</v>
      </c>
      <c r="B137" s="1450">
        <f t="shared" si="13"/>
        <v>101073.02</v>
      </c>
      <c r="C137" s="1451">
        <f>(AB137-$AF$1)</f>
        <v>274</v>
      </c>
      <c r="D137" s="1452">
        <f t="shared" si="8"/>
        <v>4.8259999999999997E-2</v>
      </c>
      <c r="E137" s="1453">
        <f>duration_titre($AF$1,AA137,AB137,M137,K137,W137,V137,P137,Q137,N137,D137)</f>
        <v>0.75068493150684934</v>
      </c>
      <c r="F137" s="1453">
        <f t="shared" ref="F137:F143" si="14">+E137/(1+D137)</f>
        <v>0.71612475102250339</v>
      </c>
      <c r="G137" s="1453">
        <f>convexite_titre($AF$1,AA137,AB137,M137,K137,W137,V137,P137,Q137,N137,D137)</f>
        <v>1.1959903179499274</v>
      </c>
      <c r="H137" s="1454">
        <f>+ROUND(coupon_courru($AF$1,AA137,AB137,M137,K137,W137,P137,Q137,N137,V137,"V"),4)</f>
        <v>1193.1111000000001</v>
      </c>
      <c r="I137" s="1455">
        <f>+IF(Y137=1,B137,D137*100)</f>
        <v>101073.02</v>
      </c>
      <c r="J137" s="1451" t="str">
        <f>VLOOKUP(A137,Marché!B1567:L3861,2,FALSE)</f>
        <v>OBL SUB ATW PERPT du 25/12/2020 à 4.12% REVIS 10 ans</v>
      </c>
      <c r="K137" s="1451">
        <f>VLOOKUP(A137,Marché!B1567:L3861,3,FALSE)</f>
        <v>100000</v>
      </c>
      <c r="L137" s="1451">
        <f>VLOOKUP(A137,Marché!B1567:L3861,4,FALSE)</f>
        <v>0</v>
      </c>
      <c r="M137" s="1456">
        <v>4.7199999999999999E-2</v>
      </c>
      <c r="N137" s="1451">
        <v>52</v>
      </c>
      <c r="O137" s="1458" t="s">
        <v>369</v>
      </c>
      <c r="P137" s="1458" t="str">
        <f>VLOOKUP(A137,Marché!B1567:L3861,10,FALSE)</f>
        <v>A</v>
      </c>
      <c r="Q137" s="1458" t="str">
        <f>VLOOKUP(A137,Marché!B1567:L3861,11,FALSE)</f>
        <v>F</v>
      </c>
      <c r="R137" s="1459">
        <v>2.4E-2</v>
      </c>
      <c r="S137" s="1460" cm="1">
        <f t="array" ref="S137">IF(C137&gt;'Courbe des taux'!$D$50,ROUND( TREND('Courbe des taux'!$E$49:$E$50,'Courbe des taux'!$D$49:$D$50,Lignes_détenues!C137),5),ROUND(IF(C137&gt;365,interpoler(_mat2,taux2,C137),interpoler(_mat1,taux1,C137)),5))</f>
        <v>2.426E-2</v>
      </c>
      <c r="T137" s="1460">
        <f t="shared" si="9"/>
        <v>2.426E-2</v>
      </c>
      <c r="U137" s="1460">
        <f>ROUND(IF(D137*366&gt;366,interpoler(_mat2,taux2,D137*366),interpoler(_mat1,taux1,D137*366)),5)</f>
        <v>2.2700000000000001E-2</v>
      </c>
      <c r="V137" s="1461" t="str">
        <f>+IF((AB137-$AF$1)&lt;=366,"M","A")</f>
        <v>M</v>
      </c>
      <c r="W137" s="1461" t="s">
        <v>287</v>
      </c>
      <c r="X137" s="1462">
        <f>+prix_titre(AF$1,AA137,AB137,M137,K137,W137,V137,P137,Q137,N137,D137,Y137)</f>
        <v>101073.02428433984</v>
      </c>
      <c r="Y137" s="1461">
        <v>1</v>
      </c>
      <c r="Z137" s="1463" t="s">
        <v>2788</v>
      </c>
      <c r="AA137" s="1457">
        <v>46016</v>
      </c>
      <c r="AB137" s="1457">
        <v>46381</v>
      </c>
      <c r="AC137" s="1463"/>
      <c r="AD137" s="1464">
        <f>K137*M137*(AB137-AF1)/360</f>
        <v>3592.4444444444443</v>
      </c>
    </row>
    <row r="138" spans="1:31" ht="15" hidden="1" x14ac:dyDescent="0.25">
      <c r="A138" s="1191">
        <v>9489</v>
      </c>
      <c r="B138" s="1192">
        <f t="shared" si="13"/>
        <v>100089.55</v>
      </c>
      <c r="C138" s="1193">
        <f>(AB138-$AF$1)</f>
        <v>643</v>
      </c>
      <c r="D138" s="1194">
        <f t="shared" si="8"/>
        <v>3.3320000000000002E-2</v>
      </c>
      <c r="E138" s="1195">
        <f>duration_titre($AF$1,AA138,AB138,M138,K138,W138,V138,P138,Q138,N138,D138)</f>
        <v>1.7327020166055456</v>
      </c>
      <c r="F138" s="1195">
        <f t="shared" si="14"/>
        <v>1.676830039683298</v>
      </c>
      <c r="G138" s="1195">
        <f>convexite_titre($AF$1,AA138,AB138,M138,K138,W138,V138,P138,Q138,N138,D138)</f>
        <v>4.4608396094469445</v>
      </c>
      <c r="H138" s="1196">
        <f>+ROUND(coupon_courru($AF$1,AA138,AB138,M138,K138,W138,P138,Q138,N138,V138,"V"),4)</f>
        <v>707.91780000000006</v>
      </c>
      <c r="I138" s="1199">
        <f>+IF(Y138=1,B138,D138*100)</f>
        <v>100089.55</v>
      </c>
      <c r="J138" s="1193" t="str">
        <f>VLOOKUP(A138,Marché!B1570:L3864,2,FALSE)</f>
        <v>OBL ATW SUB du 29/12/2020 à 2.97% 7 ANS Fixe</v>
      </c>
      <c r="K138" s="1193">
        <f>VLOOKUP(A138,Marché!B1570:L3864,3,FALSE)</f>
        <v>100000</v>
      </c>
      <c r="L138" s="1193">
        <f>VLOOKUP(A138,Marché!B1570:L3864,4,FALSE)</f>
        <v>0</v>
      </c>
      <c r="M138" s="1197">
        <f>VLOOKUP(A138,Marché!B1570:L3864,5,FALSE)</f>
        <v>2.9700000000000001E-2</v>
      </c>
      <c r="N138" s="1193">
        <f>VLOOKUP(A138,Marché!B1570:L3864,8,FALSE)</f>
        <v>7</v>
      </c>
      <c r="O138" s="1200" t="str">
        <f>VLOOKUP(A138,Marché!$B$1:$L$2409,9,FALSE)</f>
        <v>A</v>
      </c>
      <c r="P138" s="1200" t="str">
        <f>VLOOKUP(A138,Marché!B1570:L3864,10,FALSE)</f>
        <v>A</v>
      </c>
      <c r="Q138" s="1200" t="str">
        <f>VLOOKUP(A138,Marché!B1570:L3864,11,FALSE)</f>
        <v>F</v>
      </c>
      <c r="R138" s="1287">
        <v>7.0000000000000001E-3</v>
      </c>
      <c r="S138" s="1229" cm="1">
        <f t="array" ref="S138">IF(C138&gt;'Courbe des taux'!$D$50,ROUND( TREND('Courbe des taux'!$E$49:$E$50,'Courbe des taux'!$D$49:$D$50,Lignes_détenues!C138),5),ROUND(IF(C138&gt;365,interpoler(_mat2,taux2,C138),interpoler(_mat1,taux1,C138)),5))</f>
        <v>2.632E-2</v>
      </c>
      <c r="T138" s="1201">
        <f t="shared" si="9"/>
        <v>2.632E-2</v>
      </c>
      <c r="U138" s="1201">
        <f>ROUND(IF(D138*366&gt;366,interpoler(_mat2,taux2,D138*366),interpoler(_mat1,taux1,D138*366)),5)</f>
        <v>2.2700000000000001E-2</v>
      </c>
      <c r="V138" s="1202" t="str">
        <f>+IF((AB138-$AF$1)&lt;=366,"M","A")</f>
        <v>A</v>
      </c>
      <c r="W138" s="1202" t="s">
        <v>287</v>
      </c>
      <c r="X138" s="1212">
        <f>+prix_titre(AF$1,AA138,AB138,M138,K138,W138,V138,P138,Q138,N138,D138,Y138)</f>
        <v>100089.55340762483</v>
      </c>
      <c r="Y138" s="1202">
        <v>1</v>
      </c>
      <c r="Z138" s="35"/>
      <c r="AA138" s="1198">
        <f>VLOOKUP(A138,Marché!B1568:L3862,6,FALSE)</f>
        <v>44194</v>
      </c>
      <c r="AB138" s="1198">
        <f>VLOOKUP(A138,Marché!$B$1:$L$2409,7,FALSE)</f>
        <v>46750</v>
      </c>
      <c r="AC138" s="35"/>
      <c r="AD138" s="2"/>
    </row>
    <row r="139" spans="1:31" ht="15" hidden="1" x14ac:dyDescent="0.25">
      <c r="A139" s="1191">
        <v>9491</v>
      </c>
      <c r="B139" s="1192">
        <f t="shared" si="13"/>
        <v>100609.72</v>
      </c>
      <c r="C139" s="1193">
        <f>(AB139-$AF$1)</f>
        <v>278</v>
      </c>
      <c r="D139" s="1194">
        <f t="shared" si="8"/>
        <v>3.0779999999999998E-2</v>
      </c>
      <c r="E139" s="1195">
        <f>duration_titre($AF$1,AA139,AB139,M139,K139,W139,V139,P139,Q139,N139,D139)</f>
        <v>0.76164383561643834</v>
      </c>
      <c r="F139" s="1195">
        <f t="shared" si="14"/>
        <v>0.73890047887661603</v>
      </c>
      <c r="G139" s="1195">
        <f>convexite_titre($AF$1,AA139,AB139,M139,K139,W139,V139,P139,Q139,N139,D139)</f>
        <v>1.2628101765139264</v>
      </c>
      <c r="H139" s="1196">
        <f>+ROUND(coupon_courru($AF$1,AA139,AB139,M139,K139,W139,P139,Q139,N139,V139,"V"),4)</f>
        <v>715.33330000000001</v>
      </c>
      <c r="I139" s="1199">
        <f>+IF(Y139=1,B139,D139*100)</f>
        <v>100609.72</v>
      </c>
      <c r="J139" s="1193" t="str">
        <f>VLOOKUP(A139,Marché!B1571:L3865,2,FALSE)</f>
        <v>OBL ATW SUB du 29/12/2020 à 2.37% 7 ANS  REVIS</v>
      </c>
      <c r="K139" s="1193">
        <f>VLOOKUP(A139,Marché!B1571:L3865,3,FALSE)</f>
        <v>100000</v>
      </c>
      <c r="L139" s="1193">
        <f>VLOOKUP(A139,Marché!B1571:L3865,4,FALSE)</f>
        <v>0</v>
      </c>
      <c r="M139" s="1197">
        <v>2.9600000000000001E-2</v>
      </c>
      <c r="N139" s="1193">
        <f>VLOOKUP(A139,Marché!B1571:L3865,8,FALSE)</f>
        <v>52</v>
      </c>
      <c r="O139" s="1200" t="str">
        <f>VLOOKUP(A139,Marché!$B$1:$L$2409,9,FALSE)</f>
        <v>S</v>
      </c>
      <c r="P139" s="1200" t="str">
        <f>VLOOKUP(A139,Marché!B1571:L3865,10,FALSE)</f>
        <v>A</v>
      </c>
      <c r="Q139" s="1200" t="str">
        <f>VLOOKUP(A139,Marché!B1571:L3865,11,FALSE)</f>
        <v>F</v>
      </c>
      <c r="R139" s="1287">
        <v>6.4999999999999997E-3</v>
      </c>
      <c r="S139" s="1229" cm="1">
        <f t="array" ref="S139">IF(C139&gt;'Courbe des taux'!$D$50,ROUND( TREND('Courbe des taux'!$E$49:$E$50,'Courbe des taux'!$D$49:$D$50,Lignes_détenues!C139),5),ROUND(IF(C139&gt;365,interpoler(_mat2,taux2,C139),interpoler(_mat1,taux1,C139)),5))</f>
        <v>2.4279999999999999E-2</v>
      </c>
      <c r="T139" s="1201">
        <f t="shared" si="9"/>
        <v>2.4279999999999999E-2</v>
      </c>
      <c r="U139" s="1201">
        <f>ROUND(IF(D139*366&gt;366,interpoler(_mat2,taux2,D139*366),interpoler(_mat1,taux1,D139*366)),5)</f>
        <v>2.2700000000000001E-2</v>
      </c>
      <c r="V139" s="1202" t="str">
        <f>+IF((AB139-$AF$1)&lt;=366,"M","A")</f>
        <v>M</v>
      </c>
      <c r="W139" s="1202" t="s">
        <v>287</v>
      </c>
      <c r="X139" s="1212">
        <f>+prix_titre(AF$1,AA139,AB139,M139,K139,W139,V139,P139,Q139,N139,D139,Y139)</f>
        <v>100609.71762184634</v>
      </c>
      <c r="Y139" s="1202">
        <v>1</v>
      </c>
      <c r="Z139" s="35" t="s">
        <v>2712</v>
      </c>
      <c r="AA139" s="1198">
        <v>46020</v>
      </c>
      <c r="AB139" s="1198">
        <v>46385</v>
      </c>
      <c r="AC139" s="35"/>
      <c r="AD139" s="2"/>
    </row>
    <row r="140" spans="1:31" s="1547" customFormat="1" ht="15" hidden="1" x14ac:dyDescent="0.25">
      <c r="A140" s="1532">
        <v>9492</v>
      </c>
      <c r="B140" s="1533">
        <f t="shared" si="13"/>
        <v>100554.73</v>
      </c>
      <c r="C140" s="1534">
        <f>(AB140-$AF$1)</f>
        <v>279</v>
      </c>
      <c r="D140" s="1535">
        <f t="shared" si="8"/>
        <v>2.879E-2</v>
      </c>
      <c r="E140" s="1536">
        <f>duration_titre($AF$1,AA140,AB140,M140,K140,W140,V140,P140,Q140,N140,D140)</f>
        <v>0.76438356164383559</v>
      </c>
      <c r="F140" s="1536">
        <f t="shared" si="14"/>
        <v>0.74299279896172743</v>
      </c>
      <c r="G140" s="1536">
        <f>convexite_titre($AF$1,AA140,AB140,M140,K140,W140,V140,P140,Q140,N140,D140)</f>
        <v>1.2742389417741373</v>
      </c>
      <c r="H140" s="1537">
        <f>+ROUND(coupon_courru($AF$1,AA140,AB140,M140,K140,W140,P140,Q140,N140,V140,"V"),4)</f>
        <v>659.33330000000001</v>
      </c>
      <c r="I140" s="1538">
        <f>+IF(Y140=1,B140,D140*100)</f>
        <v>100554.73</v>
      </c>
      <c r="J140" s="1534" t="str">
        <f>VLOOKUP(A140,Marché!B1572:L3866,2,FALSE)</f>
        <v>OBL SUB BCP  du 30/12/2020 à 2.17% 10ANS  REVIS</v>
      </c>
      <c r="K140" s="1534">
        <f>VLOOKUP(A140,Marché!B1572:L3866,3,FALSE)</f>
        <v>100000</v>
      </c>
      <c r="L140" s="1534">
        <f>VLOOKUP(A140,Marché!B1572:L3866,4,FALSE)</f>
        <v>0</v>
      </c>
      <c r="M140" s="1539">
        <v>2.76E-2</v>
      </c>
      <c r="N140" s="1534">
        <f>VLOOKUP(A140,Marché!B1572:L3866,8,FALSE)</f>
        <v>52</v>
      </c>
      <c r="O140" s="1541" t="str">
        <f>VLOOKUP(A140,Marché!$B$1:$L$2409,9,FALSE)</f>
        <v>S</v>
      </c>
      <c r="P140" s="1541" t="str">
        <f>VLOOKUP(A140,Marché!B1572:L3866,10,FALSE)</f>
        <v>A</v>
      </c>
      <c r="Q140" s="1541" t="str">
        <f>VLOOKUP(A140,Marché!B1572:L3866,11,FALSE)</f>
        <v>F</v>
      </c>
      <c r="R140" s="1542">
        <v>4.4999999999999997E-3</v>
      </c>
      <c r="S140" s="1543" cm="1">
        <f t="array" ref="S140">IF(C140&gt;'Courbe des taux'!$D$50,ROUND( TREND('Courbe des taux'!$E$49:$E$50,'Courbe des taux'!$D$49:$D$50,Lignes_détenues!C140),5),ROUND(IF(C140&gt;365,interpoler(_mat2,taux2,C140),interpoler(_mat1,taux1,C140)),5))</f>
        <v>2.4289999999999999E-2</v>
      </c>
      <c r="T140" s="1543">
        <f t="shared" si="9"/>
        <v>2.4289999999999999E-2</v>
      </c>
      <c r="U140" s="1543">
        <f>ROUND(IF(D140*366&gt;366,interpoler(_mat2,taux2,D140*366),interpoler(_mat1,taux1,D140*366)),5)</f>
        <v>2.2700000000000001E-2</v>
      </c>
      <c r="V140" s="1544" t="str">
        <f>+IF((AB140-$AF$1)&lt;=366,"M","A")</f>
        <v>M</v>
      </c>
      <c r="W140" s="1544" t="s">
        <v>287</v>
      </c>
      <c r="X140" s="1545">
        <f>+prix_titre(AF$1,AA140,AB140,M140,K140,W140,V140,P140,Q140,N140,D140,Y140)</f>
        <v>100554.72777519785</v>
      </c>
      <c r="Y140" s="1544">
        <v>1</v>
      </c>
      <c r="Z140" s="1546" t="s">
        <v>2713</v>
      </c>
      <c r="AA140" s="1540">
        <v>46021</v>
      </c>
      <c r="AB140" s="1540">
        <v>46386</v>
      </c>
      <c r="AC140" s="1546"/>
      <c r="AE140" s="1547">
        <f>K140*M140*(AB140-AF1)/360</f>
        <v>2139</v>
      </c>
    </row>
    <row r="141" spans="1:31" ht="15" hidden="1" x14ac:dyDescent="0.25">
      <c r="A141" s="1191">
        <v>9493</v>
      </c>
      <c r="B141" s="1192">
        <f t="shared" si="13"/>
        <v>0</v>
      </c>
      <c r="C141" s="1193">
        <f>(AB141-$AF$1)</f>
        <v>-86</v>
      </c>
      <c r="D141" s="1194">
        <f t="shared" si="8"/>
        <v>3.9699999999999999E-2</v>
      </c>
      <c r="E141" s="1195">
        <f>duration_titre($AF$1,AA141,AB141,M141,K141,W141,V141,P141,Q141,N141,D141)</f>
        <v>0</v>
      </c>
      <c r="F141" s="1195">
        <f t="shared" si="14"/>
        <v>0</v>
      </c>
      <c r="G141" s="1195">
        <f>convexite_titre($AF$1,AA141,AB141,M141,K141,W141,V141,P141,Q141,N141,D141)</f>
        <v>0</v>
      </c>
      <c r="H141" s="1196">
        <f>+ROUND(coupon_courru($AF$1,AA141,AB141,M141,K141,W141,P141,Q141,N141,V141,"V"),4)</f>
        <v>5311.7777999999998</v>
      </c>
      <c r="I141" s="1199">
        <f>+IF(Y141=1,B141,D141*100)</f>
        <v>0</v>
      </c>
      <c r="J141" s="1193" t="str">
        <f>VLOOKUP(A141,Marché!B1573:L3867,2,FALSE)</f>
        <v>OBL SUB RCI FINANCE  du 30/12/2020 à 3.29% 10ANS  REVIS</v>
      </c>
      <c r="K141" s="1193">
        <f>VLOOKUP(A141,Marché!B1573:L3867,3,FALSE)</f>
        <v>100000</v>
      </c>
      <c r="L141" s="1193">
        <f>VLOOKUP(A141,Marché!B1573:L3867,4,FALSE)</f>
        <v>0</v>
      </c>
      <c r="M141" s="1197">
        <v>4.24E-2</v>
      </c>
      <c r="N141" s="1193">
        <f>VLOOKUP(A141,Marché!B1573:L3867,8,FALSE)</f>
        <v>52</v>
      </c>
      <c r="O141" s="1200" t="str">
        <f>VLOOKUP(A141,Marché!$B$1:$L$2409,9,FALSE)</f>
        <v>S</v>
      </c>
      <c r="P141" s="1200" t="str">
        <f>VLOOKUP(A141,Marché!B1573:L3867,10,FALSE)</f>
        <v>A</v>
      </c>
      <c r="Q141" s="1200" t="str">
        <f>VLOOKUP(A141,Marché!B1573:L3867,11,FALSE)</f>
        <v>F</v>
      </c>
      <c r="R141" s="1287">
        <v>1.7000000000000001E-2</v>
      </c>
      <c r="S141" s="1229" cm="1">
        <f t="array" ref="S141">IF(C141&gt;'Courbe des taux'!$D$50,ROUND( TREND('Courbe des taux'!$E$49:$E$50,'Courbe des taux'!$D$49:$D$50,Lignes_détenues!C141),5),ROUND(IF(C141&gt;365,interpoler(_mat2,taux2,C141),interpoler(_mat1,taux1,C141)),5))</f>
        <v>2.2700000000000001E-2</v>
      </c>
      <c r="T141" s="1201">
        <f t="shared" si="9"/>
        <v>2.2700000000000001E-2</v>
      </c>
      <c r="U141" s="1201">
        <f>ROUND(IF(D141*366&gt;366,interpoler(_mat2,taux2,D141*366),interpoler(_mat1,taux1,D141*366)),5)</f>
        <v>2.2700000000000001E-2</v>
      </c>
      <c r="V141" s="1202" t="str">
        <f>+IF((AB141-$AF$1)&lt;=366,"M","A")</f>
        <v>M</v>
      </c>
      <c r="W141" s="1202" t="s">
        <v>287</v>
      </c>
      <c r="X141" s="1212">
        <f>+prix_titre(AF$1,AA141,AB141,M141,K141,W141,V141,P141,Q141,N141,D141,Y141)</f>
        <v>0</v>
      </c>
      <c r="Y141" s="1202">
        <v>1</v>
      </c>
      <c r="Z141" s="35"/>
      <c r="AA141" s="1198">
        <v>45656</v>
      </c>
      <c r="AB141" s="1198">
        <v>46021</v>
      </c>
      <c r="AC141" s="35"/>
      <c r="AD141" s="2"/>
    </row>
    <row r="142" spans="1:31" ht="15" hidden="1" x14ac:dyDescent="0.25">
      <c r="A142" s="1191">
        <v>100827</v>
      </c>
      <c r="B142" s="1192">
        <f t="shared" si="13"/>
        <v>0</v>
      </c>
      <c r="C142" s="1193">
        <f>(AB142-$AF$1)</f>
        <v>-451</v>
      </c>
      <c r="D142" s="1194">
        <f t="shared" si="8"/>
        <v>2.8500000000000001E-2</v>
      </c>
      <c r="E142" s="1195">
        <f>duration_titre($AF$1,AA142,AB142,M142,K142,W142,V142,P142,Q142,N142,D142)</f>
        <v>0</v>
      </c>
      <c r="F142" s="1195">
        <f t="shared" si="14"/>
        <v>0</v>
      </c>
      <c r="G142" s="1195">
        <f>convexite_titre($AF$1,AA142,AB142,M142,K142,W142,V142,P142,Q142,N142,D142)</f>
        <v>0</v>
      </c>
      <c r="H142" s="1196">
        <f>+ROUND(coupon_courru($AF$1,AA142,AB142,M142,K142,W142,P142,Q142,N142,V142,"V"),4)</f>
        <v>3459.7260000000001</v>
      </c>
      <c r="I142" s="1199">
        <f>+IF(Y142=1,B142,D142*100)</f>
        <v>0</v>
      </c>
      <c r="J142" s="1193" t="str">
        <f>VLOOKUP(A142,Marché!B1574:L3868,2,FALSE)</f>
        <v>BSF SOGELEASE du 30/12/2020 à 2,80% 4ans</v>
      </c>
      <c r="K142" s="1193">
        <f>VLOOKUP(A142,Marché!B1574:L3868,3,FALSE)</f>
        <v>100000</v>
      </c>
      <c r="L142" s="1193">
        <f>VLOOKUP(A142,Marché!B1574:L3868,4,FALSE)</f>
        <v>0</v>
      </c>
      <c r="M142" s="1197">
        <f>VLOOKUP(A142,Marché!B1574:L3868,5,FALSE)</f>
        <v>2.8000000000000001E-2</v>
      </c>
      <c r="N142" s="1193">
        <f>VLOOKUP(A142,Marché!B1574:L3868,8,FALSE)</f>
        <v>4</v>
      </c>
      <c r="O142" s="1200" t="str">
        <f>VLOOKUP(A142,Marché!$B$1:$L$2409,9,FALSE)</f>
        <v>A</v>
      </c>
      <c r="P142" s="1200" t="str">
        <f>VLOOKUP(A142,Marché!B1574:L3868,10,FALSE)</f>
        <v>A</v>
      </c>
      <c r="Q142" s="1200" t="str">
        <f>VLOOKUP(A142,Marché!B1574:L3868,11,FALSE)</f>
        <v>F</v>
      </c>
      <c r="R142" s="1287">
        <v>5.7999999999999996E-3</v>
      </c>
      <c r="S142" s="1229" cm="1">
        <f t="array" ref="S142">IF(C142&gt;'Courbe des taux'!$D$50,ROUND( TREND('Courbe des taux'!$E$49:$E$50,'Courbe des taux'!$D$49:$D$50,Lignes_détenues!C142),5),ROUND(IF(C142&gt;365,interpoler(_mat2,taux2,C142),interpoler(_mat1,taux1,C142)),5))</f>
        <v>2.2700000000000001E-2</v>
      </c>
      <c r="T142" s="1201">
        <f t="shared" si="9"/>
        <v>2.2700000000000001E-2</v>
      </c>
      <c r="U142" s="1201">
        <f>ROUND(IF(D142*366&gt;366,interpoler(_mat2,taux2,D142*366),interpoler(_mat1,taux1,D142*366)),5)</f>
        <v>2.2700000000000001E-2</v>
      </c>
      <c r="V142" s="1202" t="str">
        <f>+IF((AB142-$AF$1)&lt;=366,"M","A")</f>
        <v>M</v>
      </c>
      <c r="W142" s="1202" t="s">
        <v>287</v>
      </c>
      <c r="X142" s="1212">
        <f>+prix_titre(AF$1,AA142,AB142,M142,K142,W142,V142,P142,Q142,N142,D142,Y142)</f>
        <v>0</v>
      </c>
      <c r="Y142" s="1202">
        <v>1</v>
      </c>
      <c r="Z142" s="35"/>
      <c r="AA142" s="1198">
        <f>VLOOKUP(A142,Marché!B1572:L3866,6,FALSE)</f>
        <v>44195</v>
      </c>
      <c r="AB142" s="1198">
        <f>VLOOKUP(A142,Marché!$B$1:$L$2409,7,FALSE)</f>
        <v>45656</v>
      </c>
      <c r="AC142" s="35"/>
      <c r="AD142" s="2"/>
    </row>
    <row r="143" spans="1:31" ht="15" hidden="1" x14ac:dyDescent="0.25">
      <c r="A143" s="1191">
        <v>201630</v>
      </c>
      <c r="B143" s="1192">
        <f t="shared" si="13"/>
        <v>101889.38</v>
      </c>
      <c r="C143" s="1193">
        <f>(AB143-$AF$1)</f>
        <v>25</v>
      </c>
      <c r="D143" s="1194">
        <f t="shared" si="8"/>
        <v>2.2700000000000001E-2</v>
      </c>
      <c r="E143" s="1195">
        <f>duration_titre($AF$1,AA143,AB143,M143,K143,W143,V143,P143,Q143,N143,D143)</f>
        <v>6.8493150684931503E-2</v>
      </c>
      <c r="F143" s="1195">
        <f t="shared" si="14"/>
        <v>6.6972866612820481E-2</v>
      </c>
      <c r="G143" s="1195">
        <f>convexite_titre($AF$1,AA143,AB143,M143,K143,W143,V143,P143,Q143,N143,D143)</f>
        <v>6.9971691852482865E-2</v>
      </c>
      <c r="H143" s="1196">
        <f>+ROUND(coupon_courru($AF$1,AA143,AB143,M143,K143,W143,P143,Q143,N143,V143,"V"),4)</f>
        <v>1909.5889999999999</v>
      </c>
      <c r="I143" s="1199">
        <f>+IF(Y143=1,B143,D143*100)</f>
        <v>101889.38</v>
      </c>
      <c r="J143" s="1193" t="str">
        <f>VLOOKUP(A143,Marché!B1576:L3870,2,FALSE)</f>
        <v xml:space="preserve">BDT DU 20/4/2026 ATY 18/1/2021 </v>
      </c>
      <c r="K143" s="1193">
        <f>VLOOKUP(A143,Marché!B1576:L3870,3,FALSE)</f>
        <v>100000</v>
      </c>
      <c r="L143" s="1193">
        <f>VLOOKUP(A143,Marché!B1576:L3870,4,FALSE)</f>
        <v>0</v>
      </c>
      <c r="M143" s="1197">
        <f>VLOOKUP(A143,Marché!B1576:L3870,5,FALSE)</f>
        <v>2.0500000000000001E-2</v>
      </c>
      <c r="N143" s="1193">
        <f>VLOOKUP(A143,Marché!B1576:L3870,8,FALSE)</f>
        <v>5</v>
      </c>
      <c r="O143" s="1200" t="str">
        <f>VLOOKUP(A143,Marché!$B$1:$L$2409,9,FALSE)</f>
        <v>A</v>
      </c>
      <c r="P143" s="1200" t="str">
        <f>VLOOKUP(A143,Marché!B1576:L3870,10,FALSE)</f>
        <v>A</v>
      </c>
      <c r="Q143" s="1200" t="str">
        <f>VLOOKUP(A143,Marché!B1576:L3870,11,FALSE)</f>
        <v>F</v>
      </c>
      <c r="R143" s="1287">
        <v>0</v>
      </c>
      <c r="S143" s="1229" cm="1">
        <f t="array" ref="S143">IF(C143&gt;'Courbe des taux'!$D$50,ROUND( TREND('Courbe des taux'!$E$49:$E$50,'Courbe des taux'!$D$49:$D$50,Lignes_détenues!C143),5),ROUND(IF(C143&gt;365,interpoler(_mat2,taux2,C143),interpoler(_mat1,taux1,C143)),5))</f>
        <v>2.2700000000000001E-2</v>
      </c>
      <c r="T143" s="1201">
        <f t="shared" si="9"/>
        <v>2.2700000000000001E-2</v>
      </c>
      <c r="U143" s="1201">
        <f>ROUND(IF(D143*366&gt;366,interpoler(_mat2,taux2,D143*366),interpoler(_mat1,taux1,D143*366)),5)</f>
        <v>2.2700000000000001E-2</v>
      </c>
      <c r="V143" s="1202" t="str">
        <f>+IF((AB143-$AF$1)&lt;=366,"M","A")</f>
        <v>M</v>
      </c>
      <c r="W143" s="1202" t="s">
        <v>287</v>
      </c>
      <c r="X143" s="1212">
        <f>+prix_atp(AF$1,AA143,Z143,AB143,M143,K143,W143,V143,P143,Q143,N143,D143,Y143)</f>
        <v>101889.38270920147</v>
      </c>
      <c r="Y143" s="1202">
        <v>1</v>
      </c>
      <c r="Z143" s="35">
        <v>44306</v>
      </c>
      <c r="AA143" s="1198">
        <f>VLOOKUP(A143,Marché!B1574:L3868,6,FALSE)</f>
        <v>44214</v>
      </c>
      <c r="AB143" s="1198">
        <f>VLOOKUP(A143,Marché!$B$1:$L$2409,7,FALSE)</f>
        <v>46132</v>
      </c>
      <c r="AC143" s="35"/>
      <c r="AD143" s="2"/>
    </row>
    <row r="144" spans="1:31" ht="15" hidden="1" x14ac:dyDescent="0.25">
      <c r="A144" s="1191">
        <v>9496</v>
      </c>
      <c r="B144" s="1192">
        <f t="shared" si="13"/>
        <v>28502.240000000002</v>
      </c>
      <c r="C144" s="1193">
        <f>(AB144-$AF$1)</f>
        <v>-46107</v>
      </c>
      <c r="D144" s="1194">
        <f t="shared" si="8"/>
        <v>2.2700000000000001E-2</v>
      </c>
      <c r="E144" s="1195"/>
      <c r="F144" s="1195"/>
      <c r="G144" s="1195"/>
      <c r="H144" s="1196"/>
      <c r="I144" s="1199"/>
      <c r="J144" s="1193"/>
      <c r="K144" s="1193"/>
      <c r="L144" s="1193"/>
      <c r="M144" s="1197"/>
      <c r="N144" s="1193"/>
      <c r="O144" s="1200"/>
      <c r="P144" s="1200"/>
      <c r="Q144" s="1200"/>
      <c r="R144" s="1287"/>
      <c r="S144" s="1229" cm="1">
        <f t="array" ref="S144">IF(C144&gt;'Courbe des taux'!$D$50,ROUND( TREND('Courbe des taux'!$E$49:$E$50,'Courbe des taux'!$D$49:$D$50,Lignes_détenues!C144),5),ROUND(IF(C144&gt;365,interpoler(_mat2,taux2,C144),interpoler(_mat1,taux1,C144)),5))</f>
        <v>2.2700000000000001E-2</v>
      </c>
      <c r="T144" s="1201">
        <f t="shared" si="9"/>
        <v>2.2700000000000001E-2</v>
      </c>
      <c r="U144" s="1201">
        <f>ROUND(IF(D144*366&gt;366,interpoler(_mat2,taux2,D144*366),interpoler(_mat1,taux1,D144*366)),5)</f>
        <v>2.2700000000000001E-2</v>
      </c>
      <c r="V144" s="1202"/>
      <c r="W144" s="1202"/>
      <c r="X144" s="1212">
        <f>Ammortissable!C423</f>
        <v>28502.241699999999</v>
      </c>
      <c r="Y144" s="1202"/>
      <c r="Z144" s="35"/>
      <c r="AA144" s="1198"/>
      <c r="AB144" s="1198"/>
      <c r="AC144" s="35"/>
      <c r="AD144" s="2"/>
    </row>
    <row r="145" spans="1:30" ht="15" hidden="1" x14ac:dyDescent="0.25">
      <c r="A145" s="1191">
        <v>152330</v>
      </c>
      <c r="B145" s="1192">
        <f t="shared" si="13"/>
        <v>0</v>
      </c>
      <c r="C145" s="1193">
        <f>(AB145-$AF$1)</f>
        <v>-52</v>
      </c>
      <c r="D145" s="1194">
        <f t="shared" si="8"/>
        <v>2.6700000000000002E-2</v>
      </c>
      <c r="E145" s="1195">
        <f>duration_titre($AF$1,AA145,AB145,M145,K145,W145,V145,P145,Q145,N145,D145)</f>
        <v>0</v>
      </c>
      <c r="F145" s="1195">
        <f t="shared" ref="F145:F176" si="15">+E145/(1+D145)</f>
        <v>0</v>
      </c>
      <c r="G145" s="1195">
        <f>convexite_titre($AF$1,AA145,AB145,M145,K145,W145,V145,P145,Q145,N145,D145)</f>
        <v>0</v>
      </c>
      <c r="H145" s="1196">
        <f>+ROUND(coupon_courru($AF$1,AA145,AB145,M145,K145,W145,P145,Q145,N145,V145,"V"),4)</f>
        <v>343.34249999999997</v>
      </c>
      <c r="I145" s="1199">
        <f>+IF(Y145=1,B145,D145*100)</f>
        <v>0</v>
      </c>
      <c r="J145" s="1193" t="str">
        <f>VLOOKUP(A145,Marché!B1579:L3873,2,FALSE)</f>
        <v>CD ATW du 01/02/2021 à  2.41%   5ans</v>
      </c>
      <c r="K145" s="1193">
        <f>VLOOKUP(A145,Marché!B1579:L3873,3,FALSE)</f>
        <v>100000</v>
      </c>
      <c r="L145" s="1193">
        <f>VLOOKUP(A145,Marché!B1579:L3873,4,FALSE)</f>
        <v>0</v>
      </c>
      <c r="M145" s="1197">
        <f>VLOOKUP(A145,Marché!B1579:L3873,5,FALSE)</f>
        <v>2.41E-2</v>
      </c>
      <c r="N145" s="1193">
        <f>VLOOKUP(A145,Marché!B1579:L3873,8,FALSE)</f>
        <v>5</v>
      </c>
      <c r="O145" s="1200" t="str">
        <f>VLOOKUP(A145,Marché!$B$1:$L$2409,9,FALSE)</f>
        <v>A</v>
      </c>
      <c r="P145" s="1200" t="str">
        <f>VLOOKUP(A145,Marché!B1579:L3873,10,FALSE)</f>
        <v>A</v>
      </c>
      <c r="Q145" s="1200" t="str">
        <f>VLOOKUP(A145,Marché!B1579:L3873,11,FALSE)</f>
        <v>F</v>
      </c>
      <c r="R145" s="1287">
        <v>4.0000000000000001E-3</v>
      </c>
      <c r="S145" s="1229" cm="1">
        <f t="array" ref="S145">IF(C145&gt;'Courbe des taux'!$D$50,ROUND( TREND('Courbe des taux'!$E$49:$E$50,'Courbe des taux'!$D$49:$D$50,Lignes_détenues!C145),5),ROUND(IF(C145&gt;365,interpoler(_mat2,taux2,C145),interpoler(_mat1,taux1,C145)),5))</f>
        <v>2.2700000000000001E-2</v>
      </c>
      <c r="T145" s="1201">
        <f t="shared" si="9"/>
        <v>2.2700000000000001E-2</v>
      </c>
      <c r="U145" s="1201">
        <f>ROUND(IF(D145*366&gt;366,interpoler(_mat2,taux2,D145*366),interpoler(_mat1,taux1,D145*366)),5)</f>
        <v>2.2700000000000001E-2</v>
      </c>
      <c r="V145" s="1202" t="str">
        <f>+IF((AB145-$AF$1)&lt;=366,"M","A")</f>
        <v>M</v>
      </c>
      <c r="W145" s="1202" t="s">
        <v>287</v>
      </c>
      <c r="X145" s="1212">
        <f>+prix_atp(AF$1,AA145,Z145,AB145,M145,K145,W145,V145,P145,Q145,N145,D145,Y145)</f>
        <v>0</v>
      </c>
      <c r="Y145" s="1202">
        <v>1</v>
      </c>
      <c r="Z145" s="35">
        <v>44229</v>
      </c>
      <c r="AA145" s="1198">
        <f>VLOOKUP(A145,Marché!B1577:L3871,6,FALSE)</f>
        <v>44228</v>
      </c>
      <c r="AB145" s="1198">
        <f>VLOOKUP(A145,Marché!$B$1:$L$2409,7,FALSE)</f>
        <v>46055</v>
      </c>
      <c r="AC145" s="35"/>
      <c r="AD145" s="2"/>
    </row>
    <row r="146" spans="1:30" ht="15" hidden="1" x14ac:dyDescent="0.25">
      <c r="A146" s="1191">
        <v>201627</v>
      </c>
      <c r="B146" s="1192">
        <f t="shared" si="13"/>
        <v>93301.88</v>
      </c>
      <c r="C146" s="1193">
        <f>(AB146-$AF$1)</f>
        <v>9097</v>
      </c>
      <c r="D146" s="1194">
        <f t="shared" si="8"/>
        <v>3.8949999999999999E-2</v>
      </c>
      <c r="E146" s="1195">
        <f>duration_titre($AF$1,AA146,AB146,M146,K146,W146,V146,P146,Q146,N146,D146)</f>
        <v>16.734098455479881</v>
      </c>
      <c r="F146" s="1195">
        <f t="shared" si="15"/>
        <v>16.106740897521419</v>
      </c>
      <c r="G146" s="1195">
        <f>convexite_titre($AF$1,AA146,AB146,M146,K146,W146,V146,P146,Q146,N146,D146)</f>
        <v>345.80535658049502</v>
      </c>
      <c r="H146" s="1196">
        <f>+ROUND(coupon_courru($AF$1,AA146,AB146,M146,K146,W146,P146,Q146,N146,V146,"V"),4)</f>
        <v>321.36989999999997</v>
      </c>
      <c r="I146" s="1199">
        <f>+IF(Y146=1,B146,D146*100)</f>
        <v>93301.88</v>
      </c>
      <c r="J146" s="1193" t="str">
        <f>VLOOKUP(A146,Marché!B1582:L3876,2,FALSE)</f>
        <v>BDT du 20/02/2021 ATYP 04/01/2021 à 3.45% 30 ans</v>
      </c>
      <c r="K146" s="1193">
        <f>VLOOKUP(A146,Marché!B1582:L3876,3,FALSE)</f>
        <v>100000</v>
      </c>
      <c r="L146" s="1193">
        <f>VLOOKUP(A146,Marché!B1582:L3876,4,FALSE)</f>
        <v>0</v>
      </c>
      <c r="M146" s="1197">
        <f>VLOOKUP(A146,Marché!B1582:L3876,5,FALSE)</f>
        <v>3.4500000000000003E-2</v>
      </c>
      <c r="N146" s="1193">
        <f>VLOOKUP(A146,Marché!B1582:L3876,8,FALSE)</f>
        <v>30</v>
      </c>
      <c r="O146" s="1200" t="str">
        <f>VLOOKUP(A146,Marché!$B$1:$L$2409,9,FALSE)</f>
        <v>A</v>
      </c>
      <c r="P146" s="1200" t="str">
        <f>VLOOKUP(A146,Marché!B1582:L3876,10,FALSE)</f>
        <v>A</v>
      </c>
      <c r="Q146" s="1200" t="str">
        <f>VLOOKUP(A146,Marché!B1582:L3876,11,FALSE)</f>
        <v>F</v>
      </c>
      <c r="R146" s="1287">
        <v>0</v>
      </c>
      <c r="S146" s="1229" cm="1">
        <f t="array" ref="S146">IF(C146&gt;'Courbe des taux'!$D$50,ROUND( TREND('Courbe des taux'!$E$49:$E$50,'Courbe des taux'!$D$49:$D$50,Lignes_détenues!C146),5),ROUND(IF(C146&gt;365,interpoler(_mat2,taux2,C146),interpoler(_mat1,taux1,C146)),5))</f>
        <v>3.8949999999999999E-2</v>
      </c>
      <c r="T146" s="1201">
        <f t="shared" si="9"/>
        <v>3.8949999999999999E-2</v>
      </c>
      <c r="U146" s="1201">
        <f>ROUND(IF(D146*366&gt;366,interpoler(_mat2,taux2,D146*366),interpoler(_mat1,taux1,D146*366)),5)</f>
        <v>2.2700000000000001E-2</v>
      </c>
      <c r="V146" s="1202" t="str">
        <f>+IF((AB146-$AF$1)&lt;=366,"M","A")</f>
        <v>A</v>
      </c>
      <c r="W146" s="1202" t="s">
        <v>287</v>
      </c>
      <c r="X146" s="1212">
        <f>+prix_atp(AF$1,AA146,Z146,AB146,M146,K146,W146,V146,P146,Q146,N146,D146,Y146)</f>
        <v>93301.877436019946</v>
      </c>
      <c r="Y146" s="1202">
        <v>1</v>
      </c>
      <c r="Z146" s="35">
        <v>44247</v>
      </c>
      <c r="AA146" s="1198">
        <f>VLOOKUP(A146,Marché!B1580:L3874,6,FALSE)</f>
        <v>44200</v>
      </c>
      <c r="AB146" s="1198">
        <f>VLOOKUP(A146,Marché!$B$1:$L$2409,7,FALSE)</f>
        <v>55204</v>
      </c>
      <c r="AC146" s="35"/>
      <c r="AD146" s="2"/>
    </row>
    <row r="147" spans="1:30" ht="15" hidden="1" x14ac:dyDescent="0.25">
      <c r="A147" s="1191">
        <v>201631</v>
      </c>
      <c r="B147" s="1192">
        <f t="shared" si="13"/>
        <v>96839.79</v>
      </c>
      <c r="C147" s="1193">
        <f>(AB147-$AF$1)</f>
        <v>3763</v>
      </c>
      <c r="D147" s="1194">
        <f t="shared" si="8"/>
        <v>3.3399999999999999E-2</v>
      </c>
      <c r="E147" s="1195">
        <f>duration_titre($AF$1,AA147,AB147,M147,K147,W147,V147,P147,Q147,N147,D147)</f>
        <v>8.90233068776541</v>
      </c>
      <c r="F147" s="1195">
        <f t="shared" si="15"/>
        <v>8.6146029492601208</v>
      </c>
      <c r="G147" s="1195">
        <f>convexite_titre($AF$1,AA147,AB147,M147,K147,W147,V147,P147,Q147,N147,D147)</f>
        <v>90.178868740133325</v>
      </c>
      <c r="H147" s="1196">
        <f>+ROUND(coupon_courru($AF$1,AA147,AB147,M147,K147,W147,P147,Q147,N147,V147,"V"),4)</f>
        <v>1921.2329</v>
      </c>
      <c r="I147" s="1199">
        <f>+IF(Y147=1,B147,D147*100)</f>
        <v>96839.79</v>
      </c>
      <c r="J147" s="1193" t="str">
        <f>VLOOKUP(A147,Marché!B1583:L3877,2,FALSE)</f>
        <v>BDT du 14/07/2021 ATYP 18/01/2021 à 3.45% 15 ans</v>
      </c>
      <c r="K147" s="1193">
        <f>VLOOKUP(A147,Marché!B1583:L3877,3,FALSE)</f>
        <v>100000</v>
      </c>
      <c r="L147" s="1193">
        <f>VLOOKUP(A147,Marché!B1583:L3877,4,FALSE)</f>
        <v>0</v>
      </c>
      <c r="M147" s="1197">
        <f>VLOOKUP(A147,Marché!B1583:L3877,5,FALSE)</f>
        <v>2.75E-2</v>
      </c>
      <c r="N147" s="1193">
        <f>VLOOKUP(A147,Marché!B1583:L3877,8,FALSE)</f>
        <v>15</v>
      </c>
      <c r="O147" s="1200" t="str">
        <f>VLOOKUP(A147,Marché!$B$1:$L$2409,9,FALSE)</f>
        <v>A</v>
      </c>
      <c r="P147" s="1200" t="str">
        <f>VLOOKUP(A147,Marché!B1583:L3877,10,FALSE)</f>
        <v>A</v>
      </c>
      <c r="Q147" s="1200" t="str">
        <f>VLOOKUP(A147,Marché!B1583:L3877,11,FALSE)</f>
        <v>F</v>
      </c>
      <c r="R147" s="1287">
        <v>0</v>
      </c>
      <c r="S147" s="1229" cm="1">
        <f t="array" ref="S147">IF(C147&gt;'Courbe des taux'!$D$50,ROUND( TREND('Courbe des taux'!$E$49:$E$50,'Courbe des taux'!$D$49:$D$50,Lignes_détenues!C147),5),ROUND(IF(C147&gt;365,interpoler(_mat2,taux2,C147),interpoler(_mat1,taux1,C147)),5))</f>
        <v>3.3399999999999999E-2</v>
      </c>
      <c r="T147" s="1201">
        <f t="shared" si="9"/>
        <v>3.3399999999999999E-2</v>
      </c>
      <c r="U147" s="1201">
        <f>ROUND(IF(D147*366&gt;366,interpoler(_mat2,taux2,D147*366),interpoler(_mat1,taux1,D147*366)),5)</f>
        <v>2.2700000000000001E-2</v>
      </c>
      <c r="V147" s="1202" t="str">
        <f>+IF((AB147-$AF$1)&lt;=366,"M","A")</f>
        <v>A</v>
      </c>
      <c r="W147" s="1202" t="s">
        <v>287</v>
      </c>
      <c r="X147" s="1212">
        <f>+prix_atp(AF$1,AA147,Z147,AB147,M147,K147,W147,V147,P147,Q147,N147,D147,Y147)</f>
        <v>96839.789287359454</v>
      </c>
      <c r="Y147" s="1202">
        <v>1</v>
      </c>
      <c r="Z147" s="35">
        <v>44391</v>
      </c>
      <c r="AA147" s="1198">
        <f>VLOOKUP(A147,Marché!B1581:L3875,6,FALSE)</f>
        <v>44214</v>
      </c>
      <c r="AB147" s="1198">
        <f>VLOOKUP(A147,Marché!$B$1:$L$2409,7,FALSE)</f>
        <v>49870</v>
      </c>
      <c r="AC147" s="35"/>
      <c r="AD147" s="2"/>
    </row>
    <row r="148" spans="1:30" ht="15" hidden="1" x14ac:dyDescent="0.25">
      <c r="A148" s="1191">
        <v>9499</v>
      </c>
      <c r="B148" s="1192">
        <f t="shared" si="13"/>
        <v>96909.5</v>
      </c>
      <c r="C148" s="1193">
        <f>(AB148-$AF$1)</f>
        <v>1809</v>
      </c>
      <c r="D148" s="1194">
        <f t="shared" si="8"/>
        <v>3.8699999999999998E-2</v>
      </c>
      <c r="E148" s="1195">
        <f>duration_titre($AF$1,AA148,AB148,M148,K148,W148,V148,P148,Q148,N148,D148)</f>
        <v>4.6550007164359579</v>
      </c>
      <c r="F148" s="1195">
        <f t="shared" si="15"/>
        <v>4.4815641825704802</v>
      </c>
      <c r="G148" s="1195">
        <f>convexite_titre($AF$1,AA148,AB148,M148,K148,W148,V148,P148,Q148,N148,D148)</f>
        <v>25.163242562022479</v>
      </c>
      <c r="H148" s="1196">
        <f>+ROUND(coupon_courru($AF$1,AA148,AB148,M148,K148,W148,P148,Q148,N148,V148,"V"),4)</f>
        <v>146.2466</v>
      </c>
      <c r="I148" s="1199">
        <f>+IF(Y148=1,B148,D148*100)</f>
        <v>96909.5</v>
      </c>
      <c r="J148" s="1193">
        <f>VLOOKUP(A148,Marché!B1588:L3882,2,FALSE)</f>
        <v>0</v>
      </c>
      <c r="K148" s="1193">
        <f>VLOOKUP(A148,Marché!B1588:L3882,3,FALSE)</f>
        <v>100000</v>
      </c>
      <c r="L148" s="1193">
        <f>VLOOKUP(A148,Marché!B1588:L3882,4,FALSE)</f>
        <v>0</v>
      </c>
      <c r="M148" s="1197">
        <f>VLOOKUP(A148,Marché!B1588:L3882,5,FALSE)</f>
        <v>3.1399999999999997E-2</v>
      </c>
      <c r="N148" s="1193">
        <f>VLOOKUP(A148,Marché!B1588:L3882,8,FALSE)</f>
        <v>10</v>
      </c>
      <c r="O148" s="1200" t="str">
        <f>VLOOKUP(A148,Marché!$B$1:$L$2409,9,FALSE)</f>
        <v>A</v>
      </c>
      <c r="P148" s="1200" t="str">
        <f>VLOOKUP(A148,Marché!B1588:L3882,10,FALSE)</f>
        <v>A</v>
      </c>
      <c r="Q148" s="1200" t="str">
        <f>VLOOKUP(A148,Marché!B1588:L3882,11,FALSE)</f>
        <v>F</v>
      </c>
      <c r="R148" s="1287">
        <v>8.0000000000000002E-3</v>
      </c>
      <c r="S148" s="1229" cm="1">
        <f t="array" ref="S148">IF(C148&gt;'Courbe des taux'!$D$50,ROUND( TREND('Courbe des taux'!$E$49:$E$50,'Courbe des taux'!$D$49:$D$50,Lignes_détenues!C148),5),ROUND(IF(C148&gt;365,interpoler(_mat2,taux2,C148),interpoler(_mat1,taux1,C148)),5))</f>
        <v>3.0700000000000002E-2</v>
      </c>
      <c r="T148" s="1201">
        <f t="shared" si="9"/>
        <v>3.0700000000000002E-2</v>
      </c>
      <c r="U148" s="1201">
        <f>ROUND(IF(D148*366&gt;366,interpoler(_mat2,taux2,D148*366),interpoler(_mat1,taux1,D148*366)),5)</f>
        <v>2.2700000000000001E-2</v>
      </c>
      <c r="V148" s="1202" t="str">
        <f>+IF((AB148-$AF$1)&lt;=366,"M","A")</f>
        <v>A</v>
      </c>
      <c r="W148" s="1202" t="s">
        <v>287</v>
      </c>
      <c r="X148" s="1212">
        <f>+prix_atp(AF$1,AA148,Z148,AB148,M148,K148,W148,V148,P148,Q148,N148,D148,Y148)</f>
        <v>96909.496396231378</v>
      </c>
      <c r="Y148" s="1202">
        <v>1</v>
      </c>
      <c r="Z148" s="35"/>
      <c r="AA148" s="1198">
        <f>VLOOKUP(A148,Marché!B1586:L3880,6,FALSE)</f>
        <v>44264</v>
      </c>
      <c r="AB148" s="1198">
        <f>VLOOKUP(A148,Marché!$B$1:$L$2409,7,FALSE)</f>
        <v>47916</v>
      </c>
      <c r="AC148" s="35"/>
      <c r="AD148" s="2"/>
    </row>
    <row r="149" spans="1:30" ht="15" hidden="1" x14ac:dyDescent="0.25">
      <c r="A149" s="1191">
        <v>100844</v>
      </c>
      <c r="B149" s="1192">
        <f t="shared" si="13"/>
        <v>101978.2</v>
      </c>
      <c r="C149" s="1193">
        <f>(AB149-$AF$1)</f>
        <v>56</v>
      </c>
      <c r="D149" s="1194">
        <f t="shared" si="8"/>
        <v>2.7220000000000001E-2</v>
      </c>
      <c r="E149" s="1195">
        <f>duration_titre($AF$1,AA149,AB149,M149,K149,W149,V149,P149,Q149,N149,D149)</f>
        <v>0.15342465753424658</v>
      </c>
      <c r="F149" s="1195">
        <f t="shared" si="15"/>
        <v>0.14935910275719572</v>
      </c>
      <c r="G149" s="1195">
        <f>convexite_titre($AF$1,AA149,AB149,M149,K149,W149,V149,P149,Q149,N149,D149)</f>
        <v>0.16770942149426687</v>
      </c>
      <c r="H149" s="1196">
        <f>+ROUND(coupon_courru($AF$1,AA149,AB149,M149,K149,W149,P149,Q149,N149,V149,"V"),4)</f>
        <v>2040.2465999999999</v>
      </c>
      <c r="I149" s="1199">
        <f>+IF(Y149=1,B149,D149*100)</f>
        <v>101978.2</v>
      </c>
      <c r="J149" s="1193" t="str">
        <f>VLOOKUP(A149,Marché!B1601:L3895,2,FALSE)</f>
        <v xml:space="preserve">BSF WAFABAIL du 21/05/2021 4 ans 2.41% </v>
      </c>
      <c r="K149" s="1193">
        <f>VLOOKUP(A149,Marché!B1601:L3895,3,FALSE)</f>
        <v>100000</v>
      </c>
      <c r="L149" s="1193">
        <f>VLOOKUP(A149,Marché!B1601:L3895,4,FALSE)</f>
        <v>0</v>
      </c>
      <c r="M149" s="1197">
        <f>VLOOKUP(A149,Marché!B1601:L3895,5,FALSE)</f>
        <v>2.41E-2</v>
      </c>
      <c r="N149" s="1193">
        <f>VLOOKUP(A149,Marché!B1601:L3895,8,FALSE)</f>
        <v>4</v>
      </c>
      <c r="O149" s="1200" t="str">
        <f>VLOOKUP(A149,Marché!$B$1:$L$2409,9,FALSE)</f>
        <v>A</v>
      </c>
      <c r="P149" s="1200" t="str">
        <f>VLOOKUP(A149,Marché!B1601:L3895,10,FALSE)</f>
        <v>A</v>
      </c>
      <c r="Q149" s="1200" t="str">
        <f>VLOOKUP(A149,Marché!B1601:L3895,11,FALSE)</f>
        <v>F</v>
      </c>
      <c r="R149" s="1287">
        <v>4.4999999999999997E-3</v>
      </c>
      <c r="S149" s="1229" cm="1">
        <f t="array" ref="S149">IF(C149&gt;'Courbe des taux'!$D$50,ROUND( TREND('Courbe des taux'!$E$49:$E$50,'Courbe des taux'!$D$49:$D$50,Lignes_détenues!C149),5),ROUND(IF(C149&gt;365,interpoler(_mat2,taux2,C149),interpoler(_mat1,taux1,C149)),5))</f>
        <v>2.2720000000000001E-2</v>
      </c>
      <c r="T149" s="1201">
        <f t="shared" si="9"/>
        <v>2.2720000000000001E-2</v>
      </c>
      <c r="U149" s="1201">
        <f>ROUND(IF(D149*366&gt;366,interpoler(_mat2,taux2,D149*366),interpoler(_mat1,taux1,D149*366)),5)</f>
        <v>2.2700000000000001E-2</v>
      </c>
      <c r="V149" s="1202" t="str">
        <f>+IF((AB149-$AF$1)&lt;=365,"M","A")</f>
        <v>M</v>
      </c>
      <c r="W149" s="1202" t="s">
        <v>287</v>
      </c>
      <c r="X149" s="1212">
        <f>+prix_atp(AF$1,AA149,Z149,AB149,M149,K149,W149,V149,P149,Q149,N149,D149,Y149)</f>
        <v>101978.20163246556</v>
      </c>
      <c r="Y149" s="1202">
        <v>1</v>
      </c>
      <c r="Z149" s="35"/>
      <c r="AA149" s="1198">
        <f>VLOOKUP(A149,Marché!B1599:L3893,6,FALSE)</f>
        <v>44337</v>
      </c>
      <c r="AB149" s="1198">
        <f>VLOOKUP(A149,Marché!$B$1:$L$2409,7,FALSE)</f>
        <v>46163</v>
      </c>
      <c r="AC149" s="35"/>
      <c r="AD149" s="2"/>
    </row>
    <row r="150" spans="1:30" ht="15" hidden="1" x14ac:dyDescent="0.25">
      <c r="A150" s="1191">
        <v>201646</v>
      </c>
      <c r="B150" s="1192">
        <f t="shared" si="13"/>
        <v>93413.67</v>
      </c>
      <c r="C150" s="1193">
        <f>(AB150-$AF$1)</f>
        <v>5625</v>
      </c>
      <c r="D150" s="1194">
        <f t="shared" si="8"/>
        <v>3.5580000000000001E-2</v>
      </c>
      <c r="E150" s="1195">
        <f>duration_titre($AF$1,AA150,AB150,M150,K150,W150,V150,P150,Q150,N150,D150)</f>
        <v>12.317045528211359</v>
      </c>
      <c r="F150" s="1195">
        <f t="shared" si="15"/>
        <v>11.893861921060044</v>
      </c>
      <c r="G150" s="1195">
        <f>convexite_titre($AF$1,AA150,AB150,M150,K150,W150,V150,P150,Q150,N150,D150)</f>
        <v>175.14143810344524</v>
      </c>
      <c r="H150" s="1196">
        <f>+ROUND(coupon_courru($AF$1,AA150,AB150,M150,K150,W150,P150,Q150,N150,V150,"V"),4)</f>
        <v>1710</v>
      </c>
      <c r="I150" s="1199">
        <f>+IF(Y150=1,B150,D150*100)</f>
        <v>93413.67</v>
      </c>
      <c r="J150" s="1193" t="str">
        <f>VLOOKUP(A150,Marché!B1602:L3896,2,FALSE)</f>
        <v>BDT DU 05/04/2021 à 2.85% 20 ANS</v>
      </c>
      <c r="K150" s="1193">
        <f>VLOOKUP(A150,Marché!B1602:L3896,3,FALSE)</f>
        <v>100000</v>
      </c>
      <c r="L150" s="1193">
        <f>VLOOKUP(A150,Marché!B1602:L3896,4,FALSE)</f>
        <v>0</v>
      </c>
      <c r="M150" s="1197">
        <f>VLOOKUP(A150,Marché!B1602:L3896,5,FALSE)</f>
        <v>2.8500000000000001E-2</v>
      </c>
      <c r="N150" s="1193">
        <f>VLOOKUP(A150,Marché!B1602:L3896,8,FALSE)</f>
        <v>20</v>
      </c>
      <c r="O150" s="1200" t="str">
        <f>VLOOKUP(A150,Marché!$B$1:$L$2409,9,FALSE)</f>
        <v>A</v>
      </c>
      <c r="P150" s="1200" t="str">
        <f>VLOOKUP(A150,Marché!B1602:L3896,10,FALSE)</f>
        <v>A</v>
      </c>
      <c r="Q150" s="1200" t="str">
        <f>VLOOKUP(A150,Marché!B1602:L3896,11,FALSE)</f>
        <v>F</v>
      </c>
      <c r="R150" s="1287">
        <v>0</v>
      </c>
      <c r="S150" s="1229" cm="1">
        <f t="array" ref="S150">IF(C150&gt;'Courbe des taux'!$D$50,ROUND( TREND('Courbe des taux'!$E$49:$E$50,'Courbe des taux'!$D$49:$D$50,Lignes_détenues!C150),5),ROUND(IF(C150&gt;365,interpoler(_mat2,taux2,C150),interpoler(_mat1,taux1,C150)),5))</f>
        <v>3.5580000000000001E-2</v>
      </c>
      <c r="T150" s="1201">
        <f t="shared" si="9"/>
        <v>3.5580000000000001E-2</v>
      </c>
      <c r="U150" s="1201">
        <f>ROUND(IF(D150*366&gt;366,interpoler(_mat2,taux2,D150*366),interpoler(_mat1,taux1,D150*366)),5)</f>
        <v>2.2700000000000001E-2</v>
      </c>
      <c r="V150" s="1202" t="str">
        <f>+IF((AB150-$AF$1)&lt;=366,"M","A")</f>
        <v>A</v>
      </c>
      <c r="W150" s="1202" t="s">
        <v>287</v>
      </c>
      <c r="X150" s="1212">
        <f>+prix_atp(AF$1,AA150,Z150,AB150,M150,K150,W150,V150,P150,Q150,N150,D150,Y150)</f>
        <v>93413.67028127033</v>
      </c>
      <c r="Y150" s="1202">
        <v>1</v>
      </c>
      <c r="Z150" s="35">
        <v>44427</v>
      </c>
      <c r="AA150" s="1198">
        <f>VLOOKUP(A150,Marché!B1600:L3894,6,FALSE)</f>
        <v>44291</v>
      </c>
      <c r="AB150" s="1198">
        <f>VLOOKUP(A150,Marché!$B$1:$L$2409,7,FALSE)</f>
        <v>51732</v>
      </c>
      <c r="AC150" s="35"/>
      <c r="AD150" s="2"/>
    </row>
    <row r="151" spans="1:30" ht="15" hidden="1" x14ac:dyDescent="0.25">
      <c r="A151" s="1191">
        <v>5116</v>
      </c>
      <c r="B151" s="1192">
        <f t="shared" si="13"/>
        <v>53193.04</v>
      </c>
      <c r="C151" s="1193">
        <f>(AB151-$AF$1)</f>
        <v>2830</v>
      </c>
      <c r="D151" s="1194">
        <f t="shared" si="8"/>
        <v>3.7089999999999998E-2</v>
      </c>
      <c r="E151" s="1195">
        <f>duration_titre($AF$1,AA151,AB151,M151,K151,W151,V151,P151,Q151,N151,D151)</f>
        <v>7.0387977390484693</v>
      </c>
      <c r="F151" s="1195">
        <f t="shared" si="15"/>
        <v>6.7870654803811323</v>
      </c>
      <c r="G151" s="1195">
        <f>convexite_titre($AF$1,AA151,AB151,M151,K151,W151,V151,P151,Q151,N151,D151)</f>
        <v>55.52985897321765</v>
      </c>
      <c r="H151" s="1196">
        <f>+ROUND(coupon_courru($AF$1,AA151,AB151,M151,K151,W151,P151,Q151,N151,V151,"V"),4)</f>
        <v>662.90409999999997</v>
      </c>
      <c r="I151" s="1199">
        <f>+IF(Y151=1,B151,D151*100)</f>
        <v>53193.04</v>
      </c>
      <c r="J151" s="1193" t="str">
        <f>VLOOKUP(A151,Marché!B1610:L3904,2,FALSE)</f>
        <v>OBLIGATION A1 MIFTTAH 11/06/2021 12 ANS AMORT</v>
      </c>
      <c r="K151" s="1193">
        <f>VLOOKUP(A151,Marché!B1610:L3904,3,FALSE)</f>
        <v>100000</v>
      </c>
      <c r="L151" s="1193">
        <f>VLOOKUP(A151,Marché!B1610:L3904,4,FALSE)</f>
        <v>0</v>
      </c>
      <c r="M151" s="1197">
        <f>VLOOKUP(A151,Marché!B1610:L3904,5,FALSE)</f>
        <v>2.63E-2</v>
      </c>
      <c r="N151" s="1193">
        <f>VLOOKUP(A151,Marché!B1610:L3904,8,FALSE)</f>
        <v>12</v>
      </c>
      <c r="O151" s="1200" t="str">
        <f>VLOOKUP(A151,Marché!$B$1:$L$2409,9,FALSE)</f>
        <v>A</v>
      </c>
      <c r="P151" s="1200" t="str">
        <f>VLOOKUP(A151,Marché!B1610:L3904,10,FALSE)</f>
        <v>A</v>
      </c>
      <c r="Q151" s="1200" t="str">
        <f>VLOOKUP(A151,Marché!B1610:L3904,11,FALSE)</f>
        <v>F</v>
      </c>
      <c r="R151" s="1287">
        <v>5.0000000000000001E-3</v>
      </c>
      <c r="S151" s="1229" cm="1">
        <f t="array" ref="S151">IF(C151&gt;'Courbe des taux'!$D$50,ROUND( TREND('Courbe des taux'!$E$49:$E$50,'Courbe des taux'!$D$49:$D$50,Lignes_détenues!C151),5),ROUND(IF(C151&gt;365,interpoler(_mat2,taux2,C151),interpoler(_mat1,taux1,C151)),5))</f>
        <v>3.209E-2</v>
      </c>
      <c r="T151" s="1201">
        <f t="shared" si="9"/>
        <v>3.209E-2</v>
      </c>
      <c r="U151" s="1201">
        <f>ROUND(IF(D151*366&gt;366,interpoler(_mat2,taux2,D151*366),interpoler(_mat1,taux1,D151*366)),5)</f>
        <v>2.2700000000000001E-2</v>
      </c>
      <c r="V151" s="1202" t="str">
        <f>+IF((AB151-$AF$1)&lt;=366,"M","A")</f>
        <v>A</v>
      </c>
      <c r="W151" s="1202" t="s">
        <v>287</v>
      </c>
      <c r="X151" s="1212">
        <f>'Echéanciers des Parts'!GJ3</f>
        <v>53193.035100000001</v>
      </c>
      <c r="Y151" s="1202">
        <v>1</v>
      </c>
      <c r="Z151" s="35"/>
      <c r="AA151" s="1198">
        <f>VLOOKUP(A151,Marché!B1608:L3902,6,FALSE)</f>
        <v>44358</v>
      </c>
      <c r="AB151" s="1198">
        <f>VLOOKUP(A151,Marché!$B$1:$L$2409,7,FALSE)</f>
        <v>48937</v>
      </c>
      <c r="AC151" s="35"/>
      <c r="AD151" s="2"/>
    </row>
    <row r="152" spans="1:30" ht="15" hidden="1" x14ac:dyDescent="0.25">
      <c r="A152" s="1191">
        <v>5117</v>
      </c>
      <c r="B152" s="1192">
        <f t="shared" si="13"/>
        <v>80421.710000000006</v>
      </c>
      <c r="C152" s="1193">
        <f>(AB152-$AF$1)</f>
        <v>4200</v>
      </c>
      <c r="D152" s="1194">
        <f t="shared" si="8"/>
        <v>4.0579999999999998E-2</v>
      </c>
      <c r="E152" s="1195">
        <f>duration_titre($AF$1,AA152,AB152,M152,K152,W152,V152,P152,Q152,N152,D152)</f>
        <v>9.6029362612601634</v>
      </c>
      <c r="F152" s="1195">
        <f t="shared" si="15"/>
        <v>9.2284459255993418</v>
      </c>
      <c r="G152" s="1195">
        <f>convexite_titre($AF$1,AA152,AB152,M152,K152,W152,V152,P152,Q152,N152,D152)</f>
        <v>104.66533912003793</v>
      </c>
      <c r="H152" s="1196">
        <f>+ROUND(coupon_courru($AF$1,AA152,AB152,M152,K152,W152,P152,Q152,N152,V152,"V"),4)</f>
        <v>1554.2465999999999</v>
      </c>
      <c r="I152" s="1199">
        <f>+IF(Y152=1,B152,D152*100)</f>
        <v>80421.710000000006</v>
      </c>
      <c r="J152" s="1193" t="str">
        <f>VLOOKUP(A152,Marché!B1611:L3905,2,FALSE)</f>
        <v>OBLIGATION A2 MIFTTAH 11/06/2021 16 ANS AMORT</v>
      </c>
      <c r="K152" s="1193">
        <f>VLOOKUP(A152,Marché!B1611:L3905,3,FALSE)</f>
        <v>100000</v>
      </c>
      <c r="L152" s="1193">
        <f>VLOOKUP(A152,Marché!B1611:L3905,4,FALSE)</f>
        <v>0</v>
      </c>
      <c r="M152" s="1197">
        <f>VLOOKUP(A152,Marché!B1611:L3905,5,FALSE)</f>
        <v>3.1E-2</v>
      </c>
      <c r="N152" s="1193">
        <f>VLOOKUP(A152,Marché!B1611:L3905,8,FALSE)</f>
        <v>16</v>
      </c>
      <c r="O152" s="1200" t="str">
        <f>VLOOKUP(A152,Marché!$B$1:$L$2409,9,FALSE)</f>
        <v>A</v>
      </c>
      <c r="P152" s="1200" t="str">
        <f>VLOOKUP(A152,Marché!B1611:L3905,10,FALSE)</f>
        <v>A</v>
      </c>
      <c r="Q152" s="1200" t="str">
        <f>VLOOKUP(A152,Marché!B1611:L3905,11,FALSE)</f>
        <v>F</v>
      </c>
      <c r="R152" s="1287">
        <v>6.4999999999999997E-3</v>
      </c>
      <c r="S152" s="1229" cm="1">
        <f t="array" ref="S152">IF(C152&gt;'Courbe des taux'!$D$50,ROUND( TREND('Courbe des taux'!$E$49:$E$50,'Courbe des taux'!$D$49:$D$50,Lignes_détenues!C152),5),ROUND(IF(C152&gt;365,interpoler(_mat2,taux2,C152),interpoler(_mat1,taux1,C152)),5))</f>
        <v>3.4079999999999999E-2</v>
      </c>
      <c r="T152" s="1201">
        <f t="shared" si="9"/>
        <v>3.4079999999999999E-2</v>
      </c>
      <c r="U152" s="1201">
        <f>ROUND(IF(D152*366&gt;366,interpoler(_mat2,taux2,D152*366),interpoler(_mat1,taux1,D152*366)),5)</f>
        <v>2.2700000000000001E-2</v>
      </c>
      <c r="V152" s="1202" t="str">
        <f>+IF((AB152-$AF$1)&lt;=366,"M","A")</f>
        <v>A</v>
      </c>
      <c r="W152" s="1202" t="s">
        <v>287</v>
      </c>
      <c r="X152" s="1212">
        <f>'Echéanciers des Parts'!GW3</f>
        <v>80421.709939253822</v>
      </c>
      <c r="Y152" s="1202">
        <v>1</v>
      </c>
      <c r="Z152" s="35"/>
      <c r="AA152" s="1198">
        <f>VLOOKUP(A152,Marché!B1609:L3903,6,FALSE)</f>
        <v>44358</v>
      </c>
      <c r="AB152" s="1198">
        <f>VLOOKUP(A152,Marché!$B$1:$L$2409,7,FALSE)</f>
        <v>50307</v>
      </c>
      <c r="AC152" s="35"/>
      <c r="AD152" s="2"/>
    </row>
    <row r="153" spans="1:30" ht="15" hidden="1" x14ac:dyDescent="0.25">
      <c r="A153" s="1191">
        <v>201651</v>
      </c>
      <c r="B153" s="1192">
        <f t="shared" si="13"/>
        <v>98028.17</v>
      </c>
      <c r="C153" s="1193">
        <f>(AB153-$AF$1)</f>
        <v>1908</v>
      </c>
      <c r="D153" s="1194">
        <f t="shared" si="8"/>
        <v>3.0880000000000001E-2</v>
      </c>
      <c r="E153" s="1195">
        <f>duration_titre($AF$1,AA153,AB153,M153,K153,W153,V153,P153,Q153,N153,D153)</f>
        <v>4.891363141424252</v>
      </c>
      <c r="F153" s="1195">
        <f t="shared" si="15"/>
        <v>4.7448424078692497</v>
      </c>
      <c r="G153" s="1195">
        <f>convexite_titre($AF$1,AA153,AB153,M153,K153,W153,V153,P153,Q153,N153,D153)</f>
        <v>28.184830525115878</v>
      </c>
      <c r="H153" s="1196">
        <f>+ROUND(coupon_courru($AF$1,AA153,AB153,M153,K153,W153,P153,Q153,N153,V153,"V"),4)</f>
        <v>1783.2877000000001</v>
      </c>
      <c r="I153" s="1199">
        <f>+IF(Y153=1,B153,D153*100)</f>
        <v>98028.17</v>
      </c>
      <c r="J153" s="1193" t="str">
        <f>VLOOKUP(A153,Marché!B1612:L3906,2,FALSE)</f>
        <v>BDT DU 05/02/2018 à 3.30% 10 ANS</v>
      </c>
      <c r="K153" s="1193">
        <f>VLOOKUP(A153,Marché!B1612:L3906,3,FALSE)</f>
        <v>100000</v>
      </c>
      <c r="L153" s="1193">
        <f>VLOOKUP(A153,Marché!B1612:L3906,4,FALSE)</f>
        <v>0</v>
      </c>
      <c r="M153" s="1197">
        <f>VLOOKUP(A153,Marché!B1612:L3906,5,FALSE)</f>
        <v>2.3E-2</v>
      </c>
      <c r="N153" s="1193">
        <f>VLOOKUP(A153,Marché!B1612:L3906,8,FALSE)</f>
        <v>10</v>
      </c>
      <c r="O153" s="1200" t="str">
        <f>VLOOKUP(A153,Marché!$B$1:$L$2409,9,FALSE)</f>
        <v>A</v>
      </c>
      <c r="P153" s="1200" t="str">
        <f>VLOOKUP(A153,Marché!B1612:L3906,10,FALSE)</f>
        <v>A</v>
      </c>
      <c r="Q153" s="1200" t="str">
        <f>VLOOKUP(A153,Marché!B1612:L3906,11,FALSE)</f>
        <v>F</v>
      </c>
      <c r="R153" s="1287">
        <v>0</v>
      </c>
      <c r="S153" s="1229" cm="1">
        <f t="array" ref="S153">IF(C153&gt;'Courbe des taux'!$D$50,ROUND( TREND('Courbe des taux'!$E$49:$E$50,'Courbe des taux'!$D$49:$D$50,Lignes_détenues!C153),5),ROUND(IF(C153&gt;365,interpoler(_mat2,taux2,C153),interpoler(_mat1,taux1,C153)),5))</f>
        <v>3.0880000000000001E-2</v>
      </c>
      <c r="T153" s="1201">
        <f t="shared" si="9"/>
        <v>3.0880000000000001E-2</v>
      </c>
      <c r="U153" s="1201">
        <f>ROUND(IF(D153*366&gt;366,interpoler(_mat2,taux2,D153*366),interpoler(_mat1,taux1,D153*366)),5)</f>
        <v>2.2700000000000001E-2</v>
      </c>
      <c r="V153" s="1202" t="str">
        <f>+IF((AB153-$AF$1)&lt;=366,"M","A")</f>
        <v>A</v>
      </c>
      <c r="W153" s="1202" t="s">
        <v>287</v>
      </c>
      <c r="X153" s="1212">
        <f>+prix_atp(AF$1,AA153,Z153,AB153,M153,K153,W153,V153,P153,Q153,N153,D153,Y153)</f>
        <v>98028.172935479786</v>
      </c>
      <c r="Y153" s="1202">
        <v>1</v>
      </c>
      <c r="Z153" s="35">
        <v>44363</v>
      </c>
      <c r="AA153" s="1198">
        <f>VLOOKUP(A153,Marché!B1610:L3904,6,FALSE)</f>
        <v>44347</v>
      </c>
      <c r="AB153" s="1198">
        <f>VLOOKUP(A153,Marché!$B$1:$L$2409,7,FALSE)</f>
        <v>48015</v>
      </c>
      <c r="AC153" s="35"/>
      <c r="AD153" s="2"/>
    </row>
    <row r="154" spans="1:30" ht="15" hidden="1" x14ac:dyDescent="0.25">
      <c r="A154" s="1191">
        <v>201657</v>
      </c>
      <c r="B154" s="1192">
        <f t="shared" si="13"/>
        <v>100621.83</v>
      </c>
      <c r="C154" s="1193">
        <f>(AB154-$AF$1)</f>
        <v>207</v>
      </c>
      <c r="D154" s="1194">
        <f t="shared" si="8"/>
        <v>2.3820000000000001E-2</v>
      </c>
      <c r="E154" s="1195">
        <f>duration_titre($AF$1,AA154,AB154,M154,K154,W154,V154,P154,Q154,N154,D154)</f>
        <v>0.56712328767123288</v>
      </c>
      <c r="F154" s="1195">
        <f t="shared" si="15"/>
        <v>0.55392870589677179</v>
      </c>
      <c r="G154" s="1195">
        <f>convexite_titre($AF$1,AA154,AB154,M154,K154,W154,V154,P154,Q154,N154,D154)</f>
        <v>0.84787811795083168</v>
      </c>
      <c r="H154" s="1196">
        <f>+ROUND(coupon_courru($AF$1,AA154,AB154,M154,K154,W154,P154,Q154,N154,V154,"V"),4)</f>
        <v>865.75340000000006</v>
      </c>
      <c r="I154" s="1199">
        <f>+IF(Y154=1,B154,D154*100)</f>
        <v>100621.83</v>
      </c>
      <c r="J154" s="1193" t="str">
        <f>VLOOKUP(A154,Marché!B1613:L3907,2,FALSE)</f>
        <v>BDT DU 14/06/2021 5 ANS à 2.00%</v>
      </c>
      <c r="K154" s="1193">
        <f>VLOOKUP(A154,Marché!B1613:L3907,3,FALSE)</f>
        <v>100000</v>
      </c>
      <c r="L154" s="1193">
        <f>VLOOKUP(A154,Marché!B1613:L3907,4,FALSE)</f>
        <v>0</v>
      </c>
      <c r="M154" s="1197">
        <f>VLOOKUP(A154,Marché!B1613:L3907,5,FALSE)</f>
        <v>0.02</v>
      </c>
      <c r="N154" s="1193">
        <f>VLOOKUP(A154,Marché!B1613:L3907,8,FALSE)</f>
        <v>5</v>
      </c>
      <c r="O154" s="1200" t="str">
        <f>VLOOKUP(A154,Marché!$B$1:$L$2409,9,FALSE)</f>
        <v>A</v>
      </c>
      <c r="P154" s="1200" t="str">
        <f>VLOOKUP(A154,Marché!B1613:L3907,10,FALSE)</f>
        <v>A</v>
      </c>
      <c r="Q154" s="1200" t="str">
        <f>VLOOKUP(A154,Marché!B1613:L3907,11,FALSE)</f>
        <v>F</v>
      </c>
      <c r="R154" s="1287">
        <v>0</v>
      </c>
      <c r="S154" s="1229" cm="1">
        <f t="array" ref="S154">IF(C154&gt;'Courbe des taux'!$D$50,ROUND( TREND('Courbe des taux'!$E$49:$E$50,'Courbe des taux'!$D$49:$D$50,Lignes_détenues!C154),5),ROUND(IF(C154&gt;365,interpoler(_mat2,taux2,C154),interpoler(_mat1,taux1,C154)),5))</f>
        <v>2.3820000000000001E-2</v>
      </c>
      <c r="T154" s="1201">
        <f t="shared" si="9"/>
        <v>2.3820000000000001E-2</v>
      </c>
      <c r="U154" s="1201">
        <f>ROUND(IF(D154*366&gt;366,interpoler(_mat2,taux2,D154*366),interpoler(_mat1,taux1,D154*366)),5)</f>
        <v>2.2700000000000001E-2</v>
      </c>
      <c r="V154" s="1202" t="str">
        <f>+IF((AB154-$AF$1)&lt;=366,"M","A")</f>
        <v>M</v>
      </c>
      <c r="W154" s="1202" t="s">
        <v>287</v>
      </c>
      <c r="X154" s="1212">
        <f>+prix_atp(AF$1,AA154,Z154,AB154,M154,K154,W154,V154,P154,Q154,N154,D154,Y154)</f>
        <v>100621.83306344651</v>
      </c>
      <c r="Y154" s="1202">
        <v>1</v>
      </c>
      <c r="Z154" s="35">
        <v>44488</v>
      </c>
      <c r="AA154" s="1198">
        <f>VLOOKUP(A154,Marché!B1611:L3905,6,FALSE)</f>
        <v>44361</v>
      </c>
      <c r="AB154" s="1198">
        <f>VLOOKUP(A154,Marché!$B$1:$L$2409,7,FALSE)</f>
        <v>46314</v>
      </c>
      <c r="AC154" s="35"/>
      <c r="AD154" s="2"/>
    </row>
    <row r="155" spans="1:30" ht="15" hidden="1" x14ac:dyDescent="0.25">
      <c r="A155" s="1191">
        <v>9502</v>
      </c>
      <c r="B155" s="1192">
        <f t="shared" si="13"/>
        <v>20420.25</v>
      </c>
      <c r="C155" s="1193">
        <f>(AB155-$AF$1)</f>
        <v>80</v>
      </c>
      <c r="D155" s="1194">
        <f t="shared" ref="D155:D218" si="16">ROUND(T155+R155,5)</f>
        <v>3.2910000000000002E-2</v>
      </c>
      <c r="E155" s="1195">
        <f>duration_titre($AF$1,AA155,AB155,M155,K155,W155,V155,P155,Q155,N155,D155)</f>
        <v>0.21917808219178081</v>
      </c>
      <c r="F155" s="1195">
        <f t="shared" si="15"/>
        <v>0.21219475287467524</v>
      </c>
      <c r="G155" s="1195">
        <f>convexite_titre($AF$1,AA155,AB155,M155,K155,W155,V155,P155,Q155,N155,D155)</f>
        <v>0.2504605356332163</v>
      </c>
      <c r="H155" s="1196">
        <f>+ROUND(coupon_courru($AF$1,AA155,AB155,M155,K155,W155,P155,Q155,N155,V155,"V"),4)</f>
        <v>2217.5342000000001</v>
      </c>
      <c r="I155" s="1199">
        <f>+IF(Y155=1,B155,D155*100)</f>
        <v>20420.25</v>
      </c>
      <c r="J155" s="1193" t="str">
        <f>VLOOKUP(A155,Marché!B1614:L3908,2,FALSE)</f>
        <v>OBL CMT du 14/06/2021 à 2.84% AMORT/AN 5 ANS</v>
      </c>
      <c r="K155" s="1193">
        <f>VLOOKUP(A155,Marché!B1614:L3908,3,FALSE)</f>
        <v>100000</v>
      </c>
      <c r="L155" s="1193">
        <f>VLOOKUP(A155,Marché!B1614:L3908,4,FALSE)</f>
        <v>0</v>
      </c>
      <c r="M155" s="1197">
        <f>VLOOKUP(A155,Marché!B1614:L3908,5,FALSE)</f>
        <v>2.8400000000000002E-2</v>
      </c>
      <c r="N155" s="1193">
        <f>VLOOKUP(A155,Marché!B1614:L3908,8,FALSE)</f>
        <v>5</v>
      </c>
      <c r="O155" s="1200" t="str">
        <f>VLOOKUP(A155,Marché!$B$1:$L$2409,9,FALSE)</f>
        <v>A</v>
      </c>
      <c r="P155" s="1200" t="str">
        <f>VLOOKUP(A155,Marché!B1614:L3908,10,FALSE)</f>
        <v>A</v>
      </c>
      <c r="Q155" s="1200" t="str">
        <f>VLOOKUP(A155,Marché!B1614:L3908,11,FALSE)</f>
        <v>F</v>
      </c>
      <c r="R155" s="1287">
        <v>0.01</v>
      </c>
      <c r="S155" s="1229" cm="1">
        <f t="array" ref="S155">IF(C155&gt;'Courbe des taux'!$D$50,ROUND( TREND('Courbe des taux'!$E$49:$E$50,'Courbe des taux'!$D$49:$D$50,Lignes_détenues!C155),5),ROUND(IF(C155&gt;365,interpoler(_mat2,taux2,C155),interpoler(_mat1,taux1,C155)),5))</f>
        <v>2.291E-2</v>
      </c>
      <c r="T155" s="1201">
        <f t="shared" si="9"/>
        <v>2.291E-2</v>
      </c>
      <c r="U155" s="1201">
        <f>ROUND(IF(D155*366&gt;366,interpoler(_mat2,taux2,D155*366),interpoler(_mat1,taux1,D155*366)),5)</f>
        <v>2.2700000000000001E-2</v>
      </c>
      <c r="V155" s="1202" t="str">
        <f>+IF((AB155-$AF$1)&lt;=366,"M","A")</f>
        <v>M</v>
      </c>
      <c r="W155" s="1202" t="s">
        <v>287</v>
      </c>
      <c r="X155" s="1212">
        <f>Ammortissable!C465</f>
        <v>20420.249599999999</v>
      </c>
      <c r="Y155" s="1202">
        <v>1</v>
      </c>
      <c r="Z155" s="35"/>
      <c r="AA155" s="1198">
        <f>VLOOKUP(A155,Marché!B1612:L3906,6,FALSE)</f>
        <v>44361</v>
      </c>
      <c r="AB155" s="1198">
        <f>VLOOKUP(A155,Marché!$B$1:$L$2409,7,FALSE)</f>
        <v>46187</v>
      </c>
      <c r="AC155" s="35"/>
      <c r="AD155" s="2"/>
    </row>
    <row r="156" spans="1:30" ht="15" hidden="1" x14ac:dyDescent="0.25">
      <c r="A156" s="1191">
        <v>152397</v>
      </c>
      <c r="B156" s="1192">
        <f t="shared" si="13"/>
        <v>101629.55</v>
      </c>
      <c r="C156" s="1193">
        <f>(AB156-$AF$1)</f>
        <v>97</v>
      </c>
      <c r="D156" s="1194">
        <f t="shared" si="16"/>
        <v>2.7040000000000002E-2</v>
      </c>
      <c r="E156" s="1195">
        <f>duration_titre($AF$1,AA156,AB156,M156,K156,W156,V156,P156,Q156,N156,D156)</f>
        <v>0.26575342465753427</v>
      </c>
      <c r="F156" s="1195">
        <f t="shared" si="15"/>
        <v>0.25875664497734679</v>
      </c>
      <c r="G156" s="1195">
        <f>convexite_titre($AF$1,AA156,AB156,M156,K156,W156,V156,P156,Q156,N156,D156)</f>
        <v>0.31889907845163817</v>
      </c>
      <c r="H156" s="1196">
        <f>+ROUND(coupon_courru($AF$1,AA156,AB156,M156,K156,W156,P156,Q156,N156,V156,"V"),4)</f>
        <v>1740.1643999999999</v>
      </c>
      <c r="I156" s="1199">
        <f>+IF(Y156=1,B156,D156*100)</f>
        <v>101629.55</v>
      </c>
      <c r="J156" s="1193" t="str">
        <f>VLOOKUP(A156,Marché!B1618:L3912,2,FALSE)</f>
        <v>CD CIH du 25/06/2021 à 2.37%  5ans</v>
      </c>
      <c r="K156" s="1193">
        <f>VLOOKUP(A156,Marché!B1618:L3912,3,FALSE)</f>
        <v>100000</v>
      </c>
      <c r="L156" s="1193">
        <f>VLOOKUP(A156,Marché!B1618:L3912,4,FALSE)</f>
        <v>0</v>
      </c>
      <c r="M156" s="1197">
        <f>VLOOKUP(A156,Marché!B1618:L3912,5,FALSE)</f>
        <v>2.3699999999999999E-2</v>
      </c>
      <c r="N156" s="1193">
        <f>VLOOKUP(A156,Marché!B1618:L3912,8,FALSE)</f>
        <v>5</v>
      </c>
      <c r="O156" s="1200" t="str">
        <f>VLOOKUP(A156,Marché!$B$1:$L$2409,9,FALSE)</f>
        <v>A</v>
      </c>
      <c r="P156" s="1200" t="str">
        <f>VLOOKUP(A156,Marché!B1618:L3912,10,FALSE)</f>
        <v>A</v>
      </c>
      <c r="Q156" s="1200" t="str">
        <f>VLOOKUP(A156,Marché!B1618:L3912,11,FALSE)</f>
        <v>F</v>
      </c>
      <c r="R156" s="1287">
        <v>4.0000000000000001E-3</v>
      </c>
      <c r="S156" s="1229" cm="1">
        <f t="array" ref="S156">IF(C156&gt;'Courbe des taux'!$D$50,ROUND( TREND('Courbe des taux'!$E$49:$E$50,'Courbe des taux'!$D$49:$D$50,Lignes_détenues!C156),5),ROUND(IF(C156&gt;365,interpoler(_mat2,taux2,C156),interpoler(_mat1,taux1,C156)),5))</f>
        <v>2.3040000000000001E-2</v>
      </c>
      <c r="T156" s="1201">
        <f t="shared" ref="T156:T219" si="17">S156</f>
        <v>2.3040000000000001E-2</v>
      </c>
      <c r="U156" s="1201">
        <f>ROUND(IF(D156*366&gt;366,interpoler(_mat2,taux2,D156*366),interpoler(_mat1,taux1,D156*366)),5)</f>
        <v>2.2700000000000001E-2</v>
      </c>
      <c r="V156" s="1202" t="str">
        <f>+IF((AB156-$AF$1)&lt;=364,"M","A")</f>
        <v>M</v>
      </c>
      <c r="W156" s="1202" t="s">
        <v>287</v>
      </c>
      <c r="X156" s="1212">
        <f>+prix_atp(AF$1,AA156,Z156,AB156,M156,K156,W156,V156,P156,Q156,N156,D156,Y156)</f>
        <v>101629.54968533701</v>
      </c>
      <c r="Y156" s="1202">
        <v>1</v>
      </c>
      <c r="Z156" s="35">
        <v>44743</v>
      </c>
      <c r="AA156" s="1198">
        <f>VLOOKUP(A156,Marché!B1616:L3910,6,FALSE)</f>
        <v>44372</v>
      </c>
      <c r="AB156" s="1198">
        <f>VLOOKUP(A156,Marché!$B$1:$L$2409,7,FALSE)</f>
        <v>46204</v>
      </c>
      <c r="AC156" s="35"/>
      <c r="AD156" s="2"/>
    </row>
    <row r="157" spans="1:30" ht="15" hidden="1" x14ac:dyDescent="0.25">
      <c r="A157" s="1191">
        <v>152398</v>
      </c>
      <c r="B157" s="1192">
        <f t="shared" si="13"/>
        <v>100677.75</v>
      </c>
      <c r="C157" s="1193">
        <f>(AB157-$AF$1)</f>
        <v>822</v>
      </c>
      <c r="D157" s="1194">
        <f t="shared" si="16"/>
        <v>3.2059999999999998E-2</v>
      </c>
      <c r="E157" s="1195">
        <f>duration_titre($AF$1,AA157,AB157,M157,K157,W157,V157,P157,Q157,N157,D157)</f>
        <v>2.1755453617870901</v>
      </c>
      <c r="F157" s="1195">
        <f t="shared" si="15"/>
        <v>2.1079640348304265</v>
      </c>
      <c r="G157" s="1195">
        <f>convexite_titre($AF$1,AA157,AB157,M157,K157,W157,V157,P157,Q157,N157,D157)</f>
        <v>6.6008914619126386</v>
      </c>
      <c r="H157" s="1196">
        <f>+ROUND(coupon_courru($AF$1,AA157,AB157,M157,K157,W157,P157,Q157,N157,V157,"V"),4)</f>
        <v>1959.2877000000001</v>
      </c>
      <c r="I157" s="1199">
        <f>+IF(Y157=1,B157,D157*100)</f>
        <v>100677.75</v>
      </c>
      <c r="J157" s="1193" t="str">
        <f>VLOOKUP(A157,Marché!B1619:L3913,2,FALSE)</f>
        <v>CD CIH du 25/06/2021 à 2.61%  7ans</v>
      </c>
      <c r="K157" s="1193">
        <f>VLOOKUP(A157,Marché!B1619:L3913,3,FALSE)</f>
        <v>100000</v>
      </c>
      <c r="L157" s="1193">
        <f>VLOOKUP(A157,Marché!B1619:L3913,4,FALSE)</f>
        <v>0</v>
      </c>
      <c r="M157" s="1197">
        <f>VLOOKUP(A157,Marché!B1619:L3913,5,FALSE)</f>
        <v>2.6100000000000002E-2</v>
      </c>
      <c r="N157" s="1193">
        <f>VLOOKUP(A157,Marché!B1619:L3913,8,FALSE)</f>
        <v>7</v>
      </c>
      <c r="O157" s="1200" t="str">
        <f>VLOOKUP(A157,Marché!$B$1:$L$2409,9,FALSE)</f>
        <v>A</v>
      </c>
      <c r="P157" s="1200" t="str">
        <f>VLOOKUP(A157,Marché!B1619:L3913,10,FALSE)</f>
        <v>A</v>
      </c>
      <c r="Q157" s="1200" t="str">
        <f>VLOOKUP(A157,Marché!B1619:L3913,11,FALSE)</f>
        <v>F</v>
      </c>
      <c r="R157" s="1287">
        <v>5.0000000000000001E-3</v>
      </c>
      <c r="S157" s="1229" cm="1">
        <f t="array" ref="S157">IF(C157&gt;'Courbe des taux'!$D$50,ROUND( TREND('Courbe des taux'!$E$49:$E$50,'Courbe des taux'!$D$49:$D$50,Lignes_détenues!C157),5),ROUND(IF(C157&gt;365,interpoler(_mat2,taux2,C157),interpoler(_mat1,taux1,C157)),5))</f>
        <v>2.7060000000000001E-2</v>
      </c>
      <c r="T157" s="1201">
        <f t="shared" si="17"/>
        <v>2.7060000000000001E-2</v>
      </c>
      <c r="U157" s="1201">
        <f>ROUND(IF(D157*366&gt;366,interpoler(_mat2,taux2,D157*366),interpoler(_mat1,taux1,D157*366)),5)</f>
        <v>2.2700000000000001E-2</v>
      </c>
      <c r="V157" s="1202" t="str">
        <f>+IF((AB157-$AF$1)&lt;=366,"M","A")</f>
        <v>A</v>
      </c>
      <c r="W157" s="1202" t="s">
        <v>287</v>
      </c>
      <c r="X157" s="1212">
        <f>+prix_titre(AF$1,AA157,AB157,M157,K157,W157,V157,P157,Q157,N157,D157,Y157)</f>
        <v>100677.75237482443</v>
      </c>
      <c r="Y157" s="1202">
        <v>1</v>
      </c>
      <c r="Z157" s="35"/>
      <c r="AA157" s="1198">
        <f>VLOOKUP(A157,Marché!B1617:L3911,6,FALSE)</f>
        <v>44372</v>
      </c>
      <c r="AB157" s="1198">
        <f>VLOOKUP(A157,Marché!$B$1:$L$2409,7,FALSE)</f>
        <v>46929</v>
      </c>
      <c r="AC157" s="35"/>
      <c r="AD157" s="2"/>
    </row>
    <row r="158" spans="1:30" ht="15" hidden="1" x14ac:dyDescent="0.25">
      <c r="A158" s="1191">
        <v>5119</v>
      </c>
      <c r="B158" s="1192">
        <f t="shared" si="13"/>
        <v>47067.33</v>
      </c>
      <c r="C158" s="1193">
        <f>(AB158-$AF$1)</f>
        <v>90</v>
      </c>
      <c r="D158" s="1194">
        <f t="shared" si="16"/>
        <v>2.7480000000000001E-2</v>
      </c>
      <c r="E158" s="1195">
        <f>duration_titre($AF$1,AA158,AB158,M158,K158,W158,V158,P158,Q158,N158,D158)</f>
        <v>0.24657534246575341</v>
      </c>
      <c r="F158" s="1195">
        <f t="shared" si="15"/>
        <v>0.23998067355642291</v>
      </c>
      <c r="G158" s="1195">
        <f>convexite_titre($AF$1,AA158,AB158,M158,K158,W158,V158,P158,Q158,N158,D158)</f>
        <v>0.29115310305189407</v>
      </c>
      <c r="H158" s="1196">
        <f>+ROUND(coupon_courru($AF$1,AA158,AB158,M158,K158,W158,P158,Q158,N158,V158,"V"),4)</f>
        <v>2783.0832999999998</v>
      </c>
      <c r="I158" s="1199">
        <f>+IF(Y158=1,B158,D158*100)</f>
        <v>47067.33</v>
      </c>
      <c r="J158" s="1193" t="str">
        <f>VLOOKUP(A158,Marché!B1625:L3919,2,FALSE)</f>
        <v>OBLIGATION FT SALAF INVEST 09/07/2021 12 ANS AMORT</v>
      </c>
      <c r="K158" s="1193">
        <f>VLOOKUP(A158,Marché!B1625:L3919,3,FALSE)</f>
        <v>100000</v>
      </c>
      <c r="L158" s="1193">
        <f>VLOOKUP(A158,Marché!B1625:L3919,4,FALSE)</f>
        <v>0</v>
      </c>
      <c r="M158" s="1197">
        <v>2.7300000000000001E-2</v>
      </c>
      <c r="N158" s="1193">
        <f>VLOOKUP(A158,Marché!B1625:L3919,8,FALSE)</f>
        <v>13</v>
      </c>
      <c r="O158" s="1200" t="str">
        <f>VLOOKUP(A158,Marché!$B$1:$L$2409,9,FALSE)</f>
        <v>S</v>
      </c>
      <c r="P158" s="1200" t="str">
        <f>VLOOKUP(A158,Marché!B1625:L3919,10,FALSE)</f>
        <v>T</v>
      </c>
      <c r="Q158" s="1200" t="str">
        <f>VLOOKUP(A158,Marché!B1625:L3919,11,FALSE)</f>
        <v>F</v>
      </c>
      <c r="R158" s="1287">
        <v>4.4999999999999997E-3</v>
      </c>
      <c r="S158" s="1229" cm="1">
        <f t="array" ref="S158">ROUND(IF(C158&gt;365,interpoler(_mat2,taux2,C158),interpoler(_mat1,taux1,C158)),5)</f>
        <v>2.298E-2</v>
      </c>
      <c r="T158" s="1201">
        <f t="shared" si="17"/>
        <v>2.298E-2</v>
      </c>
      <c r="U158" s="1201">
        <f>ROUND(IF(D158*366&gt;366,interpoler(_mat2,taux2,D158*366),interpoler(_mat1,taux1,D158*366)),5)</f>
        <v>2.2700000000000001E-2</v>
      </c>
      <c r="V158" s="1202" t="str">
        <f>+IF((AB158-$AF$1)&lt;=366,"M","A")</f>
        <v>M</v>
      </c>
      <c r="W158" s="1202" t="s">
        <v>287</v>
      </c>
      <c r="X158" s="1212">
        <f>'Echeancier de parts 2'!M3</f>
        <v>47067.325730961638</v>
      </c>
      <c r="Y158" s="1202">
        <v>1</v>
      </c>
      <c r="Z158" s="35">
        <v>44386</v>
      </c>
      <c r="AA158" s="1198">
        <v>45740</v>
      </c>
      <c r="AB158" s="1198">
        <v>46197</v>
      </c>
      <c r="AC158" s="35"/>
      <c r="AD158" s="2"/>
    </row>
    <row r="159" spans="1:30" s="342" customFormat="1" ht="15" hidden="1" x14ac:dyDescent="0.25">
      <c r="A159" s="1336">
        <v>5122</v>
      </c>
      <c r="B159" s="1209">
        <f t="shared" si="13"/>
        <v>40564.5</v>
      </c>
      <c r="C159" s="1337">
        <f>(AB159-$AF$1)</f>
        <v>2559</v>
      </c>
      <c r="D159" s="1338">
        <f t="shared" si="16"/>
        <v>3.7740000000000003E-2</v>
      </c>
      <c r="E159" s="1339">
        <f>duration_titre($AF$1,AA159,AB159,M159,K159,W159,V159,P159,Q159,N159,D159)</f>
        <v>6.279063345681096</v>
      </c>
      <c r="F159" s="1339">
        <f t="shared" si="15"/>
        <v>6.0507095666362432</v>
      </c>
      <c r="G159" s="1339">
        <f>convexite_titre($AF$1,AA159,AB159,M159,K159,W159,V159,P159,Q159,N159,D159)</f>
        <v>45.419350681294112</v>
      </c>
      <c r="H159" s="1340">
        <f>+ROUND(coupon_courru($AF$1,AA159,AB159,M159,K159,W159,P159,Q159,N159,V159,"V"),4)</f>
        <v>2685.2055</v>
      </c>
      <c r="I159" s="1341">
        <f>+IF(Y159=1,B159,D159*100)</f>
        <v>40564.5</v>
      </c>
      <c r="J159" s="1337" t="str">
        <f>VLOOKUP(A159,Marché!B1631:L3925,2,FALSE)</f>
        <v>OBLIGATION FT HYPOTHECA du  06/08/2021  12 ANS AMORTIS</v>
      </c>
      <c r="K159" s="1337">
        <f>VLOOKUP(A159,Marché!B1631:L3925,3,FALSE)</f>
        <v>100000</v>
      </c>
      <c r="L159" s="1337">
        <f>VLOOKUP(A159,Marché!B1631:L3925,4,FALSE)</f>
        <v>0</v>
      </c>
      <c r="M159" s="1342">
        <f>VLOOKUP(A159,Marché!B1631:L3925,5,FALSE)</f>
        <v>2.7E-2</v>
      </c>
      <c r="N159" s="1337">
        <f>VLOOKUP(A159,Marché!B1631:L3925,8,FALSE)</f>
        <v>12</v>
      </c>
      <c r="O159" s="1344" t="s">
        <v>1525</v>
      </c>
      <c r="P159" s="1344" t="s">
        <v>1525</v>
      </c>
      <c r="Q159" s="1344" t="str">
        <f>VLOOKUP(A159,Marché!B1631:L3925,11,FALSE)</f>
        <v>F</v>
      </c>
      <c r="R159" s="1345">
        <v>6.0000000000000001E-3</v>
      </c>
      <c r="S159" s="1229" cm="1">
        <f t="array" ref="S159">ROUND(IF(C159&gt;365,interpoler(_mat2,taux2,C159),interpoler(_mat1,taux1,C159)),5)</f>
        <v>3.1739999999999997E-2</v>
      </c>
      <c r="T159" s="1346">
        <f t="shared" si="17"/>
        <v>3.1739999999999997E-2</v>
      </c>
      <c r="U159" s="1346">
        <f>ROUND(IF(D159*366&gt;366,interpoler(_mat2,taux2,D159*366),interpoler(_mat1,taux1,D159*366)),5)</f>
        <v>2.2700000000000001E-2</v>
      </c>
      <c r="V159" s="1347" t="str">
        <f>+IF((AB159-$AF$1)&lt;=366,"M","A")</f>
        <v>A</v>
      </c>
      <c r="W159" s="1347" t="s">
        <v>287</v>
      </c>
      <c r="X159" s="1348">
        <f>'Echeancier de parts 2'!AW3</f>
        <v>40564.496999999996</v>
      </c>
      <c r="Y159" s="1347">
        <v>1</v>
      </c>
      <c r="Z159" s="1349"/>
      <c r="AA159" s="1343">
        <f>VLOOKUP(A159,Marché!B1629:L3923,6,FALSE)</f>
        <v>44414</v>
      </c>
      <c r="AB159" s="1343">
        <f>VLOOKUP(A159,Marché!$B$1:$L$2409,7,FALSE)</f>
        <v>48666</v>
      </c>
      <c r="AC159" s="1349"/>
    </row>
    <row r="160" spans="1:30" ht="15" hidden="1" x14ac:dyDescent="0.25">
      <c r="A160" s="1191">
        <v>100856</v>
      </c>
      <c r="B160" s="1192">
        <f t="shared" si="13"/>
        <v>101358.84</v>
      </c>
      <c r="C160" s="1193">
        <f>(AB160-$AF$1)</f>
        <v>144</v>
      </c>
      <c r="D160" s="1194">
        <f t="shared" si="16"/>
        <v>2.7900000000000001E-2</v>
      </c>
      <c r="E160" s="1195">
        <f>duration_titre($AF$1,AA160,AB160,M160,K160,W160,V160,P160,Q160,N160,D160)</f>
        <v>0.39452054794520547</v>
      </c>
      <c r="F160" s="1195">
        <f t="shared" si="15"/>
        <v>0.38381218790271959</v>
      </c>
      <c r="G160" s="1195">
        <f>convexite_titre($AF$1,AA160,AB160,M160,K160,W160,V160,P160,Q160,N160,D160)</f>
        <v>0.52070627744152997</v>
      </c>
      <c r="H160" s="1196">
        <f>+ROUND(coupon_courru($AF$1,AA160,AB160,M160,K160,W160,P160,Q160,N160,V160,"V"),4)</f>
        <v>1507.6438000000001</v>
      </c>
      <c r="I160" s="1199">
        <f>+IF(Y160=1,B160,D160*100)</f>
        <v>101358.84</v>
      </c>
      <c r="J160" s="1193" t="str">
        <f>VLOOKUP(A160,Marché!B1633:L3927,2,FALSE)</f>
        <v>BSF WAFASALAF du 17/08/2021 5 ans 2.49%</v>
      </c>
      <c r="K160" s="1193">
        <f>VLOOKUP(A160,Marché!B1633:L3927,3,FALSE)</f>
        <v>100000</v>
      </c>
      <c r="L160" s="1193">
        <f>VLOOKUP(A160,Marché!B1633:L3927,4,FALSE)</f>
        <v>0</v>
      </c>
      <c r="M160" s="1197">
        <f>VLOOKUP(A160,Marché!B1633:L3927,5,FALSE)</f>
        <v>2.4899999999999999E-2</v>
      </c>
      <c r="N160" s="1193">
        <f>VLOOKUP(A160,Marché!B1633:L3927,8,FALSE)</f>
        <v>5</v>
      </c>
      <c r="O160" s="1200" t="str">
        <f>VLOOKUP(A160,Marché!$B$1:$L$2409,9,FALSE)</f>
        <v>A</v>
      </c>
      <c r="P160" s="1200" t="str">
        <f>VLOOKUP(A160,Marché!B1633:L3927,10,FALSE)</f>
        <v>A</v>
      </c>
      <c r="Q160" s="1200" t="str">
        <f>VLOOKUP(A160,Marché!B1633:L3927,11,FALSE)</f>
        <v>F</v>
      </c>
      <c r="R160" s="1287">
        <v>4.4999999999999997E-3</v>
      </c>
      <c r="S160" s="1229" cm="1">
        <f t="array" ref="S160">IF(C160&gt;'Courbe des taux'!$D$50,ROUND( TREND('Courbe des taux'!$E$49:$E$50,'Courbe des taux'!$D$49:$D$50,Lignes_détenues!C160),5),ROUND(IF(C160&gt;365,interpoler(_mat2,taux2,C160),interpoler(_mat1,taux1,C160)),5))</f>
        <v>2.3400000000000001E-2</v>
      </c>
      <c r="T160" s="1201">
        <f t="shared" si="17"/>
        <v>2.3400000000000001E-2</v>
      </c>
      <c r="U160" s="1201">
        <f>ROUND(IF(D160*366&gt;366,interpoler(_mat2,taux2,D160*366),interpoler(_mat1,taux1,D160*366)),5)</f>
        <v>2.2700000000000001E-2</v>
      </c>
      <c r="V160" s="1202" t="str">
        <f>+IF((AB160-$AF$1)&lt;=366,"M","A")</f>
        <v>M</v>
      </c>
      <c r="W160" s="1202" t="s">
        <v>287</v>
      </c>
      <c r="X160" s="1212">
        <f>+prix_titre(AF$1,AA160,AB160,M160,K160,W160,V160,P160,Q160,N160,D160,Y160)</f>
        <v>101358.83539696981</v>
      </c>
      <c r="Y160" s="1202">
        <v>1</v>
      </c>
      <c r="Z160" s="35"/>
      <c r="AA160" s="1198">
        <f>VLOOKUP(A160,Marché!B1631:L3925,6,FALSE)</f>
        <v>44425</v>
      </c>
      <c r="AB160" s="1198">
        <f>VLOOKUP(A160,Marché!$B$1:$L$2409,7,FALSE)</f>
        <v>46251</v>
      </c>
      <c r="AC160" s="35"/>
      <c r="AD160" s="2"/>
    </row>
    <row r="161" spans="1:30" ht="15" hidden="1" x14ac:dyDescent="0.25">
      <c r="A161" s="1191">
        <v>9518</v>
      </c>
      <c r="B161" s="1192">
        <f t="shared" si="13"/>
        <v>71573.41</v>
      </c>
      <c r="C161" s="1193">
        <f>(AB161-$AF$1)</f>
        <v>3854</v>
      </c>
      <c r="D161" s="1194">
        <f t="shared" si="16"/>
        <v>4.1549999999999997E-2</v>
      </c>
      <c r="E161" s="1195">
        <f>duration_titre($AF$1,AA161,AB161,M161,K161,W161,V161,P161,Q161,N161,D161)</f>
        <v>8.9362967350579368</v>
      </c>
      <c r="F161" s="1195">
        <f t="shared" si="15"/>
        <v>8.5798058039056571</v>
      </c>
      <c r="G161" s="1195">
        <f>convexite_titre($AF$1,AA161,AB161,M161,K161,W161,V161,P161,Q161,N161,D161)</f>
        <v>90.257264637182331</v>
      </c>
      <c r="H161" s="1196">
        <f>+ROUND(coupon_courru($AF$1,AA161,AB161,M161,K161,W161,P161,Q161,N161,V161,"V"),4)</f>
        <v>1415.3425</v>
      </c>
      <c r="I161" s="1199">
        <f>+IF(Y161=1,B161,D161*100)</f>
        <v>71573.41</v>
      </c>
      <c r="J161" s="1193" t="str">
        <f>VLOOKUP(A161,Marché!B1641:L3935,2,FALSE)</f>
        <v>OBL ANP du 13/10/2021  à  3.15%  AMORT  15 ANS</v>
      </c>
      <c r="K161" s="1193">
        <f>VLOOKUP(A161,Marché!B1641:L3935,3,FALSE)</f>
        <v>100000</v>
      </c>
      <c r="L161" s="1193">
        <f>VLOOKUP(A161,Marché!B1641:L3935,4,FALSE)</f>
        <v>0</v>
      </c>
      <c r="M161" s="1197">
        <f>VLOOKUP(A161,Marché!B1641:L3935,5,FALSE)</f>
        <v>3.15E-2</v>
      </c>
      <c r="N161" s="1193">
        <f>VLOOKUP(A161,Marché!B1641:L3935,8,FALSE)</f>
        <v>15</v>
      </c>
      <c r="O161" s="1200" t="str">
        <f>VLOOKUP(A161,Marché!$B$1:$L$2409,9,FALSE)</f>
        <v>A</v>
      </c>
      <c r="P161" s="1200" t="str">
        <f>VLOOKUP(A161,Marché!B1641:L3935,10,FALSE)</f>
        <v>A</v>
      </c>
      <c r="Q161" s="1200" t="str">
        <f>VLOOKUP(A161,Marché!B1641:L3935,11,FALSE)</f>
        <v>F</v>
      </c>
      <c r="R161" s="1287">
        <v>8.0000000000000002E-3</v>
      </c>
      <c r="S161" s="1229" cm="1">
        <f t="array" ref="S161">IF(C161&gt;'Courbe des taux'!$D$50,ROUND( TREND('Courbe des taux'!$E$49:$E$50,'Courbe des taux'!$D$49:$D$50,Lignes_détenues!C161),5),ROUND(IF(C161&gt;365,interpoler(_mat2,taux2,C161),interpoler(_mat1,taux1,C161)),5))</f>
        <v>3.3550000000000003E-2</v>
      </c>
      <c r="T161" s="1201">
        <f t="shared" si="17"/>
        <v>3.3550000000000003E-2</v>
      </c>
      <c r="U161" s="1201">
        <f>ROUND(IF(D161*366&gt;366,interpoler(_mat2,taux2,D161*366),interpoler(_mat1,taux1,D161*366)),5)</f>
        <v>2.2700000000000001E-2</v>
      </c>
      <c r="V161" s="1202" t="str">
        <f>+IF((AB161-$AF$1)&lt;=366,"M","A")</f>
        <v>A</v>
      </c>
      <c r="W161" s="1202" t="s">
        <v>287</v>
      </c>
      <c r="X161" s="1212">
        <f>Ammortissable!C485</f>
        <v>71573.406900000002</v>
      </c>
      <c r="Y161" s="1202">
        <v>1</v>
      </c>
      <c r="Z161" s="35"/>
      <c r="AA161" s="1198">
        <f>VLOOKUP(A161,Marché!B1639:L3933,6,FALSE)</f>
        <v>44482</v>
      </c>
      <c r="AB161" s="1198">
        <f>VLOOKUP(A161,Marché!$B$1:$L$2409,7,FALSE)</f>
        <v>49961</v>
      </c>
      <c r="AC161" s="35"/>
      <c r="AD161" s="2"/>
    </row>
    <row r="162" spans="1:30" ht="15" hidden="1" x14ac:dyDescent="0.25">
      <c r="A162" s="1191">
        <v>152444</v>
      </c>
      <c r="B162" s="1192">
        <f t="shared" si="13"/>
        <v>99283.34</v>
      </c>
      <c r="C162" s="1193">
        <f>(AB162-$AF$1)</f>
        <v>972</v>
      </c>
      <c r="D162" s="1194">
        <f t="shared" si="16"/>
        <v>3.2680000000000001E-2</v>
      </c>
      <c r="E162" s="1195">
        <f>duration_titre($AF$1,AA162,AB162,M162,K162,W162,V162,P162,Q162,N162,D162)</f>
        <v>2.5858881178456312</v>
      </c>
      <c r="F162" s="1195">
        <f t="shared" si="15"/>
        <v>2.5040555814440397</v>
      </c>
      <c r="G162" s="1195">
        <f>convexite_titre($AF$1,AA162,AB162,M162,K162,W162,V162,P162,Q162,N162,D162)</f>
        <v>8.8107553378958254</v>
      </c>
      <c r="H162" s="1196">
        <f>+ROUND(coupon_courru($AF$1,AA162,AB162,M162,K162,W162,P162,Q162,N162,V162,"V"),4)</f>
        <v>893.47950000000003</v>
      </c>
      <c r="I162" s="1199">
        <f>+IF(Y162=1,B162,D162*100)</f>
        <v>99283.34</v>
      </c>
      <c r="J162" s="1193" t="str">
        <f>VLOOKUP(A162,Marché!B1646:L3940,2,FALSE)</f>
        <v xml:space="preserve">CD CIH sur 7 ans valeur 22/11/2021 à 2,63%7 ans </v>
      </c>
      <c r="K162" s="1193">
        <f>VLOOKUP(A162,Marché!B1646:L3940,3,FALSE)</f>
        <v>100000</v>
      </c>
      <c r="L162" s="1193">
        <f>VLOOKUP(A162,Marché!B1646:L3940,4,FALSE)</f>
        <v>0</v>
      </c>
      <c r="M162" s="1197">
        <f>VLOOKUP(A162,Marché!B1646:L3940,5,FALSE)</f>
        <v>2.63E-2</v>
      </c>
      <c r="N162" s="1193">
        <f>VLOOKUP(A162,Marché!B1646:L3940,8,FALSE)</f>
        <v>7</v>
      </c>
      <c r="O162" s="1200" t="str">
        <f>VLOOKUP(A162,Marché!$B$1:$L$2409,9,FALSE)</f>
        <v>A</v>
      </c>
      <c r="P162" s="1200" t="str">
        <f>VLOOKUP(A162,Marché!B1646:L3940,10,FALSE)</f>
        <v>A</v>
      </c>
      <c r="Q162" s="1200" t="str">
        <f>VLOOKUP(A162,Marché!B1646:L3940,11,FALSE)</f>
        <v>F</v>
      </c>
      <c r="R162" s="1287">
        <v>5.0000000000000001E-3</v>
      </c>
      <c r="S162" s="1229" cm="1">
        <f t="array" ref="S162">IF(C162&gt;'Courbe des taux'!$D$50,ROUND( TREND('Courbe des taux'!$E$49:$E$50,'Courbe des taux'!$D$49:$D$50,Lignes_détenues!C162),5),ROUND(IF(C162&gt;365,interpoler(_mat2,taux2,C162),interpoler(_mat1,taux1,C162)),5))</f>
        <v>2.768E-2</v>
      </c>
      <c r="T162" s="1201">
        <f t="shared" si="17"/>
        <v>2.768E-2</v>
      </c>
      <c r="U162" s="1201">
        <f>ROUND(IF(D162*366&gt;366,interpoler(_mat2,taux2,D162*366),interpoler(_mat1,taux1,D162*366)),5)</f>
        <v>2.2700000000000001E-2</v>
      </c>
      <c r="V162" s="1202" t="str">
        <f>+IF((AB162-$AF$1)&lt;=366,"M","A")</f>
        <v>A</v>
      </c>
      <c r="W162" s="1202" t="s">
        <v>287</v>
      </c>
      <c r="X162" s="1212">
        <f>+prix_atp(AF$1,AA162,Z162,AB162,M162,K162,W162,V162,P162,Q162,N162,D162,Y162)</f>
        <v>99283.341620549414</v>
      </c>
      <c r="Y162" s="1202">
        <v>1</v>
      </c>
      <c r="Z162" s="35"/>
      <c r="AA162" s="1198">
        <f>VLOOKUP(A162,Marché!B1644:L3938,6,FALSE)</f>
        <v>44522</v>
      </c>
      <c r="AB162" s="1198">
        <f>VLOOKUP(A162,Marché!$B$1:$L$2409,7,FALSE)</f>
        <v>47079</v>
      </c>
      <c r="AC162" s="35"/>
      <c r="AD162" s="2"/>
    </row>
    <row r="163" spans="1:30" ht="15" hidden="1" x14ac:dyDescent="0.25">
      <c r="A163" s="1191">
        <v>9523</v>
      </c>
      <c r="B163" s="1192">
        <f t="shared" si="13"/>
        <v>99141.67</v>
      </c>
      <c r="C163" s="1193">
        <f>(AB163-$AF$1)</f>
        <v>1001</v>
      </c>
      <c r="D163" s="1194">
        <f t="shared" si="16"/>
        <v>3.8800000000000001E-2</v>
      </c>
      <c r="E163" s="1195">
        <f>duration_titre($AF$1,AA163,AB163,M163,K163,W163,V163,P163,Q163,N163,D163)</f>
        <v>2.6487352894336968</v>
      </c>
      <c r="F163" s="1195">
        <f t="shared" si="15"/>
        <v>2.5498029355349412</v>
      </c>
      <c r="G163" s="1195">
        <f>convexite_titre($AF$1,AA163,AB163,M163,K163,W163,V163,P163,Q163,N163,D163)</f>
        <v>9.0936270631949903</v>
      </c>
      <c r="H163" s="1196">
        <f>+ROUND(coupon_courru($AF$1,AA163,AB163,M163,K163,W163,P163,Q163,N163,V163,"V"),4)</f>
        <v>838.08219999999994</v>
      </c>
      <c r="I163" s="1199">
        <f>+IF(Y163=1,B163,D163*100)</f>
        <v>99141.67</v>
      </c>
      <c r="J163" s="1193" t="str">
        <f>VLOOKUP(A163,Marché!B1648:L3942,2,FALSE)</f>
        <v>OBL MANAGEM du 21/12/2021 à 3.22% 7 ANS</v>
      </c>
      <c r="K163" s="1193">
        <f>VLOOKUP(A163,Marché!B1648:L3942,3,FALSE)</f>
        <v>100000</v>
      </c>
      <c r="L163" s="1193">
        <f>VLOOKUP(A163,Marché!B1648:L3942,4,FALSE)</f>
        <v>0</v>
      </c>
      <c r="M163" s="1197">
        <f>VLOOKUP(A163,Marché!B1648:L3942,5,FALSE)</f>
        <v>3.2199999999999999E-2</v>
      </c>
      <c r="N163" s="1193">
        <f>VLOOKUP(A163,Marché!B1648:L3942,8,FALSE)</f>
        <v>7</v>
      </c>
      <c r="O163" s="1200" t="str">
        <f>VLOOKUP(A163,Marché!$B$1:$L$2409,9,FALSE)</f>
        <v>A</v>
      </c>
      <c r="P163" s="1200" t="str">
        <f>VLOOKUP(A163,Marché!B1648:L3942,10,FALSE)</f>
        <v>A</v>
      </c>
      <c r="Q163" s="1200" t="str">
        <f>VLOOKUP(A163,Marché!B1648:L3942,11,FALSE)</f>
        <v>F</v>
      </c>
      <c r="R163" s="1287">
        <v>1.0999999999999999E-2</v>
      </c>
      <c r="S163" s="1229" cm="1">
        <f t="array" ref="S163">IF(C163&gt;'Courbe des taux'!$D$50,ROUND( TREND('Courbe des taux'!$E$49:$E$50,'Courbe des taux'!$D$49:$D$50,Lignes_détenues!C163),5),ROUND(IF(C163&gt;365,interpoler(_mat2,taux2,C163),interpoler(_mat1,taux1,C163)),5))</f>
        <v>2.7799999999999998E-2</v>
      </c>
      <c r="T163" s="1201">
        <f t="shared" si="17"/>
        <v>2.7799999999999998E-2</v>
      </c>
      <c r="U163" s="1201">
        <f>ROUND(IF(D163*366&gt;366,interpoler(_mat2,taux2,D163*366),interpoler(_mat1,taux1,D163*366)),5)</f>
        <v>2.2700000000000001E-2</v>
      </c>
      <c r="V163" s="1202" t="str">
        <f>+IF((AB163-$AF$1)&lt;=366,"M","A")</f>
        <v>A</v>
      </c>
      <c r="W163" s="1202" t="s">
        <v>287</v>
      </c>
      <c r="X163" s="1212">
        <f>+prix_titre(AF$1,AA163,AB163,M163,K163,W163,V163,P163,Q163,N163,D163,Y163)</f>
        <v>99141.670703351949</v>
      </c>
      <c r="Y163" s="1202">
        <v>1</v>
      </c>
      <c r="Z163" s="35"/>
      <c r="AA163" s="1198">
        <f>VLOOKUP(A163,Marché!B1648:L3942,6,FALSE)</f>
        <v>44551</v>
      </c>
      <c r="AB163" s="1198">
        <f>VLOOKUP(A163,Marché!$B$1:$L$2409,7,FALSE)</f>
        <v>47108</v>
      </c>
      <c r="AC163" s="35"/>
      <c r="AD163" s="2"/>
    </row>
    <row r="164" spans="1:30" s="1441" customFormat="1" ht="15" hidden="1" x14ac:dyDescent="0.25">
      <c r="A164" s="1426">
        <v>9524</v>
      </c>
      <c r="B164" s="1427">
        <f t="shared" si="13"/>
        <v>100788.03</v>
      </c>
      <c r="C164" s="1428">
        <f>(AB164-$AF$1)</f>
        <v>272</v>
      </c>
      <c r="D164" s="1429">
        <f t="shared" si="16"/>
        <v>5.1240000000000001E-2</v>
      </c>
      <c r="E164" s="1430">
        <f>duration_titre($AF$1,AA164,AB164,M164,K164,W164,V164,P164,Q164,N164,D164)</f>
        <v>0.74520547945205484</v>
      </c>
      <c r="F164" s="1430">
        <f t="shared" si="15"/>
        <v>0.7088823479434333</v>
      </c>
      <c r="G164" s="1430">
        <f>convexite_titre($AF$1,AA164,AB164,M164,K164,W164,V164,P164,Q164,N164,D164)</f>
        <v>1.1768438776280563</v>
      </c>
      <c r="H164" s="1431">
        <f>+ROUND(coupon_courru($AF$1,AA164,AB164,M164,K164,W164,P164,Q164,N164,V164,"V"),4)</f>
        <v>1194.9863</v>
      </c>
      <c r="I164" s="1432">
        <f>+IF(Y164=1,B164,D164*100)</f>
        <v>100788.03</v>
      </c>
      <c r="J164" s="1428" t="str">
        <f>VLOOKUP(A164,Marché!B1649:L3943,2,FALSE)</f>
        <v>OBL CFG BANK  PERPT SUB DU 23/12/2021  REVISB 5ans</v>
      </c>
      <c r="K164" s="1428">
        <f>VLOOKUP(A164,Marché!B1649:L3943,3,FALSE)</f>
        <v>100000</v>
      </c>
      <c r="L164" s="1428">
        <f>VLOOKUP(A164,Marché!B1649:L3943,4,FALSE)</f>
        <v>0</v>
      </c>
      <c r="M164" s="1433">
        <f>VLOOKUP(A164,Marché!B1649:L3943,5,FALSE)</f>
        <v>4.6899999999999997E-2</v>
      </c>
      <c r="N164" s="1428">
        <f>VLOOKUP(A164,Marché!B1649:L3943,8,FALSE)</f>
        <v>5</v>
      </c>
      <c r="O164" s="1435" t="str">
        <f>VLOOKUP(A164,Marché!$B$1:$L$2409,9,FALSE)</f>
        <v>A</v>
      </c>
      <c r="P164" s="1435" t="str">
        <f>VLOOKUP(A164,Marché!B1649:L3943,10,FALSE)</f>
        <v>A</v>
      </c>
      <c r="Q164" s="1435" t="str">
        <f>VLOOKUP(A164,Marché!B1649:L3943,11,FALSE)</f>
        <v>F</v>
      </c>
      <c r="R164" s="1436">
        <v>2.7E-2</v>
      </c>
      <c r="S164" s="1437" cm="1">
        <f t="array" ref="S164">IF(C164&gt;'Courbe des taux'!$D$50,ROUND( TREND('Courbe des taux'!$E$49:$E$50,'Courbe des taux'!$D$49:$D$50,Lignes_détenues!C164),5),ROUND(IF(C164&gt;365,interpoler(_mat2,taux2,C164),interpoler(_mat1,taux1,C164)),5))</f>
        <v>2.4240000000000001E-2</v>
      </c>
      <c r="T164" s="1437">
        <f t="shared" si="17"/>
        <v>2.4240000000000001E-2</v>
      </c>
      <c r="U164" s="1437">
        <f>ROUND(IF(D164*366&gt;366,interpoler(_mat2,taux2,D164*366),interpoler(_mat1,taux1,D164*366)),5)</f>
        <v>2.2700000000000001E-2</v>
      </c>
      <c r="V164" s="1438" t="str">
        <f>+IF((AB164-$AF$1)&lt;=365,"M","A")</f>
        <v>M</v>
      </c>
      <c r="W164" s="1438" t="s">
        <v>287</v>
      </c>
      <c r="X164" s="1439">
        <f>+prix_titre(AF$1,AA164,AB164,M164,K164,W164,V164,P164,Q164,N164,D164,Y164)</f>
        <v>100788.02520037585</v>
      </c>
      <c r="Y164" s="1438">
        <v>1</v>
      </c>
      <c r="Z164" s="1440"/>
      <c r="AA164" s="1434">
        <f>VLOOKUP(A164,Marché!B1649:L3943,6,FALSE)</f>
        <v>44553</v>
      </c>
      <c r="AB164" s="1434">
        <f>VLOOKUP(A164,Marché!$B$1:$L$2409,7,FALSE)</f>
        <v>46379</v>
      </c>
      <c r="AC164" s="35"/>
    </row>
    <row r="165" spans="1:30" ht="15" hidden="1" x14ac:dyDescent="0.25">
      <c r="A165" s="1191">
        <v>152319</v>
      </c>
      <c r="B165" s="1192">
        <f t="shared" ref="B165:B196" si="18">+ROUND(X165,2)</f>
        <v>0</v>
      </c>
      <c r="C165" s="1193">
        <f>(AB165-$AF$1)</f>
        <v>-67</v>
      </c>
      <c r="D165" s="1194">
        <f t="shared" si="16"/>
        <v>2.6700000000000002E-2</v>
      </c>
      <c r="E165" s="1195">
        <f>duration_titre($AF$1,AA165,AB165,M165,K165,W165,V165,P165,Q165,N165,D165)</f>
        <v>0</v>
      </c>
      <c r="F165" s="1195">
        <f t="shared" si="15"/>
        <v>0</v>
      </c>
      <c r="G165" s="1195">
        <f>convexite_titre($AF$1,AA165,AB165,M165,K165,W165,V165,P165,Q165,N165,D165)</f>
        <v>0</v>
      </c>
      <c r="H165" s="1196">
        <f>+ROUND(coupon_courru($AF$1,AA165,AB165,M165,K165,W165,P165,Q165,N165,V165,"V"),4)</f>
        <v>488.274</v>
      </c>
      <c r="I165" s="1199">
        <f>+IF(Y165=1,B165,D165*100)</f>
        <v>0</v>
      </c>
      <c r="J165" s="1193" t="str">
        <f>VLOOKUP(A165,Marché!B1650:L3944,2,FALSE)</f>
        <v>CD CAM du 18/01/2021 à 2.66%  5 an</v>
      </c>
      <c r="K165" s="1193">
        <f>VLOOKUP(A165,Marché!B1650:L3944,3,FALSE)</f>
        <v>100000</v>
      </c>
      <c r="L165" s="1193">
        <f>VLOOKUP(A165,Marché!B1650:L3944,4,FALSE)</f>
        <v>0</v>
      </c>
      <c r="M165" s="1197">
        <f>VLOOKUP(A165,Marché!B1650:L3944,5,FALSE)</f>
        <v>2.6599999999999999E-2</v>
      </c>
      <c r="N165" s="1193">
        <f>VLOOKUP(A165,Marché!B1650:L3944,8,FALSE)</f>
        <v>5</v>
      </c>
      <c r="O165" s="1200" t="str">
        <f>VLOOKUP(A165,Marché!$B$1:$L$2409,9,FALSE)</f>
        <v>A</v>
      </c>
      <c r="P165" s="1200" t="str">
        <f>VLOOKUP(A165,Marché!B1650:L3944,10,FALSE)</f>
        <v>A</v>
      </c>
      <c r="Q165" s="1200" t="str">
        <f>VLOOKUP(A165,Marché!B1650:L3944,11,FALSE)</f>
        <v>F</v>
      </c>
      <c r="R165" s="1287">
        <v>4.0000000000000001E-3</v>
      </c>
      <c r="S165" s="1229" cm="1">
        <f t="array" ref="S165">IF(C165&gt;'Courbe des taux'!$D$50,ROUND( TREND('Courbe des taux'!$E$49:$E$50,'Courbe des taux'!$D$49:$D$50,Lignes_détenues!C165),5),ROUND(IF(C165&gt;365,interpoler(_mat2,taux2,C165),interpoler(_mat1,taux1,C165)),5))</f>
        <v>2.2700000000000001E-2</v>
      </c>
      <c r="T165" s="1201">
        <f t="shared" si="17"/>
        <v>2.2700000000000001E-2</v>
      </c>
      <c r="U165" s="1201">
        <f>ROUND(IF(D165*366&gt;366,interpoler(_mat2,taux2,D165*366),interpoler(_mat1,taux1,D165*366)),5)</f>
        <v>2.2700000000000001E-2</v>
      </c>
      <c r="V165" s="1202" t="str">
        <f>+IF((AB165-$AF$1)&lt;=366,"M","A")</f>
        <v>M</v>
      </c>
      <c r="W165" s="1202" t="s">
        <v>287</v>
      </c>
      <c r="X165" s="1212">
        <f>+prix_titre(AF$1,AA165,AB165,M165,K165,W165,V165,P165,Q165,N165,D165,Y165)</f>
        <v>0</v>
      </c>
      <c r="Y165" s="1202">
        <v>1</v>
      </c>
      <c r="Z165" s="35"/>
      <c r="AA165" s="1198">
        <f>VLOOKUP(A165,Marché!B1650:L3944,6,FALSE)</f>
        <v>44214</v>
      </c>
      <c r="AB165" s="1198">
        <f>VLOOKUP(A165,Marché!$B$1:$L$2409,7,FALSE)</f>
        <v>46040</v>
      </c>
      <c r="AC165" s="35"/>
      <c r="AD165" s="2"/>
    </row>
    <row r="166" spans="1:30" ht="15" hidden="1" x14ac:dyDescent="0.25">
      <c r="A166" s="1191">
        <v>152201</v>
      </c>
      <c r="B166" s="1192">
        <f t="shared" si="18"/>
        <v>0</v>
      </c>
      <c r="C166" s="1193">
        <f>(AB166-$AF$1)</f>
        <v>-366</v>
      </c>
      <c r="D166" s="1194">
        <f t="shared" si="16"/>
        <v>2.6700000000000002E-2</v>
      </c>
      <c r="E166" s="1195">
        <f>duration_titre($AF$1,AA166,AB166,M166,K166,W166,V166,P166,Q166,N166,D166)</f>
        <v>0</v>
      </c>
      <c r="F166" s="1195">
        <f t="shared" si="15"/>
        <v>0</v>
      </c>
      <c r="G166" s="1195">
        <f>convexite_titre($AF$1,AA166,AB166,M166,K166,W166,V166,P166,Q166,N166,D166)</f>
        <v>0</v>
      </c>
      <c r="H166" s="1196">
        <f>+ROUND(coupon_courru($AF$1,AA166,AB166,M166,K166,W166,P166,Q166,N166,V166,"V"),4)</f>
        <v>2988.1644000000001</v>
      </c>
      <c r="I166" s="1199">
        <f>+IF(Y166=1,B166,D166*100)</f>
        <v>0</v>
      </c>
      <c r="J166" s="1193" t="str">
        <f>VLOOKUP(A166,Marché!B1651:L3945,2,FALSE)</f>
        <v>CD ATW du 25/03/2020 à  2.98%   5ans</v>
      </c>
      <c r="K166" s="1193">
        <f>VLOOKUP(A166,Marché!B1651:L3945,3,FALSE)</f>
        <v>100000</v>
      </c>
      <c r="L166" s="1193">
        <f>VLOOKUP(A166,Marché!B1651:L3945,4,FALSE)</f>
        <v>0</v>
      </c>
      <c r="M166" s="1197">
        <f>VLOOKUP(A166,Marché!B1651:L3945,5,FALSE)</f>
        <v>2.98E-2</v>
      </c>
      <c r="N166" s="1193">
        <f>VLOOKUP(A166,Marché!B1651:L3945,8,FALSE)</f>
        <v>5</v>
      </c>
      <c r="O166" s="1200" t="str">
        <f>VLOOKUP(A166,Marché!$B$1:$L$2409,9,FALSE)</f>
        <v>A</v>
      </c>
      <c r="P166" s="1200" t="str">
        <f>VLOOKUP(A166,Marché!B1651:L3945,10,FALSE)</f>
        <v>A</v>
      </c>
      <c r="Q166" s="1200" t="str">
        <f>VLOOKUP(A166,Marché!B1651:L3945,11,FALSE)</f>
        <v>F</v>
      </c>
      <c r="R166" s="1287">
        <v>4.0000000000000001E-3</v>
      </c>
      <c r="S166" s="1229" cm="1">
        <f t="array" ref="S166">IF(C166&gt;'Courbe des taux'!$D$50,ROUND( TREND('Courbe des taux'!$E$49:$E$50,'Courbe des taux'!$D$49:$D$50,Lignes_détenues!C166),5),ROUND(IF(C166&gt;365,interpoler(_mat2,taux2,C166),interpoler(_mat1,taux1,C166)),5))</f>
        <v>2.2700000000000001E-2</v>
      </c>
      <c r="T166" s="1201">
        <f t="shared" si="17"/>
        <v>2.2700000000000001E-2</v>
      </c>
      <c r="U166" s="1201">
        <f>ROUND(IF(D166*366&gt;366,interpoler(_mat2,taux2,D166*366),interpoler(_mat1,taux1,D166*366)),5)</f>
        <v>2.2700000000000001E-2</v>
      </c>
      <c r="V166" s="1202" t="str">
        <f>+IF((AB166-$AF$1)&lt;=366,"M","A")</f>
        <v>M</v>
      </c>
      <c r="W166" s="1202" t="s">
        <v>287</v>
      </c>
      <c r="X166" s="1212">
        <f>+prix_titre(AF$1,AA166,AB166,M166,K166,W166,V166,P166,Q166,N166,D166,Y166)</f>
        <v>0</v>
      </c>
      <c r="Y166" s="1202">
        <v>1</v>
      </c>
      <c r="Z166" s="35"/>
      <c r="AA166" s="1198">
        <f>VLOOKUP(A166,Marché!B1651:L3945,6,FALSE)</f>
        <v>43915</v>
      </c>
      <c r="AB166" s="1198">
        <f>VLOOKUP(A166,Marché!$B$1:$L$2409,7,FALSE)</f>
        <v>45741</v>
      </c>
      <c r="AC166" s="35"/>
      <c r="AD166" s="2"/>
    </row>
    <row r="167" spans="1:30" ht="15" hidden="1" x14ac:dyDescent="0.25">
      <c r="A167" s="1191">
        <v>9529</v>
      </c>
      <c r="B167" s="1192">
        <f t="shared" si="18"/>
        <v>97284.41</v>
      </c>
      <c r="C167" s="1193">
        <f>(AB167-$AF$1)</f>
        <v>2103</v>
      </c>
      <c r="D167" s="1194">
        <f t="shared" si="16"/>
        <v>5.364E-2</v>
      </c>
      <c r="E167" s="1195">
        <f>duration_titre($AF$1,AA167,AB167,M167,K167,W167,V167,P167,Q167,N167,D167)</f>
        <v>5.1269781554944016</v>
      </c>
      <c r="F167" s="1195">
        <f t="shared" si="15"/>
        <v>4.8659676507103011</v>
      </c>
      <c r="G167" s="1195">
        <f>convexite_titre($AF$1,AA167,AB167,M167,K167,W167,V167,P167,Q167,N167,D167)</f>
        <v>30.07599628897491</v>
      </c>
      <c r="H167" s="1196">
        <f>+ROUND(coupon_courru($AF$1,AA167,AB167,M167,K167,W167,P167,Q167,N167,V167,"V"),4)</f>
        <v>1104.2192</v>
      </c>
      <c r="I167" s="1199">
        <f>+IF(Y167=1,B167,D167*100)</f>
        <v>97284.41</v>
      </c>
      <c r="J167" s="1193" t="str">
        <f>VLOOKUP(A167,Marché!B1653:L3947,2,FALSE)</f>
        <v>OBL ATW SUB PERP 28/12/2021 à 4.58% REVIS  tt 10ans</v>
      </c>
      <c r="K167" s="1193">
        <f>VLOOKUP(A167,Marché!B1653:L3947,3,FALSE)</f>
        <v>100000</v>
      </c>
      <c r="L167" s="1193">
        <f>VLOOKUP(A167,Marché!B1653:L3947,4,FALSE)</f>
        <v>0</v>
      </c>
      <c r="M167" s="1197">
        <f>VLOOKUP(A167,Marché!B1653:L3947,5,FALSE)</f>
        <v>4.58E-2</v>
      </c>
      <c r="N167" s="1193">
        <f>VLOOKUP(A167,Marché!B1653:L3947,8,FALSE)</f>
        <v>10</v>
      </c>
      <c r="O167" s="1200" t="str">
        <f>VLOOKUP(A167,Marché!$B$1:$L$2409,9,FALSE)</f>
        <v>A</v>
      </c>
      <c r="P167" s="1200" t="str">
        <f>VLOOKUP(A167,Marché!B1653:L3947,10,FALSE)</f>
        <v>A</v>
      </c>
      <c r="Q167" s="1200" t="str">
        <f>VLOOKUP(A167,Marché!B1653:L3947,11,FALSE)</f>
        <v>F</v>
      </c>
      <c r="R167" s="1287">
        <v>2.2499999999999999E-2</v>
      </c>
      <c r="S167" s="1229" cm="1">
        <f t="array" ref="S167">IF(C167&gt;'Courbe des taux'!$D$50,ROUND( TREND('Courbe des taux'!$E$49:$E$50,'Courbe des taux'!$D$49:$D$50,Lignes_détenues!C167),5),ROUND(IF(C167&gt;365,interpoler(_mat2,taux2,C167),interpoler(_mat1,taux1,C167)),5))</f>
        <v>3.1140000000000001E-2</v>
      </c>
      <c r="T167" s="1201">
        <f t="shared" si="17"/>
        <v>3.1140000000000001E-2</v>
      </c>
      <c r="U167" s="1201">
        <f>ROUND(IF(D167*366&gt;366,interpoler(_mat2,taux2,D167*366),interpoler(_mat1,taux1,D167*366)),5)</f>
        <v>2.2700000000000001E-2</v>
      </c>
      <c r="V167" s="1202" t="str">
        <f>+IF((AB167-$AF$1)&lt;=366,"M","A")</f>
        <v>A</v>
      </c>
      <c r="W167" s="1202" t="s">
        <v>287</v>
      </c>
      <c r="X167" s="1212">
        <f>+prix_titre(AF$1,AA167,AB167,M167,K167,W167,V167,P167,Q167,N167,D167,Y167)</f>
        <v>97284.413418046199</v>
      </c>
      <c r="Y167" s="1202">
        <v>1</v>
      </c>
      <c r="Z167" s="35"/>
      <c r="AA167" s="1198">
        <f>VLOOKUP(A167,Marché!B1653:L3947,6,FALSE)</f>
        <v>44558</v>
      </c>
      <c r="AB167" s="1198">
        <f>VLOOKUP(A167,Marché!$B$1:$L$2409,7,FALSE)</f>
        <v>48210</v>
      </c>
      <c r="AC167" s="35"/>
      <c r="AD167" s="2"/>
    </row>
    <row r="168" spans="1:30" ht="15" hidden="1" x14ac:dyDescent="0.25">
      <c r="A168" s="1191">
        <v>201671</v>
      </c>
      <c r="B168" s="1192">
        <f t="shared" si="18"/>
        <v>101115.84</v>
      </c>
      <c r="C168" s="1193">
        <f>(AB168-$AF$1)</f>
        <v>417</v>
      </c>
      <c r="D168" s="1194">
        <f t="shared" si="16"/>
        <v>2.5360000000000001E-2</v>
      </c>
      <c r="E168" s="1195">
        <f>duration_titre($AF$1,AA168,AB168,M168,K168,W168,V168,P168,Q168,N168,D168)</f>
        <v>1.1227569037405807</v>
      </c>
      <c r="F168" s="1195">
        <f t="shared" si="15"/>
        <v>1.0949880078612202</v>
      </c>
      <c r="G168" s="1195">
        <f>convexite_titre($AF$1,AA168,AB168,M168,K168,W168,V168,P168,Q168,N168,D168)</f>
        <v>2.2852811858449282</v>
      </c>
      <c r="H168" s="1196">
        <f>+ROUND(coupon_courru($AF$1,AA168,AB168,M168,K168,W168,P168,Q168,N168,V168,"V"),4)</f>
        <v>1715.0685000000001</v>
      </c>
      <c r="I168" s="1199">
        <f>+IF(Y168=1,B168,D168*100)</f>
        <v>101115.84</v>
      </c>
      <c r="J168" s="1193" t="str">
        <f>VLOOKUP(A168,Marché!B1655:L3949,2,FALSE)</f>
        <v>BDT du 15/11/2021 à 2% 5 ANS</v>
      </c>
      <c r="K168" s="1193">
        <f>VLOOKUP(A168,Marché!B1655:L3949,3,FALSE)</f>
        <v>100000</v>
      </c>
      <c r="L168" s="1193">
        <f>VLOOKUP(A168,Marché!B1655:L3949,4,FALSE)</f>
        <v>0</v>
      </c>
      <c r="M168" s="1197">
        <f>VLOOKUP(A168,Marché!B1655:L3949,5,FALSE)</f>
        <v>0.02</v>
      </c>
      <c r="N168" s="1193">
        <f>VLOOKUP(A168,Marché!B1655:L3949,8,FALSE)</f>
        <v>5</v>
      </c>
      <c r="O168" s="1200" t="str">
        <f>VLOOKUP(A168,Marché!$B$1:$L$2409,9,FALSE)</f>
        <v>A</v>
      </c>
      <c r="P168" s="1200" t="str">
        <f>VLOOKUP(A168,Marché!B1655:L3949,10,FALSE)</f>
        <v>A</v>
      </c>
      <c r="Q168" s="1200" t="str">
        <f>VLOOKUP(A168,Marché!B1655:L3949,11,FALSE)</f>
        <v>F</v>
      </c>
      <c r="R168" s="1287">
        <v>0</v>
      </c>
      <c r="S168" s="1229" cm="1">
        <f t="array" ref="S168">IF(C168&gt;'Courbe des taux'!$D$50,ROUND( TREND('Courbe des taux'!$E$49:$E$50,'Courbe des taux'!$D$49:$D$50,Lignes_détenues!C168),5),ROUND(IF(C168&gt;365,interpoler(_mat2,taux2,C168),interpoler(_mat1,taux1,C168)),5))</f>
        <v>2.5360000000000001E-2</v>
      </c>
      <c r="T168" s="1201">
        <f t="shared" si="17"/>
        <v>2.5360000000000001E-2</v>
      </c>
      <c r="U168" s="1201">
        <f>ROUND(IF(D168*366&gt;366,interpoler(_mat2,taux2,D168*366),interpoler(_mat1,taux1,D168*366)),5)</f>
        <v>2.2700000000000001E-2</v>
      </c>
      <c r="V168" s="1202" t="str">
        <f>+IF((AB168-$AF$1)&lt;=366,"M","A")</f>
        <v>A</v>
      </c>
      <c r="W168" s="1202" t="s">
        <v>287</v>
      </c>
      <c r="X168" s="1212">
        <f>+prix_atp(AF$1,AA168,Z168,AB168,M168,K168,W168,V168,P168,Q168,N168,D168,Y168)</f>
        <v>101115.8432549537</v>
      </c>
      <c r="Y168" s="1202">
        <v>1</v>
      </c>
      <c r="Z168" s="35">
        <v>44698</v>
      </c>
      <c r="AA168" s="1198">
        <f>VLOOKUP(A168,Marché!B1655:L3949,6,FALSE)</f>
        <v>44515</v>
      </c>
      <c r="AB168" s="1198">
        <f>VLOOKUP(A168,Marché!$B$1:$L$2409,7,FALSE)</f>
        <v>46524</v>
      </c>
      <c r="AC168" s="35"/>
      <c r="AD168" s="2"/>
    </row>
    <row r="169" spans="1:30" ht="15" hidden="1" x14ac:dyDescent="0.25">
      <c r="A169" s="1191">
        <v>9530</v>
      </c>
      <c r="B169" s="1192">
        <f t="shared" si="18"/>
        <v>98995.36</v>
      </c>
      <c r="C169" s="1193">
        <f>(AB169-$AF$1)</f>
        <v>1010</v>
      </c>
      <c r="D169" s="1194">
        <f t="shared" si="16"/>
        <v>3.2840000000000001E-2</v>
      </c>
      <c r="E169" s="1195">
        <f>duration_titre($AF$1,AA169,AB169,M169,K169,W169,V169,P169,Q169,N169,D169)</f>
        <v>2.6891656509380431</v>
      </c>
      <c r="F169" s="1195">
        <f t="shared" si="15"/>
        <v>2.6036614102262141</v>
      </c>
      <c r="G169" s="1195">
        <f>convexite_titre($AF$1,AA169,AB169,M169,K169,W169,V169,P169,Q169,N169,D169)</f>
        <v>9.4167299878479866</v>
      </c>
      <c r="H169" s="1196">
        <f>+ROUND(coupon_courru($AF$1,AA169,AB169,M169,K169,W169,P169,Q169,N169,V169,"V"),4)</f>
        <v>626.73969999999997</v>
      </c>
      <c r="I169" s="1199">
        <f>+IF(Y169=1,B169,D169*100)</f>
        <v>98995.36</v>
      </c>
      <c r="J169" s="1193" t="str">
        <f>VLOOKUP(A169,Marché!B1656:L3950,2,FALSE)</f>
        <v>OBL ATW SUB du 30/12/2021 à 2.66% 7 ANS Fixe</v>
      </c>
      <c r="K169" s="1193">
        <f>VLOOKUP(A169,Marché!B1656:L3950,3,FALSE)</f>
        <v>100000</v>
      </c>
      <c r="L169" s="1193">
        <f>VLOOKUP(A169,Marché!B1656:L3950,4,FALSE)</f>
        <v>0</v>
      </c>
      <c r="M169" s="1197">
        <f>VLOOKUP(A169,Marché!B1656:L3950,5,FALSE)</f>
        <v>2.6599999999999999E-2</v>
      </c>
      <c r="N169" s="1193">
        <f>VLOOKUP(A169,Marché!B1656:L3950,8,FALSE)</f>
        <v>7</v>
      </c>
      <c r="O169" s="1200" t="str">
        <f>VLOOKUP(A169,Marché!$B$1:$L$2409,9,FALSE)</f>
        <v>A</v>
      </c>
      <c r="P169" s="1200" t="str">
        <f>VLOOKUP(A169,Marché!B1656:L3950,10,FALSE)</f>
        <v>A</v>
      </c>
      <c r="Q169" s="1200" t="str">
        <f>VLOOKUP(A169,Marché!B1656:L3950,11,FALSE)</f>
        <v>F</v>
      </c>
      <c r="R169" s="1287">
        <v>5.0000000000000001E-3</v>
      </c>
      <c r="S169" s="1229" cm="1">
        <f t="array" ref="S169">IF(C169&gt;'Courbe des taux'!$D$50,ROUND( TREND('Courbe des taux'!$E$49:$E$50,'Courbe des taux'!$D$49:$D$50,Lignes_détenues!C169),5),ROUND(IF(C169&gt;365,interpoler(_mat2,taux2,C169),interpoler(_mat1,taux1,C169)),5))</f>
        <v>2.784E-2</v>
      </c>
      <c r="T169" s="1201">
        <f t="shared" si="17"/>
        <v>2.784E-2</v>
      </c>
      <c r="U169" s="1201">
        <f>ROUND(IF(D169*366&gt;366,interpoler(_mat2,taux2,D169*366),interpoler(_mat1,taux1,D169*366)),5)</f>
        <v>2.2700000000000001E-2</v>
      </c>
      <c r="V169" s="1202" t="str">
        <f>+IF((AB169-$AF$1)&lt;=366,"M","A")</f>
        <v>A</v>
      </c>
      <c r="W169" s="1202" t="s">
        <v>287</v>
      </c>
      <c r="X169" s="1212">
        <f>+prix_atp(AF$1,AA169,Z169,AB169,M169,K169,W169,V169,P169,Q169,N169,D169,Y169)</f>
        <v>98995.360523687254</v>
      </c>
      <c r="Y169" s="1202">
        <v>1</v>
      </c>
      <c r="Z169" s="35"/>
      <c r="AA169" s="1198">
        <f>VLOOKUP(A169,Marché!B1656:L3950,6,FALSE)</f>
        <v>44560</v>
      </c>
      <c r="AB169" s="1198">
        <f>VLOOKUP(A169,Marché!$B$1:$L$2409,7,FALSE)</f>
        <v>47117</v>
      </c>
      <c r="AC169" s="35"/>
      <c r="AD169" s="2"/>
    </row>
    <row r="170" spans="1:30" ht="15" hidden="1" x14ac:dyDescent="0.25">
      <c r="A170" s="1191">
        <v>9531</v>
      </c>
      <c r="B170" s="1192">
        <f t="shared" si="18"/>
        <v>0</v>
      </c>
      <c r="C170" s="1193">
        <f>(AB170-$AF$1)</f>
        <v>-85</v>
      </c>
      <c r="D170" s="1194">
        <f t="shared" si="16"/>
        <v>2.5700000000000001E-2</v>
      </c>
      <c r="E170" s="1195">
        <f>duration_titre($AF$1,AA170,AB170,M170,K170,W170,V170,P170,Q170,N170,D170)</f>
        <v>0</v>
      </c>
      <c r="F170" s="1195">
        <f t="shared" si="15"/>
        <v>0</v>
      </c>
      <c r="G170" s="1195">
        <f>convexite_titre($AF$1,AA170,AB170,M170,K170,W170,V170,P170,Q170,N170,D170)</f>
        <v>0</v>
      </c>
      <c r="H170" s="1196">
        <f>+ROUND(coupon_courru($AF$1,AA170,AB170,M170,K170,W170,P170,Q170,N170,V170,"V"),4)</f>
        <v>514.65750000000003</v>
      </c>
      <c r="I170" s="1199">
        <f>+IF(Y170=1,B170,D170*100)</f>
        <v>0</v>
      </c>
      <c r="J170" s="1193" t="str">
        <f>VLOOKUP(A170,Marché!B1657:L3951,2,FALSE)</f>
        <v>OBL SUB BCP GENDERS BONDS du 31/12/2021 à 2.21% 4ans  Fixe</v>
      </c>
      <c r="K170" s="1193">
        <f>VLOOKUP(A170,Marché!B1657:L3951,3,FALSE)</f>
        <v>100000</v>
      </c>
      <c r="L170" s="1193">
        <f>VLOOKUP(A170,Marché!B1657:L3951,4,FALSE)</f>
        <v>0</v>
      </c>
      <c r="M170" s="1197">
        <f>VLOOKUP(A170,Marché!B1657:L3951,5,FALSE)</f>
        <v>2.2100000000000002E-2</v>
      </c>
      <c r="N170" s="1193">
        <f>VLOOKUP(A170,Marché!B1657:L3951,8,FALSE)</f>
        <v>4</v>
      </c>
      <c r="O170" s="1200" t="str">
        <f>VLOOKUP(A170,Marché!$B$1:$L$2409,9,FALSE)</f>
        <v>A</v>
      </c>
      <c r="P170" s="1200" t="str">
        <f>VLOOKUP(A170,Marché!B1657:L3951,10,FALSE)</f>
        <v>A</v>
      </c>
      <c r="Q170" s="1200" t="str">
        <f>VLOOKUP(A170,Marché!B1657:L3951,11,FALSE)</f>
        <v>F</v>
      </c>
      <c r="R170" s="1287">
        <v>3.0000000000000001E-3</v>
      </c>
      <c r="S170" s="1229" cm="1">
        <f t="array" ref="S170">IF(C170&gt;'Courbe des taux'!$D$50,ROUND( TREND('Courbe des taux'!$E$49:$E$50,'Courbe des taux'!$D$49:$D$50,Lignes_détenues!C170),5),ROUND(IF(C170&gt;365,interpoler(_mat2,taux2,C170),interpoler(_mat1,taux1,C170)),5))</f>
        <v>2.2700000000000001E-2</v>
      </c>
      <c r="T170" s="1201">
        <f t="shared" si="17"/>
        <v>2.2700000000000001E-2</v>
      </c>
      <c r="U170" s="1201">
        <f>ROUND(IF(D170*366&gt;366,interpoler(_mat2,taux2,D170*366),interpoler(_mat1,taux1,D170*366)),5)</f>
        <v>2.2700000000000001E-2</v>
      </c>
      <c r="V170" s="1202" t="str">
        <f>+IF((AB170-$AF$1)&lt;=366,"M","A")</f>
        <v>M</v>
      </c>
      <c r="W170" s="1202" t="s">
        <v>287</v>
      </c>
      <c r="X170" s="1212">
        <f>+prix_atp(AF$1,AA170,Z170,AB170,M170,K170,W170,V170,P170,Q170,N170,D170,Y170)</f>
        <v>0</v>
      </c>
      <c r="Y170" s="1202">
        <v>1</v>
      </c>
      <c r="Z170" s="35"/>
      <c r="AA170" s="1198">
        <f>VLOOKUP(A170,Marché!B1657:L3951,6,FALSE)</f>
        <v>44561</v>
      </c>
      <c r="AB170" s="1198">
        <f>VLOOKUP(A170,Marché!$B$1:$L$2409,7,FALSE)</f>
        <v>46022</v>
      </c>
      <c r="AC170" s="35"/>
      <c r="AD170" s="2"/>
    </row>
    <row r="171" spans="1:30" s="1563" customFormat="1" ht="15" hidden="1" x14ac:dyDescent="0.25">
      <c r="A171" s="1548">
        <v>9532</v>
      </c>
      <c r="B171" s="1549">
        <f t="shared" si="18"/>
        <v>73708.03</v>
      </c>
      <c r="C171" s="1550">
        <f>(AB171-$AF$1)</f>
        <v>3945</v>
      </c>
      <c r="D171" s="1551">
        <f t="shared" si="16"/>
        <v>3.9730000000000001E-2</v>
      </c>
      <c r="E171" s="1552">
        <f>duration_titre($AF$1,AA171,AB171,M171,K171,W171,V171,P171,Q171,N171,D171)</f>
        <v>9.575289369216117</v>
      </c>
      <c r="F171" s="1552">
        <f t="shared" si="15"/>
        <v>9.2093999107615598</v>
      </c>
      <c r="G171" s="1552">
        <f>convexite_titre($AF$1,AA171,AB171,M171,K171,W171,V171,P171,Q171,N171,D171)</f>
        <v>100.51382005043639</v>
      </c>
      <c r="H171" s="1553">
        <f>+ROUND(coupon_courru($AF$1,AA171,AB171,M171,K171,W171,P171,Q171,N171,V171,"V"),4)</f>
        <v>440</v>
      </c>
      <c r="I171" s="1554">
        <f>+IF(Y171=1,B171,D171*100)</f>
        <v>3.9730000000000003</v>
      </c>
      <c r="J171" s="1550" t="str">
        <f>VLOOKUP(A171,Marché!B1658:L3952,2,FALSE)</f>
        <v>OBL FEC du 12/01/2022 à 2.20% 15 ans  REV Amrt Annuel</v>
      </c>
      <c r="K171" s="1550">
        <f>VLOOKUP(A171,Marché!B1658:L3952,3,FALSE)</f>
        <v>100000</v>
      </c>
      <c r="L171" s="1550">
        <f>VLOOKUP(A171,Marché!B1658:L3952,4,FALSE)</f>
        <v>0</v>
      </c>
      <c r="M171" s="1555">
        <f>VLOOKUP(A171,Marché!B1658:L3952,5,FALSE)</f>
        <v>2.1999999999999999E-2</v>
      </c>
      <c r="N171" s="1550">
        <f>VLOOKUP(A171,Marché!B1658:L3952,8,FALSE)</f>
        <v>15</v>
      </c>
      <c r="O171" s="1557" t="str">
        <f>VLOOKUP(A171,Marché!$B$1:$L$2409,9,FALSE)</f>
        <v>A</v>
      </c>
      <c r="P171" s="1557" t="str">
        <f>VLOOKUP(A171,Marché!B1658:L3952,10,FALSE)</f>
        <v>A</v>
      </c>
      <c r="Q171" s="1557" t="str">
        <f>VLOOKUP(A171,Marché!B1658:L3952,11,FALSE)</f>
        <v>F</v>
      </c>
      <c r="R171" s="1558">
        <v>6.0400000000000002E-3</v>
      </c>
      <c r="S171" s="1559" cm="1">
        <f t="array" ref="S171">IF(C171&gt;'Courbe des taux'!$D$50,ROUND( TREND('Courbe des taux'!$E$49:$E$50,'Courbe des taux'!$D$49:$D$50,Lignes_détenues!C171),5),ROUND(IF(C171&gt;365,interpoler(_mat2,taux2,C171),interpoler(_mat1,taux1,C171)),5))</f>
        <v>3.3689999999999998E-2</v>
      </c>
      <c r="T171" s="1559">
        <f t="shared" si="17"/>
        <v>3.3689999999999998E-2</v>
      </c>
      <c r="U171" s="1559">
        <f>ROUND(IF(D171*366&gt;366,interpoler(_mat2,taux2,D171*366),interpoler(_mat1,taux1,D171*366)),5)</f>
        <v>2.2700000000000001E-2</v>
      </c>
      <c r="V171" s="1560" t="str">
        <f>+IF((AB171-$AF$1)&lt;=366,"M","A")</f>
        <v>A</v>
      </c>
      <c r="W171" s="1560" t="s">
        <v>287</v>
      </c>
      <c r="X171" s="1561">
        <f>Ammortissable!C508</f>
        <v>73708.028099999996</v>
      </c>
      <c r="Y171" s="1560">
        <v>2</v>
      </c>
      <c r="Z171" s="1562" t="s">
        <v>2791</v>
      </c>
      <c r="AA171" s="1556">
        <f>VLOOKUP(A171,Marché!B1658:L3952,6,FALSE)</f>
        <v>44573</v>
      </c>
      <c r="AB171" s="1556">
        <f>VLOOKUP(A171,Marché!$B$1:$L$2409,7,FALSE)</f>
        <v>50052</v>
      </c>
      <c r="AC171" s="1562"/>
    </row>
    <row r="172" spans="1:30" ht="15" hidden="1" x14ac:dyDescent="0.25">
      <c r="A172" s="1191">
        <v>5129</v>
      </c>
      <c r="B172" s="1192">
        <f t="shared" si="18"/>
        <v>105326.14</v>
      </c>
      <c r="C172" s="1193">
        <f>(AB172-$AF$1)</f>
        <v>2077</v>
      </c>
      <c r="D172" s="1194">
        <f t="shared" si="16"/>
        <v>4.0800000000000003E-2</v>
      </c>
      <c r="E172" s="1195">
        <f>duration_titre($AF$1,AA172,AB172,M172,K172,W172,V172,P172,Q172,N172,D172)</f>
        <v>5.3698027920834432</v>
      </c>
      <c r="F172" s="1195">
        <f t="shared" si="15"/>
        <v>5.1593032206797114</v>
      </c>
      <c r="G172" s="1195">
        <f>convexite_titre($AF$1,AA172,AB172,M172,K172,W172,V172,P172,Q172,N172,D172)</f>
        <v>32.584523971905647</v>
      </c>
      <c r="H172" s="1196">
        <f>+ROUND(coupon_courru($AF$1,AA172,AB172,M172,K172,W172,P172,Q172,N172,V172,"V"),4)</f>
        <v>655.8904</v>
      </c>
      <c r="I172" s="1199">
        <f>+IF(Y172=1,B172,D172*100)</f>
        <v>105326.14</v>
      </c>
      <c r="J172" s="1193" t="str">
        <f>VLOOKUP(A172,Marché!B1659:L3953,2,FALSE)</f>
        <v>OBLIGATION FT RELEVIUM C1 du 14/01/2022  10 ANS</v>
      </c>
      <c r="K172" s="1193">
        <f>VLOOKUP(A172,Marché!B1659:L3953,3,FALSE)</f>
        <v>100000</v>
      </c>
      <c r="L172" s="1193">
        <f>VLOOKUP(A172,Marché!B1659:L3953,4,FALSE)</f>
        <v>0</v>
      </c>
      <c r="M172" s="1197">
        <f>VLOOKUP(A172,Marché!B1659:L3953,5,FALSE)</f>
        <v>2.1000000000000001E-2</v>
      </c>
      <c r="N172" s="1193">
        <f>VLOOKUP(A172,Marché!B1659:L3953,8,FALSE)</f>
        <v>10</v>
      </c>
      <c r="O172" s="1200" t="str">
        <f>VLOOKUP(A172,Marché!$B$1:$L$2409,9,FALSE)</f>
        <v>A</v>
      </c>
      <c r="P172" s="1200" t="str">
        <f>VLOOKUP(A172,Marché!B1659:L3953,10,FALSE)</f>
        <v>A</v>
      </c>
      <c r="Q172" s="1200" t="str">
        <f>VLOOKUP(A172,Marché!B1659:L3953,11,FALSE)</f>
        <v>F</v>
      </c>
      <c r="R172" s="1287">
        <v>9.698E-3</v>
      </c>
      <c r="S172" s="1229" cm="1">
        <f t="array" ref="S172">IF(C172&gt;'Courbe des taux'!$D$50,ROUND( TREND('Courbe des taux'!$E$49:$E$50,'Courbe des taux'!$D$49:$D$50,Lignes_détenues!C172),5),ROUND(IF(C172&gt;365,interpoler(_mat2,taux2,C172),interpoler(_mat1,taux1,C172)),5))</f>
        <v>3.1099999999999999E-2</v>
      </c>
      <c r="T172" s="1201">
        <f t="shared" si="17"/>
        <v>3.1099999999999999E-2</v>
      </c>
      <c r="U172" s="1201">
        <f>ROUND(IF(D172*366&gt;366,interpoler(_mat2,taux2,D172*366),interpoler(_mat1,taux1,D172*366)),5)</f>
        <v>2.2700000000000001E-2</v>
      </c>
      <c r="V172" s="1202" t="str">
        <f>+IF((AB172-$AF$1)&lt;=366,"M","A")</f>
        <v>A</v>
      </c>
      <c r="W172" s="1202" t="s">
        <v>287</v>
      </c>
      <c r="X172" s="1212">
        <f>'Echeancier de parts 2'!BJ3</f>
        <v>105326.1416</v>
      </c>
      <c r="Y172" s="1202">
        <v>1</v>
      </c>
      <c r="Z172" s="35"/>
      <c r="AA172" s="1198">
        <f>VLOOKUP(A172,Marché!B1659:L3953,6,FALSE)</f>
        <v>44575</v>
      </c>
      <c r="AB172" s="1198">
        <f>VLOOKUP(A172,Marché!$B$1:$L$2409,7,FALSE)</f>
        <v>48184</v>
      </c>
      <c r="AC172" s="35"/>
      <c r="AD172" s="2"/>
    </row>
    <row r="173" spans="1:30" ht="15" hidden="1" x14ac:dyDescent="0.25">
      <c r="A173" s="1191">
        <v>9533</v>
      </c>
      <c r="B173" s="1192">
        <f t="shared" si="18"/>
        <v>42363.61</v>
      </c>
      <c r="C173" s="1193">
        <f>(AB173-$AF$1)</f>
        <v>1084</v>
      </c>
      <c r="D173" s="1194">
        <f t="shared" si="16"/>
        <v>3.4160000000000003E-2</v>
      </c>
      <c r="E173" s="1195">
        <f>duration_titre($AF$1,AA173,AB173,M173,K173,W173,V173,P173,Q173,N173,D173)</f>
        <v>2.8920889544810158</v>
      </c>
      <c r="F173" s="1195">
        <f t="shared" si="15"/>
        <v>2.7965585155885124</v>
      </c>
      <c r="G173" s="1195">
        <f>convexite_titre($AF$1,AA173,AB173,M173,K173,W173,V173,P173,Q173,N173,D173)</f>
        <v>10.641166290126993</v>
      </c>
      <c r="H173" s="1196">
        <f>+ROUND(coupon_courru($AF$1,AA173,AB173,M173,K173,W173,P173,Q173,N173,V173,"V"),4)</f>
        <v>87.1233</v>
      </c>
      <c r="I173" s="1199">
        <f>+IF(Y173=1,B173,D173*100)</f>
        <v>42363.61</v>
      </c>
      <c r="J173" s="1193" t="str">
        <f>VLOOKUP(A173,Marché!B1669:L3963,2,FALSE)</f>
        <v>OBL MARJANEHOLDING 14/03/2022 à 2.65% 7 ans</v>
      </c>
      <c r="K173" s="1193">
        <f>VLOOKUP(A173,Marché!B1669:L3963,3,FALSE)</f>
        <v>100000</v>
      </c>
      <c r="L173" s="1193">
        <f>VLOOKUP(A173,Marché!B1669:L3963,4,FALSE)</f>
        <v>0</v>
      </c>
      <c r="M173" s="1197">
        <f>VLOOKUP(A173,Marché!B1669:L3963,5,FALSE)</f>
        <v>2.6499999999999999E-2</v>
      </c>
      <c r="N173" s="1193">
        <f>VLOOKUP(A173,Marché!B1669:L3963,8,FALSE)</f>
        <v>7</v>
      </c>
      <c r="O173" s="1200" t="str">
        <f>VLOOKUP(A173,Marché!$B$1:$L$2409,9,FALSE)</f>
        <v>A</v>
      </c>
      <c r="P173" s="1200" t="str">
        <f>VLOOKUP(A173,Marché!B1669:L3963,10,FALSE)</f>
        <v>A</v>
      </c>
      <c r="Q173" s="1200" t="str">
        <f>VLOOKUP(A173,Marché!B1669:L3963,11,FALSE)</f>
        <v>F</v>
      </c>
      <c r="R173" s="1287">
        <v>6.0099999999999997E-3</v>
      </c>
      <c r="S173" s="1229" cm="1">
        <f t="array" ref="S173">IF(C173&gt;'Courbe des taux'!$D$50,ROUND( TREND('Courbe des taux'!$E$49:$E$50,'Courbe des taux'!$D$49:$D$50,Lignes_détenues!C173),5),ROUND(IF(C173&gt;365,interpoler(_mat2,taux2,C173),interpoler(_mat1,taux1,C173)),5))</f>
        <v>2.8150000000000001E-2</v>
      </c>
      <c r="T173" s="1201">
        <f t="shared" si="17"/>
        <v>2.8150000000000001E-2</v>
      </c>
      <c r="U173" s="1201">
        <f>ROUND(IF(D173*366&gt;366,interpoler(_mat2,taux2,D173*366),interpoler(_mat1,taux1,D173*366)),5)</f>
        <v>2.2700000000000001E-2</v>
      </c>
      <c r="V173" s="1202" t="str">
        <f>+IF((AB173-$AF$1)&lt;=366,"M","A")</f>
        <v>A</v>
      </c>
      <c r="W173" s="1202" t="s">
        <v>287</v>
      </c>
      <c r="X173" s="1212">
        <f>+Ammortissable!C549</f>
        <v>42363.607000000004</v>
      </c>
      <c r="Y173" s="1202">
        <v>1</v>
      </c>
      <c r="Z173" s="35"/>
      <c r="AA173" s="1198">
        <f>VLOOKUP(A173,Marché!B1669:L3963,6,FALSE)</f>
        <v>44634</v>
      </c>
      <c r="AB173" s="1198">
        <f>VLOOKUP(A173,Marché!$B$1:$L$2409,7,FALSE)</f>
        <v>47191</v>
      </c>
      <c r="AC173" s="35"/>
      <c r="AD173" s="2"/>
    </row>
    <row r="174" spans="1:30" ht="15" hidden="1" x14ac:dyDescent="0.25">
      <c r="A174" s="1191">
        <v>9534</v>
      </c>
      <c r="B174" s="1192">
        <f t="shared" si="18"/>
        <v>94301.36</v>
      </c>
      <c r="C174" s="1193">
        <f>(AB174-$AF$1)</f>
        <v>4007</v>
      </c>
      <c r="D174" s="1194">
        <f t="shared" si="16"/>
        <v>4.3779999999999999E-2</v>
      </c>
      <c r="E174" s="1195">
        <f>duration_titre($AF$1,AA174,AB174,M174,K174,W174,V174,P174,Q174,N174,D174)</f>
        <v>9.1461378877089459</v>
      </c>
      <c r="F174" s="1195">
        <f t="shared" si="15"/>
        <v>8.7625149818055021</v>
      </c>
      <c r="G174" s="1195">
        <f>convexite_titre($AF$1,AA174,AB174,M174,K174,W174,V174,P174,Q174,N174,D174)</f>
        <v>94.294800323781828</v>
      </c>
      <c r="H174" s="1196">
        <f>+ROUND(coupon_courru($AF$1,AA174,AB174,M174,K174,W174,P174,Q174,N174,V174,"V"),4)</f>
        <v>111.5068</v>
      </c>
      <c r="I174" s="1199">
        <f>+IF(Y174=1,B174,D174*100)</f>
        <v>94301.36</v>
      </c>
      <c r="J174" s="1193" t="str">
        <f>VLOOKUP(A174,Marché!B1670:L3964,2,FALSE)</f>
        <v>OBL TMSA Participations du 15/03/2022 à 3,70%  15 ans</v>
      </c>
      <c r="K174" s="1193">
        <f>VLOOKUP(A174,Marché!B1670:L3964,3,FALSE)</f>
        <v>100000</v>
      </c>
      <c r="L174" s="1193">
        <f>VLOOKUP(A174,Marché!B1670:L3964,4,FALSE)</f>
        <v>0</v>
      </c>
      <c r="M174" s="1197">
        <f>VLOOKUP(A174,Marché!B1670:L3964,5,FALSE)</f>
        <v>3.6999999999999998E-2</v>
      </c>
      <c r="N174" s="1193">
        <f>VLOOKUP(A174,Marché!B1670:L3964,8,FALSE)</f>
        <v>15</v>
      </c>
      <c r="O174" s="1200" t="str">
        <f>VLOOKUP(A174,Marché!$B$1:$L$2409,9,FALSE)</f>
        <v>A</v>
      </c>
      <c r="P174" s="1200" t="str">
        <f>VLOOKUP(A174,Marché!B1670:L3964,10,FALSE)</f>
        <v>A</v>
      </c>
      <c r="Q174" s="1200" t="str">
        <f>VLOOKUP(A174,Marché!B1670:L3964,11,FALSE)</f>
        <v>F</v>
      </c>
      <c r="R174" s="1287">
        <v>0.01</v>
      </c>
      <c r="S174" s="1229" cm="1">
        <f t="array" ref="S174">IF(C174&gt;'Courbe des taux'!$D$50,ROUND( TREND('Courbe des taux'!$E$49:$E$50,'Courbe des taux'!$D$49:$D$50,Lignes_détenues!C174),5),ROUND(IF(C174&gt;365,interpoler(_mat2,taux2,C174),interpoler(_mat1,taux1,C174)),5))</f>
        <v>3.3779999999999998E-2</v>
      </c>
      <c r="T174" s="1201">
        <f t="shared" si="17"/>
        <v>3.3779999999999998E-2</v>
      </c>
      <c r="U174" s="1201">
        <f>ROUND(IF(D174*366&gt;366,interpoler(_mat2,taux2,D174*366),interpoler(_mat1,taux1,D174*366)),5)</f>
        <v>2.2700000000000001E-2</v>
      </c>
      <c r="V174" s="1202" t="str">
        <f>+IF((AB174-$AF$1)&lt;=366,"M","A")</f>
        <v>A</v>
      </c>
      <c r="W174" s="1202" t="s">
        <v>287</v>
      </c>
      <c r="X174" s="1212">
        <f>+prix_titre(AF$1,AA174,AB174,M174,K174,W174,V174,P174,Q174,N174,D174,Y174)</f>
        <v>94301.360628788883</v>
      </c>
      <c r="Y174" s="1202">
        <v>1</v>
      </c>
      <c r="Z174" s="35"/>
      <c r="AA174" s="1198">
        <f>VLOOKUP(A174,Marché!B1670:L3964,6,FALSE)</f>
        <v>44635</v>
      </c>
      <c r="AB174" s="1198">
        <f>VLOOKUP(A174,Marché!$B$1:$L$2409,7,FALSE)</f>
        <v>50114</v>
      </c>
      <c r="AC174" s="35"/>
      <c r="AD174" s="2"/>
    </row>
    <row r="175" spans="1:30" ht="15" hidden="1" x14ac:dyDescent="0.25">
      <c r="A175" s="1191">
        <v>152473</v>
      </c>
      <c r="B175" s="1192">
        <f t="shared" si="18"/>
        <v>99674.1</v>
      </c>
      <c r="C175" s="1193">
        <f>(AB175-$AF$1)</f>
        <v>354</v>
      </c>
      <c r="D175" s="1194">
        <f t="shared" si="16"/>
        <v>2.9239999999999999E-2</v>
      </c>
      <c r="E175" s="1195">
        <f>duration_titre($AF$1,AA175,AB175,M175,K175,W175,V175,P175,Q175,N175,D175)</f>
        <v>0.96986301369863015</v>
      </c>
      <c r="F175" s="1195">
        <f t="shared" si="15"/>
        <v>0.94230987301176616</v>
      </c>
      <c r="G175" s="1195">
        <f>convexite_titre($AF$1,AA175,AB175,M175,K175,W175,V175,P175,Q175,N175,D175)</f>
        <v>1.8034873948631334</v>
      </c>
      <c r="H175" s="1196">
        <f>+ROUND(coupon_courru($AF$1,AA175,AB175,M175,K175,W175,P175,Q175,N175,V175,"V"),4)</f>
        <v>76.547899999999998</v>
      </c>
      <c r="I175" s="1199">
        <f>+IF(Y175=1,B175,D175*100)</f>
        <v>99674.1</v>
      </c>
      <c r="J175" s="1193" t="str">
        <f>VLOOKUP(A175,Marché!B1672:L3966,2,FALSE)</f>
        <v>CD ATW du 15/03/2022  à 2.54%  5 ans</v>
      </c>
      <c r="K175" s="1193">
        <f>VLOOKUP(A175,Marché!B1672:L3966,3,FALSE)</f>
        <v>100000</v>
      </c>
      <c r="L175" s="1193">
        <f>VLOOKUP(A175,Marché!B1672:L3966,4,FALSE)</f>
        <v>0</v>
      </c>
      <c r="M175" s="1197">
        <f>VLOOKUP(A175,Marché!B1672:L3966,5,FALSE)</f>
        <v>2.5399999999999999E-2</v>
      </c>
      <c r="N175" s="1193">
        <f>VLOOKUP(A175,Marché!B1672:L3966,8,FALSE)</f>
        <v>5</v>
      </c>
      <c r="O175" s="1200" t="str">
        <f>VLOOKUP(A175,Marché!$B$1:$L$2409,9,FALSE)</f>
        <v>A</v>
      </c>
      <c r="P175" s="1200" t="str">
        <f>VLOOKUP(A175,Marché!B1672:L3966,10,FALSE)</f>
        <v>A</v>
      </c>
      <c r="Q175" s="1200" t="str">
        <f>VLOOKUP(A175,Marché!B1672:L3966,11,FALSE)</f>
        <v>F</v>
      </c>
      <c r="R175" s="1287">
        <v>4.4999999999999997E-3</v>
      </c>
      <c r="S175" s="1229" cm="1">
        <f t="array" ref="S175">IF(C175&gt;'Courbe des taux'!$D$50,ROUND( TREND('Courbe des taux'!$E$49:$E$50,'Courbe des taux'!$D$49:$D$50,Lignes_détenues!C175),5),ROUND(IF(C175&gt;365,interpoler(_mat2,taux2,C175),interpoler(_mat1,taux1,C175)),5))</f>
        <v>2.4740000000000002E-2</v>
      </c>
      <c r="T175" s="1201">
        <f t="shared" si="17"/>
        <v>2.4740000000000002E-2</v>
      </c>
      <c r="U175" s="1201">
        <f>ROUND(IF(D175*366&gt;366,interpoler(_mat2,taux2,D175*366),interpoler(_mat1,taux1,D175*366)),5)</f>
        <v>2.2700000000000001E-2</v>
      </c>
      <c r="V175" s="1202" t="str">
        <f>+IF((AB175-$AF$1)&lt;=366,"M","A")</f>
        <v>M</v>
      </c>
      <c r="W175" s="1202" t="s">
        <v>287</v>
      </c>
      <c r="X175" s="1212">
        <f>+prix_titre(AF$1,AA175,AB175,M175,K175,W175,V175,P175,Q175,N175,D175,Y175)</f>
        <v>99674.103720427782</v>
      </c>
      <c r="Y175" s="1202">
        <v>1</v>
      </c>
      <c r="Z175" s="35"/>
      <c r="AA175" s="1198">
        <f>VLOOKUP(A175,Marché!B1672:L3966,6,FALSE)</f>
        <v>44635</v>
      </c>
      <c r="AB175" s="1198">
        <f>VLOOKUP(A175,Marché!$B$1:$L$2409,7,FALSE)</f>
        <v>46461</v>
      </c>
      <c r="AC175" s="35"/>
      <c r="AD175" s="2"/>
    </row>
    <row r="176" spans="1:30" ht="15" hidden="1" x14ac:dyDescent="0.25">
      <c r="A176" s="1191">
        <v>9535</v>
      </c>
      <c r="B176" s="1192">
        <f t="shared" si="18"/>
        <v>98418.27</v>
      </c>
      <c r="C176" s="1193">
        <f>(AB176-$AF$1)</f>
        <v>1088</v>
      </c>
      <c r="D176" s="1194">
        <f t="shared" si="16"/>
        <v>3.8170000000000003E-2</v>
      </c>
      <c r="E176" s="1195">
        <f>duration_titre($AF$1,AA176,AB176,M176,K176,W176,V176,P176,Q176,N176,D176)</f>
        <v>2.8872675356435797</v>
      </c>
      <c r="F176" s="1195">
        <f t="shared" si="15"/>
        <v>2.781112472565745</v>
      </c>
      <c r="G176" s="1195">
        <f>convexite_titre($AF$1,AA176,AB176,M176,K176,W176,V176,P176,Q176,N176,D176)</f>
        <v>10.55090205029709</v>
      </c>
      <c r="H176" s="1196">
        <f>+ROUND(coupon_courru($AF$1,AA176,AB176,M176,K176,W176,P176,Q176,N176,V176,"V"),4)</f>
        <v>70.575299999999999</v>
      </c>
      <c r="I176" s="1199">
        <f>+IF(Y176=1,B176,D176*100)</f>
        <v>3.8170000000000002</v>
      </c>
      <c r="J176" s="1193" t="str">
        <f>VLOOKUP(A176,Marché!B1674:L3968,2,FALSE)</f>
        <v>OBL MANAGEM du 18/03/2022 à 3.22% 7 ANS</v>
      </c>
      <c r="K176" s="1193">
        <f>VLOOKUP(A176,Marché!B1674:L3968,3,FALSE)</f>
        <v>100000</v>
      </c>
      <c r="L176" s="1193">
        <f>VLOOKUP(A176,Marché!B1674:L3968,4,FALSE)</f>
        <v>0</v>
      </c>
      <c r="M176" s="1197">
        <f>VLOOKUP(A176,Marché!B1674:L3968,5,FALSE)</f>
        <v>3.2199999999999999E-2</v>
      </c>
      <c r="N176" s="1193">
        <f>VLOOKUP(A176,Marché!B1674:L3968,8,FALSE)</f>
        <v>7</v>
      </c>
      <c r="O176" s="1200" t="str">
        <f>VLOOKUP(A176,Marché!$B$1:$L$2409,9,FALSE)</f>
        <v>A</v>
      </c>
      <c r="P176" s="1200" t="str">
        <f>VLOOKUP(A176,Marché!B1674:L3968,10,FALSE)</f>
        <v>A</v>
      </c>
      <c r="Q176" s="1200" t="str">
        <f>VLOOKUP(A176,Marché!B1674:L3968,11,FALSE)</f>
        <v>F</v>
      </c>
      <c r="R176" s="1287">
        <v>0.01</v>
      </c>
      <c r="S176" s="1229" cm="1">
        <f t="array" ref="S176">IF(C176&gt;'Courbe des taux'!$D$50,ROUND( TREND('Courbe des taux'!$E$49:$E$50,'Courbe des taux'!$D$49:$D$50,Lignes_détenues!C176),5),ROUND(IF(C176&gt;365,interpoler(_mat2,taux2,C176),interpoler(_mat1,taux1,C176)),5))</f>
        <v>2.8170000000000001E-2</v>
      </c>
      <c r="T176" s="1201">
        <f t="shared" si="17"/>
        <v>2.8170000000000001E-2</v>
      </c>
      <c r="U176" s="1201">
        <f>ROUND(IF(D176*366&gt;366,interpoler(_mat2,taux2,D176*366),interpoler(_mat1,taux1,D176*366)),5)</f>
        <v>2.2700000000000001E-2</v>
      </c>
      <c r="V176" s="1202" t="str">
        <f>+IF((AB176-$AF$1)&lt;=366,"M","A")</f>
        <v>A</v>
      </c>
      <c r="W176" s="1202" t="s">
        <v>287</v>
      </c>
      <c r="X176" s="1212">
        <f>+prix_titre(AF$1,AA176,AB176,M176,K176,W176,V176,P176,Q176,N176,D176,Y176)</f>
        <v>98418.270944078889</v>
      </c>
      <c r="Y176" s="1202">
        <v>2</v>
      </c>
      <c r="Z176" s="35"/>
      <c r="AA176" s="1198">
        <f>VLOOKUP(A176,Marché!B1674:L3968,6,FALSE)</f>
        <v>44638</v>
      </c>
      <c r="AB176" s="1198">
        <f>VLOOKUP(A176,Marché!$B$1:$L$2409,7,FALSE)</f>
        <v>47195</v>
      </c>
      <c r="AC176" s="35"/>
      <c r="AD176" s="2"/>
    </row>
    <row r="177" spans="1:30" ht="15" hidden="1" x14ac:dyDescent="0.25">
      <c r="A177" s="1191">
        <v>152504</v>
      </c>
      <c r="B177" s="1192">
        <f t="shared" si="18"/>
        <v>102127.55</v>
      </c>
      <c r="C177" s="1193">
        <f>(AB177-$AF$1)</f>
        <v>59</v>
      </c>
      <c r="D177" s="1194">
        <f t="shared" si="16"/>
        <v>2.6749999999999999E-2</v>
      </c>
      <c r="E177" s="1195">
        <f>duration_titre($AF$1,AA177,AB177,M177,K177,W177,V177,P177,Q177,N177,D177)</f>
        <v>0.16164383561643836</v>
      </c>
      <c r="F177" s="1195">
        <f t="shared" ref="F177:F208" si="19">+E177/(1+D177)</f>
        <v>0.15743251581829887</v>
      </c>
      <c r="G177" s="1195">
        <f>convexite_titre($AF$1,AA177,AB177,M177,K177,W177,V177,P177,Q177,N177,D177)</f>
        <v>0.17811591090909598</v>
      </c>
      <c r="H177" s="1196">
        <f>+ROUND(coupon_courru($AF$1,AA177,AB177,M177,K177,W177,P177,Q177,N177,V177,"V"),4)</f>
        <v>2159</v>
      </c>
      <c r="I177" s="1199">
        <f>+IF(Y177=1,B177,D177*100)</f>
        <v>102127.55</v>
      </c>
      <c r="J177" s="1193" t="str">
        <f>VLOOKUP(A177,Marché!B1678:L3972,2,FALSE)</f>
        <v>CD CIH du 24/05/2022 à 2.16%  5 ans T% Révisable</v>
      </c>
      <c r="K177" s="1193">
        <f>VLOOKUP(A177,Marché!B1678:L3972,3,FALSE)</f>
        <v>100000</v>
      </c>
      <c r="L177" s="1193">
        <f>VLOOKUP(A177,Marché!B1678:L3972,4,FALSE)</f>
        <v>0</v>
      </c>
      <c r="M177" s="1197">
        <v>2.5399999999999999E-2</v>
      </c>
      <c r="N177" s="1193">
        <v>52</v>
      </c>
      <c r="O177" s="1200" t="s">
        <v>369</v>
      </c>
      <c r="P177" s="1200" t="s">
        <v>1716</v>
      </c>
      <c r="Q177" s="1200" t="s">
        <v>1014</v>
      </c>
      <c r="R177" s="1287">
        <v>4.0000000000000001E-3</v>
      </c>
      <c r="S177" s="1229" cm="1">
        <f t="array" ref="S177">IF(C177&gt;'Courbe des taux'!$D$50,ROUND( TREND('Courbe des taux'!$E$49:$E$50,'Courbe des taux'!$D$49:$D$50,Lignes_détenues!C177),5),ROUND(IF(C177&gt;365,interpoler(_mat2,taux2,C177),interpoler(_mat1,taux1,C177)),5))</f>
        <v>2.2749999999999999E-2</v>
      </c>
      <c r="T177" s="1201">
        <f t="shared" si="17"/>
        <v>2.2749999999999999E-2</v>
      </c>
      <c r="U177" s="1201">
        <f>ROUND(IF(D177*366&gt;366,interpoler(_mat2,taux2,D177*366),interpoler(_mat1,taux1,D177*366)),5)</f>
        <v>2.2700000000000001E-2</v>
      </c>
      <c r="V177" s="1202" t="str">
        <f>+IF((AB177-$AF$1)&lt;=366,"M","A")</f>
        <v>M</v>
      </c>
      <c r="W177" s="1202" t="s">
        <v>287</v>
      </c>
      <c r="X177" s="1212">
        <f>+prix_titre(AF$1,AA177,AB177,M177,K177,W177,V177,P177,Q177,N177,D177,Y177)</f>
        <v>102127.54998399378</v>
      </c>
      <c r="Y177" s="1202">
        <v>1</v>
      </c>
      <c r="Z177" s="35" t="s">
        <v>2739</v>
      </c>
      <c r="AA177" s="1198">
        <v>45801</v>
      </c>
      <c r="AB177" s="1198">
        <v>46166</v>
      </c>
      <c r="AC177" s="35"/>
      <c r="AD177" s="2"/>
    </row>
    <row r="178" spans="1:30" ht="15" hidden="1" x14ac:dyDescent="0.25">
      <c r="A178" s="1191">
        <v>201678</v>
      </c>
      <c r="B178" s="1192">
        <f t="shared" si="18"/>
        <v>100148.26</v>
      </c>
      <c r="C178" s="1193">
        <f>(AB178-$AF$1)</f>
        <v>571</v>
      </c>
      <c r="D178" s="1194">
        <f t="shared" si="16"/>
        <v>2.6020000000000001E-2</v>
      </c>
      <c r="E178" s="1195">
        <f>duration_titre($AF$1,AA178,AB178,M178,K178,W178,V178,P178,Q178,N178,D178)</f>
        <v>1.5437164531231422</v>
      </c>
      <c r="F178" s="1195">
        <f t="shared" si="19"/>
        <v>1.5045676040653615</v>
      </c>
      <c r="G178" s="1195">
        <f>convexite_titre($AF$1,AA178,AB178,M178,K178,W178,V178,P178,Q178,N178,D178)</f>
        <v>3.7493616693167424</v>
      </c>
      <c r="H178" s="1196">
        <f>+ROUND(coupon_courru($AF$1,AA178,AB178,M178,K178,W178,P178,Q178,N178,V178,"V"),4)</f>
        <v>914.79449999999997</v>
      </c>
      <c r="I178" s="1199">
        <f>+IF(Y178=1,B178,D178*100)</f>
        <v>100148.26</v>
      </c>
      <c r="J178" s="1193" t="str">
        <f>VLOOKUP(A178,Marché!B1680:L3974,2,FALSE)</f>
        <v>BDT DU 14/02/2022 5 ANS 2.10% ATYP 18/10/2022</v>
      </c>
      <c r="K178" s="1193">
        <f>VLOOKUP(A178,Marché!B1680:L3974,3,FALSE)</f>
        <v>100000</v>
      </c>
      <c r="L178" s="1193">
        <f>VLOOKUP(A178,Marché!B1680:L3974,4,FALSE)</f>
        <v>0</v>
      </c>
      <c r="M178" s="1197">
        <f>VLOOKUP(A178,Marché!B1680:L3974,5,FALSE)</f>
        <v>2.1000000000000001E-2</v>
      </c>
      <c r="N178" s="1193">
        <f>VLOOKUP(A178,Marché!B1680:L3974,8,FALSE)</f>
        <v>5</v>
      </c>
      <c r="O178" s="1200" t="str">
        <f>VLOOKUP(A178,Marché!$B$1:$L$2409,9,FALSE)</f>
        <v>A</v>
      </c>
      <c r="P178" s="1200" t="str">
        <f>VLOOKUP(A178,Marché!B1680:L3974,10,FALSE)</f>
        <v>A</v>
      </c>
      <c r="Q178" s="1200" t="str">
        <f>VLOOKUP(A178,Marché!B1680:L3974,11,FALSE)</f>
        <v>F</v>
      </c>
      <c r="R178" s="1287">
        <v>0</v>
      </c>
      <c r="S178" s="1229" cm="1">
        <f t="array" ref="S178">IF(C178&gt;'Courbe des taux'!$D$50,ROUND( TREND('Courbe des taux'!$E$49:$E$50,'Courbe des taux'!$D$49:$D$50,Lignes_détenues!C178),5),ROUND(IF(C178&gt;365,interpoler(_mat2,taux2,C178),interpoler(_mat1,taux1,C178)),5))</f>
        <v>2.6020000000000001E-2</v>
      </c>
      <c r="T178" s="1201">
        <f t="shared" si="17"/>
        <v>2.6020000000000001E-2</v>
      </c>
      <c r="U178" s="1201">
        <f>ROUND(IF(D178*366&gt;366,interpoler(_mat2,taux2,D178*366),interpoler(_mat1,taux1,D178*366)),5)</f>
        <v>2.2700000000000001E-2</v>
      </c>
      <c r="V178" s="1202" t="str">
        <f>+IF((AB178-$AF$1)&lt;=366,"M","A")</f>
        <v>A</v>
      </c>
      <c r="W178" s="1202" t="s">
        <v>287</v>
      </c>
      <c r="X178" s="1212">
        <f>+prix_atp(AF$1,AA178,Z178,AB178,M178,K178,W178,V178,P178,Q178,N178,D178,Y178)</f>
        <v>100148.26036621741</v>
      </c>
      <c r="Y178" s="1202">
        <v>1</v>
      </c>
      <c r="Z178" s="35">
        <v>44852</v>
      </c>
      <c r="AA178" s="1198">
        <f>VLOOKUP(A178,Marché!B1680:L3974,6,FALSE)</f>
        <v>44606</v>
      </c>
      <c r="AB178" s="1198">
        <f>VLOOKUP(A178,Marché!$B$1:$L$2409,7,FALSE)</f>
        <v>46678</v>
      </c>
      <c r="AC178" s="35"/>
      <c r="AD178" s="2"/>
    </row>
    <row r="179" spans="1:30" s="342" customFormat="1" ht="15" hidden="1" x14ac:dyDescent="0.25">
      <c r="A179" s="1336">
        <v>9538</v>
      </c>
      <c r="B179" s="1209">
        <f t="shared" si="18"/>
        <v>12601.24</v>
      </c>
      <c r="C179" s="1337">
        <f>(AB179-$AF$1)</f>
        <v>69</v>
      </c>
      <c r="D179" s="1338">
        <f t="shared" si="16"/>
        <v>2.8320000000000001E-2</v>
      </c>
      <c r="E179" s="1339">
        <f>duration_titre($AF$1,AA179,AB179,M179,K179,W179,V179,P179,Q179,N179,D179)</f>
        <v>0.18904109589041096</v>
      </c>
      <c r="F179" s="1339">
        <f t="shared" si="19"/>
        <v>0.18383489175588433</v>
      </c>
      <c r="G179" s="1339">
        <f>convexite_titre($AF$1,AA179,AB179,M179,K179,W179,V179,P179,Q179,N179,D179)</f>
        <v>0.2125673342503421</v>
      </c>
      <c r="H179" s="1340">
        <f>+ROUND(coupon_courru($AF$1,AA179,AB179,M179,K179,W179,P179,Q179,N179,V179,"V"),4)</f>
        <v>2211.7777999999998</v>
      </c>
      <c r="I179" s="1341">
        <f>+IF(Y179=1,B179,D179*100)</f>
        <v>12601.24</v>
      </c>
      <c r="J179" s="1337" t="str">
        <f>VLOOKUP(A179,Marché!B1685:L3979,2,FALSE)</f>
        <v>OBL MEDITELECOM DU 03/06/2022 REV tt ans à 2.30%</v>
      </c>
      <c r="K179" s="1337">
        <f>VLOOKUP(A179,Marché!B1685:L3979,3,FALSE)</f>
        <v>100000</v>
      </c>
      <c r="L179" s="1337">
        <f>VLOOKUP(A179,Marché!B1685:L3979,4,FALSE)</f>
        <v>0</v>
      </c>
      <c r="M179" s="1342">
        <v>2.69E-2</v>
      </c>
      <c r="N179" s="1337">
        <v>52</v>
      </c>
      <c r="O179" s="1344" t="s">
        <v>369</v>
      </c>
      <c r="P179" s="1344" t="s">
        <v>369</v>
      </c>
      <c r="Q179" s="1344" t="s">
        <v>1014</v>
      </c>
      <c r="R179" s="1345">
        <v>5.4999999999999997E-3</v>
      </c>
      <c r="S179" s="1346" cm="1">
        <f t="array" ref="S179">IF(C179&gt;'Courbe des taux'!$D$50,ROUND( TREND('Courbe des taux'!$E$49:$E$50,'Courbe des taux'!$D$49:$D$50,Lignes_détenues!C179),5),ROUND(IF(C179&gt;365,interpoler(_mat2,taux2,C179),interpoler(_mat1,taux1,C179)),5))</f>
        <v>2.282E-2</v>
      </c>
      <c r="T179" s="1346">
        <f t="shared" si="17"/>
        <v>2.282E-2</v>
      </c>
      <c r="U179" s="1346">
        <f>ROUND(IF(D179*366&gt;366,interpoler(_mat2,taux2,D179*366),interpoler(_mat1,taux1,D179*366)),5)</f>
        <v>2.2700000000000001E-2</v>
      </c>
      <c r="V179" s="1347" t="str">
        <f>+IF((AB179-$AF$1)&lt;=366,"M","A")</f>
        <v>M</v>
      </c>
      <c r="W179" s="1347" t="s">
        <v>287</v>
      </c>
      <c r="X179" s="1348">
        <f>+Ammortissable!C566</f>
        <v>12601.236233909454</v>
      </c>
      <c r="Y179" s="1347">
        <v>1</v>
      </c>
      <c r="Z179" s="1349" t="s">
        <v>3107</v>
      </c>
      <c r="AA179" s="1343">
        <v>45811</v>
      </c>
      <c r="AB179" s="1343">
        <v>46176</v>
      </c>
      <c r="AC179" s="35"/>
    </row>
    <row r="180" spans="1:30" ht="15" hidden="1" x14ac:dyDescent="0.25">
      <c r="A180" s="1191">
        <v>9542</v>
      </c>
      <c r="B180" s="1192">
        <f t="shared" si="18"/>
        <v>103192.28</v>
      </c>
      <c r="C180" s="1193">
        <f>(AB180-$AF$1)</f>
        <v>96</v>
      </c>
      <c r="D180" s="1194">
        <f t="shared" si="16"/>
        <v>4.3529999999999999E-2</v>
      </c>
      <c r="E180" s="1195">
        <f>duration_titre($AF$1,AA180,AB180,M180,K180,W180,V180,P180,Q180,N180,D180)</f>
        <v>0.26301369863013696</v>
      </c>
      <c r="F180" s="1195">
        <f t="shared" si="19"/>
        <v>0.25204229742330064</v>
      </c>
      <c r="G180" s="1195">
        <f>convexite_titre($AF$1,AA180,AB180,M180,K180,W180,V180,P180,Q180,N180,D180)</f>
        <v>0.3050538789300164</v>
      </c>
      <c r="H180" s="1196">
        <f>+ROUND(coupon_courru($AF$1,AA180,AB180,M180,K180,W180,P180,Q180,N180,V180,"V"),4)</f>
        <v>3235.4722000000002</v>
      </c>
      <c r="I180" s="1199">
        <f>+IF(Y180=1,B180,D180*100)</f>
        <v>103192.28</v>
      </c>
      <c r="J180" s="1193" t="str">
        <f>VLOOKUP(A180,Marché!B1691:L3985,2,FALSE)</f>
        <v>OBL ATW du 30/06/2022 à 3.82% 10 ANS</v>
      </c>
      <c r="K180" s="1193">
        <f>VLOOKUP(A180,Marché!B1691:L3985,3,FALSE)</f>
        <v>100000</v>
      </c>
      <c r="L180" s="1193">
        <f>VLOOKUP(A180,Marché!B1691:L3985,4,FALSE)</f>
        <v>0</v>
      </c>
      <c r="M180" s="1197">
        <v>4.3299999999999998E-2</v>
      </c>
      <c r="N180" s="1193">
        <v>52</v>
      </c>
      <c r="O180" s="1200" t="s">
        <v>369</v>
      </c>
      <c r="P180" s="1200" t="str">
        <f>VLOOKUP(A180,Marché!B1691:L3985,10,FALSE)</f>
        <v>A</v>
      </c>
      <c r="Q180" s="1200" t="str">
        <f>VLOOKUP(A180,Marché!B1691:L3985,11,FALSE)</f>
        <v>F</v>
      </c>
      <c r="R180" s="1287">
        <v>2.0500000000000001E-2</v>
      </c>
      <c r="S180" s="1229" cm="1">
        <f t="array" ref="S180">IF(C180&gt;'Courbe des taux'!$D$50,ROUND( TREND('Courbe des taux'!$E$49:$E$50,'Courbe des taux'!$D$49:$D$50,Lignes_détenues!C180),5),ROUND(IF(C180&gt;365,interpoler(_mat2,taux2,C180),interpoler(_mat1,taux1,C180)),5))</f>
        <v>2.3029999999999998E-2</v>
      </c>
      <c r="T180" s="1201">
        <f t="shared" si="17"/>
        <v>2.3029999999999998E-2</v>
      </c>
      <c r="U180" s="1201">
        <f>ROUND(IF(D180*366&gt;366,interpoler(_mat2,taux2,D180*366),interpoler(_mat1,taux1,D180*366)),5)</f>
        <v>2.2700000000000001E-2</v>
      </c>
      <c r="V180" s="1202" t="str">
        <f>+IF((AB180-$AF$1)&lt;=366,"M","A")</f>
        <v>M</v>
      </c>
      <c r="W180" s="1202" t="s">
        <v>287</v>
      </c>
      <c r="X180" s="1212">
        <f>+prix_titre(AF$1,AA180,AB180,M180,K180,W180,V180,P180,Q180,N180,D180,Y180)</f>
        <v>103192.2839677029</v>
      </c>
      <c r="Y180" s="1202">
        <v>1</v>
      </c>
      <c r="Z180" s="35">
        <v>2093</v>
      </c>
      <c r="AA180" s="1198">
        <v>45838</v>
      </c>
      <c r="AB180" s="1198">
        <v>46203</v>
      </c>
      <c r="AC180" s="35"/>
      <c r="AD180" s="2"/>
    </row>
    <row r="181" spans="1:30" ht="15" hidden="1" x14ac:dyDescent="0.25">
      <c r="A181" s="1191">
        <v>9547</v>
      </c>
      <c r="B181" s="1192">
        <f t="shared" si="18"/>
        <v>101996.64</v>
      </c>
      <c r="C181" s="1193">
        <f>(AB181-$AF$1)</f>
        <v>116</v>
      </c>
      <c r="D181" s="1194">
        <f t="shared" si="16"/>
        <v>3.1179999999999999E-2</v>
      </c>
      <c r="E181" s="1195">
        <f>duration_titre($AF$1,AA181,AB181,M181,K181,W181,V181,P181,Q181,N181,D181)</f>
        <v>0.31780821917808222</v>
      </c>
      <c r="F181" s="1195">
        <f t="shared" si="19"/>
        <v>0.30819858722830373</v>
      </c>
      <c r="G181" s="1195">
        <f>convexite_titre($AF$1,AA181,AB181,M181,K181,W181,V181,P181,Q181,N181,D181)</f>
        <v>0.39386589284948487</v>
      </c>
      <c r="H181" s="1196">
        <f>+ROUND(coupon_courru($AF$1,AA181,AB181,M181,K181,W181,P181,Q181,N181,V181,"V"),4)</f>
        <v>2061.1667000000002</v>
      </c>
      <c r="I181" s="1199">
        <f>+IF(Y181=1,B181,D181*100)</f>
        <v>101996.64</v>
      </c>
      <c r="J181" s="1193" t="str">
        <f>VLOOKUP(A181,Marché!B1692:L3986,2,FALSE)</f>
        <v>OBL CAM DU 20/07/2022 REV ANN à 2.61%</v>
      </c>
      <c r="K181" s="1193">
        <f>VLOOKUP(A181,Marché!B1692:L3986,3,FALSE)</f>
        <v>100000</v>
      </c>
      <c r="L181" s="1193">
        <f>VLOOKUP(A181,Marché!B1692:L3986,4,FALSE)</f>
        <v>0</v>
      </c>
      <c r="M181" s="1197">
        <v>2.98E-2</v>
      </c>
      <c r="N181" s="1193">
        <v>52</v>
      </c>
      <c r="O181" s="1200" t="s">
        <v>369</v>
      </c>
      <c r="P181" s="1200" t="str">
        <f>VLOOKUP(A181,Marché!B1692:L3986,10,FALSE)</f>
        <v>A</v>
      </c>
      <c r="Q181" s="1200" t="str">
        <f>VLOOKUP(A181,Marché!B1692:L3986,11,FALSE)</f>
        <v>F</v>
      </c>
      <c r="R181" s="1287">
        <v>8.0000000000000002E-3</v>
      </c>
      <c r="S181" s="1229" cm="1">
        <f t="array" ref="S181">IF(C181&gt;'Courbe des taux'!$D$50,ROUND( TREND('Courbe des taux'!$E$49:$E$50,'Courbe des taux'!$D$49:$D$50,Lignes_détenues!C181),5),ROUND(IF(C181&gt;365,interpoler(_mat2,taux2,C181),interpoler(_mat1,taux1,C181)),5))</f>
        <v>2.3179999999999999E-2</v>
      </c>
      <c r="T181" s="1201">
        <f t="shared" si="17"/>
        <v>2.3179999999999999E-2</v>
      </c>
      <c r="U181" s="1201">
        <f>ROUND(IF(D181*366&gt;366,interpoler(_mat2,taux2,D181*366),interpoler(_mat1,taux1,D181*366)),5)</f>
        <v>2.2700000000000001E-2</v>
      </c>
      <c r="V181" s="1202" t="str">
        <f>+IF((AB181-$AF$1)&lt;=366,"M","A")</f>
        <v>M</v>
      </c>
      <c r="W181" s="1202" t="s">
        <v>287</v>
      </c>
      <c r="X181" s="1212">
        <f>+prix_titre(AF$1,AA181,AB181,M181,K181,W181,V181,P181,Q181,N181,D181,Y181)</f>
        <v>101996.64108002906</v>
      </c>
      <c r="Y181" s="1202">
        <v>1</v>
      </c>
      <c r="Z181" s="35"/>
      <c r="AA181" s="1198">
        <v>45858</v>
      </c>
      <c r="AB181" s="1198">
        <v>46223</v>
      </c>
      <c r="AC181" s="35"/>
      <c r="AD181" s="2"/>
    </row>
    <row r="182" spans="1:30" ht="15" hidden="1" x14ac:dyDescent="0.25">
      <c r="A182" s="1191">
        <v>9549</v>
      </c>
      <c r="B182" s="1192">
        <f t="shared" si="18"/>
        <v>102805.51</v>
      </c>
      <c r="C182" s="1193">
        <f>(AB182-$AF$1)</f>
        <v>124</v>
      </c>
      <c r="D182" s="1194">
        <f t="shared" si="16"/>
        <v>4.4749999999999998E-2</v>
      </c>
      <c r="E182" s="1195">
        <f>duration_titre($AF$1,AA182,AB182,M182,K182,W182,V182,P182,Q182,N182,D182)</f>
        <v>0.33972602739726027</v>
      </c>
      <c r="F182" s="1195">
        <f t="shared" si="19"/>
        <v>0.32517446987055298</v>
      </c>
      <c r="G182" s="1195">
        <f>convexite_titre($AF$1,AA182,AB182,M182,K182,W182,V182,P182,Q182,N182,D182)</f>
        <v>0.41698463817246806</v>
      </c>
      <c r="H182" s="1196">
        <f>+ROUND(coupon_courru($AF$1,AA182,AB182,M182,K182,W182,P182,Q182,N182,V182,"V"),4)</f>
        <v>2898.6943999999999</v>
      </c>
      <c r="I182" s="1199">
        <f>+IF(Y182=1,B182,D182*100)</f>
        <v>102805.51</v>
      </c>
      <c r="J182" s="1193" t="str">
        <f>VLOOKUP(A182,Marché!B1693:L3987,2,FALSE)</f>
        <v xml:space="preserve">OBL CIH du 28/0/22 à 3.95% PERP Révis 52 SEM </v>
      </c>
      <c r="K182" s="1193">
        <f>VLOOKUP(A182,Marché!B1693:L3987,3,FALSE)</f>
        <v>100000</v>
      </c>
      <c r="L182" s="1193">
        <f>VLOOKUP(A182,Marché!B1693:L3987,4,FALSE)</f>
        <v>0</v>
      </c>
      <c r="M182" s="1197">
        <v>4.3299999999999998E-2</v>
      </c>
      <c r="N182" s="1193">
        <v>52</v>
      </c>
      <c r="O182" s="1200" t="s">
        <v>369</v>
      </c>
      <c r="P182" s="1200" t="str">
        <f>VLOOKUP(A182,Marché!B1693:L3987,10,FALSE)</f>
        <v>A</v>
      </c>
      <c r="Q182" s="1200" t="str">
        <f>VLOOKUP(A182,Marché!B1693:L3987,11,FALSE)</f>
        <v>F</v>
      </c>
      <c r="R182" s="1287">
        <v>2.1499999999999998E-2</v>
      </c>
      <c r="S182" s="1229" cm="1">
        <f t="array" ref="S182">IF(C182&gt;'Courbe des taux'!$D$50,ROUND( TREND('Courbe des taux'!$E$49:$E$50,'Courbe des taux'!$D$49:$D$50,Lignes_détenues!C182),5),ROUND(IF(C182&gt;365,interpoler(_mat2,taux2,C182),interpoler(_mat1,taux1,C182)),5))</f>
        <v>2.325E-2</v>
      </c>
      <c r="T182" s="1201">
        <f t="shared" si="17"/>
        <v>2.325E-2</v>
      </c>
      <c r="U182" s="1201">
        <f>ROUND(IF(D182*366&gt;366,interpoler(_mat2,taux2,D182*366),interpoler(_mat1,taux1,D182*366)),5)</f>
        <v>2.2700000000000001E-2</v>
      </c>
      <c r="V182" s="1202" t="str">
        <f>+IF((AB182-$AF$1)&lt;=366,"M","A")</f>
        <v>M</v>
      </c>
      <c r="W182" s="1202" t="s">
        <v>287</v>
      </c>
      <c r="X182" s="1212">
        <f>+prix_titre(AF$1,AA182,AB182,M182,K182,W182,V182,P182,Q182,N182,D182,Y182)</f>
        <v>102805.50733280627</v>
      </c>
      <c r="Y182" s="1202">
        <v>1</v>
      </c>
      <c r="Z182" s="35">
        <f>100000*2.61%*366/360</f>
        <v>2653.5</v>
      </c>
      <c r="AA182" s="1198">
        <v>45866</v>
      </c>
      <c r="AB182" s="1198">
        <v>46231</v>
      </c>
      <c r="AC182" s="35"/>
      <c r="AD182" s="2"/>
    </row>
    <row r="183" spans="1:30" ht="15" hidden="1" x14ac:dyDescent="0.25">
      <c r="A183" s="1191">
        <v>5132</v>
      </c>
      <c r="B183" s="1192">
        <f t="shared" si="18"/>
        <v>0</v>
      </c>
      <c r="C183" s="1193">
        <f>(AB183-$AF$1)</f>
        <v>-132</v>
      </c>
      <c r="D183" s="1194">
        <f t="shared" si="16"/>
        <v>3.0700000000000002E-2</v>
      </c>
      <c r="E183" s="1195">
        <f>duration_titre($AF$1,AA183,AB183,M183,K183,W183,V183,P183,Q183,N183,D183)</f>
        <v>0</v>
      </c>
      <c r="F183" s="1195">
        <f t="shared" si="19"/>
        <v>0</v>
      </c>
      <c r="G183" s="1195">
        <f>convexite_titre($AF$1,AA183,AB183,M183,K183,W183,V183,P183,Q183,N183,D183)</f>
        <v>0</v>
      </c>
      <c r="H183" s="1196">
        <f>+ROUND(coupon_courru($AF$1,AA183,AB183,M183,K183,W183,P183,Q183,N183,V183,"V"),4)</f>
        <v>1103.0137</v>
      </c>
      <c r="I183" s="1199">
        <f>+IF(Y183=1,B183,D183*100)</f>
        <v>0</v>
      </c>
      <c r="J183" s="1193" t="str">
        <f>VLOOKUP(A183,Marché!B1706:L4000,2,FALSE)</f>
        <v>OBLIGATION FT ENERGIA du 14/11/2022  3 A</v>
      </c>
      <c r="K183" s="1193">
        <f>VLOOKUP(A183,Marché!B1706:L4000,3,FALSE)</f>
        <v>100000</v>
      </c>
      <c r="L183" s="1193">
        <f>VLOOKUP(A183,Marché!B1706:L4000,4,FALSE)</f>
        <v>0</v>
      </c>
      <c r="M183" s="1197">
        <v>3.0499999999999999E-2</v>
      </c>
      <c r="N183" s="1193">
        <f>VLOOKUP(A183,Marché!B1706:L4000,8,FALSE)</f>
        <v>3</v>
      </c>
      <c r="O183" s="1200" t="s">
        <v>1396</v>
      </c>
      <c r="P183" s="1200" t="s">
        <v>1716</v>
      </c>
      <c r="Q183" s="1200" t="str">
        <f>VLOOKUP(A183,Marché!B1706:L4000,11,FALSE)</f>
        <v>F</v>
      </c>
      <c r="R183" s="1287">
        <v>8.0000000000000002E-3</v>
      </c>
      <c r="S183" s="1229" cm="1">
        <f t="array" ref="S183">IF(C183&gt;'Courbe des taux'!$D$50,ROUND( TREND('Courbe des taux'!$E$49:$E$50,'Courbe des taux'!$D$49:$D$50,Lignes_détenues!C183),5),ROUND(IF(C183&gt;365,interpoler(_mat2,taux2,C183),interpoler(_mat1,taux1,C183)),5))</f>
        <v>2.2700000000000001E-2</v>
      </c>
      <c r="T183" s="1201">
        <f t="shared" si="17"/>
        <v>2.2700000000000001E-2</v>
      </c>
      <c r="U183" s="1201">
        <f>ROUND(IF(D183*366&gt;366,interpoler(_mat2,taux2,D183*366),interpoler(_mat1,taux1,D183*366)),5)</f>
        <v>2.2700000000000001E-2</v>
      </c>
      <c r="V183" s="1202" t="str">
        <f>+IF((AB183-$AF$1)&lt;=366,"M","A")</f>
        <v>M</v>
      </c>
      <c r="W183" s="1202" t="s">
        <v>287</v>
      </c>
      <c r="X183" s="1212">
        <f>'Echeancier de parts 2'!BV3</f>
        <v>0</v>
      </c>
      <c r="Y183" s="1202">
        <v>1</v>
      </c>
      <c r="Z183" s="35"/>
      <c r="AA183" s="1198">
        <f>VLOOKUP(A183,Marché!B1706:L4000,6,FALSE)</f>
        <v>44879</v>
      </c>
      <c r="AB183" s="1198">
        <f>Marché!H2428</f>
        <v>45975</v>
      </c>
      <c r="AC183" s="35"/>
      <c r="AD183" s="2"/>
    </row>
    <row r="184" spans="1:30" ht="15" hidden="1" x14ac:dyDescent="0.25">
      <c r="A184" s="1191">
        <v>201677</v>
      </c>
      <c r="B184" s="1192">
        <f t="shared" si="18"/>
        <v>97766.94</v>
      </c>
      <c r="C184" s="1193">
        <f>(AB184-$AF$1)</f>
        <v>2272</v>
      </c>
      <c r="D184" s="1194">
        <f t="shared" si="16"/>
        <v>3.1359999999999999E-2</v>
      </c>
      <c r="E184" s="1195">
        <f>duration_titre($AF$1,AA184,AB184,M184,K184,W184,V184,P184,Q184,N184,D184)</f>
        <v>5.7372376331518593</v>
      </c>
      <c r="F184" s="1195">
        <f t="shared" si="19"/>
        <v>5.5627885831832327</v>
      </c>
      <c r="G184" s="1195">
        <f>convexite_titre($AF$1,AA184,AB184,M184,K184,W184,V184,P184,Q184,N184,D184)</f>
        <v>38.13340054894087</v>
      </c>
      <c r="H184" s="1196">
        <f>+ROUND(coupon_courru($AF$1,AA184,AB184,M184,K184,W184,P184,Q184,N184,V184,"V"),4)</f>
        <v>1873.9726000000001</v>
      </c>
      <c r="I184" s="1199">
        <f>+IF(Y184=1,B184,D184*100)</f>
        <v>97766.94</v>
      </c>
      <c r="J184" s="1193" t="str">
        <f>VLOOKUP(A184,Marché!B1708:L4002,2,FALSE)</f>
        <v>BDT DU 01/02/2022 10 ANS 2.40% ATYP 14/06/2022</v>
      </c>
      <c r="K184" s="1193">
        <f>VLOOKUP(A184,Marché!B1708:L4002,3,FALSE)</f>
        <v>100000</v>
      </c>
      <c r="L184" s="1193">
        <f>VLOOKUP(A184,Marché!B1708:L4002,4,FALSE)</f>
        <v>0</v>
      </c>
      <c r="M184" s="1197">
        <f>VLOOKUP(A184,Marché!B1708:L4002,5,FALSE)</f>
        <v>2.4E-2</v>
      </c>
      <c r="N184" s="1193">
        <f>VLOOKUP(A184,Marché!B1708:L4002,8,FALSE)</f>
        <v>10</v>
      </c>
      <c r="O184" s="1200" t="s">
        <v>1396</v>
      </c>
      <c r="P184" s="1200" t="s">
        <v>1716</v>
      </c>
      <c r="Q184" s="1200" t="str">
        <f>VLOOKUP(A184,Marché!B1708:L4002,11,FALSE)</f>
        <v>F</v>
      </c>
      <c r="R184" s="1287">
        <v>0</v>
      </c>
      <c r="S184" s="1229" cm="1">
        <f t="array" ref="S184">IF(C184&gt;'Courbe des taux'!$D$50,ROUND( TREND('Courbe des taux'!$E$49:$E$50,'Courbe des taux'!$D$49:$D$50,Lignes_détenues!C184),5),ROUND(IF(C184&gt;365,interpoler(_mat2,taux2,C184),interpoler(_mat1,taux1,C184)),5))</f>
        <v>3.1359999999999999E-2</v>
      </c>
      <c r="T184" s="1201">
        <f t="shared" si="17"/>
        <v>3.1359999999999999E-2</v>
      </c>
      <c r="U184" s="1201">
        <f>ROUND(IF(D184*366&gt;366,interpoler(_mat2,taux2,D184*366),interpoler(_mat1,taux1,D184*366)),5)</f>
        <v>2.2700000000000001E-2</v>
      </c>
      <c r="V184" s="1202" t="str">
        <f>+IF((AB184-$AF$1)&lt;=366,"M","A")</f>
        <v>A</v>
      </c>
      <c r="W184" s="1202" t="s">
        <v>287</v>
      </c>
      <c r="X184" s="1212">
        <f>+prix_atp(AF$1,AA184,Z184,AB184,M184,K184,W184,V184,P184,Q184,N184,D184,Y184)</f>
        <v>97766.940588959711</v>
      </c>
      <c r="Y184" s="1202">
        <v>1</v>
      </c>
      <c r="Z184" s="35">
        <v>44726</v>
      </c>
      <c r="AA184" s="1198">
        <f>VLOOKUP(A184,Marché!B1708:L4002,6,FALSE)</f>
        <v>44593</v>
      </c>
      <c r="AB184" s="1198">
        <f>Marché!H2430</f>
        <v>48379</v>
      </c>
      <c r="AC184" s="35"/>
      <c r="AD184" s="2"/>
    </row>
    <row r="185" spans="1:30" ht="15" hidden="1" x14ac:dyDescent="0.25">
      <c r="A185" s="1191">
        <v>201759</v>
      </c>
      <c r="B185" s="1192">
        <f t="shared" si="18"/>
        <v>0</v>
      </c>
      <c r="C185" s="1193">
        <f>(AB185-$AF$1)</f>
        <v>-493</v>
      </c>
      <c r="D185" s="1194">
        <f t="shared" si="16"/>
        <v>2.2700000000000001E-2</v>
      </c>
      <c r="E185" s="1195">
        <f>duration_titre($AF$1,AA185,AB185,M185,K185,W185,V185,P185,Q185,N185,D185)</f>
        <v>0</v>
      </c>
      <c r="F185" s="1195">
        <f t="shared" si="19"/>
        <v>0</v>
      </c>
      <c r="G185" s="1195">
        <f>convexite_titre($AF$1,AA185,AB185,M185,K185,W185,V185,P185,Q185,N185,D185)</f>
        <v>0</v>
      </c>
      <c r="H185" s="1196">
        <f>+ROUND(coupon_courru($AF$1,AA185,AB185,M185,K185,W185,P185,Q185,N185,V185,"V"),4)</f>
        <v>3376.7123000000001</v>
      </c>
      <c r="I185" s="1199">
        <f>+IF(Y185=1,B185,D185*100)</f>
        <v>0</v>
      </c>
      <c r="J185" s="1193" t="str">
        <f>VLOOKUP(A185,Marché!B1715:L4009,2,FALSE)</f>
        <v>BDT du 18/112022  2.5%  2 ANS ATYP 07/11/2022</v>
      </c>
      <c r="K185" s="1193">
        <f>VLOOKUP(A185,Marché!B1715:L4009,3,FALSE)</f>
        <v>100000</v>
      </c>
      <c r="L185" s="1193">
        <f>VLOOKUP(A185,Marché!B1715:L4009,4,FALSE)</f>
        <v>0</v>
      </c>
      <c r="M185" s="1197">
        <f>VLOOKUP(A185,Marché!B1715:L4009,5,FALSE)</f>
        <v>2.5000000000000001E-2</v>
      </c>
      <c r="N185" s="1193">
        <f>VLOOKUP(A185,Marché!B1715:L4009,8,FALSE)</f>
        <v>2</v>
      </c>
      <c r="O185" s="1200" t="s">
        <v>1716</v>
      </c>
      <c r="P185" s="1200" t="s">
        <v>1525</v>
      </c>
      <c r="Q185" s="1200" t="str">
        <f>VLOOKUP(A185,Marché!B1715:L4009,11,FALSE)</f>
        <v>F</v>
      </c>
      <c r="R185" s="1287">
        <v>0</v>
      </c>
      <c r="S185" s="1229" cm="1">
        <f t="array" ref="S185">IF(C185&gt;'Courbe des taux'!$D$50,ROUND( TREND('Courbe des taux'!$E$49:$E$50,'Courbe des taux'!$D$49:$D$50,Lignes_détenues!C185),5),ROUND(IF(C185&gt;365,interpoler(_mat2,taux2,C185),interpoler(_mat1,taux1,C185)),5))</f>
        <v>2.2700000000000001E-2</v>
      </c>
      <c r="T185" s="1201">
        <f t="shared" si="17"/>
        <v>2.2700000000000001E-2</v>
      </c>
      <c r="U185" s="1201">
        <f>ROUND(IF(D185*366&gt;366,interpoler(_mat2,taux2,D185*366),interpoler(_mat1,taux1,D185*366)),5)</f>
        <v>2.2700000000000001E-2</v>
      </c>
      <c r="V185" s="1202" t="str">
        <f>+IF((AB185-$AF$1)&lt;=366,"M","A")</f>
        <v>M</v>
      </c>
      <c r="W185" s="1202" t="s">
        <v>287</v>
      </c>
      <c r="X185" s="1212">
        <f>+prix_atp(AF$1,AA185,Z185,AB185,M185,K185,W185,V185,P185,Q185,N185,D185,Y185)</f>
        <v>0</v>
      </c>
      <c r="Y185" s="1202">
        <v>1</v>
      </c>
      <c r="Z185" s="35">
        <v>45248</v>
      </c>
      <c r="AA185" s="1198">
        <v>45248</v>
      </c>
      <c r="AB185" s="1198">
        <f>Marché!H2437</f>
        <v>45614</v>
      </c>
      <c r="AC185" s="35"/>
      <c r="AD185" s="2"/>
    </row>
    <row r="186" spans="1:30" s="1496" customFormat="1" ht="15" hidden="1" x14ac:dyDescent="0.25">
      <c r="A186" s="1481">
        <v>9567</v>
      </c>
      <c r="B186" s="1482">
        <f t="shared" si="18"/>
        <v>101003.43</v>
      </c>
      <c r="C186" s="1483">
        <f>(AB186-$AF$1)</f>
        <v>275</v>
      </c>
      <c r="D186" s="1484">
        <f t="shared" si="16"/>
        <v>4.6260000000000003E-2</v>
      </c>
      <c r="E186" s="1485">
        <f>duration_titre($AF$1,AA186,AB186,M186,K186,W186,V186,P186,Q186,N186,D186)</f>
        <v>0.75342465753424659</v>
      </c>
      <c r="F186" s="1485">
        <f t="shared" si="19"/>
        <v>0.7201122641926927</v>
      </c>
      <c r="G186" s="1485">
        <f>convexite_titre($AF$1,AA186,AB186,M186,K186,W186,V186,P186,Q186,N186,D186)</f>
        <v>1.2068344390765997</v>
      </c>
      <c r="H186" s="1486">
        <f>+ROUND(coupon_courru($AF$1,AA186,AB186,M186,K186,W186,P186,Q186,N186,V186,"V"),4)</f>
        <v>1127.5</v>
      </c>
      <c r="I186" s="1487">
        <f>+IF(Y186=1,B186,D186*100)</f>
        <v>101003.43</v>
      </c>
      <c r="J186" s="1483" t="str">
        <f>VLOOKUP(A186,Marché!B1718:L4012,2,FALSE)</f>
        <v>OBL BOA SUB PERP 26/12/2022 à 5.09% REVIS  ANN</v>
      </c>
      <c r="K186" s="1483">
        <f>VLOOKUP(A186,Marché!B1718:L4012,3,FALSE)</f>
        <v>100000</v>
      </c>
      <c r="L186" s="1483">
        <f>VLOOKUP(A186,Marché!B1718:L4012,4,FALSE)</f>
        <v>0</v>
      </c>
      <c r="M186" s="1488">
        <v>4.5100000000000001E-2</v>
      </c>
      <c r="N186" s="1483">
        <f>VLOOKUP(A186,Marché!B1718:L4012,8,FALSE)</f>
        <v>52</v>
      </c>
      <c r="O186" s="1490" t="s">
        <v>1396</v>
      </c>
      <c r="P186" s="1490" t="s">
        <v>1716</v>
      </c>
      <c r="Q186" s="1490" t="str">
        <f>VLOOKUP(A186,Marché!B1718:L4012,11,FALSE)</f>
        <v>F</v>
      </c>
      <c r="R186" s="1491">
        <v>2.1999999999999999E-2</v>
      </c>
      <c r="S186" s="1492" cm="1">
        <f t="array" ref="S186">IF(C186&gt;'Courbe des taux'!$D$50,ROUND( TREND('Courbe des taux'!$E$49:$E$50,'Courbe des taux'!$D$49:$D$50,Lignes_détenues!C186),5),ROUND(IF(C186&gt;365,interpoler(_mat2,taux2,C186),interpoler(_mat1,taux1,C186)),5))</f>
        <v>2.426E-2</v>
      </c>
      <c r="T186" s="1492">
        <f t="shared" si="17"/>
        <v>2.426E-2</v>
      </c>
      <c r="U186" s="1492">
        <f>ROUND(IF(D186*366&gt;366,interpoler(_mat2,taux2,D186*366),interpoler(_mat1,taux1,D186*366)),5)</f>
        <v>2.2700000000000001E-2</v>
      </c>
      <c r="V186" s="1493" t="str">
        <f>+IF((AB186-$AF$1)&lt;=366,"M","A")</f>
        <v>M</v>
      </c>
      <c r="W186" s="1493" t="s">
        <v>287</v>
      </c>
      <c r="X186" s="1494">
        <f>+prix_titre(AF$1,AA186,AB186,M186,K186,W186,V186,P186,Q186,N186,D186,Y186)</f>
        <v>101003.43124826445</v>
      </c>
      <c r="Y186" s="1493">
        <v>1</v>
      </c>
      <c r="Z186" s="1495"/>
      <c r="AA186" s="1489">
        <v>46017</v>
      </c>
      <c r="AB186" s="1489">
        <v>46382</v>
      </c>
      <c r="AC186" s="1495"/>
      <c r="AD186" s="1496">
        <f>K186*M186*(AB186-AF1)/360</f>
        <v>3445.1388888888887</v>
      </c>
    </row>
    <row r="187" spans="1:30" ht="15" hidden="1" x14ac:dyDescent="0.25">
      <c r="A187" s="1191">
        <v>9571</v>
      </c>
      <c r="B187" s="1192">
        <f t="shared" si="18"/>
        <v>100939.86</v>
      </c>
      <c r="C187" s="1193">
        <f>(AB187-$AF$1)</f>
        <v>279</v>
      </c>
      <c r="D187" s="1194">
        <f t="shared" si="16"/>
        <v>4.5789999999999997E-2</v>
      </c>
      <c r="E187" s="1195">
        <f>duration_titre($AF$1,AA187,AB187,M187,K187,W187,V187,P187,Q187,N187,D187)</f>
        <v>0.76438356164383559</v>
      </c>
      <c r="F187" s="1195">
        <f t="shared" si="19"/>
        <v>0.73091496537912548</v>
      </c>
      <c r="G187" s="1195">
        <f>convexite_titre($AF$1,AA187,AB187,M187,K187,W187,V187,P187,Q187,N187,D187)</f>
        <v>1.2331484809325026</v>
      </c>
      <c r="H187" s="1196">
        <f>+ROUND(coupon_courru($AF$1,AA187,AB187,M187,K187,W187,P187,Q187,N187,V187,"V"),4)</f>
        <v>1065.4444000000001</v>
      </c>
      <c r="I187" s="1199">
        <f>+IF(Y187=1,B187,D187*100)</f>
        <v>4.5789999999999997</v>
      </c>
      <c r="J187" s="1193" t="str">
        <f>VLOOKUP(A187,Marché!B1719:L4013,2,FALSE)</f>
        <v>OBL SUB ATW du 30/12/2022 PERPET REVIS 52 SEM</v>
      </c>
      <c r="K187" s="1193">
        <f>VLOOKUP(A187,Marché!B1719:L4013,3,FALSE)</f>
        <v>100000</v>
      </c>
      <c r="L187" s="1193">
        <f>VLOOKUP(A187,Marché!B1719:L4013,4,FALSE)</f>
        <v>0</v>
      </c>
      <c r="M187" s="1197">
        <v>4.4600000000000001E-2</v>
      </c>
      <c r="N187" s="1193">
        <f>VLOOKUP(A187,Marché!B1719:L4013,8,FALSE)</f>
        <v>52</v>
      </c>
      <c r="O187" s="1200" t="s">
        <v>1396</v>
      </c>
      <c r="P187" s="1200" t="s">
        <v>1716</v>
      </c>
      <c r="Q187" s="1200" t="str">
        <f>VLOOKUP(A187,Marché!B1719:L4013,11,FALSE)</f>
        <v>F</v>
      </c>
      <c r="R187" s="1287">
        <v>2.1499999999999998E-2</v>
      </c>
      <c r="S187" s="1229" cm="1">
        <f t="array" ref="S187">IF(C187&gt;'Courbe des taux'!$D$50,ROUND( TREND('Courbe des taux'!$E$49:$E$50,'Courbe des taux'!$D$49:$D$50,Lignes_détenues!C187),5),ROUND(IF(C187&gt;365,interpoler(_mat2,taux2,C187),interpoler(_mat1,taux1,C187)),5))</f>
        <v>2.4289999999999999E-2</v>
      </c>
      <c r="T187" s="1201">
        <f t="shared" si="17"/>
        <v>2.4289999999999999E-2</v>
      </c>
      <c r="U187" s="1201">
        <f>ROUND(IF(D187*366&gt;366,interpoler(_mat2,taux2,D187*366),interpoler(_mat1,taux1,D187*366)),5)</f>
        <v>2.2700000000000001E-2</v>
      </c>
      <c r="V187" s="1202" t="str">
        <f>+IF((AB187-$AF$1)&lt;=366,"M","A")</f>
        <v>M</v>
      </c>
      <c r="W187" s="1202" t="s">
        <v>287</v>
      </c>
      <c r="X187" s="1212">
        <f>+prix_titre(AF$1,AA187,AB187,M187,K187,W187,V187,P187,Q187,N187,D187,Y187)</f>
        <v>100939.86188627624</v>
      </c>
      <c r="Y187" s="1202">
        <v>2</v>
      </c>
      <c r="Z187" s="35"/>
      <c r="AA187" s="1198">
        <v>46021</v>
      </c>
      <c r="AB187" s="1198">
        <v>46386</v>
      </c>
      <c r="AC187" s="35"/>
      <c r="AD187" s="1496">
        <f>K187*M187*(AB187-AF1)/360</f>
        <v>3456.5</v>
      </c>
    </row>
    <row r="188" spans="1:30" ht="15" hidden="1" x14ac:dyDescent="0.25">
      <c r="A188" s="1191">
        <v>201796</v>
      </c>
      <c r="B188" s="1192">
        <f t="shared" si="18"/>
        <v>0</v>
      </c>
      <c r="C188" s="1193">
        <f>(AB188-$AF$1)</f>
        <v>-311</v>
      </c>
      <c r="D188" s="1194">
        <f t="shared" si="16"/>
        <v>2.2700000000000001E-2</v>
      </c>
      <c r="E188" s="1195">
        <f>duration_titre($AF$1,AA188,AB188,M188,K188,W188,V188,P188,Q188,N188,D188)</f>
        <v>0</v>
      </c>
      <c r="F188" s="1195">
        <f t="shared" si="19"/>
        <v>0</v>
      </c>
      <c r="G188" s="1195">
        <f>convexite_titre($AF$1,AA188,AB188,M188,K188,W188,V188,P188,Q188,N188,D188)</f>
        <v>0</v>
      </c>
      <c r="H188" s="1196">
        <f>+ROUND(coupon_courru($AF$1,AA188,AB188,M188,K188,W188,P188,Q188,N188,V188,"V"),4)</f>
        <v>3152.6026999999999</v>
      </c>
      <c r="I188" s="1199">
        <f>+IF(Y188=1,B188,D188*100)</f>
        <v>0</v>
      </c>
      <c r="J188" s="1193" t="str">
        <f>VLOOKUP(A188,Marché!B1731:L4025,2,FALSE)</f>
        <v>BDT du 23/01/2023 atp  a 3.70%  2 ans</v>
      </c>
      <c r="K188" s="1193">
        <f>VLOOKUP(A188,Marché!B1731:L4025,3,FALSE)</f>
        <v>100000</v>
      </c>
      <c r="L188" s="1193">
        <f>VLOOKUP(A188,Marché!B1731:L4025,4,FALSE)</f>
        <v>0</v>
      </c>
      <c r="M188" s="1197">
        <f>VLOOKUP(A188,Marché!B1731:L4025,5,FALSE)</f>
        <v>3.6999999999999998E-2</v>
      </c>
      <c r="N188" s="1193">
        <f>VLOOKUP(A188,Marché!B1731:L4025,8,FALSE)</f>
        <v>2</v>
      </c>
      <c r="O188" s="1200" t="s">
        <v>1716</v>
      </c>
      <c r="P188" s="1200" t="s">
        <v>1716</v>
      </c>
      <c r="Q188" s="1200" t="str">
        <f>VLOOKUP(A188,Marché!B1731:L4025,11,FALSE)</f>
        <v>F</v>
      </c>
      <c r="R188" s="1287">
        <v>0</v>
      </c>
      <c r="S188" s="1229" cm="1">
        <f t="array" ref="S188">IF(C188&gt;'Courbe des taux'!$D$50,ROUND( TREND('Courbe des taux'!$E$49:$E$50,'Courbe des taux'!$D$49:$D$50,Lignes_détenues!C188),5),ROUND(IF(C188&gt;365,interpoler(_mat2,taux2,C188),interpoler(_mat1,taux1,C188)),5))</f>
        <v>2.2700000000000001E-2</v>
      </c>
      <c r="T188" s="1201">
        <f t="shared" si="17"/>
        <v>2.2700000000000001E-2</v>
      </c>
      <c r="U188" s="1201">
        <f>ROUND(IF(D188*366&gt;366,interpoler(_mat2,taux2,D188*366),interpoler(_mat1,taux1,D188*366)),5)</f>
        <v>2.2700000000000001E-2</v>
      </c>
      <c r="V188" s="1202" t="str">
        <f>+IF((AB188-$AF$1)&lt;=366,"M","A")</f>
        <v>M</v>
      </c>
      <c r="W188" s="1202" t="s">
        <v>287</v>
      </c>
      <c r="X188" s="1212">
        <f>+prix_atp(AF$1,AA188,Z188,AB188,M188,K188,W188,V188,P188,Q188,N188,D188,Y188)</f>
        <v>0</v>
      </c>
      <c r="Y188" s="1202">
        <v>1</v>
      </c>
      <c r="Z188" s="35">
        <v>45065</v>
      </c>
      <c r="AA188" s="1198">
        <f>VLOOKUP(A188,Marché!B1731:L4025,6,FALSE)</f>
        <v>44949</v>
      </c>
      <c r="AB188" s="1198">
        <v>45796</v>
      </c>
      <c r="AC188" s="35"/>
      <c r="AD188" s="2"/>
    </row>
    <row r="189" spans="1:30" ht="15" hidden="1" x14ac:dyDescent="0.25">
      <c r="A189" s="1191">
        <v>5136</v>
      </c>
      <c r="B189" s="1192">
        <f t="shared" si="18"/>
        <v>21409.11</v>
      </c>
      <c r="C189" s="1193">
        <f>(AB189-$AF$1)</f>
        <v>-496</v>
      </c>
      <c r="D189" s="1194">
        <f t="shared" si="16"/>
        <v>3.0700000000000002E-2</v>
      </c>
      <c r="E189" s="1195">
        <f>duration_titre($AF$1,AA189,AB189,M189,K189,W189,V189,P189,Q189,N189,D189)</f>
        <v>0</v>
      </c>
      <c r="F189" s="1195">
        <f t="shared" si="19"/>
        <v>0</v>
      </c>
      <c r="G189" s="1195">
        <f>convexite_titre($AF$1,AA189,AB189,M189,K189,W189,V189,P189,Q189,N189,D189)</f>
        <v>0</v>
      </c>
      <c r="H189" s="1196">
        <f>+ROUND(coupon_courru($AF$1,AA189,AB189,M189,K189,W189,P189,Q189,N189,V189,"V"),4)</f>
        <v>5602.3333000000002</v>
      </c>
      <c r="I189" s="1199">
        <f>+IF(Y189=1,B189,D189*100)</f>
        <v>21409.11</v>
      </c>
      <c r="J189" s="1193" t="str">
        <f>VLOOKUP(A189,Marché!B1732:L4026,2,FALSE)</f>
        <v>OBLIGATION FT UTILITIES du 15/02/2023  2 ANS AMORTIS</v>
      </c>
      <c r="K189" s="1193">
        <f>VLOOKUP(A189,Marché!B1732:L4026,3,FALSE)</f>
        <v>100000</v>
      </c>
      <c r="L189" s="1193">
        <f>VLOOKUP(A189,Marché!B1732:L4026,4,FALSE)</f>
        <v>0</v>
      </c>
      <c r="M189" s="1197">
        <v>3.4299999999999997E-2</v>
      </c>
      <c r="N189" s="1193">
        <f>VLOOKUP(A189,Marché!B1732:L4026,8,FALSE)</f>
        <v>13</v>
      </c>
      <c r="O189" s="1200" t="s">
        <v>369</v>
      </c>
      <c r="P189" s="1200" t="s">
        <v>1716</v>
      </c>
      <c r="Q189" s="1200" t="str">
        <f>VLOOKUP(A189,Marché!B1732:L4026,11,FALSE)</f>
        <v>F</v>
      </c>
      <c r="R189" s="1287">
        <v>8.0000000000000002E-3</v>
      </c>
      <c r="S189" s="1229" cm="1">
        <f t="array" ref="S189">IF(C189&gt;'Courbe des taux'!$D$50,ROUND( TREND('Courbe des taux'!$E$49:$E$50,'Courbe des taux'!$D$49:$D$50,Lignes_détenues!C189),5),ROUND(IF(C189&gt;365,interpoler(_mat2,taux2,C189),interpoler(_mat1,taux1,C189)),5))</f>
        <v>2.2700000000000001E-2</v>
      </c>
      <c r="T189" s="1201">
        <f t="shared" si="17"/>
        <v>2.2700000000000001E-2</v>
      </c>
      <c r="U189" s="1201">
        <f>ROUND(IF(D189*366&gt;366,interpoler(_mat2,taux2,D189*366),interpoler(_mat1,taux1,D189*366)),5)</f>
        <v>2.2700000000000001E-2</v>
      </c>
      <c r="V189" s="1202" t="str">
        <f>+IF((AB189-$AF$1)&lt;=366,"M","A")</f>
        <v>M</v>
      </c>
      <c r="W189" s="1202" t="s">
        <v>287</v>
      </c>
      <c r="X189" s="1212">
        <f>+'Echeancier de parts 2'!CH3</f>
        <v>21409.10645396671</v>
      </c>
      <c r="Y189" s="1202">
        <v>1</v>
      </c>
      <c r="Z189" s="35"/>
      <c r="AA189" s="1198">
        <v>45519</v>
      </c>
      <c r="AB189" s="1198">
        <v>45611</v>
      </c>
      <c r="AC189" s="35"/>
      <c r="AD189" s="2"/>
    </row>
    <row r="190" spans="1:30" s="1563" customFormat="1" ht="15" hidden="1" x14ac:dyDescent="0.25">
      <c r="A190" s="1548">
        <v>9572</v>
      </c>
      <c r="B190" s="1549">
        <f t="shared" si="18"/>
        <v>100438.35</v>
      </c>
      <c r="C190" s="1550">
        <f>(AB190-$AF$1)</f>
        <v>328</v>
      </c>
      <c r="D190" s="1551">
        <f t="shared" si="16"/>
        <v>4.9610000000000001E-2</v>
      </c>
      <c r="E190" s="1552">
        <f>duration_titre($AF$1,AA190,AB190,M190,K190,W190,V190,P190,Q190,N190,D190)</f>
        <v>0.89863013698630134</v>
      </c>
      <c r="F190" s="1552">
        <f t="shared" si="19"/>
        <v>0.85615622658539969</v>
      </c>
      <c r="G190" s="1552">
        <f>convexite_titre($AF$1,AA190,AB190,M190,K190,W190,V190,P190,Q190,N190,D190)</f>
        <v>1.5486933373000564</v>
      </c>
      <c r="H190" s="1553">
        <f>+ROUND(coupon_courru($AF$1,AA190,AB190,M190,K190,W190,P190,Q190,N190,V190,"V"),4)</f>
        <v>504.63889999999998</v>
      </c>
      <c r="I190" s="1554">
        <f>+IF(Y190=1,B190,D190*100)</f>
        <v>100438.35</v>
      </c>
      <c r="J190" s="1550" t="str">
        <f>VLOOKUP(A190,Marché!B1734:L4028,2,FALSE)</f>
        <v>OBL BMCI SUB PERP 17/02/2023 à 6.01% REVIS  ANN/TR C</v>
      </c>
      <c r="K190" s="1550">
        <f>VLOOKUP(A190,Marché!B1734:L4028,3,FALSE)</f>
        <v>100000</v>
      </c>
      <c r="L190" s="1550">
        <f>VLOOKUP(A190,Marché!B1734:L4028,4,FALSE)</f>
        <v>0</v>
      </c>
      <c r="M190" s="1555">
        <v>4.9099999999999998E-2</v>
      </c>
      <c r="N190" s="1550">
        <v>52</v>
      </c>
      <c r="O190" s="1557" t="s">
        <v>369</v>
      </c>
      <c r="P190" s="1557" t="s">
        <v>1716</v>
      </c>
      <c r="Q190" s="1557" t="str">
        <f>VLOOKUP(A190,Marché!B1734:L4028,11,FALSE)</f>
        <v>F</v>
      </c>
      <c r="R190" s="1558">
        <v>2.5000000000000001E-2</v>
      </c>
      <c r="S190" s="1559" cm="1">
        <f t="array" ref="S190">IF(C190&gt;'Courbe des taux'!$D$50,ROUND( TREND('Courbe des taux'!$E$49:$E$50,'Courbe des taux'!$D$49:$D$50,Lignes_détenues!C190),5),ROUND(IF(C190&gt;365,interpoler(_mat2,taux2,C190),interpoler(_mat1,taux1,C190)),5))</f>
        <v>2.461E-2</v>
      </c>
      <c r="T190" s="1559">
        <f t="shared" si="17"/>
        <v>2.461E-2</v>
      </c>
      <c r="U190" s="1559">
        <f>ROUND(IF(D190*366&gt;366,interpoler(_mat2,taux2,D190*366),interpoler(_mat1,taux1,D190*366)),5)</f>
        <v>2.2700000000000001E-2</v>
      </c>
      <c r="V190" s="1560" t="str">
        <f>+IF((AB190-$AF$1)&lt;=366,"M","A")</f>
        <v>M</v>
      </c>
      <c r="W190" s="1560" t="s">
        <v>287</v>
      </c>
      <c r="X190" s="1561">
        <f>+prix_titre(AF$1,AA190,AB190,M190,K190,W190,V190,P190,Q190,N190,D190,Y190)</f>
        <v>100438.3540761249</v>
      </c>
      <c r="Y190" s="1560">
        <v>1</v>
      </c>
      <c r="Z190" s="1562"/>
      <c r="AA190" s="1556">
        <v>46070</v>
      </c>
      <c r="AB190" s="1556">
        <v>46435</v>
      </c>
      <c r="AC190" s="1562"/>
      <c r="AD190" s="1563">
        <f>K190*M190*(AB190-AA190)/360</f>
        <v>4978.1944444444443</v>
      </c>
    </row>
    <row r="191" spans="1:30" ht="15" hidden="1" x14ac:dyDescent="0.25">
      <c r="A191" s="1191">
        <v>201792</v>
      </c>
      <c r="B191" s="1192">
        <f t="shared" si="18"/>
        <v>109666.73</v>
      </c>
      <c r="C191" s="1193">
        <f>(AB191-$AF$1)</f>
        <v>2643</v>
      </c>
      <c r="D191" s="1194">
        <f t="shared" si="16"/>
        <v>3.1850000000000003E-2</v>
      </c>
      <c r="E191" s="1195">
        <f>duration_titre($AF$1,AA191,AB191,M191,K191,W191,V191,P191,Q191,N191,D191)</f>
        <v>6.2390028965873165</v>
      </c>
      <c r="F191" s="1195">
        <f t="shared" si="19"/>
        <v>6.0464242831684034</v>
      </c>
      <c r="G191" s="1195">
        <f>convexite_titre($AF$1,AA191,AB191,M191,K191,W191,V191,P191,Q191,N191,D191)</f>
        <v>46.272738436474583</v>
      </c>
      <c r="H191" s="1196">
        <f>+ROUND(coupon_courru($AF$1,AA191,AB191,M191,K191,W191,P191,Q191,N191,V191,"V"),4)</f>
        <v>3210.4110000000001</v>
      </c>
      <c r="I191" s="1199">
        <f>+IF(Y191=1,B191,D191*100)</f>
        <v>109666.73</v>
      </c>
      <c r="J191" s="1193" t="str">
        <f>VLOOKUP(A191,Marché!B1735:L4029,2,FALSE)</f>
        <v>BDT du 16/01/2023 atp  a 4.20%  10 ans</v>
      </c>
      <c r="K191" s="1193">
        <f>VLOOKUP(A191,Marché!B1735:L4029,3,FALSE)</f>
        <v>100000</v>
      </c>
      <c r="L191" s="1193">
        <f>VLOOKUP(A191,Marché!B1735:L4029,4,FALSE)</f>
        <v>0</v>
      </c>
      <c r="M191" s="1197">
        <f>VLOOKUP(A191,Marché!B1735:L4029,5,FALSE)</f>
        <v>4.2000000000000003E-2</v>
      </c>
      <c r="N191" s="1193">
        <f>VLOOKUP(A191,Marché!B1735:L4029,8,FALSE)</f>
        <v>10</v>
      </c>
      <c r="O191" s="1200" t="s">
        <v>1716</v>
      </c>
      <c r="P191" s="1200" t="s">
        <v>1716</v>
      </c>
      <c r="Q191" s="1200" t="str">
        <f>VLOOKUP(A191,Marché!B1735:L4029,11,FALSE)</f>
        <v>F</v>
      </c>
      <c r="R191" s="1287">
        <v>0</v>
      </c>
      <c r="S191" s="1229" cm="1">
        <f t="array" ref="S191">IF(C191&gt;'Courbe des taux'!$D$50,ROUND( TREND('Courbe des taux'!$E$49:$E$50,'Courbe des taux'!$D$49:$D$50,Lignes_détenues!C191),5),ROUND(IF(C191&gt;365,interpoler(_mat2,taux2,C191),interpoler(_mat1,taux1,C191)),5))</f>
        <v>3.1850000000000003E-2</v>
      </c>
      <c r="T191" s="1201">
        <f t="shared" si="17"/>
        <v>3.1850000000000003E-2</v>
      </c>
      <c r="U191" s="1201">
        <f>ROUND(IF(D191*366&gt;366,interpoler(_mat2,taux2,D191*366),interpoler(_mat1,taux1,D191*366)),5)</f>
        <v>2.2700000000000001E-2</v>
      </c>
      <c r="V191" s="1202" t="str">
        <f>+IF((AB191-$AF$1)&lt;=366,"M","A")</f>
        <v>A</v>
      </c>
      <c r="W191" s="1202" t="s">
        <v>287</v>
      </c>
      <c r="X191" s="1212">
        <f>+prix_atp(AF$1,AA191,Z191,AB191,M191,K191,W191,V191,P191,Q191,N191,D191,Y191)</f>
        <v>109666.73260550796</v>
      </c>
      <c r="Y191" s="1202">
        <v>1</v>
      </c>
      <c r="Z191" s="35">
        <v>45097</v>
      </c>
      <c r="AA191" s="1198">
        <v>44942</v>
      </c>
      <c r="AB191" s="1198">
        <v>48750</v>
      </c>
      <c r="AC191" s="35"/>
      <c r="AD191" s="2"/>
    </row>
    <row r="192" spans="1:30" ht="15" hidden="1" x14ac:dyDescent="0.25">
      <c r="A192" s="1191">
        <v>201807</v>
      </c>
      <c r="B192" s="1192">
        <f t="shared" si="18"/>
        <v>0</v>
      </c>
      <c r="C192" s="1193">
        <f>(AB192-$AF$1)</f>
        <v>-255</v>
      </c>
      <c r="D192" s="1194">
        <f t="shared" si="16"/>
        <v>2.2700000000000001E-2</v>
      </c>
      <c r="E192" s="1195">
        <f>duration_titre($AF$1,AA192,AB192,M192,K192,W192,V192,P192,Q192,N192,D192)</f>
        <v>0</v>
      </c>
      <c r="F192" s="1195">
        <f t="shared" si="19"/>
        <v>0</v>
      </c>
      <c r="G192" s="1195">
        <f>convexite_titre($AF$1,AA192,AB192,M192,K192,W192,V192,P192,Q192,N192,D192)</f>
        <v>0</v>
      </c>
      <c r="H192" s="1196">
        <f>+ROUND(coupon_courru($AF$1,AA192,AB192,M192,K192,W192,P192,Q192,N192,V192,"V"),4)</f>
        <v>2654.7945</v>
      </c>
      <c r="I192" s="1199">
        <f>+IF(Y192=1,B192,D192*100)</f>
        <v>0</v>
      </c>
      <c r="J192" s="1193" t="str">
        <f>VLOOKUP(A192,Marché!B1740:L4034,2,FALSE)</f>
        <v>BDT du 14/07/2023 à 3.80% 2 ans ATYP 27/02/2023</v>
      </c>
      <c r="K192" s="1193">
        <f>VLOOKUP(A192,Marché!B1740:L4034,3,FALSE)</f>
        <v>100000</v>
      </c>
      <c r="L192" s="1193">
        <f>VLOOKUP(A192,Marché!B1740:L4034,4,FALSE)</f>
        <v>0</v>
      </c>
      <c r="M192" s="1197">
        <f>VLOOKUP(A192,Marché!B1740:L4034,5,FALSE)</f>
        <v>3.7999999999999999E-2</v>
      </c>
      <c r="N192" s="1193">
        <f>VLOOKUP(A192,Marché!B1740:L4034,8,FALSE)</f>
        <v>2</v>
      </c>
      <c r="O192" s="1200" t="s">
        <v>1716</v>
      </c>
      <c r="P192" s="1200" t="s">
        <v>1716</v>
      </c>
      <c r="Q192" s="1200" t="str">
        <f>VLOOKUP(A192,Marché!B1740:L4034,11,FALSE)</f>
        <v>F</v>
      </c>
      <c r="R192" s="1287">
        <v>0</v>
      </c>
      <c r="S192" s="1229" cm="1">
        <f t="array" ref="S192">IF(C192&gt;'Courbe des taux'!$D$50,ROUND( TREND('Courbe des taux'!$E$49:$E$50,'Courbe des taux'!$D$49:$D$50,Lignes_détenues!C192),5),ROUND(IF(C192&gt;365,interpoler(_mat2,taux2,C192),interpoler(_mat1,taux1,C192)),5))</f>
        <v>2.2700000000000001E-2</v>
      </c>
      <c r="T192" s="1201">
        <f t="shared" si="17"/>
        <v>2.2700000000000001E-2</v>
      </c>
      <c r="U192" s="1201">
        <f>ROUND(IF(D192*366&gt;366,interpoler(_mat2,taux2,D192*366),interpoler(_mat1,taux1,D192*366)),5)</f>
        <v>2.2700000000000001E-2</v>
      </c>
      <c r="V192" s="1202" t="str">
        <f>+IF((AB192-$AF$1)&lt;=366,"M","A")</f>
        <v>M</v>
      </c>
      <c r="W192" s="1202" t="s">
        <v>287</v>
      </c>
      <c r="X192" s="1212">
        <f>+prix_atp(AF$1,AA192,Z192,AB192,M192,K192,W192,V192,P192,Q192,N192,D192,Y192)</f>
        <v>0</v>
      </c>
      <c r="Y192" s="1202">
        <v>1</v>
      </c>
      <c r="Z192" s="35">
        <v>45121</v>
      </c>
      <c r="AA192" s="1198">
        <v>44984</v>
      </c>
      <c r="AB192" s="1198">
        <v>45852</v>
      </c>
      <c r="AC192" s="35"/>
      <c r="AD192" s="2"/>
    </row>
    <row r="193" spans="1:30" ht="15" hidden="1" x14ac:dyDescent="0.25">
      <c r="A193" s="1191">
        <v>201808</v>
      </c>
      <c r="B193" s="1192">
        <f t="shared" si="18"/>
        <v>117645.67</v>
      </c>
      <c r="C193" s="1193">
        <f>(AB193-$AF$1)</f>
        <v>4498</v>
      </c>
      <c r="D193" s="1194">
        <f t="shared" si="16"/>
        <v>3.4540000000000001E-2</v>
      </c>
      <c r="E193" s="1195">
        <f>duration_titre($AF$1,AA193,AB193,M193,K193,W193,V193,P193,Q193,N193,D193)</f>
        <v>9.4694507712448655</v>
      </c>
      <c r="F193" s="1195">
        <f t="shared" si="19"/>
        <v>9.1532959298285856</v>
      </c>
      <c r="G193" s="1195">
        <f>convexite_titre($AF$1,AA193,AB193,M193,K193,W193,V193,P193,Q193,N193,D193)</f>
        <v>108.00939997514035</v>
      </c>
      <c r="H193" s="1196">
        <f>+ROUND(coupon_courru($AF$1,AA193,AB193,M193,K193,W193,P193,Q193,N193,V193,"V"),4)</f>
        <v>3356.1644000000001</v>
      </c>
      <c r="I193" s="1199">
        <f>+IF(Y193=1,B193,D193*100)</f>
        <v>117645.67</v>
      </c>
      <c r="J193" s="1193" t="str">
        <f>VLOOKUP(A193,Marché!B1741:L4035,2,FALSE)</f>
        <v>BDT DU 20/03/2023 à 4.90% 15 ans</v>
      </c>
      <c r="K193" s="1193">
        <f>VLOOKUP(A193,Marché!B1741:L4035,3,FALSE)</f>
        <v>100000</v>
      </c>
      <c r="L193" s="1193">
        <f>VLOOKUP(A193,Marché!B1741:L4035,4,FALSE)</f>
        <v>0</v>
      </c>
      <c r="M193" s="1197">
        <f>VLOOKUP(A193,Marché!B1741:L4035,5,FALSE)</f>
        <v>4.9000000000000002E-2</v>
      </c>
      <c r="N193" s="1193">
        <f>VLOOKUP(A193,Marché!B1741:L4035,8,FALSE)</f>
        <v>15</v>
      </c>
      <c r="O193" s="1200" t="s">
        <v>1716</v>
      </c>
      <c r="P193" s="1200" t="s">
        <v>1716</v>
      </c>
      <c r="Q193" s="1200" t="str">
        <f>VLOOKUP(A193,Marché!B1741:L4035,11,FALSE)</f>
        <v>F</v>
      </c>
      <c r="R193" s="1287">
        <v>0</v>
      </c>
      <c r="S193" s="1229" cm="1">
        <f t="array" ref="S193">IF(C193&gt;'Courbe des taux'!$D$50,ROUND( TREND('Courbe des taux'!$E$49:$E$50,'Courbe des taux'!$D$49:$D$50,Lignes_détenues!C193),5),ROUND(IF(C193&gt;365,interpoler(_mat2,taux2,C193),interpoler(_mat1,taux1,C193)),5))</f>
        <v>3.4540000000000001E-2</v>
      </c>
      <c r="T193" s="1201">
        <f t="shared" si="17"/>
        <v>3.4540000000000001E-2</v>
      </c>
      <c r="U193" s="1201">
        <f>ROUND(IF(D193*366&gt;366,interpoler(_mat2,taux2,D193*366),interpoler(_mat1,taux1,D193*366)),5)</f>
        <v>2.2700000000000001E-2</v>
      </c>
      <c r="V193" s="1202" t="str">
        <f>+IF((AB193-$AF$1)&lt;=366,"M","A")</f>
        <v>A</v>
      </c>
      <c r="W193" s="1202" t="s">
        <v>287</v>
      </c>
      <c r="X193" s="1212">
        <f>+prix_atp(AF$1,AA193,Z193,AB193,M193,K193,W193,V193,P193,Q193,N193,D193,Y193)</f>
        <v>117645.66777673204</v>
      </c>
      <c r="Y193" s="1202">
        <v>1</v>
      </c>
      <c r="Z193" s="35">
        <v>45126</v>
      </c>
      <c r="AA193" s="1198">
        <v>45005</v>
      </c>
      <c r="AB193" s="1198">
        <v>50605</v>
      </c>
      <c r="AC193" s="35"/>
      <c r="AD193" s="2"/>
    </row>
    <row r="194" spans="1:30" s="342" customFormat="1" ht="15" hidden="1" x14ac:dyDescent="0.25">
      <c r="A194" s="1336">
        <v>9576</v>
      </c>
      <c r="B194" s="1209">
        <f t="shared" si="18"/>
        <v>100046.07</v>
      </c>
      <c r="C194" s="1337">
        <f>(AB194-$AF$1)</f>
        <v>356</v>
      </c>
      <c r="D194" s="1338">
        <f t="shared" si="16"/>
        <v>4.9750000000000003E-2</v>
      </c>
      <c r="E194" s="1339">
        <f>duration_titre($AF$1,AA194,AB194,M194,K194,W194,V194,P194,Q194,N194,D194)</f>
        <v>0.97534246575342465</v>
      </c>
      <c r="F194" s="1339">
        <f t="shared" si="19"/>
        <v>0.9291188051949747</v>
      </c>
      <c r="G194" s="1339">
        <f>convexite_titre($AF$1,AA194,AB194,M194,K194,W194,V194,P194,Q194,N194,D194)</f>
        <v>1.7483475414448366</v>
      </c>
      <c r="H194" s="1340">
        <f>+ROUND(coupon_courru($AF$1,AA194,AB194,M194,K194,W194,P194,Q194,N194,V194,"V"),4)</f>
        <v>122.5</v>
      </c>
      <c r="I194" s="1341">
        <f>+IF(Y194=1,B194,D194*100)</f>
        <v>100046.07</v>
      </c>
      <c r="J194" s="1337" t="str">
        <f>VLOOKUP(A194,Marché!B1742:L4036,2,FALSE)</f>
        <v>BL SUB PERPT AL BARID BANK du 17/03/2023 à 5.91% REVIS AN</v>
      </c>
      <c r="K194" s="1337">
        <f>VLOOKUP(A194,Marché!B1742:L4036,3,FALSE)</f>
        <v>100000</v>
      </c>
      <c r="L194" s="1337">
        <f>VLOOKUP(A194,Marché!B1742:L4036,4,FALSE)</f>
        <v>0</v>
      </c>
      <c r="M194" s="1342">
        <v>4.9000000000000002E-2</v>
      </c>
      <c r="N194" s="1337">
        <v>52</v>
      </c>
      <c r="O194" s="1344" t="s">
        <v>369</v>
      </c>
      <c r="P194" s="1344" t="s">
        <v>1716</v>
      </c>
      <c r="Q194" s="1344" t="str">
        <f>VLOOKUP(A194,Marché!B1742:L4036,11,FALSE)</f>
        <v>F</v>
      </c>
      <c r="R194" s="1345">
        <v>2.5000000000000001E-2</v>
      </c>
      <c r="S194" s="1346" cm="1">
        <f t="array" ref="S194">IF(C194&gt;'Courbe des taux'!$D$50,ROUND( TREND('Courbe des taux'!$E$49:$E$50,'Courbe des taux'!$D$49:$D$50,Lignes_détenues!C194),5),ROUND(IF(C194&gt;365,interpoler(_mat2,taux2,C194),interpoler(_mat1,taux1,C194)),5))</f>
        <v>2.4750000000000001E-2</v>
      </c>
      <c r="T194" s="1346">
        <f t="shared" si="17"/>
        <v>2.4750000000000001E-2</v>
      </c>
      <c r="U194" s="1346">
        <f>ROUND(IF(D194*366&gt;366,interpoler(_mat2,taux2,D194*366),interpoler(_mat1,taux1,D194*366)),5)</f>
        <v>2.2700000000000001E-2</v>
      </c>
      <c r="V194" s="1347" t="str">
        <f>+IF((AB194-$AF$1)&lt;=366,"M","A")</f>
        <v>M</v>
      </c>
      <c r="W194" s="1347" t="s">
        <v>287</v>
      </c>
      <c r="X194" s="1348">
        <f>+prix_titre(AF$1,AA194,AB194,M194,K194,W194,V194,P194,Q194,N194,D194,Y194)</f>
        <v>100046.07120258608</v>
      </c>
      <c r="Y194" s="1347">
        <v>1</v>
      </c>
      <c r="Z194" s="1349"/>
      <c r="AA194" s="1343">
        <v>46098</v>
      </c>
      <c r="AB194" s="1343">
        <v>46463</v>
      </c>
      <c r="AC194" s="1349"/>
    </row>
    <row r="195" spans="1:30" ht="15" hidden="1" x14ac:dyDescent="0.25">
      <c r="A195" s="1191">
        <v>201809</v>
      </c>
      <c r="B195" s="1192">
        <f t="shared" si="18"/>
        <v>124961.74</v>
      </c>
      <c r="C195" s="1193">
        <f>(AB195-$AF$1)</f>
        <v>10189</v>
      </c>
      <c r="D195" s="1194">
        <f t="shared" si="16"/>
        <v>4.0280000000000003E-2</v>
      </c>
      <c r="E195" s="1195">
        <f>duration_titre($AF$1,AA195,AB195,M195,K195,W195,V195,P195,Q195,N195,D195)</f>
        <v>16.140508979874259</v>
      </c>
      <c r="F195" s="1195">
        <f t="shared" si="19"/>
        <v>15.515542911402946</v>
      </c>
      <c r="G195" s="1195">
        <f>convexite_titre($AF$1,AA195,AB195,M195,K195,W195,V195,P195,Q195,N195,D195)</f>
        <v>343.77753079580498</v>
      </c>
      <c r="H195" s="1196">
        <f>+ROUND(coupon_courru($AF$1,AA195,AB195,M195,K195,W195,P195,Q195,N195,V195,"V"),4)</f>
        <v>572.60270000000003</v>
      </c>
      <c r="I195" s="1199">
        <f>+IF(Y195=1,B195,D195*100)</f>
        <v>124961.74</v>
      </c>
      <c r="J195" s="1193" t="str">
        <f>VLOOKUP(A195,Marché!B1743:L4037,2,FALSE)</f>
        <v>BDT DU 20/03/2023 à 5.5 30 ans</v>
      </c>
      <c r="K195" s="1193">
        <f>VLOOKUP(A195,Marché!B1743:L4037,3,FALSE)</f>
        <v>100000</v>
      </c>
      <c r="L195" s="1193">
        <f>VLOOKUP(A195,Marché!B1743:L4037,4,FALSE)</f>
        <v>0</v>
      </c>
      <c r="M195" s="1197">
        <f>VLOOKUP(A195,Marché!B1743:L4037,5,FALSE)</f>
        <v>5.5E-2</v>
      </c>
      <c r="N195" s="1193">
        <v>30</v>
      </c>
      <c r="O195" s="1200" t="s">
        <v>1716</v>
      </c>
      <c r="P195" s="1200" t="s">
        <v>1716</v>
      </c>
      <c r="Q195" s="1200" t="str">
        <f>VLOOKUP(A195,Marché!B1743:L4037,11,FALSE)</f>
        <v>F</v>
      </c>
      <c r="R195" s="1287">
        <v>0</v>
      </c>
      <c r="S195" s="1229" cm="1">
        <f t="array" ref="S195">IF(C195&gt;'Courbe des taux'!$D$50,ROUND( TREND('Courbe des taux'!$E$49:$E$50,'Courbe des taux'!$D$49:$D$50,Lignes_détenues!C195),5),ROUND(IF(C195&gt;365,interpoler(_mat2,taux2,C195),interpoler(_mat1,taux1,C195)),5))</f>
        <v>4.0280000000000003E-2</v>
      </c>
      <c r="T195" s="1201">
        <f t="shared" si="17"/>
        <v>4.0280000000000003E-2</v>
      </c>
      <c r="U195" s="1201">
        <f>ROUND(IF(D195*366&gt;366,interpoler(_mat2,taux2,D195*366),interpoler(_mat1,taux1,D195*366)),5)</f>
        <v>2.2700000000000001E-2</v>
      </c>
      <c r="V195" s="1202" t="str">
        <f>+IF((AB195-$AF$1)&lt;=366,"M","A")</f>
        <v>A</v>
      </c>
      <c r="W195" s="1202" t="s">
        <v>287</v>
      </c>
      <c r="X195" s="1212">
        <f>+prix_atp(AF$1,AA195,Z195,AB195,M195,K195,W195,V195,P195,Q195,N195,D195,Y195)</f>
        <v>124961.73519116525</v>
      </c>
      <c r="Y195" s="1202">
        <v>1</v>
      </c>
      <c r="Z195" s="35">
        <v>45338</v>
      </c>
      <c r="AA195" s="1198">
        <f>+Marché!G2466</f>
        <v>45005</v>
      </c>
      <c r="AB195" s="1198">
        <f>+Marché!H2466</f>
        <v>56296</v>
      </c>
      <c r="AC195" s="35"/>
      <c r="AD195" s="2"/>
    </row>
    <row r="196" spans="1:30" ht="15" hidden="1" x14ac:dyDescent="0.25">
      <c r="A196" s="1191">
        <v>201814</v>
      </c>
      <c r="B196" s="1192">
        <f t="shared" si="18"/>
        <v>0</v>
      </c>
      <c r="C196" s="1193">
        <f>(AB196-$AF$1)</f>
        <v>-192</v>
      </c>
      <c r="D196" s="1194">
        <f t="shared" si="16"/>
        <v>2.2700000000000001E-2</v>
      </c>
      <c r="E196" s="1195">
        <f>duration_titre($AF$1,AA196,AB196,M196,K196,W196,V196,P196,Q196,N196,D196)</f>
        <v>0</v>
      </c>
      <c r="F196" s="1195">
        <f t="shared" si="19"/>
        <v>0</v>
      </c>
      <c r="G196" s="1195">
        <f>convexite_titre($AF$1,AA196,AB196,M196,K196,W196,V196,P196,Q196,N196,D196)</f>
        <v>0</v>
      </c>
      <c r="H196" s="1196">
        <f>+ROUND(coupon_courru($AF$1,AA196,AB196,M196,K196,W196,P196,Q196,N196,V196,"V"),4)</f>
        <v>2051.5068000000001</v>
      </c>
      <c r="I196" s="1199">
        <f>+IF(Y196=1,B196,D196*100)</f>
        <v>0</v>
      </c>
      <c r="J196" s="1193" t="str">
        <f>VLOOKUP(A196,Marché!B1754:L4048,2,FALSE)</f>
        <v>BDT du 15/09/2023 à 3.90% 2 ans ATYP 25/04/2023</v>
      </c>
      <c r="K196" s="1193">
        <f>VLOOKUP(A196,Marché!B1754:L4048,3,FALSE)</f>
        <v>100000</v>
      </c>
      <c r="L196" s="1193">
        <f>VLOOKUP(A196,Marché!B1754:L4048,4,FALSE)</f>
        <v>0</v>
      </c>
      <c r="M196" s="1197">
        <f>VLOOKUP(A196,Marché!B1754:L4048,5,FALSE)</f>
        <v>3.9E-2</v>
      </c>
      <c r="N196" s="1193">
        <f>Marché!I2477</f>
        <v>2</v>
      </c>
      <c r="O196" s="1200" t="str">
        <f>Marché!J2477</f>
        <v>A</v>
      </c>
      <c r="P196" s="1200" t="str">
        <f>Marché!K2477</f>
        <v>A</v>
      </c>
      <c r="Q196" s="1200" t="str">
        <f>Marché!L2477</f>
        <v>F</v>
      </c>
      <c r="R196" s="1287">
        <v>0</v>
      </c>
      <c r="S196" s="1229" cm="1">
        <f t="array" ref="S196">IF(C196&gt;'Courbe des taux'!$D$50,ROUND( TREND('Courbe des taux'!$E$49:$E$50,'Courbe des taux'!$D$49:$D$50,Lignes_détenues!C196),5),ROUND(IF(C196&gt;365,interpoler(_mat2,taux2,C196),interpoler(_mat1,taux1,C196)),5))</f>
        <v>2.2700000000000001E-2</v>
      </c>
      <c r="T196" s="1201">
        <f t="shared" si="17"/>
        <v>2.2700000000000001E-2</v>
      </c>
      <c r="U196" s="1201">
        <f>ROUND(IF(D196*366&gt;366,interpoler(_mat2,taux2,D196*366),interpoler(_mat1,taux1,D196*366)),5)</f>
        <v>2.2700000000000001E-2</v>
      </c>
      <c r="V196" s="1202" t="str">
        <f>+IF((AB196-$AF$1)&lt;=366,"M","A")</f>
        <v>M</v>
      </c>
      <c r="W196" s="1202" t="s">
        <v>287</v>
      </c>
      <c r="X196" s="1212">
        <f>+prix_atp(AF$1,AA196,Z196,AB196,M196,K196,W196,V196,P196,Q196,N196,D196,Y196)</f>
        <v>0</v>
      </c>
      <c r="Y196" s="1202">
        <v>1</v>
      </c>
      <c r="Z196" s="35">
        <v>45184</v>
      </c>
      <c r="AA196" s="1198">
        <f>+Marché!G2477</f>
        <v>45041</v>
      </c>
      <c r="AB196" s="1198">
        <f>+Marché!H2477</f>
        <v>45915</v>
      </c>
      <c r="AC196" s="35"/>
      <c r="AD196" s="2"/>
    </row>
    <row r="197" spans="1:30" ht="15" hidden="1" x14ac:dyDescent="0.25">
      <c r="A197" s="1191">
        <v>201811</v>
      </c>
      <c r="B197" s="1192">
        <f t="shared" ref="B197:B221" si="20">+ROUND(X197,2)</f>
        <v>0</v>
      </c>
      <c r="C197" s="1193">
        <f>(AB197-$AF$1)</f>
        <v>-220</v>
      </c>
      <c r="D197" s="1194">
        <f t="shared" si="16"/>
        <v>2.2700000000000001E-2</v>
      </c>
      <c r="E197" s="1195">
        <f>duration_titre($AF$1,AA197,AB197,M197,K197,W197,V197,P197,Q197,N197,D197)</f>
        <v>0</v>
      </c>
      <c r="F197" s="1195">
        <f t="shared" si="19"/>
        <v>0</v>
      </c>
      <c r="G197" s="1195">
        <f>convexite_titre($AF$1,AA197,AB197,M197,K197,W197,V197,P197,Q197,N197,D197)</f>
        <v>0</v>
      </c>
      <c r="H197" s="1196">
        <f>+ROUND(coupon_courru($AF$1,AA197,AB197,M197,K197,W197,P197,Q197,N197,V197,"V"),4)</f>
        <v>2350.6849000000002</v>
      </c>
      <c r="I197" s="1199">
        <f>+IF(Y197=1,B197,D197*100)</f>
        <v>0</v>
      </c>
      <c r="J197" s="1193" t="str">
        <f>VLOOKUP(A197,Marché!B1755:L4049,2,FALSE)</f>
        <v>BDT du 18/08/2023 à 3.90% 2 ans ATYP 25/04/2023</v>
      </c>
      <c r="K197" s="1193">
        <f>VLOOKUP(A197,Marché!B1755:L4049,3,FALSE)</f>
        <v>100000</v>
      </c>
      <c r="L197" s="1193">
        <f>VLOOKUP(A197,Marché!B1755:L4049,4,FALSE)</f>
        <v>0</v>
      </c>
      <c r="M197" s="1197">
        <f>VLOOKUP(A197,Marché!B1755:L4049,5,FALSE)</f>
        <v>3.9E-2</v>
      </c>
      <c r="N197" s="1193">
        <f>Marché!I2478</f>
        <v>2</v>
      </c>
      <c r="O197" s="1200" t="str">
        <f>Marché!J2478</f>
        <v>A</v>
      </c>
      <c r="P197" s="1200" t="str">
        <f>Marché!K2478</f>
        <v>A</v>
      </c>
      <c r="Q197" s="1200" t="str">
        <f>Marché!L2478</f>
        <v>F</v>
      </c>
      <c r="R197" s="1287">
        <v>0</v>
      </c>
      <c r="S197" s="1229" cm="1">
        <f t="array" ref="S197">IF(C197&gt;'Courbe des taux'!$D$50,ROUND( TREND('Courbe des taux'!$E$49:$E$50,'Courbe des taux'!$D$49:$D$50,Lignes_détenues!C197),5),ROUND(IF(C197&gt;365,interpoler(_mat2,taux2,C197),interpoler(_mat1,taux1,C197)),5))</f>
        <v>2.2700000000000001E-2</v>
      </c>
      <c r="T197" s="1201">
        <f t="shared" si="17"/>
        <v>2.2700000000000001E-2</v>
      </c>
      <c r="U197" s="1201">
        <f>ROUND(IF(D197*366&gt;366,interpoler(_mat2,taux2,D197*366),interpoler(_mat1,taux1,D197*366)),5)</f>
        <v>2.2700000000000001E-2</v>
      </c>
      <c r="V197" s="1202" t="str">
        <f>+IF((AB197-$AF$1)&lt;=366,"M","A")</f>
        <v>M</v>
      </c>
      <c r="W197" s="1202" t="s">
        <v>287</v>
      </c>
      <c r="X197" s="1212">
        <f>+prix_atp(AF$1,AA197,Z197,AB197,M197,K197,W197,V197,P197,Q197,N197,D197,Y197)</f>
        <v>0</v>
      </c>
      <c r="Y197" s="1202">
        <v>1</v>
      </c>
      <c r="Z197" s="35">
        <v>45156</v>
      </c>
      <c r="AA197" s="1198">
        <f>+Marché!G2478</f>
        <v>45041</v>
      </c>
      <c r="AB197" s="1198">
        <f>+Marché!H2478</f>
        <v>45887</v>
      </c>
      <c r="AC197" s="35"/>
      <c r="AD197" s="2"/>
    </row>
    <row r="198" spans="1:30" ht="15" hidden="1" x14ac:dyDescent="0.25">
      <c r="A198" s="1191">
        <v>201791</v>
      </c>
      <c r="B198" s="1192">
        <f t="shared" si="20"/>
        <v>106082.12</v>
      </c>
      <c r="C198" s="1193">
        <f>(AB198-$AF$1)</f>
        <v>753</v>
      </c>
      <c r="D198" s="1194">
        <f t="shared" si="16"/>
        <v>2.6769999999999999E-2</v>
      </c>
      <c r="E198" s="1195">
        <f>duration_titre($AF$1,AA198,AB198,M198,K198,W198,V198,P198,Q198,N198,D198)</f>
        <v>1.9536484084448886</v>
      </c>
      <c r="F198" s="1195">
        <f t="shared" si="19"/>
        <v>1.9027127871333294</v>
      </c>
      <c r="G198" s="1195">
        <f>convexite_titre($AF$1,AA198,AB198,M198,K198,W198,V198,P198,Q198,N198,D198)</f>
        <v>5.6358299618374659</v>
      </c>
      <c r="H198" s="1196">
        <f>+ROUND(coupon_courru($AF$1,AA198,AB198,M198,K198,W198,P198,Q198,N198,V198,"V"),4)</f>
        <v>3664.9315000000001</v>
      </c>
      <c r="I198" s="1199">
        <f>+IF(Y198=1,B198,D198*100)</f>
        <v>106082.12</v>
      </c>
      <c r="J198" s="1193" t="str">
        <f>VLOOKUP(A198,Marché!B1765:L4059,2,FALSE)</f>
        <v>BDT DU 16/01/2023 5 ANS 3.90%</v>
      </c>
      <c r="K198" s="1193">
        <f>VLOOKUP(A198,Marché!B1765:L4059,3,FALSE)</f>
        <v>100000</v>
      </c>
      <c r="L198" s="1193">
        <f>VLOOKUP(A198,Marché!B1765:L4059,4,FALSE)</f>
        <v>0</v>
      </c>
      <c r="M198" s="1197">
        <f>VLOOKUP(A198,Marché!B1765:L4059,5,FALSE)</f>
        <v>3.9E-2</v>
      </c>
      <c r="N198" s="1193">
        <f>Marché!I2488</f>
        <v>5</v>
      </c>
      <c r="O198" s="1200" t="str">
        <f>Marché!J2488</f>
        <v>A</v>
      </c>
      <c r="P198" s="1200" t="str">
        <f>Marché!K2488</f>
        <v>A</v>
      </c>
      <c r="Q198" s="1200" t="str">
        <f>Marché!L2488</f>
        <v>F</v>
      </c>
      <c r="R198" s="1287">
        <v>0</v>
      </c>
      <c r="S198" s="1229" cm="1">
        <f t="array" ref="S198">IF(C198&gt;'Courbe des taux'!$D$50,ROUND( TREND('Courbe des taux'!$E$49:$E$50,'Courbe des taux'!$D$49:$D$50,Lignes_détenues!C198),5),ROUND(IF(C198&gt;365,interpoler(_mat2,taux2,C198),interpoler(_mat1,taux1,C198)),5))</f>
        <v>2.6769999999999999E-2</v>
      </c>
      <c r="T198" s="1201">
        <f t="shared" si="17"/>
        <v>2.6769999999999999E-2</v>
      </c>
      <c r="U198" s="1201">
        <f>ROUND(IF(D198*366&gt;366,interpoler(_mat2,taux2,D198*366),interpoler(_mat1,taux1,D198*366)),5)</f>
        <v>2.2700000000000001E-2</v>
      </c>
      <c r="V198" s="1202" t="str">
        <f>+IF((AB198-$AF$1)&lt;=366,"M","A")</f>
        <v>A</v>
      </c>
      <c r="W198" s="1202" t="s">
        <v>287</v>
      </c>
      <c r="X198" s="1212">
        <f>+prix_atp(AF$1,AA198,Z198,AB198,M198,K198,W198,V198,P198,Q198,N198,D198,Y198)</f>
        <v>106082.1222760587</v>
      </c>
      <c r="Y198" s="1202">
        <v>1</v>
      </c>
      <c r="Z198" s="35">
        <v>45033</v>
      </c>
      <c r="AA198" s="1198">
        <f>+Marché!G2488</f>
        <v>44942</v>
      </c>
      <c r="AB198" s="1198">
        <f>+Marché!H2488</f>
        <v>46860</v>
      </c>
      <c r="AC198" s="35"/>
      <c r="AD198" s="2"/>
    </row>
    <row r="199" spans="1:30" ht="15" hidden="1" x14ac:dyDescent="0.25">
      <c r="A199" s="1191">
        <v>201793</v>
      </c>
      <c r="B199" s="1192">
        <f t="shared" si="20"/>
        <v>117477.5</v>
      </c>
      <c r="C199" s="1193">
        <f>(AB199-$AF$1)</f>
        <v>6353</v>
      </c>
      <c r="D199" s="1194">
        <f t="shared" si="16"/>
        <v>3.6040000000000003E-2</v>
      </c>
      <c r="E199" s="1195">
        <f>duration_titre($AF$1,AA199,AB199,M199,K199,W199,V199,P199,Q199,N199,D199)</f>
        <v>12.298736165634812</v>
      </c>
      <c r="F199" s="1195">
        <f t="shared" si="19"/>
        <v>11.87090861900584</v>
      </c>
      <c r="G199" s="1195">
        <f>convexite_titre($AF$1,AA199,AB199,M199,K199,W199,V199,P199,Q199,N199,D199)</f>
        <v>186.34676982236877</v>
      </c>
      <c r="H199" s="1196">
        <f>+ROUND(coupon_courru($AF$1,AA199,AB199,M199,K199,W199,P199,Q199,N199,V199,"V"),4)</f>
        <v>2876.0273999999999</v>
      </c>
      <c r="I199" s="1199">
        <f>+IF(Y199=1,B199,D199*100)</f>
        <v>117477.5</v>
      </c>
      <c r="J199" s="1193" t="str">
        <f>VLOOKUP(A199,Marché!B1766:L4060,2,FALSE)</f>
        <v>BDT du 17/08/2023 à 4.75%  20 ans ATYP 16/01/2023</v>
      </c>
      <c r="K199" s="1193">
        <f>VLOOKUP(A199,Marché!B1766:L4060,3,FALSE)</f>
        <v>100000</v>
      </c>
      <c r="L199" s="1193">
        <f>VLOOKUP(A199,Marché!B1766:L4060,4,FALSE)</f>
        <v>0</v>
      </c>
      <c r="M199" s="1197">
        <f>VLOOKUP(A199,Marché!B1766:L4060,5,FALSE)</f>
        <v>4.7500000000000001E-2</v>
      </c>
      <c r="N199" s="1193">
        <f>Marché!I2489</f>
        <v>20</v>
      </c>
      <c r="O199" s="1200" t="str">
        <f>Marché!J2489</f>
        <v>A</v>
      </c>
      <c r="P199" s="1200" t="str">
        <f>Marché!K2489</f>
        <v>A</v>
      </c>
      <c r="Q199" s="1200" t="str">
        <f>Marché!L2489</f>
        <v>F</v>
      </c>
      <c r="R199" s="1287">
        <v>0</v>
      </c>
      <c r="S199" s="1229" cm="1">
        <f t="array" ref="S199">IF(C199&gt;'Courbe des taux'!$D$50,ROUND( TREND('Courbe des taux'!$E$49:$E$50,'Courbe des taux'!$D$49:$D$50,Lignes_détenues!C199),5),ROUND(IF(C199&gt;365,interpoler(_mat2,taux2,C199),interpoler(_mat1,taux1,C199)),5))</f>
        <v>3.6040000000000003E-2</v>
      </c>
      <c r="T199" s="1201">
        <f t="shared" si="17"/>
        <v>3.6040000000000003E-2</v>
      </c>
      <c r="U199" s="1201">
        <f>ROUND(IF(D199*366&gt;366,interpoler(_mat2,taux2,D199*366),interpoler(_mat1,taux1,D199*366)),5)</f>
        <v>2.2700000000000001E-2</v>
      </c>
      <c r="V199" s="1202" t="str">
        <f>+IF((AB199-$AF$1)&lt;=366,"M","A")</f>
        <v>A</v>
      </c>
      <c r="W199" s="1202" t="s">
        <v>287</v>
      </c>
      <c r="X199" s="1212">
        <f>+prix_atp(AF$1,AA199,Z199,AB199,M199,K199,W199,V199,P199,Q199,N199,D199,Y199)</f>
        <v>117477.50106758281</v>
      </c>
      <c r="Y199" s="1202">
        <v>1</v>
      </c>
      <c r="Z199" s="35">
        <v>45155</v>
      </c>
      <c r="AA199" s="1198">
        <f>+Marché!G2489</f>
        <v>44942</v>
      </c>
      <c r="AB199" s="1198">
        <f>+Marché!H2489</f>
        <v>52460</v>
      </c>
      <c r="AC199" s="35"/>
      <c r="AD199" s="2"/>
    </row>
    <row r="200" spans="1:30" ht="15" hidden="1" x14ac:dyDescent="0.25">
      <c r="A200" s="1191">
        <v>201805</v>
      </c>
      <c r="B200" s="1192">
        <f t="shared" si="20"/>
        <v>0</v>
      </c>
      <c r="C200" s="1193">
        <f>(AB200-$AF$1)</f>
        <v>-406</v>
      </c>
      <c r="D200" s="1194">
        <f t="shared" si="16"/>
        <v>2.47E-2</v>
      </c>
      <c r="E200" s="1195">
        <f>duration_titre($AF$1,AA200,AB200,M200,K200,W200,V200,P200,Q200,N200,D200)</f>
        <v>0</v>
      </c>
      <c r="F200" s="1195">
        <f t="shared" si="19"/>
        <v>0</v>
      </c>
      <c r="G200" s="1195">
        <f>convexite_titre($AF$1,AA200,AB200,M200,K200,W200,V200,P200,Q200,N200,D200)</f>
        <v>0</v>
      </c>
      <c r="H200" s="1196">
        <f>+ROUND(coupon_courru($AF$1,AA200,AB200,M200,K200,W200,P200,Q200,N200,V200,"V"),4)</f>
        <v>3624.3332999999998</v>
      </c>
      <c r="I200" s="1199">
        <f>+IF(Y200=1,B200,D200*100)</f>
        <v>0</v>
      </c>
      <c r="J200" s="1193" t="str">
        <f>Marché!C2498</f>
        <v>BDT du 13/02/2023 à 3.37% 2 ans REVIS</v>
      </c>
      <c r="K200" s="1193">
        <f>Marché!D2498</f>
        <v>100000</v>
      </c>
      <c r="L200" s="1193">
        <f>Marché!E2498</f>
        <v>0</v>
      </c>
      <c r="M200" s="1197">
        <v>2.6200000000000001E-2</v>
      </c>
      <c r="N200" s="1193">
        <v>13</v>
      </c>
      <c r="O200" s="1200" t="s">
        <v>369</v>
      </c>
      <c r="P200" s="1200" t="str">
        <f>Marché!K2498</f>
        <v>A</v>
      </c>
      <c r="Q200" s="1200" t="str">
        <f>Marché!L2498</f>
        <v>F</v>
      </c>
      <c r="R200" s="1287">
        <v>2E-3</v>
      </c>
      <c r="S200" s="1229" cm="1">
        <f t="array" ref="S200">IF(C200&gt;'Courbe des taux'!$D$50,ROUND( TREND('Courbe des taux'!$E$49:$E$50,'Courbe des taux'!$D$49:$D$50,Lignes_détenues!C200),5),ROUND(IF(C200&gt;365,interpoler(_mat2,taux2,C200),interpoler(_mat1,taux1,C200)),5))</f>
        <v>2.2700000000000001E-2</v>
      </c>
      <c r="T200" s="1201">
        <f t="shared" si="17"/>
        <v>2.2700000000000001E-2</v>
      </c>
      <c r="U200" s="1201">
        <f>ROUND(IF(D200*366&gt;366,interpoler(_mat2,taux2,D200*366),interpoler(_mat1,taux1,D200*366)),5)</f>
        <v>2.2700000000000001E-2</v>
      </c>
      <c r="V200" s="1202" t="str">
        <f>+IF((AB200-$AF$1)&lt;=366,"M","A")</f>
        <v>M</v>
      </c>
      <c r="W200" s="1202" t="s">
        <v>287</v>
      </c>
      <c r="X200" s="1212">
        <f>+prix_titre(AF$1,AA200,AB200,M200,K200,W200,V200,P200,Q200,N200,D200,Y200)</f>
        <v>0</v>
      </c>
      <c r="Y200" s="1202">
        <v>1</v>
      </c>
      <c r="Z200" s="35"/>
      <c r="AA200" s="1198">
        <v>45609</v>
      </c>
      <c r="AB200" s="1198">
        <v>45701</v>
      </c>
      <c r="AC200" s="35"/>
      <c r="AD200" s="2"/>
    </row>
    <row r="201" spans="1:30" ht="15" hidden="1" x14ac:dyDescent="0.25">
      <c r="A201" s="1191">
        <v>152236</v>
      </c>
      <c r="B201" s="1192">
        <f t="shared" si="20"/>
        <v>102814.14</v>
      </c>
      <c r="C201" s="1193">
        <f>(AB201-$AF$1)</f>
        <v>446</v>
      </c>
      <c r="D201" s="1194">
        <f t="shared" si="16"/>
        <v>3.2489999999999998E-2</v>
      </c>
      <c r="E201" s="1195">
        <f>duration_titre($AF$1,AA201,AB201,M201,K201,W201,V201,P201,Q201,N201,D201)</f>
        <v>1.1890822390617115</v>
      </c>
      <c r="F201" s="1195">
        <f t="shared" si="19"/>
        <v>1.1516646544389888</v>
      </c>
      <c r="G201" s="1195">
        <f>convexite_titre($AF$1,AA201,AB201,M201,K201,W201,V201,P201,Q201,N201,D201)</f>
        <v>2.4715461703362842</v>
      </c>
      <c r="H201" s="1196">
        <f>+ROUND(coupon_courru($AF$1,AA201,AB201,M201,K201,W201,P201,Q201,N201,V201,"V"),4)</f>
        <v>2645.4794999999999</v>
      </c>
      <c r="I201" s="1199">
        <f>+IF(Y201=1,B201,D201*100)</f>
        <v>3.2489999999999997</v>
      </c>
      <c r="J201" s="1193" t="str">
        <f>Marché!C2499</f>
        <v xml:space="preserve">CD CAM  du 15/06/2020 à 3.4% 7 ans </v>
      </c>
      <c r="K201" s="1193">
        <f>Marché!D2499</f>
        <v>100000</v>
      </c>
      <c r="L201" s="1193">
        <f>Marché!E2499</f>
        <v>0</v>
      </c>
      <c r="M201" s="1197">
        <f>Marché!F2499</f>
        <v>3.4000000000000002E-2</v>
      </c>
      <c r="N201" s="1193">
        <f>Marché!I2499</f>
        <v>7</v>
      </c>
      <c r="O201" s="1200" t="str">
        <f>Marché!J2499</f>
        <v>A</v>
      </c>
      <c r="P201" s="1200" t="str">
        <f>Marché!K2499</f>
        <v>A</v>
      </c>
      <c r="Q201" s="1200" t="str">
        <f>Marché!L2499</f>
        <v>F</v>
      </c>
      <c r="R201" s="1287">
        <v>7.0000000000000001E-3</v>
      </c>
      <c r="S201" s="1229" cm="1">
        <f t="array" ref="S201">IF(C201&gt;'Courbe des taux'!$D$50,ROUND( TREND('Courbe des taux'!$E$49:$E$50,'Courbe des taux'!$D$49:$D$50,Lignes_détenues!C201),5),ROUND(IF(C201&gt;365,interpoler(_mat2,taux2,C201),interpoler(_mat1,taux1,C201)),5))</f>
        <v>2.5489999999999999E-2</v>
      </c>
      <c r="T201" s="1201">
        <f t="shared" si="17"/>
        <v>2.5489999999999999E-2</v>
      </c>
      <c r="U201" s="1201">
        <f>ROUND(IF(D201*366&gt;366,interpoler(_mat2,taux2,D201*366),interpoler(_mat1,taux1,D201*366)),5)</f>
        <v>2.2700000000000001E-2</v>
      </c>
      <c r="V201" s="1202" t="str">
        <f>+IF((AB201-$AF$1)&lt;=366,"M","A")</f>
        <v>A</v>
      </c>
      <c r="W201" s="1202" t="s">
        <v>287</v>
      </c>
      <c r="X201" s="1212">
        <f>+prix_atp(AF$1,AA201,Z201,AB201,M201,K201,W201,V201,P201,Q201,N201,D201,Y201)</f>
        <v>102814.14071410094</v>
      </c>
      <c r="Y201" s="1202">
        <v>2</v>
      </c>
      <c r="Z201" s="35"/>
      <c r="AA201" s="1198">
        <f>Marché!G2499</f>
        <v>43997</v>
      </c>
      <c r="AB201" s="1198">
        <f>Marché!H2499</f>
        <v>46553</v>
      </c>
      <c r="AC201" s="35"/>
      <c r="AD201" s="2"/>
    </row>
    <row r="202" spans="1:30" ht="15" hidden="1" x14ac:dyDescent="0.25">
      <c r="A202" s="1191">
        <v>201817</v>
      </c>
      <c r="B202" s="1192">
        <f t="shared" si="20"/>
        <v>0</v>
      </c>
      <c r="C202" s="1193">
        <f>(AB202-$AF$1)</f>
        <v>-129</v>
      </c>
      <c r="D202" s="1194">
        <f t="shared" si="16"/>
        <v>2.2700000000000001E-2</v>
      </c>
      <c r="E202" s="1195">
        <f>duration_titre($AF$1,AA202,AB202,M202,K202,W202,V202,P202,Q202,N202,D202)</f>
        <v>0</v>
      </c>
      <c r="F202" s="1195">
        <f t="shared" si="19"/>
        <v>0</v>
      </c>
      <c r="G202" s="1195">
        <f>convexite_titre($AF$1,AA202,AB202,M202,K202,W202,V202,P202,Q202,N202,D202)</f>
        <v>0</v>
      </c>
      <c r="H202" s="1196">
        <f>+ROUND(coupon_courru($AF$1,AA202,AB202,M202,K202,W202,P202,Q202,N202,V202,"V"),4)</f>
        <v>1378.3561999999999</v>
      </c>
      <c r="I202" s="1199">
        <f>+IF(Y202=1,B202,D202*100)</f>
        <v>2.27</v>
      </c>
      <c r="J202" s="1193" t="str">
        <f>Marché!C2500</f>
        <v>BDT DU 22/05/2023 à 3.90% 2 ANS</v>
      </c>
      <c r="K202" s="1193">
        <f>Marché!D2500</f>
        <v>100000</v>
      </c>
      <c r="L202" s="1193">
        <f>Marché!E2500</f>
        <v>0</v>
      </c>
      <c r="M202" s="1197">
        <f>Marché!F2500</f>
        <v>3.9E-2</v>
      </c>
      <c r="N202" s="1193">
        <f>Marché!I2500</f>
        <v>2</v>
      </c>
      <c r="O202" s="1200" t="str">
        <f>Marché!J2500</f>
        <v>A</v>
      </c>
      <c r="P202" s="1200" t="str">
        <f>Marché!K2500</f>
        <v>A</v>
      </c>
      <c r="Q202" s="1200" t="str">
        <f>Marché!L2500</f>
        <v>F</v>
      </c>
      <c r="R202" s="1287">
        <v>0</v>
      </c>
      <c r="S202" s="1229" cm="1">
        <f t="array" ref="S202">IF(C202&gt;'Courbe des taux'!$D$50,ROUND( TREND('Courbe des taux'!$E$49:$E$50,'Courbe des taux'!$D$49:$D$50,Lignes_détenues!C202),5),ROUND(IF(C202&gt;365,interpoler(_mat2,taux2,C202),interpoler(_mat1,taux1,C202)),5))</f>
        <v>2.2700000000000001E-2</v>
      </c>
      <c r="T202" s="1201">
        <f t="shared" si="17"/>
        <v>2.2700000000000001E-2</v>
      </c>
      <c r="U202" s="1201">
        <f>ROUND(IF(D202*366&gt;366,interpoler(_mat2,taux2,D202*366),interpoler(_mat1,taux1,D202*366)),5)</f>
        <v>2.2700000000000001E-2</v>
      </c>
      <c r="V202" s="1202" t="str">
        <f>+IF((AB202-$AF$1)&lt;=366,"M","A")</f>
        <v>M</v>
      </c>
      <c r="W202" s="1202" t="s">
        <v>287</v>
      </c>
      <c r="X202" s="1212">
        <f>+prix_atp(AF$1,AA202,Z202,AB202,M202,K202,W202,V202,P202,Q202,N202,D202,Y202)</f>
        <v>0</v>
      </c>
      <c r="Y202" s="1202">
        <v>3</v>
      </c>
      <c r="Z202" s="35">
        <v>45247</v>
      </c>
      <c r="AA202" s="1198">
        <f>Marché!G2500</f>
        <v>45068</v>
      </c>
      <c r="AB202" s="1198">
        <f>Marché!H2500</f>
        <v>45978</v>
      </c>
      <c r="AC202" s="35"/>
      <c r="AD202" s="2"/>
    </row>
    <row r="203" spans="1:30" s="1417" customFormat="1" ht="15" hidden="1" x14ac:dyDescent="0.25">
      <c r="A203" s="1402">
        <v>9580</v>
      </c>
      <c r="B203" s="1403">
        <f t="shared" si="20"/>
        <v>8342.7099999999991</v>
      </c>
      <c r="C203" s="1404">
        <f>(AB203-$AF$1)</f>
        <v>-193</v>
      </c>
      <c r="D203" s="1405">
        <f t="shared" si="16"/>
        <v>3.3700000000000001E-2</v>
      </c>
      <c r="E203" s="1406">
        <f>duration_titre($AF$1,AA203,AB203,M203,K203,W203,V203,P203,Q203,N203,D203)</f>
        <v>0</v>
      </c>
      <c r="F203" s="1406">
        <f t="shared" si="19"/>
        <v>0</v>
      </c>
      <c r="G203" s="1406">
        <f>convexite_titre($AF$1,AA203,AB203,M203,K203,W203,V203,P203,Q203,N203,D203)</f>
        <v>0</v>
      </c>
      <c r="H203" s="1407">
        <f>+ROUND(coupon_courru($AF$1,AA203,AB203,M203,K203,W203,P203,Q203,N203,V203,"V"),4)</f>
        <v>9342.6666999999998</v>
      </c>
      <c r="I203" s="1408">
        <f>+IF(Y203=1,B203,D203*100)</f>
        <v>8342.7099999999991</v>
      </c>
      <c r="J203" s="1404" t="str">
        <f>Marché!C2501</f>
        <v xml:space="preserve"> OULMES du 14/06/2023 à 4.12% 3 ans  REV ET Amrt TRIM </v>
      </c>
      <c r="K203" s="1404">
        <f>Marché!D2501</f>
        <v>100000</v>
      </c>
      <c r="L203" s="1404">
        <f>Marché!E2501</f>
        <v>0</v>
      </c>
      <c r="M203" s="1409">
        <f>Marché!F2501</f>
        <v>3.6400000000000002E-2</v>
      </c>
      <c r="N203" s="1404">
        <f>Marché!I2501</f>
        <v>13</v>
      </c>
      <c r="O203" s="1411" t="str">
        <f>Marché!J2501</f>
        <v>S</v>
      </c>
      <c r="P203" s="1411" t="str">
        <f>Marché!K2501</f>
        <v>A</v>
      </c>
      <c r="Q203" s="1411" t="str">
        <f>Marché!L2501</f>
        <v>F</v>
      </c>
      <c r="R203" s="1412">
        <v>1.0999999999999999E-2</v>
      </c>
      <c r="S203" s="1413" cm="1">
        <f t="array" ref="S203">IF(C203&gt;'Courbe des taux'!$D$50,ROUND( TREND('Courbe des taux'!$E$49:$E$50,'Courbe des taux'!$D$49:$D$50,Lignes_détenues!C203),5),ROUND(IF(C203&gt;365,interpoler(_mat2,taux2,C203),interpoler(_mat1,taux1,C203)),5))</f>
        <v>2.2700000000000001E-2</v>
      </c>
      <c r="T203" s="1413">
        <f t="shared" si="17"/>
        <v>2.2700000000000001E-2</v>
      </c>
      <c r="U203" s="1413">
        <f>ROUND(IF(D203*366&gt;366,interpoler(_mat2,taux2,D203*366),interpoler(_mat1,taux1,D203*366)),5)</f>
        <v>2.2700000000000001E-2</v>
      </c>
      <c r="V203" s="1414" t="str">
        <f>+IF((AB203-$AF$1)&lt;=366,"M","A")</f>
        <v>M</v>
      </c>
      <c r="W203" s="1414" t="s">
        <v>287</v>
      </c>
      <c r="X203" s="1415">
        <f>Ammortissable!C657</f>
        <v>8342.7049999999999</v>
      </c>
      <c r="Y203" s="1414">
        <v>1</v>
      </c>
      <c r="Z203" s="1416"/>
      <c r="AA203" s="1410">
        <f>Marché!G2501</f>
        <v>45183</v>
      </c>
      <c r="AB203" s="1410">
        <f>Marché!H2501</f>
        <v>45914</v>
      </c>
      <c r="AC203" s="35"/>
    </row>
    <row r="204" spans="1:30" ht="15" hidden="1" x14ac:dyDescent="0.25">
      <c r="A204" s="1191">
        <v>201822</v>
      </c>
      <c r="B204" s="1192">
        <f t="shared" si="20"/>
        <v>113106.03</v>
      </c>
      <c r="C204" s="1193">
        <f>(AB204-$AF$1)</f>
        <v>4736</v>
      </c>
      <c r="D204" s="1194">
        <f t="shared" si="16"/>
        <v>3.4909999999999997E-2</v>
      </c>
      <c r="E204" s="1195">
        <f>duration_titre($AF$1,AA204,AB204,M204,K204,W204,V204,P204,Q204,N204,D204)</f>
        <v>10.165540645847083</v>
      </c>
      <c r="F204" s="1195">
        <f t="shared" si="19"/>
        <v>9.8226325437449464</v>
      </c>
      <c r="G204" s="1195">
        <f>convexite_titre($AF$1,AA204,AB204,M204,K204,W204,V204,P204,Q204,N204,D204)</f>
        <v>121.22760873152647</v>
      </c>
      <c r="H204" s="1196">
        <f>+ROUND(coupon_courru($AF$1,AA204,AB204,M204,K204,W204,P204,Q204,N204,V204,"V"),4)</f>
        <v>156.1644</v>
      </c>
      <c r="I204" s="1199">
        <f>+IF(Y204=1,B204,D204*100)</f>
        <v>113106.03</v>
      </c>
      <c r="J204" s="1193" t="str">
        <f>Marché!C2502</f>
        <v xml:space="preserve">BDT du 27/06/2023 ATYP 14/03/2024 à 4.75 % 15 ans </v>
      </c>
      <c r="K204" s="1193">
        <f>Marché!D2502</f>
        <v>100000</v>
      </c>
      <c r="L204" s="1193">
        <f>Marché!E2502</f>
        <v>0</v>
      </c>
      <c r="M204" s="1197">
        <f>Marché!F2502</f>
        <v>4.7500000000000001E-2</v>
      </c>
      <c r="N204" s="1193">
        <f>Marché!I2502</f>
        <v>15</v>
      </c>
      <c r="O204" s="1200" t="str">
        <f>Marché!J2502</f>
        <v>A</v>
      </c>
      <c r="P204" s="1200" t="str">
        <f>Marché!K2503</f>
        <v>A</v>
      </c>
      <c r="Q204" s="1200" t="str">
        <f>Marché!L2502</f>
        <v>F</v>
      </c>
      <c r="R204" s="1287">
        <v>0</v>
      </c>
      <c r="S204" s="1229" cm="1">
        <f t="array" ref="S204">IF(C204&gt;'Courbe des taux'!$D$50,ROUND( TREND('Courbe des taux'!$E$49:$E$50,'Courbe des taux'!$D$49:$D$50,Lignes_détenues!C204),5),ROUND(IF(C204&gt;365,interpoler(_mat2,taux2,C204),interpoler(_mat1,taux1,C204)),5))</f>
        <v>3.4909999999999997E-2</v>
      </c>
      <c r="T204" s="1201">
        <f t="shared" si="17"/>
        <v>3.4909999999999997E-2</v>
      </c>
      <c r="U204" s="1201">
        <f>ROUND(IF(D204*366&gt;366,interpoler(_mat2,taux2,D204*366),interpoler(_mat1,taux1,D204*366)),5)</f>
        <v>2.2700000000000001E-2</v>
      </c>
      <c r="V204" s="1202" t="str">
        <f>+IF((AB204-$AF$1)&lt;=366,"M","A")</f>
        <v>A</v>
      </c>
      <c r="W204" s="1202" t="s">
        <v>287</v>
      </c>
      <c r="X204" s="1212">
        <f>+prix_atp(AF$1,AA204,Z204,AB204,M204,K204,W204,V204,P204,Q204,N204,D204,Y204)</f>
        <v>113106.03316871001</v>
      </c>
      <c r="Y204" s="1202">
        <v>1</v>
      </c>
      <c r="Z204" s="35">
        <v>45365</v>
      </c>
      <c r="AA204" s="1198">
        <f>Marché!G2502</f>
        <v>45104</v>
      </c>
      <c r="AB204" s="1198">
        <f>Marché!H2502</f>
        <v>50843</v>
      </c>
      <c r="AC204" s="35"/>
      <c r="AD204" s="2"/>
    </row>
    <row r="205" spans="1:30" ht="15" hidden="1" x14ac:dyDescent="0.25">
      <c r="A205" s="1191">
        <v>100897</v>
      </c>
      <c r="B205" s="1192">
        <f t="shared" si="20"/>
        <v>0</v>
      </c>
      <c r="C205" s="1193">
        <f>(AB205-$AF$1)</f>
        <v>-272</v>
      </c>
      <c r="D205" s="1194">
        <f t="shared" si="16"/>
        <v>2.87E-2</v>
      </c>
      <c r="E205" s="1195">
        <f>duration_titre($AF$1,AA205,AB205,M205,K205,W205,V205,P205,Q205,N205,D205)</f>
        <v>0</v>
      </c>
      <c r="F205" s="1195">
        <f t="shared" si="19"/>
        <v>0</v>
      </c>
      <c r="G205" s="1195">
        <f>convexite_titre($AF$1,AA205,AB205,M205,K205,W205,V205,P205,Q205,N205,D205)</f>
        <v>0</v>
      </c>
      <c r="H205" s="1196">
        <f>+ROUND(coupon_courru($AF$1,AA205,AB205,M205,K205,W205,P205,Q205,N205,V205,"V"),4)</f>
        <v>3204.3836000000001</v>
      </c>
      <c r="I205" s="1199">
        <f>+IF(Y205=1,B205,D205*100)</f>
        <v>0</v>
      </c>
      <c r="J205" s="1193" t="str">
        <f>Marché!C2504</f>
        <v>BSF RCI FINANCE du 27/06/2023 à 4.30%  2 ans</v>
      </c>
      <c r="K205" s="1193">
        <f>Marché!D2504</f>
        <v>100000</v>
      </c>
      <c r="L205" s="1193">
        <f>Marché!E2504</f>
        <v>0</v>
      </c>
      <c r="M205" s="1197">
        <f>Marché!F2504</f>
        <v>4.2999999999999997E-2</v>
      </c>
      <c r="N205" s="1193">
        <f>Marché!I2504</f>
        <v>2</v>
      </c>
      <c r="O205" s="1200" t="str">
        <f>Marché!J2504</f>
        <v>A</v>
      </c>
      <c r="P205" s="1200" t="str">
        <f>Marché!K2504</f>
        <v>A</v>
      </c>
      <c r="Q205" s="1200" t="str">
        <f>Marché!L2504</f>
        <v>F</v>
      </c>
      <c r="R205" s="1287">
        <v>6.0000000000000001E-3</v>
      </c>
      <c r="S205" s="1229" cm="1">
        <f t="array" ref="S205">IF(C205&gt;'Courbe des taux'!$D$50,ROUND( TREND('Courbe des taux'!$E$49:$E$50,'Courbe des taux'!$D$49:$D$50,Lignes_détenues!C205),5),ROUND(IF(C205&gt;365,interpoler(_mat2,taux2,C205),interpoler(_mat1,taux1,C205)),5))</f>
        <v>2.2700000000000001E-2</v>
      </c>
      <c r="T205" s="1201">
        <f t="shared" si="17"/>
        <v>2.2700000000000001E-2</v>
      </c>
      <c r="U205" s="1201">
        <f>ROUND(IF(D205*366&gt;366,interpoler(_mat2,taux2,D205*366),interpoler(_mat1,taux1,D205*366)),5)</f>
        <v>2.2700000000000001E-2</v>
      </c>
      <c r="V205" s="1202" t="str">
        <f>+IF((AB205-$AF$1)&lt;365,"M","A")</f>
        <v>M</v>
      </c>
      <c r="W205" s="1202" t="s">
        <v>287</v>
      </c>
      <c r="X205" s="1212">
        <f>+prix_titre(AF$1,AA205,AB205,M205,K205,W205,V205,P205,Q205,N205,D205,Y205)</f>
        <v>0</v>
      </c>
      <c r="Y205" s="1202">
        <v>1</v>
      </c>
      <c r="Z205" s="35"/>
      <c r="AA205" s="1198">
        <f>Marché!G2504</f>
        <v>45104</v>
      </c>
      <c r="AB205" s="1198">
        <f>Marché!H2504</f>
        <v>45835</v>
      </c>
      <c r="AC205" s="35"/>
      <c r="AD205" s="2"/>
    </row>
    <row r="206" spans="1:30" ht="15" hidden="1" x14ac:dyDescent="0.25">
      <c r="A206" s="1191">
        <v>201821</v>
      </c>
      <c r="B206" s="1192">
        <f t="shared" si="20"/>
        <v>110899.66</v>
      </c>
      <c r="C206" s="1193">
        <f>(AB206-$AF$1)</f>
        <v>3007</v>
      </c>
      <c r="D206" s="1194">
        <f t="shared" si="16"/>
        <v>3.2320000000000002E-2</v>
      </c>
      <c r="E206" s="1195">
        <f>duration_titre($AF$1,AA206,AB206,M206,K206,W206,V206,P206,Q206,N206,D206)</f>
        <v>6.9484976077651428</v>
      </c>
      <c r="F206" s="1195">
        <f t="shared" si="19"/>
        <v>6.7309532003304628</v>
      </c>
      <c r="G206" s="1195">
        <f>convexite_titre($AF$1,AA206,AB206,M206,K206,W206,V206,P206,Q206,N206,D206)</f>
        <v>57.275291314846228</v>
      </c>
      <c r="H206" s="1196">
        <f>+ROUND(coupon_courru($AF$1,AA206,AB206,M206,K206,W206,P206,Q206,N206,V206,"V"),4)</f>
        <v>3298.6300999999999</v>
      </c>
      <c r="I206" s="1199">
        <f>+IF(Y206=1,B206,D206*100)</f>
        <v>110899.66</v>
      </c>
      <c r="J206" s="1193" t="str">
        <f>Marché!C2505</f>
        <v xml:space="preserve">BDT DU 27/06/2023 à 4.30% 10 ans </v>
      </c>
      <c r="K206" s="1193">
        <f>Marché!D2505</f>
        <v>100000</v>
      </c>
      <c r="L206" s="1193">
        <f>Marché!E2505</f>
        <v>0</v>
      </c>
      <c r="M206" s="1197">
        <f>Marché!F2505</f>
        <v>4.2999999999999997E-2</v>
      </c>
      <c r="N206" s="1193">
        <f>Marché!I2505</f>
        <v>10</v>
      </c>
      <c r="O206" s="1200" t="str">
        <f>Marché!J2505</f>
        <v>A</v>
      </c>
      <c r="P206" s="1200" t="str">
        <f>Marché!K2505</f>
        <v>A</v>
      </c>
      <c r="Q206" s="1200" t="str">
        <f>Marché!L2505</f>
        <v>F</v>
      </c>
      <c r="R206" s="1287">
        <v>0</v>
      </c>
      <c r="S206" s="1229" cm="1">
        <f t="array" ref="S206">IF(C206&gt;'Courbe des taux'!$D$50,ROUND( TREND('Courbe des taux'!$E$49:$E$50,'Courbe des taux'!$D$49:$D$50,Lignes_détenues!C206),5),ROUND(IF(C206&gt;365,interpoler(_mat2,taux2,C206),interpoler(_mat1,taux1,C206)),5))</f>
        <v>3.2320000000000002E-2</v>
      </c>
      <c r="T206" s="1201">
        <f t="shared" si="17"/>
        <v>3.2320000000000002E-2</v>
      </c>
      <c r="U206" s="1201">
        <f>ROUND(IF(D206*366&gt;366,interpoler(_mat2,taux2,D206*366),interpoler(_mat1,taux1,D206*366)),5)</f>
        <v>2.2700000000000001E-2</v>
      </c>
      <c r="V206" s="1202" t="str">
        <f>+IF((AB206-$AF$1)&lt;=366,"M","A")</f>
        <v>A</v>
      </c>
      <c r="W206" s="1202" t="s">
        <v>287</v>
      </c>
      <c r="X206" s="1212">
        <f>+prix_atp(AF$1,AA206,Z206,AB206,M206,K206,W206,V206,P206,Q206,N206,D206,Y206)</f>
        <v>110899.65803651896</v>
      </c>
      <c r="Y206" s="1202">
        <v>1</v>
      </c>
      <c r="Z206" s="35">
        <v>45462</v>
      </c>
      <c r="AA206" s="1198">
        <f>Marché!G2505</f>
        <v>45104</v>
      </c>
      <c r="AB206" s="1198">
        <f>Marché!H2505</f>
        <v>49114</v>
      </c>
      <c r="AC206" s="35"/>
      <c r="AD206" s="2"/>
    </row>
    <row r="207" spans="1:30" ht="15" hidden="1" x14ac:dyDescent="0.25">
      <c r="A207" s="1191">
        <v>100899</v>
      </c>
      <c r="B207" s="1192">
        <f t="shared" si="20"/>
        <v>103293.41</v>
      </c>
      <c r="C207" s="1193">
        <f>(AB207-$AF$1)</f>
        <v>110</v>
      </c>
      <c r="D207" s="1194">
        <f t="shared" si="16"/>
        <v>2.7140000000000001E-2</v>
      </c>
      <c r="E207" s="1195">
        <f>duration_titre($AF$1,AA207,AB207,M207,K207,W207,V207,P207,Q207,N207,D207)</f>
        <v>0.30136986301369861</v>
      </c>
      <c r="F207" s="1195">
        <f t="shared" si="19"/>
        <v>0.29340680239665345</v>
      </c>
      <c r="G207" s="1195">
        <f>convexite_titre($AF$1,AA207,AB207,M207,K207,W207,V207,P207,Q207,N207,D207)</f>
        <v>0.37174170049089728</v>
      </c>
      <c r="H207" s="1196">
        <f>+ROUND(coupon_courru($AF$1,AA207,AB207,M207,K207,W207,P207,Q207,N207,V207,"V"),4)</f>
        <v>2899.3150999999998</v>
      </c>
      <c r="I207" s="1199">
        <f>+IF(Y207=1,B207,D207*100)</f>
        <v>103293.41</v>
      </c>
      <c r="J207" s="1193" t="str">
        <f>Marché!C2508</f>
        <v>BSF WAFASALAF du 14/07/2023 à 4.15%   3 ANS</v>
      </c>
      <c r="K207" s="1193">
        <f>Marché!D2508</f>
        <v>100000</v>
      </c>
      <c r="L207" s="1193">
        <f>Marché!E2508</f>
        <v>0</v>
      </c>
      <c r="M207" s="1197">
        <f>Marché!F2508</f>
        <v>4.1500000000000002E-2</v>
      </c>
      <c r="N207" s="1193">
        <f>Marché!I2508</f>
        <v>3</v>
      </c>
      <c r="O207" s="1200" t="str">
        <f>Marché!J2508</f>
        <v>A</v>
      </c>
      <c r="P207" s="1200" t="str">
        <f>Marché!K2508</f>
        <v>A</v>
      </c>
      <c r="Q207" s="1200" t="str">
        <f>Marché!L2508</f>
        <v>F</v>
      </c>
      <c r="R207" s="1287">
        <v>4.0000000000000001E-3</v>
      </c>
      <c r="S207" s="1229" cm="1">
        <f t="array" ref="S207">IF(C207&gt;'Courbe des taux'!$D$50,ROUND( TREND('Courbe des taux'!$E$49:$E$50,'Courbe des taux'!$D$49:$D$50,Lignes_détenues!C207),5),ROUND(IF(C207&gt;365,interpoler(_mat2,taux2,C207),interpoler(_mat1,taux1,C207)),5))</f>
        <v>2.3140000000000001E-2</v>
      </c>
      <c r="T207" s="1201">
        <f t="shared" si="17"/>
        <v>2.3140000000000001E-2</v>
      </c>
      <c r="U207" s="1201">
        <f>ROUND(IF(D207*366&gt;366,interpoler(_mat2,taux2,D207*366),interpoler(_mat1,taux1,D207*366)),5)</f>
        <v>2.2700000000000001E-2</v>
      </c>
      <c r="V207" s="1202" t="str">
        <f>+IF((AB207-$AF$1)&lt;=366,"M","A")</f>
        <v>M</v>
      </c>
      <c r="W207" s="1202" t="s">
        <v>287</v>
      </c>
      <c r="X207" s="1212">
        <f>+prix_atp(AF$1,AA207,Z207,AB207,M207,K207,W207,V207,P207,Q207,N207,D207,Y207)</f>
        <v>103293.41069916311</v>
      </c>
      <c r="Y207" s="1202">
        <v>1</v>
      </c>
      <c r="Z207" s="35"/>
      <c r="AA207" s="1198">
        <f>Marché!G2508</f>
        <v>45121</v>
      </c>
      <c r="AB207" s="1198">
        <f>Marché!H2508</f>
        <v>46217</v>
      </c>
      <c r="AC207" s="35"/>
      <c r="AD207" s="2"/>
    </row>
    <row r="208" spans="1:30" ht="15" hidden="1" x14ac:dyDescent="0.25">
      <c r="A208" s="1191">
        <v>100900</v>
      </c>
      <c r="B208" s="1192">
        <f t="shared" si="20"/>
        <v>0</v>
      </c>
      <c r="C208" s="1193">
        <f>(AB208-$AF$1)</f>
        <v>-255</v>
      </c>
      <c r="D208" s="1194">
        <f t="shared" si="16"/>
        <v>2.6200000000000001E-2</v>
      </c>
      <c r="E208" s="1195">
        <f>duration_titre($AF$1,AA208,AB208,M208,K208,W208,V208,P208,Q208,N208,D208)</f>
        <v>0</v>
      </c>
      <c r="F208" s="1195">
        <f t="shared" si="19"/>
        <v>0</v>
      </c>
      <c r="G208" s="1195">
        <f>convexite_titre($AF$1,AA208,AB208,M208,K208,W208,V208,P208,Q208,N208,D208)</f>
        <v>0</v>
      </c>
      <c r="H208" s="1196">
        <f>+ROUND(coupon_courru($AF$1,AA208,AB208,M208,K208,W208,P208,Q208,N208,V208,"V"),4)</f>
        <v>2731.6437999999998</v>
      </c>
      <c r="I208" s="1199">
        <f>+IF(Y208=1,B208,D208*100)</f>
        <v>0</v>
      </c>
      <c r="J208" s="1193" t="str">
        <f>Marché!C2509</f>
        <v>BSF WAFASALAF du 14/07/2023 à 3.91%   2 ANS</v>
      </c>
      <c r="K208" s="1193">
        <f>Marché!D2509</f>
        <v>100000</v>
      </c>
      <c r="L208" s="1193">
        <f>Marché!E2509</f>
        <v>0</v>
      </c>
      <c r="M208" s="1197">
        <f>Marché!F2509</f>
        <v>3.9100000000000003E-2</v>
      </c>
      <c r="N208" s="1193">
        <f>Marché!I2509</f>
        <v>2</v>
      </c>
      <c r="O208" s="1200" t="str">
        <f>Marché!J2509</f>
        <v>A</v>
      </c>
      <c r="P208" s="1200" t="str">
        <f>Marché!K2509</f>
        <v>A</v>
      </c>
      <c r="Q208" s="1200" t="str">
        <f>Marché!L2509</f>
        <v>F</v>
      </c>
      <c r="R208" s="1287">
        <v>3.5000000000000001E-3</v>
      </c>
      <c r="S208" s="1229" cm="1">
        <f t="array" ref="S208">IF(C208&gt;'Courbe des taux'!$D$50,ROUND( TREND('Courbe des taux'!$E$49:$E$50,'Courbe des taux'!$D$49:$D$50,Lignes_détenues!C208),5),ROUND(IF(C208&gt;365,interpoler(_mat2,taux2,C208),interpoler(_mat1,taux1,C208)),5))</f>
        <v>2.2700000000000001E-2</v>
      </c>
      <c r="T208" s="1201">
        <f t="shared" si="17"/>
        <v>2.2700000000000001E-2</v>
      </c>
      <c r="U208" s="1201">
        <f>ROUND(IF(D208*366&gt;366,interpoler(_mat2,taux2,D208*366),interpoler(_mat1,taux1,D208*366)),5)</f>
        <v>2.2700000000000001E-2</v>
      </c>
      <c r="V208" s="1202" t="str">
        <f>+IF((AB208-$AF$1)&lt;=366,"M","A")</f>
        <v>M</v>
      </c>
      <c r="W208" s="1202" t="s">
        <v>287</v>
      </c>
      <c r="X208" s="1212">
        <f>+prix_titre(AF$1,AA208,AB208,M208,K208,W208,V208,P208,Q208,N208,D208,Y208)</f>
        <v>0</v>
      </c>
      <c r="Y208" s="1202">
        <v>1</v>
      </c>
      <c r="Z208" s="35"/>
      <c r="AA208" s="1198">
        <f>Marché!G2509</f>
        <v>45121</v>
      </c>
      <c r="AB208" s="1198">
        <f>Marché!H2509</f>
        <v>45852</v>
      </c>
      <c r="AC208" s="35"/>
      <c r="AD208" s="2"/>
    </row>
    <row r="209" spans="1:30" ht="15" hidden="1" x14ac:dyDescent="0.25">
      <c r="A209" s="1191">
        <v>9582</v>
      </c>
      <c r="B209" s="1192">
        <f t="shared" si="20"/>
        <v>102908.58</v>
      </c>
      <c r="C209" s="1193">
        <f>(AB209-$AF$1)</f>
        <v>116</v>
      </c>
      <c r="D209" s="1194">
        <f t="shared" si="16"/>
        <v>4.4679999999999997E-2</v>
      </c>
      <c r="E209" s="1195">
        <f>duration_titre($AF$1,AA209,AB209,M209,K209,W209,V209,P209,Q209,N209,D209)</f>
        <v>0.31780821917808222</v>
      </c>
      <c r="F209" s="1195">
        <f t="shared" ref="F209:F240" si="21">+E209/(1+D209)</f>
        <v>0.30421585478623331</v>
      </c>
      <c r="G209" s="1195">
        <f>convexite_titre($AF$1,AA209,AB209,M209,K209,W209,V209,P209,Q209,N209,D209)</f>
        <v>0.38375210958531242</v>
      </c>
      <c r="H209" s="1196"/>
      <c r="I209" s="1199">
        <f>+IF(Y209=1,B209,D209*100)</f>
        <v>102908.58</v>
      </c>
      <c r="J209" s="1193" t="str">
        <f>Marché!C2511</f>
        <v>OBL SUB PERPET CDM du 20/07/2023 à 5.45% REV 52 SEM</v>
      </c>
      <c r="K209" s="1193">
        <f>Marché!D2511</f>
        <v>100000</v>
      </c>
      <c r="L209" s="1193">
        <f>Marché!E2511</f>
        <v>0</v>
      </c>
      <c r="M209" s="1197">
        <v>4.3299999999999998E-2</v>
      </c>
      <c r="N209" s="1193">
        <f>Marché!I2511</f>
        <v>52</v>
      </c>
      <c r="O209" s="1200" t="str">
        <f>Marché!J2511</f>
        <v>S</v>
      </c>
      <c r="P209" s="1200" t="str">
        <f>Marché!K2511</f>
        <v>A</v>
      </c>
      <c r="Q209" s="1200" t="str">
        <f>Marché!L2511</f>
        <v>F</v>
      </c>
      <c r="R209" s="1287">
        <v>2.1499999999999998E-2</v>
      </c>
      <c r="S209" s="1229" cm="1">
        <f t="array" ref="S209">IF(C209&gt;'Courbe des taux'!$D$50,ROUND( TREND('Courbe des taux'!$E$49:$E$50,'Courbe des taux'!$D$49:$D$50,Lignes_détenues!C209),5),ROUND(IF(C209&gt;365,interpoler(_mat2,taux2,C209),interpoler(_mat1,taux1,C209)),5))</f>
        <v>2.3179999999999999E-2</v>
      </c>
      <c r="T209" s="1201">
        <f t="shared" si="17"/>
        <v>2.3179999999999999E-2</v>
      </c>
      <c r="U209" s="1201">
        <f>ROUND(IF(D209*366&gt;366,interpoler(_mat2,taux2,D209*366),interpoler(_mat1,taux1,D209*366)),5)</f>
        <v>2.2700000000000001E-2</v>
      </c>
      <c r="V209" s="1202" t="str">
        <f>+IF((AB209-$AF$1)&lt;=366,"M","A")</f>
        <v>M</v>
      </c>
      <c r="W209" s="1202" t="s">
        <v>287</v>
      </c>
      <c r="X209" s="1212">
        <f>+prix_titre(AF$1,AA209,AB209,M209,K209,W209,V209,P209,Q209,N209,D209,Y209)</f>
        <v>102908.57665616747</v>
      </c>
      <c r="Y209" s="1202">
        <v>1</v>
      </c>
      <c r="Z209" s="35"/>
      <c r="AA209" s="1198">
        <v>45858</v>
      </c>
      <c r="AB209" s="1198">
        <v>46223</v>
      </c>
      <c r="AC209" s="35"/>
      <c r="AD209" s="2"/>
    </row>
    <row r="210" spans="1:30" ht="15" hidden="1" x14ac:dyDescent="0.25">
      <c r="A210" s="1191">
        <v>201827</v>
      </c>
      <c r="B210" s="1192">
        <f t="shared" si="20"/>
        <v>0</v>
      </c>
      <c r="C210" s="1193">
        <f>(AB210-$AF$1)</f>
        <v>-492</v>
      </c>
      <c r="D210" s="1194">
        <f t="shared" si="16"/>
        <v>2.2700000000000001E-2</v>
      </c>
      <c r="E210" s="1195">
        <f>duration_titre($AF$1,AA210,AB210,M210,K210,W210,V210,P210,Q210,N210,D210)</f>
        <v>0</v>
      </c>
      <c r="F210" s="1195">
        <f t="shared" si="21"/>
        <v>0</v>
      </c>
      <c r="G210" s="1195">
        <f>convexite_titre($AF$1,AA210,AB210,M210,K210,W210,V210,P210,Q210,N210,D210)</f>
        <v>0</v>
      </c>
      <c r="H210" s="1196">
        <f>+ROUND(coupon_courru($AF$1,AA210,AB210,M210,K210,W210,P210,Q210,N210,V210,"V"),4)</f>
        <v>4448.2191999999995</v>
      </c>
      <c r="I210" s="1199">
        <f>+IF(Y210=1,B210,D210*100)</f>
        <v>0</v>
      </c>
      <c r="J210" s="1193" t="str">
        <f>Marché!C2521</f>
        <v>BDT du 19/11/2023 à 3.30% 1 an ATYP 07/08/2023</v>
      </c>
      <c r="K210" s="1193">
        <f>Marché!D2521</f>
        <v>100000</v>
      </c>
      <c r="L210" s="1193">
        <f>Marché!E2521</f>
        <v>0</v>
      </c>
      <c r="M210" s="1197">
        <f>Marché!F2521</f>
        <v>3.3000000000000002E-2</v>
      </c>
      <c r="N210" s="1193">
        <f>Marché!I2521</f>
        <v>1</v>
      </c>
      <c r="O210" s="1200" t="str">
        <f>Marché!J2521</f>
        <v>A</v>
      </c>
      <c r="P210" s="1200" t="str">
        <f>Marché!K2521</f>
        <v>A</v>
      </c>
      <c r="Q210" s="1200" t="str">
        <f>Marché!L2521</f>
        <v>F</v>
      </c>
      <c r="R210" s="1287">
        <v>0</v>
      </c>
      <c r="S210" s="1229" cm="1">
        <f t="array" ref="S210">IF(C210&gt;'Courbe des taux'!$D$50,ROUND( TREND('Courbe des taux'!$E$49:$E$50,'Courbe des taux'!$D$49:$D$50,Lignes_détenues!C210),5),ROUND(IF(C210&gt;365,interpoler(_mat2,taux2,C210),interpoler(_mat1,taux1,C210)),5))</f>
        <v>2.2700000000000001E-2</v>
      </c>
      <c r="T210" s="1201">
        <f t="shared" si="17"/>
        <v>2.2700000000000001E-2</v>
      </c>
      <c r="U210" s="1201">
        <f>ROUND(IF(D210*366&gt;366,interpoler(_mat2,taux2,D210*366),interpoler(_mat1,taux1,D210*366)),5)</f>
        <v>2.2700000000000001E-2</v>
      </c>
      <c r="V210" s="1202" t="str">
        <f>+IF((AB210-$AF$1)&lt;=366,"M","A")</f>
        <v>M</v>
      </c>
      <c r="W210" s="1202" t="s">
        <v>287</v>
      </c>
      <c r="X210" s="1212">
        <f>+prix_atp(AF$1,AA210,Z210,AB210,M210,K210,W210,V210,P210,Q210,N210,D210,Y210)</f>
        <v>0</v>
      </c>
      <c r="Y210" s="1202">
        <v>1</v>
      </c>
      <c r="Z210" s="35">
        <v>45249</v>
      </c>
      <c r="AA210" s="1198">
        <f>Marché!G2521</f>
        <v>45145</v>
      </c>
      <c r="AB210" s="1198">
        <f>Marché!H2521</f>
        <v>45615</v>
      </c>
      <c r="AC210" s="35"/>
      <c r="AD210" s="2"/>
    </row>
    <row r="211" spans="1:30" ht="15" hidden="1" x14ac:dyDescent="0.25">
      <c r="A211" s="1191">
        <v>100902</v>
      </c>
      <c r="B211" s="1192">
        <f t="shared" si="20"/>
        <v>102813.14</v>
      </c>
      <c r="C211" s="1193">
        <f>(AB211-$AF$1)</f>
        <v>159</v>
      </c>
      <c r="D211" s="1194">
        <f t="shared" si="16"/>
        <v>2.9000000000000001E-2</v>
      </c>
      <c r="E211" s="1195">
        <v>100</v>
      </c>
      <c r="F211" s="1195">
        <f t="shared" si="21"/>
        <v>97.181729834791071</v>
      </c>
      <c r="G211" s="1195">
        <f>convexite_titre($AF$1,AA211,AB211,M211,K211,W211,V211,P211,Q211,N211,D211)</f>
        <v>0.59062514553391332</v>
      </c>
      <c r="H211" s="1196">
        <f>+ROUND(coupon_courru($AF$1,AA211,AB211,M211,K211,W211,P211,Q211,N211,V211,"V"),4)</f>
        <v>2330.9041000000002</v>
      </c>
      <c r="I211" s="1199">
        <f>+IF(Y211=1,B211,D211*100)</f>
        <v>102813.14</v>
      </c>
      <c r="J211" s="1193" t="str">
        <f>Marché!C2522</f>
        <v>BSF WAFABAIL  du 1/9/2023 à 4,13% 3ans</v>
      </c>
      <c r="K211" s="1193">
        <f>Marché!D2522</f>
        <v>100000</v>
      </c>
      <c r="L211" s="1193">
        <f>Marché!E2522</f>
        <v>0</v>
      </c>
      <c r="M211" s="1197">
        <f>Marché!F2522</f>
        <v>4.1300000000000003E-2</v>
      </c>
      <c r="N211" s="1193">
        <f>Marché!I2522</f>
        <v>3</v>
      </c>
      <c r="O211" s="1200" t="str">
        <f>Marché!J2522</f>
        <v>A</v>
      </c>
      <c r="P211" s="1200" t="str">
        <f>Marché!K2522</f>
        <v>A</v>
      </c>
      <c r="Q211" s="1200" t="str">
        <f>Marché!L2522</f>
        <v>F</v>
      </c>
      <c r="R211" s="1287">
        <v>5.4999999999999997E-3</v>
      </c>
      <c r="S211" s="1229" cm="1">
        <f t="array" ref="S211">IF(C211&gt;'Courbe des taux'!$D$50,ROUND( TREND('Courbe des taux'!$E$49:$E$50,'Courbe des taux'!$D$49:$D$50,Lignes_détenues!C211),5),ROUND(IF(C211&gt;365,interpoler(_mat2,taux2,C211),interpoler(_mat1,taux1,C211)),5))</f>
        <v>2.35E-2</v>
      </c>
      <c r="T211" s="1201">
        <f t="shared" si="17"/>
        <v>2.35E-2</v>
      </c>
      <c r="U211" s="1201">
        <f>ROUND(IF(D211*366&gt;366,interpoler(_mat2,taux2,D211*366),interpoler(_mat1,taux1,D211*366)),5)</f>
        <v>2.2700000000000001E-2</v>
      </c>
      <c r="V211" s="1202" t="str">
        <f>+IF((AB211-$AF$1)&lt;=366,"M","A")</f>
        <v>M</v>
      </c>
      <c r="W211" s="1202" t="s">
        <v>287</v>
      </c>
      <c r="X211" s="1212">
        <f>+prix_atp(AF$1,AA211,Z211,AB211,M211,K211,W211,V211,P211,Q211,N211,D211,Y211)</f>
        <v>102813.13509466253</v>
      </c>
      <c r="Y211" s="1202">
        <v>1</v>
      </c>
      <c r="Z211" s="35"/>
      <c r="AA211" s="1198">
        <f>Marché!G2522</f>
        <v>45170</v>
      </c>
      <c r="AB211" s="1198">
        <f>Marché!H2522</f>
        <v>46266</v>
      </c>
      <c r="AC211" s="35"/>
      <c r="AD211" s="2"/>
    </row>
    <row r="212" spans="1:30" ht="15" hidden="1" x14ac:dyDescent="0.25">
      <c r="A212" s="1191">
        <v>100903</v>
      </c>
      <c r="B212" s="1192">
        <f t="shared" si="20"/>
        <v>0</v>
      </c>
      <c r="C212" s="1193">
        <f>(AB212-$AF$1)</f>
        <v>-200</v>
      </c>
      <c r="D212" s="1194">
        <f t="shared" si="16"/>
        <v>2.6200000000000001E-2</v>
      </c>
      <c r="E212" s="1195">
        <f>duration_titre($AF$1,AA212,AB212,M212,K212,W212,V212,P212,Q212,N212,D212)</f>
        <v>0</v>
      </c>
      <c r="F212" s="1195">
        <f t="shared" si="21"/>
        <v>0</v>
      </c>
      <c r="G212" s="1195">
        <f>convexite_titre($AF$1,AA212,AB212,M212,K212,W212,V212,P212,Q212,N212,D212)</f>
        <v>0</v>
      </c>
      <c r="H212" s="1196">
        <f>+ROUND(coupon_courru($AF$1,AA212,AB212,M212,K212,W212,P212,Q212,N212,V212,"V"),4)</f>
        <v>2093.1507000000001</v>
      </c>
      <c r="I212" s="1199">
        <f>+IF(Y212=1,B212,D212*100)</f>
        <v>0</v>
      </c>
      <c r="J212" s="1193" t="str">
        <f>Marché!C2524</f>
        <v>BSF WAFASALAF du 07/09/2023 à 3.82%   2 ANS</v>
      </c>
      <c r="K212" s="1193">
        <f>Marché!D2524</f>
        <v>100000</v>
      </c>
      <c r="L212" s="1193">
        <f>Marché!E2524</f>
        <v>0</v>
      </c>
      <c r="M212" s="1197">
        <f>Marché!F2524</f>
        <v>3.8199999999999998E-2</v>
      </c>
      <c r="N212" s="1193">
        <f>Marché!I2524</f>
        <v>2</v>
      </c>
      <c r="O212" s="1200" t="str">
        <f>Marché!J2524</f>
        <v>A</v>
      </c>
      <c r="P212" s="1200" t="str">
        <f>Marché!K2524</f>
        <v>A</v>
      </c>
      <c r="Q212" s="1200" t="str">
        <f>Marché!L2524</f>
        <v>F</v>
      </c>
      <c r="R212" s="1287">
        <v>3.5000000000000001E-3</v>
      </c>
      <c r="S212" s="1229" cm="1">
        <f t="array" ref="S212">IF(C212&gt;'Courbe des taux'!$D$50,ROUND( TREND('Courbe des taux'!$E$49:$E$50,'Courbe des taux'!$D$49:$D$50,Lignes_détenues!C212),5),ROUND(IF(C212&gt;365,interpoler(_mat2,taux2,C212),interpoler(_mat1,taux1,C212)),5))</f>
        <v>2.2700000000000001E-2</v>
      </c>
      <c r="T212" s="1201">
        <f t="shared" si="17"/>
        <v>2.2700000000000001E-2</v>
      </c>
      <c r="U212" s="1201">
        <f>ROUND(IF(D212*366&gt;366,interpoler(_mat2,taux2,D212*366),interpoler(_mat1,taux1,D212*366)),5)</f>
        <v>2.2700000000000001E-2</v>
      </c>
      <c r="V212" s="1202" t="str">
        <f>+IF((AB212-$AF$1)&lt;=366,"M","A")</f>
        <v>M</v>
      </c>
      <c r="W212" s="1202" t="s">
        <v>287</v>
      </c>
      <c r="X212" s="1212">
        <f>+prix_titre(AF$1,AA212,AB212,M212,K212,W212,V212,P212,Q212,N212,D212,Y212)</f>
        <v>0</v>
      </c>
      <c r="Y212" s="1202">
        <v>1</v>
      </c>
      <c r="Z212" s="35"/>
      <c r="AA212" s="1198">
        <f>Marché!G2524</f>
        <v>45176</v>
      </c>
      <c r="AB212" s="1198">
        <f>Marché!H2524</f>
        <v>45907</v>
      </c>
      <c r="AC212" s="35"/>
      <c r="AD212" s="2"/>
    </row>
    <row r="213" spans="1:30" ht="15" hidden="1" x14ac:dyDescent="0.25">
      <c r="A213" s="1191">
        <v>100904</v>
      </c>
      <c r="B213" s="1192">
        <f t="shared" si="20"/>
        <v>103809.46</v>
      </c>
      <c r="C213" s="1193">
        <f>(AB213-$AF$1)</f>
        <v>534</v>
      </c>
      <c r="D213" s="1194">
        <f t="shared" si="16"/>
        <v>3.0859999999999999E-2</v>
      </c>
      <c r="E213" s="1195">
        <f>duration_titre($AF$1,AA213,AB213,M213,K213,W213,V213,P213,Q213,N213,D213)</f>
        <v>1.4231203283304252</v>
      </c>
      <c r="F213" s="1195">
        <f t="shared" si="21"/>
        <v>1.3805175565357324</v>
      </c>
      <c r="G213" s="1195">
        <f>convexite_titre($AF$1,AA213,AB213,M213,K213,W213,V213,P213,Q213,N213,D213)</f>
        <v>3.2810618632042212</v>
      </c>
      <c r="H213" s="1196">
        <f>+ROUND(coupon_courru($AF$1,AA213,AB213,M213,K213,W213,P213,Q213,N213,V213,"V"),4)</f>
        <v>2255.3425000000002</v>
      </c>
      <c r="I213" s="1199">
        <f>+IF(Y213=1,B213,D213*100)</f>
        <v>103809.46</v>
      </c>
      <c r="J213" s="1193" t="str">
        <f>Marché!C2525</f>
        <v>BSF WAFASALAF du 11/09/2023 à 4.20%   4 ANS</v>
      </c>
      <c r="K213" s="1193">
        <f>Marché!D2525</f>
        <v>100000</v>
      </c>
      <c r="L213" s="1193">
        <f>Marché!E2525</f>
        <v>0</v>
      </c>
      <c r="M213" s="1197">
        <f>Marché!F2525</f>
        <v>4.2000000000000003E-2</v>
      </c>
      <c r="N213" s="1193">
        <f>Marché!I2525</f>
        <v>4</v>
      </c>
      <c r="O213" s="1200" t="str">
        <f>Marché!J2525</f>
        <v>A</v>
      </c>
      <c r="P213" s="1200" t="str">
        <f>Marché!K2525</f>
        <v>A</v>
      </c>
      <c r="Q213" s="1200" t="str">
        <f>Marché!L2525</f>
        <v>F</v>
      </c>
      <c r="R213" s="1287">
        <v>5.0000000000000001E-3</v>
      </c>
      <c r="S213" s="1229" cm="1">
        <f t="array" ref="S213">IF(C213&gt;'Courbe des taux'!$D$50,ROUND( TREND('Courbe des taux'!$E$49:$E$50,'Courbe des taux'!$D$49:$D$50,Lignes_détenues!C213),5),ROUND(IF(C213&gt;365,interpoler(_mat2,taux2,C213),interpoler(_mat1,taux1,C213)),5))</f>
        <v>2.5860000000000001E-2</v>
      </c>
      <c r="T213" s="1201">
        <f t="shared" si="17"/>
        <v>2.5860000000000001E-2</v>
      </c>
      <c r="U213" s="1201">
        <f>ROUND(IF(D213*366&gt;366,interpoler(_mat2,taux2,D213*366),interpoler(_mat1,taux1,D213*366)),5)</f>
        <v>2.2700000000000001E-2</v>
      </c>
      <c r="V213" s="1202" t="str">
        <f>+IF((AB213-$AF$1)&lt;=366,"M","A")</f>
        <v>A</v>
      </c>
      <c r="W213" s="1202" t="s">
        <v>287</v>
      </c>
      <c r="X213" s="1212">
        <f>+prix_atp(AF$1,AA213,Z213,AB213,M213,K213,W213,V213,P213,Q213,N213,D213,Y213)</f>
        <v>103809.45851465891</v>
      </c>
      <c r="Y213" s="1202">
        <v>1</v>
      </c>
      <c r="Z213" s="35"/>
      <c r="AA213" s="1198">
        <f>Marché!G2525</f>
        <v>45180</v>
      </c>
      <c r="AB213" s="1198">
        <f>Marché!H2525</f>
        <v>46641</v>
      </c>
      <c r="AC213" s="35"/>
      <c r="AD213" s="2"/>
    </row>
    <row r="214" spans="1:30" ht="15" hidden="1" x14ac:dyDescent="0.25">
      <c r="A214" s="1191">
        <v>100905</v>
      </c>
      <c r="B214" s="1192">
        <f t="shared" si="20"/>
        <v>102687.34</v>
      </c>
      <c r="C214" s="1193">
        <f>(AB214-$AF$1)</f>
        <v>169</v>
      </c>
      <c r="D214" s="1194">
        <f t="shared" si="16"/>
        <v>2.8060000000000002E-2</v>
      </c>
      <c r="E214" s="1195">
        <f>duration_titre($AF$1,AA214,AB214,M214,K214,W214,V214,P214,Q214,N214,D214)</f>
        <v>0.46301369863013697</v>
      </c>
      <c r="F214" s="1195">
        <f t="shared" si="21"/>
        <v>0.45037614402869192</v>
      </c>
      <c r="G214" s="1195">
        <f>convexite_titre($AF$1,AA214,AB214,M214,K214,W214,V214,P214,Q214,N214,D214)</f>
        <v>0.64092219155515817</v>
      </c>
      <c r="H214" s="1196">
        <f>+ROUND(coupon_courru($AF$1,AA214,AB214,M214,K214,W214,P214,Q214,N214,V214,"V"),4)</f>
        <v>2169.4247</v>
      </c>
      <c r="I214" s="1199">
        <f>+IF(Y214=1,B214,D214*100)</f>
        <v>102687.34</v>
      </c>
      <c r="J214" s="1193" t="str">
        <f>Marché!C2526</f>
        <v>BSF WAFASALAF du 11/09/2023 à 4.04%   3 ANS</v>
      </c>
      <c r="K214" s="1193">
        <f>Marché!D2526</f>
        <v>100000</v>
      </c>
      <c r="L214" s="1193">
        <f>Marché!E2526</f>
        <v>0</v>
      </c>
      <c r="M214" s="1197">
        <f>Marché!F2526</f>
        <v>4.0399999999999998E-2</v>
      </c>
      <c r="N214" s="1193">
        <f>Marché!I2526</f>
        <v>3</v>
      </c>
      <c r="O214" s="1200" t="str">
        <f>Marché!J2526</f>
        <v>A</v>
      </c>
      <c r="P214" s="1200" t="str">
        <f>Marché!K2526</f>
        <v>A</v>
      </c>
      <c r="Q214" s="1200" t="str">
        <f>Marché!L2526</f>
        <v>F</v>
      </c>
      <c r="R214" s="1287">
        <v>4.4999999999999997E-3</v>
      </c>
      <c r="S214" s="1229" cm="1">
        <f t="array" ref="S214">IF(C214&gt;'Courbe des taux'!$D$50,ROUND( TREND('Courbe des taux'!$E$49:$E$50,'Courbe des taux'!$D$49:$D$50,Lignes_détenues!C214),5),ROUND(IF(C214&gt;365,interpoler(_mat2,taux2,C214),interpoler(_mat1,taux1,C214)),5))</f>
        <v>2.3560000000000001E-2</v>
      </c>
      <c r="T214" s="1201">
        <f t="shared" si="17"/>
        <v>2.3560000000000001E-2</v>
      </c>
      <c r="U214" s="1201">
        <f>ROUND(IF(D214*366&gt;365,interpoler(_mat2,taux2,D214*366),interpoler(_mat1,taux1,D214*366)),5)</f>
        <v>2.2700000000000001E-2</v>
      </c>
      <c r="V214" s="1202" t="str">
        <f>+IF((AB214-$AF$1)&lt;=365,"M","A")</f>
        <v>M</v>
      </c>
      <c r="W214" s="1202" t="s">
        <v>287</v>
      </c>
      <c r="X214" s="1212">
        <f>+prix_atp(AF$1,AA214,Z214,AB214,M214,K214,W214,V214,P214,Q214,N214,D214,Y214)</f>
        <v>102687.3396092922</v>
      </c>
      <c r="Y214" s="1202">
        <v>1</v>
      </c>
      <c r="Z214" s="35"/>
      <c r="AA214" s="1198">
        <f>Marché!G2526</f>
        <v>45180</v>
      </c>
      <c r="AB214" s="1198">
        <f>Marché!H2526</f>
        <v>46276</v>
      </c>
      <c r="AC214" s="35"/>
      <c r="AD214" s="2"/>
    </row>
    <row r="215" spans="1:30" ht="15" hidden="1" x14ac:dyDescent="0.25">
      <c r="A215" s="1191">
        <v>152806</v>
      </c>
      <c r="B215" s="1192">
        <f t="shared" si="20"/>
        <v>103658.03</v>
      </c>
      <c r="C215" s="1193">
        <f>(AB215-$AF$1)</f>
        <v>545</v>
      </c>
      <c r="D215" s="1194">
        <f t="shared" si="16"/>
        <v>2.9520000000000001E-2</v>
      </c>
      <c r="E215" s="1195">
        <f>duration_titre($AF$1,AA215,AB215,M215,K215,W215,V215,P215,Q215,N215,D215)</f>
        <v>1.4544462628580483</v>
      </c>
      <c r="F215" s="1195">
        <f t="shared" si="21"/>
        <v>1.4127421156053777</v>
      </c>
      <c r="G215" s="1195">
        <f>convexite_titre($AF$1,AA215,AB215,M215,K215,W215,V215,P215,Q215,N215,D215)</f>
        <v>3.4031773606063851</v>
      </c>
      <c r="H215" s="1196">
        <f>+ROUND(coupon_courru($AF$1,AA215,AB215,M215,K215,W215,P215,Q215,N215,V215,"V"),4)</f>
        <v>2062.8766999999998</v>
      </c>
      <c r="I215" s="1199">
        <f>+IF(Y215=1,B215,D215*100)</f>
        <v>103658.03</v>
      </c>
      <c r="J215" s="1193" t="str">
        <f>Marché!C2529</f>
        <v>CD CIH du 22/09/2023 à 4.07% 4 ans</v>
      </c>
      <c r="K215" s="1193">
        <f>Marché!D2529</f>
        <v>100000</v>
      </c>
      <c r="L215" s="1193">
        <f>Marché!E2529</f>
        <v>0</v>
      </c>
      <c r="M215" s="1197">
        <f>Marché!F2529</f>
        <v>4.07E-2</v>
      </c>
      <c r="N215" s="1193">
        <f>Marché!I2529</f>
        <v>4</v>
      </c>
      <c r="O215" s="1200" t="str">
        <f>Marché!J2529</f>
        <v>A</v>
      </c>
      <c r="P215" s="1200" t="str">
        <f>Marché!K2529</f>
        <v>A</v>
      </c>
      <c r="Q215" s="1200" t="str">
        <f>Marché!L2529</f>
        <v>F</v>
      </c>
      <c r="R215" s="1287">
        <v>3.6099999999999999E-3</v>
      </c>
      <c r="S215" s="1229" cm="1">
        <f t="array" ref="S215">IF(C215&gt;'Courbe des taux'!$D$50,ROUND( TREND('Courbe des taux'!$E$49:$E$50,'Courbe des taux'!$D$49:$D$50,Lignes_détenues!C215),5),ROUND(IF(C215&gt;365,interpoler(_mat2,taux2,C215),interpoler(_mat1,taux1,C215)),5))</f>
        <v>2.5909999999999999E-2</v>
      </c>
      <c r="T215" s="1201">
        <f t="shared" si="17"/>
        <v>2.5909999999999999E-2</v>
      </c>
      <c r="U215" s="1201">
        <f>ROUND(IF(D215*366&gt;366,interpoler(_mat2,taux2,D215*366),interpoler(_mat1,taux1,D215*366)),5)</f>
        <v>2.2700000000000001E-2</v>
      </c>
      <c r="V215" s="1202" t="str">
        <f>+IF((AB215-$AF$1)&lt;=366,"M","A")</f>
        <v>A</v>
      </c>
      <c r="W215" s="1202" t="s">
        <v>287</v>
      </c>
      <c r="X215" s="1212">
        <f>+prix_titre(AF$1,AA215,AB215,M215,K215,W215,V215,P215,Q215,N215,D215,Y215)</f>
        <v>103658.03405421502</v>
      </c>
      <c r="Y215" s="1202">
        <v>1</v>
      </c>
      <c r="Z215" s="35"/>
      <c r="AA215" s="1198">
        <f>Marché!G2529</f>
        <v>45191</v>
      </c>
      <c r="AB215" s="1198">
        <f>Marché!H2529</f>
        <v>46652</v>
      </c>
      <c r="AC215" s="35"/>
      <c r="AD215" s="2"/>
    </row>
    <row r="216" spans="1:30" ht="15" hidden="1" x14ac:dyDescent="0.25">
      <c r="A216" s="1191">
        <v>152803</v>
      </c>
      <c r="B216" s="1192">
        <f t="shared" si="20"/>
        <v>0</v>
      </c>
      <c r="C216" s="1193">
        <f>(AB216-$AF$1)</f>
        <v>-479</v>
      </c>
      <c r="D216" s="1194">
        <f t="shared" si="16"/>
        <v>2.5080000000000002E-2</v>
      </c>
      <c r="E216" s="1195">
        <f>duration_titre($AF$1,AA216,AB216,M216,K216,W216,V216,P216,Q216,N216,D216)</f>
        <v>0</v>
      </c>
      <c r="F216" s="1195">
        <f t="shared" si="21"/>
        <v>0</v>
      </c>
      <c r="G216" s="1195">
        <f>convexite_titre($AF$1,AA216,AB216,M216,K216,W216,V216,P216,Q216,N216,D216)</f>
        <v>0</v>
      </c>
      <c r="H216" s="1196">
        <f>+ROUND(coupon_courru($AF$1,AA216,AB216,M216,K216,W216,P216,Q216,N216,V216,"V"),4)</f>
        <v>4724.3836000000001</v>
      </c>
      <c r="I216" s="1199">
        <f>+IF(Y216=1,B216,D216*100)</f>
        <v>0</v>
      </c>
      <c r="J216" s="1193" t="str">
        <f>Marché!C2530</f>
        <v>CD CIH du 22/09/2023 à 3.6% 15 Mois</v>
      </c>
      <c r="K216" s="1193">
        <f>Marché!D2530</f>
        <v>100000</v>
      </c>
      <c r="L216" s="1193">
        <f>Marché!E2530</f>
        <v>0</v>
      </c>
      <c r="M216" s="1197">
        <f>Marché!F2530</f>
        <v>3.5999999999999997E-2</v>
      </c>
      <c r="N216" s="1193">
        <f>Marché!I2530</f>
        <v>15</v>
      </c>
      <c r="O216" s="1200" t="str">
        <f>Marché!J2530</f>
        <v>M</v>
      </c>
      <c r="P216" s="1200" t="str">
        <f>Marché!K2530</f>
        <v>A</v>
      </c>
      <c r="Q216" s="1200" t="str">
        <f>Marché!L2530</f>
        <v>F</v>
      </c>
      <c r="R216" s="1287">
        <v>2.3800000000000002E-3</v>
      </c>
      <c r="S216" s="1229" cm="1">
        <f t="array" ref="S216">IF(C216&gt;'Courbe des taux'!$D$50,ROUND( TREND('Courbe des taux'!$E$49:$E$50,'Courbe des taux'!$D$49:$D$50,Lignes_détenues!C216),5),ROUND(IF(C216&gt;365,interpoler(_mat2,taux2,C216),interpoler(_mat1,taux1,C216)),5))</f>
        <v>2.2700000000000001E-2</v>
      </c>
      <c r="T216" s="1201">
        <f t="shared" si="17"/>
        <v>2.2700000000000001E-2</v>
      </c>
      <c r="U216" s="1201">
        <f>ROUND(IF(D216*366&gt;366,interpoler(_mat2,taux2,D216*366),interpoler(_mat1,taux1,D216*366)),5)</f>
        <v>2.2700000000000001E-2</v>
      </c>
      <c r="V216" s="1202" t="str">
        <f>+IF((AB216-$AF$1)&lt;=366,"M","A")</f>
        <v>M</v>
      </c>
      <c r="W216" s="1202" t="s">
        <v>287</v>
      </c>
      <c r="X216" s="1212">
        <f>+prix_atp(AF$1,AA216,Z216,AB216,M216,K216,W216,V216,P216,Q216,N216,D216,Y216)</f>
        <v>0</v>
      </c>
      <c r="Y216" s="1202">
        <v>1</v>
      </c>
      <c r="Z216" s="35">
        <v>45262</v>
      </c>
      <c r="AA216" s="1198">
        <f>Marché!G2530</f>
        <v>45191</v>
      </c>
      <c r="AB216" s="1198">
        <f>Marché!H2530</f>
        <v>45628</v>
      </c>
      <c r="AC216" s="35"/>
      <c r="AD216" s="2"/>
    </row>
    <row r="217" spans="1:30" ht="15" hidden="1" x14ac:dyDescent="0.25">
      <c r="A217" s="1191">
        <v>100909</v>
      </c>
      <c r="B217" s="1192">
        <f t="shared" si="20"/>
        <v>0</v>
      </c>
      <c r="C217" s="1193">
        <f>(AB217-$AF$1)</f>
        <v>-172</v>
      </c>
      <c r="D217" s="1194">
        <f t="shared" si="16"/>
        <v>2.7199999999999998E-2</v>
      </c>
      <c r="E217" s="1195">
        <f>duration_titre($AF$1,AA217,AB217,M217,K217,W217,V217,P217,Q217,N217,D217)</f>
        <v>0</v>
      </c>
      <c r="F217" s="1195">
        <f t="shared" si="21"/>
        <v>0</v>
      </c>
      <c r="G217" s="1195">
        <f>convexite_titre($AF$1,AA217,AB217,M217,K217,W217,V217,P217,Q217,N217,D217)</f>
        <v>0</v>
      </c>
      <c r="H217" s="1196">
        <f>+ROUND(coupon_courru($AF$1,AA217,AB217,M217,K217,W217,P217,Q217,N217,V217,"V"),4)</f>
        <v>1847.2329</v>
      </c>
      <c r="I217" s="1199">
        <f>+IF(Y217=1,B217,D217*100)</f>
        <v>0</v>
      </c>
      <c r="J217" s="1193" t="str">
        <f>Marché!C2538</f>
        <v>BSF WAFABAIL DU 05/10/2023 2ans à 3.92%</v>
      </c>
      <c r="K217" s="1193">
        <f>Marché!D2538</f>
        <v>100000</v>
      </c>
      <c r="L217" s="1193">
        <f>Marché!E2538</f>
        <v>0</v>
      </c>
      <c r="M217" s="1197">
        <f>Marché!F2538</f>
        <v>3.9199999999999999E-2</v>
      </c>
      <c r="N217" s="1193">
        <f>Marché!I2538</f>
        <v>2</v>
      </c>
      <c r="O217" s="1200" t="str">
        <f>Marché!J2538</f>
        <v>A</v>
      </c>
      <c r="P217" s="1200" t="str">
        <f>Marché!K2538</f>
        <v>A</v>
      </c>
      <c r="Q217" s="1200" t="str">
        <f>Marché!L2538</f>
        <v>F</v>
      </c>
      <c r="R217" s="1287">
        <v>4.4999999999999997E-3</v>
      </c>
      <c r="S217" s="1229" cm="1">
        <f t="array" ref="S217">IF(C217&gt;'Courbe des taux'!$D$50,ROUND( TREND('Courbe des taux'!$E$49:$E$50,'Courbe des taux'!$D$49:$D$50,Lignes_détenues!C217),5),ROUND(IF(C217&gt;365,interpoler(_mat2,taux2,C217),interpoler(_mat1,taux1,C217)),5))</f>
        <v>2.2700000000000001E-2</v>
      </c>
      <c r="T217" s="1201">
        <f t="shared" si="17"/>
        <v>2.2700000000000001E-2</v>
      </c>
      <c r="U217" s="1201">
        <f>ROUND(IF(D217*366&gt;366,interpoler(_mat2,taux2,D217*366),interpoler(_mat1,taux1,D217*366)),5)</f>
        <v>2.2700000000000001E-2</v>
      </c>
      <c r="V217" s="1202" t="str">
        <f>+IF((AB217-$AF$1)&lt;365,"M","A")</f>
        <v>M</v>
      </c>
      <c r="W217" s="1202" t="s">
        <v>287</v>
      </c>
      <c r="X217" s="1212">
        <f>+prix_titre(AF$1,AA217,AB217,M217,K217,W217,V217,P217,Q217,N217,D217,Y217)</f>
        <v>0</v>
      </c>
      <c r="Y217" s="1202">
        <v>1</v>
      </c>
      <c r="Z217" s="35"/>
      <c r="AA217" s="1198">
        <f>Marché!G2538</f>
        <v>45204</v>
      </c>
      <c r="AB217" s="1198">
        <f>Marché!H2538</f>
        <v>45935</v>
      </c>
      <c r="AC217" s="35"/>
      <c r="AD217" s="2"/>
    </row>
    <row r="218" spans="1:30" ht="15" hidden="1" x14ac:dyDescent="0.25">
      <c r="A218" s="1191">
        <v>100911</v>
      </c>
      <c r="B218" s="1192">
        <f t="shared" si="20"/>
        <v>0</v>
      </c>
      <c r="C218" s="1193">
        <f>(AB218-$AF$1)</f>
        <v>-166</v>
      </c>
      <c r="D218" s="1194">
        <f t="shared" si="16"/>
        <v>2.6200000000000001E-2</v>
      </c>
      <c r="E218" s="1195">
        <f>duration_titre($AF$1,AA218,AB218,M218,K218,W218,V218,P218,Q218,N218,D218)</f>
        <v>0</v>
      </c>
      <c r="F218" s="1195">
        <f t="shared" si="21"/>
        <v>0</v>
      </c>
      <c r="G218" s="1195">
        <f>convexite_titre($AF$1,AA218,AB218,M218,K218,W218,V218,P218,Q218,N218,D218)</f>
        <v>0</v>
      </c>
      <c r="H218" s="1196">
        <f>+ROUND(coupon_courru($AF$1,AA218,AB218,M218,K218,W218,P218,Q218,N218,V218,"V"),4)</f>
        <v>1710.0273999999999</v>
      </c>
      <c r="I218" s="1199">
        <f>+IF(Y218=1,B218,D218*100)</f>
        <v>0</v>
      </c>
      <c r="J218" s="1193" t="str">
        <f>Marché!C2539</f>
        <v>BSF WAFASALAF du 11/10/2023 à 3.76%   2 ANS</v>
      </c>
      <c r="K218" s="1193">
        <f>Marché!D2539</f>
        <v>100000</v>
      </c>
      <c r="L218" s="1193">
        <f>Marché!E2539</f>
        <v>0</v>
      </c>
      <c r="M218" s="1197">
        <f>Marché!F2539</f>
        <v>3.7600000000000001E-2</v>
      </c>
      <c r="N218" s="1193">
        <f>Marché!I2539</f>
        <v>2</v>
      </c>
      <c r="O218" s="1200" t="str">
        <f>Marché!J2539</f>
        <v>A</v>
      </c>
      <c r="P218" s="1200" t="str">
        <f>Marché!K2539</f>
        <v>A</v>
      </c>
      <c r="Q218" s="1200" t="str">
        <f>Marché!L2539</f>
        <v>F</v>
      </c>
      <c r="R218" s="1287">
        <v>3.5000000000000001E-3</v>
      </c>
      <c r="S218" s="1229" cm="1">
        <f t="array" ref="S218">IF(C218&gt;'Courbe des taux'!$D$50,ROUND( TREND('Courbe des taux'!$E$49:$E$50,'Courbe des taux'!$D$49:$D$50,Lignes_détenues!C218),5),ROUND(IF(C218&gt;365,interpoler(_mat2,taux2,C218),interpoler(_mat1,taux1,C218)),5))</f>
        <v>2.2700000000000001E-2</v>
      </c>
      <c r="T218" s="1201">
        <f t="shared" si="17"/>
        <v>2.2700000000000001E-2</v>
      </c>
      <c r="U218" s="1201">
        <f>ROUND(IF(D218*366&gt;366,interpoler(_mat2,taux2,D218*366),interpoler(_mat1,taux1,D218*366)),5)</f>
        <v>2.2700000000000001E-2</v>
      </c>
      <c r="V218" s="1202" t="str">
        <f>+IF((AB218-$AF$1)&lt;=366,"M","A")</f>
        <v>M</v>
      </c>
      <c r="W218" s="1202" t="s">
        <v>287</v>
      </c>
      <c r="X218" s="1212">
        <f>+prix_titre(AF$1,AA218,AB218,M218,K218,W218,V218,P218,Q218,N218,D218,Y218)</f>
        <v>0</v>
      </c>
      <c r="Y218" s="1202">
        <v>1</v>
      </c>
      <c r="Z218" s="35"/>
      <c r="AA218" s="1198">
        <f>Marché!G2539</f>
        <v>45210</v>
      </c>
      <c r="AB218" s="1198">
        <f>Marché!H2539</f>
        <v>45941</v>
      </c>
      <c r="AC218" s="35"/>
      <c r="AD218" s="2"/>
    </row>
    <row r="219" spans="1:30" ht="15" hidden="1" x14ac:dyDescent="0.25">
      <c r="A219" s="1191">
        <v>201830</v>
      </c>
      <c r="B219" s="1192">
        <f t="shared" si="20"/>
        <v>0</v>
      </c>
      <c r="C219" s="1193">
        <f>(AB219-$AF$1)</f>
        <v>-430</v>
      </c>
      <c r="D219" s="1194">
        <f t="shared" ref="D219:D282" si="22">ROUND(T219+R219,5)</f>
        <v>2.2700000000000001E-2</v>
      </c>
      <c r="E219" s="1195">
        <f>duration_titre($AF$1,AA219,AB219,M219,K219,W219,V219,P219,Q219,N219,D219)</f>
        <v>0</v>
      </c>
      <c r="F219" s="1195">
        <f t="shared" si="21"/>
        <v>0</v>
      </c>
      <c r="G219" s="1195">
        <f>convexite_titre($AF$1,AA219,AB219,M219,K219,W219,V219,P219,Q219,N219,D219)</f>
        <v>0</v>
      </c>
      <c r="H219" s="1196">
        <f>+ROUND(coupon_courru($AF$1,AA219,AB219,M219,K219,W219,P219,Q219,N219,V219,"V"),4)</f>
        <v>3828.7671</v>
      </c>
      <c r="I219" s="1199">
        <f>+IF(Y219=1,B219,D219*100)</f>
        <v>0</v>
      </c>
      <c r="J219" s="1193" t="str">
        <f>Marché!C2540</f>
        <v>BDT du 20/01/2024 à 3.25%  1 an ATYP 09/10/2023</v>
      </c>
      <c r="K219" s="1193">
        <f>Marché!D2540</f>
        <v>100000</v>
      </c>
      <c r="L219" s="1193">
        <f>Marché!E2540</f>
        <v>0</v>
      </c>
      <c r="M219" s="1197">
        <f>Marché!F2540</f>
        <v>3.2500000000000001E-2</v>
      </c>
      <c r="N219" s="1193">
        <f>Marché!I2540</f>
        <v>1</v>
      </c>
      <c r="O219" s="1200" t="str">
        <f>Marché!J2540</f>
        <v>A</v>
      </c>
      <c r="P219" s="1200" t="str">
        <f>Marché!K2540</f>
        <v>A</v>
      </c>
      <c r="Q219" s="1200" t="str">
        <f>Marché!L2540</f>
        <v>F</v>
      </c>
      <c r="R219" s="1287">
        <v>0</v>
      </c>
      <c r="S219" s="1229" cm="1">
        <f t="array" ref="S219">IF(C219&gt;'Courbe des taux'!$D$50,ROUND( TREND('Courbe des taux'!$E$49:$E$50,'Courbe des taux'!$D$49:$D$50,Lignes_détenues!C219),5),ROUND(IF(C219&gt;365,interpoler(_mat2,taux2,C219),interpoler(_mat1,taux1,C219)),5))</f>
        <v>2.2700000000000001E-2</v>
      </c>
      <c r="T219" s="1201">
        <f t="shared" si="17"/>
        <v>2.2700000000000001E-2</v>
      </c>
      <c r="U219" s="1201">
        <f>ROUND(IF(D219*366&gt;366,interpoler(_mat2,taux2,D219*366),interpoler(_mat1,taux1,D219*366)),5)</f>
        <v>2.2700000000000001E-2</v>
      </c>
      <c r="V219" s="1202" t="str">
        <f>+IF((AB219-$AF$1)&lt;=366,"M","A")</f>
        <v>M</v>
      </c>
      <c r="W219" s="1202" t="s">
        <v>287</v>
      </c>
      <c r="X219" s="1212">
        <f>+prix_atp(AF$1,AA219,Z219,AB219,M219,K219,W219,V219,P219,Q219,N219,D219,Y219)</f>
        <v>0</v>
      </c>
      <c r="Y219" s="1202">
        <v>1</v>
      </c>
      <c r="Z219" s="35">
        <v>45311</v>
      </c>
      <c r="AA219" s="1198">
        <f>Marché!G2540</f>
        <v>45208</v>
      </c>
      <c r="AB219" s="1198">
        <f>Marché!H2540</f>
        <v>45677</v>
      </c>
      <c r="AC219" s="35"/>
      <c r="AD219" s="2"/>
    </row>
    <row r="220" spans="1:30" ht="15" hidden="1" x14ac:dyDescent="0.25">
      <c r="A220" s="1191">
        <v>201824</v>
      </c>
      <c r="B220" s="1192">
        <f t="shared" si="20"/>
        <v>0</v>
      </c>
      <c r="C220" s="1193">
        <f>(AB220-$AF$1)</f>
        <v>-38</v>
      </c>
      <c r="D220" s="1194">
        <f t="shared" si="22"/>
        <v>2.2700000000000001E-2</v>
      </c>
      <c r="E220" s="1195">
        <f>duration_titre($AF$1,AA220,AB220,M220,K220,W220,V220,P220,Q220,N220,D220)</f>
        <v>0</v>
      </c>
      <c r="F220" s="1195">
        <f t="shared" si="21"/>
        <v>0</v>
      </c>
      <c r="G220" s="1195">
        <f>convexite_titre($AF$1,AA220,AB220,M220,K220,W220,V220,P220,Q220,N220,D220)</f>
        <v>0</v>
      </c>
      <c r="H220" s="1196">
        <f>+ROUND(coupon_courru($AF$1,AA220,AB220,M220,K220,W220,P220,Q220,N220,V220,"V"),4)</f>
        <v>359.17809999999997</v>
      </c>
      <c r="I220" s="1199">
        <f>+IF(Y220=1,B220,D220*100)</f>
        <v>0</v>
      </c>
      <c r="J220" s="1193" t="str">
        <f>Marché!C2541</f>
        <v>BDT du 16/02/2024 à 3.45% 2 ans  ATYP  10/07/2023</v>
      </c>
      <c r="K220" s="1193">
        <f>Marché!D2541</f>
        <v>100000</v>
      </c>
      <c r="L220" s="1193">
        <f>Marché!E2541</f>
        <v>0</v>
      </c>
      <c r="M220" s="1197">
        <f>Marché!F2541</f>
        <v>3.4500000000000003E-2</v>
      </c>
      <c r="N220" s="1193">
        <f>Marché!I2541</f>
        <v>2</v>
      </c>
      <c r="O220" s="1200" t="str">
        <f>Marché!J2541</f>
        <v>A</v>
      </c>
      <c r="P220" s="1200" t="str">
        <f>Marché!K2541</f>
        <v>A</v>
      </c>
      <c r="Q220" s="1200" t="str">
        <f>Marché!L2541</f>
        <v>F</v>
      </c>
      <c r="R220" s="1287">
        <v>0</v>
      </c>
      <c r="S220" s="1229" cm="1">
        <f t="array" ref="S220">IF(C220&gt;'Courbe des taux'!$D$50,ROUND( TREND('Courbe des taux'!$E$49:$E$50,'Courbe des taux'!$D$49:$D$50,Lignes_détenues!C220),5),ROUND(IF(C220&gt;365,interpoler(_mat2,taux2,C220),interpoler(_mat1,taux1,C220)),5))</f>
        <v>2.2700000000000001E-2</v>
      </c>
      <c r="T220" s="1201">
        <f t="shared" ref="T220:T283" si="23">S220</f>
        <v>2.2700000000000001E-2</v>
      </c>
      <c r="U220" s="1201">
        <f>ROUND(IF(D220*366&gt;366,interpoler(_mat2,taux2,D220*366),interpoler(_mat1,taux1,D220*366)),5)</f>
        <v>2.2700000000000001E-2</v>
      </c>
      <c r="V220" s="1202" t="str">
        <f>+IF((AB220-$AF$1)&lt;=366,"M","A")</f>
        <v>M</v>
      </c>
      <c r="W220" s="1202" t="s">
        <v>287</v>
      </c>
      <c r="X220" s="1212">
        <f>+prix_atp(AF$1,AA220,Z220,AB220,M220,K220,W220,V220,P220,Q220,N220,D220,Y220)</f>
        <v>0</v>
      </c>
      <c r="Y220" s="1202">
        <v>1</v>
      </c>
      <c r="Z220" s="35">
        <v>45338</v>
      </c>
      <c r="AA220" s="1198">
        <f>Marché!G2541</f>
        <v>45117</v>
      </c>
      <c r="AB220" s="1198">
        <f>Marché!H2541</f>
        <v>46069</v>
      </c>
      <c r="AC220" s="35"/>
      <c r="AD220" s="2"/>
    </row>
    <row r="221" spans="1:30" ht="15" hidden="1" x14ac:dyDescent="0.25">
      <c r="A221" s="1191">
        <v>152834</v>
      </c>
      <c r="B221" s="1192">
        <f t="shared" si="20"/>
        <v>0</v>
      </c>
      <c r="C221" s="1193">
        <f>(AB221-$AF$1)</f>
        <v>-511</v>
      </c>
      <c r="D221" s="1194">
        <f t="shared" si="22"/>
        <v>2.52E-2</v>
      </c>
      <c r="E221" s="1195">
        <f>duration_titre($AF$1,AA221,AB221,M221,K221,W221,V221,P221,Q221,N221,D221)</f>
        <v>0</v>
      </c>
      <c r="F221" s="1195">
        <f t="shared" si="21"/>
        <v>0</v>
      </c>
      <c r="G221" s="1195">
        <f>convexite_titre($AF$1,AA221,AB221,M221,K221,W221,V221,P221,Q221,N221,D221)</f>
        <v>0</v>
      </c>
      <c r="H221" s="1196">
        <f>+ROUND(coupon_courru($AF$1,AA221,AB221,M221,K221,W221,P221,Q221,N221,V221,"V"),4)</f>
        <v>8258.4166999999998</v>
      </c>
      <c r="I221" s="1199">
        <f>+IF(Y221=1,B221,D221*100)</f>
        <v>0</v>
      </c>
      <c r="J221" s="1193" t="str">
        <f>Marché!C2542</f>
        <v>CD SGMB du 31/10/2023 à 3.39% 52 sem</v>
      </c>
      <c r="K221" s="1193">
        <f>Marché!D2542</f>
        <v>100000</v>
      </c>
      <c r="L221" s="1193">
        <f>Marché!E2542</f>
        <v>0</v>
      </c>
      <c r="M221" s="1197">
        <f>Marché!F2542</f>
        <v>3.39E-2</v>
      </c>
      <c r="N221" s="1193">
        <f>Marché!I2542</f>
        <v>52</v>
      </c>
      <c r="O221" s="1200" t="str">
        <f>Marché!J2542</f>
        <v>S</v>
      </c>
      <c r="P221" s="1200" t="str">
        <f>Marché!K2542</f>
        <v>A</v>
      </c>
      <c r="Q221" s="1200" t="str">
        <f>Marché!L2542</f>
        <v>F</v>
      </c>
      <c r="R221" s="1287">
        <v>2.5000000000000001E-3</v>
      </c>
      <c r="S221" s="1229" cm="1">
        <f t="array" ref="S221">IF(C221&gt;'Courbe des taux'!$D$50,ROUND( TREND('Courbe des taux'!$E$49:$E$50,'Courbe des taux'!$D$49:$D$50,Lignes_détenues!C221),5),ROUND(IF(C221&gt;365,interpoler(_mat2,taux2,C221),interpoler(_mat1,taux1,C221)),5))</f>
        <v>2.2700000000000001E-2</v>
      </c>
      <c r="T221" s="1201">
        <f t="shared" si="23"/>
        <v>2.2700000000000001E-2</v>
      </c>
      <c r="U221" s="1201">
        <f>ROUND(IF(D221*366&gt;366,interpoler(_mat2,taux2,D221*366),interpoler(_mat1,taux1,D221*366)),5)</f>
        <v>2.2700000000000001E-2</v>
      </c>
      <c r="V221" s="1202" t="str">
        <f>+IF((AB221-$AF$1)&lt;=366,"M","A")</f>
        <v>M</v>
      </c>
      <c r="W221" s="1202" t="s">
        <v>287</v>
      </c>
      <c r="X221" s="1212">
        <f>+prix_titre(AF$1,AA221,AB221,M221,K221,W221,V221,P221,Q221,N221,D221,Y221)</f>
        <v>0</v>
      </c>
      <c r="Y221" s="1202">
        <v>1</v>
      </c>
      <c r="Z221" s="35"/>
      <c r="AA221" s="1198">
        <f>Marché!G2542</f>
        <v>45230</v>
      </c>
      <c r="AB221" s="1198">
        <f>Marché!H2542</f>
        <v>45596</v>
      </c>
      <c r="AC221" s="35"/>
      <c r="AD221" s="2"/>
    </row>
    <row r="222" spans="1:30" ht="15" hidden="1" x14ac:dyDescent="0.25">
      <c r="A222" s="1191">
        <v>100915</v>
      </c>
      <c r="B222" s="1192">
        <f t="shared" ref="B222:B253" si="24">X222</f>
        <v>0</v>
      </c>
      <c r="C222" s="1193">
        <f>(AB222-$AF$1)</f>
        <v>-145</v>
      </c>
      <c r="D222" s="1194">
        <f t="shared" si="22"/>
        <v>2.7199999999999998E-2</v>
      </c>
      <c r="E222" s="1195">
        <f>duration_titre($AF$1,AA222,AB222,M222,K222,W222,V222,P222,Q222,N222,D222)</f>
        <v>0</v>
      </c>
      <c r="F222" s="1195">
        <f t="shared" si="21"/>
        <v>0</v>
      </c>
      <c r="G222" s="1195">
        <f>convexite_titre($AF$1,AA222,AB222,M222,K222,W222,V222,P222,Q222,N222,D222)</f>
        <v>0</v>
      </c>
      <c r="H222" s="1196">
        <f>+ROUND(coupon_courru($AF$1,AA222,AB222,M222,K222,W222,P222,Q222,N222,V222,"V"),4)</f>
        <v>1525.4794999999999</v>
      </c>
      <c r="I222" s="1199">
        <f>+IF(Y222=1,B222,D222*100)</f>
        <v>0</v>
      </c>
      <c r="J222" s="1193" t="str">
        <f>Marché!C2545</f>
        <v>BSF WAFABAIL DU 01/11/2023 2ans à 3.84%</v>
      </c>
      <c r="K222" s="1193">
        <f>Marché!D2545</f>
        <v>100000</v>
      </c>
      <c r="L222" s="1193">
        <f>Marché!E2545</f>
        <v>0</v>
      </c>
      <c r="M222" s="1197">
        <f>Marché!F2545</f>
        <v>3.8399999999999997E-2</v>
      </c>
      <c r="N222" s="1193">
        <f>Marché!I2545</f>
        <v>2</v>
      </c>
      <c r="O222" s="1200" t="str">
        <f>Marché!J2545</f>
        <v>A</v>
      </c>
      <c r="P222" s="1200" t="str">
        <f>Marché!K2545</f>
        <v>A</v>
      </c>
      <c r="Q222" s="1200" t="str">
        <f>Marché!L2545</f>
        <v>F</v>
      </c>
      <c r="R222" s="1287">
        <v>4.4999999999999997E-3</v>
      </c>
      <c r="S222" s="1229" cm="1">
        <f t="array" ref="S222">IF(C222&gt;'Courbe des taux'!$D$50,ROUND( TREND('Courbe des taux'!$E$49:$E$50,'Courbe des taux'!$D$49:$D$50,Lignes_détenues!C222),5),ROUND(IF(C222&gt;365,interpoler(_mat2,taux2,C222),interpoler(_mat1,taux1,C222)),5))</f>
        <v>2.2700000000000001E-2</v>
      </c>
      <c r="T222" s="1201">
        <f t="shared" si="23"/>
        <v>2.2700000000000001E-2</v>
      </c>
      <c r="U222" s="1201">
        <f>ROUND(IF(D222*366&gt;366,interpoler(_mat2,taux2,D222*366),interpoler(_mat1,taux1,D222*366)),5)</f>
        <v>2.2700000000000001E-2</v>
      </c>
      <c r="V222" s="1202" t="str">
        <f>+IF((AB222-$AF$1)&lt;=366,"M","A")</f>
        <v>M</v>
      </c>
      <c r="W222" s="1202" t="s">
        <v>287</v>
      </c>
      <c r="X222" s="1212">
        <f>+prix_atp(AF$1,AA222,Z222,AB222,M222,K222,W222,V222,P222,Q222,N222,D222,Y222)</f>
        <v>0</v>
      </c>
      <c r="Y222" s="1202">
        <v>1</v>
      </c>
      <c r="Z222" s="35"/>
      <c r="AA222" s="1198">
        <f>Marché!G2545</f>
        <v>45231</v>
      </c>
      <c r="AB222" s="1198">
        <f>Marché!H2545</f>
        <v>45962</v>
      </c>
      <c r="AC222" s="35"/>
      <c r="AD222" s="2"/>
    </row>
    <row r="223" spans="1:30" ht="15" hidden="1" x14ac:dyDescent="0.25">
      <c r="A223" s="1191">
        <v>100916</v>
      </c>
      <c r="B223" s="1192">
        <f t="shared" si="24"/>
        <v>0</v>
      </c>
      <c r="C223" s="1193">
        <f>(AB223-$AF$1)</f>
        <v>-138</v>
      </c>
      <c r="D223" s="1194">
        <f t="shared" si="22"/>
        <v>2.6200000000000001E-2</v>
      </c>
      <c r="E223" s="1195">
        <f>duration_titre($AF$1,AA223,AB223,M223,K223,W223,V223,P223,Q223,N223,D223)</f>
        <v>0</v>
      </c>
      <c r="F223" s="1195">
        <f t="shared" si="21"/>
        <v>0</v>
      </c>
      <c r="G223" s="1195">
        <f>convexite_titre($AF$1,AA223,AB223,M223,K223,W223,V223,P223,Q223,N223,D223)</f>
        <v>0</v>
      </c>
      <c r="H223" s="1196">
        <f>+ROUND(coupon_courru($AF$1,AA223,AB223,M223,K223,W223,P223,Q223,N223,V223,"V"),4)</f>
        <v>1417.8081999999999</v>
      </c>
      <c r="I223" s="1199">
        <f>+IF(Y223=1,B223,D223*100)</f>
        <v>0</v>
      </c>
      <c r="J223" s="1193" t="str">
        <f>Marché!C2546</f>
        <v>BSF WAFASALAF du 08/11/2023 à 3.75%   2 ANS</v>
      </c>
      <c r="K223" s="1193">
        <f>Marché!D2546</f>
        <v>100000</v>
      </c>
      <c r="L223" s="1193">
        <f>Marché!E2546</f>
        <v>0</v>
      </c>
      <c r="M223" s="1197">
        <f>Marché!F2546</f>
        <v>3.7499999999999999E-2</v>
      </c>
      <c r="N223" s="1193">
        <f>Marché!I2546</f>
        <v>2</v>
      </c>
      <c r="O223" s="1200" t="str">
        <f>Marché!J2546</f>
        <v>A</v>
      </c>
      <c r="P223" s="1200" t="str">
        <f>Marché!K2546</f>
        <v>A</v>
      </c>
      <c r="Q223" s="1200" t="str">
        <f>Marché!L2546</f>
        <v>F</v>
      </c>
      <c r="R223" s="1287">
        <v>3.5000000000000001E-3</v>
      </c>
      <c r="S223" s="1229" cm="1">
        <f t="array" ref="S223">IF(C223&gt;'Courbe des taux'!$D$50,ROUND( TREND('Courbe des taux'!$E$49:$E$50,'Courbe des taux'!$D$49:$D$50,Lignes_détenues!C223),5),ROUND(IF(C223&gt;365,interpoler(_mat2,taux2,C223),interpoler(_mat1,taux1,C223)),5))</f>
        <v>2.2700000000000001E-2</v>
      </c>
      <c r="T223" s="1201">
        <f t="shared" si="23"/>
        <v>2.2700000000000001E-2</v>
      </c>
      <c r="U223" s="1201">
        <f>ROUND(IF(D223*366&gt;366,interpoler(_mat2,taux2,D223*366),interpoler(_mat1,taux1,D223*366)),5)</f>
        <v>2.2700000000000001E-2</v>
      </c>
      <c r="V223" s="1202" t="str">
        <f>+IF((AB223-$AF$1)&lt;=366,"M","A")</f>
        <v>M</v>
      </c>
      <c r="W223" s="1202" t="s">
        <v>287</v>
      </c>
      <c r="X223" s="1212">
        <f>+prix_titre(AF$1,AA223,AB223,M223,K223,W223,V223,P223,Q223,N223,D223,Y223)</f>
        <v>0</v>
      </c>
      <c r="Y223" s="1202">
        <v>1</v>
      </c>
      <c r="Z223" s="35"/>
      <c r="AA223" s="1198">
        <f>Marché!G2546</f>
        <v>45238</v>
      </c>
      <c r="AB223" s="1198">
        <f>Marché!H2546</f>
        <v>45969</v>
      </c>
      <c r="AC223" s="35"/>
      <c r="AD223" s="2"/>
    </row>
    <row r="224" spans="1:30" ht="15" hidden="1" x14ac:dyDescent="0.25">
      <c r="A224" s="1191">
        <v>152739</v>
      </c>
      <c r="B224" s="1192">
        <f t="shared" si="24"/>
        <v>0</v>
      </c>
      <c r="C224" s="1193">
        <f>(AB224-$AF$1)</f>
        <v>-176</v>
      </c>
      <c r="D224" s="1194">
        <f t="shared" si="22"/>
        <v>2.47E-2</v>
      </c>
      <c r="E224" s="1195">
        <f>duration_titre($AF$1,AA224,AB224,M224,K224,W224,V224,P224,Q224,N224,D224)</f>
        <v>0</v>
      </c>
      <c r="F224" s="1195">
        <f t="shared" si="21"/>
        <v>0</v>
      </c>
      <c r="G224" s="1195">
        <f>convexite_titre($AF$1,AA224,AB224,M224,K224,W224,V224,P224,Q224,N224,D224)</f>
        <v>0</v>
      </c>
      <c r="H224" s="1196">
        <f>+ROUND(coupon_courru($AF$1,AA224,AB224,M224,K224,W224,P224,Q224,N224,V224,"V"),4)</f>
        <v>1986.6301000000001</v>
      </c>
      <c r="I224" s="1199">
        <f>+IF(Y224=1,B224,D224*100)</f>
        <v>0</v>
      </c>
      <c r="J224" s="1193" t="str">
        <f>Marché!C2552</f>
        <v>CD CIH DU 01/10/2023  2 ANS à 4.12% ATH 29/05</v>
      </c>
      <c r="K224" s="1193">
        <f>Marché!D2552</f>
        <v>100000</v>
      </c>
      <c r="L224" s="1193">
        <f>Marché!E2552</f>
        <v>0</v>
      </c>
      <c r="M224" s="1197">
        <f>Marché!F2552</f>
        <v>4.1200000000000001E-2</v>
      </c>
      <c r="N224" s="1193">
        <f>Marché!I2552</f>
        <v>2</v>
      </c>
      <c r="O224" s="1200" t="str">
        <f>Marché!J2552</f>
        <v>A</v>
      </c>
      <c r="P224" s="1200" t="str">
        <f>Marché!K2552</f>
        <v>A</v>
      </c>
      <c r="Q224" s="1200" t="str">
        <f>Marché!L2552</f>
        <v>F</v>
      </c>
      <c r="R224" s="1287">
        <v>2E-3</v>
      </c>
      <c r="S224" s="1229" cm="1">
        <f t="array" ref="S224">IF(C224&gt;'Courbe des taux'!$D$50,ROUND( TREND('Courbe des taux'!$E$49:$E$50,'Courbe des taux'!$D$49:$D$50,Lignes_détenues!C224),5),ROUND(IF(C224&gt;365,interpoler(_mat2,taux2,C224),interpoler(_mat1,taux1,C224)),5))</f>
        <v>2.2700000000000001E-2</v>
      </c>
      <c r="T224" s="1201">
        <f t="shared" si="23"/>
        <v>2.2700000000000001E-2</v>
      </c>
      <c r="U224" s="1201">
        <f>ROUND(IF(D224*366&gt;366,interpoler(_mat2,taux2,D224*366),interpoler(_mat1,taux1,D224*366)),5)</f>
        <v>2.2700000000000001E-2</v>
      </c>
      <c r="V224" s="1202" t="str">
        <f>+IF((AB224-$AF$1)&lt;=366,"M","A")</f>
        <v>M</v>
      </c>
      <c r="W224" s="1202" t="s">
        <v>287</v>
      </c>
      <c r="X224" s="1212">
        <f>+prix_atp(AF$1,AA224,Z224,AB224,M224,K224,W224,V224,P224,Q224,N224,D224,Y224)</f>
        <v>0</v>
      </c>
      <c r="Y224" s="1202">
        <v>1</v>
      </c>
      <c r="Z224" s="35">
        <v>45200</v>
      </c>
      <c r="AA224" s="1198">
        <f>Marché!G2552</f>
        <v>45075</v>
      </c>
      <c r="AB224" s="1198">
        <f>Marché!H2552</f>
        <v>45931</v>
      </c>
      <c r="AC224" s="35"/>
      <c r="AD224" s="2"/>
    </row>
    <row r="225" spans="1:38" ht="15" hidden="1" x14ac:dyDescent="0.25">
      <c r="A225" s="1191">
        <v>152849</v>
      </c>
      <c r="B225" s="1192">
        <f t="shared" si="24"/>
        <v>0</v>
      </c>
      <c r="C225" s="1193">
        <f>(AB225-$AF$1)</f>
        <v>-483</v>
      </c>
      <c r="D225" s="1194">
        <f t="shared" si="22"/>
        <v>2.5270000000000001E-2</v>
      </c>
      <c r="E225" s="1195">
        <f>duration_titre($AF$1,AA225,AB225,M225,K225,W225,V225,P225,Q225,N225,D225)</f>
        <v>0</v>
      </c>
      <c r="F225" s="1195">
        <f t="shared" si="21"/>
        <v>0</v>
      </c>
      <c r="G225" s="1195">
        <f>convexite_titre($AF$1,AA225,AB225,M225,K225,W225,V225,P225,Q225,N225,D225)</f>
        <v>0</v>
      </c>
      <c r="H225" s="1196">
        <f>+ROUND(coupon_courru($AF$1,AA225,AB225,M225,K225,W225,P225,Q225,N225,V225,"V"),4)</f>
        <v>7881.8055999999997</v>
      </c>
      <c r="I225" s="1199">
        <f>+IF(Y225=1,B225,D225*100)</f>
        <v>0</v>
      </c>
      <c r="J225" s="1193" t="str">
        <f>Marché!C2556</f>
        <v>CD CDM du 30/11/2023 à 3.35%   52 SEM</v>
      </c>
      <c r="K225" s="1193">
        <f>Marché!D2556</f>
        <v>100000</v>
      </c>
      <c r="L225" s="1193">
        <f>Marché!E2556</f>
        <v>0</v>
      </c>
      <c r="M225" s="1197">
        <f>Marché!F2556</f>
        <v>3.3500000000000002E-2</v>
      </c>
      <c r="N225" s="1193">
        <f>Marché!I2556</f>
        <v>52</v>
      </c>
      <c r="O225" s="1200" t="s">
        <v>288</v>
      </c>
      <c r="P225" s="1200" t="s">
        <v>288</v>
      </c>
      <c r="Q225" s="1200" t="str">
        <f>Marché!L2556</f>
        <v>F</v>
      </c>
      <c r="R225" s="1287">
        <v>2.5699999999999998E-3</v>
      </c>
      <c r="S225" s="1229" cm="1">
        <f t="array" ref="S225">IF(C225&gt;'Courbe des taux'!$D$50,ROUND( TREND('Courbe des taux'!$E$49:$E$50,'Courbe des taux'!$D$49:$D$50,Lignes_détenues!C225),5),ROUND(IF(C225&gt;365,interpoler(_mat2,taux2,C225),interpoler(_mat1,taux1,C225)),5))</f>
        <v>2.2700000000000001E-2</v>
      </c>
      <c r="T225" s="1201">
        <f t="shared" si="23"/>
        <v>2.2700000000000001E-2</v>
      </c>
      <c r="U225" s="1201">
        <f>ROUND(IF(D225*366&gt;366,interpoler(_mat2,taux2,D225*366),interpoler(_mat1,taux1,D225*366)),5)</f>
        <v>2.2700000000000001E-2</v>
      </c>
      <c r="V225" s="1202" t="str">
        <f>+IF((AB225-$AF$1)&lt;=366,"M","A")</f>
        <v>M</v>
      </c>
      <c r="W225" s="1202" t="s">
        <v>287</v>
      </c>
      <c r="X225" s="1212">
        <f>+prix_atp(AF$1,AA225,Z225,AB225,M225,K225,W225,V225,P225,Q225,N225,D225,Y225)</f>
        <v>0</v>
      </c>
      <c r="Y225" s="1202">
        <v>1</v>
      </c>
      <c r="Z225" s="35"/>
      <c r="AA225" s="1198">
        <f>Marché!G2556</f>
        <v>45260</v>
      </c>
      <c r="AB225" s="1198">
        <f>Marché!H2556</f>
        <v>45624</v>
      </c>
      <c r="AC225" s="35"/>
      <c r="AD225" s="2"/>
    </row>
    <row r="226" spans="1:38" ht="15" hidden="1" x14ac:dyDescent="0.25">
      <c r="A226" s="1191">
        <v>100921</v>
      </c>
      <c r="B226" s="1192">
        <f t="shared" si="24"/>
        <v>0</v>
      </c>
      <c r="C226" s="1193">
        <f>(AB226-$AF$1)</f>
        <v>-115</v>
      </c>
      <c r="D226" s="1194">
        <f t="shared" si="22"/>
        <v>2.6700000000000002E-2</v>
      </c>
      <c r="E226" s="1195">
        <f>duration_titre($AF$1,AA226,AB226,M226,K226,W226,V226,P226,Q226,N226,D226)</f>
        <v>0</v>
      </c>
      <c r="F226" s="1195">
        <f t="shared" si="21"/>
        <v>0</v>
      </c>
      <c r="G226" s="1195">
        <f>convexite_titre($AF$1,AA226,AB226,M226,K226,W226,V226,P226,Q226,N226,D226)</f>
        <v>0</v>
      </c>
      <c r="H226" s="1196">
        <f>+ROUND(coupon_courru($AF$1,AA226,AB226,M226,K226,W226,P226,Q226,N226,V226,"V"),4)</f>
        <v>1172.0547999999999</v>
      </c>
      <c r="I226" s="1199">
        <f>+IF(Y226=1,B226,D226*100)</f>
        <v>0</v>
      </c>
      <c r="J226" s="1193" t="str">
        <f>Marché!C2559</f>
        <v>BSF WAFABAIL DU 01/12/2023 2ans à 3.72%</v>
      </c>
      <c r="K226" s="1193">
        <f>Marché!D2559</f>
        <v>100000</v>
      </c>
      <c r="L226" s="1193">
        <f>Marché!E2559</f>
        <v>0</v>
      </c>
      <c r="M226" s="1197">
        <f>Marché!F2559</f>
        <v>3.7199999999999997E-2</v>
      </c>
      <c r="N226" s="1193">
        <f>Marché!I2559</f>
        <v>2</v>
      </c>
      <c r="O226" s="1200" t="str">
        <f>Marché!J2559</f>
        <v>A</v>
      </c>
      <c r="P226" s="1200" t="str">
        <f>Marché!K2559</f>
        <v>A</v>
      </c>
      <c r="Q226" s="1200" t="str">
        <f>Marché!L2559</f>
        <v>F</v>
      </c>
      <c r="R226" s="1287">
        <v>4.0000000000000001E-3</v>
      </c>
      <c r="S226" s="1229" cm="1">
        <f t="array" ref="S226">IF(C226&gt;'Courbe des taux'!$D$50,ROUND( TREND('Courbe des taux'!$E$49:$E$50,'Courbe des taux'!$D$49:$D$50,Lignes_détenues!C226),5),ROUND(IF(C226&gt;365,interpoler(_mat2,taux2,C226),interpoler(_mat1,taux1,C226)),5))</f>
        <v>2.2700000000000001E-2</v>
      </c>
      <c r="T226" s="1201">
        <f t="shared" si="23"/>
        <v>2.2700000000000001E-2</v>
      </c>
      <c r="U226" s="1201">
        <f>ROUND(IF(D226*366&gt;366,interpoler(_mat2,taux2,D226*366),interpoler(_mat1,taux1,D226*366)),5)</f>
        <v>2.2700000000000001E-2</v>
      </c>
      <c r="V226" s="1202" t="str">
        <f>+IF((AB226-$AF$1)&lt;=366,"M","A")</f>
        <v>M</v>
      </c>
      <c r="W226" s="1202" t="s">
        <v>287</v>
      </c>
      <c r="X226" s="1212">
        <f>+prix_titre(AF$1,AA226,AB226,M226,K226,W226,V226,P226,Q226,N226,D226,Y226)</f>
        <v>0</v>
      </c>
      <c r="Y226" s="1202">
        <v>1</v>
      </c>
      <c r="Z226" s="35"/>
      <c r="AA226" s="1198">
        <f>Marché!G2559</f>
        <v>45261</v>
      </c>
      <c r="AB226" s="1198">
        <f>Marché!H2559</f>
        <v>45992</v>
      </c>
      <c r="AC226" s="35"/>
      <c r="AD226" s="2"/>
      <c r="AF226" s="2" t="s">
        <v>3256</v>
      </c>
      <c r="AG226" s="2" t="s">
        <v>3255</v>
      </c>
    </row>
    <row r="227" spans="1:38" s="1417" customFormat="1" ht="15" hidden="1" x14ac:dyDescent="0.25">
      <c r="A227" s="1402">
        <v>9593</v>
      </c>
      <c r="B227" s="1403">
        <f t="shared" si="24"/>
        <v>100748.67639147468</v>
      </c>
      <c r="C227" s="1404">
        <f>(AB227-$AF$1)</f>
        <v>263</v>
      </c>
      <c r="D227" s="1405">
        <f t="shared" si="22"/>
        <v>3.0179999999999998E-2</v>
      </c>
      <c r="E227" s="1406">
        <f>duration_titre($AF$1,AA227,AB227,M227,K227,W227,V227,P227,Q227,N227,D227)</f>
        <v>0.72054794520547949</v>
      </c>
      <c r="F227" s="1406">
        <f t="shared" si="21"/>
        <v>0.69943887981273123</v>
      </c>
      <c r="G227" s="1406">
        <f>convexite_titre($AF$1,AA227,AB227,M227,K227,W227,V227,P227,Q227,N227,D227)</f>
        <v>1.1681629690526092</v>
      </c>
      <c r="H227" s="1407">
        <f>+ROUND(coupon_courru($AF$1,AA227,AB227,M227,K227,W227,P227,Q227,N227,V227,"V"),4)</f>
        <v>841.5</v>
      </c>
      <c r="I227" s="1408">
        <f>+IF(Y227=1,B227,D227*100)</f>
        <v>100748.67639147468</v>
      </c>
      <c r="J227" s="1404" t="str">
        <f>Marché!C2560</f>
        <v>OBL OCP PERPT SUB DU 14/12/2023 REV 52 SEM</v>
      </c>
      <c r="K227" s="1404">
        <f>Marché!D2560</f>
        <v>100000</v>
      </c>
      <c r="L227" s="1404">
        <f>Marché!E2560</f>
        <v>0</v>
      </c>
      <c r="M227" s="1409">
        <v>2.9700000000000001E-2</v>
      </c>
      <c r="N227" s="1404">
        <f>Marché!I2560</f>
        <v>52</v>
      </c>
      <c r="O227" s="1411" t="s">
        <v>369</v>
      </c>
      <c r="P227" s="1411" t="s">
        <v>1716</v>
      </c>
      <c r="Q227" s="1411" t="s">
        <v>1014</v>
      </c>
      <c r="R227" s="1412">
        <v>6.0000000000000001E-3</v>
      </c>
      <c r="S227" s="1413" cm="1">
        <f t="array" ref="S227">IF(C227&gt;'Courbe des taux'!$D$50,ROUND( TREND('Courbe des taux'!$E$49:$E$50,'Courbe des taux'!$D$49:$D$50,Lignes_détenues!C227),5),ROUND(IF(C227&gt;365,interpoler(_mat2,taux2,C227),interpoler(_mat1,taux1,C227)),5))</f>
        <v>2.418E-2</v>
      </c>
      <c r="T227" s="1413">
        <f t="shared" si="23"/>
        <v>2.418E-2</v>
      </c>
      <c r="U227" s="1413">
        <f>ROUND(IF(D227*366&gt;366,interpoler(_mat2,taux2,D227*366),interpoler(_mat1,taux1,D227*366)),5)</f>
        <v>2.2700000000000001E-2</v>
      </c>
      <c r="V227" s="1414" t="str">
        <f>+IF((AB227-$AF$1)&lt;=366,"M","A")</f>
        <v>M</v>
      </c>
      <c r="W227" s="1414" t="s">
        <v>287</v>
      </c>
      <c r="X227" s="1212">
        <f>AH231</f>
        <v>100748.67639147468</v>
      </c>
      <c r="Y227" s="1414">
        <v>1</v>
      </c>
      <c r="Z227" s="1418">
        <f>S227+R227</f>
        <v>3.0179999999999998E-2</v>
      </c>
      <c r="AA227" s="1410">
        <v>46005</v>
      </c>
      <c r="AB227" s="1410">
        <v>46370</v>
      </c>
      <c r="AC227" s="35"/>
      <c r="AD227" s="1417">
        <f>K227*M227*(AB227-AA227)/365</f>
        <v>2970</v>
      </c>
      <c r="AE227" s="1420" t="s">
        <v>1918</v>
      </c>
      <c r="AF227" s="1420" t="s">
        <v>3250</v>
      </c>
      <c r="AG227" s="1420" t="s">
        <v>3093</v>
      </c>
      <c r="AH227" s="1420" t="s">
        <v>3254</v>
      </c>
      <c r="AI227" s="2"/>
      <c r="AJ227" s="2"/>
      <c r="AK227" s="2"/>
      <c r="AL227" s="2"/>
    </row>
    <row r="228" spans="1:38" ht="15" hidden="1" x14ac:dyDescent="0.25">
      <c r="A228" s="1191">
        <v>9596</v>
      </c>
      <c r="B228" s="1192">
        <f t="shared" si="24"/>
        <v>116168.5176853009</v>
      </c>
      <c r="C228" s="1193">
        <f>(AB228-$AF$1)</f>
        <v>6472</v>
      </c>
      <c r="D228" s="1194">
        <f t="shared" si="22"/>
        <v>4.7120000000000002E-2</v>
      </c>
      <c r="E228" s="1195">
        <f>duration_titre($AF$1,AA228,AB228,M228,K228,W228,V228,P228,Q228,N228,D228)</f>
        <v>11.70379502824502</v>
      </c>
      <c r="F228" s="1195">
        <f t="shared" si="21"/>
        <v>11.177128722825483</v>
      </c>
      <c r="G228" s="1195">
        <f>convexite_titre($AF$1,AA228,AB228,M228,K228,W228,V228,P228,Q228,N228,D228)</f>
        <v>170.68031837938616</v>
      </c>
      <c r="H228" s="1196">
        <f>+ROUND(coupon_courru($AF$1,AA228,AB228,M228,K228,W228,P228,Q228,N228,V228,"V"),4)</f>
        <v>1659.9452000000001</v>
      </c>
      <c r="I228" s="1199">
        <f>+IF(Y228=1,B228,D228*100)</f>
        <v>116168.5176853009</v>
      </c>
      <c r="J228" s="1193" t="str">
        <f>Marché!C2561</f>
        <v>OBL OCP PERPT SUB DU 14/12/2023 REV 20 ANS</v>
      </c>
      <c r="K228" s="1193">
        <f>Marché!D2561</f>
        <v>100000</v>
      </c>
      <c r="L228" s="1193">
        <f>Marché!E2561</f>
        <v>0</v>
      </c>
      <c r="M228" s="1197">
        <f>Marché!F2561</f>
        <v>5.9400000000000001E-2</v>
      </c>
      <c r="N228" s="1193">
        <f>Marché!I2561</f>
        <v>20</v>
      </c>
      <c r="O228" s="1200" t="str">
        <f>Marché!J2561</f>
        <v>A</v>
      </c>
      <c r="P228" s="1200" t="str">
        <f>Marché!K2561</f>
        <v>A</v>
      </c>
      <c r="Q228" s="1200" t="str">
        <f>Marché!L2561</f>
        <v>F</v>
      </c>
      <c r="R228" s="1287">
        <v>1.0999999999999999E-2</v>
      </c>
      <c r="S228" s="1229" cm="1">
        <f t="array" ref="S228">IF(C228&gt;'Courbe des taux'!$D$50,ROUND( TREND('Courbe des taux'!$E$49:$E$50,'Courbe des taux'!$D$49:$D$50,Lignes_détenues!C228),5),ROUND(IF(C228&gt;365,interpoler(_mat2,taux2,C228),interpoler(_mat1,taux1,C228)),5))</f>
        <v>3.6119999999999999E-2</v>
      </c>
      <c r="T228" s="1201">
        <f t="shared" si="23"/>
        <v>3.6119999999999999E-2</v>
      </c>
      <c r="U228" s="1201">
        <f>ROUND(IF(D228*366&gt;366,interpoler(_mat2,taux2,D228*366),interpoler(_mat1,taux1,D228*366)),5)</f>
        <v>2.2700000000000001E-2</v>
      </c>
      <c r="V228" s="1202" t="str">
        <f>+IF((AB228-$AF$1)&lt;=366,"M","A")</f>
        <v>A</v>
      </c>
      <c r="W228" s="1202" t="s">
        <v>287</v>
      </c>
      <c r="X228" s="1212">
        <f>+prix_titre(AF$1,AA228,AB228,M228,K228,W228,V228,P228,Q228,N228,D228,Y228)</f>
        <v>116168.5176853009</v>
      </c>
      <c r="Y228" s="1202">
        <v>1</v>
      </c>
      <c r="Z228" s="35"/>
      <c r="AA228" s="1198">
        <f>Marché!G2561</f>
        <v>45274</v>
      </c>
      <c r="AB228" s="1198">
        <f>Marché!H2561</f>
        <v>52579</v>
      </c>
      <c r="AC228" s="35"/>
      <c r="AD228" s="2"/>
      <c r="AE228" s="1420">
        <v>45274</v>
      </c>
      <c r="AF228" s="1425">
        <f t="shared" ref="AF228:AF230" si="25">(AE228-$AF$1)/360</f>
        <v>-2.3138888888888891</v>
      </c>
    </row>
    <row r="229" spans="1:38" ht="15" hidden="1" x14ac:dyDescent="0.25">
      <c r="A229" s="1191">
        <v>9600</v>
      </c>
      <c r="B229" s="1192">
        <f t="shared" si="24"/>
        <v>103782.02459642316</v>
      </c>
      <c r="C229" s="1193">
        <f>(AB229-$AF$1)</f>
        <v>1738</v>
      </c>
      <c r="D229" s="1194">
        <f t="shared" si="22"/>
        <v>3.7510000000000002E-2</v>
      </c>
      <c r="E229" s="1195">
        <f>duration_titre($AF$1,AA229,AB229,M229,K229,W229,V229,P229,Q229,N229,D229)</f>
        <v>4.3646573674369549</v>
      </c>
      <c r="F229" s="1195">
        <f t="shared" si="21"/>
        <v>4.2068581193790475</v>
      </c>
      <c r="G229" s="1195">
        <f>convexite_titre($AF$1,AA229,AB229,M229,K229,W229,V229,P229,Q229,N229,D229)</f>
        <v>22.726672987447223</v>
      </c>
      <c r="H229" s="1196">
        <f>+ROUND(coupon_courru($AF$1,AA229,AB229,M229,K229,W229,P229,Q229,N229,V229,"V"),4)</f>
        <v>1058.4110000000001</v>
      </c>
      <c r="I229" s="1199">
        <f>+IF(Y229=1,B229,D229*100)</f>
        <v>103782.02459642316</v>
      </c>
      <c r="J229" s="1193" t="str">
        <f>Marché!C2563</f>
        <v>OBL SUB WAFASALAF du 28/12/2023 7 ans 4.39%</v>
      </c>
      <c r="K229" s="1193">
        <f>Marché!D2563</f>
        <v>100000</v>
      </c>
      <c r="L229" s="1193">
        <f>Marché!E2563</f>
        <v>0</v>
      </c>
      <c r="M229" s="1197">
        <f>Marché!F2563</f>
        <v>4.3900000000000002E-2</v>
      </c>
      <c r="N229" s="1193">
        <f>Marché!I2563</f>
        <v>7</v>
      </c>
      <c r="O229" s="1200" t="str">
        <f>Marché!J2563</f>
        <v>A</v>
      </c>
      <c r="P229" s="1200" t="str">
        <f>Marché!K2563</f>
        <v>A</v>
      </c>
      <c r="Q229" s="1200" t="str">
        <f>Marché!L2563</f>
        <v>F</v>
      </c>
      <c r="R229" s="1287">
        <v>7.0000000000000001E-3</v>
      </c>
      <c r="S229" s="1229" cm="1">
        <f t="array" ref="S229">IF(C229&gt;'Courbe des taux'!$D$50,ROUND( TREND('Courbe des taux'!$E$49:$E$50,'Courbe des taux'!$D$49:$D$50,Lignes_détenues!C229),5),ROUND(IF(C229&gt;365,interpoler(_mat2,taux2,C229),interpoler(_mat1,taux1,C229)),5))</f>
        <v>3.0509999999999999E-2</v>
      </c>
      <c r="T229" s="1201">
        <f t="shared" si="23"/>
        <v>3.0509999999999999E-2</v>
      </c>
      <c r="U229" s="1201">
        <f>ROUND(IF(D229*366&gt;366,interpoler(_mat2,taux2,D229*366),interpoler(_mat1,taux1,D229*366)),5)</f>
        <v>2.2700000000000001E-2</v>
      </c>
      <c r="V229" s="1202" t="str">
        <f>+IF((AB229-$AF$1)&lt;=366,"M","A")</f>
        <v>A</v>
      </c>
      <c r="W229" s="1202" t="s">
        <v>287</v>
      </c>
      <c r="X229" s="1212">
        <f>+prix_titre(AF$1,AA229,AB229,M229,K229,W229,V229,P229,Q229,N229,D229,Y229)</f>
        <v>103782.02459642316</v>
      </c>
      <c r="Y229" s="1202">
        <v>1</v>
      </c>
      <c r="Z229" s="35"/>
      <c r="AA229" s="1198">
        <f>Marché!G2563</f>
        <v>45288</v>
      </c>
      <c r="AB229" s="1198">
        <f>Marché!H2563</f>
        <v>47845</v>
      </c>
      <c r="AC229" s="35"/>
      <c r="AD229" s="2"/>
      <c r="AE229" s="1420">
        <v>45640</v>
      </c>
      <c r="AF229" s="1425">
        <f t="shared" si="25"/>
        <v>-1.2972222222222223</v>
      </c>
    </row>
    <row r="230" spans="1:38" ht="15" hidden="1" x14ac:dyDescent="0.25">
      <c r="A230" s="1191">
        <v>9602</v>
      </c>
      <c r="B230" s="1192">
        <f t="shared" si="24"/>
        <v>100942.51281793222</v>
      </c>
      <c r="C230" s="1193">
        <f>(AB230-$AF$1)</f>
        <v>277</v>
      </c>
      <c r="D230" s="1194">
        <f t="shared" si="22"/>
        <v>4.478E-2</v>
      </c>
      <c r="E230" s="1195">
        <f>duration_titre($AF$1,AA230,AB230,M230,K230,W230,V230,P230,Q230,N230,D230)</f>
        <v>0.75890410958904109</v>
      </c>
      <c r="F230" s="1195">
        <f t="shared" si="21"/>
        <v>0.72637694977798295</v>
      </c>
      <c r="G230" s="1195">
        <f>convexite_titre($AF$1,AA230,AB230,M230,K230,W230,V230,P230,Q230,N230,D230)</f>
        <v>1.2228673999073938</v>
      </c>
      <c r="H230" s="1196">
        <f>+ROUND(coupon_courru($AF$1,AA230,AB230,M230,K230,W230,P230,Q230,N230,V230,"V"),4)</f>
        <v>1065.7778000000001</v>
      </c>
      <c r="I230" s="1199">
        <f>+IF(Y230=1,B230,D230*100)</f>
        <v>100942.51281793222</v>
      </c>
      <c r="J230" s="1193" t="str">
        <f>Marché!C2564</f>
        <v>OBL SUB ATW du 28/12/2023  PERPET REVIS 52 SEM</v>
      </c>
      <c r="K230" s="1193">
        <f>Marché!D2564</f>
        <v>100000</v>
      </c>
      <c r="L230" s="1193">
        <f>Marché!E2564</f>
        <v>0</v>
      </c>
      <c r="M230" s="1197">
        <v>4.36E-2</v>
      </c>
      <c r="N230" s="1193">
        <f>Marché!I2564</f>
        <v>52</v>
      </c>
      <c r="O230" s="1200" t="str">
        <f>Marché!J2564</f>
        <v>A</v>
      </c>
      <c r="P230" s="1200" t="str">
        <f>Marché!K2564</f>
        <v>A</v>
      </c>
      <c r="Q230" s="1200" t="str">
        <f>Marché!L2564</f>
        <v>F</v>
      </c>
      <c r="R230" s="1287">
        <v>2.0500000000000001E-2</v>
      </c>
      <c r="S230" s="1229" cm="1">
        <f t="array" ref="S230">IF(C230&gt;'Courbe des taux'!$D$50,ROUND( TREND('Courbe des taux'!$E$49:$E$50,'Courbe des taux'!$D$49:$D$50,Lignes_détenues!C230),5),ROUND(IF(C230&gt;365,interpoler(_mat2,taux2,C230),interpoler(_mat1,taux1,C230)),5))</f>
        <v>2.4279999999999999E-2</v>
      </c>
      <c r="T230" s="1201">
        <f t="shared" si="23"/>
        <v>2.4279999999999999E-2</v>
      </c>
      <c r="U230" s="1201">
        <f>ROUND(IF(D230*366&gt;366,interpoler(_mat2,taux2,D230*366),interpoler(_mat1,taux1,D230*366)),5)</f>
        <v>2.2700000000000001E-2</v>
      </c>
      <c r="V230" s="1202" t="str">
        <f>+IF((AB230-$AF$1)&lt;=366,"M","A")</f>
        <v>M</v>
      </c>
      <c r="W230" s="1202" t="s">
        <v>287</v>
      </c>
      <c r="X230" s="1212">
        <f>+prix_titre(AF$1,AA230,AB230,M230,K230,W230,V230,P230,Q230,N230,D230,Y230)</f>
        <v>100942.51281793222</v>
      </c>
      <c r="Y230" s="1202">
        <v>1</v>
      </c>
      <c r="Z230" s="35"/>
      <c r="AA230" s="1198">
        <v>46019</v>
      </c>
      <c r="AB230" s="1198">
        <v>46384</v>
      </c>
      <c r="AC230" s="35"/>
      <c r="AD230" s="2"/>
      <c r="AE230" s="1423">
        <v>46005</v>
      </c>
      <c r="AF230" s="1425">
        <f t="shared" si="25"/>
        <v>-0.28333333333333333</v>
      </c>
      <c r="AG230" s="1424"/>
      <c r="AH230" s="1424"/>
    </row>
    <row r="231" spans="1:38" ht="15" hidden="1" x14ac:dyDescent="0.25">
      <c r="A231" s="1191">
        <v>9606</v>
      </c>
      <c r="B231" s="1192">
        <f t="shared" si="24"/>
        <v>100551.74627517766</v>
      </c>
      <c r="C231" s="1193">
        <f>(AB231-$AF$1)</f>
        <v>278</v>
      </c>
      <c r="D231" s="1194">
        <f t="shared" si="22"/>
        <v>2.828E-2</v>
      </c>
      <c r="E231" s="1195">
        <f>duration_titre($AF$1,AA231,AB231,M231,K231,W231,V231,P231,Q231,N231,D231)</f>
        <v>0.76164383561643834</v>
      </c>
      <c r="F231" s="1195">
        <f t="shared" si="21"/>
        <v>0.74069692653405517</v>
      </c>
      <c r="G231" s="1195">
        <f>convexite_titre($AF$1,AA231,AB231,M231,K231,W231,V231,P231,Q231,N231,D231)</f>
        <v>1.2689580412813244</v>
      </c>
      <c r="H231" s="1196">
        <f>+ROUND(coupon_courru($AF$1,AA231,AB231,M231,K231,W231,P231,Q231,N231,V231,"V"),4)</f>
        <v>654.91669999999999</v>
      </c>
      <c r="I231" s="1199">
        <f>+IF(Y231=1,B231,D231*100)</f>
        <v>100551.74627517766</v>
      </c>
      <c r="J231" s="1193" t="str">
        <f>Marché!C2565</f>
        <v>BL SUB BCP  du 29/12/2023 à 3.47% 10ANS  REVIS/AMORT</v>
      </c>
      <c r="K231" s="1193">
        <f>Marché!D2565</f>
        <v>100000</v>
      </c>
      <c r="L231" s="1193">
        <f>Marché!E2565</f>
        <v>0</v>
      </c>
      <c r="M231" s="1197">
        <v>2.7099999999999999E-2</v>
      </c>
      <c r="N231" s="1193">
        <f>Marché!I2565</f>
        <v>52</v>
      </c>
      <c r="O231" s="1200" t="str">
        <f>Marché!J2565</f>
        <v>A</v>
      </c>
      <c r="P231" s="1200" t="str">
        <f>Marché!K2565</f>
        <v>A</v>
      </c>
      <c r="Q231" s="1200" t="str">
        <f>Marché!L2565</f>
        <v>F</v>
      </c>
      <c r="R231" s="1287">
        <v>4.0000000000000001E-3</v>
      </c>
      <c r="S231" s="1229" cm="1">
        <f t="array" ref="S231">IF(C231&gt;'Courbe des taux'!$D$50,ROUND( TREND('Courbe des taux'!$E$49:$E$50,'Courbe des taux'!$D$49:$D$50,Lignes_détenues!C231),5),ROUND(IF(C231&gt;365,interpoler(_mat2,taux2,C231),interpoler(_mat1,taux1,C231)),5))</f>
        <v>2.4279999999999999E-2</v>
      </c>
      <c r="T231" s="1201">
        <f t="shared" si="23"/>
        <v>2.4279999999999999E-2</v>
      </c>
      <c r="U231" s="1201">
        <f>ROUND(IF(D231*366&gt;366,interpoler(_mat2,taux2,D231*366),interpoler(_mat1,taux1,D231*366)),5)</f>
        <v>2.2700000000000001E-2</v>
      </c>
      <c r="V231" s="1202" t="str">
        <f>+IF((AB231-$AF$1)&lt;=366,"M","A")</f>
        <v>M</v>
      </c>
      <c r="W231" s="1202" t="s">
        <v>287</v>
      </c>
      <c r="X231" s="1212">
        <f>+prix_titre(AF$1,AA231,AB231,M231,K231,W231,V231,P231,Q231,N231,D231,Y231)</f>
        <v>100551.74627517766</v>
      </c>
      <c r="Y231" s="1202">
        <v>1</v>
      </c>
      <c r="Z231" s="35"/>
      <c r="AA231" s="1198">
        <v>46020</v>
      </c>
      <c r="AB231" s="1198">
        <v>46385</v>
      </c>
      <c r="AC231" s="35"/>
      <c r="AD231" s="2"/>
      <c r="AE231" s="1423">
        <v>46370</v>
      </c>
      <c r="AF231" s="1425">
        <f>(AE231-$AF$1)/360</f>
        <v>0.73055555555555551</v>
      </c>
      <c r="AG231" s="1424">
        <f>K227*M227*(AE231-AA227)/365</f>
        <v>2970</v>
      </c>
      <c r="AH231" s="1424">
        <f>(K227+AG231)/(1+D227*AF231)</f>
        <v>100748.67639147468</v>
      </c>
    </row>
    <row r="232" spans="1:38" s="1547" customFormat="1" ht="15" hidden="1" x14ac:dyDescent="0.25">
      <c r="A232" s="1532">
        <v>100925</v>
      </c>
      <c r="B232" s="1533">
        <f t="shared" si="24"/>
        <v>33738.315399999999</v>
      </c>
      <c r="C232" s="1534">
        <f>(AB232-$AF$1)</f>
        <v>299</v>
      </c>
      <c r="D232" s="1535">
        <f t="shared" si="22"/>
        <v>2.9420000000000002E-2</v>
      </c>
      <c r="E232" s="1536">
        <f>duration_titre($AF$1,AA232,AB232,M232,K232,W232,V232,P232,Q232,N232,D232)</f>
        <v>0.81917808219178079</v>
      </c>
      <c r="F232" s="1536">
        <f t="shared" si="21"/>
        <v>0.79576662799613451</v>
      </c>
      <c r="G232" s="1536">
        <f>convexite_titre($AF$1,AA232,AB232,M232,K232,W232,V232,P232,Q232,N232,D232)</f>
        <v>1.4062687806631193</v>
      </c>
      <c r="H232" s="1537">
        <f>+ROUND(coupon_courru($AF$1,AA232,AB232,M232,K232,W232,P232,Q232,N232,V232,"V"),4)</f>
        <v>665.42470000000003</v>
      </c>
      <c r="I232" s="1538">
        <f>+IF(Y232=1,B232,D232*100)</f>
        <v>33738.315399999999</v>
      </c>
      <c r="J232" s="1534" t="str">
        <f>Marché!C2566</f>
        <v>BSF SOFAC DU 19/01/2024 3ans à 3.68%</v>
      </c>
      <c r="K232" s="1534">
        <f>Marché!D2566</f>
        <v>100000</v>
      </c>
      <c r="L232" s="1534">
        <f>Marché!E2566</f>
        <v>0</v>
      </c>
      <c r="M232" s="1539">
        <f>Marché!F2566</f>
        <v>3.6799999999999999E-2</v>
      </c>
      <c r="N232" s="1534">
        <f>Marché!I2566</f>
        <v>3</v>
      </c>
      <c r="O232" s="1541" t="str">
        <f>Marché!J2566</f>
        <v>A</v>
      </c>
      <c r="P232" s="1541" t="str">
        <f>Marché!K2566</f>
        <v>A</v>
      </c>
      <c r="Q232" s="1541" t="str">
        <f>Marché!L2566</f>
        <v>F</v>
      </c>
      <c r="R232" s="1542">
        <v>5.0000000000000001E-3</v>
      </c>
      <c r="S232" s="1543" cm="1">
        <f t="array" ref="S232">IF(C232&gt;'Courbe des taux'!$D$50,ROUND( TREND('Courbe des taux'!$E$49:$E$50,'Courbe des taux'!$D$49:$D$50,Lignes_détenues!C232),5),ROUND(IF(C232&gt;365,interpoler(_mat2,taux2,C232),interpoler(_mat1,taux1,C232)),5))</f>
        <v>2.4420000000000001E-2</v>
      </c>
      <c r="T232" s="1543">
        <f t="shared" si="23"/>
        <v>2.4420000000000001E-2</v>
      </c>
      <c r="U232" s="1543">
        <f>ROUND(IF(D232*366&gt;366,interpoler(_mat2,taux2,D232*366),interpoler(_mat1,taux1,D232*366)),5)</f>
        <v>2.2700000000000001E-2</v>
      </c>
      <c r="V232" s="1544" t="str">
        <f>+IF((AB232-$AF$1)&lt;=366,"M","A")</f>
        <v>M</v>
      </c>
      <c r="W232" s="1544" t="s">
        <v>287</v>
      </c>
      <c r="X232" s="1545">
        <f>+Ammortissable!C677</f>
        <v>33738.315399999999</v>
      </c>
      <c r="Y232" s="1544">
        <v>1</v>
      </c>
      <c r="Z232" s="1546"/>
      <c r="AA232" s="1540">
        <f>Marché!G2566</f>
        <v>45310</v>
      </c>
      <c r="AB232" s="1540">
        <f>Marché!H2566</f>
        <v>46406</v>
      </c>
      <c r="AC232" s="1546"/>
      <c r="AE232" s="1581">
        <v>46735</v>
      </c>
    </row>
    <row r="233" spans="1:38" ht="15" hidden="1" x14ac:dyDescent="0.25">
      <c r="A233" s="1191">
        <v>201837</v>
      </c>
      <c r="B233" s="1192">
        <f t="shared" si="24"/>
        <v>107583.7344949595</v>
      </c>
      <c r="C233" s="1193">
        <f>(AB233-$AF$1)</f>
        <v>3098</v>
      </c>
      <c r="D233" s="1194">
        <f t="shared" si="22"/>
        <v>3.2439999999999997E-2</v>
      </c>
      <c r="E233" s="1195">
        <f>duration_titre($AF$1,AA233,AB233,M233,K233,W233,V233,P233,Q233,N233,D233)</f>
        <v>7.2609728167132088</v>
      </c>
      <c r="F233" s="1195">
        <f t="shared" si="21"/>
        <v>7.0328278802770221</v>
      </c>
      <c r="G233" s="1195">
        <f>convexite_titre($AF$1,AA233,AB233,M233,K233,W233,V233,P233,Q233,N233,D233)</f>
        <v>61.527006666163899</v>
      </c>
      <c r="H233" s="1196">
        <f>+ROUND(coupon_courru($AF$1,AA233,AB233,M233,K233,W233,P233,Q233,N233,V233,"V"),4)</f>
        <v>2071.2329</v>
      </c>
      <c r="I233" s="1199">
        <f>+IF(Y233=1,B233,D233*100)</f>
        <v>107583.7344949595</v>
      </c>
      <c r="J233" s="1193" t="str">
        <f>Marché!C2567</f>
        <v>BDT DU 18/09/2024 à 4% 10ANS ATYP 02/01/2024</v>
      </c>
      <c r="K233" s="1193">
        <f>Marché!D2567</f>
        <v>100000</v>
      </c>
      <c r="L233" s="1193">
        <f>Marché!E2567</f>
        <v>0</v>
      </c>
      <c r="M233" s="1197">
        <f>Marché!F2567</f>
        <v>0.04</v>
      </c>
      <c r="N233" s="1193">
        <f>Marché!I2567</f>
        <v>10</v>
      </c>
      <c r="O233" s="1200" t="str">
        <f>Marché!J2567</f>
        <v>A</v>
      </c>
      <c r="P233" s="1200" t="str">
        <f>Marché!K2567</f>
        <v>A</v>
      </c>
      <c r="Q233" s="1200" t="str">
        <f>Marché!L2567</f>
        <v>F</v>
      </c>
      <c r="R233" s="1287">
        <v>0</v>
      </c>
      <c r="S233" s="1229" cm="1">
        <f t="array" ref="S233">IF(C233&gt;'Courbe des taux'!$D$50,ROUND( TREND('Courbe des taux'!$E$49:$E$50,'Courbe des taux'!$D$49:$D$50,Lignes_détenues!C233),5),ROUND(IF(C233&gt;365,interpoler(_mat2,taux2,C233),interpoler(_mat1,taux1,C233)),5))</f>
        <v>3.2439999999999997E-2</v>
      </c>
      <c r="T233" s="1201">
        <f t="shared" si="23"/>
        <v>3.2439999999999997E-2</v>
      </c>
      <c r="U233" s="1201">
        <f>ROUND(IF(D233*366&gt;366,interpoler(_mat2,taux2,D233*366),interpoler(_mat1,taux1,D233*366)),5)</f>
        <v>2.2700000000000001E-2</v>
      </c>
      <c r="V233" s="1202" t="str">
        <f>+IF((AB233-$AF$1)&lt;=366,"M","A")</f>
        <v>A</v>
      </c>
      <c r="W233" s="1202" t="s">
        <v>287</v>
      </c>
      <c r="X233" s="1212">
        <f>+prix_atp(AF$1,AA233,Z233,AB233,M233,K233,W233,V233,P233,Q233,N233,D233,Y233)</f>
        <v>107583.7344949595</v>
      </c>
      <c r="Y233" s="1202">
        <v>1</v>
      </c>
      <c r="Z233" s="35">
        <v>45553</v>
      </c>
      <c r="AA233" s="1198">
        <f>Marché!G2567</f>
        <v>45293</v>
      </c>
      <c r="AB233" s="1198">
        <f>Marché!H2567</f>
        <v>49205</v>
      </c>
      <c r="AC233" s="35"/>
      <c r="AD233" s="2"/>
      <c r="AE233" s="1420">
        <v>47101</v>
      </c>
    </row>
    <row r="234" spans="1:38" ht="15" hidden="1" x14ac:dyDescent="0.25">
      <c r="A234" s="1191">
        <v>100928</v>
      </c>
      <c r="B234" s="1192">
        <f t="shared" si="24"/>
        <v>101255.63670042361</v>
      </c>
      <c r="C234" s="1193">
        <f>(AB234-$AF$1)</f>
        <v>305</v>
      </c>
      <c r="D234" s="1194">
        <f t="shared" si="22"/>
        <v>2.896E-2</v>
      </c>
      <c r="E234" s="1195">
        <f>duration_titre($AF$1,AA234,AB234,M234,K234,W234,V234,P234,Q234,N234,D234)</f>
        <v>0.83561643835616439</v>
      </c>
      <c r="F234" s="1195">
        <f t="shared" si="21"/>
        <v>0.8120980780167979</v>
      </c>
      <c r="G234" s="1195">
        <f>convexite_titre($AF$1,AA234,AB234,M234,K234,W234,V234,P234,Q234,N234,D234)</f>
        <v>1.44874492843753</v>
      </c>
      <c r="H234" s="1196">
        <f>+ROUND(coupon_courru($AF$1,AA234,AB234,M234,K234,W234,P234,Q234,N234,V234,"V"),4)</f>
        <v>614.79449999999997</v>
      </c>
      <c r="I234" s="1199">
        <f>+IF(Y234=1,B234,D234*100)</f>
        <v>101255.63670042361</v>
      </c>
      <c r="J234" s="1193" t="str">
        <f>Marché!C2568</f>
        <v>BSF WAFASALAF du 25/1/2024 à 3,74% 3 ans</v>
      </c>
      <c r="K234" s="1193">
        <f>Marché!D2568</f>
        <v>100000</v>
      </c>
      <c r="L234" s="1193">
        <f>Marché!E2568</f>
        <v>0</v>
      </c>
      <c r="M234" s="1197">
        <f>Marché!F2568</f>
        <v>3.7400000000000003E-2</v>
      </c>
      <c r="N234" s="1193">
        <f>Marché!I2568</f>
        <v>3</v>
      </c>
      <c r="O234" s="1200" t="str">
        <f>Marché!J2568</f>
        <v>A</v>
      </c>
      <c r="P234" s="1200" t="str">
        <f>Marché!K2568</f>
        <v>A</v>
      </c>
      <c r="Q234" s="1200" t="str">
        <f>Marché!L2568</f>
        <v>F</v>
      </c>
      <c r="R234" s="1287">
        <v>4.4999999999999997E-3</v>
      </c>
      <c r="S234" s="1229" cm="1">
        <f t="array" ref="S234">IF(C234&gt;'Courbe des taux'!$D$50,ROUND( TREND('Courbe des taux'!$E$49:$E$50,'Courbe des taux'!$D$49:$D$50,Lignes_détenues!C234),5),ROUND(IF(C234&gt;365,interpoler(_mat2,taux2,C234),interpoler(_mat1,taux1,C234)),5))</f>
        <v>2.4459999999999999E-2</v>
      </c>
      <c r="T234" s="1201">
        <f t="shared" si="23"/>
        <v>2.4459999999999999E-2</v>
      </c>
      <c r="U234" s="1201">
        <f>ROUND(IF(D234*366&gt;366,interpoler(_mat2,taux2,D234*366),interpoler(_mat1,taux1,D234*366)),5)</f>
        <v>2.2700000000000001E-2</v>
      </c>
      <c r="V234" s="1202" t="str">
        <f>+IF((AB234-$AF$1)&lt;=366,"M","A")</f>
        <v>M</v>
      </c>
      <c r="W234" s="1202" t="s">
        <v>287</v>
      </c>
      <c r="X234" s="1212">
        <f>+prix_atp(AF$1,AA234,Z234,AB234,M234,K234,W234,V234,P234,Q234,N234,D234,Y234)</f>
        <v>101255.63670042361</v>
      </c>
      <c r="Y234" s="1202">
        <v>1</v>
      </c>
      <c r="Z234" s="35"/>
      <c r="AA234" s="1198">
        <f>Marché!G2568</f>
        <v>45316</v>
      </c>
      <c r="AB234" s="1198">
        <f>Marché!H2568</f>
        <v>46412</v>
      </c>
      <c r="AC234" s="35"/>
      <c r="AD234" s="2"/>
      <c r="AE234" s="1420">
        <v>47466</v>
      </c>
      <c r="AH234" s="252">
        <v>100157.10709999999</v>
      </c>
    </row>
    <row r="235" spans="1:38" ht="15" hidden="1" x14ac:dyDescent="0.25">
      <c r="A235" s="1191">
        <v>100929</v>
      </c>
      <c r="B235" s="1192">
        <f t="shared" si="24"/>
        <v>0</v>
      </c>
      <c r="C235" s="1193">
        <f>(AB235-$AF$1)</f>
        <v>-60</v>
      </c>
      <c r="D235" s="1194">
        <f t="shared" si="22"/>
        <v>2.6200000000000001E-2</v>
      </c>
      <c r="E235" s="1195">
        <f>duration_titre($AF$1,AA235,AB235,M235,K235,W235,V235,P235,Q235,N235,D235)</f>
        <v>0</v>
      </c>
      <c r="F235" s="1195">
        <f t="shared" si="21"/>
        <v>0</v>
      </c>
      <c r="G235" s="1195">
        <f>convexite_titre($AF$1,AA235,AB235,M235,K235,W235,V235,P235,Q235,N235,D235)</f>
        <v>0</v>
      </c>
      <c r="H235" s="1196">
        <f>+ROUND(coupon_courru($AF$1,AA235,AB235,M235,K235,W235,P235,Q235,N235,V235,"V"),4)</f>
        <v>585.20550000000003</v>
      </c>
      <c r="I235" s="1199">
        <f>+IF(Y235=1,B235,D235*100)</f>
        <v>0</v>
      </c>
      <c r="J235" s="1193" t="str">
        <f>Marché!C2569</f>
        <v>BSF WAFASALAF du 25/1/2024 à 3,56% 2 ans</v>
      </c>
      <c r="K235" s="1193">
        <f>Marché!D2569</f>
        <v>100000</v>
      </c>
      <c r="L235" s="1193">
        <f>Marché!E2569</f>
        <v>0</v>
      </c>
      <c r="M235" s="1197">
        <f>Marché!F2569</f>
        <v>3.56E-2</v>
      </c>
      <c r="N235" s="1193">
        <f>Marché!I2569</f>
        <v>2</v>
      </c>
      <c r="O235" s="1200" t="str">
        <f>Marché!J2569</f>
        <v>A</v>
      </c>
      <c r="P235" s="1200" t="str">
        <f>Marché!K2569</f>
        <v>A</v>
      </c>
      <c r="Q235" s="1200" t="str">
        <f>Marché!L2569</f>
        <v>F</v>
      </c>
      <c r="R235" s="1287">
        <v>3.5000000000000001E-3</v>
      </c>
      <c r="S235" s="1229" cm="1">
        <f t="array" ref="S235">IF(C235&gt;'Courbe des taux'!$D$50,ROUND( TREND('Courbe des taux'!$E$49:$E$50,'Courbe des taux'!$D$49:$D$50,Lignes_détenues!C235),5),ROUND(IF(C235&gt;365,interpoler(_mat2,taux2,C235),interpoler(_mat1,taux1,C235)),5))</f>
        <v>2.2700000000000001E-2</v>
      </c>
      <c r="T235" s="1201">
        <f t="shared" si="23"/>
        <v>2.2700000000000001E-2</v>
      </c>
      <c r="U235" s="1201">
        <f>ROUND(IF(D235*366&gt;366,interpoler(_mat2,taux2,D235*366),interpoler(_mat1,taux1,D235*366)),5)</f>
        <v>2.2700000000000001E-2</v>
      </c>
      <c r="V235" s="1202" t="str">
        <f>+IF((AB235-$AF$1)&lt;=365,"M","A")</f>
        <v>M</v>
      </c>
      <c r="W235" s="1202" t="s">
        <v>287</v>
      </c>
      <c r="X235" s="1212">
        <f>+prix_atp(AF$1,AA235,Z235,AB235,M235,K235,W235,V235,P235,Q235,N235,D235,Y235)</f>
        <v>0</v>
      </c>
      <c r="Y235" s="1202">
        <v>1</v>
      </c>
      <c r="Z235" s="35"/>
      <c r="AA235" s="1198">
        <f>Marché!G2569</f>
        <v>45316</v>
      </c>
      <c r="AB235" s="1198">
        <f>Marché!H2569</f>
        <v>46047</v>
      </c>
      <c r="AC235" s="35"/>
      <c r="AD235" s="2"/>
      <c r="AE235" s="1420">
        <v>47831</v>
      </c>
    </row>
    <row r="236" spans="1:38" s="342" customFormat="1" ht="15" hidden="1" x14ac:dyDescent="0.25">
      <c r="A236" s="1336">
        <v>152435</v>
      </c>
      <c r="B236" s="1209">
        <f t="shared" si="24"/>
        <v>100914.51867810865</v>
      </c>
      <c r="C236" s="1337">
        <f>(AB236-$AF$1)</f>
        <v>206</v>
      </c>
      <c r="D236" s="1338">
        <f t="shared" si="22"/>
        <v>2.7109999999999999E-2</v>
      </c>
      <c r="E236" s="1339">
        <f>duration_titre($AF$1,AA236,AB236,M236,K236,W236,V236,P236,Q236,N236,D236)</f>
        <v>0.56438356164383563</v>
      </c>
      <c r="F236" s="1339">
        <f t="shared" si="21"/>
        <v>0.54948696989011458</v>
      </c>
      <c r="G236" s="1339">
        <f>convexite_titre($AF$1,AA236,AB236,M236,K236,W236,V236,P236,Q236,N236,D236)</f>
        <v>0.83691949551029277</v>
      </c>
      <c r="H236" s="1340">
        <f>+ROUND(coupon_courru($AF$1,AA236,AB236,M236,K236,W236,P236,Q236,N236,V236,"V"),4)</f>
        <v>1080.3288</v>
      </c>
      <c r="I236" s="1341">
        <f>+IF(Y236=1,B236,D236*100)</f>
        <v>100914.51867810865</v>
      </c>
      <c r="J236" s="1337" t="str">
        <f>Marché!C2570</f>
        <v>CD BOA du 18/10/2021 à 2,28% 5 ans</v>
      </c>
      <c r="K236" s="1337">
        <f>Marché!D2570</f>
        <v>100000</v>
      </c>
      <c r="L236" s="1337">
        <f>Marché!E2570</f>
        <v>0</v>
      </c>
      <c r="M236" s="1342">
        <f>Marché!F2570</f>
        <v>2.4799999999999999E-2</v>
      </c>
      <c r="N236" s="1337">
        <f>Marché!I2570</f>
        <v>5</v>
      </c>
      <c r="O236" s="1344" t="str">
        <f>Marché!J2570</f>
        <v>A</v>
      </c>
      <c r="P236" s="1344" t="str">
        <f>Marché!K2570</f>
        <v>A</v>
      </c>
      <c r="Q236" s="1344" t="str">
        <f>Marché!L2570</f>
        <v>F</v>
      </c>
      <c r="R236" s="1345">
        <v>3.3E-3</v>
      </c>
      <c r="S236" s="1346" cm="1">
        <f t="array" ref="S236">IF(C236&gt;'Courbe des taux'!$D$50,ROUND( TREND('Courbe des taux'!$E$49:$E$50,'Courbe des taux'!$D$49:$D$50,Lignes_détenues!C236),5),ROUND(IF(C236&gt;365,interpoler(_mat2,taux2,C236),interpoler(_mat1,taux1,C236)),5))</f>
        <v>2.3810000000000001E-2</v>
      </c>
      <c r="T236" s="1346">
        <f t="shared" si="23"/>
        <v>2.3810000000000001E-2</v>
      </c>
      <c r="U236" s="1346">
        <f>ROUND(IF(D236*366&gt;366,interpoler(_mat2,taux2,D236*366),interpoler(_mat1,taux1,D236*366)),5)</f>
        <v>2.2700000000000001E-2</v>
      </c>
      <c r="V236" s="1347" t="str">
        <f>+IF((AB236-$AF$1)&lt;=365,"M","A")</f>
        <v>M</v>
      </c>
      <c r="W236" s="1347" t="s">
        <v>287</v>
      </c>
      <c r="X236" s="1348">
        <f>+prix_atp(AF$1,AA236,Z236,AB236,M236,K236,W236,V236,P236,Q236,N236,D236,Y236)</f>
        <v>100914.51867810865</v>
      </c>
      <c r="Y236" s="1347">
        <v>1</v>
      </c>
      <c r="Z236" s="1349"/>
      <c r="AA236" s="1343">
        <f>Marché!G2570</f>
        <v>44487</v>
      </c>
      <c r="AB236" s="1343">
        <f>Marché!H2570</f>
        <v>46313</v>
      </c>
      <c r="AC236" s="35"/>
      <c r="AE236" s="1420">
        <v>48196</v>
      </c>
      <c r="AF236" s="2"/>
      <c r="AG236" s="2"/>
      <c r="AH236" s="252">
        <f>AH234-AH231</f>
        <v>-591.56929147469054</v>
      </c>
      <c r="AI236" s="2"/>
    </row>
    <row r="237" spans="1:38" ht="15" hidden="1" x14ac:dyDescent="0.25">
      <c r="A237" s="1191">
        <v>201841</v>
      </c>
      <c r="B237" s="1192">
        <f t="shared" si="24"/>
        <v>110670.33566451802</v>
      </c>
      <c r="C237" s="1193">
        <f>(AB237-$AF$1)</f>
        <v>4862</v>
      </c>
      <c r="D237" s="1194">
        <f t="shared" si="22"/>
        <v>3.5099999999999999E-2</v>
      </c>
      <c r="E237" s="1195">
        <f>duration_titre($AF$1,AA237,AB237,M237,K237,W237,V237,P237,Q237,N237,D237)</f>
        <v>10.289335696414369</v>
      </c>
      <c r="F237" s="1195">
        <f t="shared" si="21"/>
        <v>9.940426718591798</v>
      </c>
      <c r="G237" s="1195">
        <f>convexite_titre($AF$1,AA237,AB237,M237,K237,W237,V237,P237,Q237,N237,D237)</f>
        <v>126.26339148120381</v>
      </c>
      <c r="H237" s="1196">
        <f>+ROUND(coupon_courru($AF$1,AA237,AB237,M237,K237,W237,P237,Q237,N237,V237,"V"),4)</f>
        <v>2922.6026999999999</v>
      </c>
      <c r="I237" s="1199">
        <f>+IF(Y237=1,B237,D237*100)</f>
        <v>110670.33566451802</v>
      </c>
      <c r="J237" s="1193" t="str">
        <f>Marché!C2572</f>
        <v>BDT du 18/07/2024 à 4.25%  15 ANS ATYP 15/01/2024</v>
      </c>
      <c r="K237" s="1193">
        <f>Marché!D2572</f>
        <v>100000</v>
      </c>
      <c r="L237" s="1193">
        <f>Marché!E2572</f>
        <v>0</v>
      </c>
      <c r="M237" s="1197">
        <f>Marché!F2572</f>
        <v>4.2500000000000003E-2</v>
      </c>
      <c r="N237" s="1193">
        <f>Marché!I2572</f>
        <v>15</v>
      </c>
      <c r="O237" s="1200" t="str">
        <f>Marché!J2572</f>
        <v>A</v>
      </c>
      <c r="P237" s="1200" t="str">
        <f>Marché!K2572</f>
        <v>A</v>
      </c>
      <c r="Q237" s="1200" t="str">
        <f>Marché!L2572</f>
        <v>F</v>
      </c>
      <c r="R237" s="1287">
        <v>0</v>
      </c>
      <c r="S237" s="1229" cm="1">
        <f t="array" ref="S237">IF(C237&gt;'Courbe des taux'!$D$50,ROUND( TREND('Courbe des taux'!$E$49:$E$50,'Courbe des taux'!$D$49:$D$50,Lignes_détenues!C237),5),ROUND(IF(C237&gt;365,interpoler(_mat2,taux2,C237),interpoler(_mat1,taux1,C237)),5))</f>
        <v>3.5099999999999999E-2</v>
      </c>
      <c r="T237" s="1201">
        <f t="shared" si="23"/>
        <v>3.5099999999999999E-2</v>
      </c>
      <c r="U237" s="1201">
        <f>ROUND(IF(D237*366&gt;366,interpoler(_mat2,taux2,D237*366),interpoler(_mat1,taux1,D237*366)),5)</f>
        <v>2.2700000000000001E-2</v>
      </c>
      <c r="V237" s="1202" t="str">
        <f>+IF((AB237-$AF$1)&lt;=366,"M","A")</f>
        <v>A</v>
      </c>
      <c r="W237" s="1202" t="s">
        <v>287</v>
      </c>
      <c r="X237" s="1212">
        <f>+prix_atp(AF$1,AA237,Z237,AB237,M237,K237,W237,V237,P237,Q237,N237,D237,Y237)</f>
        <v>110670.33566451802</v>
      </c>
      <c r="Y237" s="1202">
        <v>1</v>
      </c>
      <c r="Z237" s="35">
        <v>45491</v>
      </c>
      <c r="AA237" s="1198">
        <f>Marché!G2572</f>
        <v>45306</v>
      </c>
      <c r="AB237" s="1198">
        <f>Marché!H2572</f>
        <v>50969</v>
      </c>
      <c r="AC237" s="35"/>
      <c r="AD237" s="2"/>
      <c r="AE237" s="1420">
        <v>48562</v>
      </c>
    </row>
    <row r="238" spans="1:38" ht="15" hidden="1" x14ac:dyDescent="0.25">
      <c r="A238" s="1191">
        <v>152878</v>
      </c>
      <c r="B238" s="1192">
        <f t="shared" si="24"/>
        <v>0</v>
      </c>
      <c r="C238" s="1193">
        <f>(AB238-$AF$1)</f>
        <v>-39</v>
      </c>
      <c r="D238" s="1194">
        <f t="shared" si="22"/>
        <v>2.5700000000000001E-2</v>
      </c>
      <c r="E238" s="1195">
        <f>duration_titre($AF$1,AA238,AB238,M238,K238,W238,V238,P238,Q238,N238,D238)</f>
        <v>0</v>
      </c>
      <c r="F238" s="1195">
        <f t="shared" si="21"/>
        <v>0</v>
      </c>
      <c r="G238" s="1195">
        <f>convexite_titre($AF$1,AA238,AB238,M238,K238,W238,V238,P238,Q238,N238,D238)</f>
        <v>0</v>
      </c>
      <c r="H238" s="1196">
        <f>+ROUND(coupon_courru($AF$1,AA238,AB238,M238,K238,W238,P238,Q238,N238,V238,"V"),4)</f>
        <v>387.863</v>
      </c>
      <c r="I238" s="1199">
        <f>+IF(Y238=1,B238,D238*100)</f>
        <v>0</v>
      </c>
      <c r="J238" s="1193" t="str">
        <f>Marché!C2573</f>
        <v>CD ATW du 15/02/2024  à 3.63%  2 ans</v>
      </c>
      <c r="K238" s="1193">
        <f>Marché!D2573</f>
        <v>100000</v>
      </c>
      <c r="L238" s="1193">
        <f>Marché!E2573</f>
        <v>0</v>
      </c>
      <c r="M238" s="1197">
        <f>Marché!F2573</f>
        <v>3.6299999999999999E-2</v>
      </c>
      <c r="N238" s="1193">
        <f>Marché!I2573</f>
        <v>2</v>
      </c>
      <c r="O238" s="1200" t="str">
        <f>Marché!J2573</f>
        <v>A</v>
      </c>
      <c r="P238" s="1200" t="str">
        <f>Marché!K2573</f>
        <v>A</v>
      </c>
      <c r="Q238" s="1200" t="str">
        <f>Marché!L2573</f>
        <v>F</v>
      </c>
      <c r="R238" s="1287">
        <v>3.0000000000000001E-3</v>
      </c>
      <c r="S238" s="1229" cm="1">
        <f t="array" ref="S238">IF(C238&gt;'Courbe des taux'!$D$50,ROUND( TREND('Courbe des taux'!$E$49:$E$50,'Courbe des taux'!$D$49:$D$50,Lignes_détenues!C238),5),ROUND(IF(C238&gt;365,interpoler(_mat2,taux2,C238),interpoler(_mat1,taux1,C238)),5))</f>
        <v>2.2700000000000001E-2</v>
      </c>
      <c r="T238" s="1201">
        <f t="shared" si="23"/>
        <v>2.2700000000000001E-2</v>
      </c>
      <c r="U238" s="1201">
        <f>ROUND(IF(D238*366&gt;366,interpoler(_mat2,taux2,D238*366),interpoler(_mat1,taux1,D238*366)),5)</f>
        <v>2.2700000000000001E-2</v>
      </c>
      <c r="V238" s="1202" t="str">
        <f>+IF((AB238-$AF$1)&lt;=365,"M","A")</f>
        <v>M</v>
      </c>
      <c r="W238" s="1202" t="s">
        <v>287</v>
      </c>
      <c r="X238" s="1212">
        <f>+prix_atp(AF$1,AA238,Z238,AB238,M238,K238,W238,V238,P238,Q238,N238,D238,Y238)</f>
        <v>0</v>
      </c>
      <c r="Y238" s="1202">
        <v>1</v>
      </c>
      <c r="Z238" s="35"/>
      <c r="AA238" s="1198">
        <f>Marché!G2573</f>
        <v>45337</v>
      </c>
      <c r="AB238" s="1198">
        <f>Marché!H2573</f>
        <v>46068</v>
      </c>
      <c r="AC238" s="35"/>
      <c r="AD238" s="2"/>
      <c r="AE238" s="1420">
        <v>48927</v>
      </c>
    </row>
    <row r="239" spans="1:38" ht="15" hidden="1" x14ac:dyDescent="0.25">
      <c r="A239" s="1191">
        <v>152877</v>
      </c>
      <c r="B239" s="1192">
        <f t="shared" si="24"/>
        <v>101175.47755638062</v>
      </c>
      <c r="C239" s="1193">
        <f>(AB239-$AF$1)</f>
        <v>326</v>
      </c>
      <c r="D239" s="1194">
        <f t="shared" si="22"/>
        <v>2.81E-2</v>
      </c>
      <c r="E239" s="1195">
        <f>duration_titre($AF$1,AA239,AB239,M239,K239,W239,V239,P239,Q239,N239,D239)</f>
        <v>0.89315068493150684</v>
      </c>
      <c r="F239" s="1195">
        <f t="shared" si="21"/>
        <v>0.86873911577814111</v>
      </c>
      <c r="G239" s="1195">
        <f>convexite_titre($AF$1,AA239,AB239,M239,K239,W239,V239,P239,Q239,N239,D239)</f>
        <v>1.5997024142225265</v>
      </c>
      <c r="H239" s="1196">
        <f>+ROUND(coupon_courru($AF$1,AA239,AB239,M239,K239,W239,P239,Q239,N239,V239,"V"),4)</f>
        <v>400.68490000000003</v>
      </c>
      <c r="I239" s="1199">
        <f>+IF(Y239=1,B239,D239*100)</f>
        <v>101175.47755638062</v>
      </c>
      <c r="J239" s="1193" t="str">
        <f>Marché!C2574</f>
        <v>CD ATW du 15/02/2024  à 3.75%  3 ans</v>
      </c>
      <c r="K239" s="1193">
        <f>Marché!D2574</f>
        <v>100000</v>
      </c>
      <c r="L239" s="1193">
        <f>Marché!E2574</f>
        <v>0</v>
      </c>
      <c r="M239" s="1197">
        <f>Marché!F2574</f>
        <v>3.7499999999999999E-2</v>
      </c>
      <c r="N239" s="1193">
        <f>Marché!I2574</f>
        <v>3</v>
      </c>
      <c r="O239" s="1200" t="str">
        <f>Marché!J2574</f>
        <v>A</v>
      </c>
      <c r="P239" s="1200" t="str">
        <f>Marché!K2574</f>
        <v>A</v>
      </c>
      <c r="Q239" s="1200" t="str">
        <f>Marché!L2574</f>
        <v>F</v>
      </c>
      <c r="R239" s="1287">
        <v>3.5000000000000001E-3</v>
      </c>
      <c r="S239" s="1229" cm="1">
        <f t="array" ref="S239">IF(C239&gt;'Courbe des taux'!$D$50,ROUND( TREND('Courbe des taux'!$E$49:$E$50,'Courbe des taux'!$D$49:$D$50,Lignes_détenues!C239),5),ROUND(IF(C239&gt;365,interpoler(_mat2,taux2,C239),interpoler(_mat1,taux1,C239)),5))</f>
        <v>2.46E-2</v>
      </c>
      <c r="T239" s="1201">
        <f t="shared" si="23"/>
        <v>2.46E-2</v>
      </c>
      <c r="U239" s="1201">
        <f>ROUND(IF(D239*366&gt;366,interpoler(_mat2,taux2,D239*366),interpoler(_mat1,taux1,D239*366)),5)</f>
        <v>2.2700000000000001E-2</v>
      </c>
      <c r="V239" s="1202" t="str">
        <f>+IF((AB239-$AF$1)&lt;=366,"M","A")</f>
        <v>M</v>
      </c>
      <c r="W239" s="1202" t="s">
        <v>287</v>
      </c>
      <c r="X239" s="1212">
        <f>+prix_atp(AF$1,AA239,Z239,AB239,M239,K239,W239,V239,P239,Q239,N239,D239,Y239)</f>
        <v>101175.47755638062</v>
      </c>
      <c r="Y239" s="1202">
        <v>1</v>
      </c>
      <c r="Z239" s="35"/>
      <c r="AA239" s="1198">
        <f>Marché!G2574</f>
        <v>45337</v>
      </c>
      <c r="AB239" s="1198">
        <f>Marché!H2574</f>
        <v>46433</v>
      </c>
      <c r="AC239" s="35"/>
      <c r="AD239" s="2"/>
      <c r="AG239" s="252">
        <f>AF241-AH231</f>
        <v>-591.56929147469054</v>
      </c>
    </row>
    <row r="240" spans="1:38" ht="15" hidden="1" x14ac:dyDescent="0.25">
      <c r="A240" s="1191">
        <v>100932</v>
      </c>
      <c r="B240" s="1192">
        <f t="shared" si="24"/>
        <v>0</v>
      </c>
      <c r="C240" s="1193">
        <f>(AB240-$AF$1)</f>
        <v>-24</v>
      </c>
      <c r="D240" s="1194">
        <f t="shared" si="22"/>
        <v>2.7699999999999999E-2</v>
      </c>
      <c r="E240" s="1195">
        <f>duration_titre($AF$1,AA240,AB240,M240,K240,W240,V240,P240,Q240,N240,D240)</f>
        <v>0</v>
      </c>
      <c r="F240" s="1195">
        <f t="shared" si="21"/>
        <v>0</v>
      </c>
      <c r="G240" s="1195">
        <f>convexite_titre($AF$1,AA240,AB240,M240,K240,W240,V240,P240,Q240,N240,D240)</f>
        <v>0</v>
      </c>
      <c r="H240" s="1196">
        <f>+ROUND(coupon_courru($AF$1,AA240,AB240,M240,K240,W240,P240,Q240,N240,V240,"V"),4)</f>
        <v>250.5205</v>
      </c>
      <c r="I240" s="1199">
        <f>+IF(Y240=1,B240,D240*100)</f>
        <v>0</v>
      </c>
      <c r="J240" s="1193" t="str">
        <f>Marché!C2577</f>
        <v>BSF EQDOM du 02/03/2024 à 3.81%  ATYP 2 ANS</v>
      </c>
      <c r="K240" s="1193">
        <f>Marché!D2577</f>
        <v>100000</v>
      </c>
      <c r="L240" s="1193">
        <f>Marché!E2577</f>
        <v>0</v>
      </c>
      <c r="M240" s="1197">
        <f>Marché!F2577</f>
        <v>3.8100000000000002E-2</v>
      </c>
      <c r="N240" s="1193">
        <f>Marché!I2577</f>
        <v>2</v>
      </c>
      <c r="O240" s="1200" t="str">
        <f>Marché!J2577</f>
        <v>A</v>
      </c>
      <c r="P240" s="1200" t="str">
        <f>Marché!K2577</f>
        <v>A</v>
      </c>
      <c r="Q240" s="1200" t="str">
        <f>Marché!L2577</f>
        <v>F</v>
      </c>
      <c r="R240" s="1287">
        <v>5.0000000000000001E-3</v>
      </c>
      <c r="S240" s="1229" cm="1">
        <f t="array" ref="S240">IF(C240&gt;'Courbe des taux'!$D$50,ROUND( TREND('Courbe des taux'!$E$49:$E$50,'Courbe des taux'!$D$49:$D$50,Lignes_détenues!C240),5),ROUND(IF(C240&gt;365,interpoler(_mat2,taux2,C240),interpoler(_mat1,taux1,C240)),5))</f>
        <v>2.2700000000000001E-2</v>
      </c>
      <c r="T240" s="1201">
        <f t="shared" si="23"/>
        <v>2.2700000000000001E-2</v>
      </c>
      <c r="U240" s="1201">
        <f>ROUND(IF(D240*366&gt;366,interpoler(_mat2,taux2,D240*366),interpoler(_mat1,taux1,D240*366)),5)</f>
        <v>2.2700000000000001E-2</v>
      </c>
      <c r="V240" s="1202" t="str">
        <f>+IF((AB240-$AF$1)&lt;=366,"M","A")</f>
        <v>M</v>
      </c>
      <c r="W240" s="1202" t="s">
        <v>287</v>
      </c>
      <c r="X240" s="1212">
        <f>+prix_atp(AF$1,AA240,Z240,AB240,M240,K240,W240,V240,P240,Q240,N240,D240,Y240)</f>
        <v>0</v>
      </c>
      <c r="Y240" s="1202">
        <v>1</v>
      </c>
      <c r="Z240" s="35">
        <v>45353</v>
      </c>
      <c r="AA240" s="1198">
        <f>Marché!G2577</f>
        <v>45350</v>
      </c>
      <c r="AB240" s="1198">
        <f>Marché!H2577</f>
        <v>46083</v>
      </c>
      <c r="AC240" s="35"/>
      <c r="AD240" s="2"/>
    </row>
    <row r="241" spans="1:34" ht="15" hidden="1" x14ac:dyDescent="0.25">
      <c r="A241" s="1191">
        <v>100931</v>
      </c>
      <c r="B241" s="1192">
        <f t="shared" si="24"/>
        <v>103334.02494684776</v>
      </c>
      <c r="C241" s="1193">
        <f>(AB241-$AF$1)</f>
        <v>63</v>
      </c>
      <c r="D241" s="1194">
        <f t="shared" si="22"/>
        <v>2.7980000000000001E-2</v>
      </c>
      <c r="E241" s="1195">
        <f>duration_titre($AF$1,AA241,AB241,M241,K241,W241,V241,P241,Q241,N241,D241)</f>
        <v>0.17260273972602741</v>
      </c>
      <c r="F241" s="1195">
        <f t="shared" ref="F241:F272" si="26">+E241/(1+D241)</f>
        <v>0.16790476441762237</v>
      </c>
      <c r="G241" s="1195">
        <f>convexite_titre($AF$1,AA241,AB241,M241,K241,W241,V241,P241,Q241,N241,D241)</f>
        <v>0.19152667052778963</v>
      </c>
      <c r="H241" s="1196">
        <f>+ROUND(coupon_courru($AF$1,AA241,AB241,M241,K241,W241,P241,Q241,N241,V241,"V"),4)</f>
        <v>3177.2055</v>
      </c>
      <c r="I241" s="1199">
        <f>+IF(Y241=1,B241,D241*100)</f>
        <v>103334.02494684776</v>
      </c>
      <c r="J241" s="1193" t="str">
        <f>Marché!C2578</f>
        <v>BSF EQDOM du 28/05/2024 à 3.84%  ATYP 2 ANS et 3 mois</v>
      </c>
      <c r="K241" s="1193">
        <f>Marché!D2578</f>
        <v>100000</v>
      </c>
      <c r="L241" s="1193">
        <f>Marché!E2578</f>
        <v>0</v>
      </c>
      <c r="M241" s="1197">
        <f>Marché!F2578</f>
        <v>3.8399999999999997E-2</v>
      </c>
      <c r="N241" s="1193">
        <f>Marché!I2578</f>
        <v>27</v>
      </c>
      <c r="O241" s="1200" t="str">
        <f>Marché!J2578</f>
        <v>M</v>
      </c>
      <c r="P241" s="1200" t="str">
        <f>Marché!K2578</f>
        <v>A</v>
      </c>
      <c r="Q241" s="1200" t="str">
        <f>Marché!L2578</f>
        <v>F</v>
      </c>
      <c r="R241" s="1287">
        <v>5.1999999999999998E-3</v>
      </c>
      <c r="S241" s="1229" cm="1">
        <f t="array" ref="S241">IF(C241&gt;'Courbe des taux'!$D$50,ROUND( TREND('Courbe des taux'!$E$49:$E$50,'Courbe des taux'!$D$49:$D$50,Lignes_détenues!C241),5),ROUND(IF(C241&gt;365,interpoler(_mat2,taux2,C241),interpoler(_mat1,taux1,C241)),5))</f>
        <v>2.2780000000000002E-2</v>
      </c>
      <c r="T241" s="1201">
        <f t="shared" si="23"/>
        <v>2.2780000000000002E-2</v>
      </c>
      <c r="U241" s="1201">
        <f>ROUND(IF(D241*366&gt;366,interpoler(_mat2,taux2,D241*366),interpoler(_mat1,taux1,D241*366)),5)</f>
        <v>2.2700000000000001E-2</v>
      </c>
      <c r="V241" s="1202" t="str">
        <f>+IF((AB241-$AF$1)&lt;366,"M","A")</f>
        <v>M</v>
      </c>
      <c r="W241" s="1202" t="s">
        <v>287</v>
      </c>
      <c r="X241" s="1212">
        <f>+prix_atp(AF$1,AA241,Z241,AB241,M241,K241,W241,V241,P241,Q241,N241,D241,Y241)</f>
        <v>103334.02494684776</v>
      </c>
      <c r="Y241" s="1202">
        <v>1</v>
      </c>
      <c r="Z241" s="35">
        <v>45440</v>
      </c>
      <c r="AA241" s="1198">
        <f>Marché!G2578</f>
        <v>45350</v>
      </c>
      <c r="AB241" s="1198">
        <f>Marché!H2578</f>
        <v>46170</v>
      </c>
      <c r="AC241" s="35"/>
      <c r="AD241" s="2"/>
      <c r="AF241" s="252">
        <v>100157.10709999999</v>
      </c>
      <c r="AH241" s="2">
        <f>SUM(AH231:AH238)</f>
        <v>200314.21419999999</v>
      </c>
    </row>
    <row r="242" spans="1:34" s="342" customFormat="1" ht="15" hidden="1" x14ac:dyDescent="0.25">
      <c r="A242" s="1336">
        <v>152880</v>
      </c>
      <c r="B242" s="1209">
        <f>X242</f>
        <v>100115.34977119842</v>
      </c>
      <c r="C242" s="1337">
        <f>(AB242-$AF$1)</f>
        <v>334</v>
      </c>
      <c r="D242" s="1338">
        <f t="shared" si="22"/>
        <v>2.954E-2</v>
      </c>
      <c r="E242" s="1339">
        <f>duration_titre($AF$1,AA242,AB242,M242,K242,W242,V242,P242,Q242,N242,D242)</f>
        <v>0.91506849315068495</v>
      </c>
      <c r="F242" s="1339">
        <f>+E242/(1+D242)</f>
        <v>0.88881295836070973</v>
      </c>
      <c r="G242" s="1339">
        <f>convexite_titre($AF$1,AA242,AB242,M242,K242,W242,V242,P242,Q242,N242,D242)</f>
        <v>1.6532992335029693</v>
      </c>
      <c r="H242" s="1340">
        <f>+ROUND(coupon_courru($AF$1,AA242,AB242,M242,K242,W242,P242,Q242,N242,V242,"V"),4)</f>
        <v>242.83330000000001</v>
      </c>
      <c r="I242" s="1341">
        <f>+IF(Y242=1,B242,D242*100)</f>
        <v>100115.34977119842</v>
      </c>
      <c r="J242" s="1337" t="str">
        <f>Marché!C2579</f>
        <v>CD CFG BANK du 23/02/2024 à 3.65% 5 ans REV</v>
      </c>
      <c r="K242" s="1337">
        <f>Marché!D2579</f>
        <v>100000</v>
      </c>
      <c r="L242" s="1337">
        <f>Marché!E2579</f>
        <v>0</v>
      </c>
      <c r="M242" s="1342">
        <v>2.8199999999999999E-2</v>
      </c>
      <c r="N242" s="1337">
        <f>Marché!I2579</f>
        <v>52</v>
      </c>
      <c r="O242" s="1344" t="str">
        <f>Marché!J2579</f>
        <v>S</v>
      </c>
      <c r="P242" s="1344" t="str">
        <f>Marché!K2579</f>
        <v>A</v>
      </c>
      <c r="Q242" s="1344" t="str">
        <f>Marché!L2579</f>
        <v>F</v>
      </c>
      <c r="R242" s="1345">
        <v>4.8999999999999998E-3</v>
      </c>
      <c r="S242" s="1346" cm="1">
        <f t="array" ref="S242">IF(C242&gt;'Courbe des taux'!$D$50,ROUND( TREND('Courbe des taux'!$E$49:$E$50,'Courbe des taux'!$D$49:$D$50,Lignes_détenues!C242),5),ROUND(IF(C242&gt;365,interpoler(_mat2,taux2,C242),interpoler(_mat1,taux1,C242)),5))</f>
        <v>2.4639999999999999E-2</v>
      </c>
      <c r="T242" s="1346">
        <f t="shared" si="23"/>
        <v>2.4639999999999999E-2</v>
      </c>
      <c r="U242" s="1346">
        <f>ROUND(IF(D242*366&gt;366,interpoler(_mat2,taux2,D242*366),interpoler(_mat1,taux1,D242*366)),5)</f>
        <v>2.2700000000000001E-2</v>
      </c>
      <c r="V242" s="1347" t="str">
        <f>+IF((AB242-$AF$1)&lt;=366,"M","A")</f>
        <v>M</v>
      </c>
      <c r="W242" s="1347" t="s">
        <v>287</v>
      </c>
      <c r="X242" s="1348">
        <f>K242*((AB242-AA242)*M242/360+1)/(1+(R242+S242)*((AB242-AF1)/360))</f>
        <v>100115.34977119842</v>
      </c>
      <c r="Y242" s="1347">
        <v>1</v>
      </c>
      <c r="Z242" s="1349"/>
      <c r="AA242" s="1343">
        <v>46076</v>
      </c>
      <c r="AB242" s="1343">
        <v>46441</v>
      </c>
      <c r="AC242" s="1374"/>
    </row>
    <row r="243" spans="1:34" ht="15" hidden="1" x14ac:dyDescent="0.25">
      <c r="A243" s="1191">
        <v>152881</v>
      </c>
      <c r="B243" s="1192">
        <f t="shared" si="24"/>
        <v>102147.66515468943</v>
      </c>
      <c r="C243" s="1193">
        <f>(AB243-$AF$1)</f>
        <v>1065</v>
      </c>
      <c r="D243" s="1194">
        <f t="shared" si="22"/>
        <v>3.3369999999999997E-2</v>
      </c>
      <c r="E243" s="1195">
        <f>duration_titre($AF$1,AA243,AB243,M243,K243,W243,V243,P243,Q243,N243,D243)</f>
        <v>2.8048203250643593</v>
      </c>
      <c r="F243" s="1195">
        <f t="shared" si="26"/>
        <v>2.7142459381096407</v>
      </c>
      <c r="G243" s="1195">
        <f>convexite_titre($AF$1,AA243,AB243,M243,K243,W243,V243,P243,Q243,N243,D243)</f>
        <v>10.159145364307802</v>
      </c>
      <c r="H243" s="1196">
        <f>+ROUND(coupon_courru($AF$1,AA243,AB243,M243,K243,W243,P243,Q243,N243,V243,"V"),4)</f>
        <v>339.726</v>
      </c>
      <c r="I243" s="1199">
        <f>+IF(Y243=1,B243,D243*100)</f>
        <v>102147.66515468943</v>
      </c>
      <c r="J243" s="1193" t="str">
        <f>Marché!C2580</f>
        <v>CD CFG BANK du 23/02/2024 à 4.00% 5 ans</v>
      </c>
      <c r="K243" s="1193">
        <f>Marché!D2580</f>
        <v>100000</v>
      </c>
      <c r="L243" s="1193">
        <f>Marché!E2580</f>
        <v>0</v>
      </c>
      <c r="M243" s="1197">
        <f>Marché!F2580</f>
        <v>0.04</v>
      </c>
      <c r="N243" s="1193">
        <f>Marché!I2580</f>
        <v>5</v>
      </c>
      <c r="O243" s="1200" t="str">
        <f>Marché!J2580</f>
        <v>A</v>
      </c>
      <c r="P243" s="1200" t="str">
        <f>Marché!K2580</f>
        <v>A</v>
      </c>
      <c r="Q243" s="1200" t="str">
        <f>Marché!L2580</f>
        <v>F</v>
      </c>
      <c r="R243" s="1287">
        <v>5.3E-3</v>
      </c>
      <c r="S243" s="1229" cm="1">
        <f t="array" ref="S243">IF(C243&gt;'Courbe des taux'!$D$50,ROUND( TREND('Courbe des taux'!$E$49:$E$50,'Courbe des taux'!$D$49:$D$50,Lignes_détenues!C243),5),ROUND(IF(C243&gt;365,interpoler(_mat2,taux2,C243),interpoler(_mat1,taux1,C243)),5))</f>
        <v>2.8070000000000001E-2</v>
      </c>
      <c r="T243" s="1201">
        <f t="shared" si="23"/>
        <v>2.8070000000000001E-2</v>
      </c>
      <c r="U243" s="1201">
        <f>ROUND(IF(D243*366&gt;366,interpoler(_mat2,taux2,D243*366),interpoler(_mat1,taux1,D243*366)),5)</f>
        <v>2.2700000000000001E-2</v>
      </c>
      <c r="V243" s="1202" t="str">
        <f>+IF((AB243-$AF$1)&lt;=366,"M","A")</f>
        <v>A</v>
      </c>
      <c r="W243" s="1202" t="s">
        <v>287</v>
      </c>
      <c r="X243" s="1212">
        <f>+prix_titre(AF$1,AA243,AB243,M243,K243,W243,V243,P243,Q243,N243,D243,Y243)</f>
        <v>102147.66515468943</v>
      </c>
      <c r="Y243" s="1202">
        <v>1</v>
      </c>
      <c r="Z243" s="35"/>
      <c r="AA243" s="1198">
        <f>Marché!G2580</f>
        <v>45345</v>
      </c>
      <c r="AB243" s="1198">
        <f>Marché!H2580</f>
        <v>47172</v>
      </c>
      <c r="AC243" s="35"/>
      <c r="AD243" s="2"/>
    </row>
    <row r="244" spans="1:34" ht="15" hidden="1" x14ac:dyDescent="0.25">
      <c r="A244" s="1191">
        <v>201835</v>
      </c>
      <c r="B244" s="1192">
        <f t="shared" si="24"/>
        <v>103005.76047104801</v>
      </c>
      <c r="C244" s="1193">
        <f>(AB244-$AF$1)</f>
        <v>53</v>
      </c>
      <c r="D244" s="1194">
        <f t="shared" si="22"/>
        <v>2.2700000000000001E-2</v>
      </c>
      <c r="E244" s="1195">
        <f>duration_titre($AF$1,AA244,AB244,M244,K244,W244,V244,P244,Q244,N244,D244)</f>
        <v>0.14520547945205478</v>
      </c>
      <c r="F244" s="1195">
        <f t="shared" si="26"/>
        <v>0.14198247721917942</v>
      </c>
      <c r="G244" s="1195">
        <f>convexite_titre($AF$1,AA244,AB244,M244,K244,W244,V244,P244,Q244,N244,D244)</f>
        <v>0.15899003705640052</v>
      </c>
      <c r="H244" s="1196">
        <f>+ROUND(coupon_courru($AF$1,AA244,AB244,M244,K244,W244,P244,Q244,N244,V244,"V"),4)</f>
        <v>2863.5616</v>
      </c>
      <c r="I244" s="1199">
        <f>+IF(Y244=1,B244,D244*100)</f>
        <v>103005.76047104801</v>
      </c>
      <c r="J244" s="1193" t="str">
        <f>Marché!C2582</f>
        <v>BDT du 18/05/2024 à 3.35%  2 ANS ATYP 11/12/2023</v>
      </c>
      <c r="K244" s="1193">
        <f>Marché!D2582</f>
        <v>100000</v>
      </c>
      <c r="L244" s="1193">
        <f>Marché!E2582</f>
        <v>0</v>
      </c>
      <c r="M244" s="1197">
        <f>Marché!F2582</f>
        <v>3.3500000000000002E-2</v>
      </c>
      <c r="N244" s="1193">
        <f>Marché!I2582</f>
        <v>2</v>
      </c>
      <c r="O244" s="1200" t="str">
        <f>Marché!J2582</f>
        <v>A</v>
      </c>
      <c r="P244" s="1200" t="str">
        <f>Marché!K2582</f>
        <v>A</v>
      </c>
      <c r="Q244" s="1200" t="str">
        <f>Marché!L2582</f>
        <v>F</v>
      </c>
      <c r="R244" s="1287">
        <v>0</v>
      </c>
      <c r="S244" s="1229" cm="1">
        <f t="array" ref="S244">IF(C244&gt;'Courbe des taux'!$D$50,ROUND( TREND('Courbe des taux'!$E$49:$E$50,'Courbe des taux'!$D$49:$D$50,Lignes_détenues!C244),5),ROUND(IF(C244&gt;365,interpoler(_mat2,taux2,C244),interpoler(_mat1,taux1,C244)),5))</f>
        <v>2.2700000000000001E-2</v>
      </c>
      <c r="T244" s="1201">
        <f t="shared" si="23"/>
        <v>2.2700000000000001E-2</v>
      </c>
      <c r="U244" s="1201">
        <f>ROUND(IF(D244*366&gt;366,interpoler(_mat2,taux2,D244*366),interpoler(_mat1,taux1,D244*366)),5)</f>
        <v>2.2700000000000001E-2</v>
      </c>
      <c r="V244" s="1202" t="str">
        <f>+IF((AB244-$AF$1)&lt;=366,"M","A")</f>
        <v>M</v>
      </c>
      <c r="W244" s="1202" t="s">
        <v>287</v>
      </c>
      <c r="X244" s="1212">
        <f>+prix_atp(AF$1,AA244,Z244,AB244,M244,K244,W244,V244,P244,Q244,N244,D244,Y244)</f>
        <v>103005.76047104801</v>
      </c>
      <c r="Y244" s="1202">
        <v>1</v>
      </c>
      <c r="Z244" s="35">
        <v>45430</v>
      </c>
      <c r="AA244" s="1198">
        <f>Marché!G2582</f>
        <v>45271</v>
      </c>
      <c r="AB244" s="1198">
        <f>Marché!H2582</f>
        <v>46160</v>
      </c>
      <c r="AC244" s="35"/>
      <c r="AD244" s="2"/>
    </row>
    <row r="245" spans="1:34" ht="15" hidden="1" x14ac:dyDescent="0.25">
      <c r="A245" s="1191">
        <v>152899</v>
      </c>
      <c r="B245" s="1192">
        <f t="shared" si="24"/>
        <v>0</v>
      </c>
      <c r="C245" s="1193">
        <f>(AB245-$AF$1)</f>
        <v>-5</v>
      </c>
      <c r="D245" s="1194">
        <f t="shared" si="22"/>
        <v>2.5700000000000001E-2</v>
      </c>
      <c r="E245" s="1195">
        <f>duration_titre($AF$1,AA245,AB245,M245,K245,W245,V245,P245,Q245,N245,D245)</f>
        <v>0</v>
      </c>
      <c r="F245" s="1195">
        <f t="shared" si="26"/>
        <v>0</v>
      </c>
      <c r="G245" s="1195">
        <f>convexite_titre($AF$1,AA245,AB245,M245,K245,W245,V245,P245,Q245,N245,D245)</f>
        <v>0</v>
      </c>
      <c r="H245" s="1196">
        <f>+ROUND(coupon_courru($AF$1,AA245,AB245,M245,K245,W245,P245,Q245,N245,V245,"V"),4)</f>
        <v>48.630099999999999</v>
      </c>
      <c r="I245" s="1199">
        <f>+IF(Y245=1,B245,D245*100)</f>
        <v>0</v>
      </c>
      <c r="J245" s="1193" t="str">
        <f>Marché!C2584</f>
        <v>CD ATW du 21/03/2024  à 3.55%  2 ans</v>
      </c>
      <c r="K245" s="1193">
        <f>Marché!D2584</f>
        <v>100000</v>
      </c>
      <c r="L245" s="1193">
        <f>Marché!E2584</f>
        <v>0</v>
      </c>
      <c r="M245" s="1197">
        <f>Marché!F2584</f>
        <v>3.5499999999999997E-2</v>
      </c>
      <c r="N245" s="1193">
        <f>Marché!I2584</f>
        <v>2</v>
      </c>
      <c r="O245" s="1200" t="str">
        <f>Marché!J2584</f>
        <v>A</v>
      </c>
      <c r="P245" s="1200" t="str">
        <f>Marché!K2584</f>
        <v>A</v>
      </c>
      <c r="Q245" s="1200" t="str">
        <f>Marché!L2584</f>
        <v>F</v>
      </c>
      <c r="R245" s="1287">
        <v>3.0000000000000001E-3</v>
      </c>
      <c r="S245" s="1229" cm="1">
        <f t="array" ref="S245">IF(C245&gt;'Courbe des taux'!$D$50,ROUND( TREND('Courbe des taux'!$E$49:$E$50,'Courbe des taux'!$D$49:$D$50,Lignes_détenues!C245),5),ROUND(IF(C245&gt;365,interpoler(_mat2,taux2,C245),interpoler(_mat1,taux1,C245)),5))</f>
        <v>2.2700000000000001E-2</v>
      </c>
      <c r="T245" s="1201">
        <f t="shared" si="23"/>
        <v>2.2700000000000001E-2</v>
      </c>
      <c r="U245" s="1201">
        <f>ROUND(IF(D245*366&gt;366,interpoler(_mat2,taux2,D245*366),interpoler(_mat1,taux1,D245*366)),5)</f>
        <v>2.2700000000000001E-2</v>
      </c>
      <c r="V245" s="1202" t="str">
        <f>+IF((AB245-$AF$1)&lt;=366,"M","A")</f>
        <v>M</v>
      </c>
      <c r="W245" s="1202" t="s">
        <v>287</v>
      </c>
      <c r="X245" s="1212">
        <f>+prix_titre(AF$1,AA245,AB245,M245,K245,W245,V245,P245,Q245,N245,D245,Y245)</f>
        <v>0</v>
      </c>
      <c r="Y245" s="1202">
        <v>1</v>
      </c>
      <c r="Z245" s="35"/>
      <c r="AA245" s="1198">
        <f>Marché!G2584</f>
        <v>45372</v>
      </c>
      <c r="AB245" s="1198">
        <f>Marché!H2584</f>
        <v>46102</v>
      </c>
      <c r="AC245" s="35"/>
      <c r="AD245" s="2"/>
    </row>
    <row r="246" spans="1:34" ht="15" hidden="1" x14ac:dyDescent="0.25">
      <c r="A246" s="1191">
        <v>152900</v>
      </c>
      <c r="B246" s="1192">
        <f t="shared" si="24"/>
        <v>0</v>
      </c>
      <c r="C246" s="1193">
        <f>(AB246-$AF$1)</f>
        <v>-370</v>
      </c>
      <c r="D246" s="1194">
        <f t="shared" si="22"/>
        <v>2.52E-2</v>
      </c>
      <c r="E246" s="1195">
        <f>duration_titre($AF$1,AA246,AB246,M246,K246,W246,V246,P246,Q246,N246,D246)</f>
        <v>0</v>
      </c>
      <c r="F246" s="1195">
        <f t="shared" si="26"/>
        <v>0</v>
      </c>
      <c r="G246" s="1195">
        <f>convexite_titre($AF$1,AA246,AB246,M246,K246,W246,V246,P246,Q246,N246,D246)</f>
        <v>0</v>
      </c>
      <c r="H246" s="1196">
        <f>+ROUND(coupon_courru($AF$1,AA246,AB246,M246,K246,W246,P246,Q246,N246,V246,"V"),4)</f>
        <v>6839.5833000000002</v>
      </c>
      <c r="I246" s="1199">
        <f>+IF(Y246=1,B246,D246*100)</f>
        <v>0</v>
      </c>
      <c r="J246" s="1193" t="str">
        <f>Marché!C2585</f>
        <v>CD ATW du 21/03/2024  à 3.35%  52 SEM</v>
      </c>
      <c r="K246" s="1193">
        <f>Marché!D2585</f>
        <v>100000</v>
      </c>
      <c r="L246" s="1193">
        <f>Marché!E2585</f>
        <v>0</v>
      </c>
      <c r="M246" s="1197">
        <f>Marché!F2585</f>
        <v>3.3500000000000002E-2</v>
      </c>
      <c r="N246" s="1193">
        <f>Marché!I2585</f>
        <v>52</v>
      </c>
      <c r="O246" s="1200" t="str">
        <f>Marché!J2585</f>
        <v>S</v>
      </c>
      <c r="P246" s="1200" t="str">
        <f>Marché!K2585</f>
        <v>A</v>
      </c>
      <c r="Q246" s="1200" t="str">
        <f>Marché!L2585</f>
        <v>F</v>
      </c>
      <c r="R246" s="1287">
        <v>2.5000000000000001E-3</v>
      </c>
      <c r="S246" s="1229" cm="1">
        <f t="array" ref="S246">IF(C246&gt;'Courbe des taux'!$D$50,ROUND( TREND('Courbe des taux'!$E$49:$E$50,'Courbe des taux'!$D$49:$D$50,Lignes_détenues!C246),5),ROUND(IF(C246&gt;365,interpoler(_mat2,taux2,C246),interpoler(_mat1,taux1,C246)),5))</f>
        <v>2.2700000000000001E-2</v>
      </c>
      <c r="T246" s="1201">
        <f t="shared" si="23"/>
        <v>2.2700000000000001E-2</v>
      </c>
      <c r="U246" s="1201">
        <f>ROUND(IF(D246*366&gt;366,interpoler(_mat2,taux2,D246*366),interpoler(_mat1,taux1,D246*366)),5)</f>
        <v>2.2700000000000001E-2</v>
      </c>
      <c r="V246" s="1202" t="str">
        <f>+IF((AB246-$AF$1)&lt;=366,"M","A")</f>
        <v>M</v>
      </c>
      <c r="W246" s="1202" t="s">
        <v>287</v>
      </c>
      <c r="X246" s="1212">
        <f>+prix_titre(AF$1,AA246,AB246,M246,K246,W246,V246,P246,Q246,N246,D246,Y246)</f>
        <v>0</v>
      </c>
      <c r="Y246" s="1202">
        <v>1</v>
      </c>
      <c r="Z246" s="35"/>
      <c r="AA246" s="1198">
        <f>Marché!G2585</f>
        <v>45372</v>
      </c>
      <c r="AB246" s="1198">
        <f>Marché!H2585</f>
        <v>45737</v>
      </c>
      <c r="AC246" s="35"/>
      <c r="AD246" s="2"/>
    </row>
    <row r="247" spans="1:34" ht="15" hidden="1" x14ac:dyDescent="0.25">
      <c r="A247" s="1191">
        <v>152898</v>
      </c>
      <c r="B247" s="1192">
        <f t="shared" si="24"/>
        <v>100800.3734427728</v>
      </c>
      <c r="C247" s="1193">
        <f>(AB247-$AF$1)</f>
        <v>360</v>
      </c>
      <c r="D247" s="1194">
        <f t="shared" si="22"/>
        <v>2.827E-2</v>
      </c>
      <c r="E247" s="1195">
        <f>duration_titre($AF$1,AA247,AB247,M247,K247,W247,V247,P247,Q247,N247,D247)</f>
        <v>0.98630136986301364</v>
      </c>
      <c r="F247" s="1195">
        <f t="shared" si="26"/>
        <v>0.95918520414192154</v>
      </c>
      <c r="G247" s="1195">
        <f>convexite_titre($AF$1,AA247,AB247,M247,K247,W247,V247,P247,Q247,N247,D247)</f>
        <v>1.8528507930207367</v>
      </c>
      <c r="H247" s="1196">
        <f>+ROUND(coupon_courru($AF$1,AA247,AB247,M247,K247,W247,P247,Q247,N247,V247,"V"),4)</f>
        <v>50</v>
      </c>
      <c r="I247" s="1199">
        <f>+IF(Y247=1,B247,D247*100)</f>
        <v>100800.3734427728</v>
      </c>
      <c r="J247" s="1193" t="str">
        <f>Marché!C2586</f>
        <v>CD ATW du 21/03/2024  à 3.65%  3 ans</v>
      </c>
      <c r="K247" s="1193">
        <f>Marché!D2586</f>
        <v>100000</v>
      </c>
      <c r="L247" s="1193">
        <f>Marché!E2586</f>
        <v>0</v>
      </c>
      <c r="M247" s="1197">
        <f>Marché!F2586</f>
        <v>3.6499999999999998E-2</v>
      </c>
      <c r="N247" s="1193">
        <f>Marché!I2586</f>
        <v>3</v>
      </c>
      <c r="O247" s="1200" t="str">
        <f>Marché!J2586</f>
        <v>A</v>
      </c>
      <c r="P247" s="1200" t="str">
        <f>Marché!K2586</f>
        <v>A</v>
      </c>
      <c r="Q247" s="1200" t="str">
        <f>Marché!L2586</f>
        <v>F</v>
      </c>
      <c r="R247" s="1287">
        <v>3.5000000000000001E-3</v>
      </c>
      <c r="S247" s="1229" cm="1">
        <f t="array" ref="S247">IF(C247&gt;'Courbe des taux'!$D$50,ROUND( TREND('Courbe des taux'!$E$49:$E$50,'Courbe des taux'!$D$49:$D$50,Lignes_détenues!C247),5),ROUND(IF(C247&gt;365,interpoler(_mat2,taux2,C247),interpoler(_mat1,taux1,C247)),5))</f>
        <v>2.477E-2</v>
      </c>
      <c r="T247" s="1201">
        <f t="shared" si="23"/>
        <v>2.477E-2</v>
      </c>
      <c r="U247" s="1201">
        <f>ROUND(IF(D247*366&gt;366,interpoler(_mat2,taux2,D247*366),interpoler(_mat1,taux1,D247*366)),5)</f>
        <v>2.2700000000000001E-2</v>
      </c>
      <c r="V247" s="1202" t="str">
        <f>+IF((AB247-$AF$1)&lt;=366,"M","A")</f>
        <v>M</v>
      </c>
      <c r="W247" s="1202" t="s">
        <v>287</v>
      </c>
      <c r="X247" s="1212">
        <f>+prix_titre(AF$1,AA247,AB247,M247,K247,W247,V247,P247,Q247,N247,D247,Y247)</f>
        <v>100800.3734427728</v>
      </c>
      <c r="Y247" s="1202">
        <v>1</v>
      </c>
      <c r="Z247" s="35"/>
      <c r="AA247" s="1198">
        <f>Marché!G2586</f>
        <v>45372</v>
      </c>
      <c r="AB247" s="1198">
        <f>Marché!H2586</f>
        <v>46467</v>
      </c>
      <c r="AC247" s="35"/>
      <c r="AD247" s="2"/>
    </row>
    <row r="248" spans="1:34" ht="15" hidden="1" x14ac:dyDescent="0.25">
      <c r="A248" s="1191">
        <v>201840</v>
      </c>
      <c r="B248" s="1192">
        <f t="shared" si="24"/>
        <v>103527.52204548591</v>
      </c>
      <c r="C248" s="1193">
        <f>(AB248-$AF$1)</f>
        <v>1299</v>
      </c>
      <c r="D248" s="1194">
        <f t="shared" si="22"/>
        <v>2.904E-2</v>
      </c>
      <c r="E248" s="1195">
        <f>duration_titre($AF$1,AA248,AB248,M248,K248,W248,V248,P248,Q248,N248,D248)</f>
        <v>3.3628012215448746</v>
      </c>
      <c r="F248" s="1195">
        <f t="shared" si="26"/>
        <v>3.2679013658797276</v>
      </c>
      <c r="G248" s="1195">
        <f>convexite_titre($AF$1,AA248,AB248,M248,K248,W248,V248,P248,Q248,N248,D248)</f>
        <v>14.254035789128775</v>
      </c>
      <c r="H248" s="1196">
        <f>+ROUND(coupon_courru($AF$1,AA248,AB248,M248,K248,W248,P248,Q248,N248,V248,"V"),4)</f>
        <v>1553.4247</v>
      </c>
      <c r="I248" s="1199">
        <f>+IF(Y248=1,B248,D248*100)</f>
        <v>103527.52204548591</v>
      </c>
      <c r="J248" s="1193" t="str">
        <f>Marché!C2587</f>
        <v>BDT du 15/10/2024 à 3.50%  5 ANS ATYP 15/01/2024</v>
      </c>
      <c r="K248" s="1193">
        <f>Marché!D2587</f>
        <v>100000</v>
      </c>
      <c r="L248" s="1193">
        <f>Marché!E2587</f>
        <v>0</v>
      </c>
      <c r="M248" s="1197">
        <f>Marché!F2587</f>
        <v>3.5000000000000003E-2</v>
      </c>
      <c r="N248" s="1193">
        <f>Marché!I2587</f>
        <v>5</v>
      </c>
      <c r="O248" s="1200" t="str">
        <f>Marché!J2587</f>
        <v>A</v>
      </c>
      <c r="P248" s="1200" t="str">
        <f>Marché!K2587</f>
        <v>A</v>
      </c>
      <c r="Q248" s="1200" t="str">
        <f>Marché!L2587</f>
        <v>F</v>
      </c>
      <c r="R248" s="1287">
        <v>0</v>
      </c>
      <c r="S248" s="1229" cm="1">
        <f t="array" ref="S248">IF(C248&gt;'Courbe des taux'!$D$50,ROUND( TREND('Courbe des taux'!$E$49:$E$50,'Courbe des taux'!$D$49:$D$50,Lignes_détenues!C248),5),ROUND(IF(C248&gt;365,interpoler(_mat2,taux2,C248),interpoler(_mat1,taux1,C248)),5))</f>
        <v>2.904E-2</v>
      </c>
      <c r="T248" s="1201">
        <f t="shared" si="23"/>
        <v>2.904E-2</v>
      </c>
      <c r="U248" s="1201">
        <f>ROUND(IF(D248*366&gt;366,interpoler(_mat2,taux2,D248*366),interpoler(_mat1,taux1,D248*366)),5)</f>
        <v>2.2700000000000001E-2</v>
      </c>
      <c r="V248" s="1202" t="str">
        <f>+IF((AB248-$AF$1)&lt;=366,"M","A")</f>
        <v>A</v>
      </c>
      <c r="W248" s="1202" t="s">
        <v>287</v>
      </c>
      <c r="X248" s="1212">
        <f>+prix_atp(AF$1,AA248,Z248,AB248,M248,K248,W248,V248,P248,Q248,N248,D248,Y248)</f>
        <v>103527.52204548591</v>
      </c>
      <c r="Y248" s="1202">
        <v>1</v>
      </c>
      <c r="Z248" s="35">
        <v>45580</v>
      </c>
      <c r="AA248" s="1198">
        <f>Marché!G2587</f>
        <v>45306</v>
      </c>
      <c r="AB248" s="1198">
        <f>Marché!H2587</f>
        <v>47406</v>
      </c>
      <c r="AC248" s="35"/>
      <c r="AD248" s="2"/>
    </row>
    <row r="249" spans="1:34" ht="15" hidden="1" x14ac:dyDescent="0.25">
      <c r="A249" s="1191">
        <v>9607</v>
      </c>
      <c r="B249" s="1192">
        <f t="shared" si="24"/>
        <v>105521.7409838661</v>
      </c>
      <c r="C249" s="1193">
        <f>(AB249-$AF$1)</f>
        <v>1098</v>
      </c>
      <c r="D249" s="1194">
        <f t="shared" si="22"/>
        <v>3.3700000000000001E-2</v>
      </c>
      <c r="E249" s="1195">
        <f>duration_titre($AF$1,AA249,AB249,M249,K249,W249,V249,P249,Q249,N249,D249)</f>
        <v>2.788842241482306</v>
      </c>
      <c r="F249" s="1195">
        <f t="shared" si="26"/>
        <v>2.6979222612772622</v>
      </c>
      <c r="G249" s="1195">
        <f>convexite_titre($AF$1,AA249,AB249,M249,K249,W249,V249,P249,Q249,N249,D249)</f>
        <v>10.32701641367151</v>
      </c>
      <c r="H249" s="1196">
        <f>+ROUND(coupon_courru($AF$1,AA249,AB249,M249,K249,W249,P249,Q249,N249,V249,"V"),4)</f>
        <v>3918.4110000000001</v>
      </c>
      <c r="I249" s="1199">
        <f>+IF(Y249=1,B249,D249*100)</f>
        <v>105521.7409838661</v>
      </c>
      <c r="J249" s="1193" t="str">
        <f>Marché!C2588</f>
        <v>OBL AL MADA du 28/03/2024 à 3.94%  5 ans</v>
      </c>
      <c r="K249" s="1193">
        <f>Marché!D2588</f>
        <v>100000</v>
      </c>
      <c r="L249" s="1193">
        <f>Marché!E2588</f>
        <v>0</v>
      </c>
      <c r="M249" s="1197">
        <f>Marché!F2588</f>
        <v>3.9399999999999998E-2</v>
      </c>
      <c r="N249" s="1193">
        <f>Marché!I2588</f>
        <v>5</v>
      </c>
      <c r="O249" s="1200" t="str">
        <f>Marché!J2588</f>
        <v>A</v>
      </c>
      <c r="P249" s="1200" t="str">
        <f>Marché!K2588</f>
        <v>A</v>
      </c>
      <c r="Q249" s="1200" t="str">
        <f>Marché!L2588</f>
        <v>F</v>
      </c>
      <c r="R249" s="1287">
        <v>5.489E-3</v>
      </c>
      <c r="S249" s="1229" cm="1">
        <f t="array" ref="S249">IF(C249&gt;'Courbe des taux'!$D$50,ROUND( TREND('Courbe des taux'!$E$49:$E$50,'Courbe des taux'!$D$49:$D$50,Lignes_détenues!C249),5),ROUND(IF(C249&gt;365,interpoler(_mat2,taux2,C249),interpoler(_mat1,taux1,C249)),5))</f>
        <v>2.8209999999999999E-2</v>
      </c>
      <c r="T249" s="1201">
        <f t="shared" si="23"/>
        <v>2.8209999999999999E-2</v>
      </c>
      <c r="U249" s="1201">
        <f>ROUND(IF(D249*366&gt;366,interpoler(_mat2,taux2,D249*366),interpoler(_mat1,taux1,D249*366)),5)</f>
        <v>2.2700000000000001E-2</v>
      </c>
      <c r="V249" s="1202" t="str">
        <f>+IF((AB249-$AF$1)&lt;=366,"M","A")</f>
        <v>A</v>
      </c>
      <c r="W249" s="1202" t="s">
        <v>287</v>
      </c>
      <c r="X249" s="1212">
        <f>+prix_atp(AF$1,AA249,Z249,AB249,M249,K249,W249,V249,P249,Q249,N249,D249,Y249)</f>
        <v>105521.7409838661</v>
      </c>
      <c r="Y249" s="1202">
        <v>1</v>
      </c>
      <c r="Z249" s="35"/>
      <c r="AA249" s="1198">
        <f>Marché!G2588</f>
        <v>45379</v>
      </c>
      <c r="AB249" s="1198">
        <f>Marché!H2588</f>
        <v>47205</v>
      </c>
      <c r="AC249" s="35"/>
      <c r="AD249" s="2"/>
    </row>
    <row r="250" spans="1:34" ht="15" hidden="1" x14ac:dyDescent="0.25">
      <c r="A250" s="1191">
        <v>152905</v>
      </c>
      <c r="B250" s="1192">
        <f t="shared" si="24"/>
        <v>105838.93803908738</v>
      </c>
      <c r="C250" s="1193">
        <f>(AB250-$AF$1)</f>
        <v>-454</v>
      </c>
      <c r="D250" s="1194">
        <f t="shared" si="22"/>
        <v>2.494E-2</v>
      </c>
      <c r="E250" s="1195">
        <f>duration_titre($AF$1,AA250,AB250,M250,K250,W250,V250,P250,Q250,N250,D250)</f>
        <v>0</v>
      </c>
      <c r="F250" s="1195">
        <f t="shared" si="26"/>
        <v>0</v>
      </c>
      <c r="G250" s="1195">
        <f>convexite_titre($AF$1,AA250,AB250,M250,K250,W250,V250,P250,Q250,N250,D250)</f>
        <v>0</v>
      </c>
      <c r="H250" s="1196">
        <f>+ROUND(coupon_courru($AF$1,AA250,AB250,M250,K250,W250,P250,Q250,N250,V250,"V"),4)</f>
        <v>4117.0959000000003</v>
      </c>
      <c r="I250" s="1199">
        <f>+IF(Y250=1,B250,D250*100)</f>
        <v>105838.93803908738</v>
      </c>
      <c r="J250" s="1193" t="str">
        <f>Marché!C2589</f>
        <v>CD CDM du 29/03/2024 à 3.31%   9 MOIS</v>
      </c>
      <c r="K250" s="1193">
        <f>Marché!D2589</f>
        <v>100000</v>
      </c>
      <c r="L250" s="1193">
        <f>Marché!E2589</f>
        <v>0</v>
      </c>
      <c r="M250" s="1197">
        <f>Marché!F2589</f>
        <v>3.3099999999999997E-2</v>
      </c>
      <c r="N250" s="1193">
        <f>Marché!I2589</f>
        <v>9</v>
      </c>
      <c r="O250" s="1200" t="str">
        <f>Marché!J2589</f>
        <v>M</v>
      </c>
      <c r="P250" s="1200" t="str">
        <f>Marché!K2589</f>
        <v>A</v>
      </c>
      <c r="Q250" s="1200" t="str">
        <f>Marché!L2589</f>
        <v>F</v>
      </c>
      <c r="R250" s="1287">
        <v>2.2399999999999998E-3</v>
      </c>
      <c r="S250" s="1229" cm="1">
        <f t="array" ref="S250">IF(C250&gt;'Courbe des taux'!$D$50,ROUND( TREND('Courbe des taux'!$E$49:$E$50,'Courbe des taux'!$D$49:$D$50,Lignes_détenues!C250),5),ROUND(IF(C250&gt;365,interpoler(_mat2,taux2,C250),interpoler(_mat1,taux1,C250)),5))</f>
        <v>2.2700000000000001E-2</v>
      </c>
      <c r="T250" s="1201">
        <f t="shared" si="23"/>
        <v>2.2700000000000001E-2</v>
      </c>
      <c r="U250" s="1201">
        <f>ROUND(IF(D250*366&gt;366,interpoler(_mat2,taux2,D250*366),interpoler(_mat1,taux1,D250*366)),5)</f>
        <v>2.2700000000000001E-2</v>
      </c>
      <c r="V250" s="1202" t="str">
        <f>+IF((AB250-$AF$1)&lt;=366,"M","A")</f>
        <v>M</v>
      </c>
      <c r="W250" s="1202" t="s">
        <v>287</v>
      </c>
      <c r="X250" s="1212">
        <f>(2510.08+K250)/(1+(S250+R250)*(AB250-AF1)/360)</f>
        <v>105838.93803908738</v>
      </c>
      <c r="Y250" s="1202">
        <v>1</v>
      </c>
      <c r="Z250" s="35">
        <v>45378</v>
      </c>
      <c r="AA250" s="1198">
        <f>Marché!G2589</f>
        <v>45380</v>
      </c>
      <c r="AB250" s="1198">
        <f>Marché!H2589</f>
        <v>45653</v>
      </c>
      <c r="AC250" s="35"/>
      <c r="AD250" s="2"/>
    </row>
    <row r="251" spans="1:34" ht="15" hidden="1" x14ac:dyDescent="0.25">
      <c r="A251" s="1191">
        <v>152914</v>
      </c>
      <c r="B251" s="1192">
        <f t="shared" si="24"/>
        <v>0</v>
      </c>
      <c r="C251" s="1193">
        <f>(AB251-$AF$1)</f>
        <v>-346</v>
      </c>
      <c r="D251" s="1194">
        <f t="shared" si="22"/>
        <v>2.52E-2</v>
      </c>
      <c r="E251" s="1195">
        <f>duration_titre($AF$1,AA251,AB251,M251,K251,W251,V251,P251,Q251,N251,D251)</f>
        <v>0</v>
      </c>
      <c r="F251" s="1195">
        <f t="shared" si="26"/>
        <v>0</v>
      </c>
      <c r="G251" s="1195">
        <f>convexite_titre($AF$1,AA251,AB251,M251,K251,W251,V251,P251,Q251,N251,D251)</f>
        <v>0</v>
      </c>
      <c r="H251" s="1196">
        <f>+ROUND(coupon_courru($AF$1,AA251,AB251,M251,K251,W251,P251,Q251,N251,V251,"V"),4)</f>
        <v>6646.3888999999999</v>
      </c>
      <c r="I251" s="1199">
        <f>+IF(Y251=1,B251,D251*100)</f>
        <v>0</v>
      </c>
      <c r="J251" s="1193" t="str">
        <f>Marché!C2591</f>
        <v>CD BOA du 15/04/2024 à 3.37%  52 SEM</v>
      </c>
      <c r="K251" s="1193">
        <f>Marché!D2591</f>
        <v>100000</v>
      </c>
      <c r="L251" s="1193">
        <f>Marché!E2591</f>
        <v>0</v>
      </c>
      <c r="M251" s="1197">
        <f>Marché!F2591</f>
        <v>3.3700000000000001E-2</v>
      </c>
      <c r="N251" s="1193">
        <f>Marché!I2591</f>
        <v>52</v>
      </c>
      <c r="O251" s="1200" t="str">
        <f>Marché!J2591</f>
        <v>S</v>
      </c>
      <c r="P251" s="1200" t="str">
        <f>Marché!K2591</f>
        <v>A</v>
      </c>
      <c r="Q251" s="1200" t="str">
        <f>Marché!L2591</f>
        <v>F</v>
      </c>
      <c r="R251" s="1287">
        <v>2.5000000000000001E-3</v>
      </c>
      <c r="S251" s="1229" cm="1">
        <f t="array" ref="S251">IF(C251&gt;'Courbe des taux'!$D$50,ROUND( TREND('Courbe des taux'!$E$49:$E$50,'Courbe des taux'!$D$49:$D$50,Lignes_détenues!C251),5),ROUND(IF(C251&gt;365,interpoler(_mat2,taux2,C251),interpoler(_mat1,taux1,C251)),5))</f>
        <v>2.2700000000000001E-2</v>
      </c>
      <c r="T251" s="1201">
        <f t="shared" si="23"/>
        <v>2.2700000000000001E-2</v>
      </c>
      <c r="U251" s="1201">
        <f>ROUND(IF(D251*366&gt;366,interpoler(_mat2,taux2,D251*366),interpoler(_mat1,taux1,D251*366)),5)</f>
        <v>2.2700000000000001E-2</v>
      </c>
      <c r="V251" s="1202" t="str">
        <f>+IF((AB251-$AF$1)&lt;=366,"M","A")</f>
        <v>M</v>
      </c>
      <c r="W251" s="1202" t="s">
        <v>287</v>
      </c>
      <c r="X251" s="1212">
        <f>+prix_titre(AF$1,AA251,AB251,M251,K251,W251,V251,P251,Q251,N251,D251,Y251)</f>
        <v>0</v>
      </c>
      <c r="Y251" s="1202">
        <v>1</v>
      </c>
      <c r="Z251" s="35"/>
      <c r="AA251" s="1198">
        <f>Marché!G2591</f>
        <v>45397</v>
      </c>
      <c r="AB251" s="1198">
        <f>Marché!H2591</f>
        <v>45761</v>
      </c>
      <c r="AC251" s="35"/>
      <c r="AD251" s="2"/>
    </row>
    <row r="252" spans="1:34" ht="15" hidden="1" x14ac:dyDescent="0.25">
      <c r="A252" s="1191">
        <v>100937</v>
      </c>
      <c r="B252" s="1192">
        <f t="shared" si="24"/>
        <v>69225.810899999997</v>
      </c>
      <c r="C252" s="1193">
        <f>(AB252-$AF$1)</f>
        <v>395</v>
      </c>
      <c r="D252" s="1194">
        <f t="shared" si="22"/>
        <v>2.9770000000000001E-2</v>
      </c>
      <c r="E252" s="1195">
        <f>duration_titre($AF$1,AA252,AB252,M252,K252,W252,V252,P252,Q252,N252,D252)</f>
        <v>1.0465737623565803</v>
      </c>
      <c r="F252" s="1195">
        <f t="shared" si="26"/>
        <v>1.0163179762049586</v>
      </c>
      <c r="G252" s="1195">
        <f>convexite_titre($AF$1,AA252,AB252,M252,K252,W252,V252,P252,Q252,N252,D252)</f>
        <v>2.0522311397744617</v>
      </c>
      <c r="H252" s="1196">
        <f>+ROUND(coupon_courru($AF$1,AA252,AB252,M252,K252,W252,P252,Q252,N252,V252,"V"),4)</f>
        <v>3414.2465999999999</v>
      </c>
      <c r="I252" s="1199">
        <f>+IF(Y252=1,B252,D252*100)</f>
        <v>69225.810899999997</v>
      </c>
      <c r="J252" s="1193" t="str">
        <f>Marché!C2592</f>
        <v>BSF MAGHREBAIL 3.72% du 25/04/2024  3 ans</v>
      </c>
      <c r="K252" s="1193">
        <f>Marché!D2592</f>
        <v>100000</v>
      </c>
      <c r="L252" s="1193">
        <f>Marché!E2592</f>
        <v>0</v>
      </c>
      <c r="M252" s="1197">
        <f>Marché!F2592</f>
        <v>3.7199999999999997E-2</v>
      </c>
      <c r="N252" s="1193">
        <f>Marché!I2592</f>
        <v>3</v>
      </c>
      <c r="O252" s="1200" t="str">
        <f>Marché!J2592</f>
        <v>A</v>
      </c>
      <c r="P252" s="1200" t="str">
        <f>Marché!K2592</f>
        <v>A</v>
      </c>
      <c r="Q252" s="1200" t="str">
        <f>Marché!L2592</f>
        <v>F</v>
      </c>
      <c r="R252" s="1287">
        <v>4.4999999999999997E-3</v>
      </c>
      <c r="S252" s="1229" cm="1">
        <f t="array" ref="S252">IF(C252&gt;'Courbe des taux'!$D$50,ROUND( TREND('Courbe des taux'!$E$49:$E$50,'Courbe des taux'!$D$49:$D$50,Lignes_détenues!C252),5),ROUND(IF(C252&gt;365,interpoler(_mat2,taux2,C252),interpoler(_mat1,taux1,C252)),5))</f>
        <v>2.5270000000000001E-2</v>
      </c>
      <c r="T252" s="1201">
        <f t="shared" si="23"/>
        <v>2.5270000000000001E-2</v>
      </c>
      <c r="U252" s="1201">
        <f>ROUND(IF(D252*366&gt;366,interpoler(_mat2,taux2,D252*366),interpoler(_mat1,taux1,D252*366)),5)</f>
        <v>2.2700000000000001E-2</v>
      </c>
      <c r="V252" s="1202" t="str">
        <f>+IF((AB252-$AF$1)&lt;=366,"M","A")</f>
        <v>A</v>
      </c>
      <c r="W252" s="1202" t="s">
        <v>287</v>
      </c>
      <c r="X252" s="1212">
        <f>+Ammortissable!C704</f>
        <v>69225.810899999997</v>
      </c>
      <c r="Y252" s="1202">
        <v>1</v>
      </c>
      <c r="Z252" s="35"/>
      <c r="AA252" s="1198">
        <f>Marché!G2592</f>
        <v>45407</v>
      </c>
      <c r="AB252" s="1198">
        <f>Marché!H2592</f>
        <v>46502</v>
      </c>
      <c r="AC252" s="35"/>
      <c r="AD252" s="2"/>
    </row>
    <row r="253" spans="1:34" ht="15" hidden="1" x14ac:dyDescent="0.25">
      <c r="A253" s="1191">
        <v>152930</v>
      </c>
      <c r="B253" s="1192">
        <f t="shared" si="24"/>
        <v>0</v>
      </c>
      <c r="C253" s="1193">
        <f>(AB253-$AF$1)</f>
        <v>-513</v>
      </c>
      <c r="D253" s="1194">
        <f t="shared" si="22"/>
        <v>2.4639999999999999E-2</v>
      </c>
      <c r="E253" s="1195">
        <f>duration_titre($AF$1,AA253,AB253,M253,K253,W253,V253,P253,Q253,N253,D253)</f>
        <v>0</v>
      </c>
      <c r="F253" s="1195">
        <f t="shared" si="26"/>
        <v>0</v>
      </c>
      <c r="G253" s="1195">
        <f>convexite_titre($AF$1,AA253,AB253,M253,K253,W253,V253,P253,Q253,N253,D253)</f>
        <v>0</v>
      </c>
      <c r="H253" s="1196">
        <f>+ROUND(coupon_courru($AF$1,AA253,AB253,M253,K253,W253,P253,Q253,N253,V253,"V"),4)</f>
        <v>6332.2222000000002</v>
      </c>
      <c r="I253" s="1199">
        <f>+IF(Y253=1,B253,D253*100)</f>
        <v>0</v>
      </c>
      <c r="J253" s="1193" t="str">
        <f>Marché!C2595</f>
        <v>CD CDM du 30/04/2024 à 3.28%   26 SEM</v>
      </c>
      <c r="K253" s="1193">
        <f>Marché!D2595</f>
        <v>100000</v>
      </c>
      <c r="L253" s="1193">
        <f>Marché!E2595</f>
        <v>0</v>
      </c>
      <c r="M253" s="1197">
        <f>Marché!F2595</f>
        <v>3.2800000000000003E-2</v>
      </c>
      <c r="N253" s="1193">
        <f>Marché!I2595</f>
        <v>26</v>
      </c>
      <c r="O253" s="1200" t="str">
        <f>Marché!J2595</f>
        <v>S</v>
      </c>
      <c r="P253" s="1200" t="str">
        <f>Marché!K2595</f>
        <v>A</v>
      </c>
      <c r="Q253" s="1200" t="str">
        <f>Marché!L2595</f>
        <v>F</v>
      </c>
      <c r="R253" s="1287">
        <v>1.9399992190457318E-3</v>
      </c>
      <c r="S253" s="1229" cm="1">
        <f t="array" ref="S253">IF(C253&gt;'Courbe des taux'!$D$50,ROUND( TREND('Courbe des taux'!$E$49:$E$50,'Courbe des taux'!$D$49:$D$50,Lignes_détenues!C253),5),ROUND(IF(C253&gt;365,interpoler(_mat2,taux2,C253),interpoler(_mat1,taux1,C253)),5))</f>
        <v>2.2700000000000001E-2</v>
      </c>
      <c r="T253" s="1201">
        <f t="shared" si="23"/>
        <v>2.2700000000000001E-2</v>
      </c>
      <c r="U253" s="1201">
        <f>ROUND(IF(D253*366&gt;366,interpoler(_mat2,taux2,D253*366),interpoler(_mat1,taux1,D253*366)),5)</f>
        <v>2.2700000000000001E-2</v>
      </c>
      <c r="V253" s="1202" t="str">
        <f>+IF((AB253-$AF$1)&lt;=366,"M","A")</f>
        <v>M</v>
      </c>
      <c r="W253" s="1202" t="s">
        <v>287</v>
      </c>
      <c r="X253" s="1212">
        <f>+prix_atp(AF$1,AA253,Z253,AB253,M253,K253,W253,V253,P253,Q253,N253,D253,Y253)</f>
        <v>0</v>
      </c>
      <c r="Y253" s="1202">
        <v>1</v>
      </c>
      <c r="Z253" s="35"/>
      <c r="AA253" s="1198">
        <f>Marché!G2595</f>
        <v>45412</v>
      </c>
      <c r="AB253" s="1198">
        <f>Marché!H2595</f>
        <v>45594</v>
      </c>
      <c r="AC253" s="35"/>
      <c r="AD253" s="2"/>
    </row>
    <row r="254" spans="1:34" ht="15" hidden="1" x14ac:dyDescent="0.25">
      <c r="A254" s="1191">
        <v>152931</v>
      </c>
      <c r="B254" s="1192">
        <f t="shared" ref="B254:B285" si="27">X254</f>
        <v>104083.48858034609</v>
      </c>
      <c r="C254" s="1193">
        <f>(AB254-$AF$1)</f>
        <v>406</v>
      </c>
      <c r="D254" s="1194">
        <f t="shared" si="22"/>
        <v>2.8819999999999998E-2</v>
      </c>
      <c r="E254" s="1195">
        <f>duration_titre($AF$1,AA254,AB254,M254,K254,W254,V254,P254,Q254,N254,D254)</f>
        <v>1.0772767370282157</v>
      </c>
      <c r="F254" s="1195">
        <f t="shared" si="26"/>
        <v>1.0470993342161075</v>
      </c>
      <c r="G254" s="1195">
        <f>convexite_titre($AF$1,AA254,AB254,M254,K254,W254,V254,P254,Q254,N254,D254)</f>
        <v>2.1461392567373334</v>
      </c>
      <c r="H254" s="1196">
        <f>+ROUND(coupon_courru($AF$1,AA254,AB254,M254,K254,W254,P254,Q254,N254,V254,"V"),4)</f>
        <v>3248.8766999999998</v>
      </c>
      <c r="I254" s="1199">
        <f>+IF(Y254=1,B254,D254*100)</f>
        <v>104083.48858034609</v>
      </c>
      <c r="J254" s="1193" t="str">
        <f>Marché!C2597</f>
        <v>CD BOA du 06/05/2024 à 3.66%  3 ANS</v>
      </c>
      <c r="K254" s="1193">
        <f>Marché!D2597</f>
        <v>100000</v>
      </c>
      <c r="L254" s="1193">
        <f>Marché!E2597</f>
        <v>0</v>
      </c>
      <c r="M254" s="1197">
        <f>Marché!F2597</f>
        <v>3.6600000000000001E-2</v>
      </c>
      <c r="N254" s="1193">
        <f>Marché!I2597</f>
        <v>3</v>
      </c>
      <c r="O254" s="1200" t="str">
        <f>Marché!J2597</f>
        <v>A</v>
      </c>
      <c r="P254" s="1200" t="str">
        <f>Marché!K2597</f>
        <v>A</v>
      </c>
      <c r="Q254" s="1200" t="str">
        <f>Marché!L2597</f>
        <v>F</v>
      </c>
      <c r="R254" s="1287">
        <v>3.5000000000000001E-3</v>
      </c>
      <c r="S254" s="1229" cm="1">
        <f t="array" ref="S254">IF(C254&gt;'Courbe des taux'!$D$50,ROUND( TREND('Courbe des taux'!$E$49:$E$50,'Courbe des taux'!$D$49:$D$50,Lignes_détenues!C254),5),ROUND(IF(C254&gt;365,interpoler(_mat2,taux2,C254),interpoler(_mat1,taux1,C254)),5))</f>
        <v>2.5319999999999999E-2</v>
      </c>
      <c r="T254" s="1201">
        <f t="shared" si="23"/>
        <v>2.5319999999999999E-2</v>
      </c>
      <c r="U254" s="1201">
        <f>ROUND(IF(D254*366&gt;366,interpoler(_mat2,taux2,D254*366),interpoler(_mat1,taux1,D254*366)),5)</f>
        <v>2.2700000000000001E-2</v>
      </c>
      <c r="V254" s="1202" t="str">
        <f>+IF((AB254-$AF$1)&lt;=366,"M","A")</f>
        <v>A</v>
      </c>
      <c r="W254" s="1202" t="s">
        <v>287</v>
      </c>
      <c r="X254" s="1212">
        <f>+prix_titre(AF$1,AA254,AB254,M254,K254,W254,V254,P254,Q254,N254,D254,Y254)</f>
        <v>104083.48858034609</v>
      </c>
      <c r="Y254" s="1202">
        <v>1</v>
      </c>
      <c r="Z254" s="35"/>
      <c r="AA254" s="1198">
        <f>Marché!G2597</f>
        <v>45418</v>
      </c>
      <c r="AB254" s="1198">
        <f>Marché!H2597</f>
        <v>46513</v>
      </c>
      <c r="AC254" s="35"/>
      <c r="AD254" s="2"/>
    </row>
    <row r="255" spans="1:34" ht="15" hidden="1" x14ac:dyDescent="0.25">
      <c r="A255" s="1191">
        <v>152932</v>
      </c>
      <c r="B255" s="1192">
        <f t="shared" si="27"/>
        <v>103247.79942706584</v>
      </c>
      <c r="C255" s="1193">
        <f>(AB255-$AF$1)</f>
        <v>41</v>
      </c>
      <c r="D255" s="1194">
        <f t="shared" si="22"/>
        <v>2.5700000000000001E-2</v>
      </c>
      <c r="E255" s="1195">
        <f>duration_titre($AF$1,AA255,AB255,M255,K255,W255,V255,P255,Q255,N255,D255)</f>
        <v>0.11232876712328767</v>
      </c>
      <c r="F255" s="1195">
        <f t="shared" si="26"/>
        <v>0.10951425087578011</v>
      </c>
      <c r="G255" s="1195">
        <f>convexite_titre($AF$1,AA255,AB255,M255,K255,W255,V255,P255,Q255,N255,D255)</f>
        <v>0.11876362645908836</v>
      </c>
      <c r="H255" s="1196">
        <f>+ROUND(coupon_courru($AF$1,AA255,AB255,M255,K255,W255,P255,Q255,N255,V255,"V"),4)</f>
        <v>3151.2329</v>
      </c>
      <c r="I255" s="1199">
        <f>+IF(Y255=1,B255,D255*100)</f>
        <v>103247.79942706584</v>
      </c>
      <c r="J255" s="1193" t="str">
        <f>Marché!C2598</f>
        <v>CD BOA du 06/05/2024 à 3.55%  2 ANS</v>
      </c>
      <c r="K255" s="1193">
        <f>Marché!D2598</f>
        <v>100000</v>
      </c>
      <c r="L255" s="1193">
        <f>Marché!E2598</f>
        <v>0</v>
      </c>
      <c r="M255" s="1197">
        <f>Marché!F2598</f>
        <v>3.5499999999999997E-2</v>
      </c>
      <c r="N255" s="1193">
        <f>Marché!I2598</f>
        <v>2</v>
      </c>
      <c r="O255" s="1200" t="str">
        <f>Marché!J2598</f>
        <v>A</v>
      </c>
      <c r="P255" s="1200" t="str">
        <f>Marché!K2598</f>
        <v>A</v>
      </c>
      <c r="Q255" s="1200" t="str">
        <f>Marché!L2598</f>
        <v>F</v>
      </c>
      <c r="R255" s="1287">
        <v>3.0000000000000001E-3</v>
      </c>
      <c r="S255" s="1229" cm="1">
        <f t="array" ref="S255">IF(C255&gt;'Courbe des taux'!$D$50,ROUND( TREND('Courbe des taux'!$E$49:$E$50,'Courbe des taux'!$D$49:$D$50,Lignes_détenues!C255),5),ROUND(IF(C255&gt;365,interpoler(_mat2,taux2,C255),interpoler(_mat1,taux1,C255)),5))</f>
        <v>2.2700000000000001E-2</v>
      </c>
      <c r="T255" s="1201">
        <f t="shared" si="23"/>
        <v>2.2700000000000001E-2</v>
      </c>
      <c r="U255" s="1201">
        <f>ROUND(IF(D255*366&gt;366,interpoler(_mat2,taux2,D255*366),interpoler(_mat1,taux1,D255*366)),5)</f>
        <v>2.2700000000000001E-2</v>
      </c>
      <c r="V255" s="1202" t="str">
        <f>+IF((AB255-$AF$1)&lt;=366,"M","A")</f>
        <v>M</v>
      </c>
      <c r="W255" s="1202" t="s">
        <v>287</v>
      </c>
      <c r="X255" s="1212">
        <f>+prix_titre(AF$1,AA255,AB255,M255,K255,W255,V255,P255,Q255,N255,D255,Y255)</f>
        <v>103247.79942706584</v>
      </c>
      <c r="Y255" s="1202">
        <v>1</v>
      </c>
      <c r="Z255" s="35"/>
      <c r="AA255" s="1198">
        <f>Marché!G2598</f>
        <v>45418</v>
      </c>
      <c r="AB255" s="1198">
        <f>Marché!H2598</f>
        <v>46148</v>
      </c>
      <c r="AC255" s="35"/>
      <c r="AD255" s="2"/>
    </row>
    <row r="256" spans="1:34" ht="15" hidden="1" x14ac:dyDescent="0.25">
      <c r="A256" s="1191">
        <v>152933</v>
      </c>
      <c r="B256" s="1192">
        <f t="shared" si="27"/>
        <v>0</v>
      </c>
      <c r="C256" s="1193">
        <f>(AB256-$AF$1)</f>
        <v>-325</v>
      </c>
      <c r="D256" s="1194">
        <f t="shared" si="22"/>
        <v>2.52E-2</v>
      </c>
      <c r="E256" s="1195">
        <f>duration_titre($AF$1,AA256,AB256,M256,K256,W256,V256,P256,Q256,N256,D256)</f>
        <v>0</v>
      </c>
      <c r="F256" s="1195">
        <f t="shared" si="26"/>
        <v>0</v>
      </c>
      <c r="G256" s="1195">
        <f>convexite_titre($AF$1,AA256,AB256,M256,K256,W256,V256,P256,Q256,N256,D256)</f>
        <v>0</v>
      </c>
      <c r="H256" s="1196">
        <f>+ROUND(coupon_courru($AF$1,AA256,AB256,M256,K256,W256,P256,Q256,N256,V256,"V"),4)</f>
        <v>6507.2222000000002</v>
      </c>
      <c r="I256" s="1199">
        <f>+IF(Y256=1,B256,D256*100)</f>
        <v>0</v>
      </c>
      <c r="J256" s="1193" t="str">
        <f>Marché!C2599</f>
        <v>CD BOA du 06/05/2024 à 3.40%  52 SEM</v>
      </c>
      <c r="K256" s="1193">
        <f>Marché!D2599</f>
        <v>100000</v>
      </c>
      <c r="L256" s="1193">
        <f>Marché!E2599</f>
        <v>0</v>
      </c>
      <c r="M256" s="1197">
        <f>Marché!F2599</f>
        <v>3.4000000000000002E-2</v>
      </c>
      <c r="N256" s="1193">
        <f>Marché!I2599</f>
        <v>52</v>
      </c>
      <c r="O256" s="1200" t="str">
        <f>Marché!J2599</f>
        <v>S</v>
      </c>
      <c r="P256" s="1200" t="str">
        <f>Marché!K2599</f>
        <v>A</v>
      </c>
      <c r="Q256" s="1200" t="str">
        <f>Marché!L2599</f>
        <v>F</v>
      </c>
      <c r="R256" s="1287">
        <v>2.5000000000000001E-3</v>
      </c>
      <c r="S256" s="1229" cm="1">
        <f t="array" ref="S256">IF(C256&gt;'Courbe des taux'!$D$50,ROUND( TREND('Courbe des taux'!$E$49:$E$50,'Courbe des taux'!$D$49:$D$50,Lignes_détenues!C256),5),ROUND(IF(C256&gt;365,interpoler(_mat2,taux2,C256),interpoler(_mat1,taux1,C256)),5))</f>
        <v>2.2700000000000001E-2</v>
      </c>
      <c r="T256" s="1201">
        <f t="shared" si="23"/>
        <v>2.2700000000000001E-2</v>
      </c>
      <c r="U256" s="1201">
        <f>ROUND(IF(D256*366&gt;366,interpoler(_mat2,taux2,D256*366),interpoler(_mat1,taux1,D256*366)),5)</f>
        <v>2.2700000000000001E-2</v>
      </c>
      <c r="V256" s="1202" t="str">
        <f>+IF((AB256-$AF$1)&lt;=366,"M","A")</f>
        <v>M</v>
      </c>
      <c r="W256" s="1202" t="s">
        <v>287</v>
      </c>
      <c r="X256" s="1212">
        <f>+prix_titre(AF$1,AA256,AB256,M256,K256,W256,V256,P256,Q256,N256,D256,Y256)</f>
        <v>0</v>
      </c>
      <c r="Y256" s="1202">
        <v>1</v>
      </c>
      <c r="Z256" s="35"/>
      <c r="AA256" s="1198">
        <f>Marché!G2599</f>
        <v>45418</v>
      </c>
      <c r="AB256" s="1198">
        <f>Marché!H2599</f>
        <v>45782</v>
      </c>
      <c r="AC256" s="35"/>
      <c r="AD256" s="2"/>
    </row>
    <row r="257" spans="1:30" ht="15" hidden="1" x14ac:dyDescent="0.25">
      <c r="A257" s="1191">
        <v>201848</v>
      </c>
      <c r="B257" s="1192">
        <f t="shared" si="27"/>
        <v>102484.5316459661</v>
      </c>
      <c r="C257" s="1193">
        <f>(AB257-$AF$1)</f>
        <v>116</v>
      </c>
      <c r="D257" s="1194">
        <f t="shared" si="22"/>
        <v>2.3179999999999999E-2</v>
      </c>
      <c r="E257" s="1195">
        <f>duration_titre($AF$1,AA257,AB257,M257,K257,W257,V257,P257,Q257,N257,D257)</f>
        <v>0.31780821917808222</v>
      </c>
      <c r="F257" s="1195">
        <f t="shared" si="26"/>
        <v>0.31060831835853148</v>
      </c>
      <c r="G257" s="1195">
        <f>convexite_titre($AF$1,AA257,AB257,M257,K257,W257,V257,P257,Q257,N257,D257)</f>
        <v>0.40004905772000543</v>
      </c>
      <c r="H257" s="1196">
        <f>+ROUND(coupon_courru($AF$1,AA257,AB257,M257,K257,W257,P257,Q257,N257,V257,"V"),4)</f>
        <v>2217.1233000000002</v>
      </c>
      <c r="I257" s="1199">
        <f>+IF(Y257=1,B257,D257*100)</f>
        <v>102484.5316459661</v>
      </c>
      <c r="J257" s="1193" t="str">
        <f>Marché!C2604</f>
        <v>BDT du 08/04/2024 à 3.25% 2 ans</v>
      </c>
      <c r="K257" s="1193">
        <f>Marché!D2604</f>
        <v>100000</v>
      </c>
      <c r="L257" s="1193">
        <f>Marché!E2604</f>
        <v>0</v>
      </c>
      <c r="M257" s="1197">
        <f>Marché!F2604</f>
        <v>3.2500000000000001E-2</v>
      </c>
      <c r="N257" s="1193">
        <f>Marché!I2604</f>
        <v>2</v>
      </c>
      <c r="O257" s="1200" t="str">
        <f>Marché!J2604</f>
        <v>A</v>
      </c>
      <c r="P257" s="1200" t="str">
        <f>Marché!K2604</f>
        <v>A</v>
      </c>
      <c r="Q257" s="1200" t="str">
        <f>Marché!L2604</f>
        <v>F</v>
      </c>
      <c r="R257" s="1287">
        <v>0</v>
      </c>
      <c r="S257" s="1229" cm="1">
        <f t="array" ref="S257">IF(C257&gt;'Courbe des taux'!$D$50,ROUND( TREND('Courbe des taux'!$E$49:$E$50,'Courbe des taux'!$D$49:$D$50,Lignes_détenues!C257),5),ROUND(IF(C257&gt;365,interpoler(_mat2,taux2,C257),interpoler(_mat1,taux1,C257)),5))</f>
        <v>2.3179999999999999E-2</v>
      </c>
      <c r="T257" s="1201">
        <f t="shared" si="23"/>
        <v>2.3179999999999999E-2</v>
      </c>
      <c r="U257" s="1201">
        <f>ROUND(IF(D257*366&gt;366,interpoler(_mat2,taux2,D257*366),interpoler(_mat1,taux1,D257*366)),5)</f>
        <v>2.2700000000000001E-2</v>
      </c>
      <c r="V257" s="1202" t="str">
        <f>+IF((AB257-$AF$1)&lt;=366,"M","A")</f>
        <v>M</v>
      </c>
      <c r="W257" s="1202" t="s">
        <v>287</v>
      </c>
      <c r="X257" s="1212">
        <f>+prix_atp(AF$1,AA257,Z257,AB257,M257,K257,W257,V257,P257,Q257,N257,D257,Y257)</f>
        <v>102484.5316459661</v>
      </c>
      <c r="Y257" s="1202">
        <v>1</v>
      </c>
      <c r="Z257" s="35">
        <v>45493</v>
      </c>
      <c r="AA257" s="1198">
        <f>Marché!G2604</f>
        <v>45390</v>
      </c>
      <c r="AB257" s="1198">
        <v>46223</v>
      </c>
      <c r="AC257" s="35"/>
      <c r="AD257" s="2"/>
    </row>
    <row r="258" spans="1:30" ht="15" hidden="1" x14ac:dyDescent="0.25">
      <c r="A258" s="1191">
        <v>100941</v>
      </c>
      <c r="B258" s="1192">
        <f t="shared" si="27"/>
        <v>103170.89669483191</v>
      </c>
      <c r="C258" s="1193">
        <f>(AB258-$AF$1)</f>
        <v>52</v>
      </c>
      <c r="D258" s="1194">
        <f t="shared" si="22"/>
        <v>2.6110000000000001E-2</v>
      </c>
      <c r="E258" s="1195">
        <f>duration_titre($AF$1,AA258,AB258,M258,K258,W258,V258,P258,Q258,N258,D258)</f>
        <v>0.14246575342465753</v>
      </c>
      <c r="F258" s="1195">
        <f t="shared" si="26"/>
        <v>0.1388406247133909</v>
      </c>
      <c r="G258" s="1195">
        <f>convexite_titre($AF$1,AA258,AB258,M258,K258,W258,V258,P258,Q258,N258,D258)</f>
        <v>0.15458445870241419</v>
      </c>
      <c r="H258" s="1196">
        <f>+ROUND(coupon_courru($AF$1,AA258,AB258,M258,K258,W258,P258,Q258,N258,V258,"V"),4)</f>
        <v>3052.8218999999999</v>
      </c>
      <c r="I258" s="1199">
        <f>+IF(Y258=1,B258,D258*100)</f>
        <v>103170.89669483191</v>
      </c>
      <c r="J258" s="1193" t="str">
        <f>Marché!C2605</f>
        <v>BSF WAFASALAF DU 17/05/2024 2 ans à 3.56%</v>
      </c>
      <c r="K258" s="1193">
        <f>Marché!D2605</f>
        <v>100000</v>
      </c>
      <c r="L258" s="1193">
        <f>Marché!E2605</f>
        <v>0</v>
      </c>
      <c r="M258" s="1197">
        <f>Marché!F2605</f>
        <v>3.56E-2</v>
      </c>
      <c r="N258" s="1193">
        <f>Marché!I2605</f>
        <v>2</v>
      </c>
      <c r="O258" s="1200" t="str">
        <f>Marché!J2605</f>
        <v>A</v>
      </c>
      <c r="P258" s="1200" t="str">
        <f>Marché!K2605</f>
        <v>A</v>
      </c>
      <c r="Q258" s="1200" t="str">
        <f>Marché!L2605</f>
        <v>F</v>
      </c>
      <c r="R258" s="1287">
        <v>3.4099999999999998E-3</v>
      </c>
      <c r="S258" s="1229" cm="1">
        <f t="array" ref="S258">IF(C258&gt;'Courbe des taux'!$D$50,ROUND( TREND('Courbe des taux'!$E$49:$E$50,'Courbe des taux'!$D$49:$D$50,Lignes_détenues!C258),5),ROUND(IF(C258&gt;365,interpoler(_mat2,taux2,C258),interpoler(_mat1,taux1,C258)),5))</f>
        <v>2.2700000000000001E-2</v>
      </c>
      <c r="T258" s="1201">
        <f t="shared" si="23"/>
        <v>2.2700000000000001E-2</v>
      </c>
      <c r="U258" s="1201">
        <f>ROUND(IF(D258*366&gt;366,interpoler(_mat2,taux2,D258*366),interpoler(_mat1,taux1,D258*366)),5)</f>
        <v>2.2700000000000001E-2</v>
      </c>
      <c r="V258" s="1202" t="str">
        <f>+IF((AB258-$AF$1)&lt;=366,"M","A")</f>
        <v>M</v>
      </c>
      <c r="W258" s="1202" t="s">
        <v>287</v>
      </c>
      <c r="X258" s="1212">
        <f>+prix_titre(AF$1,AA258,AB258,M258,K258,W258,V258,P258,Q258,N258,D258,Y258)</f>
        <v>103170.89669483191</v>
      </c>
      <c r="Y258" s="1202">
        <v>1</v>
      </c>
      <c r="Z258" s="35"/>
      <c r="AA258" s="1198">
        <f>Marché!G2605</f>
        <v>45429</v>
      </c>
      <c r="AB258" s="1198">
        <f>Marché!H2605</f>
        <v>46159</v>
      </c>
      <c r="AC258" s="35"/>
      <c r="AD258" s="2"/>
    </row>
    <row r="259" spans="1:30" ht="15" hidden="1" x14ac:dyDescent="0.25">
      <c r="A259" s="1191">
        <v>152943</v>
      </c>
      <c r="B259" s="1192">
        <f t="shared" si="27"/>
        <v>0</v>
      </c>
      <c r="C259" s="1193">
        <f>(AB259-$AF$1)</f>
        <v>-308</v>
      </c>
      <c r="D259" s="1194">
        <f t="shared" si="22"/>
        <v>2.5170000000000001E-2</v>
      </c>
      <c r="E259" s="1195">
        <f>duration_titre($AF$1,AA259,AB259,M259,K259,W259,V259,P259,Q259,N259,D259)</f>
        <v>0</v>
      </c>
      <c r="F259" s="1195">
        <f t="shared" si="26"/>
        <v>0</v>
      </c>
      <c r="G259" s="1195">
        <f>convexite_titre($AF$1,AA259,AB259,M259,K259,W259,V259,P259,Q259,N259,D259)</f>
        <v>0</v>
      </c>
      <c r="H259" s="1196">
        <f>+ROUND(coupon_courru($AF$1,AA259,AB259,M259,K259,W259,P259,Q259,N259,V259,"V"),4)</f>
        <v>6272</v>
      </c>
      <c r="I259" s="1199">
        <f>+IF(Y259=1,B259,D259*100)</f>
        <v>0</v>
      </c>
      <c r="J259" s="1193" t="str">
        <f>Marché!C2606</f>
        <v>CD BMCI du 23/05/2024 à  3.36%  52 SEM</v>
      </c>
      <c r="K259" s="1193">
        <f>Marché!D2606</f>
        <v>100000</v>
      </c>
      <c r="L259" s="1193">
        <f>Marché!E2606</f>
        <v>0</v>
      </c>
      <c r="M259" s="1197">
        <f>Marché!F2606</f>
        <v>3.3599999999999998E-2</v>
      </c>
      <c r="N259" s="1193">
        <f>Marché!I2606</f>
        <v>52</v>
      </c>
      <c r="O259" s="1200" t="str">
        <f>Marché!J2606</f>
        <v>S</v>
      </c>
      <c r="P259" s="1200" t="str">
        <f>Marché!K2606</f>
        <v>A</v>
      </c>
      <c r="Q259" s="1200" t="str">
        <f>Marché!L2606</f>
        <v>F</v>
      </c>
      <c r="R259" s="1287">
        <v>2.4719999999999998E-3</v>
      </c>
      <c r="S259" s="1229" cm="1">
        <f t="array" ref="S259">IF(C259&gt;'Courbe des taux'!$D$50,ROUND( TREND('Courbe des taux'!$E$49:$E$50,'Courbe des taux'!$D$49:$D$50,Lignes_détenues!C259),5),ROUND(IF(C259&gt;365,interpoler(_mat2,taux2,C259),interpoler(_mat1,taux1,C259)),5))</f>
        <v>2.2700000000000001E-2</v>
      </c>
      <c r="T259" s="1201">
        <f t="shared" si="23"/>
        <v>2.2700000000000001E-2</v>
      </c>
      <c r="U259" s="1201">
        <f>ROUND(IF(D259*366&gt;366,interpoler(_mat2,taux2,D259*366),interpoler(_mat1,taux1,D259*366)),5)</f>
        <v>2.2700000000000001E-2</v>
      </c>
      <c r="V259" s="1202" t="str">
        <f>+IF((AB259-$AF$1)&lt;=366,"M","A")</f>
        <v>M</v>
      </c>
      <c r="W259" s="1202" t="s">
        <v>287</v>
      </c>
      <c r="X259" s="1212">
        <f>+prix_titre(AF$1,AA259,AB259,M259,K259,W259,V259,P259,Q259,N259,D259,Y259)</f>
        <v>0</v>
      </c>
      <c r="Y259" s="1202">
        <v>1</v>
      </c>
      <c r="Z259" s="35"/>
      <c r="AA259" s="1198">
        <f>Marché!G2606</f>
        <v>45435</v>
      </c>
      <c r="AB259" s="1198">
        <f>Marché!H2606</f>
        <v>45799</v>
      </c>
      <c r="AC259" s="35"/>
      <c r="AD259" s="2"/>
    </row>
    <row r="260" spans="1:30" ht="15" hidden="1" x14ac:dyDescent="0.25">
      <c r="A260" s="1191">
        <v>100887</v>
      </c>
      <c r="B260" s="1192">
        <f t="shared" si="27"/>
        <v>0</v>
      </c>
      <c r="C260" s="1193">
        <f>(AB260-$AF$1)</f>
        <v>-209</v>
      </c>
      <c r="D260" s="1194">
        <f t="shared" si="22"/>
        <v>2.52E-2</v>
      </c>
      <c r="E260" s="1195">
        <f>duration_titre($AF$1,AA260,AB260,M260,K260,W260,V260,P260,Q260,N260,D260)</f>
        <v>0</v>
      </c>
      <c r="F260" s="1195">
        <f t="shared" si="26"/>
        <v>0</v>
      </c>
      <c r="G260" s="1195">
        <f>convexite_titre($AF$1,AA260,AB260,M260,K260,W260,V260,P260,Q260,N260,D260)</f>
        <v>0</v>
      </c>
      <c r="H260" s="1196">
        <f>+ROUND(coupon_courru($AF$1,AA260,AB260,M260,K260,W260,P260,Q260,N260,V260,"V"),4)</f>
        <v>1546.0273999999999</v>
      </c>
      <c r="I260" s="1199">
        <f>+IF(Y260=1,B260,D260*100)</f>
        <v>0</v>
      </c>
      <c r="J260" s="1193" t="str">
        <f>Marché!C2607</f>
        <v>BSF EQDOM du 29/08/2022 à 2.70%  3 ANS</v>
      </c>
      <c r="K260" s="1193">
        <f>Marché!D2607</f>
        <v>100000</v>
      </c>
      <c r="L260" s="1193">
        <f>Marché!E2607</f>
        <v>0</v>
      </c>
      <c r="M260" s="1197">
        <f>Marché!F2607</f>
        <v>2.7E-2</v>
      </c>
      <c r="N260" s="1193">
        <f>Marché!I2607</f>
        <v>3</v>
      </c>
      <c r="O260" s="1200" t="str">
        <f>Marché!J2607</f>
        <v>A</v>
      </c>
      <c r="P260" s="1200" t="str">
        <f>Marché!K2607</f>
        <v>A</v>
      </c>
      <c r="Q260" s="1200" t="str">
        <f>Marché!L2607</f>
        <v>F</v>
      </c>
      <c r="R260" s="1287">
        <v>2.5000000000000001E-3</v>
      </c>
      <c r="S260" s="1229" cm="1">
        <f t="array" ref="S260">IF(C260&gt;'Courbe des taux'!$D$50,ROUND( TREND('Courbe des taux'!$E$49:$E$50,'Courbe des taux'!$D$49:$D$50,Lignes_détenues!C260),5),ROUND(IF(C260&gt;365,interpoler(_mat2,taux2,C260),interpoler(_mat1,taux1,C260)),5))</f>
        <v>2.2700000000000001E-2</v>
      </c>
      <c r="T260" s="1201">
        <f t="shared" si="23"/>
        <v>2.2700000000000001E-2</v>
      </c>
      <c r="U260" s="1201">
        <f>ROUND(IF(D260*366&gt;366,interpoler(_mat2,taux2,D260*366),interpoler(_mat1,taux1,D260*366)),5)</f>
        <v>2.2700000000000001E-2</v>
      </c>
      <c r="V260" s="1202" t="str">
        <f>+IF((AB260-$AF$1)&lt;=366,"M","A")</f>
        <v>M</v>
      </c>
      <c r="W260" s="1202" t="s">
        <v>287</v>
      </c>
      <c r="X260" s="1212">
        <f>+prix_titre(AF$1,AA260,AB260,M260,K260,W260,V260,P260,Q260,N260,D260,Y260)</f>
        <v>0</v>
      </c>
      <c r="Y260" s="1202">
        <v>1</v>
      </c>
      <c r="Z260" s="35"/>
      <c r="AA260" s="1198">
        <f>Marché!G2607</f>
        <v>44802</v>
      </c>
      <c r="AB260" s="1198">
        <f>Marché!H2607</f>
        <v>45898</v>
      </c>
      <c r="AC260" s="35"/>
      <c r="AD260" s="2"/>
    </row>
    <row r="261" spans="1:30" ht="15" hidden="1" x14ac:dyDescent="0.25">
      <c r="A261" s="1191">
        <v>152949</v>
      </c>
      <c r="B261" s="1192">
        <f t="shared" si="27"/>
        <v>105388.47997715755</v>
      </c>
      <c r="C261" s="1193">
        <f>(AB261-$AF$1)</f>
        <v>-391</v>
      </c>
      <c r="D261" s="1194">
        <f t="shared" si="22"/>
        <v>2.5000000000000001E-2</v>
      </c>
      <c r="E261" s="1195">
        <f>duration_titre($AF$1,AA261,AB261,M261,K261,W261,V261,P261,Q261,N261,D261)</f>
        <v>0</v>
      </c>
      <c r="F261" s="1195">
        <f t="shared" si="26"/>
        <v>0</v>
      </c>
      <c r="G261" s="1195">
        <f>convexite_titre($AF$1,AA261,AB261,M261,K261,W261,V261,P261,Q261,N261,D261)</f>
        <v>0</v>
      </c>
      <c r="H261" s="1196">
        <f>+ROUND(coupon_courru($AF$1,AA261,AB261,M261,K261,W261,P261,Q261,N261,V261,"V"),4)</f>
        <v>3556.4931999999999</v>
      </c>
      <c r="I261" s="1199">
        <f>+IF(Y261=1,B261,D261*100)</f>
        <v>105388.47997715755</v>
      </c>
      <c r="J261" s="1193" t="str">
        <f>Marché!C2608</f>
        <v>CD SGMB du 30/05/2024 à 3.32%  9 MOIS</v>
      </c>
      <c r="K261" s="1193">
        <f>Marché!D2608</f>
        <v>100000</v>
      </c>
      <c r="L261" s="1193">
        <f>Marché!E2608</f>
        <v>0</v>
      </c>
      <c r="M261" s="1197">
        <f>Marché!F2608</f>
        <v>3.32E-2</v>
      </c>
      <c r="N261" s="1193">
        <f>Marché!I2608</f>
        <v>9</v>
      </c>
      <c r="O261" s="1200" t="str">
        <f>Marché!J2608</f>
        <v>M</v>
      </c>
      <c r="P261" s="1200" t="str">
        <f>Marché!K2608</f>
        <v>A</v>
      </c>
      <c r="Q261" s="1200" t="str">
        <f>Marché!L2608</f>
        <v>F</v>
      </c>
      <c r="R261" s="1287">
        <v>2.3E-3</v>
      </c>
      <c r="S261" s="1229" cm="1">
        <f t="array" ref="S261">IF(C261&gt;'Courbe des taux'!$D$50,ROUND( TREND('Courbe des taux'!$E$49:$E$50,'Courbe des taux'!$D$49:$D$50,Lignes_détenues!C261),5),ROUND(IF(C261&gt;365,interpoler(_mat2,taux2,C261),interpoler(_mat1,taux1,C261)),5))</f>
        <v>2.2700000000000001E-2</v>
      </c>
      <c r="T261" s="1201">
        <f t="shared" si="23"/>
        <v>2.2700000000000001E-2</v>
      </c>
      <c r="U261" s="1201">
        <f>ROUND(IF(D261*366&gt;366,interpoler(_mat2,taux2,D261*366),interpoler(_mat1,taux1,D261*366)),5)</f>
        <v>2.2700000000000001E-2</v>
      </c>
      <c r="V261" s="1202" t="str">
        <f>+IF((AB261-$AF$1)&lt;=366,"M","A")</f>
        <v>M</v>
      </c>
      <c r="W261" s="1202" t="s">
        <v>287</v>
      </c>
      <c r="X261" s="1212">
        <f>(2526.89+K261)/(1+(R261+S261)*(AB261-AF1)/360)</f>
        <v>105388.47997715755</v>
      </c>
      <c r="Y261" s="1202">
        <v>1</v>
      </c>
      <c r="Z261" s="35">
        <v>45440</v>
      </c>
      <c r="AA261" s="1198">
        <f>Marché!G2608</f>
        <v>45442</v>
      </c>
      <c r="AB261" s="1198">
        <f>Marché!H2608</f>
        <v>45716</v>
      </c>
      <c r="AC261" s="35"/>
      <c r="AD261" s="2"/>
    </row>
    <row r="262" spans="1:30" ht="15" hidden="1" x14ac:dyDescent="0.25">
      <c r="A262" s="1191">
        <v>152950</v>
      </c>
      <c r="B262" s="1192">
        <f t="shared" si="27"/>
        <v>0</v>
      </c>
      <c r="C262" s="1193">
        <f>(AB262-$AF$1)</f>
        <v>-300</v>
      </c>
      <c r="D262" s="1194">
        <f t="shared" si="22"/>
        <v>2.52E-2</v>
      </c>
      <c r="E262" s="1195">
        <f>duration_titre($AF$1,AA262,AB262,M262,K262,W262,V262,P262,Q262,N262,D262)</f>
        <v>0</v>
      </c>
      <c r="F262" s="1195">
        <f t="shared" si="26"/>
        <v>0</v>
      </c>
      <c r="G262" s="1195">
        <f>convexite_titre($AF$1,AA262,AB262,M262,K262,W262,V262,P262,Q262,N262,D262)</f>
        <v>0</v>
      </c>
      <c r="H262" s="1196">
        <f>+ROUND(coupon_courru($AF$1,AA262,AB262,M262,K262,W262,P262,Q262,N262,V262,"V"),4)</f>
        <v>6197.3333000000002</v>
      </c>
      <c r="I262" s="1199">
        <f>+IF(Y262=1,B262,D262*100)</f>
        <v>0</v>
      </c>
      <c r="J262" s="1193" t="str">
        <f>Marché!C2609</f>
        <v>CD SGMB du 30/05/2024 à 3.32%  9 MOIS</v>
      </c>
      <c r="K262" s="1193">
        <f>Marché!D2609</f>
        <v>100000</v>
      </c>
      <c r="L262" s="1193">
        <f>Marché!E2609</f>
        <v>0</v>
      </c>
      <c r="M262" s="1197">
        <f>Marché!F2609</f>
        <v>3.3599999999999998E-2</v>
      </c>
      <c r="N262" s="1193">
        <f>Marché!I2609</f>
        <v>52</v>
      </c>
      <c r="O262" s="1200" t="str">
        <f>Marché!J2609</f>
        <v>S</v>
      </c>
      <c r="P262" s="1200" t="str">
        <f>Marché!K2609</f>
        <v>A</v>
      </c>
      <c r="Q262" s="1200" t="str">
        <f>Marché!L2609</f>
        <v>F</v>
      </c>
      <c r="R262" s="1287">
        <v>2.5000000000000001E-3</v>
      </c>
      <c r="S262" s="1229" cm="1">
        <f t="array" ref="S262">IF(C262&gt;'Courbe des taux'!$D$50,ROUND( TREND('Courbe des taux'!$E$49:$E$50,'Courbe des taux'!$D$49:$D$50,Lignes_détenues!C262),5),ROUND(IF(C262&gt;365,interpoler(_mat2,taux2,C262),interpoler(_mat1,taux1,C262)),5))</f>
        <v>2.2700000000000001E-2</v>
      </c>
      <c r="T262" s="1201">
        <f t="shared" si="23"/>
        <v>2.2700000000000001E-2</v>
      </c>
      <c r="U262" s="1201">
        <f>ROUND(IF(D262*366&gt;366,interpoler(_mat2,taux2,D262*366),interpoler(_mat1,taux1,D262*366)),5)</f>
        <v>2.2700000000000001E-2</v>
      </c>
      <c r="V262" s="1202" t="str">
        <f>+IF((AB262-$AF$1)&lt;=366,"M","A")</f>
        <v>M</v>
      </c>
      <c r="W262" s="1202" t="s">
        <v>287</v>
      </c>
      <c r="X262" s="1212">
        <f>+prix_atp(AF$1,AA262,Z262,AB262,M262,K262,W262,V262,P262,Q262,N262,D262,Y262)</f>
        <v>0</v>
      </c>
      <c r="Y262" s="1202">
        <v>1</v>
      </c>
      <c r="Z262" s="35"/>
      <c r="AA262" s="1198">
        <f>Marché!G2609</f>
        <v>45443</v>
      </c>
      <c r="AB262" s="1198">
        <f>Marché!H2609</f>
        <v>45807</v>
      </c>
      <c r="AC262" s="35"/>
      <c r="AD262" s="2"/>
    </row>
    <row r="263" spans="1:30" ht="15" hidden="1" x14ac:dyDescent="0.25">
      <c r="A263" s="1191">
        <v>152951</v>
      </c>
      <c r="B263" s="1192">
        <f t="shared" si="27"/>
        <v>103040.19049075231</v>
      </c>
      <c r="C263" s="1193">
        <f>(AB263-$AF$1)</f>
        <v>65</v>
      </c>
      <c r="D263" s="1194">
        <f t="shared" si="22"/>
        <v>2.579E-2</v>
      </c>
      <c r="E263" s="1195">
        <f>duration_titre($AF$1,AA263,AB263,M263,K263,W263,V263,P263,Q263,N263,D263)</f>
        <v>0.17808219178082191</v>
      </c>
      <c r="F263" s="1195">
        <f t="shared" si="26"/>
        <v>0.17360492087154478</v>
      </c>
      <c r="G263" s="1195">
        <f>convexite_titre($AF$1,AA263,AB263,M263,K263,W263,V263,P263,Q263,N263,D263)</f>
        <v>0.19937888425923986</v>
      </c>
      <c r="H263" s="1196">
        <f>+ROUND(coupon_courru($AF$1,AA263,AB263,M263,K263,W263,P263,Q263,N263,V263,"V"),4)</f>
        <v>2893.1507000000001</v>
      </c>
      <c r="I263" s="1199">
        <f>+IF(Y263=1,B263,D263*100)</f>
        <v>103040.19049075231</v>
      </c>
      <c r="J263" s="1193" t="str">
        <f>Marché!C2610</f>
        <v>CD CDG CAPITAL DU 31/05/2024  2 ANS  à 3.52%</v>
      </c>
      <c r="K263" s="1193">
        <f>Marché!D2610</f>
        <v>100000</v>
      </c>
      <c r="L263" s="1193">
        <f>Marché!E2610</f>
        <v>0</v>
      </c>
      <c r="M263" s="1197">
        <f>Marché!F2610</f>
        <v>3.5200000000000002E-2</v>
      </c>
      <c r="N263" s="1193">
        <f>Marché!I2610</f>
        <v>2</v>
      </c>
      <c r="O263" s="1200" t="str">
        <f>Marché!J2610</f>
        <v>A</v>
      </c>
      <c r="P263" s="1200" t="str">
        <f>Marché!K2610</f>
        <v>A</v>
      </c>
      <c r="Q263" s="1200" t="str">
        <f>Marché!L2610</f>
        <v>F</v>
      </c>
      <c r="R263" s="1287">
        <v>3.0000000000000001E-3</v>
      </c>
      <c r="S263" s="1229" cm="1">
        <f t="array" ref="S263">IF(C263&gt;'Courbe des taux'!$D$50,ROUND( TREND('Courbe des taux'!$E$49:$E$50,'Courbe des taux'!$D$49:$D$50,Lignes_détenues!C263),5),ROUND(IF(C263&gt;365,interpoler(_mat2,taux2,C263),interpoler(_mat1,taux1,C263)),5))</f>
        <v>2.2790000000000001E-2</v>
      </c>
      <c r="T263" s="1201">
        <f t="shared" si="23"/>
        <v>2.2790000000000001E-2</v>
      </c>
      <c r="U263" s="1201">
        <f>ROUND(IF(D263*366&gt;366,interpoler(_mat2,taux2,D263*366),interpoler(_mat1,taux1,D263*366)),5)</f>
        <v>2.2700000000000001E-2</v>
      </c>
      <c r="V263" s="1202" t="str">
        <f>+IF((AB263-$AF$1)&lt;=366,"M","A")</f>
        <v>M</v>
      </c>
      <c r="W263" s="1202" t="s">
        <v>287</v>
      </c>
      <c r="X263" s="1212">
        <f>+prix_titre(AF$1,AA263,AB263,M263,K263,W263,V263,P263,Q263,N263,D263,Y263)</f>
        <v>103040.19049075231</v>
      </c>
      <c r="Y263" s="1202">
        <v>1</v>
      </c>
      <c r="Z263" s="35">
        <v>45808</v>
      </c>
      <c r="AA263" s="1198">
        <f>Marché!G2610</f>
        <v>45443</v>
      </c>
      <c r="AB263" s="1198">
        <f>Marché!H2610</f>
        <v>46172</v>
      </c>
      <c r="AC263" s="35"/>
      <c r="AD263" s="2"/>
    </row>
    <row r="264" spans="1:30" ht="15" hidden="1" x14ac:dyDescent="0.25">
      <c r="A264" s="1191">
        <v>201853</v>
      </c>
      <c r="B264" s="1192">
        <f t="shared" si="27"/>
        <v>102099.74428093103</v>
      </c>
      <c r="C264" s="1193">
        <f>(AB264-$AF$1)</f>
        <v>172</v>
      </c>
      <c r="D264" s="1194">
        <f t="shared" si="22"/>
        <v>2.358E-2</v>
      </c>
      <c r="E264" s="1195">
        <f>duration_titre($AF$1,AA264,AB264,M264,K264,W264,V264,P264,Q264,N264,D264)</f>
        <v>0.47123287671232877</v>
      </c>
      <c r="F264" s="1195">
        <f t="shared" si="26"/>
        <v>0.46037718274324313</v>
      </c>
      <c r="G264" s="1195">
        <f>convexite_titre($AF$1,AA264,AB264,M264,K264,W264,V264,P264,Q264,N264,D264)</f>
        <v>0.66171871953346018</v>
      </c>
      <c r="H264" s="1196">
        <f>+ROUND(coupon_courru($AF$1,AA264,AB264,M264,K264,W264,P264,Q264,N264,V264,"V"),4)</f>
        <v>1718.4931999999999</v>
      </c>
      <c r="I264" s="1199">
        <f>+IF(Y264=1,B264,D264*100)</f>
        <v>102099.74428093103</v>
      </c>
      <c r="J264" s="1193" t="str">
        <f>Marché!C2611</f>
        <v>BDT du 14/09/2024  2 ans  à 3.25%  ATYP 27/05/2024</v>
      </c>
      <c r="K264" s="1193">
        <f>Marché!D2611</f>
        <v>100000</v>
      </c>
      <c r="L264" s="1193">
        <f>Marché!E2611</f>
        <v>0</v>
      </c>
      <c r="M264" s="1197">
        <f>Marché!F2611</f>
        <v>3.2500000000000001E-2</v>
      </c>
      <c r="N264" s="1193">
        <f>Marché!I2611</f>
        <v>2</v>
      </c>
      <c r="O264" s="1200" t="str">
        <f>Marché!J2611</f>
        <v>A</v>
      </c>
      <c r="P264" s="1200" t="str">
        <f>Marché!K2611</f>
        <v>A</v>
      </c>
      <c r="Q264" s="1200" t="str">
        <f>Marché!L2611</f>
        <v>F</v>
      </c>
      <c r="R264" s="1287">
        <v>0</v>
      </c>
      <c r="S264" s="1229" cm="1">
        <f t="array" ref="S264">IF(C264&gt;'Courbe des taux'!$D$50,ROUND( TREND('Courbe des taux'!$E$49:$E$50,'Courbe des taux'!$D$49:$D$50,Lignes_détenues!C264),5),ROUND(IF(C264&gt;365,interpoler(_mat2,taux2,C264),interpoler(_mat1,taux1,C264)),5))</f>
        <v>2.358E-2</v>
      </c>
      <c r="T264" s="1201">
        <f t="shared" si="23"/>
        <v>2.358E-2</v>
      </c>
      <c r="U264" s="1201">
        <f>ROUND(IF(D264*366&gt;366,interpoler(_mat2,taux2,D264*366),interpoler(_mat1,taux1,D264*366)),5)</f>
        <v>2.2700000000000001E-2</v>
      </c>
      <c r="V264" s="1202" t="str">
        <f>+IF((AB264-$AF$1)&lt;=366,"M","A")</f>
        <v>M</v>
      </c>
      <c r="W264" s="1202" t="s">
        <v>287</v>
      </c>
      <c r="X264" s="1212">
        <f>+prix_atp(AF$1,AA264,Z264,AB264,M264,K264,W264,V264,P264,Q264,N264,D264,Y264)</f>
        <v>102099.74428093103</v>
      </c>
      <c r="Y264" s="1202">
        <v>1</v>
      </c>
      <c r="Z264" s="35">
        <v>45549</v>
      </c>
      <c r="AA264" s="1198">
        <f>Marché!G2611</f>
        <v>45439</v>
      </c>
      <c r="AB264" s="1198">
        <f>Marché!H2611</f>
        <v>46279</v>
      </c>
      <c r="AC264" s="35"/>
      <c r="AD264" s="2"/>
    </row>
    <row r="265" spans="1:30" ht="15" hidden="1" x14ac:dyDescent="0.25">
      <c r="A265" s="1191">
        <v>9614</v>
      </c>
      <c r="B265" s="1192">
        <f t="shared" si="27"/>
        <v>107048.07014699007</v>
      </c>
      <c r="C265" s="1193">
        <f>(AB265-$AF$1)</f>
        <v>2995</v>
      </c>
      <c r="D265" s="1194">
        <f t="shared" si="22"/>
        <v>3.9309999999999998E-2</v>
      </c>
      <c r="E265" s="1195">
        <f>duration_titre($AF$1,AA265,AB265,M265,K265,W265,V265,P265,Q265,N265,D265)</f>
        <v>6.8464179417004178</v>
      </c>
      <c r="F265" s="1195">
        <f t="shared" si="26"/>
        <v>6.5874647041791361</v>
      </c>
      <c r="G265" s="1195">
        <f>convexite_titre($AF$1,AA265,AB265,M265,K265,W265,V265,P265,Q265,N265,D265)</f>
        <v>55.342360066114217</v>
      </c>
      <c r="H265" s="1196">
        <f>+ROUND(coupon_courru($AF$1,AA265,AB265,M265,K265,W265,P265,Q265,N265,V265,"V"),4)</f>
        <v>3552</v>
      </c>
      <c r="I265" s="1199">
        <f>+IF(Y265=1,B265,D265*100)</f>
        <v>107048.07014699007</v>
      </c>
      <c r="J265" s="1193" t="str">
        <f>Marché!C2612</f>
        <v>OBL SUB CIH  du 07/06/2024 à 4.44% 10ANS  FIXE TRANCH A</v>
      </c>
      <c r="K265" s="1193">
        <f>Marché!D2612</f>
        <v>100000</v>
      </c>
      <c r="L265" s="1193">
        <f>Marché!E2612</f>
        <v>0</v>
      </c>
      <c r="M265" s="1197">
        <f>Marché!F2612</f>
        <v>4.4400000000000002E-2</v>
      </c>
      <c r="N265" s="1193">
        <f>Marché!I2612</f>
        <v>10</v>
      </c>
      <c r="O265" s="1200" t="str">
        <f>Marché!J2612</f>
        <v>A</v>
      </c>
      <c r="P265" s="1200" t="str">
        <f>Marché!K2612</f>
        <v>A</v>
      </c>
      <c r="Q265" s="1200" t="str">
        <f>Marché!L2612</f>
        <v>F</v>
      </c>
      <c r="R265" s="1287">
        <v>7.0000000000000001E-3</v>
      </c>
      <c r="S265" s="1229" cm="1">
        <f t="array" ref="S265">IF(C265&gt;'Courbe des taux'!$D$50,ROUND( TREND('Courbe des taux'!$E$49:$E$50,'Courbe des taux'!$D$49:$D$50,Lignes_détenues!C265),5),ROUND(IF(C265&gt;365,interpoler(_mat2,taux2,C265),interpoler(_mat1,taux1,C265)),5))</f>
        <v>3.2309999999999998E-2</v>
      </c>
      <c r="T265" s="1201">
        <f t="shared" si="23"/>
        <v>3.2309999999999998E-2</v>
      </c>
      <c r="U265" s="1201">
        <f>ROUND(IF(D265*366&gt;366,interpoler(_mat2,taux2,D265*366),interpoler(_mat1,taux1,D265*366)),5)</f>
        <v>2.2700000000000001E-2</v>
      </c>
      <c r="V265" s="1202" t="str">
        <f>+IF((AB265-$AF$1)&lt;=366,"M","A")</f>
        <v>A</v>
      </c>
      <c r="W265" s="1202" t="s">
        <v>287</v>
      </c>
      <c r="X265" s="1212">
        <f>+prix_titre(AF$1,AA265,AB265,M265,K265,W265,V265,P265,Q265,N265,D265,Y265)</f>
        <v>107048.07014699007</v>
      </c>
      <c r="Y265" s="1202">
        <v>1</v>
      </c>
      <c r="Z265" s="35"/>
      <c r="AA265" s="1198">
        <f>Marché!G2612</f>
        <v>45450</v>
      </c>
      <c r="AB265" s="1198">
        <f>Marché!H2612</f>
        <v>49102</v>
      </c>
      <c r="AC265" s="35"/>
      <c r="AD265" s="2"/>
    </row>
    <row r="266" spans="1:30" ht="15" hidden="1" x14ac:dyDescent="0.25">
      <c r="A266" s="1191">
        <v>9615</v>
      </c>
      <c r="B266" s="1192">
        <f t="shared" si="27"/>
        <v>102139.96700690308</v>
      </c>
      <c r="C266" s="1193">
        <f>(AB266-$AF$1)</f>
        <v>73</v>
      </c>
      <c r="D266" s="1194">
        <f t="shared" si="22"/>
        <v>2.8850000000000001E-2</v>
      </c>
      <c r="E266" s="1195">
        <f>duration_titre($AF$1,AA266,AB266,M266,K266,W266,V266,P266,Q266,N266,D266)</f>
        <v>0.2</v>
      </c>
      <c r="F266" s="1195">
        <f t="shared" si="26"/>
        <v>0.1943917966661807</v>
      </c>
      <c r="G266" s="1195">
        <f>convexite_titre($AF$1,AA266,AB266,M266,K266,W266,V266,P266,Q266,N266,D266)</f>
        <v>0.22672902366663439</v>
      </c>
      <c r="H266" s="1196">
        <f>+ROUND(coupon_courru($AF$1,AA266,AB266,M266,K266,W266,P266,Q266,N266,V266,"V"),4)</f>
        <v>2190</v>
      </c>
      <c r="I266" s="1199">
        <f>+IF(Y266=1,B266,D266*100)</f>
        <v>102139.96700690308</v>
      </c>
      <c r="J266" s="1193" t="str">
        <f>Marché!C2613</f>
        <v>OBL SUB CIH  du 07/06/2024 à 3.75% 10ANS  REVI TRANCH B</v>
      </c>
      <c r="K266" s="1193">
        <f>Marché!D2613</f>
        <v>100000</v>
      </c>
      <c r="L266" s="1193">
        <f>Marché!E2613</f>
        <v>0</v>
      </c>
      <c r="M266" s="1197">
        <v>2.7E-2</v>
      </c>
      <c r="N266" s="1193">
        <f>Marché!I2613</f>
        <v>52</v>
      </c>
      <c r="O266" s="1200" t="str">
        <f>Marché!J2613</f>
        <v>S</v>
      </c>
      <c r="P266" s="1200" t="str">
        <f>Marché!K2613</f>
        <v>A</v>
      </c>
      <c r="Q266" s="1200" t="str">
        <f>Marché!L2613</f>
        <v>F</v>
      </c>
      <c r="R266" s="1287">
        <v>6.0000000000000001E-3</v>
      </c>
      <c r="S266" s="1229" cm="1">
        <f t="array" ref="S266">IF(C266&gt;'Courbe des taux'!$D$50,ROUND( TREND('Courbe des taux'!$E$49:$E$50,'Courbe des taux'!$D$49:$D$50,Lignes_détenues!C266),5),ROUND(IF(C266&gt;365,interpoler(_mat2,taux2,C266),interpoler(_mat1,taux1,C266)),5))</f>
        <v>2.2849999999999999E-2</v>
      </c>
      <c r="T266" s="1201">
        <f t="shared" si="23"/>
        <v>2.2849999999999999E-2</v>
      </c>
      <c r="U266" s="1201">
        <f>ROUND(IF(D266*366&gt;366,interpoler(_mat2,taux2,D266*366),interpoler(_mat1,taux1,D266*366)),5)</f>
        <v>2.2700000000000001E-2</v>
      </c>
      <c r="V266" s="1202" t="str">
        <f>+IF((AB266-$AF$1)&lt;=366,"M","A")</f>
        <v>M</v>
      </c>
      <c r="W266" s="1202" t="s">
        <v>287</v>
      </c>
      <c r="X266" s="1212">
        <f>+prix_titre(AF$1,AA266,AB266,M266,K266,W266,V266,P266,Q266,N266,D266,Y266)</f>
        <v>102139.96700690308</v>
      </c>
      <c r="Y266" s="1202">
        <v>1</v>
      </c>
      <c r="Z266" s="35"/>
      <c r="AA266" s="1198">
        <v>45815</v>
      </c>
      <c r="AB266" s="1198">
        <v>46180</v>
      </c>
      <c r="AC266" s="35"/>
      <c r="AD266" s="2"/>
    </row>
    <row r="267" spans="1:30" ht="15" hidden="1" x14ac:dyDescent="0.25">
      <c r="A267" s="1191">
        <v>201836</v>
      </c>
      <c r="B267" s="1192">
        <f t="shared" si="27"/>
        <v>115684.85980903669</v>
      </c>
      <c r="C267" s="1193">
        <f>(AB267-$AF$1)</f>
        <v>6717</v>
      </c>
      <c r="D267" s="1194">
        <f t="shared" si="22"/>
        <v>3.6269999999999997E-2</v>
      </c>
      <c r="E267" s="1195">
        <f>duration_titre($AF$1,AA267,AB267,M267,K267,W267,V267,P267,Q267,N267,D267)</f>
        <v>12.853213069590071</v>
      </c>
      <c r="F267" s="1195">
        <f t="shared" si="26"/>
        <v>12.403343790315333</v>
      </c>
      <c r="G267" s="1195">
        <f>convexite_titre($AF$1,AA267,AB267,M267,K267,W267,V267,P267,Q267,N267,D267)</f>
        <v>204.24010905675743</v>
      </c>
      <c r="H267" s="1196">
        <f>+ROUND(coupon_courru($AF$1,AA267,AB267,M267,K267,W267,P267,Q267,N267,V267,"V"),4)</f>
        <v>2810.4110000000001</v>
      </c>
      <c r="I267" s="1199">
        <f>+IF(Y267=1,B267,D267*100)</f>
        <v>115684.85980903669</v>
      </c>
      <c r="J267" s="1193" t="str">
        <f>Marché!C2614</f>
        <v>BDT du 15/08/2024 à 4.60% 20 ans ATYP 02/01/2024</v>
      </c>
      <c r="K267" s="1193">
        <f>Marché!D2614</f>
        <v>100000</v>
      </c>
      <c r="L267" s="1193">
        <f>Marché!E2614</f>
        <v>0</v>
      </c>
      <c r="M267" s="1197">
        <f>Marché!F2614</f>
        <v>4.5999999999999999E-2</v>
      </c>
      <c r="N267" s="1193">
        <f>Marché!I2614</f>
        <v>20</v>
      </c>
      <c r="O267" s="1200" t="str">
        <f>Marché!J2614</f>
        <v>A</v>
      </c>
      <c r="P267" s="1200" t="str">
        <f>Marché!K2614</f>
        <v>A</v>
      </c>
      <c r="Q267" s="1200" t="str">
        <f>Marché!L2614</f>
        <v>F</v>
      </c>
      <c r="R267" s="1287">
        <v>0</v>
      </c>
      <c r="S267" s="1229" cm="1">
        <f t="array" ref="S267">IF(C267&gt;'Courbe des taux'!$D$50,ROUND( TREND('Courbe des taux'!$E$49:$E$50,'Courbe des taux'!$D$49:$D$50,Lignes_détenues!C267),5),ROUND(IF(C267&gt;365,interpoler(_mat2,taux2,C267),interpoler(_mat1,taux1,C267)),5))</f>
        <v>3.6269999999999997E-2</v>
      </c>
      <c r="T267" s="1201">
        <f t="shared" si="23"/>
        <v>3.6269999999999997E-2</v>
      </c>
      <c r="U267" s="1201">
        <f>ROUND(IF(D267*366&gt;366,interpoler(_mat2,taux2,D267*366),interpoler(_mat1,taux1,D267*366)),5)</f>
        <v>2.2700000000000001E-2</v>
      </c>
      <c r="V267" s="1202" t="str">
        <f>+IF((AB267-$AF$1)&lt;=366,"M","A")</f>
        <v>A</v>
      </c>
      <c r="W267" s="1202" t="s">
        <v>287</v>
      </c>
      <c r="X267" s="1212">
        <f>+prix_atp(AF$1,AA267,Z267,AB267,M267,K267,W267,V267,P267,Q267,N267,D267,Y267)</f>
        <v>115684.85980903669</v>
      </c>
      <c r="Y267" s="1202">
        <v>1</v>
      </c>
      <c r="Z267" s="35">
        <v>45519</v>
      </c>
      <c r="AA267" s="1198">
        <f>Marché!G2614</f>
        <v>45293</v>
      </c>
      <c r="AB267" s="1198">
        <f>Marché!H2614</f>
        <v>52824</v>
      </c>
      <c r="AC267" s="35"/>
      <c r="AD267" s="2"/>
    </row>
    <row r="268" spans="1:30" ht="15" hidden="1" x14ac:dyDescent="0.25">
      <c r="A268" s="1191">
        <v>9619</v>
      </c>
      <c r="B268" s="1192">
        <f t="shared" si="27"/>
        <v>101678.79921675476</v>
      </c>
      <c r="C268" s="1193">
        <f>(AB268-$AF$1)</f>
        <v>91</v>
      </c>
      <c r="D268" s="1194">
        <f t="shared" si="22"/>
        <v>2.699E-2</v>
      </c>
      <c r="E268" s="1195">
        <f>duration_titre($AF$1,AA268,AB268,M268,K268,W268,V268,P268,Q268,N268,D268)</f>
        <v>0.24931506849315069</v>
      </c>
      <c r="F268" s="1195">
        <f t="shared" si="26"/>
        <v>0.24276289787938604</v>
      </c>
      <c r="G268" s="1195">
        <f>convexite_titre($AF$1,AA268,AB268,M268,K268,W268,V268,P268,Q268,N268,D268)</f>
        <v>0.29531674737999486</v>
      </c>
      <c r="H268" s="1196">
        <f>+ROUND(coupon_courru($AF$1,AA268,AB268,M268,K268,W268,P268,Q268,N268,V268,"V"),4)</f>
        <v>1781</v>
      </c>
      <c r="I268" s="1199">
        <f>+IF(Y268=1,B268,D268*100)</f>
        <v>101678.79921675476</v>
      </c>
      <c r="J268" s="1193" t="str">
        <f>Marché!C2617</f>
        <v>OBL SUB BCP  du 25/06/2024 à 3.57% 10ANS  REV AN</v>
      </c>
      <c r="K268" s="1193">
        <f>Marché!D2617</f>
        <v>100000</v>
      </c>
      <c r="L268" s="1193">
        <f>Marché!E2617</f>
        <v>0</v>
      </c>
      <c r="M268" s="1197">
        <v>2.3400000000000001E-2</v>
      </c>
      <c r="N268" s="1193">
        <f>Marché!I2617</f>
        <v>52</v>
      </c>
      <c r="O268" s="1200" t="str">
        <f>Marché!J2617</f>
        <v>S</v>
      </c>
      <c r="P268" s="1200" t="str">
        <f>Marché!K2617</f>
        <v>A</v>
      </c>
      <c r="Q268" s="1200" t="str">
        <f>Marché!L2617</f>
        <v>F</v>
      </c>
      <c r="R268" s="1287">
        <v>4.0000000000000001E-3</v>
      </c>
      <c r="S268" s="1229" cm="1">
        <f t="array" ref="S268">IF(C268&gt;'Courbe des taux'!$D$50,ROUND( TREND('Courbe des taux'!$E$49:$E$50,'Courbe des taux'!$D$49:$D$50,Lignes_détenues!C268),5),ROUND(IF(C268&gt;365,interpoler(_mat2,taux2,C268),interpoler(_mat1,taux1,C268)),5))</f>
        <v>2.299E-2</v>
      </c>
      <c r="T268" s="1201">
        <f t="shared" si="23"/>
        <v>2.299E-2</v>
      </c>
      <c r="U268" s="1201">
        <f>ROUND(IF(D268*366&gt;366,interpoler(_mat2,taux2,D268*366),interpoler(_mat1,taux1,D268*366)),5)</f>
        <v>2.2700000000000001E-2</v>
      </c>
      <c r="V268" s="1202" t="str">
        <f>+IF((AB268-$AF$1)&lt;=366,"M","A")</f>
        <v>M</v>
      </c>
      <c r="W268" s="1202" t="s">
        <v>287</v>
      </c>
      <c r="X268" s="1212">
        <f>+prix_titre(AF$1,AA268,AB268,M268,K268,W268,V268,P268,Q268,N268,D268,Y268)</f>
        <v>101678.79921675476</v>
      </c>
      <c r="Y268" s="1202">
        <v>1</v>
      </c>
      <c r="Z268" s="35"/>
      <c r="AA268" s="1198">
        <v>45833</v>
      </c>
      <c r="AB268" s="1198">
        <v>46198</v>
      </c>
      <c r="AC268" s="35"/>
      <c r="AD268" s="2"/>
    </row>
    <row r="269" spans="1:30" ht="15" hidden="1" x14ac:dyDescent="0.25">
      <c r="A269" s="1191">
        <v>152957</v>
      </c>
      <c r="B269" s="1192">
        <f t="shared" si="27"/>
        <v>105259.51076158724</v>
      </c>
      <c r="C269" s="1193">
        <f>(AB269-$AF$1)</f>
        <v>-364</v>
      </c>
      <c r="D269" s="1194">
        <f t="shared" si="22"/>
        <v>2.5229999999999999E-2</v>
      </c>
      <c r="E269" s="1195">
        <f>duration_titre($AF$1,AA269,AB269,M269,K269,W269,V269,P269,Q269,N269,D269)</f>
        <v>0</v>
      </c>
      <c r="F269" s="1195">
        <f t="shared" si="26"/>
        <v>0</v>
      </c>
      <c r="G269" s="1195">
        <f>convexite_titre($AF$1,AA269,AB269,M269,K269,W269,V269,P269,Q269,N269,D269)</f>
        <v>0</v>
      </c>
      <c r="H269" s="1196">
        <f>+ROUND(coupon_courru($AF$1,AA269,AB269,M269,K269,W269,P269,Q269,N269,V269,"V"),4)</f>
        <v>3360.7671</v>
      </c>
      <c r="I269" s="1199">
        <f>+IF(Y269=1,B269,D269*100)</f>
        <v>105259.51076158724</v>
      </c>
      <c r="J269" s="1193" t="str">
        <f>Marché!C2618</f>
        <v>CD BMCI du 25/06/2024  à 3.37%  9 MOIS</v>
      </c>
      <c r="K269" s="1193">
        <f>Marché!D2618</f>
        <v>100000</v>
      </c>
      <c r="L269" s="1193">
        <f>Marché!E2618</f>
        <v>0</v>
      </c>
      <c r="M269" s="1197">
        <f>Marché!F2618</f>
        <v>3.3700000000000001E-2</v>
      </c>
      <c r="N269" s="1193">
        <f>Marché!I2618</f>
        <v>9</v>
      </c>
      <c r="O269" s="1200" t="str">
        <f>Marché!J2618</f>
        <v>M</v>
      </c>
      <c r="P269" s="1200" t="str">
        <f>Marché!K2618</f>
        <v>A</v>
      </c>
      <c r="Q269" s="1200" t="str">
        <f>Marché!L2618</f>
        <v>F</v>
      </c>
      <c r="R269" s="1287">
        <v>2.5300000000000001E-3</v>
      </c>
      <c r="S269" s="1229" cm="1">
        <f t="array" ref="S269">IF(C269&gt;'Courbe des taux'!$D$50,ROUND( TREND('Courbe des taux'!$E$49:$E$50,'Courbe des taux'!$D$49:$D$50,Lignes_détenues!C269),5),ROUND(IF(C269&gt;365,interpoler(_mat2,taux2,C269),interpoler(_mat1,taux1,C269)),5))</f>
        <v>2.2700000000000001E-2</v>
      </c>
      <c r="T269" s="1201">
        <f t="shared" si="23"/>
        <v>2.2700000000000001E-2</v>
      </c>
      <c r="U269" s="1201">
        <f>ROUND(IF(D269*366&gt;366,interpoler(_mat2,taux2,D269*366),interpoler(_mat1,taux1,D269*366)),5)</f>
        <v>2.2700000000000001E-2</v>
      </c>
      <c r="V269" s="1202" t="str">
        <f>+IF((AB269-$AF$1)&lt;=366,"M","A")</f>
        <v>M</v>
      </c>
      <c r="W269" s="1202" t="s">
        <v>287</v>
      </c>
      <c r="X269" s="1212">
        <f>K269*((AB269-AA269)*M269/360+1)/(1+(R269+S269)*((AB269-AF1)/360))</f>
        <v>105259.51076158724</v>
      </c>
      <c r="Y269" s="1202">
        <v>1</v>
      </c>
      <c r="Z269" s="35">
        <v>45653</v>
      </c>
      <c r="AA269" s="1198">
        <f>Marché!G2618</f>
        <v>45468</v>
      </c>
      <c r="AB269" s="1198">
        <f>Marché!H2618</f>
        <v>45743</v>
      </c>
      <c r="AC269" s="35"/>
      <c r="AD269" s="2"/>
    </row>
    <row r="270" spans="1:30" ht="15" hidden="1" x14ac:dyDescent="0.25">
      <c r="A270" s="1191">
        <v>9625</v>
      </c>
      <c r="B270" s="1192">
        <f t="shared" si="27"/>
        <v>103192.87259203593</v>
      </c>
      <c r="C270" s="1193">
        <f>(AB270-$AF$1)</f>
        <v>93</v>
      </c>
      <c r="D270" s="1194">
        <f t="shared" si="22"/>
        <v>4.301E-2</v>
      </c>
      <c r="E270" s="1195">
        <f>duration_titre($AF$1,AA270,AB270,M270,K270,W270,V270,P270,Q270,N270,D270)</f>
        <v>0.25479452054794521</v>
      </c>
      <c r="F270" s="1195">
        <f t="shared" si="26"/>
        <v>0.24428770629998295</v>
      </c>
      <c r="G270" s="1195">
        <f>convexite_titre($AF$1,AA270,AB270,M270,K270,W270,V270,P270,Q270,N270,D270)</f>
        <v>0.29389063892239226</v>
      </c>
      <c r="H270" s="1196">
        <f>+ROUND(coupon_courru($AF$1,AA270,AB270,M270,K270,W270,P270,Q270,N270,V270,"V"),4)</f>
        <v>3233.7777999999998</v>
      </c>
      <c r="I270" s="1199">
        <f>+IF(Y270=1,B270,D270*100)</f>
        <v>103192.87259203593</v>
      </c>
      <c r="J270" s="1193" t="str">
        <f>Marché!C2619</f>
        <v>OBL SUB PERPT BCP du 27/06/2024 à 5.16%   REVISABLE</v>
      </c>
      <c r="K270" s="1193">
        <f>Marché!D2619</f>
        <v>100000</v>
      </c>
      <c r="L270" s="1193">
        <f>Marché!E2619</f>
        <v>0</v>
      </c>
      <c r="M270" s="1197">
        <f>4.28%</f>
        <v>4.2800000000000005E-2</v>
      </c>
      <c r="N270" s="1193">
        <f>Marché!I2619</f>
        <v>52</v>
      </c>
      <c r="O270" s="1200" t="str">
        <f>Marché!J2619</f>
        <v>S</v>
      </c>
      <c r="P270" s="1200" t="str">
        <f>Marché!K2619</f>
        <v>A</v>
      </c>
      <c r="Q270" s="1200" t="str">
        <f>Marché!L2619</f>
        <v>F</v>
      </c>
      <c r="R270" s="1287">
        <v>0.02</v>
      </c>
      <c r="S270" s="1229" cm="1">
        <f t="array" ref="S270">IF(C270&gt;'Courbe des taux'!$D$50,ROUND( TREND('Courbe des taux'!$E$49:$E$50,'Courbe des taux'!$D$49:$D$50,Lignes_détenues!C270),5),ROUND(IF(C270&gt;365,interpoler(_mat2,taux2,C270),interpoler(_mat1,taux1,C270)),5))</f>
        <v>2.3009999999999999E-2</v>
      </c>
      <c r="T270" s="1201">
        <f t="shared" si="23"/>
        <v>2.3009999999999999E-2</v>
      </c>
      <c r="U270" s="1201">
        <f>ROUND(IF(D270*366&gt;366,interpoler(_mat2,taux2,D270*366),interpoler(_mat1,taux1,D270*366)),5)</f>
        <v>2.2700000000000001E-2</v>
      </c>
      <c r="V270" s="1202" t="str">
        <f>+IF((AB270-$AF$1)&lt;=366,"M","A")</f>
        <v>M</v>
      </c>
      <c r="W270" s="1202" t="s">
        <v>287</v>
      </c>
      <c r="X270" s="1212">
        <f>+prix_titre(AF$1,AA270,AB270,M270,K270,W270,V270,P270,Q270,N270,D270,Y270)</f>
        <v>103192.87259203593</v>
      </c>
      <c r="Y270" s="1202">
        <v>1</v>
      </c>
      <c r="Z270" s="35"/>
      <c r="AA270" s="1198">
        <v>45835</v>
      </c>
      <c r="AB270" s="1198">
        <v>46200</v>
      </c>
      <c r="AC270" s="35"/>
      <c r="AD270" s="2"/>
    </row>
    <row r="271" spans="1:30" ht="15" hidden="1" x14ac:dyDescent="0.25">
      <c r="A271" s="1191">
        <v>152960</v>
      </c>
      <c r="B271" s="1192">
        <f t="shared" si="27"/>
        <v>0</v>
      </c>
      <c r="C271" s="1193">
        <f>(AB271-$AF$1)</f>
        <v>-454</v>
      </c>
      <c r="D271" s="1194">
        <f t="shared" si="22"/>
        <v>2.47E-2</v>
      </c>
      <c r="E271" s="1195">
        <f>duration_titre($AF$1,AA271,AB271,M271,K271,W271,V271,P271,Q271,N271,D271)</f>
        <v>0</v>
      </c>
      <c r="F271" s="1195">
        <f t="shared" si="26"/>
        <v>0</v>
      </c>
      <c r="G271" s="1195">
        <f>convexite_titre($AF$1,AA271,AB271,M271,K271,W271,V271,P271,Q271,N271,D271)</f>
        <v>0</v>
      </c>
      <c r="H271" s="1196">
        <f>+ROUND(coupon_courru($AF$1,AA271,AB271,M271,K271,W271,P271,Q271,N271,V271,"V"),4)</f>
        <v>5874.5555999999997</v>
      </c>
      <c r="I271" s="1199">
        <f>+IF(Y271=1,B271,D271*100)</f>
        <v>0</v>
      </c>
      <c r="J271" s="1193" t="str">
        <f>Marché!C2620</f>
        <v>CD SGMB du 27/06/2024 à 3.32%  26 SEM</v>
      </c>
      <c r="K271" s="1193">
        <f>Marché!D2620</f>
        <v>100000</v>
      </c>
      <c r="L271" s="1193">
        <f>Marché!E2620</f>
        <v>0</v>
      </c>
      <c r="M271" s="1197">
        <f>Marché!F2620</f>
        <v>3.32E-2</v>
      </c>
      <c r="N271" s="1193">
        <f>Marché!I2620</f>
        <v>26</v>
      </c>
      <c r="O271" s="1200" t="str">
        <f>Marché!J2620</f>
        <v>S</v>
      </c>
      <c r="P271" s="1200" t="str">
        <f>Marché!K2620</f>
        <v>A</v>
      </c>
      <c r="Q271" s="1200" t="str">
        <f>Marché!L2620</f>
        <v>F</v>
      </c>
      <c r="R271" s="1287">
        <v>2E-3</v>
      </c>
      <c r="S271" s="1229" cm="1">
        <f t="array" ref="S271">IF(C271&gt;'Courbe des taux'!$D$50,ROUND( TREND('Courbe des taux'!$E$49:$E$50,'Courbe des taux'!$D$49:$D$50,Lignes_détenues!C271),5),ROUND(IF(C271&gt;365,interpoler(_mat2,taux2,C271),interpoler(_mat1,taux1,C271)),5))</f>
        <v>2.2700000000000001E-2</v>
      </c>
      <c r="T271" s="1201">
        <f t="shared" si="23"/>
        <v>2.2700000000000001E-2</v>
      </c>
      <c r="U271" s="1201">
        <f>ROUND(IF(D271*366&gt;366,interpoler(_mat2,taux2,D271*366),interpoler(_mat1,taux1,D271*366)),5)</f>
        <v>2.2700000000000001E-2</v>
      </c>
      <c r="V271" s="1202" t="str">
        <f>+IF((AB271-$AF$1)&lt;=366,"M","A")</f>
        <v>M</v>
      </c>
      <c r="W271" s="1202" t="s">
        <v>287</v>
      </c>
      <c r="X271" s="1212">
        <f>+prix_titre(AF$1,AA271,AB271,M271,K271,W271,V271,P271,Q271,N271,D271,Y271)</f>
        <v>0</v>
      </c>
      <c r="Y271" s="1202">
        <v>1</v>
      </c>
      <c r="Z271" s="35"/>
      <c r="AA271" s="1198">
        <f>Marché!G2620</f>
        <v>45470</v>
      </c>
      <c r="AB271" s="1198">
        <f>Marché!H2620</f>
        <v>45653</v>
      </c>
      <c r="AC271" s="35"/>
      <c r="AD271" s="2"/>
    </row>
    <row r="272" spans="1:30" ht="15" hidden="1" x14ac:dyDescent="0.25">
      <c r="A272" s="1191">
        <v>152956</v>
      </c>
      <c r="B272" s="1192">
        <f t="shared" si="27"/>
        <v>0</v>
      </c>
      <c r="C272" s="1193">
        <f>(AB272-$AF$1)</f>
        <v>-462</v>
      </c>
      <c r="D272" s="1194">
        <f t="shared" si="22"/>
        <v>2.76E-2</v>
      </c>
      <c r="E272" s="1195">
        <f>duration_titre($AF$1,AA272,AB272,M272,K272,W272,V272,P272,Q272,N272,D272)</f>
        <v>0</v>
      </c>
      <c r="F272" s="1195">
        <f t="shared" si="26"/>
        <v>0</v>
      </c>
      <c r="G272" s="1195">
        <f>convexite_titre($AF$1,AA272,AB272,M272,K272,W272,V272,P272,Q272,N272,D272)</f>
        <v>0</v>
      </c>
      <c r="H272" s="1196">
        <f>+ROUND(coupon_courru($AF$1,AA272,AB272,M272,K272,W272,P272,Q272,N272,V272,"V"),4)</f>
        <v>5874.5555999999997</v>
      </c>
      <c r="I272" s="1199">
        <f>+IF(Y272=1,B272,D272*100)</f>
        <v>0</v>
      </c>
      <c r="J272" s="1193" t="str">
        <f>Marché!C2621</f>
        <v>CD BMCI du 27/06/2024  à 3.32%  26 SEM</v>
      </c>
      <c r="K272" s="1193">
        <f>Marché!D2621</f>
        <v>100000</v>
      </c>
      <c r="L272" s="1193">
        <f>Marché!E2621</f>
        <v>0</v>
      </c>
      <c r="M272" s="1197">
        <f>Marché!F2621</f>
        <v>3.32E-2</v>
      </c>
      <c r="N272" s="1193">
        <f>Marché!I2621</f>
        <v>26</v>
      </c>
      <c r="O272" s="1200" t="str">
        <f>Marché!J2621</f>
        <v>S</v>
      </c>
      <c r="P272" s="1200" t="str">
        <f>Marché!K2621</f>
        <v>A</v>
      </c>
      <c r="Q272" s="1200" t="str">
        <f>Marché!L2621</f>
        <v>F</v>
      </c>
      <c r="R272" s="1287">
        <v>4.8999999999999998E-3</v>
      </c>
      <c r="S272" s="1229" cm="1">
        <f t="array" ref="S272">IF(C272&gt;'Courbe des taux'!$D$50,ROUND( TREND('Courbe des taux'!$E$49:$E$50,'Courbe des taux'!$D$49:$D$50,Lignes_détenues!C272),5),ROUND(IF(C272&gt;365,interpoler(_mat2,taux2,C272),interpoler(_mat1,taux1,C272)),5))</f>
        <v>2.2700000000000001E-2</v>
      </c>
      <c r="T272" s="1201">
        <f t="shared" si="23"/>
        <v>2.2700000000000001E-2</v>
      </c>
      <c r="U272" s="1201">
        <f>ROUND(IF(D272*366&gt;366,interpoler(_mat2,taux2,D272*366),interpoler(_mat1,taux1,D272*366)),5)</f>
        <v>2.2700000000000001E-2</v>
      </c>
      <c r="V272" s="1202" t="str">
        <f>+IF((AB272-$AF$1)&lt;=366,"M","A")</f>
        <v>M</v>
      </c>
      <c r="W272" s="1202" t="s">
        <v>287</v>
      </c>
      <c r="X272" s="1212">
        <f>+prix_titre(AF$1,AA272,AB272,M272,K272,W272,V272,P272,Q272,N272,D272,Y272)</f>
        <v>0</v>
      </c>
      <c r="Y272" s="1202">
        <v>1</v>
      </c>
      <c r="Z272" s="35">
        <v>45462</v>
      </c>
      <c r="AA272" s="1198">
        <f>Marché!G2621</f>
        <v>45470</v>
      </c>
      <c r="AB272" s="1198">
        <f>Marché!H2621</f>
        <v>45645</v>
      </c>
      <c r="AC272" s="35"/>
      <c r="AD272" s="2"/>
    </row>
    <row r="273" spans="1:38" ht="15" hidden="1" x14ac:dyDescent="0.25">
      <c r="A273" s="1191">
        <v>152962</v>
      </c>
      <c r="B273" s="1192">
        <f t="shared" si="27"/>
        <v>0</v>
      </c>
      <c r="C273" s="1193">
        <f>(AB273-$AF$1)</f>
        <v>-272</v>
      </c>
      <c r="D273" s="1194">
        <f t="shared" si="22"/>
        <v>2.52E-2</v>
      </c>
      <c r="E273" s="1195">
        <f>duration_titre($AF$1,AA273,AB273,M273,K273,W273,V273,P273,Q273,N273,D273)</f>
        <v>0</v>
      </c>
      <c r="F273" s="1195">
        <f t="shared" ref="F273:F304" si="28">+E273/(1+D273)</f>
        <v>0</v>
      </c>
      <c r="G273" s="1195">
        <f>convexite_titre($AF$1,AA273,AB273,M273,K273,W273,V273,P273,Q273,N273,D273)</f>
        <v>0</v>
      </c>
      <c r="H273" s="1196">
        <f>+ROUND(coupon_courru($AF$1,AA273,AB273,M273,K273,W273,P273,Q273,N273,V273,"V"),4)</f>
        <v>6033.8055999999997</v>
      </c>
      <c r="I273" s="1199">
        <f>+IF(Y273=1,B273,D273*100)</f>
        <v>0</v>
      </c>
      <c r="J273" s="1193" t="str">
        <f>Marché!C2622</f>
        <v>CD SGMB du 27/06/2024 à 3.41%  52 SEM</v>
      </c>
      <c r="K273" s="1193">
        <f>Marché!D2622</f>
        <v>100000</v>
      </c>
      <c r="L273" s="1193">
        <f>Marché!E2622</f>
        <v>0</v>
      </c>
      <c r="M273" s="1197">
        <f>Marché!F2622</f>
        <v>3.4099999999999998E-2</v>
      </c>
      <c r="N273" s="1193">
        <f>Marché!I2622</f>
        <v>52</v>
      </c>
      <c r="O273" s="1200" t="str">
        <f>Marché!J2622</f>
        <v>S</v>
      </c>
      <c r="P273" s="1200" t="str">
        <f>Marché!K2622</f>
        <v>A</v>
      </c>
      <c r="Q273" s="1200" t="str">
        <f>Marché!L2622</f>
        <v>F</v>
      </c>
      <c r="R273" s="1287">
        <v>2.5000000000000001E-3</v>
      </c>
      <c r="S273" s="1229" cm="1">
        <f t="array" ref="S273">IF(C273&gt;'Courbe des taux'!$D$50,ROUND( TREND('Courbe des taux'!$E$49:$E$50,'Courbe des taux'!$D$49:$D$50,Lignes_détenues!C273),5),ROUND(IF(C273&gt;365,interpoler(_mat2,taux2,C273),interpoler(_mat1,taux1,C273)),5))</f>
        <v>2.2700000000000001E-2</v>
      </c>
      <c r="T273" s="1201">
        <f t="shared" si="23"/>
        <v>2.2700000000000001E-2</v>
      </c>
      <c r="U273" s="1201">
        <f>ROUND(IF(D273*366&gt;366,interpoler(_mat2,taux2,D273*366),interpoler(_mat1,taux1,D273*366)),5)</f>
        <v>2.2700000000000001E-2</v>
      </c>
      <c r="V273" s="1202" t="str">
        <f>+IF((AB273-$AF$1)&lt;=366,"M","A")</f>
        <v>M</v>
      </c>
      <c r="W273" s="1202" t="s">
        <v>287</v>
      </c>
      <c r="X273" s="1212">
        <f>+prix_titre(AF$1,AA273,AB273,M273,K273,W273,V273,P273,Q273,N273,D273,Y273)</f>
        <v>0</v>
      </c>
      <c r="Y273" s="1202">
        <v>1</v>
      </c>
      <c r="Z273" s="35"/>
      <c r="AA273" s="1198">
        <f>Marché!G2622</f>
        <v>45470</v>
      </c>
      <c r="AB273" s="1198">
        <f>Marché!H2622</f>
        <v>45835</v>
      </c>
      <c r="AC273" s="35"/>
      <c r="AD273" s="2"/>
    </row>
    <row r="274" spans="1:38" ht="15" hidden="1" x14ac:dyDescent="0.25">
      <c r="A274" s="1191">
        <v>9626</v>
      </c>
      <c r="B274" s="1192">
        <f t="shared" si="27"/>
        <v>104558.79089999999</v>
      </c>
      <c r="C274" s="1193">
        <f>(AB274-$AF$1)</f>
        <v>1920</v>
      </c>
      <c r="D274" s="1194">
        <f t="shared" si="22"/>
        <v>3.5900000000000001E-2</v>
      </c>
      <c r="E274" s="1195">
        <f>duration_titre($AF$1,AA274,AB274,M274,K274,W274,V274,P274,Q274,N274,D274)</f>
        <v>4.723003281539194</v>
      </c>
      <c r="F274" s="1195">
        <f t="shared" si="28"/>
        <v>4.5593235655364355</v>
      </c>
      <c r="G274" s="1195">
        <f>convexite_titre($AF$1,AA274,AB274,M274,K274,W274,V274,P274,Q274,N274,D274)</f>
        <v>26.783694373043659</v>
      </c>
      <c r="H274" s="1196">
        <f>+ROUND(coupon_courru($AF$1,AA274,AB274,M274,K274,W274,P274,Q274,N274,V274,"V"),4)</f>
        <v>2940.1644000000001</v>
      </c>
      <c r="I274" s="1199">
        <f>+IF(Y274=1,B274,D274*100)</f>
        <v>104558.79089999999</v>
      </c>
      <c r="J274" s="1193" t="str">
        <f>Marché!C2623</f>
        <v>OBL ATW SUB du 28/06/2024 à 3.96% 7 ANS Fixe</v>
      </c>
      <c r="K274" s="1193">
        <f>Marché!D2623</f>
        <v>100000</v>
      </c>
      <c r="L274" s="1193">
        <f>Marché!E2623</f>
        <v>0</v>
      </c>
      <c r="M274" s="1197">
        <f>Marché!F2623</f>
        <v>3.9600000000000003E-2</v>
      </c>
      <c r="N274" s="1193">
        <f>Marché!I2623</f>
        <v>7</v>
      </c>
      <c r="O274" s="1200" t="str">
        <f>Marché!J2623</f>
        <v>A</v>
      </c>
      <c r="P274" s="1200" t="str">
        <f>Marché!K2623</f>
        <v>A</v>
      </c>
      <c r="Q274" s="1200" t="str">
        <f>Marché!L2623</f>
        <v>F</v>
      </c>
      <c r="R274" s="1287">
        <v>5.0000000000000001E-3</v>
      </c>
      <c r="S274" s="1229" cm="1">
        <f t="array" ref="S274">IF(C274&gt;'Courbe des taux'!$D$50,ROUND( TREND('Courbe des taux'!$E$49:$E$50,'Courbe des taux'!$D$49:$D$50,Lignes_détenues!C274),5),ROUND(IF(C274&gt;365,interpoler(_mat2,taux2,C274),interpoler(_mat1,taux1,C274)),5))</f>
        <v>3.09E-2</v>
      </c>
      <c r="T274" s="1201">
        <f t="shared" si="23"/>
        <v>3.09E-2</v>
      </c>
      <c r="U274" s="1201">
        <f>ROUND(IF(D274*366&gt;366,interpoler(_mat2,taux2,D274*366),interpoler(_mat1,taux1,D274*366)),5)</f>
        <v>2.2700000000000001E-2</v>
      </c>
      <c r="V274" s="1202" t="str">
        <f>+IF((AB274-$AF$1)&lt;=366,"M","A")</f>
        <v>A</v>
      </c>
      <c r="W274" s="1202" t="s">
        <v>287</v>
      </c>
      <c r="X274" s="1212">
        <f>+Ammortissable!C725</f>
        <v>104558.79089999999</v>
      </c>
      <c r="Y274" s="1202">
        <v>1</v>
      </c>
      <c r="Z274" s="35"/>
      <c r="AA274" s="1198">
        <f>Marché!G2623</f>
        <v>45471</v>
      </c>
      <c r="AB274" s="1198">
        <f>Marché!H2623</f>
        <v>48027</v>
      </c>
      <c r="AC274" s="35"/>
      <c r="AD274" s="2"/>
    </row>
    <row r="275" spans="1:38" ht="15" hidden="1" x14ac:dyDescent="0.25">
      <c r="A275" s="1191">
        <v>9627</v>
      </c>
      <c r="B275" s="1192">
        <f t="shared" si="27"/>
        <v>102034.72116806875</v>
      </c>
      <c r="C275" s="1193">
        <f>(AB275-$AF$1)</f>
        <v>94</v>
      </c>
      <c r="D275" s="1194">
        <f t="shared" si="22"/>
        <v>2.7519999999999999E-2</v>
      </c>
      <c r="E275" s="1195">
        <f>duration_titre($AF$1,AA275,AB275,M275,K275,W275,V275,P275,Q275,N275,D275)</f>
        <v>0.25753424657534246</v>
      </c>
      <c r="F275" s="1195">
        <f t="shared" si="28"/>
        <v>0.25063672393271419</v>
      </c>
      <c r="G275" s="1195">
        <f>convexite_titre($AF$1,AA275,AB275,M275,K275,W275,V275,P275,Q275,N275,D275)</f>
        <v>0.30674270456520342</v>
      </c>
      <c r="H275" s="1196">
        <f>+ROUND(coupon_courru($AF$1,AA275,AB275,M275,K275,W275,P275,Q275,N275,V275,"V"),4)</f>
        <v>2055.0832999999998</v>
      </c>
      <c r="I275" s="1199">
        <f>+IF(Y275=1,B275,D275*100)</f>
        <v>102034.72116806875</v>
      </c>
      <c r="J275" s="1193" t="str">
        <f>Marché!C2624</f>
        <v>OBL SUB ATW du 28/06/2024  REVIS ANUEL  7 ANS</v>
      </c>
      <c r="K275" s="1193">
        <f>Marché!D2624</f>
        <v>100000</v>
      </c>
      <c r="L275" s="1193">
        <f>Marché!E2624</f>
        <v>0</v>
      </c>
      <c r="M275" s="1197">
        <f>2.73%</f>
        <v>2.7300000000000001E-2</v>
      </c>
      <c r="N275" s="1193">
        <f>Marché!I2624</f>
        <v>52</v>
      </c>
      <c r="O275" s="1200" t="str">
        <f>Marché!J2624</f>
        <v>S</v>
      </c>
      <c r="P275" s="1200" t="str">
        <f>Marché!K2624</f>
        <v>A</v>
      </c>
      <c r="Q275" s="1200" t="str">
        <f>Marché!L2624</f>
        <v>F</v>
      </c>
      <c r="R275" s="1287">
        <v>4.4999999999999997E-3</v>
      </c>
      <c r="S275" s="1229" cm="1">
        <f t="array" ref="S275">IF(C275&gt;'Courbe des taux'!$D$50,ROUND( TREND('Courbe des taux'!$E$49:$E$50,'Courbe des taux'!$D$49:$D$50,Lignes_détenues!C275),5),ROUND(IF(C275&gt;365,interpoler(_mat2,taux2,C275),interpoler(_mat1,taux1,C275)),5))</f>
        <v>2.3019999999999999E-2</v>
      </c>
      <c r="T275" s="1201">
        <f t="shared" si="23"/>
        <v>2.3019999999999999E-2</v>
      </c>
      <c r="U275" s="1201">
        <f>ROUND(IF(D275*366&gt;366,interpoler(_mat2,taux2,D275*366),interpoler(_mat1,taux1,D275*366)),5)</f>
        <v>2.2700000000000001E-2</v>
      </c>
      <c r="V275" s="1202" t="str">
        <f>+IF((AB275-$AF$1)&lt;=366,"M","A")</f>
        <v>M</v>
      </c>
      <c r="W275" s="1202" t="s">
        <v>287</v>
      </c>
      <c r="X275" s="1212">
        <f>+prix_titre(AF$1,AA275,AB275,M275,K275,W275,V275,P275,Q275,N275,D275,Y275)</f>
        <v>102034.72116806875</v>
      </c>
      <c r="Y275" s="1202">
        <v>1</v>
      </c>
      <c r="Z275" s="35"/>
      <c r="AA275" s="1198">
        <v>45836</v>
      </c>
      <c r="AB275" s="1198">
        <v>46201</v>
      </c>
      <c r="AC275" s="35"/>
      <c r="AD275" s="2"/>
    </row>
    <row r="276" spans="1:38" ht="15" hidden="1" x14ac:dyDescent="0.25">
      <c r="A276" s="1191">
        <v>100945</v>
      </c>
      <c r="B276" s="1192">
        <f t="shared" si="27"/>
        <v>102897.46932408714</v>
      </c>
      <c r="C276" s="1193">
        <f>(AB276-$AF$1)</f>
        <v>94</v>
      </c>
      <c r="D276" s="1194">
        <f t="shared" si="22"/>
        <v>2.6519999999999998E-2</v>
      </c>
      <c r="E276" s="1195">
        <f>duration_titre($AF$1,AA276,AB276,M276,K276,W276,V276,P276,Q276,N276,D276)</f>
        <v>0.25753424657534246</v>
      </c>
      <c r="F276" s="1195">
        <f t="shared" si="28"/>
        <v>0.25088088549209214</v>
      </c>
      <c r="G276" s="1195">
        <f>convexite_titre($AF$1,AA276,AB276,M276,K276,W276,V276,P276,Q276,N276,D276)</f>
        <v>0.30734063176309556</v>
      </c>
      <c r="H276" s="1196">
        <f>+ROUND(coupon_courru($AF$1,AA276,AB276,M276,K276,W276,P276,Q276,N276,V276,"V"),4)</f>
        <v>2680.3013999999998</v>
      </c>
      <c r="I276" s="1199">
        <f>+IF(Y276=1,B276,D276*100)</f>
        <v>102897.46932408714</v>
      </c>
      <c r="J276" s="1193" t="str">
        <f>Marché!C2625</f>
        <v>BSF WAFASALAF du 28/06/2024 à 3.61%   2 ANS</v>
      </c>
      <c r="K276" s="1193">
        <f>Marché!D2625</f>
        <v>100000</v>
      </c>
      <c r="L276" s="1193">
        <f>Marché!E2625</f>
        <v>0</v>
      </c>
      <c r="M276" s="1197">
        <f>Marché!F2625</f>
        <v>3.61E-2</v>
      </c>
      <c r="N276" s="1193">
        <f>Marché!I2625</f>
        <v>2</v>
      </c>
      <c r="O276" s="1200" t="str">
        <f>Marché!J2625</f>
        <v>A</v>
      </c>
      <c r="P276" s="1200" t="str">
        <f>Marché!K2625</f>
        <v>A</v>
      </c>
      <c r="Q276" s="1200" t="str">
        <f>Marché!L2625</f>
        <v>F</v>
      </c>
      <c r="R276" s="1287">
        <v>3.5000000000000001E-3</v>
      </c>
      <c r="S276" s="1229" cm="1">
        <f t="array" ref="S276">IF(C276&gt;'Courbe des taux'!$D$50,ROUND( TREND('Courbe des taux'!$E$49:$E$50,'Courbe des taux'!$D$49:$D$50,Lignes_détenues!C276),5),ROUND(IF(C276&gt;365,interpoler(_mat2,taux2,C276),interpoler(_mat1,taux1,C276)),5))</f>
        <v>2.3019999999999999E-2</v>
      </c>
      <c r="T276" s="1201">
        <f t="shared" si="23"/>
        <v>2.3019999999999999E-2</v>
      </c>
      <c r="U276" s="1201">
        <f>ROUND(IF(D276*366&gt;366,interpoler(_mat2,taux2,D276*366),interpoler(_mat1,taux1,D276*366)),5)</f>
        <v>2.2700000000000001E-2</v>
      </c>
      <c r="V276" s="1202" t="str">
        <f>+IF((AB276-$AF$1)&lt;=366,"M","A")</f>
        <v>M</v>
      </c>
      <c r="W276" s="1202" t="s">
        <v>287</v>
      </c>
      <c r="X276" s="1212">
        <f>+prix_titre(AF$1,AA276,AB276,M276,K276,W276,V276,P276,Q276,N276,D276,Y276)</f>
        <v>102897.46932408714</v>
      </c>
      <c r="Y276" s="1202">
        <v>1</v>
      </c>
      <c r="Z276" s="35"/>
      <c r="AA276" s="1198">
        <f>Marché!G2625</f>
        <v>45471</v>
      </c>
      <c r="AB276" s="1198">
        <f>Marché!H2625</f>
        <v>46201</v>
      </c>
      <c r="AC276" s="35"/>
      <c r="AD276" s="2"/>
    </row>
    <row r="277" spans="1:38" ht="15" hidden="1" x14ac:dyDescent="0.25">
      <c r="A277" s="1191">
        <v>100946</v>
      </c>
      <c r="B277" s="1192">
        <f t="shared" si="27"/>
        <v>104712.68524196532</v>
      </c>
      <c r="C277" s="1193">
        <f>(AB277-$AF$1)</f>
        <v>1190</v>
      </c>
      <c r="D277" s="1194">
        <f t="shared" si="22"/>
        <v>3.4090000000000002E-2</v>
      </c>
      <c r="E277" s="1195">
        <f>duration_titre($AF$1,AA277,AB277,M277,K277,W277,V277,P277,Q277,N277,D277)</f>
        <v>3.0383347666176244</v>
      </c>
      <c r="F277" s="1195">
        <f t="shared" si="28"/>
        <v>2.9381724672104212</v>
      </c>
      <c r="G277" s="1195">
        <f>convexite_titre($AF$1,AA277,AB277,M277,K277,W277,V277,P277,Q277,N277,D277)</f>
        <v>11.916730618700052</v>
      </c>
      <c r="H277" s="1196">
        <f>+ROUND(coupon_courru($AF$1,AA277,AB277,M277,K277,W277,P277,Q277,N277,V277,"V"),4)</f>
        <v>2962.4384</v>
      </c>
      <c r="I277" s="1199">
        <f>+IF(Y277=1,B277,D277*100)</f>
        <v>104712.68524196532</v>
      </c>
      <c r="J277" s="1193" t="str">
        <f>Marché!C2626</f>
        <v>BSF WAFASALAF du 28/06/2024 à 3.99%   5 ANS</v>
      </c>
      <c r="K277" s="1193">
        <f>Marché!D2626</f>
        <v>100000</v>
      </c>
      <c r="L277" s="1193">
        <f>Marché!E2626</f>
        <v>0</v>
      </c>
      <c r="M277" s="1197">
        <f>Marché!F2626</f>
        <v>3.9899999999999998E-2</v>
      </c>
      <c r="N277" s="1193">
        <f>Marché!I2626</f>
        <v>5</v>
      </c>
      <c r="O277" s="1200" t="str">
        <f>Marché!J2626</f>
        <v>A</v>
      </c>
      <c r="P277" s="1200" t="str">
        <f>Marché!K2626</f>
        <v>A</v>
      </c>
      <c r="Q277" s="1200" t="str">
        <f>Marché!L2626</f>
        <v>F</v>
      </c>
      <c r="R277" s="1287">
        <v>5.4999999999999997E-3</v>
      </c>
      <c r="S277" s="1229" cm="1">
        <f t="array" ref="S277">IF(C277&gt;'Courbe des taux'!$D$50,ROUND( TREND('Courbe des taux'!$E$49:$E$50,'Courbe des taux'!$D$49:$D$50,Lignes_détenues!C277),5),ROUND(IF(C277&gt;365,interpoler(_mat2,taux2,C277),interpoler(_mat1,taux1,C277)),5))</f>
        <v>2.8590000000000001E-2</v>
      </c>
      <c r="T277" s="1201">
        <f t="shared" si="23"/>
        <v>2.8590000000000001E-2</v>
      </c>
      <c r="U277" s="1201">
        <f>ROUND(IF(D277*366&gt;366,interpoler(_mat2,taux2,D277*366),interpoler(_mat1,taux1,D277*366)),5)</f>
        <v>2.2700000000000001E-2</v>
      </c>
      <c r="V277" s="1202" t="str">
        <f>+IF((AB277-$AF$1)&lt;=366,"M","A")</f>
        <v>A</v>
      </c>
      <c r="W277" s="1202" t="s">
        <v>287</v>
      </c>
      <c r="X277" s="1212">
        <f>+prix_titre(AF$1,AA277,AB277,M277,K277,W277,V277,P277,Q277,N277,D277,Y277)</f>
        <v>104712.68524196532</v>
      </c>
      <c r="Y277" s="1202">
        <v>1</v>
      </c>
      <c r="Z277" s="35"/>
      <c r="AA277" s="1198">
        <f>Marché!G2626</f>
        <v>45471</v>
      </c>
      <c r="AB277" s="1198">
        <f>Marché!H2626</f>
        <v>47297</v>
      </c>
      <c r="AC277" s="35"/>
      <c r="AD277" s="2"/>
    </row>
    <row r="278" spans="1:38" ht="15" hidden="1" x14ac:dyDescent="0.25">
      <c r="A278" s="1191">
        <v>201854</v>
      </c>
      <c r="B278" s="1192">
        <f t="shared" si="27"/>
        <v>114430.38722214833</v>
      </c>
      <c r="C278" s="1193">
        <f>(AB278-$AF$1)</f>
        <v>10553</v>
      </c>
      <c r="D278" s="1194">
        <f t="shared" si="22"/>
        <v>4.0719999999999999E-2</v>
      </c>
      <c r="E278" s="1195">
        <f>duration_titre($AF$1,AA278,AB278,M278,K278,W278,V278,P278,Q278,N278,D278)</f>
        <v>16.783512347732643</v>
      </c>
      <c r="F278" s="1195">
        <f t="shared" si="28"/>
        <v>16.126827915032518</v>
      </c>
      <c r="G278" s="1195">
        <f>convexite_titre($AF$1,AA278,AB278,M278,K278,W278,V278,P278,Q278,N278,D278)</f>
        <v>371.16424585984038</v>
      </c>
      <c r="H278" s="1196">
        <f>+ROUND(coupon_courru($AF$1,AA278,AB278,M278,K278,W278,P278,Q278,N278,V278,"V"),4)</f>
        <v>523.5616</v>
      </c>
      <c r="I278" s="1199">
        <f>+IF(Y278=1,B278,D278*100)</f>
        <v>114430.38722214833</v>
      </c>
      <c r="J278" s="1193" t="str">
        <f>Marché!C2627</f>
        <v>BDT du 15/02/2025  30ans à 4.90%  ATYP 04/06/2024</v>
      </c>
      <c r="K278" s="1193">
        <f>Marché!D2627</f>
        <v>100000</v>
      </c>
      <c r="L278" s="1193">
        <f>Marché!E2627</f>
        <v>0</v>
      </c>
      <c r="M278" s="1197">
        <f>Marché!F2627</f>
        <v>4.9000000000000002E-2</v>
      </c>
      <c r="N278" s="1193">
        <f>Marché!I2627</f>
        <v>30</v>
      </c>
      <c r="O278" s="1200" t="str">
        <f>Marché!J2627</f>
        <v>A</v>
      </c>
      <c r="P278" s="1200" t="str">
        <f>Marché!K2627</f>
        <v>A</v>
      </c>
      <c r="Q278" s="1200" t="str">
        <f>Marché!L2627</f>
        <v>F</v>
      </c>
      <c r="R278" s="1287">
        <v>0</v>
      </c>
      <c r="S278" s="1229" cm="1">
        <f t="array" ref="S278">IF(C278&gt;'Courbe des taux'!$D$50,ROUND( TREND('Courbe des taux'!$E$49:$E$50,'Courbe des taux'!$D$49:$D$50,Lignes_détenues!C278),5),ROUND(IF(C278&gt;365,interpoler(_mat2,taux2,C278),interpoler(_mat1,taux1,C278)),5))</f>
        <v>4.0719999999999999E-2</v>
      </c>
      <c r="T278" s="1201">
        <f t="shared" si="23"/>
        <v>4.0719999999999999E-2</v>
      </c>
      <c r="U278" s="1201">
        <f>ROUND(IF(D278*366&gt;366,interpoler(_mat2,taux2,D278*366),interpoler(_mat1,taux1,D278*366)),5)</f>
        <v>2.2700000000000001E-2</v>
      </c>
      <c r="V278" s="1202" t="str">
        <f>+IF((AB278-$AF$1)&lt;366,"M","A")</f>
        <v>A</v>
      </c>
      <c r="W278" s="1202" t="s">
        <v>287</v>
      </c>
      <c r="X278" s="1212">
        <f>+prix_atp(AF$1,AA278,Z278,AB278,M278,K278,W278,V278,P278,Q278,N278,D278,Y278)</f>
        <v>114430.38722214833</v>
      </c>
      <c r="Y278" s="1202">
        <v>1</v>
      </c>
      <c r="Z278" s="35">
        <v>45703</v>
      </c>
      <c r="AA278" s="1198">
        <f>Marché!G2627</f>
        <v>45447</v>
      </c>
      <c r="AB278" s="1198">
        <f>Marché!H2627</f>
        <v>56660</v>
      </c>
      <c r="AC278" s="35"/>
      <c r="AD278" s="2"/>
    </row>
    <row r="279" spans="1:38" ht="15" hidden="1" x14ac:dyDescent="0.25">
      <c r="A279" s="1191">
        <v>9634</v>
      </c>
      <c r="B279" s="1192">
        <f t="shared" si="27"/>
        <v>106141.23717192339</v>
      </c>
      <c r="C279" s="1193">
        <f>(AB279-$AF$1)</f>
        <v>4870</v>
      </c>
      <c r="D279" s="1194">
        <f t="shared" si="22"/>
        <v>4.761E-2</v>
      </c>
      <c r="E279" s="1195">
        <f>duration_titre($AF$1,AA279,AB279,M279,K279,W279,V279,P279,Q279,N279,D279)</f>
        <v>9.7633705314907751</v>
      </c>
      <c r="F279" s="1195">
        <f t="shared" si="28"/>
        <v>9.3196614498628083</v>
      </c>
      <c r="G279" s="1195">
        <f>convexite_titre($AF$1,AA279,AB279,M279,K279,W279,V279,P279,Q279,N279,D279)</f>
        <v>114.90110122841814</v>
      </c>
      <c r="H279" s="1196">
        <f>+ROUND(coupon_courru($AF$1,AA279,AB279,M279,K279,W279,P279,Q279,N279,V279,"V"),4)</f>
        <v>3362.0547999999999</v>
      </c>
      <c r="I279" s="1199">
        <f>+IF(Y279=1,B279,D279*100)</f>
        <v>106141.23717192339</v>
      </c>
      <c r="J279" s="1193" t="str">
        <f>Marché!C2628</f>
        <v>OBLIG NADOR WESTMED  26/07/2024 15 ANS 5.05% TFixe</v>
      </c>
      <c r="K279" s="1193">
        <f>Marché!D2628</f>
        <v>100000</v>
      </c>
      <c r="L279" s="1193">
        <f>Marché!E2628</f>
        <v>0</v>
      </c>
      <c r="M279" s="1197">
        <f>Marché!F2628</f>
        <v>5.0500000000000003E-2</v>
      </c>
      <c r="N279" s="1193">
        <f>Marché!I2628</f>
        <v>15</v>
      </c>
      <c r="O279" s="1200" t="str">
        <f>Marché!J2628</f>
        <v>A</v>
      </c>
      <c r="P279" s="1200" t="str">
        <f>Marché!K2628</f>
        <v>A</v>
      </c>
      <c r="Q279" s="1200" t="str">
        <f>Marché!L2628</f>
        <v>F</v>
      </c>
      <c r="R279" s="1287">
        <v>1.2500000000000001E-2</v>
      </c>
      <c r="S279" s="1229" cm="1">
        <f t="array" ref="S279">IF(C279&gt;'Courbe des taux'!$D$50,ROUND( TREND('Courbe des taux'!$E$49:$E$50,'Courbe des taux'!$D$49:$D$50,Lignes_détenues!C279),5),ROUND(IF(C279&gt;365,interpoler(_mat2,taux2,C279),interpoler(_mat1,taux1,C279)),5))</f>
        <v>3.5110000000000002E-2</v>
      </c>
      <c r="T279" s="1201">
        <f t="shared" si="23"/>
        <v>3.5110000000000002E-2</v>
      </c>
      <c r="U279" s="1201">
        <f>ROUND(IF(D279*366&gt;366,interpoler(_mat2,taux2,D279*366),interpoler(_mat1,taux1,D279*366)),5)</f>
        <v>2.2700000000000001E-2</v>
      </c>
      <c r="V279" s="1202" t="str">
        <f>+IF((AB279-$AF$1)&lt;=366,"M","A")</f>
        <v>A</v>
      </c>
      <c r="W279" s="1202" t="s">
        <v>287</v>
      </c>
      <c r="X279" s="1212">
        <f>+prix_titre(AF$1,AA279,AB279,M279,K279,W279,V279,P279,Q279,N279,D279,Y279)</f>
        <v>106141.23717192339</v>
      </c>
      <c r="Y279" s="1202">
        <v>1</v>
      </c>
      <c r="Z279" s="35"/>
      <c r="AA279" s="1198">
        <f>Marché!G2628</f>
        <v>45499</v>
      </c>
      <c r="AB279" s="1198">
        <f>Marché!H2628</f>
        <v>50977</v>
      </c>
      <c r="AC279" s="35"/>
      <c r="AD279" s="2"/>
    </row>
    <row r="280" spans="1:38" ht="15" hidden="1" x14ac:dyDescent="0.25">
      <c r="A280" s="1191">
        <v>100948</v>
      </c>
      <c r="B280" s="1192">
        <f t="shared" si="27"/>
        <v>77169.947</v>
      </c>
      <c r="C280" s="1193">
        <f>(AB280-$AF$1)</f>
        <v>845</v>
      </c>
      <c r="D280" s="1194">
        <f t="shared" si="22"/>
        <v>3.2160000000000001E-2</v>
      </c>
      <c r="E280" s="1195">
        <f>duration_titre($AF$1,AA280,AB280,M280,K280,W280,V280,P280,Q280,N280,D280)</f>
        <v>2.2144904831129533</v>
      </c>
      <c r="F280" s="1195">
        <f t="shared" si="28"/>
        <v>2.1454914772060083</v>
      </c>
      <c r="G280" s="1195">
        <f>convexite_titre($AF$1,AA280,AB280,M280,K280,W280,V280,P280,Q280,N280,D280)</f>
        <v>6.8305181950459515</v>
      </c>
      <c r="H280" s="1196">
        <f>+ROUND(coupon_courru($AF$1,AA280,AB280,M280,K280,W280,P280,Q280,N280,V280,"V"),4)</f>
        <v>2420.6026999999999</v>
      </c>
      <c r="I280" s="1199">
        <f>+IF(Y280=1,B280,D280*100)</f>
        <v>77169.947</v>
      </c>
      <c r="J280" s="1193" t="str">
        <f>Marché!C2629</f>
        <v>BSF MAGHREBAIL 3.52% du 18/07/2024 AMORT 4 ans</v>
      </c>
      <c r="K280" s="1193">
        <f>Marché!D2629</f>
        <v>100000</v>
      </c>
      <c r="L280" s="1193">
        <f>Marché!E2629</f>
        <v>0</v>
      </c>
      <c r="M280" s="1197">
        <f>Marché!F2629</f>
        <v>3.5200000000000002E-2</v>
      </c>
      <c r="N280" s="1193">
        <f>Marché!I2629</f>
        <v>4</v>
      </c>
      <c r="O280" s="1200" t="str">
        <f>Marché!J2629</f>
        <v>A</v>
      </c>
      <c r="P280" s="1200" t="str">
        <f>Marché!K2629</f>
        <v>A</v>
      </c>
      <c r="Q280" s="1200" t="str">
        <f>Marché!L2629</f>
        <v>F</v>
      </c>
      <c r="R280" s="1287">
        <v>5.0000000000000001E-3</v>
      </c>
      <c r="S280" s="1229" cm="1">
        <f t="array" ref="S280">IF(C280&gt;'Courbe des taux'!$D$50,ROUND( TREND('Courbe des taux'!$E$49:$E$50,'Courbe des taux'!$D$49:$D$50,Lignes_détenues!C280),5),ROUND(IF(C280&gt;365,interpoler(_mat2,taux2,C280),interpoler(_mat1,taux1,C280)),5))</f>
        <v>2.716E-2</v>
      </c>
      <c r="T280" s="1201">
        <f t="shared" si="23"/>
        <v>2.716E-2</v>
      </c>
      <c r="U280" s="1201">
        <f>ROUND(IF(D280*366&gt;366,interpoler(_mat2,taux2,D280*366),interpoler(_mat1,taux1,D280*366)),5)</f>
        <v>2.2700000000000001E-2</v>
      </c>
      <c r="V280" s="1202" t="str">
        <f>+IF((AB280-$AF$1)&lt;=366,"M","A")</f>
        <v>A</v>
      </c>
      <c r="W280" s="1202" t="s">
        <v>287</v>
      </c>
      <c r="X280" s="1212">
        <f>+Ammortissable!C743</f>
        <v>77169.947</v>
      </c>
      <c r="Y280" s="1202">
        <v>1</v>
      </c>
      <c r="Z280" s="35"/>
      <c r="AA280" s="1198">
        <f>Marché!G2629</f>
        <v>45491</v>
      </c>
      <c r="AB280" s="1198">
        <f>Marché!H2629</f>
        <v>46952</v>
      </c>
      <c r="AC280" s="35"/>
      <c r="AD280" s="2"/>
    </row>
    <row r="281" spans="1:38" ht="15" hidden="1" x14ac:dyDescent="0.25">
      <c r="A281" s="1191">
        <v>100950</v>
      </c>
      <c r="B281" s="1192">
        <f t="shared" si="27"/>
        <v>102387.37515430985</v>
      </c>
      <c r="C281" s="1193">
        <f>(AB281-$AF$1)</f>
        <v>115</v>
      </c>
      <c r="D281" s="1194">
        <f t="shared" si="22"/>
        <v>2.6679999999999999E-2</v>
      </c>
      <c r="E281" s="1195">
        <f>duration_titre($AF$1,AA281,AB281,M281,K281,W281,V281,P281,Q281,N281,D281)</f>
        <v>0.31506849315068491</v>
      </c>
      <c r="F281" s="1195">
        <f t="shared" si="28"/>
        <v>0.30688091045962218</v>
      </c>
      <c r="G281" s="1195">
        <f>convexite_titre($AF$1,AA281,AB281,M281,K281,W281,V281,P281,Q281,N281,D281)</f>
        <v>0.39308198902758951</v>
      </c>
      <c r="H281" s="1196">
        <f>+ROUND(coupon_courru($AF$1,AA281,AB281,M281,K281,W281,P281,Q281,N281,V281,"V"),4)</f>
        <v>2232.8766999999998</v>
      </c>
      <c r="I281" s="1199">
        <f>+IF(Y281=1,B281,D281*100)</f>
        <v>102387.37515430985</v>
      </c>
      <c r="J281" s="1193" t="str">
        <f>Marché!C2630</f>
        <v>BSF WAFASALAF du 19/07/2024  à 3.26%   2 ANS</v>
      </c>
      <c r="K281" s="1193">
        <f>Marché!D2630</f>
        <v>100000</v>
      </c>
      <c r="L281" s="1193">
        <f>Marché!E2630</f>
        <v>0</v>
      </c>
      <c r="M281" s="1197">
        <f>Marché!F2630</f>
        <v>3.2599999999999997E-2</v>
      </c>
      <c r="N281" s="1193">
        <f>Marché!I2630</f>
        <v>2</v>
      </c>
      <c r="O281" s="1200" t="str">
        <f>Marché!J2630</f>
        <v>A</v>
      </c>
      <c r="P281" s="1200" t="str">
        <f>Marché!K2630</f>
        <v>A</v>
      </c>
      <c r="Q281" s="1200" t="str">
        <f>Marché!L2630</f>
        <v>F</v>
      </c>
      <c r="R281" s="1287">
        <v>3.5000000000000001E-3</v>
      </c>
      <c r="S281" s="1229" cm="1">
        <f t="array" ref="S281">IF(C281&gt;'Courbe des taux'!$D$50,ROUND( TREND('Courbe des taux'!$E$49:$E$50,'Courbe des taux'!$D$49:$D$50,Lignes_détenues!C281),5),ROUND(IF(C281&gt;365,interpoler(_mat2,taux2,C281),interpoler(_mat1,taux1,C281)),5))</f>
        <v>2.3179999999999999E-2</v>
      </c>
      <c r="T281" s="1201">
        <f t="shared" si="23"/>
        <v>2.3179999999999999E-2</v>
      </c>
      <c r="U281" s="1201">
        <f>ROUND(IF(D281*366&gt;366,interpoler(_mat2,taux2,D281*366),interpoler(_mat1,taux1,D281*366)),5)</f>
        <v>2.2700000000000001E-2</v>
      </c>
      <c r="V281" s="1202" t="str">
        <f>+IF((AB281-$AF$1)&lt;=366,"M","A")</f>
        <v>M</v>
      </c>
      <c r="W281" s="1202" t="s">
        <v>287</v>
      </c>
      <c r="X281" s="1212">
        <f>+prix_titre(AF$1,AA281,AB281,M281,K281,W281,V281,P281,Q281,N281,D281,Y281)</f>
        <v>102387.37515430985</v>
      </c>
      <c r="Y281" s="1202">
        <v>1</v>
      </c>
      <c r="Z281" s="35"/>
      <c r="AA281" s="1198">
        <f>Marché!G2630</f>
        <v>45492</v>
      </c>
      <c r="AB281" s="1198">
        <f>Marché!H2630</f>
        <v>46222</v>
      </c>
      <c r="AC281" s="35"/>
      <c r="AD281" s="2"/>
    </row>
    <row r="282" spans="1:38" ht="15" hidden="1" x14ac:dyDescent="0.25">
      <c r="A282" s="1191">
        <v>100951</v>
      </c>
      <c r="B282" s="1192">
        <f t="shared" si="27"/>
        <v>102926.75552488602</v>
      </c>
      <c r="C282" s="1193">
        <f>(AB282-$AF$1)</f>
        <v>480</v>
      </c>
      <c r="D282" s="1194">
        <f t="shared" si="22"/>
        <v>3.0130000000000001E-2</v>
      </c>
      <c r="E282" s="1195">
        <f>duration_titre($AF$1,AA282,AB282,M282,K282,W282,V282,P282,Q282,N282,D282)</f>
        <v>1.2817652949814788</v>
      </c>
      <c r="F282" s="1195">
        <f t="shared" si="28"/>
        <v>1.2442752807718238</v>
      </c>
      <c r="G282" s="1195">
        <f>convexite_titre($AF$1,AA282,AB282,M282,K282,W282,V282,P282,Q282,N282,D282)</f>
        <v>2.7864411401010183</v>
      </c>
      <c r="H282" s="1196">
        <f>+ROUND(coupon_courru($AF$1,AA282,AB282,M282,K282,W282,P282,Q282,N282,V282,"V"),4)</f>
        <v>2369.8629999999998</v>
      </c>
      <c r="I282" s="1199">
        <f>+IF(Y282=1,B282,D282*100)</f>
        <v>102926.75552488602</v>
      </c>
      <c r="J282" s="1193" t="str">
        <f>Marché!C2631</f>
        <v>BSF WAFASALAF du 19/07/2024  à 3.46%   3 ANS</v>
      </c>
      <c r="K282" s="1193">
        <f>Marché!D2631</f>
        <v>100000</v>
      </c>
      <c r="L282" s="1193">
        <f>Marché!E2631</f>
        <v>0</v>
      </c>
      <c r="M282" s="1197">
        <f>Marché!F2631</f>
        <v>3.4599999999999999E-2</v>
      </c>
      <c r="N282" s="1193">
        <f>Marché!I2631</f>
        <v>3</v>
      </c>
      <c r="O282" s="1200" t="str">
        <f>Marché!J2631</f>
        <v>A</v>
      </c>
      <c r="P282" s="1200" t="str">
        <f>Marché!K2631</f>
        <v>A</v>
      </c>
      <c r="Q282" s="1200" t="str">
        <f>Marché!L2631</f>
        <v>F</v>
      </c>
      <c r="R282" s="1287">
        <v>4.4999999999999997E-3</v>
      </c>
      <c r="S282" s="1229" cm="1">
        <f t="array" ref="S282">IF(C282&gt;'Courbe des taux'!$D$50,ROUND( TREND('Courbe des taux'!$E$49:$E$50,'Courbe des taux'!$D$49:$D$50,Lignes_détenues!C282),5),ROUND(IF(C282&gt;365,interpoler(_mat2,taux2,C282),interpoler(_mat1,taux1,C282)),5))</f>
        <v>2.563E-2</v>
      </c>
      <c r="T282" s="1201">
        <f t="shared" si="23"/>
        <v>2.563E-2</v>
      </c>
      <c r="U282" s="1201">
        <f>ROUND(IF(D282*366&gt;366,interpoler(_mat2,taux2,D282*366),interpoler(_mat1,taux1,D282*366)),5)</f>
        <v>2.2700000000000001E-2</v>
      </c>
      <c r="V282" s="1202" t="str">
        <f>+IF((AB282-$AF$1)&lt;=366,"M","A")</f>
        <v>A</v>
      </c>
      <c r="W282" s="1202" t="s">
        <v>287</v>
      </c>
      <c r="X282" s="1212">
        <f>+prix_titre(AF$1,AA282,AB282,M282,K282,W282,V282,P282,Q282,N282,D282,Y282)</f>
        <v>102926.75552488602</v>
      </c>
      <c r="Y282" s="1202">
        <v>1</v>
      </c>
      <c r="Z282" s="35"/>
      <c r="AA282" s="1198">
        <f>Marché!G2631</f>
        <v>45492</v>
      </c>
      <c r="AB282" s="1198">
        <f>Marché!H2631</f>
        <v>46587</v>
      </c>
      <c r="AC282" s="35"/>
      <c r="AD282" s="2"/>
    </row>
    <row r="283" spans="1:38" ht="15" hidden="1" x14ac:dyDescent="0.25">
      <c r="A283" s="1191">
        <v>100952</v>
      </c>
      <c r="B283" s="1192">
        <f t="shared" si="27"/>
        <v>101718.81579325425</v>
      </c>
      <c r="C283" s="1193">
        <f>(AB283-$AF$1)</f>
        <v>121</v>
      </c>
      <c r="D283" s="1194">
        <f t="shared" ref="D283:D325" si="29">ROUND(T283+R283,5)</f>
        <v>2.7720000000000002E-2</v>
      </c>
      <c r="E283" s="1195">
        <f>duration_titre($AF$1,AA283,AB283,M283,K283,W283,V283,P283,Q283,N283,D283)</f>
        <v>0.33150684931506852</v>
      </c>
      <c r="F283" s="1195">
        <f t="shared" si="28"/>
        <v>0.32256533814177846</v>
      </c>
      <c r="G283" s="1195">
        <f>convexite_titre($AF$1,AA283,AB283,M283,K283,W283,V283,P283,Q283,N283,D283)</f>
        <v>0.41791339770307973</v>
      </c>
      <c r="H283" s="1196">
        <f>+ROUND(coupon_courru($AF$1,AA283,AB283,M283,K283,W283,P283,Q283,N283,V283,"V"),4)</f>
        <v>1782.5555999999999</v>
      </c>
      <c r="I283" s="1199">
        <f>+IF(Y283=1,B283,D283*100)</f>
        <v>101718.81579325425</v>
      </c>
      <c r="J283" s="1193" t="str">
        <f>Marché!C2632</f>
        <v>BSF SALAFIN du 25/07/2024  à 3,23%  2 ans Taux REV</v>
      </c>
      <c r="K283" s="1193">
        <f>Marché!D2632</f>
        <v>100000</v>
      </c>
      <c r="L283" s="1193">
        <f>Marché!E2632</f>
        <v>0</v>
      </c>
      <c r="M283" s="1197">
        <v>2.63E-2</v>
      </c>
      <c r="N283" s="1193">
        <f>Marché!I2632</f>
        <v>52</v>
      </c>
      <c r="O283" s="1200" t="str">
        <f>Marché!J2632</f>
        <v>S</v>
      </c>
      <c r="P283" s="1200" t="str">
        <f>Marché!K2632</f>
        <v>A</v>
      </c>
      <c r="Q283" s="1200" t="str">
        <f>Marché!L2632</f>
        <v>F</v>
      </c>
      <c r="R283" s="1287">
        <v>4.4999999999999997E-3</v>
      </c>
      <c r="S283" s="1229" cm="1">
        <f t="array" ref="S283">IF(C283&gt;'Courbe des taux'!$D$50,ROUND( TREND('Courbe des taux'!$E$49:$E$50,'Courbe des taux'!$D$49:$D$50,Lignes_détenues!C283),5),ROUND(IF(C283&gt;365,interpoler(_mat2,taux2,C283),interpoler(_mat1,taux1,C283)),5))</f>
        <v>2.3220000000000001E-2</v>
      </c>
      <c r="T283" s="1201">
        <f t="shared" si="23"/>
        <v>2.3220000000000001E-2</v>
      </c>
      <c r="U283" s="1201">
        <f>ROUND(IF(D283*366&gt;366,interpoler(_mat2,taux2,D283*366),interpoler(_mat1,taux1,D283*366)),5)</f>
        <v>2.2700000000000001E-2</v>
      </c>
      <c r="V283" s="1202" t="str">
        <f>+IF((AB283-$AF$1)&lt;=366,"M","A")</f>
        <v>M</v>
      </c>
      <c r="W283" s="1202" t="s">
        <v>287</v>
      </c>
      <c r="X283" s="1212">
        <f>+prix_titre(AF$1,AA283,AB283,M283,K283,W283,V283,P283,Q283,N283,D283,Y283)</f>
        <v>101718.81579325425</v>
      </c>
      <c r="Y283" s="1202">
        <v>1</v>
      </c>
      <c r="Z283" s="35"/>
      <c r="AA283" s="1198">
        <v>45863</v>
      </c>
      <c r="AB283" s="1198">
        <v>46228</v>
      </c>
      <c r="AC283" s="35"/>
      <c r="AD283" s="2"/>
    </row>
    <row r="284" spans="1:38" ht="15" hidden="1" x14ac:dyDescent="0.25">
      <c r="A284" s="1191">
        <v>141161</v>
      </c>
      <c r="B284" s="1192">
        <f t="shared" si="27"/>
        <v>0</v>
      </c>
      <c r="C284" s="1193">
        <f>(AB284-$AF$1)</f>
        <v>-425</v>
      </c>
      <c r="D284" s="1194">
        <f t="shared" si="29"/>
        <v>2.3699999999999999E-2</v>
      </c>
      <c r="E284" s="1195">
        <f>duration_titre($AF$1,AA284,AB284,M284,K284,W284,V284,P284,Q284,N284,D284)</f>
        <v>0</v>
      </c>
      <c r="F284" s="1195">
        <f t="shared" si="28"/>
        <v>0</v>
      </c>
      <c r="G284" s="1195">
        <f>convexite_titre($AF$1,AA284,AB284,M284,K284,W284,V284,P284,Q284,N284,D284)</f>
        <v>0</v>
      </c>
      <c r="H284" s="1196">
        <f>+ROUND(coupon_courru($AF$1,AA284,AB284,M284,K284,W284,P284,Q284,N284,V284,"V"),4)</f>
        <v>4804.3333000000002</v>
      </c>
      <c r="I284" s="1199">
        <f>+IF(Y284=1,B284,D284*100)</f>
        <v>0</v>
      </c>
      <c r="J284" s="1193" t="str">
        <f>Marché!C2633</f>
        <v>BT OCP du 25/07/2024 à  2,84%  26 sem</v>
      </c>
      <c r="K284" s="1193">
        <f>Marché!D2633</f>
        <v>100000</v>
      </c>
      <c r="L284" s="1193">
        <f>Marché!E2633</f>
        <v>0</v>
      </c>
      <c r="M284" s="1197">
        <f>Marché!F2633</f>
        <v>2.8400000000000002E-2</v>
      </c>
      <c r="N284" s="1193">
        <f>Marché!I2633</f>
        <v>26</v>
      </c>
      <c r="O284" s="1200" t="str">
        <f>Marché!J2633</f>
        <v>S</v>
      </c>
      <c r="P284" s="1200" t="str">
        <f>Marché!K2633</f>
        <v>A</v>
      </c>
      <c r="Q284" s="1200" t="str">
        <f>Marché!L2633</f>
        <v>F</v>
      </c>
      <c r="R284" s="1287">
        <v>1E-3</v>
      </c>
      <c r="S284" s="1229" cm="1">
        <f t="array" ref="S284">IF(C284&gt;'Courbe des taux'!$D$50,ROUND( TREND('Courbe des taux'!$E$49:$E$50,'Courbe des taux'!$D$49:$D$50,Lignes_détenues!C284),5),ROUND(IF(C284&gt;365,interpoler(_mat2,taux2,C284),interpoler(_mat1,taux1,C284)),5))</f>
        <v>2.2700000000000001E-2</v>
      </c>
      <c r="T284" s="1201">
        <f t="shared" ref="T284:T347" si="30">S284</f>
        <v>2.2700000000000001E-2</v>
      </c>
      <c r="U284" s="1201">
        <f>ROUND(IF(D284*366&gt;366,interpoler(_mat2,taux2,D284*366),interpoler(_mat1,taux1,D284*366)),5)</f>
        <v>2.2700000000000001E-2</v>
      </c>
      <c r="V284" s="1202" t="str">
        <f>+IF((AB284-$AF$1)&lt;=366,"M","A")</f>
        <v>M</v>
      </c>
      <c r="W284" s="1202" t="s">
        <v>287</v>
      </c>
      <c r="X284" s="1212">
        <f>+prix_titre(AF$1,AA284,AB284,M284,K284,W284,V284,P284,Q284,N284,D284,Y284)</f>
        <v>0</v>
      </c>
      <c r="Y284" s="1202">
        <v>1</v>
      </c>
      <c r="Z284" s="35"/>
      <c r="AA284" s="1198">
        <f>Marché!G2633</f>
        <v>45498</v>
      </c>
      <c r="AB284" s="1198">
        <f>Marché!H2633</f>
        <v>45682</v>
      </c>
      <c r="AC284" s="35"/>
      <c r="AD284" s="2"/>
      <c r="AJ284" s="2">
        <v>45492</v>
      </c>
    </row>
    <row r="285" spans="1:38" ht="15" hidden="1" x14ac:dyDescent="0.25">
      <c r="A285" s="1191">
        <v>152973</v>
      </c>
      <c r="B285" s="1192">
        <f t="shared" si="27"/>
        <v>0</v>
      </c>
      <c r="C285" s="1193">
        <f>(AB285-$AF$1)</f>
        <v>-434</v>
      </c>
      <c r="D285" s="1194">
        <f t="shared" si="29"/>
        <v>2.47E-2</v>
      </c>
      <c r="E285" s="1195">
        <f>duration_titre($AF$1,AA285,AB285,M285,K285,W285,V285,P285,Q285,N285,D285)</f>
        <v>0</v>
      </c>
      <c r="F285" s="1195">
        <f t="shared" si="28"/>
        <v>0</v>
      </c>
      <c r="G285" s="1195">
        <f>convexite_titre($AF$1,AA285,AB285,M285,K285,W285,V285,P285,Q285,N285,D285)</f>
        <v>0</v>
      </c>
      <c r="H285" s="1196">
        <f>+ROUND(coupon_courru($AF$1,AA285,AB285,M285,K285,W285,P285,Q285,N285,V285,"V"),4)</f>
        <v>5030.6666999999998</v>
      </c>
      <c r="I285" s="1199">
        <f>+IF(Y285=1,B285,D285*100)</f>
        <v>0</v>
      </c>
      <c r="J285" s="1193" t="str">
        <f>Marché!C2634</f>
        <v>CD BOA du 18/07/2024  à 2.94%  26 SEM</v>
      </c>
      <c r="K285" s="1193">
        <f>Marché!D2634</f>
        <v>100000</v>
      </c>
      <c r="L285" s="1193">
        <f>Marché!E2634</f>
        <v>0</v>
      </c>
      <c r="M285" s="1197">
        <f>Marché!F2634</f>
        <v>2.9399999999999999E-2</v>
      </c>
      <c r="N285" s="1193">
        <f>Marché!I2634</f>
        <v>26</v>
      </c>
      <c r="O285" s="1200" t="str">
        <f>Marché!J2634</f>
        <v>S</v>
      </c>
      <c r="P285" s="1200" t="str">
        <f>Marché!K2634</f>
        <v>A</v>
      </c>
      <c r="Q285" s="1200" t="str">
        <f>Marché!L2634</f>
        <v>F</v>
      </c>
      <c r="R285" s="1287">
        <v>2E-3</v>
      </c>
      <c r="S285" s="1229" cm="1">
        <f t="array" ref="S285">IF(C285&gt;'Courbe des taux'!$D$50,ROUND( TREND('Courbe des taux'!$E$49:$E$50,'Courbe des taux'!$D$49:$D$50,Lignes_détenues!C285),5),ROUND(IF(C285&gt;365,interpoler(_mat2,taux2,C285),interpoler(_mat1,taux1,C285)),5))</f>
        <v>2.2700000000000001E-2</v>
      </c>
      <c r="T285" s="1201">
        <f t="shared" si="30"/>
        <v>2.2700000000000001E-2</v>
      </c>
      <c r="U285" s="1201">
        <f>ROUND(IF(D285*366&gt;366,interpoler(_mat2,taux2,D285*366),interpoler(_mat1,taux1,D285*366)),5)</f>
        <v>2.2700000000000001E-2</v>
      </c>
      <c r="V285" s="1202" t="str">
        <f>+IF((AB285-$AF$1)&lt;=366,"M","A")</f>
        <v>M</v>
      </c>
      <c r="W285" s="1202" t="s">
        <v>287</v>
      </c>
      <c r="X285" s="1212">
        <f>+prix_titre(AF$1,AA285,AB285,M285,K285,W285,V285,P285,Q285,N285,D285,Y285)</f>
        <v>0</v>
      </c>
      <c r="Y285" s="1202">
        <v>1</v>
      </c>
      <c r="Z285" s="35"/>
      <c r="AA285" s="1198">
        <f>Marché!G2634</f>
        <v>45491</v>
      </c>
      <c r="AB285" s="1198">
        <f>Marché!H2634</f>
        <v>45673</v>
      </c>
      <c r="AC285" s="35"/>
      <c r="AD285" s="2"/>
      <c r="AJ285" s="2">
        <v>45857</v>
      </c>
      <c r="AK285" s="2">
        <f>K281*M281</f>
        <v>3259.9999999999995</v>
      </c>
      <c r="AL285" s="2">
        <f>AK285/(1+S281*(AJ285-AF1)/360)</f>
        <v>3313.3354978049429</v>
      </c>
    </row>
    <row r="286" spans="1:38" ht="15" hidden="1" x14ac:dyDescent="0.25">
      <c r="A286" s="1191">
        <v>152974</v>
      </c>
      <c r="B286" s="1192">
        <f t="shared" ref="B286:B315" si="31">X286</f>
        <v>0</v>
      </c>
      <c r="C286" s="1193">
        <f>(AB286-$AF$1)</f>
        <v>-434</v>
      </c>
      <c r="D286" s="1194">
        <f t="shared" si="29"/>
        <v>2.47E-2</v>
      </c>
      <c r="E286" s="1195">
        <f>duration_titre($AF$1,AA286,AB286,M286,K286,W286,V286,P286,Q286,N286,D286)</f>
        <v>0</v>
      </c>
      <c r="F286" s="1195">
        <f t="shared" si="28"/>
        <v>0</v>
      </c>
      <c r="G286" s="1195">
        <f>convexite_titre($AF$1,AA286,AB286,M286,K286,W286,V286,P286,Q286,N286,D286)</f>
        <v>0</v>
      </c>
      <c r="H286" s="1196">
        <f>+ROUND(coupon_courru($AF$1,AA286,AB286,M286,K286,W286,P286,Q286,N286,V286,"V"),4)</f>
        <v>5047.7777999999998</v>
      </c>
      <c r="I286" s="1199">
        <f>+IF(Y286=1,B286,D286*100)</f>
        <v>0</v>
      </c>
      <c r="J286" s="1193" t="str">
        <f>Marché!C2635</f>
        <v>CD CAM du  18/07/2024 à 2,95%   26 Sem</v>
      </c>
      <c r="K286" s="1193">
        <f>Marché!D2635</f>
        <v>100000</v>
      </c>
      <c r="L286" s="1193">
        <f>Marché!E2635</f>
        <v>0</v>
      </c>
      <c r="M286" s="1197">
        <f>Marché!F2635</f>
        <v>2.9499999999999998E-2</v>
      </c>
      <c r="N286" s="1193">
        <f>Marché!I2635</f>
        <v>26</v>
      </c>
      <c r="O286" s="1200" t="str">
        <f>Marché!J2635</f>
        <v>S</v>
      </c>
      <c r="P286" s="1200" t="str">
        <f>Marché!K2635</f>
        <v>A</v>
      </c>
      <c r="Q286" s="1200" t="str">
        <f>Marché!L2635</f>
        <v>F</v>
      </c>
      <c r="R286" s="1287">
        <v>2E-3</v>
      </c>
      <c r="S286" s="1229" cm="1">
        <f t="array" ref="S286">IF(C286&gt;'Courbe des taux'!$D$50,ROUND( TREND('Courbe des taux'!$E$49:$E$50,'Courbe des taux'!$D$49:$D$50,Lignes_détenues!C286),5),ROUND(IF(C286&gt;365,interpoler(_mat2,taux2,C286),interpoler(_mat1,taux1,C286)),5))</f>
        <v>2.2700000000000001E-2</v>
      </c>
      <c r="T286" s="1201">
        <f t="shared" si="30"/>
        <v>2.2700000000000001E-2</v>
      </c>
      <c r="U286" s="1201">
        <f>ROUND(IF(D286*366&gt;366,interpoler(_mat2,taux2,D286*366),interpoler(_mat1,taux1,D286*366)),5)</f>
        <v>2.2700000000000001E-2</v>
      </c>
      <c r="V286" s="1202" t="str">
        <f>+IF((AB286-$AF$1)&lt;=366,"M","A")</f>
        <v>M</v>
      </c>
      <c r="W286" s="1202" t="s">
        <v>287</v>
      </c>
      <c r="X286" s="1212">
        <f>+prix_titre(AF$1,AA286,AB286,M286,K286,W286,V286,P286,Q286,N286,D286,Y286)</f>
        <v>0</v>
      </c>
      <c r="Y286" s="1202">
        <v>1</v>
      </c>
      <c r="Z286" s="35"/>
      <c r="AA286" s="1198">
        <f>Marché!G2635</f>
        <v>45491</v>
      </c>
      <c r="AB286" s="1198">
        <f>Marché!H2635</f>
        <v>45673</v>
      </c>
      <c r="AC286" s="35"/>
      <c r="AD286" s="2"/>
      <c r="AJ286" s="2">
        <v>46222</v>
      </c>
      <c r="AK286" s="2">
        <f>K281*(1+M281)</f>
        <v>103260</v>
      </c>
      <c r="AL286" s="2">
        <f>AK286/(1+S281*(AJ286-AF1)/360)</f>
        <v>102501.00850452634</v>
      </c>
    </row>
    <row r="287" spans="1:38" ht="15" hidden="1" x14ac:dyDescent="0.25">
      <c r="A287" s="1191">
        <v>152975</v>
      </c>
      <c r="B287" s="1192">
        <f t="shared" si="31"/>
        <v>0</v>
      </c>
      <c r="C287" s="1193">
        <f>(AB287-$AF$1)</f>
        <v>-252</v>
      </c>
      <c r="D287" s="1194">
        <f t="shared" si="29"/>
        <v>2.5700000000000001E-2</v>
      </c>
      <c r="E287" s="1195">
        <f>duration_titre($AF$1,AA287,AB287,M287,K287,W287,V287,P287,Q287,N287,D287)</f>
        <v>0</v>
      </c>
      <c r="F287" s="1195">
        <f t="shared" si="28"/>
        <v>0</v>
      </c>
      <c r="G287" s="1195">
        <f>convexite_titre($AF$1,AA287,AB287,M287,K287,W287,V287,P287,Q287,N287,D287)</f>
        <v>0</v>
      </c>
      <c r="H287" s="1196">
        <f>+ROUND(coupon_courru($AF$1,AA287,AB287,M287,K287,W287,P287,Q287,N287,V287,"V"),4)</f>
        <v>5321.5555999999997</v>
      </c>
      <c r="I287" s="1199">
        <f>+IF(Y287=1,B287,D287*100)</f>
        <v>0</v>
      </c>
      <c r="J287" s="1193" t="str">
        <f>Marché!C2636</f>
        <v>CD CAM du  18/07/2024 à 3,11%   52 Sem</v>
      </c>
      <c r="K287" s="1193">
        <f>Marché!D2636</f>
        <v>100000</v>
      </c>
      <c r="L287" s="1193">
        <f>Marché!E2636</f>
        <v>0</v>
      </c>
      <c r="M287" s="1197">
        <f>Marché!F2636</f>
        <v>3.1099999999999999E-2</v>
      </c>
      <c r="N287" s="1193">
        <f>Marché!I2636</f>
        <v>52</v>
      </c>
      <c r="O287" s="1200" t="str">
        <f>Marché!J2636</f>
        <v>S</v>
      </c>
      <c r="P287" s="1200" t="str">
        <f>Marché!K2636</f>
        <v>A</v>
      </c>
      <c r="Q287" s="1200" t="str">
        <f>Marché!L2636</f>
        <v>F</v>
      </c>
      <c r="R287" s="1287">
        <v>3.0000000000000001E-3</v>
      </c>
      <c r="S287" s="1229" cm="1">
        <f t="array" ref="S287">IF(C287&gt;'Courbe des taux'!$D$50,ROUND( TREND('Courbe des taux'!$E$49:$E$50,'Courbe des taux'!$D$49:$D$50,Lignes_détenues!C287),5),ROUND(IF(C287&gt;365,interpoler(_mat2,taux2,C287),interpoler(_mat1,taux1,C287)),5))</f>
        <v>2.2700000000000001E-2</v>
      </c>
      <c r="T287" s="1201">
        <f t="shared" si="30"/>
        <v>2.2700000000000001E-2</v>
      </c>
      <c r="U287" s="1201">
        <f>ROUND(IF(D287*366&gt;366,interpoler(_mat2,taux2,D287*366),interpoler(_mat1,taux1,D287*366)),5)</f>
        <v>2.2700000000000001E-2</v>
      </c>
      <c r="V287" s="1202" t="str">
        <f>+IF((AB287-$AF$1)&lt;=366,"M","A")</f>
        <v>M</v>
      </c>
      <c r="W287" s="1202" t="s">
        <v>287</v>
      </c>
      <c r="X287" s="1212">
        <f>+prix_titre(AF$1,AA287,AB287,M287,K287,W287,V287,P287,Q287,N287,D287,Y287)</f>
        <v>0</v>
      </c>
      <c r="Y287" s="1202">
        <v>1</v>
      </c>
      <c r="Z287" s="35"/>
      <c r="AA287" s="1198">
        <f>Marché!G2636</f>
        <v>45491</v>
      </c>
      <c r="AB287" s="1198">
        <f>Marché!H2636</f>
        <v>45855</v>
      </c>
      <c r="AC287" s="35"/>
      <c r="AD287" s="2"/>
    </row>
    <row r="288" spans="1:38" ht="15" hidden="1" x14ac:dyDescent="0.25">
      <c r="A288" s="1191">
        <v>152977</v>
      </c>
      <c r="B288" s="1192">
        <f t="shared" si="31"/>
        <v>0</v>
      </c>
      <c r="C288" s="1193">
        <f>(AB288-$AF$1)</f>
        <v>-517</v>
      </c>
      <c r="D288" s="1194">
        <f t="shared" si="29"/>
        <v>2.4500000000000001E-2</v>
      </c>
      <c r="E288" s="1195">
        <f>duration_titre($AF$1,AA288,AB288,M288,K288,W288,V288,P288,Q288,N288,D288)</f>
        <v>0</v>
      </c>
      <c r="F288" s="1195">
        <f t="shared" si="28"/>
        <v>0</v>
      </c>
      <c r="G288" s="1195">
        <f>convexite_titre($AF$1,AA288,AB288,M288,K288,W288,V288,P288,Q288,N288,D288)</f>
        <v>0</v>
      </c>
      <c r="H288" s="1196">
        <f>+ROUND(coupon_courru($AF$1,AA288,AB288,M288,K288,W288,P288,Q288,N288,V288,"V"),4)</f>
        <v>4914.6666999999998</v>
      </c>
      <c r="I288" s="1199">
        <f>+IF(Y288=1,B288,D288*100)</f>
        <v>0</v>
      </c>
      <c r="J288" s="1193" t="str">
        <f>Marché!C2637</f>
        <v>CD CDG CAPITAL DU 26/07/2024  13 SEM à 2.91%</v>
      </c>
      <c r="K288" s="1193">
        <f>Marché!D2637</f>
        <v>100000</v>
      </c>
      <c r="L288" s="1193">
        <f>Marché!E2637</f>
        <v>0</v>
      </c>
      <c r="M288" s="1197">
        <f>Marché!F2637</f>
        <v>2.9100000000000001E-2</v>
      </c>
      <c r="N288" s="1193">
        <f>Marché!I2637</f>
        <v>13</v>
      </c>
      <c r="O288" s="1200" t="str">
        <f>Marché!J2637</f>
        <v>S</v>
      </c>
      <c r="P288" s="1200" t="str">
        <f>Marché!K2637</f>
        <v>A</v>
      </c>
      <c r="Q288" s="1200" t="str">
        <f>Marché!L2637</f>
        <v>F</v>
      </c>
      <c r="R288" s="1287">
        <v>1.8E-3</v>
      </c>
      <c r="S288" s="1229" cm="1">
        <f t="array" ref="S288">IF(C288&gt;'Courbe des taux'!$D$50,ROUND( TREND('Courbe des taux'!$E$49:$E$50,'Courbe des taux'!$D$49:$D$50,Lignes_détenues!C288),5),ROUND(IF(C288&gt;365,interpoler(_mat2,taux2,C288),interpoler(_mat1,taux1,C288)),5))</f>
        <v>2.2700000000000001E-2</v>
      </c>
      <c r="T288" s="1201">
        <f t="shared" si="30"/>
        <v>2.2700000000000001E-2</v>
      </c>
      <c r="U288" s="1201">
        <f>ROUND(IF(D288*366&gt;366,interpoler(_mat2,taux2,D288*366),interpoler(_mat1,taux1,D288*366)),5)</f>
        <v>2.2700000000000001E-2</v>
      </c>
      <c r="V288" s="1202" t="str">
        <f>+IF((AB288-$AF$1)&lt;=366,"M","A")</f>
        <v>M</v>
      </c>
      <c r="W288" s="1202" t="s">
        <v>287</v>
      </c>
      <c r="X288" s="1212">
        <f>+prix_titre(AF$1,AA288,AB288,M288,K288,W288,V288,P288,Q288,N288,D288,Y288)</f>
        <v>0</v>
      </c>
      <c r="Y288" s="1202">
        <v>1</v>
      </c>
      <c r="Z288" s="35"/>
      <c r="AA288" s="1198">
        <f>Marché!G2637</f>
        <v>45499</v>
      </c>
      <c r="AB288" s="1198">
        <f>Marché!H2637</f>
        <v>45590</v>
      </c>
      <c r="AC288" s="35"/>
      <c r="AD288" s="2"/>
      <c r="AL288" s="2">
        <f>SUM(AL285:AL286)</f>
        <v>105814.34400233129</v>
      </c>
    </row>
    <row r="289" spans="1:38" ht="15" hidden="1" x14ac:dyDescent="0.25">
      <c r="A289" s="1191">
        <v>152980</v>
      </c>
      <c r="B289" s="1192">
        <f t="shared" si="31"/>
        <v>0</v>
      </c>
      <c r="C289" s="1193">
        <f>(AB289-$AF$1)</f>
        <v>-338</v>
      </c>
      <c r="D289" s="1194">
        <f t="shared" si="29"/>
        <v>2.5100000000000001E-2</v>
      </c>
      <c r="E289" s="1195">
        <f>duration_titre($AF$1,AA289,AB289,M289,K289,W289,V289,P289,Q289,N289,D289)</f>
        <v>0</v>
      </c>
      <c r="F289" s="1195">
        <f t="shared" si="28"/>
        <v>0</v>
      </c>
      <c r="G289" s="1195">
        <f>convexite_titre($AF$1,AA289,AB289,M289,K289,W289,V289,P289,Q289,N289,D289)</f>
        <v>0</v>
      </c>
      <c r="H289" s="1196">
        <f>+ROUND(coupon_courru($AF$1,AA289,AB289,M289,K289,W289,P289,Q289,N289,V289,"V"),4)</f>
        <v>5066.6666999999998</v>
      </c>
      <c r="I289" s="1199">
        <f>+IF(Y289=1,B289,D289*100)</f>
        <v>0</v>
      </c>
      <c r="J289" s="1193" t="str">
        <f>Marché!C2638</f>
        <v>CD CDG CAPITAL DU 26/07/2024  9 MOIS à 3%</v>
      </c>
      <c r="K289" s="1193">
        <f>Marché!D2638</f>
        <v>100000</v>
      </c>
      <c r="L289" s="1193">
        <f>Marché!E2638</f>
        <v>0</v>
      </c>
      <c r="M289" s="1197">
        <f>Marché!F2638</f>
        <v>0.03</v>
      </c>
      <c r="N289" s="1193">
        <v>52</v>
      </c>
      <c r="O289" s="1200" t="str">
        <f>Marché!J2637</f>
        <v>S</v>
      </c>
      <c r="P289" s="1200" t="str">
        <f>Marché!K2638</f>
        <v>A</v>
      </c>
      <c r="Q289" s="1200" t="str">
        <f>Marché!L2638</f>
        <v>F</v>
      </c>
      <c r="R289" s="1287">
        <v>2.3999999999999998E-3</v>
      </c>
      <c r="S289" s="1229" cm="1">
        <f t="array" ref="S289">IF(C289&gt;'Courbe des taux'!$D$50,ROUND( TREND('Courbe des taux'!$E$49:$E$50,'Courbe des taux'!$D$49:$D$50,Lignes_détenues!C289),5),ROUND(IF(C289&gt;365,interpoler(_mat2,taux2,C289),interpoler(_mat1,taux1,C289)),5))</f>
        <v>2.2700000000000001E-2</v>
      </c>
      <c r="T289" s="1201">
        <f t="shared" si="30"/>
        <v>2.2700000000000001E-2</v>
      </c>
      <c r="U289" s="1201">
        <f>ROUND(IF(D289*366&gt;366,interpoler(_mat2,taux2,D289*366),interpoler(_mat1,taux1,D289*366)),5)</f>
        <v>2.2700000000000001E-2</v>
      </c>
      <c r="V289" s="1202" t="str">
        <f>+IF((AB289-$AF$1)&lt;=366,"M","A")</f>
        <v>M</v>
      </c>
      <c r="W289" s="1202" t="s">
        <v>287</v>
      </c>
      <c r="X289" s="1212">
        <f>+prix_atp(AF$1,AA289,Z289,AB289,M289,K289,W289,V289,P289,Q289,N289,D289,Y289)</f>
        <v>0</v>
      </c>
      <c r="Y289" s="1202">
        <v>1</v>
      </c>
      <c r="Z289" s="35">
        <v>45495</v>
      </c>
      <c r="AA289" s="1198">
        <f>Marché!G2638</f>
        <v>45499</v>
      </c>
      <c r="AB289" s="1198">
        <f>Marché!H2638</f>
        <v>45769</v>
      </c>
      <c r="AC289" s="35"/>
      <c r="AD289" s="2"/>
      <c r="AL289" s="2">
        <v>103940.2513</v>
      </c>
    </row>
    <row r="290" spans="1:38" ht="15" hidden="1" x14ac:dyDescent="0.25">
      <c r="A290" s="1191">
        <v>152983</v>
      </c>
      <c r="B290" s="1192">
        <f t="shared" si="31"/>
        <v>102266.1738411051</v>
      </c>
      <c r="C290" s="1193">
        <f>(AB290-$AF$1)</f>
        <v>127</v>
      </c>
      <c r="D290" s="1194">
        <f t="shared" si="29"/>
        <v>2.7269999999999999E-2</v>
      </c>
      <c r="E290" s="1195">
        <f>duration_titre($AF$1,AA290,AB290,M290,K290,W290,V290,P290,Q290,N290,D290)</f>
        <v>0.34794520547945207</v>
      </c>
      <c r="F290" s="1195">
        <f t="shared" si="28"/>
        <v>0.33870862137456764</v>
      </c>
      <c r="G290" s="1195">
        <f>convexite_titre($AF$1,AA290,AB290,M290,K290,W290,V290,P290,Q290,N290,D290)</f>
        <v>0.44444076263923171</v>
      </c>
      <c r="H290" s="1196">
        <f>+ROUND(coupon_courru($AF$1,AA290,AB290,M290,K290,W290,P290,Q290,N290,V290,"V"),4)</f>
        <v>2119.1781000000001</v>
      </c>
      <c r="I290" s="1199">
        <f>+IF(Y290=1,B290,D290*100)</f>
        <v>102266.1738411051</v>
      </c>
      <c r="J290" s="1193" t="str">
        <f>Marché!C2640</f>
        <v>CD CAM du  31/07/2024 à 3,25%   2 ans</v>
      </c>
      <c r="K290" s="1193">
        <f>Marché!D2640</f>
        <v>100000</v>
      </c>
      <c r="L290" s="1193">
        <f>Marché!E2640</f>
        <v>0</v>
      </c>
      <c r="M290" s="1197">
        <f>Marché!F2640</f>
        <v>3.2500000000000001E-2</v>
      </c>
      <c r="N290" s="1193">
        <f>Marché!I2640</f>
        <v>2</v>
      </c>
      <c r="O290" s="1200" t="str">
        <f>Marché!J2640</f>
        <v>A</v>
      </c>
      <c r="P290" s="1200" t="str">
        <f>Marché!K2640</f>
        <v>A</v>
      </c>
      <c r="Q290" s="1200" t="str">
        <f>Marché!L2640</f>
        <v>F</v>
      </c>
      <c r="R290" s="1287">
        <v>4.0000000000000001E-3</v>
      </c>
      <c r="S290" s="1229" cm="1">
        <f t="array" ref="S290">IF(C290&gt;'Courbe des taux'!$D$50,ROUND( TREND('Courbe des taux'!$E$49:$E$50,'Courbe des taux'!$D$49:$D$50,Lignes_détenues!C290),5),ROUND(IF(C290&gt;365,interpoler(_mat2,taux2,C290),interpoler(_mat1,taux1,C290)),5))</f>
        <v>2.3269999999999999E-2</v>
      </c>
      <c r="T290" s="1201">
        <f t="shared" si="30"/>
        <v>2.3269999999999999E-2</v>
      </c>
      <c r="U290" s="1201">
        <f>ROUND(IF(D290*366&gt;366,interpoler(_mat2,taux2,D290*366),interpoler(_mat1,taux1,D290*366)),5)</f>
        <v>2.2700000000000001E-2</v>
      </c>
      <c r="V290" s="1202" t="str">
        <f>+IF((AB290-$AF$1)&lt;=366,"M","A")</f>
        <v>M</v>
      </c>
      <c r="W290" s="1202" t="s">
        <v>287</v>
      </c>
      <c r="X290" s="1212">
        <f>+prix_titre(AF$1,AA290,AB290,M290,K290,W290,V290,P290,Q290,N290,D290,Y290)</f>
        <v>102266.1738411051</v>
      </c>
      <c r="Y290" s="1202">
        <v>1</v>
      </c>
      <c r="Z290" s="35"/>
      <c r="AA290" s="1198">
        <f>Marché!G2640</f>
        <v>45504</v>
      </c>
      <c r="AB290" s="1198">
        <f>Marché!H2640</f>
        <v>46234</v>
      </c>
      <c r="AC290" s="35"/>
      <c r="AD290" s="2"/>
      <c r="AL290" s="2">
        <f>AL288-AL289</f>
        <v>1874.0927023312834</v>
      </c>
    </row>
    <row r="291" spans="1:38" ht="15" hidden="1" x14ac:dyDescent="0.25">
      <c r="A291" s="1191">
        <v>100953</v>
      </c>
      <c r="B291" s="1192">
        <f t="shared" si="31"/>
        <v>102388.87292617191</v>
      </c>
      <c r="C291" s="1193">
        <f>(AB291-$AF$1)</f>
        <v>127</v>
      </c>
      <c r="D291" s="1194">
        <f t="shared" si="29"/>
        <v>2.827E-2</v>
      </c>
      <c r="E291" s="1195">
        <f>duration_titre($AF$1,AA291,AB291,M291,K291,W291,V291,P291,Q291,N291,D291)</f>
        <v>0.34794520547945207</v>
      </c>
      <c r="F291" s="1195">
        <f t="shared" si="28"/>
        <v>0.33837922479451121</v>
      </c>
      <c r="G291" s="1195">
        <f>convexite_titre($AF$1,AA291,AB291,M291,K291,W291,V291,P291,Q291,N291,D291)</f>
        <v>0.44357673927627483</v>
      </c>
      <c r="H291" s="1196">
        <f>+ROUND(coupon_courru($AF$1,AA291,AB291,M291,K291,W291,P291,Q291,N291,V291,"V"),4)</f>
        <v>2223.5068000000001</v>
      </c>
      <c r="I291" s="1199">
        <f>+IF(Y291=1,B291,D291*100)</f>
        <v>102388.87292617191</v>
      </c>
      <c r="J291" s="1193" t="str">
        <f>Marché!C2641</f>
        <v>BSF EQDOM du 31/07/2024 à 3.41%  2 ANS</v>
      </c>
      <c r="K291" s="1193">
        <f>Marché!D2641</f>
        <v>100000</v>
      </c>
      <c r="L291" s="1193">
        <f>Marché!E2641</f>
        <v>0</v>
      </c>
      <c r="M291" s="1197">
        <f>Marché!F2641</f>
        <v>3.4099999999999998E-2</v>
      </c>
      <c r="N291" s="1193">
        <f>Marché!I2641</f>
        <v>2</v>
      </c>
      <c r="O291" s="1200" t="str">
        <f>Marché!J2641</f>
        <v>A</v>
      </c>
      <c r="P291" s="1200" t="str">
        <f>Marché!K2641</f>
        <v>A</v>
      </c>
      <c r="Q291" s="1200" t="str">
        <f>Marché!L2641</f>
        <v>F</v>
      </c>
      <c r="R291" s="1287">
        <v>5.0000000000000001E-3</v>
      </c>
      <c r="S291" s="1229" cm="1">
        <f t="array" ref="S291">IF(C291&gt;'Courbe des taux'!$D$50,ROUND( TREND('Courbe des taux'!$E$49:$E$50,'Courbe des taux'!$D$49:$D$50,Lignes_détenues!C291),5),ROUND(IF(C291&gt;365,interpoler(_mat2,taux2,C291),interpoler(_mat1,taux1,C291)),5))</f>
        <v>2.3269999999999999E-2</v>
      </c>
      <c r="T291" s="1201">
        <f t="shared" si="30"/>
        <v>2.3269999999999999E-2</v>
      </c>
      <c r="U291" s="1201">
        <f>ROUND(IF(D291*366&gt;366,interpoler(_mat2,taux2,D291*366),interpoler(_mat1,taux1,D291*366)),5)</f>
        <v>2.2700000000000001E-2</v>
      </c>
      <c r="V291" s="1202" t="str">
        <f>+IF((AB291-$AF$1)&lt;=366,"M","A")</f>
        <v>M</v>
      </c>
      <c r="W291" s="1202" t="s">
        <v>287</v>
      </c>
      <c r="X291" s="1212">
        <f>+prix_titre(AF$1,AA291,AB291,M291,K291,W291,V291,P291,Q291,N291,D291,Y291)</f>
        <v>102388.87292617191</v>
      </c>
      <c r="Y291" s="1202">
        <v>1</v>
      </c>
      <c r="Z291" s="35"/>
      <c r="AA291" s="1198">
        <f>Marché!G2641</f>
        <v>45504</v>
      </c>
      <c r="AB291" s="1198">
        <f>Marché!H2641</f>
        <v>46234</v>
      </c>
      <c r="AC291" s="35"/>
      <c r="AD291" s="2"/>
    </row>
    <row r="292" spans="1:38" ht="15" hidden="1" x14ac:dyDescent="0.25">
      <c r="A292" s="1191">
        <v>141162</v>
      </c>
      <c r="B292" s="1192">
        <f t="shared" si="31"/>
        <v>0</v>
      </c>
      <c r="C292" s="1193">
        <f>(AB292-$AF$1)</f>
        <v>-238</v>
      </c>
      <c r="D292" s="1194">
        <f t="shared" si="29"/>
        <v>2.7199999999999998E-2</v>
      </c>
      <c r="E292" s="1195">
        <f>duration_titre($AF$1,AA292,AB292,M292,K292,W292,V292,P292,Q292,N292,D292)</f>
        <v>0</v>
      </c>
      <c r="F292" s="1195">
        <f t="shared" si="28"/>
        <v>0</v>
      </c>
      <c r="G292" s="1195">
        <f>convexite_titre($AF$1,AA292,AB292,M292,K292,W292,V292,P292,Q292,N292,D292)</f>
        <v>0</v>
      </c>
      <c r="H292" s="1196">
        <f>+ROUND(coupon_courru($AF$1,AA292,AB292,M292,K292,W292,P292,Q292,N292,V292,"V"),4)</f>
        <v>5360</v>
      </c>
      <c r="I292" s="1199">
        <f>+IF(Y292=1,B292,D292*100)</f>
        <v>0</v>
      </c>
      <c r="J292" s="1193" t="str">
        <f>Marché!C2642</f>
        <v>BT MANAGEM du 31/07/2024 à  3.20%  52 sem</v>
      </c>
      <c r="K292" s="1193">
        <f>Marché!D2642</f>
        <v>100000</v>
      </c>
      <c r="L292" s="1193">
        <f>Marché!E2642</f>
        <v>0</v>
      </c>
      <c r="M292" s="1197">
        <f>Marché!F2642</f>
        <v>3.2000000000000001E-2</v>
      </c>
      <c r="N292" s="1193">
        <f>Marché!I2642</f>
        <v>52</v>
      </c>
      <c r="O292" s="1200" t="str">
        <f>Marché!J2642</f>
        <v>S</v>
      </c>
      <c r="P292" s="1200" t="str">
        <f>Marché!K2642</f>
        <v>A</v>
      </c>
      <c r="Q292" s="1200" t="str">
        <f>Marché!L2642</f>
        <v>F</v>
      </c>
      <c r="R292" s="1287">
        <v>4.4999999999999997E-3</v>
      </c>
      <c r="S292" s="1229" cm="1">
        <f t="array" ref="S292">IF(C292&gt;'Courbe des taux'!$D$50,ROUND( TREND('Courbe des taux'!$E$49:$E$50,'Courbe des taux'!$D$49:$D$50,Lignes_détenues!C292),5),ROUND(IF(C292&gt;365,interpoler(_mat2,taux2,C292),interpoler(_mat1,taux1,C292)),5))</f>
        <v>2.2700000000000001E-2</v>
      </c>
      <c r="T292" s="1201">
        <f t="shared" si="30"/>
        <v>2.2700000000000001E-2</v>
      </c>
      <c r="U292" s="1201">
        <f>ROUND(IF(D292*366&gt;366,interpoler(_mat2,taux2,D292*366),interpoler(_mat1,taux1,D292*366)),5)</f>
        <v>2.2700000000000001E-2</v>
      </c>
      <c r="V292" s="1202" t="str">
        <f>+IF((AB292-$AF$1)&lt;=366,"M","A")</f>
        <v>M</v>
      </c>
      <c r="W292" s="1202" t="s">
        <v>287</v>
      </c>
      <c r="X292" s="1212">
        <f>+prix_titre(AF$1,AA292,AB292,M292,K292,W292,V292,P292,Q292,N292,D292,Y292)</f>
        <v>0</v>
      </c>
      <c r="Y292" s="1202">
        <v>1</v>
      </c>
      <c r="Z292" s="35"/>
      <c r="AA292" s="1198">
        <f>Marché!G2642</f>
        <v>45504</v>
      </c>
      <c r="AB292" s="1198">
        <f>Marché!H2642</f>
        <v>45869</v>
      </c>
      <c r="AC292" s="35"/>
      <c r="AD292" s="2"/>
    </row>
    <row r="293" spans="1:38" s="1598" customFormat="1" ht="15" hidden="1" x14ac:dyDescent="0.25">
      <c r="A293" s="1583">
        <v>100954</v>
      </c>
      <c r="B293" s="1584">
        <f t="shared" si="31"/>
        <v>100875.49491237564</v>
      </c>
      <c r="C293" s="1585">
        <f>(AB293-$AF$1)</f>
        <v>313</v>
      </c>
      <c r="D293" s="1586">
        <f t="shared" si="29"/>
        <v>2.981E-2</v>
      </c>
      <c r="E293" s="1587">
        <f>duration_titre($AF$1,AA293,AB293,M293,K293,W293,V293,P293,Q293,N293,D293)</f>
        <v>0.8575342465753425</v>
      </c>
      <c r="F293" s="1587">
        <f t="shared" si="28"/>
        <v>0.83271112785401447</v>
      </c>
      <c r="G293" s="1587">
        <f>convexite_titre($AF$1,AA293,AB293,M293,K293,W293,V293,P293,Q293,N293,D293)</f>
        <v>1.5020143885699406</v>
      </c>
      <c r="H293" s="1588">
        <f>+ROUND(coupon_courru($AF$1,AA293,AB293,M293,K293,W293,P293,Q293,N293,V293,"V"),4)</f>
        <v>497.20549999999997</v>
      </c>
      <c r="I293" s="1589">
        <f>+IF(Y293=1,B293,D293*100)</f>
        <v>100875.49491237564</v>
      </c>
      <c r="J293" s="1585" t="str">
        <f>Marché!C2643</f>
        <v>BSF EQDOM du 02/08/2024 à 3.49%  30 mois</v>
      </c>
      <c r="K293" s="1585">
        <f>Marché!D2643</f>
        <v>100000</v>
      </c>
      <c r="L293" s="1585">
        <f>Marché!E2643</f>
        <v>0</v>
      </c>
      <c r="M293" s="1590">
        <f>Marché!F2643</f>
        <v>3.49E-2</v>
      </c>
      <c r="N293" s="1585">
        <f>Marché!I2643</f>
        <v>30</v>
      </c>
      <c r="O293" s="1592" t="str">
        <f>Marché!J2643</f>
        <v>M</v>
      </c>
      <c r="P293" s="1592" t="str">
        <f>Marché!K2643</f>
        <v>A</v>
      </c>
      <c r="Q293" s="1592" t="str">
        <f>Marché!L2643</f>
        <v>F</v>
      </c>
      <c r="R293" s="1593">
        <v>5.3E-3</v>
      </c>
      <c r="S293" s="1594" cm="1">
        <f t="array" ref="S293">IF(C293&gt;'Courbe des taux'!$D$50,ROUND( TREND('Courbe des taux'!$E$49:$E$50,'Courbe des taux'!$D$49:$D$50,Lignes_détenues!C293),5),ROUND(IF(C293&gt;365,interpoler(_mat2,taux2,C293),interpoler(_mat1,taux1,C293)),5))</f>
        <v>2.4510000000000001E-2</v>
      </c>
      <c r="T293" s="1594">
        <f t="shared" si="30"/>
        <v>2.4510000000000001E-2</v>
      </c>
      <c r="U293" s="1594">
        <f>ROUND(IF(D293*366&gt;366,interpoler(_mat2,taux2,D293*366),interpoler(_mat1,taux1,D293*366)),5)</f>
        <v>2.2700000000000001E-2</v>
      </c>
      <c r="V293" s="1595" t="str">
        <f>+IF((AB293-$AF$1)&lt;=366,"M","A")</f>
        <v>M</v>
      </c>
      <c r="W293" s="1595" t="s">
        <v>287</v>
      </c>
      <c r="X293" s="1595">
        <f>+prix_titre(AF$1,AA293,AB293,M293,K293,W293,V293,P293,Q293,N293,D293,Y293)</f>
        <v>100875.49491237564</v>
      </c>
      <c r="Y293" s="1595">
        <v>1</v>
      </c>
      <c r="Z293" s="1597">
        <v>45871</v>
      </c>
      <c r="AA293" s="1591">
        <f>Marché!G2643</f>
        <v>45506</v>
      </c>
      <c r="AB293" s="1591">
        <f>Marché!H2643</f>
        <v>46420</v>
      </c>
      <c r="AC293" s="1597"/>
    </row>
    <row r="294" spans="1:38" ht="15" hidden="1" x14ac:dyDescent="0.25">
      <c r="A294" s="1191">
        <v>152235</v>
      </c>
      <c r="B294" s="1192">
        <f t="shared" si="31"/>
        <v>103146.71056381738</v>
      </c>
      <c r="C294" s="1193">
        <f>(AB294-$AF$1)</f>
        <v>442</v>
      </c>
      <c r="D294" s="1194">
        <f t="shared" si="29"/>
        <v>2.997E-2</v>
      </c>
      <c r="E294" s="1195">
        <f>duration_titre($AF$1,AA294,AB294,M294,K294,W294,V294,P294,Q294,N294,D294)</f>
        <v>1.1782008514882969</v>
      </c>
      <c r="F294" s="1195">
        <f t="shared" si="28"/>
        <v>1.1439176398228073</v>
      </c>
      <c r="G294" s="1195">
        <f>convexite_titre($AF$1,AA294,AB294,M294,K294,W294,V294,P294,Q294,N294,D294)</f>
        <v>2.4490474215027835</v>
      </c>
      <c r="H294" s="1196">
        <f>+ROUND(coupon_courru($AF$1,AA294,AB294,M294,K294,W294,P294,Q294,N294,V294,"V"),4)</f>
        <v>2682.7397000000001</v>
      </c>
      <c r="I294" s="1199">
        <f>+IF(Y294=1,B294,D294*100)</f>
        <v>103146.71056381738</v>
      </c>
      <c r="J294" s="1193" t="str">
        <f>Marché!C2644</f>
        <v>CD CAM du12/06/2020 à 3,40%   7 ans</v>
      </c>
      <c r="K294" s="1193">
        <f>Marché!D2644</f>
        <v>100000</v>
      </c>
      <c r="L294" s="1193">
        <f>Marché!E2644</f>
        <v>0</v>
      </c>
      <c r="M294" s="1197">
        <f>Marché!F2644</f>
        <v>3.4000000000000002E-2</v>
      </c>
      <c r="N294" s="1193">
        <f>Marché!I2644</f>
        <v>7</v>
      </c>
      <c r="O294" s="1200" t="str">
        <f>Marché!J2644</f>
        <v>A</v>
      </c>
      <c r="P294" s="1200" t="str">
        <f>Marché!K2644</f>
        <v>A</v>
      </c>
      <c r="Q294" s="1200" t="str">
        <f>Marché!L2644</f>
        <v>F</v>
      </c>
      <c r="R294" s="1287">
        <v>4.4999999999999997E-3</v>
      </c>
      <c r="S294" s="1229" cm="1">
        <f t="array" ref="S294">IF(C294&gt;'Courbe des taux'!$D$50,ROUND( TREND('Courbe des taux'!$E$49:$E$50,'Courbe des taux'!$D$49:$D$50,Lignes_détenues!C294),5),ROUND(IF(C294&gt;365,interpoler(_mat2,taux2,C294),interpoler(_mat1,taux1,C294)),5))</f>
        <v>2.547E-2</v>
      </c>
      <c r="T294" s="1201">
        <f t="shared" si="30"/>
        <v>2.547E-2</v>
      </c>
      <c r="U294" s="1201">
        <f>ROUND(IF(D294*366&gt;366,interpoler(_mat2,taux2,D294*366),interpoler(_mat1,taux1,D294*366)),5)</f>
        <v>2.2700000000000001E-2</v>
      </c>
      <c r="V294" s="1202" t="str">
        <f>+IF((AB294-$AF$1)&lt;=366,"M","A")</f>
        <v>A</v>
      </c>
      <c r="W294" s="1202" t="s">
        <v>287</v>
      </c>
      <c r="X294" s="1212">
        <f>+prix_titre(AF$1,AA294,AB294,M294,K294,W294,V294,P294,Q294,N294,D294,Y294)</f>
        <v>103146.71056381738</v>
      </c>
      <c r="Y294" s="1202">
        <v>1</v>
      </c>
      <c r="Z294" s="35"/>
      <c r="AA294" s="1198">
        <f>Marché!G2644</f>
        <v>43994</v>
      </c>
      <c r="AB294" s="1198">
        <f>Marché!H2644</f>
        <v>46549</v>
      </c>
      <c r="AC294" s="35"/>
      <c r="AD294" s="2"/>
    </row>
    <row r="295" spans="1:38" ht="15" hidden="1" x14ac:dyDescent="0.25">
      <c r="A295" s="1191">
        <v>152901</v>
      </c>
      <c r="B295" s="1192">
        <f t="shared" si="31"/>
        <v>0</v>
      </c>
      <c r="C295" s="1193">
        <f>(AB295-$AF$1)</f>
        <v>-366</v>
      </c>
      <c r="D295" s="1194">
        <f t="shared" si="29"/>
        <v>2.4199999999999999E-2</v>
      </c>
      <c r="E295" s="1195">
        <f>duration_titre($AF$1,AA295,AB295,M295,K295,W295,V295,P295,Q295,N295,D295)</f>
        <v>0</v>
      </c>
      <c r="F295" s="1195">
        <f t="shared" si="28"/>
        <v>0</v>
      </c>
      <c r="G295" s="1195">
        <f>convexite_titre($AF$1,AA295,AB295,M295,K295,W295,V295,P295,Q295,N295,D295)</f>
        <v>0</v>
      </c>
      <c r="H295" s="1196">
        <f>+ROUND(coupon_courru($AF$1,AA295,AB295,M295,K295,W295,P295,Q295,N295,V295,"V"),4)</f>
        <v>6793.0555999999997</v>
      </c>
      <c r="I295" s="1199">
        <f>+IF(Y295=1,B295,D295*100)</f>
        <v>0</v>
      </c>
      <c r="J295" s="1193" t="str">
        <f>Marché!C2645</f>
        <v>CD CDG CAPITAL DU 26/03/2024  52 SEM à 3.35%</v>
      </c>
      <c r="K295" s="1193">
        <f>Marché!D2645</f>
        <v>100000</v>
      </c>
      <c r="L295" s="1193">
        <f>Marché!E2645</f>
        <v>0</v>
      </c>
      <c r="M295" s="1197">
        <f>Marché!F2645</f>
        <v>3.3500000000000002E-2</v>
      </c>
      <c r="N295" s="1193">
        <f>Marché!I2645</f>
        <v>52</v>
      </c>
      <c r="O295" s="1200" t="str">
        <f>Marché!J2645</f>
        <v>S</v>
      </c>
      <c r="P295" s="1200" t="str">
        <f>Marché!K2645</f>
        <v>A</v>
      </c>
      <c r="Q295" s="1200" t="str">
        <f>Marché!L2645</f>
        <v>F</v>
      </c>
      <c r="R295" s="1287">
        <v>1.5E-3</v>
      </c>
      <c r="S295" s="1229" cm="1">
        <f t="array" ref="S295">IF(C295&gt;'Courbe des taux'!$D$50,ROUND( TREND('Courbe des taux'!$E$49:$E$50,'Courbe des taux'!$D$49:$D$50,Lignes_détenues!C295),5),ROUND(IF(C295&gt;365,interpoler(_mat2,taux2,C295),interpoler(_mat1,taux1,C295)),5))</f>
        <v>2.2700000000000001E-2</v>
      </c>
      <c r="T295" s="1201">
        <f t="shared" si="30"/>
        <v>2.2700000000000001E-2</v>
      </c>
      <c r="U295" s="1201">
        <f>ROUND(IF(D295*366&gt;366,interpoler(_mat2,taux2,D295*366),interpoler(_mat1,taux1,D295*366)),5)</f>
        <v>2.2700000000000001E-2</v>
      </c>
      <c r="V295" s="1202" t="str">
        <f>+IF((AB295-$AF$1)&lt;=366,"M","A")</f>
        <v>M</v>
      </c>
      <c r="W295" s="1202" t="s">
        <v>287</v>
      </c>
      <c r="X295" s="1212">
        <f>+prix_atp(AF$1,AA295,Z295,AB295,M295,K295,W295,V295,P295,Q295,N295,D295,Y295)</f>
        <v>0</v>
      </c>
      <c r="Y295" s="1202">
        <v>1</v>
      </c>
      <c r="Z295" s="35"/>
      <c r="AA295" s="1198">
        <f>Marché!G2645</f>
        <v>45377</v>
      </c>
      <c r="AB295" s="1198">
        <f>Marché!H2645</f>
        <v>45741</v>
      </c>
      <c r="AC295" s="35"/>
      <c r="AD295" s="2"/>
    </row>
    <row r="296" spans="1:38" ht="15" hidden="1" x14ac:dyDescent="0.25">
      <c r="A296" s="1191">
        <v>152870</v>
      </c>
      <c r="B296" s="1192">
        <f t="shared" si="31"/>
        <v>0</v>
      </c>
      <c r="C296" s="1193">
        <f>(AB296-$AF$1)</f>
        <v>-413</v>
      </c>
      <c r="D296" s="1194">
        <f t="shared" si="29"/>
        <v>2.4199999999999999E-2</v>
      </c>
      <c r="E296" s="1195">
        <f>duration_titre($AF$1,AA296,AB296,M296,K296,W296,V296,P296,Q296,N296,D296)</f>
        <v>0</v>
      </c>
      <c r="F296" s="1195">
        <f t="shared" si="28"/>
        <v>0</v>
      </c>
      <c r="G296" s="1195">
        <f>convexite_titre($AF$1,AA296,AB296,M296,K296,W296,V296,P296,Q296,N296,D296)</f>
        <v>0</v>
      </c>
      <c r="H296" s="1196">
        <f>+ROUND(coupon_courru($AF$1,AA296,AB296,M296,K296,W296,P296,Q296,N296,V296,"V"),4)</f>
        <v>7381.5</v>
      </c>
      <c r="I296" s="1199">
        <f>+IF(Y296=1,B296,D296*100)</f>
        <v>0</v>
      </c>
      <c r="J296" s="1193" t="str">
        <f>Marché!C2646</f>
        <v>CD BOA du 08/02/2024 à 3.42%  52 SEM</v>
      </c>
      <c r="K296" s="1193">
        <f>Marché!D2646</f>
        <v>100000</v>
      </c>
      <c r="L296" s="1193">
        <f>Marché!E2646</f>
        <v>0</v>
      </c>
      <c r="M296" s="1197">
        <f>Marché!F2646</f>
        <v>3.4200000000000001E-2</v>
      </c>
      <c r="N296" s="1193">
        <f>Marché!I2646</f>
        <v>52</v>
      </c>
      <c r="O296" s="1200" t="str">
        <f>Marché!J2646</f>
        <v>S</v>
      </c>
      <c r="P296" s="1200" t="str">
        <f>Marché!K2646</f>
        <v>A</v>
      </c>
      <c r="Q296" s="1200" t="str">
        <f>Marché!L2646</f>
        <v>F</v>
      </c>
      <c r="R296" s="1287">
        <v>1.5E-3</v>
      </c>
      <c r="S296" s="1229" cm="1">
        <f t="array" ref="S296">IF(C296&gt;'Courbe des taux'!$D$50,ROUND( TREND('Courbe des taux'!$E$49:$E$50,'Courbe des taux'!$D$49:$D$50,Lignes_détenues!C296),5),ROUND(IF(C296&gt;365,interpoler(_mat2,taux2,C296),interpoler(_mat1,taux1,C296)),5))</f>
        <v>2.2700000000000001E-2</v>
      </c>
      <c r="T296" s="1201">
        <f t="shared" si="30"/>
        <v>2.2700000000000001E-2</v>
      </c>
      <c r="U296" s="1201">
        <f>ROUND(IF(D296*366&gt;366,interpoler(_mat2,taux2,D296*366),interpoler(_mat1,taux1,D296*366)),5)</f>
        <v>2.2700000000000001E-2</v>
      </c>
      <c r="V296" s="1202" t="str">
        <f>+IF((AB296-$AF$1)&lt;=366,"M","A")</f>
        <v>M</v>
      </c>
      <c r="W296" s="1202" t="s">
        <v>287</v>
      </c>
      <c r="X296" s="1212">
        <f>+prix_atp(AF$1,AA296,Z296,AB296,M296,K296,W296,V296,P296,Q296,N296,D296,Y296)</f>
        <v>0</v>
      </c>
      <c r="Y296" s="1202">
        <v>1</v>
      </c>
      <c r="Z296" s="35"/>
      <c r="AA296" s="1198">
        <f>Marché!G2646</f>
        <v>45330</v>
      </c>
      <c r="AB296" s="1198">
        <f>Marché!H2646</f>
        <v>45694</v>
      </c>
      <c r="AC296" s="35"/>
      <c r="AD296" s="2"/>
    </row>
    <row r="297" spans="1:38" ht="15" hidden="1" x14ac:dyDescent="0.25">
      <c r="A297" s="1191">
        <v>201862</v>
      </c>
      <c r="B297" s="1192">
        <f t="shared" si="31"/>
        <v>106795.32649317868</v>
      </c>
      <c r="C297" s="1193">
        <f>(AB297-$AF$1)</f>
        <v>1481</v>
      </c>
      <c r="D297" s="1194">
        <f t="shared" si="29"/>
        <v>2.98E-2</v>
      </c>
      <c r="E297" s="1195">
        <f>duration_titre($AF$1,AA297,AB297,M297,K297,W297,V297,P297,Q297,N297,D297)</f>
        <v>3.7505356959706546</v>
      </c>
      <c r="F297" s="1195">
        <f t="shared" si="28"/>
        <v>3.6420039774428572</v>
      </c>
      <c r="G297" s="1195">
        <f>convexite_titre($AF$1,AA297,AB297,M297,K297,W297,V297,P297,Q297,N297,D297)</f>
        <v>17.589472877460164</v>
      </c>
      <c r="H297" s="1196">
        <f>+ROUND(coupon_courru($AF$1,AA297,AB297,M297,K297,W297,P297,Q297,N297,V297,"V"),4)</f>
        <v>3119.1781000000001</v>
      </c>
      <c r="I297" s="1199">
        <f>+IF(Y297=1,B297,D297*100)</f>
        <v>106795.32649317868</v>
      </c>
      <c r="J297" s="1193" t="str">
        <f>Marché!C2647</f>
        <v>BDT du 15/04/2025  5 ans à 3.30%  ATYP 15/07/2024</v>
      </c>
      <c r="K297" s="1193">
        <f>Marché!D2647</f>
        <v>100000</v>
      </c>
      <c r="L297" s="1193">
        <f>Marché!E2647</f>
        <v>0</v>
      </c>
      <c r="M297" s="1197">
        <f>Marché!F2647</f>
        <v>3.3000000000000002E-2</v>
      </c>
      <c r="N297" s="1193">
        <f>Marché!I2647</f>
        <v>5</v>
      </c>
      <c r="O297" s="1200" t="str">
        <f>Marché!J2647</f>
        <v>A</v>
      </c>
      <c r="P297" s="1200" t="str">
        <f>Marché!K2647</f>
        <v>A</v>
      </c>
      <c r="Q297" s="1200" t="str">
        <f>Marché!L2647</f>
        <v>F</v>
      </c>
      <c r="R297" s="1287">
        <v>0</v>
      </c>
      <c r="S297" s="1229" cm="1">
        <f t="array" ref="S297">IF(C297&gt;'Courbe des taux'!$D$50,ROUND( TREND('Courbe des taux'!$E$49:$E$50,'Courbe des taux'!$D$49:$D$50,Lignes_détenues!C297),5),ROUND(IF(C297&gt;365,interpoler(_mat2,taux2,C297),interpoler(_mat1,taux1,C297)),5))</f>
        <v>2.98E-2</v>
      </c>
      <c r="T297" s="1201">
        <f t="shared" si="30"/>
        <v>2.98E-2</v>
      </c>
      <c r="U297" s="1201">
        <f>ROUND(IF(D297*366&gt;366,interpoler(_mat2,taux2,D297*366),interpoler(_mat1,taux1,D297*366)),5)</f>
        <v>2.2700000000000001E-2</v>
      </c>
      <c r="V297" s="1202" t="str">
        <f>+IF((AB297-$AF$1)&lt;=366,"M","A")</f>
        <v>A</v>
      </c>
      <c r="W297" s="1202" t="s">
        <v>287</v>
      </c>
      <c r="X297" s="1212">
        <f>+prix_atp(AF$1,AA297,Z297,AB297,M297,K297,W297,V297,P297,Q297,N297,D297,Y297)</f>
        <v>106795.32649317868</v>
      </c>
      <c r="Y297" s="1202">
        <v>1</v>
      </c>
      <c r="Z297" s="35">
        <v>45762</v>
      </c>
      <c r="AA297" s="1198">
        <f>Marché!G2647</f>
        <v>45488</v>
      </c>
      <c r="AB297" s="1198">
        <f>Marché!H2647</f>
        <v>47588</v>
      </c>
      <c r="AC297" s="35"/>
      <c r="AD297" s="2"/>
    </row>
    <row r="298" spans="1:38" ht="15" hidden="1" x14ac:dyDescent="0.25">
      <c r="A298" s="1191">
        <v>201868</v>
      </c>
      <c r="B298" s="1192">
        <f t="shared" si="31"/>
        <v>101263.53790613718</v>
      </c>
      <c r="C298" s="1193">
        <f>(AB298-$AF$1)</f>
        <v>235</v>
      </c>
      <c r="D298" s="1194">
        <f t="shared" si="29"/>
        <v>2.4E-2</v>
      </c>
      <c r="E298" s="1195">
        <f>duration_titre($AF$1,AA298,AB298,M298,K298,W298,V298,P298,Q298,N298,D298)</f>
        <v>0.64383561643835618</v>
      </c>
      <c r="F298" s="1195">
        <f t="shared" si="28"/>
        <v>0.6287457191780822</v>
      </c>
      <c r="G298" s="1195">
        <f>convexite_titre($AF$1,AA298,AB298,M298,K298,W298,V298,P298,Q298,N298,D298)</f>
        <v>1.0093306707696097</v>
      </c>
      <c r="H298" s="1196">
        <f>+ROUND(coupon_courru($AF$1,AA298,AB298,M298,K298,W298,P298,Q298,N298,V298,"V"),4)</f>
        <v>1015.0685</v>
      </c>
      <c r="I298" s="1199">
        <f>+IF(Y298=1,B298,D298*100)</f>
        <v>101263.53790613718</v>
      </c>
      <c r="J298" s="1193" t="str">
        <f>Marché!C2648</f>
        <v>BDT du 16/11/2024 à 2.85%  2 ANS</v>
      </c>
      <c r="K298" s="1193">
        <f>Marché!D2648</f>
        <v>100000</v>
      </c>
      <c r="L298" s="1193">
        <f>Marché!E2648</f>
        <v>0</v>
      </c>
      <c r="M298" s="1197">
        <f>Marché!F2648</f>
        <v>2.8500000000000001E-2</v>
      </c>
      <c r="N298" s="1193">
        <f>Marché!I2648</f>
        <v>2</v>
      </c>
      <c r="O298" s="1200" t="str">
        <f>Marché!J2648</f>
        <v>A</v>
      </c>
      <c r="P298" s="1200" t="str">
        <f>Marché!K2648</f>
        <v>A</v>
      </c>
      <c r="Q298" s="1200" t="str">
        <f>Marché!L2648</f>
        <v>F</v>
      </c>
      <c r="R298" s="1287">
        <v>0</v>
      </c>
      <c r="S298" s="1229" cm="1">
        <f t="array" ref="S298">IF(C298&gt;'Courbe des taux'!$D$50,ROUND( TREND('Courbe des taux'!$E$49:$E$50,'Courbe des taux'!$D$49:$D$50,Lignes_détenues!C298),5),ROUND(IF(C298&gt;365,interpoler(_mat2,taux2,C298),interpoler(_mat1,taux1,C298)),5))</f>
        <v>2.4E-2</v>
      </c>
      <c r="T298" s="1201">
        <f t="shared" si="30"/>
        <v>2.4E-2</v>
      </c>
      <c r="U298" s="1201">
        <f>ROUND(IF(D298*366&gt;366,interpoler(_mat2,taux2,D298*366),interpoler(_mat1,taux1,D298*366)),5)</f>
        <v>2.2700000000000001E-2</v>
      </c>
      <c r="V298" s="1202" t="str">
        <f>+IF((AB298-$AF$1)&lt;=366,"M","A")</f>
        <v>M</v>
      </c>
      <c r="W298" s="1202" t="s">
        <v>287</v>
      </c>
      <c r="X298" s="1212">
        <f>+prix_atp(AF$1,AA298,Z298,AB298,M298,K298,W298,V298,P298,Q298,N298,D298,Y298)</f>
        <v>101263.53790613718</v>
      </c>
      <c r="Y298" s="1202">
        <v>1</v>
      </c>
      <c r="Z298" s="35">
        <v>45612</v>
      </c>
      <c r="AA298" s="1198">
        <f>Marché!G2648</f>
        <v>45516</v>
      </c>
      <c r="AB298" s="1198">
        <f>Marché!H2648</f>
        <v>46342</v>
      </c>
      <c r="AC298" s="35"/>
      <c r="AD298" s="2"/>
    </row>
    <row r="299" spans="1:38" ht="15" hidden="1" x14ac:dyDescent="0.25">
      <c r="A299" s="1191">
        <v>152994</v>
      </c>
      <c r="B299" s="1192">
        <f t="shared" si="31"/>
        <v>0</v>
      </c>
      <c r="C299" s="1193">
        <f>(AB299-$AF$1)</f>
        <v>-24</v>
      </c>
      <c r="D299" s="1194">
        <f t="shared" si="29"/>
        <v>2.5499999999999998E-2</v>
      </c>
      <c r="E299" s="1195">
        <f>duration_titre($AF$1,AA299,AB299,M299,K299,W299,V299,P299,Q299,N299,D299)</f>
        <v>0</v>
      </c>
      <c r="F299" s="1195">
        <f t="shared" si="28"/>
        <v>0</v>
      </c>
      <c r="G299" s="1195">
        <f>convexite_titre($AF$1,AA299,AB299,M299,K299,W299,V299,P299,Q299,N299,D299)</f>
        <v>0</v>
      </c>
      <c r="H299" s="1196">
        <f>+ROUND(coupon_courru($AF$1,AA299,AB299,M299,K299,W299,P299,Q299,N299,V299,"V"),4)</f>
        <v>203.1781</v>
      </c>
      <c r="I299" s="1199">
        <f>+IF(Y299=1,B299,D299*100)</f>
        <v>0</v>
      </c>
      <c r="J299" s="1193" t="str">
        <f>Marché!C2649</f>
        <v>CD SGMB du 30/08/2024 à 3.09%  1 an 1/2</v>
      </c>
      <c r="K299" s="1193">
        <f>Marché!D2649</f>
        <v>100000</v>
      </c>
      <c r="L299" s="1193">
        <f>Marché!E2649</f>
        <v>0</v>
      </c>
      <c r="M299" s="1197">
        <f>Marché!F2649</f>
        <v>3.09E-2</v>
      </c>
      <c r="N299" s="1193">
        <f>Marché!I2649</f>
        <v>1.5</v>
      </c>
      <c r="O299" s="1200" t="str">
        <f>Marché!J2649</f>
        <v>A</v>
      </c>
      <c r="P299" s="1200" t="str">
        <f>Marché!K2649</f>
        <v>A</v>
      </c>
      <c r="Q299" s="1200" t="str">
        <f>Marché!L2649</f>
        <v>F</v>
      </c>
      <c r="R299" s="1287">
        <v>2.8E-3</v>
      </c>
      <c r="S299" s="1229" cm="1">
        <f t="array" ref="S299">IF(C299&gt;'Courbe des taux'!$D$50,ROUND( TREND('Courbe des taux'!$E$49:$E$50,'Courbe des taux'!$D$49:$D$50,Lignes_détenues!C299),5),ROUND(IF(C299&gt;365,interpoler(_mat2,taux2,C299),interpoler(_mat1,taux1,C299)),5))</f>
        <v>2.2700000000000001E-2</v>
      </c>
      <c r="T299" s="1201">
        <f t="shared" si="30"/>
        <v>2.2700000000000001E-2</v>
      </c>
      <c r="U299" s="1201">
        <f>ROUND(IF(D299*366&gt;366,interpoler(_mat2,taux2,D299*366),interpoler(_mat1,taux1,D299*366)),5)</f>
        <v>2.2700000000000001E-2</v>
      </c>
      <c r="V299" s="1202" t="str">
        <f>+IF((AB299-$AF$1)&lt;=366,"M","A")</f>
        <v>M</v>
      </c>
      <c r="W299" s="1202" t="s">
        <v>287</v>
      </c>
      <c r="X299" s="1212">
        <f>+prix_atp(AF$1,AA299,Z299,AB299,M299,K299,W299,V299,P299,Q299,N299,D299,Y299)</f>
        <v>0</v>
      </c>
      <c r="Y299" s="1202">
        <v>1</v>
      </c>
      <c r="Z299" s="35">
        <v>45718</v>
      </c>
      <c r="AA299" s="1198">
        <f>Marché!G2649</f>
        <v>45534</v>
      </c>
      <c r="AB299" s="1198">
        <f>Marché!H2649</f>
        <v>46083</v>
      </c>
      <c r="AC299" s="35"/>
      <c r="AD299" s="2"/>
    </row>
    <row r="300" spans="1:38" ht="15" hidden="1" x14ac:dyDescent="0.25">
      <c r="A300" s="1191">
        <v>152993</v>
      </c>
      <c r="B300" s="1192">
        <f t="shared" si="31"/>
        <v>0</v>
      </c>
      <c r="C300" s="1193">
        <f>(AB300-$AF$1)</f>
        <v>-391</v>
      </c>
      <c r="D300" s="1194">
        <f t="shared" si="29"/>
        <v>2.47E-2</v>
      </c>
      <c r="E300" s="1195">
        <f>duration_titre($AF$1,AA300,AB300,M300,K300,W300,V300,P300,Q300,N300,D300)</f>
        <v>0</v>
      </c>
      <c r="F300" s="1195">
        <f t="shared" si="28"/>
        <v>0</v>
      </c>
      <c r="G300" s="1195">
        <f>convexite_titre($AF$1,AA300,AB300,M300,K300,W300,V300,P300,Q300,N300,D300)</f>
        <v>0</v>
      </c>
      <c r="H300" s="1196">
        <f>+ROUND(coupon_courru($AF$1,AA300,AB300,M300,K300,W300,P300,Q300,N300,V300,"V"),4)</f>
        <v>4599.9166999999998</v>
      </c>
      <c r="I300" s="1199">
        <f>+IF(Y300=1,B300,D300*100)</f>
        <v>0</v>
      </c>
      <c r="J300" s="1193" t="str">
        <f>Marché!C2650</f>
        <v>CD CDM DU 30/08/2024  26  SEM à 2.89%</v>
      </c>
      <c r="K300" s="1193">
        <f>Marché!D2650</f>
        <v>100000</v>
      </c>
      <c r="L300" s="1193">
        <f>Marché!E2650</f>
        <v>0</v>
      </c>
      <c r="M300" s="1197">
        <f>Marché!F2650</f>
        <v>2.8899999999999999E-2</v>
      </c>
      <c r="N300" s="1193">
        <f>Marché!I2650</f>
        <v>26</v>
      </c>
      <c r="O300" s="1200" t="str">
        <f>Marché!J2650</f>
        <v>S</v>
      </c>
      <c r="P300" s="1200" t="str">
        <f>Marché!K2650</f>
        <v>A</v>
      </c>
      <c r="Q300" s="1200" t="str">
        <f>Marché!L2650</f>
        <v>F</v>
      </c>
      <c r="R300" s="1287">
        <v>2E-3</v>
      </c>
      <c r="S300" s="1229" cm="1">
        <f t="array" ref="S300">IF(C300&gt;'Courbe des taux'!$D$50,ROUND( TREND('Courbe des taux'!$E$49:$E$50,'Courbe des taux'!$D$49:$D$50,Lignes_détenues!C300),5),ROUND(IF(C300&gt;365,interpoler(_mat2,taux2,C300),interpoler(_mat1,taux1,C300)),5))</f>
        <v>2.2700000000000001E-2</v>
      </c>
      <c r="T300" s="1201">
        <f t="shared" si="30"/>
        <v>2.2700000000000001E-2</v>
      </c>
      <c r="U300" s="1201">
        <f>ROUND(IF(D300*366&gt;366,interpoler(_mat2,taux2,D300*366),interpoler(_mat1,taux1,D300*366)),5)</f>
        <v>2.2700000000000001E-2</v>
      </c>
      <c r="V300" s="1202" t="str">
        <f>+IF((AB300-$AF$1)&lt;=366,"M","A")</f>
        <v>M</v>
      </c>
      <c r="W300" s="1202" t="s">
        <v>287</v>
      </c>
      <c r="X300" s="1212">
        <f>+prix_atp(AF$1,AA300,Z300,AB300,M300,K300,W300,V300,P300,Q300,N300,D300,Y300)</f>
        <v>0</v>
      </c>
      <c r="Y300" s="1202">
        <v>1</v>
      </c>
      <c r="Z300" s="35"/>
      <c r="AA300" s="1198">
        <f>Marché!G2650</f>
        <v>45534</v>
      </c>
      <c r="AB300" s="1198">
        <f>Marché!H2650</f>
        <v>45716</v>
      </c>
      <c r="AC300" s="35"/>
      <c r="AD300" s="2"/>
    </row>
    <row r="301" spans="1:38" ht="15" hidden="1" x14ac:dyDescent="0.25">
      <c r="A301" s="1191">
        <v>152992</v>
      </c>
      <c r="B301" s="1192">
        <f t="shared" si="31"/>
        <v>0</v>
      </c>
      <c r="C301" s="1193">
        <f>(AB301-$AF$1)</f>
        <v>-482</v>
      </c>
      <c r="D301" s="1194">
        <f t="shared" si="29"/>
        <v>2.4199999999999999E-2</v>
      </c>
      <c r="E301" s="1195">
        <f>duration_titre($AF$1,AA301,AB301,M301,K301,W301,V301,P301,Q301,N301,D301)</f>
        <v>0</v>
      </c>
      <c r="F301" s="1195">
        <f t="shared" si="28"/>
        <v>0</v>
      </c>
      <c r="G301" s="1195">
        <f>convexite_titre($AF$1,AA301,AB301,M301,K301,W301,V301,P301,Q301,N301,D301)</f>
        <v>0</v>
      </c>
      <c r="H301" s="1196">
        <f>+ROUND(coupon_courru($AF$1,AA301,AB301,M301,K301,W301,P301,Q301,N301,V301,"V"),4)</f>
        <v>4440.75</v>
      </c>
      <c r="I301" s="1199">
        <f>+IF(Y301=1,B301,D301*100)</f>
        <v>0</v>
      </c>
      <c r="J301" s="1193" t="str">
        <f>Marché!C2651</f>
        <v>CD CDM DU 30/08/2024  13 SEM à 2.79%</v>
      </c>
      <c r="K301" s="1193">
        <f>Marché!D2651</f>
        <v>100000</v>
      </c>
      <c r="L301" s="1193">
        <f>Marché!E2651</f>
        <v>0</v>
      </c>
      <c r="M301" s="1197">
        <f>Marché!F2651</f>
        <v>2.7900000000000001E-2</v>
      </c>
      <c r="N301" s="1193">
        <f>Marché!I2651</f>
        <v>13</v>
      </c>
      <c r="O301" s="1200" t="str">
        <f>Marché!J2651</f>
        <v>S</v>
      </c>
      <c r="P301" s="1200" t="str">
        <f>Marché!K2651</f>
        <v>A</v>
      </c>
      <c r="Q301" s="1200" t="str">
        <f>Marché!L2651</f>
        <v>F</v>
      </c>
      <c r="R301" s="1287">
        <v>1.5E-3</v>
      </c>
      <c r="S301" s="1229" cm="1">
        <f t="array" ref="S301">IF(C301&gt;'Courbe des taux'!$D$50,ROUND( TREND('Courbe des taux'!$E$49:$E$50,'Courbe des taux'!$D$49:$D$50,Lignes_détenues!C301),5),ROUND(IF(C301&gt;365,interpoler(_mat2,taux2,C301),interpoler(_mat1,taux1,C301)),5))</f>
        <v>2.2700000000000001E-2</v>
      </c>
      <c r="T301" s="1201">
        <f t="shared" si="30"/>
        <v>2.2700000000000001E-2</v>
      </c>
      <c r="U301" s="1201">
        <f>ROUND(IF(D301*366&gt;366,interpoler(_mat2,taux2,D301*366),interpoler(_mat1,taux1,D301*366)),5)</f>
        <v>2.2700000000000001E-2</v>
      </c>
      <c r="V301" s="1202" t="str">
        <f>+IF((AB301-$AF$1)&lt;=366,"M","A")</f>
        <v>M</v>
      </c>
      <c r="W301" s="1202" t="s">
        <v>287</v>
      </c>
      <c r="X301" s="1212">
        <f>+prix_atp(AF$1,AA301,Z301,AB301,M301,K301,W301,V301,P301,Q301,N301,D301,Y301)</f>
        <v>0</v>
      </c>
      <c r="Y301" s="1202">
        <v>1</v>
      </c>
      <c r="Z301" s="35"/>
      <c r="AA301" s="1198">
        <f>Marché!G2651</f>
        <v>45534</v>
      </c>
      <c r="AB301" s="1198">
        <f>Marché!H2651</f>
        <v>45625</v>
      </c>
      <c r="AC301" s="35"/>
      <c r="AD301" s="2"/>
    </row>
    <row r="302" spans="1:38" ht="15" hidden="1" x14ac:dyDescent="0.25">
      <c r="A302" s="1191">
        <v>152995</v>
      </c>
      <c r="B302" s="1192">
        <f t="shared" si="31"/>
        <v>0</v>
      </c>
      <c r="C302" s="1193">
        <f>(AB302-$AF$1)</f>
        <v>-209</v>
      </c>
      <c r="D302" s="1194">
        <f t="shared" si="29"/>
        <v>2.52E-2</v>
      </c>
      <c r="E302" s="1195">
        <f>duration_titre($AF$1,AA302,AB302,M302,K302,W302,V302,P302,Q302,N302,D302)</f>
        <v>0</v>
      </c>
      <c r="F302" s="1195">
        <f t="shared" si="28"/>
        <v>0</v>
      </c>
      <c r="G302" s="1195">
        <f>convexite_titre($AF$1,AA302,AB302,M302,K302,W302,V302,P302,Q302,N302,D302)</f>
        <v>0</v>
      </c>
      <c r="H302" s="1196">
        <f>+ROUND(coupon_courru($AF$1,AA302,AB302,M302,K302,W302,P302,Q302,N302,V302,"V"),4)</f>
        <v>4790.9166999999998</v>
      </c>
      <c r="I302" s="1199">
        <f>+IF(Y302=1,B302,D302*100)</f>
        <v>0</v>
      </c>
      <c r="J302" s="1193" t="str">
        <f>Marché!C2652</f>
        <v>CD SGMB du 30/08/2024 à 3.01%  52 SEM</v>
      </c>
      <c r="K302" s="1193">
        <f>Marché!D2652</f>
        <v>100000</v>
      </c>
      <c r="L302" s="1193">
        <f>Marché!E2652</f>
        <v>0</v>
      </c>
      <c r="M302" s="1197">
        <f>Marché!F2652</f>
        <v>3.0099999999999998E-2</v>
      </c>
      <c r="N302" s="1193">
        <f>Marché!I2652</f>
        <v>52</v>
      </c>
      <c r="O302" s="1200" t="str">
        <f>Marché!J2652</f>
        <v>S</v>
      </c>
      <c r="P302" s="1200" t="str">
        <f>Marché!K2652</f>
        <v>A</v>
      </c>
      <c r="Q302" s="1200" t="str">
        <f>Marché!L2652</f>
        <v>F</v>
      </c>
      <c r="R302" s="1287">
        <v>2.5000000000000001E-3</v>
      </c>
      <c r="S302" s="1229" cm="1">
        <f t="array" ref="S302">IF(C302&gt;'Courbe des taux'!$D$50,ROUND( TREND('Courbe des taux'!$E$49:$E$50,'Courbe des taux'!$D$49:$D$50,Lignes_détenues!C302),5),ROUND(IF(C302&gt;365,interpoler(_mat2,taux2,C302),interpoler(_mat1,taux1,C302)),5))</f>
        <v>2.2700000000000001E-2</v>
      </c>
      <c r="T302" s="1201">
        <f t="shared" si="30"/>
        <v>2.2700000000000001E-2</v>
      </c>
      <c r="U302" s="1201">
        <f>ROUND(IF(D302*366&gt;366,interpoler(_mat2,taux2,D302*366),interpoler(_mat1,taux1,D302*366)),5)</f>
        <v>2.2700000000000001E-2</v>
      </c>
      <c r="V302" s="1202" t="str">
        <f>+IF((AB302-$AF$1)&lt;=366,"M","A")</f>
        <v>M</v>
      </c>
      <c r="W302" s="1202" t="s">
        <v>287</v>
      </c>
      <c r="X302" s="1212">
        <f>+prix_atp(AF$1,AA302,Z302,AB302,M302,K302,W302,V302,P302,Q302,N302,D302,Y302)</f>
        <v>0</v>
      </c>
      <c r="Y302" s="1202">
        <v>1</v>
      </c>
      <c r="Z302" s="35"/>
      <c r="AA302" s="1198">
        <f>Marché!G2652</f>
        <v>45534</v>
      </c>
      <c r="AB302" s="1198">
        <f>Marché!H2652</f>
        <v>45898</v>
      </c>
      <c r="AC302" s="35"/>
      <c r="AD302" s="2"/>
    </row>
    <row r="303" spans="1:38" ht="15" hidden="1" x14ac:dyDescent="0.25">
      <c r="A303" s="1191">
        <v>201865</v>
      </c>
      <c r="B303" s="1192">
        <f t="shared" si="31"/>
        <v>107952.06426032586</v>
      </c>
      <c r="C303" s="1193">
        <f>(AB303-$AF$1)</f>
        <v>3371</v>
      </c>
      <c r="D303" s="1194">
        <f t="shared" si="29"/>
        <v>3.2800000000000003E-2</v>
      </c>
      <c r="E303" s="1195">
        <f>duration_titre($AF$1,AA303,AB303,M303,K303,W303,V303,P303,Q303,N303,D303)</f>
        <v>7.8436034483947648</v>
      </c>
      <c r="F303" s="1195">
        <f t="shared" si="28"/>
        <v>7.5945037261761863</v>
      </c>
      <c r="G303" s="1195">
        <f>convexite_titre($AF$1,AA303,AB303,M303,K303,W303,V303,P303,Q303,N303,D303)</f>
        <v>71.684972184659259</v>
      </c>
      <c r="H303" s="1196">
        <f>+ROUND(coupon_courru($AF$1,AA303,AB303,M303,K303,W303,P303,Q303,N303,V303,"V"),4)</f>
        <v>2733.0137</v>
      </c>
      <c r="I303" s="1199">
        <f>+IF(Y303=1,B303,D303*100)</f>
        <v>107952.06426032586</v>
      </c>
      <c r="J303" s="1193" t="str">
        <f>Marché!C2654</f>
        <v>BDT DU 18/06/2025 à 3.55% 10 ANS</v>
      </c>
      <c r="K303" s="1193">
        <f>Marché!D2654</f>
        <v>100000</v>
      </c>
      <c r="L303" s="1193">
        <f>Marché!E2654</f>
        <v>0</v>
      </c>
      <c r="M303" s="1197">
        <f>Marché!F2654</f>
        <v>3.5499999999999997E-2</v>
      </c>
      <c r="N303" s="1193">
        <f>Marché!I2654</f>
        <v>10</v>
      </c>
      <c r="O303" s="1200" t="str">
        <f>Marché!J2654</f>
        <v>A</v>
      </c>
      <c r="P303" s="1200" t="str">
        <f>Marché!K2654</f>
        <v>A</v>
      </c>
      <c r="Q303" s="1200" t="str">
        <f>Marché!L2654</f>
        <v>F</v>
      </c>
      <c r="R303" s="1287">
        <v>0</v>
      </c>
      <c r="S303" s="1229" cm="1">
        <f t="array" ref="S303">IF(C303&gt;'Courbe des taux'!$D$50,ROUND( TREND('Courbe des taux'!$E$49:$E$50,'Courbe des taux'!$D$49:$D$50,Lignes_détenues!C303),5),ROUND(IF(C303&gt;=365,interpoler(_mat2,taux2,C303),interpoler(_mat1,taux1,C303)),5))</f>
        <v>3.2800000000000003E-2</v>
      </c>
      <c r="T303" s="1201">
        <f t="shared" si="30"/>
        <v>3.2800000000000003E-2</v>
      </c>
      <c r="U303" s="1201">
        <f>ROUND(IF(D303*366&gt;366,interpoler(_mat2,taux2,D303*366),interpoler(_mat1,taux1,D303*366)),5)</f>
        <v>2.2700000000000001E-2</v>
      </c>
      <c r="V303" s="1202" t="str">
        <f>+IF((AB303-$AF$1)&lt;=366,"M","A")</f>
        <v>A</v>
      </c>
      <c r="W303" s="1202" t="s">
        <v>287</v>
      </c>
      <c r="X303" s="1212">
        <f>+prix_atp(AF$1,AA303,Z303,AB303,M303,K303,W303,V303,P303,Q303,N303,D303,Y303)</f>
        <v>107952.06426032586</v>
      </c>
      <c r="Y303" s="1202">
        <v>1</v>
      </c>
      <c r="Z303" s="35">
        <v>45826</v>
      </c>
      <c r="AA303" s="1198">
        <f>Marché!G2654</f>
        <v>45504</v>
      </c>
      <c r="AB303" s="1198">
        <f>Marché!H2654</f>
        <v>49478</v>
      </c>
      <c r="AC303" s="35"/>
      <c r="AD303" s="2"/>
    </row>
    <row r="304" spans="1:38" ht="15" hidden="1" x14ac:dyDescent="0.25">
      <c r="A304" s="1191">
        <v>153000</v>
      </c>
      <c r="B304" s="1192">
        <f t="shared" si="31"/>
        <v>0</v>
      </c>
      <c r="C304" s="1193">
        <f>(AB304-$AF$1)</f>
        <v>-203</v>
      </c>
      <c r="D304" s="1194">
        <f t="shared" si="29"/>
        <v>2.571E-2</v>
      </c>
      <c r="E304" s="1195">
        <f>duration_titre($AF$1,AA304,AB304,M304,K304,W304,V304,P304,Q304,N304,D304)</f>
        <v>0</v>
      </c>
      <c r="F304" s="1195">
        <f t="shared" si="28"/>
        <v>0</v>
      </c>
      <c r="G304" s="1195">
        <f>convexite_titre($AF$1,AA304,AB304,M304,K304,W304,V304,P304,Q304,N304,D304)</f>
        <v>0</v>
      </c>
      <c r="H304" s="1196">
        <f>+ROUND(coupon_courru($AF$1,AA304,AB304,M304,K304,W304,P304,Q304,N304,V304,"V"),4)</f>
        <v>4577.6111000000001</v>
      </c>
      <c r="I304" s="1199">
        <f>+IF(Y304=1,B304,D304*100)</f>
        <v>0</v>
      </c>
      <c r="J304" s="1193" t="str">
        <f>Marché!C2656</f>
        <v>CD BMCI du  19/09/2024 à 2.98%   52 Sem</v>
      </c>
      <c r="K304" s="1193">
        <f>Marché!D2656</f>
        <v>100000</v>
      </c>
      <c r="L304" s="1193">
        <f>Marché!E2656</f>
        <v>0</v>
      </c>
      <c r="M304" s="1197">
        <f>Marché!F2656</f>
        <v>2.98E-2</v>
      </c>
      <c r="N304" s="1193">
        <f>Marché!I2656</f>
        <v>52</v>
      </c>
      <c r="O304" s="1200" t="str">
        <f>Marché!J2656</f>
        <v>S</v>
      </c>
      <c r="P304" s="1200" t="str">
        <f>Marché!K2656</f>
        <v>A</v>
      </c>
      <c r="Q304" s="1200" t="str">
        <f>Marché!L2656</f>
        <v>F</v>
      </c>
      <c r="R304" s="1287">
        <v>3.0049999999999999E-3</v>
      </c>
      <c r="S304" s="1229" cm="1">
        <f t="array" ref="S304">IF(C304&gt;'Courbe des taux'!$D$50,ROUND( TREND('Courbe des taux'!$E$49:$E$50,'Courbe des taux'!$D$49:$D$50,Lignes_détenues!C304),5),ROUND(IF(C304&gt;365,interpoler(_mat2,taux2,C304),interpoler(_mat1,taux1,C304)),5))</f>
        <v>2.2700000000000001E-2</v>
      </c>
      <c r="T304" s="1201">
        <f t="shared" si="30"/>
        <v>2.2700000000000001E-2</v>
      </c>
      <c r="U304" s="1201">
        <f>ROUND(IF(D304*366&gt;366,interpoler(_mat2,taux2,D304*366),interpoler(_mat1,taux1,D304*366)),5)</f>
        <v>2.2700000000000001E-2</v>
      </c>
      <c r="V304" s="1202" t="str">
        <f>+IF((AB304-$AF$1)&lt;=366,"M","A")</f>
        <v>M</v>
      </c>
      <c r="W304" s="1202" t="s">
        <v>287</v>
      </c>
      <c r="X304" s="1212">
        <f>+prix_atp(AF$1,AA304,Z304,AB304,M304,K304,W304,V304,P304,Q304,N304,D304,Y304)</f>
        <v>0</v>
      </c>
      <c r="Y304" s="1202">
        <v>1</v>
      </c>
      <c r="Z304" s="35">
        <v>45904</v>
      </c>
      <c r="AA304" s="1198">
        <f>Marché!G2656</f>
        <v>45554</v>
      </c>
      <c r="AB304" s="1198">
        <f>Marché!H2656</f>
        <v>45904</v>
      </c>
      <c r="AC304" s="35"/>
      <c r="AD304" s="2"/>
    </row>
    <row r="305" spans="1:32" ht="15" hidden="1" x14ac:dyDescent="0.25">
      <c r="A305" s="1191">
        <v>9637</v>
      </c>
      <c r="B305" s="1192">
        <f t="shared" si="31"/>
        <v>103234.85909810918</v>
      </c>
      <c r="C305" s="1193">
        <f>(AB305-$AF$1)</f>
        <v>3104</v>
      </c>
      <c r="D305" s="1194">
        <f t="shared" si="29"/>
        <v>3.9949999999999999E-2</v>
      </c>
      <c r="E305" s="1195">
        <f>duration_titre($AF$1,AA305,AB305,M305,K305,W305,V305,P305,Q305,N305,D305)</f>
        <v>7.2009873387974128</v>
      </c>
      <c r="F305" s="1195">
        <f t="shared" ref="F305:F315" si="32">+E305/(1+D305)</f>
        <v>6.9243591891893006</v>
      </c>
      <c r="G305" s="1195">
        <f>convexite_titre($AF$1,AA305,AB305,M305,K305,W305,V305,P305,Q305,N305,D305)</f>
        <v>60.047129547092105</v>
      </c>
      <c r="H305" s="1196">
        <f>+ROUND(coupon_courru($AF$1,AA305,AB305,M305,K305,W305,P305,Q305,N305,V305,"V"),4)</f>
        <v>2085.6986000000002</v>
      </c>
      <c r="I305" s="1199">
        <f>+IF(Y305=1,B305,D305*100)</f>
        <v>103234.85909810918</v>
      </c>
      <c r="J305" s="1193" t="str">
        <f>Marché!C2657</f>
        <v xml:space="preserve">OBL SUB BMCI  du 24/09/2024 à 4.16% 10ANS  FIXE </v>
      </c>
      <c r="K305" s="1193">
        <f>Marché!D2657</f>
        <v>100000</v>
      </c>
      <c r="L305" s="1193">
        <f>Marché!E2657</f>
        <v>0</v>
      </c>
      <c r="M305" s="1197">
        <f>Marché!F2657</f>
        <v>4.1599999999999998E-2</v>
      </c>
      <c r="N305" s="1193">
        <f>Marché!I2657</f>
        <v>10</v>
      </c>
      <c r="O305" s="1200" t="str">
        <f>Marché!J2657</f>
        <v>A</v>
      </c>
      <c r="P305" s="1200" t="str">
        <f>Marché!K2657</f>
        <v>A</v>
      </c>
      <c r="Q305" s="1200" t="str">
        <f>Marché!L2657</f>
        <v>F</v>
      </c>
      <c r="R305" s="1287">
        <v>7.4999999999999997E-3</v>
      </c>
      <c r="S305" s="1229" cm="1">
        <f t="array" ref="S305">IF(C305&gt;'Courbe des taux'!$D$50,ROUND( TREND('Courbe des taux'!$E$49:$E$50,'Courbe des taux'!$D$49:$D$50,Lignes_détenues!C305),5),ROUND(IF(C305&gt;365,interpoler(_mat2,taux2,C305),interpoler(_mat1,taux1,C305)),5))</f>
        <v>3.245E-2</v>
      </c>
      <c r="T305" s="1201">
        <f t="shared" si="30"/>
        <v>3.245E-2</v>
      </c>
      <c r="U305" s="1201">
        <f>ROUND(IF(D305*366&gt;366,interpoler(_mat2,taux2,D305*366),interpoler(_mat1,taux1,D305*366)),5)</f>
        <v>2.2700000000000001E-2</v>
      </c>
      <c r="V305" s="1202" t="str">
        <f>+IF((AB305-$AF$1)&lt;=366,"M","A")</f>
        <v>A</v>
      </c>
      <c r="W305" s="1202" t="s">
        <v>287</v>
      </c>
      <c r="X305" s="1212">
        <f>+prix_titre(AF$1,AA305,AB305,M305,K305,W305,V305,P305,Q305,N305,D305,Y305)</f>
        <v>103234.85909810918</v>
      </c>
      <c r="Y305" s="1202">
        <v>1</v>
      </c>
      <c r="Z305" s="35"/>
      <c r="AA305" s="1198">
        <f>Marché!G2657</f>
        <v>45559</v>
      </c>
      <c r="AB305" s="1198">
        <f>Marché!H2657</f>
        <v>49211</v>
      </c>
      <c r="AC305" s="35"/>
      <c r="AD305" s="2"/>
    </row>
    <row r="306" spans="1:32" ht="15" hidden="1" x14ac:dyDescent="0.25">
      <c r="A306" s="1191">
        <v>100957</v>
      </c>
      <c r="B306" s="1192">
        <f t="shared" si="31"/>
        <v>101752.06266240774</v>
      </c>
      <c r="C306" s="1193">
        <f>(AB306-$AF$1)</f>
        <v>188</v>
      </c>
      <c r="D306" s="1194">
        <f t="shared" si="29"/>
        <v>2.819E-2</v>
      </c>
      <c r="E306" s="1195">
        <f>duration_titre($AF$1,AA306,AB306,M306,K306,W306,V306,P306,Q306,N306,D306)</f>
        <v>0.51506849315068493</v>
      </c>
      <c r="F306" s="1195">
        <f t="shared" si="32"/>
        <v>0.50094680278030812</v>
      </c>
      <c r="G306" s="1195">
        <f>convexite_titre($AF$1,AA306,AB306,M306,K306,W306,V306,P306,Q306,N306,D306)</f>
        <v>0.73815998758693901</v>
      </c>
      <c r="H306" s="1196">
        <f>+ROUND(coupon_courru($AF$1,AA306,AB306,M306,K306,W306,P306,Q306,N306,V306,"V"),4)</f>
        <v>1576.0273999999999</v>
      </c>
      <c r="I306" s="1199">
        <f>+IF(Y306=1,B306,D306*100)</f>
        <v>101752.06266240774</v>
      </c>
      <c r="J306" s="1193" t="str">
        <f>Marché!C2659</f>
        <v>BSF EQDOM du 30/09/2024 à 3.25%  2 ANS</v>
      </c>
      <c r="K306" s="1193">
        <f>Marché!D2659</f>
        <v>100000</v>
      </c>
      <c r="L306" s="1193">
        <f>Marché!E2659</f>
        <v>0</v>
      </c>
      <c r="M306" s="1197">
        <f>Marché!F2659</f>
        <v>3.2500000000000001E-2</v>
      </c>
      <c r="N306" s="1193">
        <f>Marché!I2659</f>
        <v>2</v>
      </c>
      <c r="O306" s="1200" t="str">
        <f>Marché!J2659</f>
        <v>A</v>
      </c>
      <c r="P306" s="1200" t="str">
        <f>Marché!K2659</f>
        <v>A</v>
      </c>
      <c r="Q306" s="1200" t="str">
        <f>Marché!L2659</f>
        <v>F</v>
      </c>
      <c r="R306" s="1287">
        <v>4.4999999999999997E-3</v>
      </c>
      <c r="S306" s="1229" cm="1">
        <f t="array" ref="S306">IF(C306&gt;'Courbe des taux'!$D$50,ROUND( TREND('Courbe des taux'!$E$49:$E$50,'Courbe des taux'!$D$49:$D$50,Lignes_détenues!C306),5),ROUND(IF(C306&gt;365,interpoler(_mat2,taux2,C306),interpoler(_mat1,taux1,C306)),5))</f>
        <v>2.3689999999999999E-2</v>
      </c>
      <c r="T306" s="1201">
        <f t="shared" si="30"/>
        <v>2.3689999999999999E-2</v>
      </c>
      <c r="U306" s="1201">
        <f>ROUND(IF(D306*366&gt;366,interpoler(_mat2,taux2,D306*366),interpoler(_mat1,taux1,D306*366)),5)</f>
        <v>2.2700000000000001E-2</v>
      </c>
      <c r="V306" s="1202" t="str">
        <f>+IF((AB306-$AF$1)&lt;=366,"M","A")</f>
        <v>M</v>
      </c>
      <c r="W306" s="1202" t="s">
        <v>287</v>
      </c>
      <c r="X306" s="1212">
        <f>+prix_titre(AF$1,AA306,AB306,M306,K306,W306,V306,P306,Q306,N306,D306,Y306)</f>
        <v>101752.06266240774</v>
      </c>
      <c r="Y306" s="1202">
        <v>1</v>
      </c>
      <c r="Z306" s="35"/>
      <c r="AA306" s="1198">
        <f>Marché!G2659</f>
        <v>45565</v>
      </c>
      <c r="AB306" s="1198">
        <f>Marché!H2659</f>
        <v>46295</v>
      </c>
      <c r="AC306" s="35"/>
      <c r="AD306" s="2"/>
    </row>
    <row r="307" spans="1:32" ht="15" hidden="1" x14ac:dyDescent="0.25">
      <c r="A307" s="1191">
        <v>153005</v>
      </c>
      <c r="B307" s="1192">
        <f t="shared" si="31"/>
        <v>0</v>
      </c>
      <c r="C307" s="1193">
        <f>(AB307-$AF$1)</f>
        <v>-360</v>
      </c>
      <c r="D307" s="1194">
        <f t="shared" si="29"/>
        <v>2.4879999999999999E-2</v>
      </c>
      <c r="E307" s="1195">
        <f>duration_titre($AF$1,AA307,AB307,M307,K307,W307,V307,P307,Q307,N307,D307)</f>
        <v>0</v>
      </c>
      <c r="F307" s="1195">
        <f t="shared" si="32"/>
        <v>0</v>
      </c>
      <c r="G307" s="1195">
        <f>convexite_titre($AF$1,AA307,AB307,M307,K307,W307,V307,P307,Q307,N307,D307)</f>
        <v>0</v>
      </c>
      <c r="H307" s="1196">
        <f>+ROUND(coupon_courru($AF$1,AA307,AB307,M307,K307,W307,P307,Q307,N307,V307,"V"),4)</f>
        <v>4441.3888999999999</v>
      </c>
      <c r="I307" s="1199">
        <f>+IF(Y307=1,B307,D307*100)</f>
        <v>0</v>
      </c>
      <c r="J307" s="1193" t="str">
        <f>Marché!C2660</f>
        <v>CD CDM du 30/09/2024 à 2.95%  26 SEM</v>
      </c>
      <c r="K307" s="1193">
        <f>Marché!D2660</f>
        <v>100000</v>
      </c>
      <c r="L307" s="1193">
        <f>Marché!E2660</f>
        <v>0</v>
      </c>
      <c r="M307" s="1197">
        <f>Marché!F2660</f>
        <v>2.9499999999999998E-2</v>
      </c>
      <c r="N307" s="1193">
        <f>Marché!I2660</f>
        <v>26</v>
      </c>
      <c r="O307" s="1200" t="str">
        <f>Marché!J2660</f>
        <v>S</v>
      </c>
      <c r="P307" s="1200" t="str">
        <f>Marché!K2660</f>
        <v>A</v>
      </c>
      <c r="Q307" s="1200" t="str">
        <f>Marché!L2660</f>
        <v>F</v>
      </c>
      <c r="R307" s="1287">
        <v>2.1779999999999998E-3</v>
      </c>
      <c r="S307" s="1229" cm="1">
        <f t="array" ref="S307">IF(C307&gt;'Courbe des taux'!$D$50,ROUND( TREND('Courbe des taux'!$E$49:$E$50,'Courbe des taux'!$D$49:$D$50,Lignes_détenues!C307),5),ROUND(IF(C307&gt;365,interpoler(_mat2,taux2,C307),interpoler(_mat1,taux1,C307)),5))</f>
        <v>2.2700000000000001E-2</v>
      </c>
      <c r="T307" s="1201">
        <f t="shared" si="30"/>
        <v>2.2700000000000001E-2</v>
      </c>
      <c r="U307" s="1201">
        <f>ROUND(IF(D307*366&gt;366,interpoler(_mat2,taux2,D307*366),interpoler(_mat1,taux1,D307*366)),5)</f>
        <v>2.2700000000000001E-2</v>
      </c>
      <c r="V307" s="1202" t="str">
        <f>+IF((AB307-$AF$1)&lt;=366,"M","A")</f>
        <v>M</v>
      </c>
      <c r="W307" s="1202" t="s">
        <v>287</v>
      </c>
      <c r="X307" s="1212">
        <f>+prix_titre(AF$1,AA307,AB307,M307,K307,W307,V307,P307,Q307,N307,D307,Y307)</f>
        <v>0</v>
      </c>
      <c r="Y307" s="1202">
        <v>1</v>
      </c>
      <c r="Z307" s="35"/>
      <c r="AA307" s="1198">
        <f>Marché!G2660</f>
        <v>45565</v>
      </c>
      <c r="AB307" s="1198">
        <f>Marché!H2660</f>
        <v>45747</v>
      </c>
      <c r="AC307" s="35"/>
      <c r="AD307" s="2"/>
    </row>
    <row r="308" spans="1:32" ht="15" hidden="1" x14ac:dyDescent="0.25">
      <c r="A308" s="1191">
        <v>100958</v>
      </c>
      <c r="B308" s="1192">
        <f t="shared" si="31"/>
        <v>101996.15410364987</v>
      </c>
      <c r="C308" s="1193">
        <f>(AB308-$AF$1)</f>
        <v>1285</v>
      </c>
      <c r="D308" s="1194">
        <f t="shared" si="29"/>
        <v>3.4009999999999999E-2</v>
      </c>
      <c r="E308" s="1195">
        <f>duration_titre($AF$1,AA308,AB308,M308,K308,W308,V308,P308,Q308,N308,D308)</f>
        <v>3.3223975517596678</v>
      </c>
      <c r="F308" s="1195">
        <f t="shared" si="32"/>
        <v>3.21311936224956</v>
      </c>
      <c r="G308" s="1195">
        <f>convexite_titre($AF$1,AA308,AB308,M308,K308,W308,V308,P308,Q308,N308,D308)</f>
        <v>13.831158201133542</v>
      </c>
      <c r="H308" s="1196">
        <f>+ROUND(coupon_courru($AF$1,AA308,AB308,M308,K308,W308,P308,Q308,N308,V308,"V"),4)</f>
        <v>1687.6712</v>
      </c>
      <c r="I308" s="1199">
        <f>+IF(Y308=1,B308,D308*100)</f>
        <v>101996.15410364987</v>
      </c>
      <c r="J308" s="1193" t="str">
        <f>Marché!C2661</f>
        <v>BSF WAFASALAF du 01/10/2024 à 3.50% 5ANS</v>
      </c>
      <c r="K308" s="1193">
        <f>Marché!D2661</f>
        <v>100000</v>
      </c>
      <c r="L308" s="1193">
        <f>Marché!E2661</f>
        <v>0</v>
      </c>
      <c r="M308" s="1197">
        <f>Marché!F2661</f>
        <v>3.5000000000000003E-2</v>
      </c>
      <c r="N308" s="1193">
        <f>Marché!I2661</f>
        <v>5</v>
      </c>
      <c r="O308" s="1200" t="str">
        <f>Marché!J2661</f>
        <v>A</v>
      </c>
      <c r="P308" s="1200" t="str">
        <f>Marché!K2661</f>
        <v>A</v>
      </c>
      <c r="Q308" s="1200" t="str">
        <f>Marché!L2661</f>
        <v>F</v>
      </c>
      <c r="R308" s="1287">
        <v>5.0200000000000002E-3</v>
      </c>
      <c r="S308" s="1229" cm="1">
        <f t="array" ref="S308">IF(C308&gt;'Courbe des taux'!$D$50,ROUND( TREND('Courbe des taux'!$E$49:$E$50,'Courbe des taux'!$D$49:$D$50,Lignes_détenues!C308),5),ROUND(IF(C308&gt;365,interpoler(_mat2,taux2,C308),interpoler(_mat1,taux1,C308)),5))</f>
        <v>2.8989999999999998E-2</v>
      </c>
      <c r="T308" s="1201">
        <f t="shared" si="30"/>
        <v>2.8989999999999998E-2</v>
      </c>
      <c r="U308" s="1201">
        <f>ROUND(IF(D308*366&gt;366,interpoler(_mat2,taux2,D308*366),interpoler(_mat1,taux1,D308*366)),5)</f>
        <v>2.2700000000000001E-2</v>
      </c>
      <c r="V308" s="1202" t="str">
        <f>+IF((AB308-$AF$1)&lt;=366,"M","A")</f>
        <v>A</v>
      </c>
      <c r="W308" s="1202" t="s">
        <v>287</v>
      </c>
      <c r="X308" s="1212">
        <f>+prix_titre(AF$1,AA308,AB308,M308,K308,W308,V308,P308,Q308,N308,D308,Y308)</f>
        <v>101996.15410364987</v>
      </c>
      <c r="Y308" s="1202">
        <v>1</v>
      </c>
      <c r="Z308" s="35"/>
      <c r="AA308" s="1198">
        <f>Marché!G2661</f>
        <v>45566</v>
      </c>
      <c r="AB308" s="1198">
        <f>Marché!H2661</f>
        <v>47392</v>
      </c>
      <c r="AC308" s="35"/>
      <c r="AD308" s="2"/>
    </row>
    <row r="309" spans="1:32" ht="15" hidden="1" x14ac:dyDescent="0.25">
      <c r="A309" s="1191">
        <v>100959</v>
      </c>
      <c r="B309" s="1192">
        <f t="shared" si="31"/>
        <v>101743.36566955045</v>
      </c>
      <c r="C309" s="1193">
        <f>(AB309-$AF$1)</f>
        <v>189</v>
      </c>
      <c r="D309" s="1194">
        <f t="shared" si="29"/>
        <v>2.7269999999999999E-2</v>
      </c>
      <c r="E309" s="1195">
        <f>duration_titre($AF$1,AA309,AB309,M309,K309,W309,V309,P309,Q309,N309,D309)</f>
        <v>0.51780821917808217</v>
      </c>
      <c r="F309" s="1195">
        <f t="shared" si="32"/>
        <v>0.50406243653380534</v>
      </c>
      <c r="G309" s="1195">
        <f>convexite_titre($AF$1,AA309,AB309,M309,K309,W309,V309,P309,Q309,N309,D309)</f>
        <v>0.74476049057204075</v>
      </c>
      <c r="H309" s="1196">
        <f>+ROUND(coupon_courru($AF$1,AA309,AB309,M309,K309,W309,P309,Q309,N309,V309,"V"),4)</f>
        <v>1543.0137</v>
      </c>
      <c r="I309" s="1199">
        <f>+IF(Y309=1,B309,D309*100)</f>
        <v>101743.36566955045</v>
      </c>
      <c r="J309" s="1193" t="str">
        <f>Marché!C2662</f>
        <v>BSF WAFASALAF du 01/10/2024 à 3.20% 2ANS</v>
      </c>
      <c r="K309" s="1193">
        <f>Marché!D2662</f>
        <v>100000</v>
      </c>
      <c r="L309" s="1193">
        <f>Marché!E2662</f>
        <v>0</v>
      </c>
      <c r="M309" s="1197">
        <f>Marché!F2662</f>
        <v>3.2000000000000001E-2</v>
      </c>
      <c r="N309" s="1193">
        <f>Marché!I2662</f>
        <v>2</v>
      </c>
      <c r="O309" s="1200" t="str">
        <f>Marché!J2662</f>
        <v>A</v>
      </c>
      <c r="P309" s="1200" t="str">
        <f>Marché!K2662</f>
        <v>A</v>
      </c>
      <c r="Q309" s="1200" t="str">
        <f>Marché!L2662</f>
        <v>F</v>
      </c>
      <c r="R309" s="1287">
        <v>3.5729999999999998E-3</v>
      </c>
      <c r="S309" s="1229" cm="1">
        <f t="array" ref="S309">IF(C309&gt;'Courbe des taux'!$D$50,ROUND( TREND('Courbe des taux'!$E$49:$E$50,'Courbe des taux'!$D$49:$D$50,Lignes_détenues!C309),5),ROUND(IF(C309&gt;365,interpoler(_mat2,taux2,C309),interpoler(_mat1,taux1,C309)),5))</f>
        <v>2.3699999999999999E-2</v>
      </c>
      <c r="T309" s="1201">
        <f t="shared" si="30"/>
        <v>2.3699999999999999E-2</v>
      </c>
      <c r="U309" s="1201">
        <f>ROUND(IF(D309*366&gt;366,interpoler(_mat2,taux2,D309*366),interpoler(_mat1,taux1,D309*366)),5)</f>
        <v>2.2700000000000001E-2</v>
      </c>
      <c r="V309" s="1202" t="str">
        <f>+IF((AB309-$AF$1)&lt;=365,"M","A")</f>
        <v>M</v>
      </c>
      <c r="W309" s="1202" t="s">
        <v>287</v>
      </c>
      <c r="X309" s="1212">
        <f>+prix_titre(AF$1,AA309,AB309,M309,K309,W309,V309,P309,Q309,N309,D309,Y309)</f>
        <v>101743.36566955045</v>
      </c>
      <c r="Y309" s="1202">
        <v>1</v>
      </c>
      <c r="Z309" s="35"/>
      <c r="AA309" s="1198">
        <f>Marché!G2662</f>
        <v>45566</v>
      </c>
      <c r="AB309" s="1198">
        <f>Marché!H2662</f>
        <v>46296</v>
      </c>
      <c r="AC309" s="35"/>
      <c r="AD309" s="2"/>
    </row>
    <row r="310" spans="1:32" ht="15" hidden="1" x14ac:dyDescent="0.25">
      <c r="A310" s="1191">
        <v>152832</v>
      </c>
      <c r="B310" s="1192">
        <f t="shared" si="31"/>
        <v>-8985.87487186615</v>
      </c>
      <c r="C310" s="1193">
        <f>(AB310-$AF$1)</f>
        <v>-517</v>
      </c>
      <c r="D310" s="1194">
        <f t="shared" si="29"/>
        <v>2.4199999999999999E-2</v>
      </c>
      <c r="E310" s="1195">
        <f>duration_titre($AF$1,AA310,AB310,M310,K310,W310,V310,P310,Q310,N310,D310)</f>
        <v>0</v>
      </c>
      <c r="F310" s="1195">
        <f t="shared" si="32"/>
        <v>0</v>
      </c>
      <c r="G310" s="1195">
        <f>convexite_titre($AF$1,AA310,AB310,M310,K310,W310,V310,P310,Q310,N310,D310)</f>
        <v>0</v>
      </c>
      <c r="H310" s="1196">
        <f>+ROUND(coupon_courru($AF$1,AA310,AB310,M310,K310,W310,P310,Q310,N310,V310,"V"),4)</f>
        <v>8380.2222000000002</v>
      </c>
      <c r="I310" s="1199">
        <f>+IF(Y310=1,B310,D310*100)</f>
        <v>-8985.87487186615</v>
      </c>
      <c r="J310" s="1193" t="str">
        <f>Marché!C2663</f>
        <v>BDT DU 20/05/2023 à 3.50% ATYP 20/02/2023  1 AN</v>
      </c>
      <c r="K310" s="1193">
        <f>Marché!D2663</f>
        <v>100000</v>
      </c>
      <c r="L310" s="1193">
        <f>Marché!E2663</f>
        <v>0</v>
      </c>
      <c r="M310" s="1197">
        <f>Marché!F2663</f>
        <v>3.44E-2</v>
      </c>
      <c r="N310" s="1193">
        <f>Marché!I2663</f>
        <v>52</v>
      </c>
      <c r="O310" s="1200" t="str">
        <f>Marché!J2663</f>
        <v>S</v>
      </c>
      <c r="P310" s="1200" t="str">
        <f>Marché!K2663</f>
        <v>A</v>
      </c>
      <c r="Q310" s="1200" t="str">
        <f>Marché!L2663</f>
        <v>F</v>
      </c>
      <c r="R310" s="1287">
        <v>1.5E-3</v>
      </c>
      <c r="S310" s="1229" cm="1">
        <f t="array" ref="S310">IF(C310&gt;'Courbe des taux'!$D$50,ROUND( TREND('Courbe des taux'!$E$49:$E$50,'Courbe des taux'!$D$49:$D$50,Lignes_détenues!C310),5),ROUND(IF(C310&gt;365,interpoler(_mat2,taux2,C310),interpoler(_mat1,taux1,C310)),5))</f>
        <v>2.2700000000000001E-2</v>
      </c>
      <c r="T310" s="1201">
        <f t="shared" si="30"/>
        <v>2.2700000000000001E-2</v>
      </c>
      <c r="U310" s="1201">
        <f>ROUND(IF(D310*366&gt;366,interpoler(_mat2,taux2,D310*366),interpoler(_mat1,taux1,D310*366)),5)</f>
        <v>2.2700000000000001E-2</v>
      </c>
      <c r="V310" s="1202" t="str">
        <f>+IF((AB310-$AF$1)&lt;=366,"M","A")</f>
        <v>M</v>
      </c>
      <c r="W310" s="1202" t="s">
        <v>287</v>
      </c>
      <c r="X310" s="1212">
        <f>(3440+K310)/(1+D310*C310)</f>
        <v>-8985.87487186615</v>
      </c>
      <c r="Y310" s="1202">
        <v>1</v>
      </c>
      <c r="Z310" s="35">
        <v>45590</v>
      </c>
      <c r="AA310" s="1198">
        <f>Marché!G2663</f>
        <v>45230</v>
      </c>
      <c r="AB310" s="1198">
        <f>Marché!H2663</f>
        <v>45590</v>
      </c>
      <c r="AC310" s="35"/>
      <c r="AD310" s="2"/>
    </row>
    <row r="311" spans="1:32" ht="15" hidden="1" x14ac:dyDescent="0.25">
      <c r="A311" s="1191">
        <v>5151</v>
      </c>
      <c r="B311" s="1192">
        <f t="shared" si="31"/>
        <v>100024.71233822756</v>
      </c>
      <c r="C311" s="1193">
        <f>(AB311-$AF$1)</f>
        <v>-275</v>
      </c>
      <c r="D311" s="1194">
        <f t="shared" si="29"/>
        <v>3.0200000000000001E-2</v>
      </c>
      <c r="E311" s="1195">
        <f>duration_titre($AF$1,AA311,AB311,M311,K311,W311,V311,P311,Q311,N311,D311)</f>
        <v>0</v>
      </c>
      <c r="F311" s="1195">
        <f t="shared" si="32"/>
        <v>0</v>
      </c>
      <c r="G311" s="1195">
        <f>convexite_titre($AF$1,AA311,AB311,M311,K311,W311,V311,P311,Q311,N311,D311)</f>
        <v>0</v>
      </c>
      <c r="H311" s="1196">
        <f>+ROUND(coupon_courru($AF$1,AA311,AB311,M311,K311,W311,P311,Q311,N311,V311,"V"),4)</f>
        <v>3037.9443999999999</v>
      </c>
      <c r="I311" s="1199">
        <f>+IF(Y311=1,B311,D311*100)</f>
        <v>100024.71233822756</v>
      </c>
      <c r="J311" s="1193" t="str">
        <f>Marché!C2664</f>
        <v>OBL FT SALAF INVEST du 10/10/2024  12ans Taux Rév  AMORT TRIM</v>
      </c>
      <c r="K311" s="1193">
        <f>Marché!D2664</f>
        <v>100000</v>
      </c>
      <c r="L311" s="1193">
        <f>Marché!E2664</f>
        <v>0</v>
      </c>
      <c r="M311" s="1197">
        <v>2.98E-2</v>
      </c>
      <c r="N311" s="1193">
        <f>Marché!I2664</f>
        <v>26</v>
      </c>
      <c r="O311" s="1200" t="str">
        <f>Marché!J2664</f>
        <v>S</v>
      </c>
      <c r="P311" s="1200" t="str">
        <f>Marché!K2664</f>
        <v>A</v>
      </c>
      <c r="Q311" s="1200" t="str">
        <f>Marché!L2664</f>
        <v>F</v>
      </c>
      <c r="R311" s="1287">
        <v>7.4999999999999997E-3</v>
      </c>
      <c r="S311" s="1229" cm="1">
        <f t="array" ref="S311">IF(C311&gt;'Courbe des taux'!$D$50,ROUND( TREND('Courbe des taux'!$E$49:$E$50,'Courbe des taux'!$D$49:$D$50,Lignes_détenues!C311),5),ROUND(IF(C311&gt;365,interpoler(_mat2,taux2,C311),interpoler(_mat1,taux1,C311)),5))</f>
        <v>2.2700000000000001E-2</v>
      </c>
      <c r="T311" s="1201">
        <f t="shared" si="30"/>
        <v>2.2700000000000001E-2</v>
      </c>
      <c r="U311" s="1201">
        <f>ROUND(IF(D311*366&gt;366,interpoler(_mat2,taux2,D311*366),interpoler(_mat1,taux1,D311*366)),5)</f>
        <v>2.2700000000000001E-2</v>
      </c>
      <c r="V311" s="1202" t="str">
        <f>+IF((AB311-$AF$1)&lt;=366,"M","A")</f>
        <v>M</v>
      </c>
      <c r="W311" s="1202" t="s">
        <v>287</v>
      </c>
      <c r="X311" s="1212">
        <f>'Echeancier de parts 2'!AJ3</f>
        <v>100024.71233822756</v>
      </c>
      <c r="Y311" s="1202">
        <v>1</v>
      </c>
      <c r="Z311" s="35"/>
      <c r="AA311" s="1198">
        <v>45740</v>
      </c>
      <c r="AB311" s="1198">
        <v>45832</v>
      </c>
      <c r="AC311" s="35"/>
      <c r="AD311" s="2"/>
    </row>
    <row r="312" spans="1:32" ht="15" hidden="1" x14ac:dyDescent="0.25">
      <c r="A312" s="1191">
        <v>153012</v>
      </c>
      <c r="B312" s="1192">
        <f t="shared" si="31"/>
        <v>104386.38065870001</v>
      </c>
      <c r="C312" s="1193">
        <f>(AB312-$AF$1)</f>
        <v>-168</v>
      </c>
      <c r="D312" s="1194">
        <f t="shared" si="29"/>
        <v>2.5700000000000001E-2</v>
      </c>
      <c r="E312" s="1195">
        <f>duration_titre($AF$1,AA312,AB312,M312,K312,W312,V312,P312,Q312,N312,D312)</f>
        <v>0</v>
      </c>
      <c r="F312" s="1195">
        <f t="shared" si="32"/>
        <v>0</v>
      </c>
      <c r="G312" s="1195">
        <f>convexite_titre($AF$1,AA312,AB312,M312,K312,W312,V312,P312,Q312,N312,D312)</f>
        <v>0</v>
      </c>
      <c r="H312" s="1196">
        <f>+ROUND(coupon_courru($AF$1,AA312,AB312,M312,K312,W312,P312,Q312,N312,V312,"V"),4)</f>
        <v>4581.1111000000001</v>
      </c>
      <c r="I312" s="1199">
        <f>+IF(Y312=1,B312,D312*100)</f>
        <v>2.5700000000000003</v>
      </c>
      <c r="J312" s="1193" t="str">
        <f>Marché!C2665</f>
        <v>CD CAM du  10/10/2024 à 3,10%   52 Sem</v>
      </c>
      <c r="K312" s="1193">
        <f>Marché!D2665</f>
        <v>100000</v>
      </c>
      <c r="L312" s="1193">
        <f>Marché!E2665</f>
        <v>0</v>
      </c>
      <c r="M312" s="1197">
        <f>Marché!F2665</f>
        <v>3.1E-2</v>
      </c>
      <c r="N312" s="1193">
        <f>Marché!I2665</f>
        <v>52</v>
      </c>
      <c r="O312" s="1200" t="str">
        <f>Marché!J2665</f>
        <v>S</v>
      </c>
      <c r="P312" s="1200" t="str">
        <f>Marché!K2665</f>
        <v>A</v>
      </c>
      <c r="Q312" s="1200" t="str">
        <f>Marché!L2665</f>
        <v>F</v>
      </c>
      <c r="R312" s="1287">
        <v>3.0000000000000001E-3</v>
      </c>
      <c r="S312" s="1229" cm="1">
        <f t="array" ref="S312">IF(C312&gt;'Courbe des taux'!$D$50,ROUND( TREND('Courbe des taux'!$E$49:$E$50,'Courbe des taux'!$D$49:$D$50,Lignes_détenues!C312),5),ROUND(IF(C312&gt;365,interpoler(_mat2,taux2,C312),interpoler(_mat1,taux1,C312)),5))</f>
        <v>2.2700000000000001E-2</v>
      </c>
      <c r="T312" s="1201">
        <f t="shared" si="30"/>
        <v>2.2700000000000001E-2</v>
      </c>
      <c r="U312" s="1201">
        <f>ROUND(IF(D312*366&gt;366,interpoler(_mat2,taux2,D312*366),interpoler(_mat1,taux1,D312*366)),5)</f>
        <v>2.2700000000000001E-2</v>
      </c>
      <c r="V312" s="1202" t="str">
        <f>+IF((AB312-$AF$1)&lt;=366,"M","A")</f>
        <v>M</v>
      </c>
      <c r="W312" s="1202" t="s">
        <v>287</v>
      </c>
      <c r="X312" s="1212">
        <f>(3134.44+K312)/(1+D312*C312/360)</f>
        <v>104386.38065870001</v>
      </c>
      <c r="Y312" s="1202">
        <v>2</v>
      </c>
      <c r="Z312" s="35">
        <v>45939</v>
      </c>
      <c r="AA312" s="1198">
        <f>Marché!G2665</f>
        <v>45575</v>
      </c>
      <c r="AB312" s="1198">
        <f>Marché!H2665</f>
        <v>45939</v>
      </c>
      <c r="AC312" s="35"/>
      <c r="AD312" s="2"/>
    </row>
    <row r="313" spans="1:32" s="342" customFormat="1" ht="15" hidden="1" x14ac:dyDescent="0.25">
      <c r="A313" s="1336">
        <v>100962</v>
      </c>
      <c r="B313" s="1209">
        <f t="shared" si="31"/>
        <v>101638.8285766015</v>
      </c>
      <c r="C313" s="1337">
        <f>(AB313-$AF$1)</f>
        <v>209</v>
      </c>
      <c r="D313" s="1338">
        <f t="shared" si="29"/>
        <v>2.8830000000000001E-2</v>
      </c>
      <c r="E313" s="1339">
        <f>duration_titre($AF$1,AA313,AB313,M313,K313,W313,V313,P313,Q313,N313,D313)</f>
        <v>0.57260273972602738</v>
      </c>
      <c r="F313" s="1339">
        <f t="shared" si="32"/>
        <v>0.55655719577192286</v>
      </c>
      <c r="G313" s="1339">
        <f>convexite_titre($AF$1,AA313,AB313,M313,K313,W313,V313,P313,Q313,N313,D313)</f>
        <v>0.85071719417703706</v>
      </c>
      <c r="H313" s="1340">
        <f>+ROUND(coupon_courru($AF$1,AA313,AB313,M313,K313,W313,P313,Q313,N313,V313,"V"),4)</f>
        <v>1427.5068000000001</v>
      </c>
      <c r="I313" s="1341">
        <f>+IF(Y313=1,B313,D313*100)</f>
        <v>101638.8285766015</v>
      </c>
      <c r="J313" s="1337" t="str">
        <f>Marché!C2667</f>
        <v>BSF RCI FINANCE du 21/10/2024 à 3.34%   2 ANS</v>
      </c>
      <c r="K313" s="1337">
        <f>Marché!D2667</f>
        <v>100000</v>
      </c>
      <c r="L313" s="1337">
        <f>Marché!E2667</f>
        <v>0</v>
      </c>
      <c r="M313" s="1342">
        <f>Marché!F2667</f>
        <v>3.3399999999999999E-2</v>
      </c>
      <c r="N313" s="1337">
        <f>Marché!I2667</f>
        <v>2</v>
      </c>
      <c r="O313" s="1344" t="str">
        <f>Marché!J2667</f>
        <v>A</v>
      </c>
      <c r="P313" s="1344" t="str">
        <f>Marché!K2667</f>
        <v>A</v>
      </c>
      <c r="Q313" s="1344" t="str">
        <f>Marché!L2667</f>
        <v>F</v>
      </c>
      <c r="R313" s="1345">
        <v>5.0000000000000001E-3</v>
      </c>
      <c r="S313" s="1346" cm="1">
        <f t="array" ref="S313">IF(C313&gt;'Courbe des taux'!$D$50,ROUND( TREND('Courbe des taux'!$E$49:$E$50,'Courbe des taux'!$D$49:$D$50,Lignes_détenues!C313),5),ROUND(IF(C313&gt;365,interpoler(_mat2,taux2,C313),interpoler(_mat1,taux1,C313)),5))</f>
        <v>2.383E-2</v>
      </c>
      <c r="T313" s="1346">
        <f t="shared" si="30"/>
        <v>2.383E-2</v>
      </c>
      <c r="U313" s="1346">
        <f>ROUND(IF(D313*366&gt;366,interpoler(_mat2,taux2,D313*366),interpoler(_mat1,taux1,D313*366)),5)</f>
        <v>2.2700000000000001E-2</v>
      </c>
      <c r="V313" s="1347" t="str">
        <f>+IF((AB313-$AF$1)&lt;366,"M","A")</f>
        <v>M</v>
      </c>
      <c r="W313" s="1347" t="s">
        <v>287</v>
      </c>
      <c r="X313" s="1348">
        <f>+prix_titre(AF$1,AA313,AB313,M313,K313,W313,V313,P313,Q313,N313,D313,Y313)</f>
        <v>101638.8285766015</v>
      </c>
      <c r="Y313" s="1347">
        <v>1</v>
      </c>
      <c r="Z313" s="1349"/>
      <c r="AA313" s="1343">
        <f>Marché!G2667</f>
        <v>45586</v>
      </c>
      <c r="AB313" s="1343">
        <v>46316</v>
      </c>
      <c r="AC313" s="35"/>
    </row>
    <row r="314" spans="1:32" ht="15" hidden="1" x14ac:dyDescent="0.25">
      <c r="A314" s="1191">
        <v>153016</v>
      </c>
      <c r="B314" s="1192">
        <f t="shared" si="31"/>
        <v>104559.60215784186</v>
      </c>
      <c r="C314" s="1193">
        <f>(AB314-$AF$1)</f>
        <v>22</v>
      </c>
      <c r="D314" s="1194">
        <f t="shared" si="29"/>
        <v>2.6200000000000001E-2</v>
      </c>
      <c r="E314" s="1195">
        <f>duration_titre($AF$1,AA314,AB314,M314,K314,W314,V314,P314,Q314,N314,D314)</f>
        <v>6.0273972602739728E-2</v>
      </c>
      <c r="F314" s="1195">
        <f t="shared" si="32"/>
        <v>5.8735112651276289E-2</v>
      </c>
      <c r="G314" s="1195">
        <f>convexite_titre($AF$1,AA314,AB314,M314,K314,W314,V314,P314,Q314,N314,D314)</f>
        <v>6.0685354923054137E-2</v>
      </c>
      <c r="H314" s="1196">
        <f>+ROUND(coupon_courru($AF$1,AA314,AB314,M314,K314,W314,P314,Q314,N314,V314,"V"),4)</f>
        <v>2969.5342000000001</v>
      </c>
      <c r="I314" s="1199">
        <f>+IF(Y314=1,B314,D314*100)</f>
        <v>104559.60215784186</v>
      </c>
      <c r="J314" s="1193" t="str">
        <f>Marché!C2668</f>
        <v>CD CAM du  18/10/2024 à 3,16%   18 mois</v>
      </c>
      <c r="K314" s="1193">
        <f>Marché!D2668</f>
        <v>100000</v>
      </c>
      <c r="L314" s="1193">
        <f>Marché!E2668</f>
        <v>0</v>
      </c>
      <c r="M314" s="1197">
        <f>Marché!F2668</f>
        <v>3.1600000000000003E-2</v>
      </c>
      <c r="N314" s="1193">
        <f>Marché!I2668</f>
        <v>18</v>
      </c>
      <c r="O314" s="1200" t="str">
        <f>Marché!J2668</f>
        <v>M</v>
      </c>
      <c r="P314" s="1200" t="str">
        <f>Marché!K2668</f>
        <v>A</v>
      </c>
      <c r="Q314" s="1200" t="str">
        <f>Marché!L2668</f>
        <v>F</v>
      </c>
      <c r="R314" s="1287">
        <v>3.5000000000000001E-3</v>
      </c>
      <c r="S314" s="1229" cm="1">
        <f t="array" ref="S314">IF(C314&gt;'Courbe des taux'!$D$50,ROUND( TREND('Courbe des taux'!$E$49:$E$50,'Courbe des taux'!$D$49:$D$50,Lignes_détenues!C314),5),ROUND(IF(C314&gt;365,interpoler(_mat2,taux2,C314),interpoler(_mat1,taux1,C314)),5))</f>
        <v>2.2700000000000001E-2</v>
      </c>
      <c r="T314" s="1201">
        <f>S314</f>
        <v>2.2700000000000001E-2</v>
      </c>
      <c r="U314" s="1201">
        <f>ROUND(IF(D314*366&gt;366,interpoler(_mat2,taux2,D314*366),interpoler(_mat1,taux1,D314*366)),5)</f>
        <v>2.2700000000000001E-2</v>
      </c>
      <c r="V314" s="1202" t="str">
        <f>+IF((AB314-$AF$1)&lt;365,"M","A")</f>
        <v>M</v>
      </c>
      <c r="W314" s="1202" t="s">
        <v>287</v>
      </c>
      <c r="X314" s="1212">
        <f>(K314+(K314*M314*((AB314-AA314)/365)))/(1+D314*((AB314-AF1)/360))</f>
        <v>104559.60215784186</v>
      </c>
      <c r="Y314" s="1202">
        <v>1</v>
      </c>
      <c r="Z314" s="35">
        <v>45583</v>
      </c>
      <c r="AA314" s="1198">
        <f>+Marché!G2668</f>
        <v>45583</v>
      </c>
      <c r="AB314" s="1198">
        <f>+Marché!H2668</f>
        <v>46129</v>
      </c>
      <c r="AC314" s="35"/>
      <c r="AD314" s="2"/>
      <c r="AF314" s="2">
        <f>(AB314-AF1)</f>
        <v>22</v>
      </c>
    </row>
    <row r="315" spans="1:32" ht="15" hidden="1" x14ac:dyDescent="0.25">
      <c r="A315" s="1191">
        <v>201860</v>
      </c>
      <c r="B315" s="1192">
        <f t="shared" si="31"/>
        <v>104639.62114217214</v>
      </c>
      <c r="C315" s="1193">
        <f>(AB315-$AF$1)</f>
        <v>-248</v>
      </c>
      <c r="D315" s="1194">
        <f t="shared" si="29"/>
        <v>2.2700000000000001E-2</v>
      </c>
      <c r="E315" s="1195">
        <f>duration_titre($AF$1,AA315,AB315,M315,K315,W315,V315,P315,Q315,N315,D315)</f>
        <v>0</v>
      </c>
      <c r="F315" s="1195">
        <f t="shared" si="32"/>
        <v>0</v>
      </c>
      <c r="G315" s="1195">
        <f>convexite_titre($AF$1,AA315,AB315,M315,K315,W315,V315,P315,Q315,N315,D315)</f>
        <v>0</v>
      </c>
      <c r="H315" s="1196">
        <f>+ROUND(coupon_courru($AF$1,AA315,AB315,M315,K315,W315,P315,Q315,N315,V315,"V"),4)</f>
        <v>1969.7315000000001</v>
      </c>
      <c r="I315" s="1199">
        <f>+IF(Y315=1,B315,D315*100)</f>
        <v>104639.62114217214</v>
      </c>
      <c r="J315" s="1193" t="str">
        <f>Marché!C2669</f>
        <v>BDT ATY du  21/07/2024 à 2.90% 1 an</v>
      </c>
      <c r="K315" s="1193">
        <f>Marché!D2669</f>
        <v>100000</v>
      </c>
      <c r="L315" s="1193">
        <f>Marché!E2669</f>
        <v>0</v>
      </c>
      <c r="M315" s="1197">
        <f>Marché!F2669</f>
        <v>2.8989999999999998E-2</v>
      </c>
      <c r="N315" s="1193">
        <f>Marché!I2669</f>
        <v>1</v>
      </c>
      <c r="O315" s="1200" t="str">
        <f>Marché!J2669</f>
        <v>A</v>
      </c>
      <c r="P315" s="1200" t="str">
        <f>Marché!K2669</f>
        <v>A</v>
      </c>
      <c r="Q315" s="1200" t="str">
        <f>Marché!L2669</f>
        <v>F</v>
      </c>
      <c r="R315" s="1287">
        <v>0</v>
      </c>
      <c r="S315" s="1229" cm="1">
        <f t="array" ref="S315">IF(C315&gt;'Courbe des taux'!$D$50,ROUND( TREND('Courbe des taux'!$E$49:$E$50,'Courbe des taux'!$D$49:$D$50,Lignes_détenues!C315),5),ROUND(IF(C315&gt;365,interpoler(_mat2,taux2,C315),interpoler(_mat1,taux1,C315)),5))</f>
        <v>2.2700000000000001E-2</v>
      </c>
      <c r="T315" s="1201">
        <f t="shared" si="30"/>
        <v>2.2700000000000001E-2</v>
      </c>
      <c r="U315" s="1201">
        <f>ROUND(IF(D315*366&gt;366,interpoler(_mat2,taux2,D315*366),interpoler(_mat1,taux1,D315*366)),5)</f>
        <v>2.2700000000000001E-2</v>
      </c>
      <c r="V315" s="1202" t="str">
        <f>+IF((AB315-$AF$1)&lt;365,"M","A")</f>
        <v>M</v>
      </c>
      <c r="W315" s="1202" t="s">
        <v>287</v>
      </c>
      <c r="X315" s="1212">
        <f>(3003.29+K315)/(1+(D315*C315/360))</f>
        <v>104639.62114217214</v>
      </c>
      <c r="Y315" s="1202">
        <v>1</v>
      </c>
      <c r="Z315" s="35">
        <v>45494</v>
      </c>
      <c r="AA315" s="1198">
        <f>+Marché!G2669</f>
        <v>45481</v>
      </c>
      <c r="AB315" s="1198">
        <f>+Marché!H2669</f>
        <v>45859</v>
      </c>
      <c r="AC315" s="35"/>
      <c r="AD315" s="2"/>
      <c r="AE315" s="2" cm="1">
        <f t="array" ref="AE315">interpoler(_mat1,taux1,C314)</f>
        <v>2.2700000000000001E-2</v>
      </c>
    </row>
    <row r="316" spans="1:32" ht="15" hidden="1" x14ac:dyDescent="0.25">
      <c r="A316" s="1191">
        <v>153020</v>
      </c>
      <c r="B316" s="1192">
        <f t="shared" ref="B316:B322" si="33">X316</f>
        <v>0</v>
      </c>
      <c r="C316" s="1193">
        <f>(AB316-$AF$1)</f>
        <v>-335</v>
      </c>
      <c r="D316" s="1194">
        <f t="shared" si="29"/>
        <v>2.4500000000000001E-2</v>
      </c>
      <c r="E316" s="1195">
        <f>duration_titre($AF$1,AA316,AB316,M316,K316,W316,V316,P316,Q316,N316,D316)</f>
        <v>0</v>
      </c>
      <c r="F316" s="1195">
        <f t="shared" ref="F316:F322" si="34">+E316/(1+D316)</f>
        <v>0</v>
      </c>
      <c r="G316" s="1195">
        <f>convexite_titre($AF$1,AA316,AB316,M316,K316,W316,V316,P316,Q316,N316,D316)</f>
        <v>0</v>
      </c>
      <c r="H316" s="1196">
        <f>+ROUND(coupon_courru($AF$1,AA316,AB316,M316,K316,W316,P316,Q316,N316,V316,"V"),4)</f>
        <v>4222.1666999999998</v>
      </c>
      <c r="I316" s="1199">
        <f>+IF(Y316=1,B316,D316*100)</f>
        <v>0</v>
      </c>
      <c r="J316" s="1193" t="str">
        <f>Marché!C2670</f>
        <v>CD CDG CAPITAL DU 25/10/2024  26 SEM  à 2.94%</v>
      </c>
      <c r="K316" s="1193">
        <f>Marché!D2670</f>
        <v>100000</v>
      </c>
      <c r="L316" s="1193">
        <f>Marché!E2670</f>
        <v>0</v>
      </c>
      <c r="M316" s="1197">
        <f>Marché!F2670</f>
        <v>2.9399999999999999E-2</v>
      </c>
      <c r="N316" s="1193">
        <f>Marché!I2670</f>
        <v>26</v>
      </c>
      <c r="O316" s="1200" t="str">
        <f>Marché!J2670</f>
        <v>S</v>
      </c>
      <c r="P316" s="1200" t="str">
        <f>Marché!K2670</f>
        <v>A</v>
      </c>
      <c r="Q316" s="1200" t="str">
        <f>Marché!L2670</f>
        <v>F</v>
      </c>
      <c r="R316" s="1287">
        <v>1.8E-3</v>
      </c>
      <c r="S316" s="1229" cm="1">
        <f t="array" ref="S316">IF(C316&gt;'Courbe des taux'!$D$50,ROUND( TREND('Courbe des taux'!$E$49:$E$50,'Courbe des taux'!$D$49:$D$50,Lignes_détenues!C316),5),ROUND(IF(C316&gt;365,interpoler(_mat2,taux2,C316),interpoler(_mat1,taux1,C316)),5))</f>
        <v>2.2700000000000001E-2</v>
      </c>
      <c r="T316" s="1201">
        <f t="shared" si="30"/>
        <v>2.2700000000000001E-2</v>
      </c>
      <c r="U316" s="1201">
        <f>ROUND(IF(D316*366&gt;366,interpoler(_mat2,taux2,D316*366),interpoler(_mat1,taux1,D316*366)),5)</f>
        <v>2.2700000000000001E-2</v>
      </c>
      <c r="V316" s="1202" t="str">
        <f>+IF((AB316-$AF$1)&lt;365,"M","A")</f>
        <v>M</v>
      </c>
      <c r="W316" s="1202" t="s">
        <v>287</v>
      </c>
      <c r="X316" s="1212">
        <f>+prix_titre(AF$1,AA316,AB316,M316,K316,W316,V316,P316,Q316,N316,D316,Y316)</f>
        <v>0</v>
      </c>
      <c r="Y316" s="1202">
        <v>1</v>
      </c>
      <c r="Z316" s="35"/>
      <c r="AA316" s="1198">
        <f>+Marché!G2670</f>
        <v>45590</v>
      </c>
      <c r="AB316" s="1198">
        <f>+Marché!H2670</f>
        <v>45772</v>
      </c>
      <c r="AC316" s="35"/>
      <c r="AD316" s="2"/>
    </row>
    <row r="317" spans="1:32" ht="15" hidden="1" x14ac:dyDescent="0.25">
      <c r="A317" s="1191">
        <v>100963</v>
      </c>
      <c r="B317" s="1192">
        <f t="shared" si="33"/>
        <v>101654.17156632205</v>
      </c>
      <c r="C317" s="1193">
        <f>(AB317-$AF$1)</f>
        <v>585</v>
      </c>
      <c r="D317" s="1194">
        <f t="shared" si="29"/>
        <v>3.107E-2</v>
      </c>
      <c r="E317" s="1195">
        <f>duration_titre($AF$1,AA317,AB317,M317,K317,W317,V317,P317,Q317,N317,D317)</f>
        <v>1.5705801931656349</v>
      </c>
      <c r="F317" s="1195">
        <f t="shared" si="34"/>
        <v>1.523252730819086</v>
      </c>
      <c r="G317" s="1195">
        <f>convexite_titre($AF$1,AA317,AB317,M317,K317,W317,V317,P317,Q317,N317,D317)</f>
        <v>3.8269280209671095</v>
      </c>
      <c r="H317" s="1196">
        <f>+ROUND(coupon_courru($AF$1,AA317,AB317,M317,K317,W317,P317,Q317,N317,V317,"V"),4)</f>
        <v>1322.8767</v>
      </c>
      <c r="I317" s="1199">
        <f>+IF(Y317=1,B317,D317*100)</f>
        <v>101654.17156632205</v>
      </c>
      <c r="J317" s="1193" t="str">
        <f>Marché!C2671</f>
        <v>BSF EQDOM du 30/10/2024 à 3.33%  3 ANS ATYP 01/11/2024</v>
      </c>
      <c r="K317" s="1193">
        <f>Marché!D2671</f>
        <v>100000</v>
      </c>
      <c r="L317" s="1193">
        <f>Marché!E2671</f>
        <v>0</v>
      </c>
      <c r="M317" s="1197">
        <f>Marché!F2671</f>
        <v>3.3300000000000003E-2</v>
      </c>
      <c r="N317" s="1193">
        <f>Marché!I2671</f>
        <v>3</v>
      </c>
      <c r="O317" s="1200" t="str">
        <f>Marché!J2671</f>
        <v>A</v>
      </c>
      <c r="P317" s="1200" t="str">
        <f>Marché!K2671</f>
        <v>A</v>
      </c>
      <c r="Q317" s="1200" t="str">
        <f>Marché!L2671</f>
        <v>F</v>
      </c>
      <c r="R317" s="1287">
        <v>5.0000000000000001E-3</v>
      </c>
      <c r="S317" s="1229" cm="1">
        <f t="array" ref="S317">IF(C317&gt;'Courbe des taux'!$D$50,ROUND( TREND('Courbe des taux'!$E$49:$E$50,'Courbe des taux'!$D$49:$D$50,Lignes_détenues!C317),5),ROUND(IF(C317&gt;365,interpoler(_mat2,taux2,C317),interpoler(_mat1,taux1,C317)),5))</f>
        <v>2.6069999999999999E-2</v>
      </c>
      <c r="T317" s="1201">
        <f t="shared" si="30"/>
        <v>2.6069999999999999E-2</v>
      </c>
      <c r="U317" s="1201">
        <f>ROUND(IF(D317*366&gt;366,interpoler(_mat2,taux2,D317*366),interpoler(_mat1,taux1,D317*366)),5)</f>
        <v>2.2700000000000001E-2</v>
      </c>
      <c r="V317" s="1202" t="str">
        <f>+IF((AB317-$AF$1)&lt;365,"M","A")</f>
        <v>A</v>
      </c>
      <c r="W317" s="1202" t="s">
        <v>287</v>
      </c>
      <c r="X317" s="1212">
        <f>+prix_atp(AF$1,AA317,Z317,AB317,M317,K317,W317,V317,P317,Q317,N317,D317,Y317)</f>
        <v>101654.17156632205</v>
      </c>
      <c r="Y317" s="1202">
        <v>1</v>
      </c>
      <c r="Z317" s="35">
        <v>45597</v>
      </c>
      <c r="AA317" s="1198">
        <f>+Marché!G2671</f>
        <v>45595</v>
      </c>
      <c r="AB317" s="1198">
        <f>+Marché!H2671</f>
        <v>46692</v>
      </c>
      <c r="AC317" s="35"/>
      <c r="AD317" s="2"/>
    </row>
    <row r="318" spans="1:32" ht="15" hidden="1" x14ac:dyDescent="0.25">
      <c r="A318" s="1191">
        <v>153022</v>
      </c>
      <c r="B318" s="1192">
        <f t="shared" si="33"/>
        <v>0</v>
      </c>
      <c r="C318" s="1193">
        <f>(AB318-$AF$1)</f>
        <v>-328</v>
      </c>
      <c r="D318" s="1194">
        <f t="shared" si="29"/>
        <v>2.47E-2</v>
      </c>
      <c r="E318" s="1195">
        <f>duration_titre($AF$1,AA318,AB318,M318,K318,W318,V318,P318,Q318,N318,D318)</f>
        <v>0</v>
      </c>
      <c r="F318" s="1195">
        <f t="shared" si="34"/>
        <v>0</v>
      </c>
      <c r="G318" s="1195">
        <f>convexite_titre($AF$1,AA318,AB318,M318,K318,W318,V318,P318,Q318,N318,D318)</f>
        <v>0</v>
      </c>
      <c r="H318" s="1196">
        <f>+ROUND(coupon_courru($AF$1,AA318,AB318,M318,K318,W318,P318,Q318,N318,V318,"V"),4)</f>
        <v>4201.5555999999997</v>
      </c>
      <c r="I318" s="1199">
        <f>+IF(Y318=1,B318,D318*100)</f>
        <v>0</v>
      </c>
      <c r="J318" s="1193" t="str">
        <f>Marché!C2672</f>
        <v>CD CDM du 31/10/2024 à 2.96%  26 SEM</v>
      </c>
      <c r="K318" s="1193">
        <f>Marché!D2672</f>
        <v>100000</v>
      </c>
      <c r="L318" s="1193">
        <f>Marché!E2672</f>
        <v>0</v>
      </c>
      <c r="M318" s="1197">
        <f>Marché!F2672</f>
        <v>2.9600000000000001E-2</v>
      </c>
      <c r="N318" s="1193">
        <f>Marché!I2672</f>
        <v>26</v>
      </c>
      <c r="O318" s="1200" t="str">
        <f>Marché!J2672</f>
        <v>S</v>
      </c>
      <c r="P318" s="1200" t="str">
        <f>Marché!K2672</f>
        <v>A</v>
      </c>
      <c r="Q318" s="1200" t="str">
        <f>Marché!L2672</f>
        <v>F</v>
      </c>
      <c r="R318" s="1287">
        <v>2E-3</v>
      </c>
      <c r="S318" s="1229" cm="1">
        <f t="array" ref="S318">IF(C318&gt;'Courbe des taux'!$D$50,ROUND( TREND('Courbe des taux'!$E$49:$E$50,'Courbe des taux'!$D$49:$D$50,Lignes_détenues!C318),5),ROUND(IF(C318&gt;365,interpoler(_mat2,taux2,C318),interpoler(_mat1,taux1,C318)),5))</f>
        <v>2.2700000000000001E-2</v>
      </c>
      <c r="T318" s="1201">
        <f t="shared" si="30"/>
        <v>2.2700000000000001E-2</v>
      </c>
      <c r="U318" s="1201">
        <f>ROUND(IF(D318*366&gt;366,interpoler(_mat2,taux2,D318*366),interpoler(_mat1,taux1,D318*366)),5)</f>
        <v>2.2700000000000001E-2</v>
      </c>
      <c r="V318" s="1202" t="str">
        <f>+IF((AB318-$AF$1)&lt;365,"M","A")</f>
        <v>M</v>
      </c>
      <c r="W318" s="1202" t="s">
        <v>287</v>
      </c>
      <c r="X318" s="1212">
        <f>+prix_atp(AF$1,AA318,Z318,AB318,M318,K318,W318,V318,P318,Q318,N318,D318,Y318)</f>
        <v>0</v>
      </c>
      <c r="Y318" s="1202">
        <v>1</v>
      </c>
      <c r="Z318" s="35"/>
      <c r="AA318" s="1198">
        <f>+Marché!G2672</f>
        <v>45596</v>
      </c>
      <c r="AB318" s="1198">
        <f>+Marché!H2672</f>
        <v>45779</v>
      </c>
      <c r="AC318" s="35"/>
      <c r="AD318" s="2"/>
    </row>
    <row r="319" spans="1:32" ht="15" hidden="1" x14ac:dyDescent="0.25">
      <c r="A319" s="1191">
        <v>153023</v>
      </c>
      <c r="B319" s="1192">
        <f t="shared" si="33"/>
        <v>104016.91851433413</v>
      </c>
      <c r="C319" s="1193">
        <f>(AB319-$AF$1)</f>
        <v>-238</v>
      </c>
      <c r="D319" s="1194">
        <f t="shared" si="29"/>
        <v>2.5000000000000001E-2</v>
      </c>
      <c r="E319" s="1195">
        <f>duration_titre($AF$1,AA319,AB319,M319,K319,W319,V319,P319,Q319,N319,D319)</f>
        <v>0</v>
      </c>
      <c r="F319" s="1195">
        <f t="shared" si="34"/>
        <v>0</v>
      </c>
      <c r="G319" s="1195">
        <f>convexite_titre($AF$1,AA319,AB319,M319,K319,W319,V319,P319,Q319,N319,D319)</f>
        <v>0</v>
      </c>
      <c r="H319" s="1196">
        <f>+ROUND(coupon_courru($AF$1,AA319,AB319,M319,K319,W319,P319,Q319,N319,V319,"V"),4)</f>
        <v>1975.7260000000001</v>
      </c>
      <c r="I319" s="1199">
        <f>+IF(Y319=1,B319,D319*100)</f>
        <v>104016.91851433413</v>
      </c>
      <c r="J319" s="1193" t="str">
        <f>Marché!C2673</f>
        <v>CD CDM du 31/10/2024 à 3.03%  9 MOIS</v>
      </c>
      <c r="K319" s="1193">
        <f>Marché!D2673</f>
        <v>100000</v>
      </c>
      <c r="L319" s="1193">
        <f>Marché!E2673</f>
        <v>0</v>
      </c>
      <c r="M319" s="1197">
        <f>Marché!F2673</f>
        <v>3.0300000000000001E-2</v>
      </c>
      <c r="N319" s="1193">
        <f>Marché!I2673</f>
        <v>9</v>
      </c>
      <c r="O319" s="1200" t="str">
        <f>Marché!J2673</f>
        <v>M</v>
      </c>
      <c r="P319" s="1200" t="str">
        <f>Marché!K2673</f>
        <v>A</v>
      </c>
      <c r="Q319" s="1200" t="str">
        <f>Marché!L2673</f>
        <v>F</v>
      </c>
      <c r="R319" s="1287">
        <v>2.3E-3</v>
      </c>
      <c r="S319" s="1229" cm="1">
        <f t="array" ref="S319">IF(C319&gt;'Courbe des taux'!$D$50,ROUND( TREND('Courbe des taux'!$E$49:$E$50,'Courbe des taux'!$D$49:$D$50,Lignes_détenues!C319),5),ROUND(IF(C319&gt;365,interpoler(_mat2,taux2,C319),interpoler(_mat1,taux1,C319)),5))</f>
        <v>2.2700000000000001E-2</v>
      </c>
      <c r="T319" s="1201">
        <f t="shared" si="30"/>
        <v>2.2700000000000001E-2</v>
      </c>
      <c r="U319" s="1201">
        <f>ROUND(IF(D319*366&gt;366,interpoler(_mat2,taux2,D319*366),interpoler(_mat1,taux1,D319*366)),5)</f>
        <v>2.2700000000000001E-2</v>
      </c>
      <c r="V319" s="1202" t="str">
        <f>+IF((AB319-$AF$1)&lt;365,"M","A")</f>
        <v>M</v>
      </c>
      <c r="W319" s="1202" t="s">
        <v>287</v>
      </c>
      <c r="X319" s="1212">
        <f>(K319+2297.75)/(1+D319*C319/360)</f>
        <v>104016.91851433413</v>
      </c>
      <c r="Y319" s="1202">
        <v>1</v>
      </c>
      <c r="Z319" s="35"/>
      <c r="AA319" s="1198">
        <f>+Marché!G2673</f>
        <v>45596</v>
      </c>
      <c r="AB319" s="1198">
        <f>+Marché!H2673</f>
        <v>45869</v>
      </c>
      <c r="AC319" s="35"/>
      <c r="AD319" s="2"/>
    </row>
    <row r="320" spans="1:32" ht="15" hidden="1" x14ac:dyDescent="0.25">
      <c r="A320" s="1191">
        <v>153024</v>
      </c>
      <c r="B320" s="1192">
        <f t="shared" si="33"/>
        <v>104274.03728257031</v>
      </c>
      <c r="C320" s="1193">
        <f>(AB320-$AF$1)</f>
        <v>35</v>
      </c>
      <c r="D320" s="1194">
        <f t="shared" si="29"/>
        <v>2.5499999999999998E-2</v>
      </c>
      <c r="E320" s="1195">
        <f>duration_titre($AF$1,AA320,AB320,M320,K320,W320,V320,P320,Q320,N320,D320)</f>
        <v>9.5890410958904104E-2</v>
      </c>
      <c r="F320" s="1195">
        <f t="shared" si="34"/>
        <v>9.3506007760998627E-2</v>
      </c>
      <c r="G320" s="1195">
        <f>convexite_titre($AF$1,AA320,AB320,M320,K320,W320,V320,P320,Q320,N320,D320)</f>
        <v>9.992426842742784E-2</v>
      </c>
      <c r="H320" s="1196">
        <f>+ROUND(coupon_courru($AF$1,AA320,AB320,M320,K320,W320,P320,Q320,N320,V320,"V"),4)</f>
        <v>2739.4521</v>
      </c>
      <c r="I320" s="1199">
        <f>+IF(Y320=1,B320,D320*100)</f>
        <v>104274.03728257031</v>
      </c>
      <c r="J320" s="1193" t="str">
        <f>Marché!C2674</f>
        <v>CD SGMB du 31/10/2024 à 3.03%  18 MOIS ATYP 30/04/2025</v>
      </c>
      <c r="K320" s="1193">
        <f>Marché!D2674</f>
        <v>100000</v>
      </c>
      <c r="L320" s="1193">
        <f>Marché!E2674</f>
        <v>0</v>
      </c>
      <c r="M320" s="1197">
        <f>Marché!F2674</f>
        <v>3.0300000000000001E-2</v>
      </c>
      <c r="N320" s="1193">
        <f>Marché!I2674</f>
        <v>18</v>
      </c>
      <c r="O320" s="1200" t="str">
        <f>Marché!J2674</f>
        <v>M</v>
      </c>
      <c r="P320" s="1200" t="str">
        <f>Marché!K2674</f>
        <v>A</v>
      </c>
      <c r="Q320" s="1200" t="str">
        <f>Marché!L2674</f>
        <v>F</v>
      </c>
      <c r="R320" s="1287">
        <v>2.8E-3</v>
      </c>
      <c r="S320" s="1229" cm="1">
        <f t="array" ref="S320">IF(C320&gt;'Courbe des taux'!$D$50,ROUND( TREND('Courbe des taux'!$E$49:$E$50,'Courbe des taux'!$D$49:$D$50,Lignes_détenues!C320),5),ROUND(IF(C320&gt;365,interpoler(_mat2,taux2,C320),interpoler(_mat1,taux1,C320)),5))</f>
        <v>2.2700000000000001E-2</v>
      </c>
      <c r="T320" s="1201">
        <f t="shared" si="30"/>
        <v>2.2700000000000001E-2</v>
      </c>
      <c r="U320" s="1201">
        <f>ROUND(IF(D320*366&gt;366,interpoler(_mat2,taux2,D320*366),interpoler(_mat1,taux1,D320*366)),5)</f>
        <v>2.2700000000000001E-2</v>
      </c>
      <c r="V320" s="1202" t="str">
        <f>+IF((AB320-$AF$1)&lt;365,"M","A")</f>
        <v>M</v>
      </c>
      <c r="W320" s="1202" t="s">
        <v>287</v>
      </c>
      <c r="X320" s="1212">
        <f>104532.55/(1+D320*((AB320-AF1)/360))</f>
        <v>104274.03728257031</v>
      </c>
      <c r="Y320" s="1202">
        <v>1</v>
      </c>
      <c r="Z320" s="35">
        <v>45777</v>
      </c>
      <c r="AA320" s="1198">
        <f>+Marché!G2674</f>
        <v>45596</v>
      </c>
      <c r="AB320" s="1198">
        <f>+Marché!H2674</f>
        <v>46142</v>
      </c>
      <c r="AC320" s="35"/>
      <c r="AD320" s="2"/>
    </row>
    <row r="321" spans="1:31" ht="15" hidden="1" x14ac:dyDescent="0.25">
      <c r="A321" s="1191">
        <v>153025</v>
      </c>
      <c r="B321" s="1192">
        <f t="shared" si="33"/>
        <v>104013.01299278627</v>
      </c>
      <c r="C321" s="1193">
        <f>(AB321-$AF$1)</f>
        <v>-146</v>
      </c>
      <c r="D321" s="1194">
        <f t="shared" si="29"/>
        <v>2.52E-2</v>
      </c>
      <c r="E321" s="1195">
        <f>duration_titre($AF$1,AA321,AB321,M321,K321,W321,V321,P321,Q321,N321,D321)</f>
        <v>0</v>
      </c>
      <c r="F321" s="1195">
        <f t="shared" si="34"/>
        <v>0</v>
      </c>
      <c r="G321" s="1195">
        <f>convexite_titre($AF$1,AA321,AB321,M321,K321,W321,V321,P321,Q321,N321,D321)</f>
        <v>0</v>
      </c>
      <c r="H321" s="1196">
        <f>+ROUND(coupon_courru($AF$1,AA321,AB321,M321,K321,W321,P321,Q321,N321,V321,"V"),4)</f>
        <v>1180</v>
      </c>
      <c r="I321" s="1199">
        <f>+IF(Y321=1,B321,D321*100)</f>
        <v>104013.01299278627</v>
      </c>
      <c r="J321" s="1193" t="str">
        <f>Marché!C2675</f>
        <v xml:space="preserve">CD SGMB du 31/10/2024 à 2.95%  1 an </v>
      </c>
      <c r="K321" s="1193">
        <f>Marché!D2675</f>
        <v>100000</v>
      </c>
      <c r="L321" s="1193">
        <f>Marché!E2675</f>
        <v>0</v>
      </c>
      <c r="M321" s="1197">
        <f>Marché!F2675</f>
        <v>2.9499999999999998E-2</v>
      </c>
      <c r="N321" s="1193">
        <f>Marché!I2675</f>
        <v>1</v>
      </c>
      <c r="O321" s="1200" t="str">
        <f>Marché!J2675</f>
        <v>A</v>
      </c>
      <c r="P321" s="1200" t="str">
        <f>Marché!K2675</f>
        <v>A</v>
      </c>
      <c r="Q321" s="1200" t="str">
        <f>Marché!L2675</f>
        <v>F</v>
      </c>
      <c r="R321" s="1287">
        <v>2.5000000000000001E-3</v>
      </c>
      <c r="S321" s="1229" cm="1">
        <f t="array" ref="S321">IF(C321&gt;'Courbe des taux'!$D$50,ROUND( TREND('Courbe des taux'!$E$49:$E$50,'Courbe des taux'!$D$49:$D$50,Lignes_détenues!C321),5),ROUND(IF(C321&gt;365,interpoler(_mat2,taux2,C321),interpoler(_mat1,taux1,C321)),5))</f>
        <v>2.2700000000000001E-2</v>
      </c>
      <c r="T321" s="1201">
        <f t="shared" si="30"/>
        <v>2.2700000000000001E-2</v>
      </c>
      <c r="U321" s="1201">
        <f>ROUND(IF(D321*366&gt;366,interpoler(_mat2,taux2,D321*366),interpoler(_mat1,taux1,D321*366)),5)</f>
        <v>2.2700000000000001E-2</v>
      </c>
      <c r="V321" s="1202" t="str">
        <f>+IF((AB321-$AF$1)&lt;365,"M","A")</f>
        <v>M</v>
      </c>
      <c r="W321" s="1202" t="s">
        <v>287</v>
      </c>
      <c r="X321" s="1212">
        <f>(K321+2950)/(1+D321*C321/360)</f>
        <v>104013.01299278627</v>
      </c>
      <c r="Y321" s="1202">
        <v>1</v>
      </c>
      <c r="Z321" s="35"/>
      <c r="AA321" s="1198">
        <f>+Marché!G2675</f>
        <v>45596</v>
      </c>
      <c r="AB321" s="1198">
        <f>+Marché!H2675</f>
        <v>45961</v>
      </c>
      <c r="AC321" s="35"/>
      <c r="AD321" s="2"/>
    </row>
    <row r="322" spans="1:31" ht="15" hidden="1" x14ac:dyDescent="0.25">
      <c r="A322" s="1191">
        <v>100964</v>
      </c>
      <c r="B322" s="1192">
        <f t="shared" si="33"/>
        <v>101412.2478556876</v>
      </c>
      <c r="C322" s="1193">
        <f>(AB322-$AF$1)</f>
        <v>1316</v>
      </c>
      <c r="D322" s="1194">
        <f t="shared" si="29"/>
        <v>3.4110000000000001E-2</v>
      </c>
      <c r="E322" s="1195">
        <f>duration_titre($AF$1,AA322,AB322,M322,K322,W322,V322,P322,Q322,N322,D322)</f>
        <v>3.4107514548125768</v>
      </c>
      <c r="F322" s="1195">
        <f t="shared" si="34"/>
        <v>3.2982482084232592</v>
      </c>
      <c r="G322" s="1195">
        <f>convexite_titre($AF$1,AA322,AB322,M322,K322,W322,V322,P322,Q322,N322,D322)</f>
        <v>14.461139148572553</v>
      </c>
      <c r="H322" s="1196">
        <f>+ROUND(coupon_courru($AF$1,AA322,AB322,M322,K322,W322,P322,Q322,N322,V322,"V"),4)</f>
        <v>1362.6026999999999</v>
      </c>
      <c r="I322" s="1199">
        <f>+IF(Y322=1,B322,D322*100)</f>
        <v>101412.2478556876</v>
      </c>
      <c r="J322" s="1193" t="str">
        <f>Marché!C2676</f>
        <v>BSF WAFASALAF du 01/11/2024 à 3.43% 5ANS</v>
      </c>
      <c r="K322" s="1193">
        <f>Marché!D2676</f>
        <v>100000</v>
      </c>
      <c r="L322" s="1193">
        <f>Marché!E2676</f>
        <v>0</v>
      </c>
      <c r="M322" s="1197">
        <f>Marché!F2676</f>
        <v>3.4299999999999997E-2</v>
      </c>
      <c r="N322" s="1193">
        <f>Marché!I2676</f>
        <v>5</v>
      </c>
      <c r="O322" s="1200" t="str">
        <f>Marché!J2676</f>
        <v>A</v>
      </c>
      <c r="P322" s="1200" t="str">
        <f>Marché!K2676</f>
        <v>A</v>
      </c>
      <c r="Q322" s="1200" t="str">
        <f>Marché!L2676</f>
        <v>F</v>
      </c>
      <c r="R322" s="1287">
        <v>5.0000000000000001E-3</v>
      </c>
      <c r="S322" s="1229" cm="1">
        <f t="array" ref="S322">IF(C322&gt;'Courbe des taux'!$D$50,ROUND( TREND('Courbe des taux'!$E$49:$E$50,'Courbe des taux'!$D$49:$D$50,Lignes_détenues!C322),5),ROUND(IF(C322&gt;365,interpoler(_mat2,taux2,C322),interpoler(_mat1,taux1,C322)),5))</f>
        <v>2.911E-2</v>
      </c>
      <c r="T322" s="1201">
        <f t="shared" si="30"/>
        <v>2.911E-2</v>
      </c>
      <c r="U322" s="1201">
        <f>ROUND(IF(D322*366&gt;366,interpoler(_mat2,taux2,D322*366),interpoler(_mat1,taux1,D322*366)),5)</f>
        <v>2.2700000000000001E-2</v>
      </c>
      <c r="V322" s="1202" t="str">
        <f>+IF((AB322-$AF$1)&lt;365,"M","A")</f>
        <v>A</v>
      </c>
      <c r="W322" s="1202" t="s">
        <v>287</v>
      </c>
      <c r="X322" s="1212">
        <f>+prix_titre(AF$1,AA322,AB322,M322,K322,W322,V322,P322,Q322,N322,D322,Y322)</f>
        <v>101412.2478556876</v>
      </c>
      <c r="Y322" s="1202">
        <v>1</v>
      </c>
      <c r="Z322" s="35"/>
      <c r="AA322" s="1198">
        <f>+Marché!G2676</f>
        <v>45597</v>
      </c>
      <c r="AB322" s="1198">
        <f>+Marché!H2676</f>
        <v>47423</v>
      </c>
      <c r="AC322" s="35"/>
      <c r="AD322" s="2"/>
    </row>
    <row r="323" spans="1:31" ht="15" hidden="1" x14ac:dyDescent="0.25">
      <c r="A323" s="1191">
        <v>201872</v>
      </c>
      <c r="B323" s="1192">
        <f t="shared" ref="B323:B340" si="35">X323</f>
        <v>110678.13282532667</v>
      </c>
      <c r="C323" s="1193">
        <f>(AB323-$AF$1)</f>
        <v>7081</v>
      </c>
      <c r="D323" s="1194">
        <f t="shared" si="29"/>
        <v>3.6499999999999998E-2</v>
      </c>
      <c r="E323" s="1195">
        <f>duration_titre($AF$1,AA323,AB323,M323,K323,W323,V323,P323,Q323,N323,D323)</f>
        <v>13.683973718693581</v>
      </c>
      <c r="F323" s="1195">
        <f t="shared" ref="F323:F340" si="36">+E323/(1+D323)</f>
        <v>13.202097171918554</v>
      </c>
      <c r="G323" s="1195">
        <f>convexite_titre($AF$1,AA323,AB323,M323,K323,W323,V323,P323,Q323,N323,D323)</f>
        <v>229.65129809777596</v>
      </c>
      <c r="H323" s="1196">
        <f>+ROUND(coupon_courru($AF$1,AA323,AB323,M323,K323,W323,P323,Q323,N323,V323,"V"),4)</f>
        <v>2454.7945</v>
      </c>
      <c r="I323" s="1199">
        <f>+IF(Y323=1,B323,D323*100)</f>
        <v>110678.13282532667</v>
      </c>
      <c r="J323" s="1193" t="str">
        <f>Marché!C2677</f>
        <v>BDT DU 14/08/2025 à 4% 20 ans</v>
      </c>
      <c r="K323" s="1193">
        <f>Marché!D2677</f>
        <v>100000</v>
      </c>
      <c r="L323" s="1193">
        <f>Marché!E2677</f>
        <v>0</v>
      </c>
      <c r="M323" s="1197">
        <f>Marché!F2677</f>
        <v>0.04</v>
      </c>
      <c r="N323" s="1193">
        <f>Marché!I2677</f>
        <v>20</v>
      </c>
      <c r="O323" s="1200" t="str">
        <f>Marché!J2677</f>
        <v>A</v>
      </c>
      <c r="P323" s="1200" t="str">
        <f>Marché!K2677</f>
        <v>A</v>
      </c>
      <c r="Q323" s="1200" t="str">
        <f>Marché!L2677</f>
        <v>F</v>
      </c>
      <c r="R323" s="1287">
        <v>0</v>
      </c>
      <c r="S323" s="1229" cm="1">
        <f t="array" ref="S323">IF(C323&gt;'Courbe des taux'!$D$50,ROUND( TREND('Courbe des taux'!$E$49:$E$50,'Courbe des taux'!$D$49:$D$50,Lignes_détenues!C323),5),ROUND(IF(C323&gt;365,interpoler(_mat2,taux2,C323),interpoler(_mat1,taux1,C323)),5))</f>
        <v>3.6499999999999998E-2</v>
      </c>
      <c r="T323" s="1201">
        <f t="shared" si="30"/>
        <v>3.6499999999999998E-2</v>
      </c>
      <c r="U323" s="1201">
        <f>ROUND(IF(D323*366&gt;366,interpoler(_mat2,taux2,D323*366),interpoler(_mat1,taux1,D323*366)),5)</f>
        <v>2.2700000000000001E-2</v>
      </c>
      <c r="V323" s="1202" t="str">
        <f>+IF((AB323-$AF$1)&lt;365,"M","A")</f>
        <v>A</v>
      </c>
      <c r="W323" s="1202" t="s">
        <v>287</v>
      </c>
      <c r="X323" s="1212">
        <f>+prix_atp(AF$1,AA323,Z323,AB323,M323,K323,W323,V323,P323,Q323,N323,D323,Y323)</f>
        <v>110678.13282532667</v>
      </c>
      <c r="Y323" s="1202">
        <v>1</v>
      </c>
      <c r="Z323" s="35">
        <v>45883</v>
      </c>
      <c r="AA323" s="1198">
        <f>+Marché!G2677</f>
        <v>45565</v>
      </c>
      <c r="AB323" s="1198">
        <f>+Marché!H2677</f>
        <v>53188</v>
      </c>
      <c r="AC323" s="35"/>
      <c r="AD323" s="2"/>
    </row>
    <row r="324" spans="1:31" ht="15" hidden="1" x14ac:dyDescent="0.25">
      <c r="A324" s="1191">
        <v>153021</v>
      </c>
      <c r="B324" s="1192">
        <f t="shared" si="35"/>
        <v>0</v>
      </c>
      <c r="C324" s="1193">
        <f>(AB324-$AF$1)</f>
        <v>-421</v>
      </c>
      <c r="D324" s="1194">
        <f t="shared" si="29"/>
        <v>2.4500000000000001E-2</v>
      </c>
      <c r="E324" s="1195">
        <f>duration_titre($AF$1,AA324,AB324,M324,K324,W324,V324,P324,Q324,N324,D324)</f>
        <v>0</v>
      </c>
      <c r="F324" s="1195">
        <f t="shared" si="36"/>
        <v>0</v>
      </c>
      <c r="G324" s="1195">
        <f>convexite_titre($AF$1,AA324,AB324,M324,K324,W324,V324,P324,Q324,N324,D324)</f>
        <v>0</v>
      </c>
      <c r="H324" s="1196">
        <f>+ROUND(coupon_courru($AF$1,AA324,AB324,M324,K324,W324,P324,Q324,N324,V324,"V"),4)</f>
        <v>4181.3333000000002</v>
      </c>
      <c r="I324" s="1199">
        <f>+IF(Y325=1,B324,D324*100)</f>
        <v>2.4500000000000002</v>
      </c>
      <c r="J324" s="1193" t="str">
        <f>Marché!C2678</f>
        <v>CD CDM du 30/10/2024 à 2.94%  13 SEM</v>
      </c>
      <c r="K324" s="1193">
        <f>Marché!D2678</f>
        <v>100000</v>
      </c>
      <c r="L324" s="1193">
        <f>Marché!E2678</f>
        <v>0</v>
      </c>
      <c r="M324" s="1197">
        <f>Marché!F2678</f>
        <v>2.9399999999999999E-2</v>
      </c>
      <c r="N324" s="1193">
        <f>Marché!I2678</f>
        <v>13</v>
      </c>
      <c r="O324" s="1200" t="str">
        <f>Marché!J2678</f>
        <v>S</v>
      </c>
      <c r="P324" s="1200" t="str">
        <f>Marché!K2678</f>
        <v>A</v>
      </c>
      <c r="Q324" s="1200" t="str">
        <f>Marché!L2678</f>
        <v>F</v>
      </c>
      <c r="R324" s="1287">
        <v>1.8E-3</v>
      </c>
      <c r="S324" s="1229" cm="1">
        <f t="array" ref="S324">IF(C324&gt;'Courbe des taux'!$D$50,ROUND( TREND('Courbe des taux'!$E$49:$E$50,'Courbe des taux'!$D$49:$D$50,Lignes_détenues!C324),5),ROUND(IF(C324&gt;365,interpoler(_mat2,taux2,C324),interpoler(_mat1,taux1,C324)),5))</f>
        <v>2.2700000000000001E-2</v>
      </c>
      <c r="T324" s="1201">
        <f t="shared" si="30"/>
        <v>2.2700000000000001E-2</v>
      </c>
      <c r="U324" s="1201">
        <f>ROUND(IF(D324*366&gt;366,interpoler(_mat2,taux2,D324*366),interpoler(_mat1,taux1,D324*366)),5)</f>
        <v>2.2700000000000001E-2</v>
      </c>
      <c r="V324" s="1202" t="str">
        <f>+IF((AB324-$AF$1)&lt;365,"M","A")</f>
        <v>M</v>
      </c>
      <c r="W324" s="1202" t="s">
        <v>287</v>
      </c>
      <c r="X324" s="1212">
        <f>+prix_atp(AF$1,AA324,Z324,AB324,M324,K324,W324,V324,P324,Q324,N324,D324,Y325)</f>
        <v>0</v>
      </c>
      <c r="Y324" s="1202">
        <v>1</v>
      </c>
      <c r="Z324" s="35">
        <v>45595</v>
      </c>
      <c r="AA324" s="1198">
        <f>+Marché!G2678</f>
        <v>45595</v>
      </c>
      <c r="AB324" s="1198">
        <f>+Marché!H2678</f>
        <v>45686</v>
      </c>
      <c r="AC324" s="35"/>
      <c r="AD324" s="2"/>
    </row>
    <row r="325" spans="1:31" ht="15" hidden="1" x14ac:dyDescent="0.25">
      <c r="A325" s="1191">
        <v>201870</v>
      </c>
      <c r="B325" s="1192">
        <f t="shared" si="35"/>
        <v>106791.05620754688</v>
      </c>
      <c r="C325" s="1193">
        <f>(AB325-$AF$1)</f>
        <v>5226</v>
      </c>
      <c r="D325" s="1194">
        <f t="shared" si="29"/>
        <v>3.533E-2</v>
      </c>
      <c r="E325" s="1195">
        <f>duration_titre($AF$1,AA325,AB325,M325,K325,W325,V325,P325,Q325,N325,D325)</f>
        <v>11.150746680223829</v>
      </c>
      <c r="F325" s="1195">
        <f t="shared" si="36"/>
        <v>10.770234302322764</v>
      </c>
      <c r="G325" s="1195">
        <f>convexite_titre($AF$1,AA325,AB325,M325,K325,W325,V325,P325,Q325,N325,D325)</f>
        <v>146.77211368860898</v>
      </c>
      <c r="H325" s="1196">
        <f>+ROUND(coupon_courru($AF$1,AA325,AB325,M325,K325,W325,P325,Q325,N325,V325,"V"),4)</f>
        <v>2530</v>
      </c>
      <c r="I325" s="1199">
        <f>+IF(Y327=1,B325,D325*100)</f>
        <v>106791.05620754688</v>
      </c>
      <c r="J325" s="1193" t="str">
        <f>Marché!C2679</f>
        <v>BDT DU 16/07/2025 à 3.65% 15 ans ATYP 18/09/2024</v>
      </c>
      <c r="K325" s="1193">
        <f>Marché!D2679</f>
        <v>100000</v>
      </c>
      <c r="L325" s="1193">
        <f>Marché!E2679</f>
        <v>0</v>
      </c>
      <c r="M325" s="1197">
        <f>Marché!F2679</f>
        <v>3.6499999999999998E-2</v>
      </c>
      <c r="N325" s="1193">
        <f>Marché!I2679</f>
        <v>15</v>
      </c>
      <c r="O325" s="1200" t="str">
        <f>Marché!J2679</f>
        <v>A</v>
      </c>
      <c r="P325" s="1200" t="str">
        <f>Marché!K2679</f>
        <v>A</v>
      </c>
      <c r="Q325" s="1200" t="str">
        <f>Marché!L2679</f>
        <v>F</v>
      </c>
      <c r="R325" s="1287">
        <v>0</v>
      </c>
      <c r="S325" s="1229" cm="1">
        <f t="array" ref="S325">IF(C325&gt;'Courbe des taux'!$D$50,ROUND( TREND('Courbe des taux'!$E$49:$E$50,'Courbe des taux'!$D$49:$D$50,Lignes_détenues!C325),5),ROUND(IF(C325&gt;365,interpoler(_mat2,taux2,C325),interpoler(_mat1,taux1,C325)),5))</f>
        <v>3.533E-2</v>
      </c>
      <c r="T325" s="1201">
        <f t="shared" si="30"/>
        <v>3.533E-2</v>
      </c>
      <c r="U325" s="1201">
        <f>ROUND(IF(D325*366&gt;366,interpoler(_mat2,taux2,D325*366),interpoler(_mat1,taux1,D325*366)),5)</f>
        <v>2.2700000000000001E-2</v>
      </c>
      <c r="V325" s="1202" t="str">
        <f>+IF((AB325-$AF$1)&lt;365,"M","A")</f>
        <v>A</v>
      </c>
      <c r="W325" s="1202" t="s">
        <v>287</v>
      </c>
      <c r="X325" s="1212">
        <f>+prix_atp(AF$1,AA325,Z325,AB325,M325,K325,W325,V325,P325,Q325,N325,D325,#REF!)</f>
        <v>106791.05620754688</v>
      </c>
      <c r="Y325" s="1202">
        <v>2</v>
      </c>
      <c r="Z325" s="35">
        <v>45854</v>
      </c>
      <c r="AA325" s="1198">
        <f>+Marché!G2679</f>
        <v>45553</v>
      </c>
      <c r="AB325" s="1198">
        <f>+Marché!H2679</f>
        <v>51333</v>
      </c>
      <c r="AC325" s="35"/>
      <c r="AD325" s="2"/>
    </row>
    <row r="326" spans="1:31" ht="15" hidden="1" x14ac:dyDescent="0.25">
      <c r="A326" s="1191">
        <v>9308</v>
      </c>
      <c r="B326" s="1192">
        <f>X326</f>
        <v>53.613171672808399</v>
      </c>
      <c r="C326" s="1193"/>
      <c r="D326" s="1194"/>
      <c r="E326" s="1195"/>
      <c r="F326" s="1195"/>
      <c r="G326" s="1195"/>
      <c r="H326" s="1196"/>
      <c r="I326" s="1199">
        <f>X326</f>
        <v>53.613171672808399</v>
      </c>
      <c r="J326" s="1193" t="str">
        <f>VLOOKUP($A326,Marché!$B:$C,2,)</f>
        <v>OBL MASEN du 16/01/2017 à 3.24% 18ans</v>
      </c>
      <c r="K326" s="1193">
        <f>VLOOKUP($A326,Marché!$B:$D,3,)</f>
        <v>100000</v>
      </c>
      <c r="L326" s="1193">
        <f>VLOOKUP($A326,Marché!$B:$F,4,)</f>
        <v>0</v>
      </c>
      <c r="M326" s="1197">
        <f>VLOOKUP($A326,Marché!$B:$X,5,)</f>
        <v>3.3399999999999999E-2</v>
      </c>
      <c r="N326" s="1193">
        <f>VLOOKUP($A326,Marché!$B:$X,8,)</f>
        <v>18</v>
      </c>
      <c r="O326" s="1200">
        <f>VLOOKUP($A326,Marché!$B:$F,4,)</f>
        <v>0</v>
      </c>
      <c r="P326" s="1200">
        <f>VLOOKUP($A326,Marché!$B:$F,4,)</f>
        <v>0</v>
      </c>
      <c r="Q326" s="1200">
        <f>VLOOKUP($A326,Marché!$B:$F,4,)</f>
        <v>0</v>
      </c>
      <c r="R326" s="1287">
        <f>VLOOKUP($A326,Marché!$B:$F,4,)</f>
        <v>0</v>
      </c>
      <c r="S326" s="1229" cm="1">
        <f t="array" ref="S326">IF(C326&gt;'Courbe des taux'!$D$50,ROUND( TREND('Courbe des taux'!$E$49:$E$50,'Courbe des taux'!$D$49:$D$50,Lignes_détenues!C326),5),ROUND(IF(C326&gt;365,interpoler(_mat2,taux2,C326),interpoler(_mat1,taux1,C326)),5))</f>
        <v>2.2700000000000001E-2</v>
      </c>
      <c r="T326" s="1201">
        <f t="shared" si="30"/>
        <v>2.2700000000000001E-2</v>
      </c>
      <c r="U326" s="1201">
        <f>VLOOKUP($A326,Marché!$B:$F,4,)</f>
        <v>0</v>
      </c>
      <c r="V326" s="1202">
        <f>VLOOKUP($A326,Marché!$B:$F,4,)</f>
        <v>0</v>
      </c>
      <c r="W326" s="1202">
        <f>VLOOKUP($A326,Marché!$B:$F,4,)</f>
        <v>0</v>
      </c>
      <c r="X326" s="1212">
        <f>'FEC9149-2140'!C256</f>
        <v>53.613171672808399</v>
      </c>
      <c r="Y326" s="1202">
        <f>VLOOKUP($A326,Marché!$B:$F,4,)</f>
        <v>0</v>
      </c>
      <c r="Z326" s="35"/>
      <c r="AA326" s="1198">
        <f>VLOOKUP($A326,Marché!$B:$X,6,)</f>
        <v>42750</v>
      </c>
      <c r="AB326" s="1198">
        <f>VLOOKUP($A326,Marché!$B:$X,7,)</f>
        <v>49324</v>
      </c>
      <c r="AC326" s="35"/>
      <c r="AD326" s="2"/>
    </row>
    <row r="327" spans="1:31" ht="15" hidden="1" x14ac:dyDescent="0.25">
      <c r="A327" s="1191">
        <v>9598</v>
      </c>
      <c r="B327" s="1192">
        <f t="shared" si="35"/>
        <v>0</v>
      </c>
      <c r="C327" s="1193">
        <f>(AB327-$AF$1)</f>
        <v>-94</v>
      </c>
      <c r="D327" s="1194">
        <f t="shared" ref="D327:D374" si="37">ROUND(T327+R327,5)</f>
        <v>2.9700000000000001E-2</v>
      </c>
      <c r="E327" s="1195">
        <f>duration_titre($AF$1,#REF!,AA327,M327,K327,W327,V327,P327,Q327,N327,D327)</f>
        <v>0</v>
      </c>
      <c r="F327" s="1195">
        <f t="shared" si="36"/>
        <v>0</v>
      </c>
      <c r="G327" s="1195">
        <f>convexite_titre($AF$1,#REF!,AA327,M327,K327,W327,V327,P327,Q327,N327,D327)</f>
        <v>0</v>
      </c>
      <c r="H327" s="1196" t="e">
        <f>+ROUND(coupon_courru($AF$1,#REF!,AA327,M327,K327,W327,P327,Q327,N327,V327,"V"),4)</f>
        <v>#VALUE!</v>
      </c>
      <c r="I327" s="1199">
        <f>+IF(Y328=1,B327,D327*100)</f>
        <v>0</v>
      </c>
      <c r="J327" s="1193" t="str">
        <f>VLOOKUP(A327,Marché!$B:$C,2,)</f>
        <v>OBL SUB RCIFINANCE  du 22/12/2023 à 3.67%   REVIS TRIM</v>
      </c>
      <c r="K327" s="1193">
        <v>100000</v>
      </c>
      <c r="L327" s="1193">
        <v>0</v>
      </c>
      <c r="M327" s="1197">
        <v>2.7900000000000001E-2</v>
      </c>
      <c r="N327" s="1193">
        <v>13</v>
      </c>
      <c r="O327" s="1200" t="str">
        <f>Marché!J2680</f>
        <v>S</v>
      </c>
      <c r="P327" s="1200" t="s">
        <v>1525</v>
      </c>
      <c r="Q327" s="1200" t="str">
        <f>Marché!L2680</f>
        <v>F</v>
      </c>
      <c r="R327" s="1287">
        <v>7.0000000000000001E-3</v>
      </c>
      <c r="S327" s="1229" cm="1">
        <f t="array" ref="S327">IF(C327&gt;'Courbe des taux'!$D$50,ROUND( TREND('Courbe des taux'!$E$49:$E$50,'Courbe des taux'!$D$49:$D$50,Lignes_détenues!C327),5),ROUND(IF(C327&gt;365,interpoler(_mat2,taux2,C327),interpoler(_mat1,taux1,C327)),5))</f>
        <v>2.2700000000000001E-2</v>
      </c>
      <c r="T327" s="1201">
        <f t="shared" si="30"/>
        <v>2.2700000000000001E-2</v>
      </c>
      <c r="U327" s="1201">
        <f>ROUND(IF(D327*366&gt;366,interpoler(_mat2,taux2,D327*366),interpoler(_mat1,taux1,D327*366)),5)</f>
        <v>2.2700000000000001E-2</v>
      </c>
      <c r="V327" s="1202" t="str">
        <f>+IF((AA327-$AF$1)&lt;365,"M","A")</f>
        <v>M</v>
      </c>
      <c r="W327" s="1202" t="s">
        <v>287</v>
      </c>
      <c r="X327" s="1212">
        <f>+prix_titre(AF$1,AA327,AB327,M327,K327,W327,V327,P327,Q327,N327,D327,Y327)</f>
        <v>0</v>
      </c>
      <c r="Y327" s="1202">
        <v>1</v>
      </c>
      <c r="Z327" s="35">
        <f>M327*K33*(AB327-AA327)/360</f>
        <v>705.25</v>
      </c>
      <c r="AA327" s="1198">
        <v>45922</v>
      </c>
      <c r="AB327" s="1198">
        <v>46013</v>
      </c>
      <c r="AC327" s="35"/>
      <c r="AD327" s="2"/>
    </row>
    <row r="328" spans="1:31" ht="15" hidden="1" x14ac:dyDescent="0.25">
      <c r="A328" s="1191">
        <v>153038</v>
      </c>
      <c r="B328" s="1192">
        <f t="shared" si="35"/>
        <v>0</v>
      </c>
      <c r="C328" s="1193">
        <f>(AB328-$AF$1)</f>
        <v>-119</v>
      </c>
      <c r="D328" s="1194">
        <f t="shared" si="37"/>
        <v>2.52E-2</v>
      </c>
      <c r="E328" s="1195">
        <f>duration_titre($AF$1,AA328,AB328,M328,K328,W328,V328,P328,Q328,N328,D328)</f>
        <v>0</v>
      </c>
      <c r="F328" s="1195">
        <f t="shared" si="36"/>
        <v>0</v>
      </c>
      <c r="G328" s="1195">
        <f>convexite_titre($AF$1,AA328,AB328,M328,K328,W328,V328,P328,Q328,N328,D328)</f>
        <v>0</v>
      </c>
      <c r="H328" s="1196">
        <f>+ROUND(coupon_courru($AF$1,AA328,AB328,M328,K328,W328,P328,Q328,N328,V328,"V"),4)</f>
        <v>3917.6667000000002</v>
      </c>
      <c r="I328" s="1199">
        <f>+IF(Y329=1,B328,D328*100)</f>
        <v>0</v>
      </c>
      <c r="J328" s="1193" t="str">
        <f>VLOOKUP(A328,Marché!$B:$C,2,)</f>
        <v>CD CDG CAPITAL DU 28/11/2024  52 SEM  à 2.92%</v>
      </c>
      <c r="K328" s="1193">
        <f>VLOOKUP($A328,Marché!$B:$D,3,)</f>
        <v>100000</v>
      </c>
      <c r="L328" s="1193">
        <f>VLOOKUP($A328,Marché!$B:$F,4,)</f>
        <v>0</v>
      </c>
      <c r="M328" s="1197">
        <f>VLOOKUP($A328,Marché!$B:$X,5,)</f>
        <v>2.92E-2</v>
      </c>
      <c r="N328" s="1193">
        <f>VLOOKUP($A328,Marché!$B:$X,8,)</f>
        <v>52</v>
      </c>
      <c r="O328" s="1200" t="str">
        <f>Marché!J2681</f>
        <v>S</v>
      </c>
      <c r="P328" s="1200" t="str">
        <f>Marché!K2681</f>
        <v>A</v>
      </c>
      <c r="Q328" s="1200" t="str">
        <f>Marché!L2681</f>
        <v>F</v>
      </c>
      <c r="R328" s="1287">
        <v>2.5000000000000001E-3</v>
      </c>
      <c r="S328" s="1229" cm="1">
        <f t="array" ref="S328">IF(C328&gt;'Courbe des taux'!$D$50,ROUND( TREND('Courbe des taux'!$E$49:$E$50,'Courbe des taux'!$D$49:$D$50,Lignes_détenues!C328),5),ROUND(IF(C328&gt;365,interpoler(_mat2,taux2,C328),interpoler(_mat1,taux1,C328)),5))</f>
        <v>2.2700000000000001E-2</v>
      </c>
      <c r="T328" s="1201">
        <f t="shared" si="30"/>
        <v>2.2700000000000001E-2</v>
      </c>
      <c r="U328" s="1201">
        <f>ROUND(IF(D328*366&gt;366,interpoler(_mat2,taux2,D328*366),interpoler(_mat1,taux1,D328*366)),5)</f>
        <v>2.2700000000000001E-2</v>
      </c>
      <c r="V328" s="1202" t="str">
        <f>+IF((AB328-$AF$1)&lt;365,"M","A")</f>
        <v>M</v>
      </c>
      <c r="W328" s="1202" t="s">
        <v>287</v>
      </c>
      <c r="X328" s="1212">
        <f>+prix_atp(AF$1,AA328,Z328,AB328,M328,K328,W328,V328,P328,Q328,N328,D328,#REF!)</f>
        <v>0</v>
      </c>
      <c r="Y328" s="1202">
        <v>1</v>
      </c>
      <c r="Z328" s="35"/>
      <c r="AA328" s="1198">
        <f>VLOOKUP($A328,Marché!$B:$X,6,)</f>
        <v>45624</v>
      </c>
      <c r="AB328" s="1198">
        <f>VLOOKUP($A328,Marché!$B:$X,7,)</f>
        <v>45988</v>
      </c>
      <c r="AC328" s="35"/>
      <c r="AD328" s="2"/>
    </row>
    <row r="329" spans="1:31" s="342" customFormat="1" ht="15" hidden="1" x14ac:dyDescent="0.25">
      <c r="A329" s="1336">
        <v>9639</v>
      </c>
      <c r="B329" s="1209">
        <f t="shared" si="35"/>
        <v>101240.32794923482</v>
      </c>
      <c r="C329" s="1337">
        <f>(AB329-$AF$1)</f>
        <v>255</v>
      </c>
      <c r="D329" s="1338">
        <f t="shared" si="37"/>
        <v>4.4630000000000003E-2</v>
      </c>
      <c r="E329" s="1339">
        <f>duration_titre($AF$1,AA329,AB329,M329,K329,W329,V329,P329,Q329,N329,D329)</f>
        <v>0.69863013698630139</v>
      </c>
      <c r="F329" s="1339">
        <f t="shared" si="36"/>
        <v>0.66878237939394947</v>
      </c>
      <c r="G329" s="1339">
        <f>convexite_titre($AF$1,AA329,AB329,M329,K329,W329,V329,P329,Q329,N329,D329)</f>
        <v>1.0874796863233576</v>
      </c>
      <c r="H329" s="1340">
        <f>+ROUND(coupon_courru($AF$1,AA329,AB329,M329,K329,W329,P329,Q329,N329,V329,"V"),4)</f>
        <v>1338.3333</v>
      </c>
      <c r="I329" s="1341">
        <f>+IF(Y330=1,B329,D329*100)</f>
        <v>101240.32794923482</v>
      </c>
      <c r="J329" s="1337" t="str">
        <f>VLOOKUP(A329,Marché!$B:$C,2,)</f>
        <v>OBL SUB PERPET CDM du 06/12/2024 à 4.78% REV 52 SEM</v>
      </c>
      <c r="K329" s="1337">
        <f>VLOOKUP($A329,Marché!$B:$D,3,)</f>
        <v>100000</v>
      </c>
      <c r="L329" s="1337">
        <f>VLOOKUP($A329,Marché!$B:$F,4,)</f>
        <v>0</v>
      </c>
      <c r="M329" s="1342">
        <v>4.3799999999999999E-2</v>
      </c>
      <c r="N329" s="1337">
        <f>VLOOKUP($A329,Marché!$B:$X,8,)</f>
        <v>52</v>
      </c>
      <c r="O329" s="1344" t="str">
        <f>Marché!J2682</f>
        <v>S</v>
      </c>
      <c r="P329" s="1344" t="str">
        <f>Marché!K2682</f>
        <v>A</v>
      </c>
      <c r="Q329" s="1344" t="str">
        <f>Marché!L2682</f>
        <v>F</v>
      </c>
      <c r="R329" s="1345">
        <v>2.0500000000000001E-2</v>
      </c>
      <c r="S329" s="1346" cm="1">
        <f t="array" ref="S329">IF(C329&gt;'Courbe des taux'!$D$50,ROUND( TREND('Courbe des taux'!$E$49:$E$50,'Courbe des taux'!$D$49:$D$50,Lignes_détenues!C329),5),ROUND(IF(C329&gt;365,interpoler(_mat2,taux2,C329),interpoler(_mat1,taux1,C329)),5))</f>
        <v>2.4129999999999999E-2</v>
      </c>
      <c r="T329" s="1346">
        <f t="shared" si="30"/>
        <v>2.4129999999999999E-2</v>
      </c>
      <c r="U329" s="1346">
        <f>ROUND(IF(D329*366&gt;366,interpoler(_mat2,taux2,D329*366),interpoler(_mat1,taux1,D329*366)),5)</f>
        <v>2.2700000000000001E-2</v>
      </c>
      <c r="V329" s="1347" t="str">
        <f>+IF((AB329-$AF$1)&lt;=366,"M","A")</f>
        <v>M</v>
      </c>
      <c r="W329" s="1347" t="s">
        <v>287</v>
      </c>
      <c r="X329" s="1348">
        <f>+prix_titre(AF$1,AA329,AB329,M329,K329,W329,V329,P329,Q329,N329,D329,Y329)</f>
        <v>101240.32794923482</v>
      </c>
      <c r="Y329" s="1347">
        <v>1</v>
      </c>
      <c r="Z329" s="1349"/>
      <c r="AA329" s="1343">
        <v>45997</v>
      </c>
      <c r="AB329" s="1343">
        <v>46362</v>
      </c>
      <c r="AC329" s="35"/>
    </row>
    <row r="330" spans="1:31" s="1401" customFormat="1" ht="15" hidden="1" x14ac:dyDescent="0.25">
      <c r="A330" s="1386">
        <v>9642</v>
      </c>
      <c r="B330" s="1387">
        <f t="shared" si="35"/>
        <v>100126.11314862483</v>
      </c>
      <c r="C330" s="1388">
        <f>(AB330-$AF$1)</f>
        <v>75</v>
      </c>
      <c r="D330" s="1389">
        <f t="shared" si="37"/>
        <v>2.887E-2</v>
      </c>
      <c r="E330" s="1390">
        <f>duration_titre($AF$1,AA330,AB330,M330,K330,W330,V330,P330,Q330,N330,D330)</f>
        <v>0.20547945205479451</v>
      </c>
      <c r="F330" s="1390">
        <f t="shared" si="36"/>
        <v>0.19971371704374169</v>
      </c>
      <c r="G330" s="1390">
        <f>convexite_titre($AF$1,AA330,AB330,M330,K330,W330,V330,P330,Q330,N330,D330)</f>
        <v>0.23399533681584261</v>
      </c>
      <c r="H330" s="1391">
        <f>+ROUND(coupon_courru($AF$1,AA330,AB330,M330,K330,W330,P330,Q330,N330,V330,"V"),4)</f>
        <v>134.58330000000001</v>
      </c>
      <c r="I330" s="1392">
        <f>+IF(Y331=1,B330,D330*100)</f>
        <v>100126.11314862483</v>
      </c>
      <c r="J330" s="1388" t="str">
        <f>VLOOKUP(A330,Marché!$B:$C,2,)</f>
        <v>OBL SUB RCIFINANCE  du 09/12/2024 à 3.26%   REVIS TRIM</v>
      </c>
      <c r="K330" s="1388">
        <f>VLOOKUP($A330,Marché!$B:$D,3,)</f>
        <v>100000</v>
      </c>
      <c r="L330" s="1388">
        <f>VLOOKUP($A330,Marché!$B:$F,4,)</f>
        <v>0</v>
      </c>
      <c r="M330" s="1393">
        <v>2.8500000000000001E-2</v>
      </c>
      <c r="N330" s="1388">
        <v>13</v>
      </c>
      <c r="O330" s="1395" t="s">
        <v>369</v>
      </c>
      <c r="P330" s="1395" t="str">
        <f>Marché!K2683</f>
        <v>T</v>
      </c>
      <c r="Q330" s="1395" t="str">
        <f>Marché!L2683</f>
        <v>F</v>
      </c>
      <c r="R330" s="1396">
        <v>6.0000000000000001E-3</v>
      </c>
      <c r="S330" s="1397" cm="1">
        <f t="array" ref="S330">IF(C330&gt;'Courbe des taux'!$D$50,ROUND( TREND('Courbe des taux'!$E$49:$E$50,'Courbe des taux'!$D$49:$D$50,Lignes_détenues!C330),5),ROUND(IF(C330&gt;365,interpoler(_mat2,taux2,C330),interpoler(_mat1,taux1,C330)),5))</f>
        <v>2.2870000000000001E-2</v>
      </c>
      <c r="T330" s="1397">
        <f t="shared" si="30"/>
        <v>2.2870000000000001E-2</v>
      </c>
      <c r="U330" s="1397">
        <f>ROUND(IF(D330*366&gt;366,interpoler(_mat2,taux2,D330*366),interpoler(_mat1,taux1,D330*366)),5)</f>
        <v>2.2700000000000001E-2</v>
      </c>
      <c r="V330" s="1398" t="str">
        <f>+IF((AB330-$AF$1)&lt;=366,"M","A")</f>
        <v>M</v>
      </c>
      <c r="W330" s="1398" t="s">
        <v>287</v>
      </c>
      <c r="X330" s="1399">
        <f>+prix_titre(AF$1,AA330,AB330,M330,K330,W330,V330,P330,Q330,N330,D330,Y330)</f>
        <v>100126.11314862483</v>
      </c>
      <c r="Y330" s="1398">
        <v>1</v>
      </c>
      <c r="Z330" s="1400"/>
      <c r="AA330" s="1394">
        <v>46090</v>
      </c>
      <c r="AB330" s="1394">
        <v>46182</v>
      </c>
      <c r="AC330" s="35"/>
      <c r="AE330" s="1401">
        <f>K330*((AB330-AA330)*M330/360)/(1+(R330+S330)*((AB330-AF1)/360))</f>
        <v>723.97890189630277</v>
      </c>
    </row>
    <row r="331" spans="1:31" ht="15" hidden="1" x14ac:dyDescent="0.25">
      <c r="A331" s="1191">
        <v>100969</v>
      </c>
      <c r="B331" s="1192">
        <f t="shared" si="35"/>
        <v>101318.65246201566</v>
      </c>
      <c r="C331" s="1193">
        <f>(AB331-$AF$1)</f>
        <v>623</v>
      </c>
      <c r="D331" s="1194">
        <f t="shared" si="37"/>
        <v>3.1730000000000001E-2</v>
      </c>
      <c r="E331" s="1195">
        <f>duration_titre($AF$1,AA331,AB331,M331,K331,W331,V331,P331,Q331,N331,D331)</f>
        <v>1.6742177325692513</v>
      </c>
      <c r="F331" s="1195">
        <f t="shared" si="36"/>
        <v>1.6227285555031368</v>
      </c>
      <c r="G331" s="1195">
        <f>convexite_titre($AF$1,AA331,AB331,M331,K331,W331,V331,P331,Q331,N331,D331)</f>
        <v>4.235725849801109</v>
      </c>
      <c r="H331" s="1196">
        <f>+ROUND(coupon_courru($AF$1,AA331,AB331,M331,K331,W331,P331,Q331,N331,V331,"V"),4)</f>
        <v>990.84929999999997</v>
      </c>
      <c r="I331" s="1199">
        <f>+IF(Y332=1,B331,D331*100)</f>
        <v>101318.65246201566</v>
      </c>
      <c r="J331" s="1193" t="str">
        <f>VLOOKUP(A331,Marché!$B:$C,2,)</f>
        <v>BSF SOGELEASE du 09/12/2024 à 3,38%  3 ans</v>
      </c>
      <c r="K331" s="1193">
        <f>VLOOKUP($A331,Marché!$B:$D,3,)</f>
        <v>100000</v>
      </c>
      <c r="L331" s="1193">
        <f>VLOOKUP($A331,Marché!$B:$F,4,)</f>
        <v>0</v>
      </c>
      <c r="M331" s="1197">
        <f>VLOOKUP($A331,Marché!$B:$X,5,)</f>
        <v>3.3799999999999997E-2</v>
      </c>
      <c r="N331" s="1193">
        <f>VLOOKUP($A331,Marché!$B:$X,8,)</f>
        <v>3</v>
      </c>
      <c r="O331" s="1200" t="str">
        <f>Marché!J2684</f>
        <v>A</v>
      </c>
      <c r="P331" s="1200" t="str">
        <f>Marché!K2684</f>
        <v>A</v>
      </c>
      <c r="Q331" s="1200" t="str">
        <f>Marché!L2684</f>
        <v>F</v>
      </c>
      <c r="R331" s="1287">
        <v>5.4999999999999997E-3</v>
      </c>
      <c r="S331" s="1229" cm="1">
        <f t="array" ref="S331">IF(C331&gt;'Courbe des taux'!$D$50,ROUND( TREND('Courbe des taux'!$E$49:$E$50,'Courbe des taux'!$D$49:$D$50,Lignes_détenues!C331),5),ROUND(IF(C331&gt;365,interpoler(_mat2,taux2,C331),interpoler(_mat1,taux1,C331)),5))</f>
        <v>2.623E-2</v>
      </c>
      <c r="T331" s="1201">
        <f t="shared" si="30"/>
        <v>2.623E-2</v>
      </c>
      <c r="U331" s="1201">
        <f>ROUND(IF(D331*366&gt;366,interpoler(_mat2,taux2,D331*366),interpoler(_mat1,taux1,D331*366)),5)</f>
        <v>2.2700000000000001E-2</v>
      </c>
      <c r="V331" s="1202" t="str">
        <f>+IF((AB331-$AF$1)&lt;=366,"M","A")</f>
        <v>A</v>
      </c>
      <c r="W331" s="1202" t="s">
        <v>287</v>
      </c>
      <c r="X331" s="1212">
        <f>+prix_titre(AF$1,AA331,AB331,M331,K331,W331,V331,P331,Q331,N331,D331,Y331)</f>
        <v>101318.65246201566</v>
      </c>
      <c r="Y331" s="1202">
        <v>1</v>
      </c>
      <c r="Z331" s="35"/>
      <c r="AA331" s="1198">
        <f>VLOOKUP($A331,Marché!$B:$X,6,)</f>
        <v>45635</v>
      </c>
      <c r="AB331" s="1198">
        <f>VLOOKUP($A331,Marché!$B:$X,7,)</f>
        <v>46730</v>
      </c>
      <c r="AC331" s="35"/>
      <c r="AD331" s="2"/>
    </row>
    <row r="332" spans="1:31" ht="15" hidden="1" x14ac:dyDescent="0.25">
      <c r="A332" s="1191">
        <v>9647</v>
      </c>
      <c r="B332" s="1192">
        <f t="shared" si="35"/>
        <v>106400.63368564686</v>
      </c>
      <c r="C332" s="1193">
        <f>(AB332-$AF$1)</f>
        <v>10492</v>
      </c>
      <c r="D332" s="1194">
        <f t="shared" si="37"/>
        <v>4.7649999999999998E-2</v>
      </c>
      <c r="E332" s="1195">
        <f>duration_titre($AF$1,AA332,AB332,M332,K332,W332,V332,P332,Q332,N332,D332)</f>
        <v>15.805582298962213</v>
      </c>
      <c r="F332" s="1195">
        <f t="shared" si="36"/>
        <v>15.086700996479944</v>
      </c>
      <c r="G332" s="1195">
        <f>convexite_titre($AF$1,AA332,AB332,M332,K332,W332,V332,P332,Q332,N332,D332)</f>
        <v>335.97968183661533</v>
      </c>
      <c r="H332" s="1196">
        <f>+ROUND(coupon_courru($AF$1,AA332,AB332,M332,K332,W332,P332,Q332,N332,V332,"V"),4)</f>
        <v>1394.5205000000001</v>
      </c>
      <c r="I332" s="1199">
        <f>+IF(Y333=1,B332,D332*100)</f>
        <v>106400.63368564686</v>
      </c>
      <c r="J332" s="1193" t="str">
        <f>VLOOKUP(A332,Marché!$B:$C,2,)</f>
        <v xml:space="preserve">OBL OCP ORD SUB Fixe  DU 16/12/2024  30 ANS </v>
      </c>
      <c r="K332" s="1193">
        <f>VLOOKUP($A332,Marché!$B:$D,3,)</f>
        <v>100000</v>
      </c>
      <c r="L332" s="1193">
        <f>VLOOKUP($A332,Marché!$B:$F,4,)</f>
        <v>0</v>
      </c>
      <c r="M332" s="1197">
        <f>VLOOKUP($A332,Marché!$B:$X,5,)</f>
        <v>5.0900000000000001E-2</v>
      </c>
      <c r="N332" s="1193">
        <f>VLOOKUP($A332,Marché!$B:$X,8,)</f>
        <v>30</v>
      </c>
      <c r="O332" s="1200" t="str">
        <f>Marché!J2685</f>
        <v>A</v>
      </c>
      <c r="P332" s="1200" t="str">
        <f>Marché!K2685</f>
        <v>A</v>
      </c>
      <c r="Q332" s="1200" t="str">
        <f>Marché!L2685</f>
        <v>F</v>
      </c>
      <c r="R332" s="1287">
        <v>7.0000000000000001E-3</v>
      </c>
      <c r="S332" s="1229" cm="1">
        <f t="array" ref="S332">IF(C332&gt;'Courbe des taux'!$D$50,ROUND( TREND('Courbe des taux'!$E$49:$E$50,'Courbe des taux'!$D$49:$D$50,Lignes_détenues!C332),5),ROUND(IF(C332&gt;365,interpoler(_mat2,taux2,C332),interpoler(_mat1,taux1,C332)),5))</f>
        <v>4.0649999999999999E-2</v>
      </c>
      <c r="T332" s="1201">
        <f t="shared" si="30"/>
        <v>4.0649999999999999E-2</v>
      </c>
      <c r="U332" s="1201">
        <f>ROUND(IF(D332*366&gt;366,interpoler(_mat2,taux2,D332*366),interpoler(_mat1,taux1,D332*366)),5)</f>
        <v>2.2700000000000001E-2</v>
      </c>
      <c r="V332" s="1202" t="str">
        <f>+IF((AB332-$AF$1)&lt;=366,"M","A")</f>
        <v>A</v>
      </c>
      <c r="W332" s="1202" t="s">
        <v>287</v>
      </c>
      <c r="X332" s="1212">
        <f>+prix_titre(AF$1,AA332,AB332,M332,K332,W332,V332,P332,Q332,N332,D332,Y332)</f>
        <v>106400.63368564686</v>
      </c>
      <c r="Y332" s="1202">
        <v>1</v>
      </c>
      <c r="Z332" s="35"/>
      <c r="AA332" s="1198">
        <f>VLOOKUP($A332,Marché!$B:$X,6,)</f>
        <v>45642</v>
      </c>
      <c r="AB332" s="1198">
        <f>VLOOKUP($A332,Marché!$B:$X,7,)</f>
        <v>56599</v>
      </c>
      <c r="AC332" s="35"/>
      <c r="AD332" s="2"/>
    </row>
    <row r="333" spans="1:31" ht="15" hidden="1" x14ac:dyDescent="0.25">
      <c r="A333" s="1191">
        <v>9644</v>
      </c>
      <c r="B333" s="1192">
        <f t="shared" si="35"/>
        <v>101781.92947686573</v>
      </c>
      <c r="C333" s="1193">
        <f>(AB333-$AF$1)</f>
        <v>3187</v>
      </c>
      <c r="D333" s="1194">
        <f t="shared" si="37"/>
        <v>3.6560000000000002E-2</v>
      </c>
      <c r="E333" s="1195">
        <f>duration_titre($AF$1,AA333,AB333,M333,K333,W333,V333,P333,Q333,N333,D333)</f>
        <v>7.5361462821996925</v>
      </c>
      <c r="F333" s="1195">
        <f t="shared" si="36"/>
        <v>7.2703425582693653</v>
      </c>
      <c r="G333" s="1195">
        <f>convexite_titre($AF$1,AA333,AB333,M333,K333,W333,V333,P333,Q333,N333,D333)</f>
        <v>65.002859585473999</v>
      </c>
      <c r="H333" s="1196">
        <f>+ROUND(coupon_courru($AF$1,AA333,AB333,M333,K333,W333,P333,Q333,N333,V333,"V"),4)</f>
        <v>1030.1369999999999</v>
      </c>
      <c r="I333" s="1199">
        <f>+IF(Y334=1,B333,D333*100)</f>
        <v>101781.92947686573</v>
      </c>
      <c r="J333" s="1193" t="str">
        <f>VLOOKUP(A333,Marché!$B:$C,2,)</f>
        <v xml:space="preserve">OBL OCP ORD SUB Fixe  DU 16/12/2024  10 ANS </v>
      </c>
      <c r="K333" s="1193">
        <f>VLOOKUP($A333,Marché!$B:$D,3,)</f>
        <v>100000</v>
      </c>
      <c r="L333" s="1193">
        <f>VLOOKUP($A333,Marché!$B:$F,4,)</f>
        <v>0</v>
      </c>
      <c r="M333" s="1197">
        <f>VLOOKUP($A333,Marché!$B:$X,5,)</f>
        <v>3.7600000000000001E-2</v>
      </c>
      <c r="N333" s="1193">
        <f>VLOOKUP($A333,Marché!$B:$X,8,)</f>
        <v>10</v>
      </c>
      <c r="O333" s="1200" t="str">
        <f>Marché!J2686</f>
        <v>A</v>
      </c>
      <c r="P333" s="1200" t="str">
        <f>Marché!K2686</f>
        <v>A</v>
      </c>
      <c r="Q333" s="1200" t="str">
        <f>Marché!L2686</f>
        <v>F</v>
      </c>
      <c r="R333" s="1287">
        <v>4.0000000000000001E-3</v>
      </c>
      <c r="S333" s="1229" cm="1">
        <f t="array" ref="S333">IF(C333&gt;'Courbe des taux'!$D$50,ROUND( TREND('Courbe des taux'!$E$49:$E$50,'Courbe des taux'!$D$49:$D$50,Lignes_détenues!C333),5),ROUND(IF(C333&gt;365,interpoler(_mat2,taux2,C333),interpoler(_mat1,taux1,C333)),5))</f>
        <v>3.2559999999999999E-2</v>
      </c>
      <c r="T333" s="1201">
        <f t="shared" si="30"/>
        <v>3.2559999999999999E-2</v>
      </c>
      <c r="U333" s="1201">
        <f>ROUND(IF(D333*366&gt;366,interpoler(_mat2,taux2,D333*366),interpoler(_mat1,taux1,D333*366)),5)</f>
        <v>2.2700000000000001E-2</v>
      </c>
      <c r="V333" s="1202" t="str">
        <f>+IF((AB333-$AF$1)&lt;=366,"M","A")</f>
        <v>A</v>
      </c>
      <c r="W333" s="1202" t="s">
        <v>287</v>
      </c>
      <c r="X333" s="1212">
        <f>+prix_titre(AF$1,AA333,AB333,M333,K333,W333,V333,P333,Q333,N333,D333,Y333)</f>
        <v>101781.92947686573</v>
      </c>
      <c r="Y333" s="1202">
        <v>1</v>
      </c>
      <c r="Z333" s="35"/>
      <c r="AA333" s="1198">
        <f>VLOOKUP($A333,Marché!$B:$X,6,)</f>
        <v>45642</v>
      </c>
      <c r="AB333" s="1198">
        <f>VLOOKUP($A333,Marché!$B:$X,7,)</f>
        <v>49294</v>
      </c>
      <c r="AC333" s="35"/>
      <c r="AD333" s="2"/>
    </row>
    <row r="334" spans="1:31" s="1417" customFormat="1" ht="15" hidden="1" x14ac:dyDescent="0.25">
      <c r="A334" s="1402">
        <v>9643</v>
      </c>
      <c r="B334" s="1403">
        <f t="shared" si="35"/>
        <v>100691.0219820919</v>
      </c>
      <c r="C334" s="1404">
        <f>(AB334-$AF$1)</f>
        <v>265</v>
      </c>
      <c r="D334" s="1405">
        <f t="shared" si="37"/>
        <v>2.7199999999999998E-2</v>
      </c>
      <c r="E334" s="1406">
        <f>duration_titre($AF$1,AA334,AB334,M334,K334,W334,V334,P334,Q334,N334,D334)</f>
        <v>0.72602739726027399</v>
      </c>
      <c r="F334" s="1406">
        <f t="shared" si="36"/>
        <v>0.70680237272222945</v>
      </c>
      <c r="G334" s="1406">
        <f>convexite_titre($AF$1,AA334,AB334,M334,K334,W334,V334,P334,Q334,N334,D334)</f>
        <v>1.1876560161284422</v>
      </c>
      <c r="H334" s="1407">
        <f>+ROUND(coupon_courru($AF$1,AA334,AB334,M334,K334,W334,P334,Q334,N334,V334,"V"),4)</f>
        <v>741.66669999999999</v>
      </c>
      <c r="I334" s="1408">
        <f>+IF(Y335=1,B334,D334*100)</f>
        <v>100691.0219820919</v>
      </c>
      <c r="J334" s="1404" t="str">
        <f>VLOOKUP(A334,Marché!$B:$C,2,)</f>
        <v>OBL OCP ORD SUB DU 16/12/2024  REV 52 SEM</v>
      </c>
      <c r="K334" s="1404">
        <f>VLOOKUP($A334,Marché!$B:$D,3,)</f>
        <v>100000</v>
      </c>
      <c r="L334" s="1404">
        <f>VLOOKUP($A334,Marché!$B:$F,4,)</f>
        <v>0</v>
      </c>
      <c r="M334" s="1409">
        <v>2.6700000000000002E-2</v>
      </c>
      <c r="N334" s="1404">
        <f>VLOOKUP($A334,Marché!$B:$X,8,)</f>
        <v>52</v>
      </c>
      <c r="O334" s="1411" t="str">
        <f>Marché!J2687</f>
        <v>S</v>
      </c>
      <c r="P334" s="1411" t="str">
        <f>Marché!K2687</f>
        <v>A</v>
      </c>
      <c r="Q334" s="1411" t="str">
        <f>Marché!L2687</f>
        <v>F</v>
      </c>
      <c r="R334" s="1412">
        <v>3.0000000000000001E-3</v>
      </c>
      <c r="S334" s="1413" cm="1">
        <f t="array" ref="S334">IF(C334&gt;'Courbe des taux'!$D$50,ROUND( TREND('Courbe des taux'!$E$49:$E$50,'Courbe des taux'!$D$49:$D$50,Lignes_détenues!C334),5),ROUND(IF(C334&gt;365,interpoler(_mat2,taux2,C334),interpoler(_mat1,taux1,C334)),5))</f>
        <v>2.4199999999999999E-2</v>
      </c>
      <c r="T334" s="1413">
        <f t="shared" si="30"/>
        <v>2.4199999999999999E-2</v>
      </c>
      <c r="U334" s="1413">
        <f>ROUND(IF(D334*366&gt;366,interpoler(_mat2,taux2,D334*366),interpoler(_mat1,taux1,D334*366)),5)</f>
        <v>2.2700000000000001E-2</v>
      </c>
      <c r="V334" s="1414" t="str">
        <f>+IF((AB334-$AF$1)&lt;=366,"M","A")</f>
        <v>M</v>
      </c>
      <c r="W334" s="1414" t="s">
        <v>287</v>
      </c>
      <c r="X334" s="1415">
        <f>+prix_titre(AF$1,AA334,AB334,M334,K334,W334,V334,P334,Q334,N334,D334,Y334)</f>
        <v>100691.0219820919</v>
      </c>
      <c r="Y334" s="1414">
        <v>1</v>
      </c>
      <c r="Z334" s="1416"/>
      <c r="AA334" s="1410">
        <v>46007</v>
      </c>
      <c r="AB334" s="1410">
        <v>46372</v>
      </c>
      <c r="AC334" s="35"/>
    </row>
    <row r="335" spans="1:31" ht="15" hidden="1" x14ac:dyDescent="0.25">
      <c r="A335" s="1191">
        <v>201873</v>
      </c>
      <c r="B335" s="1192">
        <f t="shared" si="35"/>
        <v>113744.68486165593</v>
      </c>
      <c r="C335" s="1193">
        <f>(AB335-$AF$1)</f>
        <v>10616</v>
      </c>
      <c r="D335" s="1194">
        <f t="shared" si="37"/>
        <v>4.0800000000000003E-2</v>
      </c>
      <c r="E335" s="1195">
        <f>duration_titre($AF$1,AA335,AB335,M335,K335,W335,V335,P335,Q335,N335,D335)</f>
        <v>16.545850172859982</v>
      </c>
      <c r="F335" s="1195">
        <f t="shared" si="36"/>
        <v>15.897242671848561</v>
      </c>
      <c r="G335" s="1195">
        <f>convexite_titre($AF$1,AA335,AB335,M335,K335,W335,V335,P335,Q335,N335,D335)</f>
        <v>371.11424377933491</v>
      </c>
      <c r="H335" s="1196">
        <f>+ROUND(coupon_courru($AF$1,AA335,AB335,M335,K335,W335,P335,Q335,N335,V335,"V"),4)</f>
        <v>4204.1095999999998</v>
      </c>
      <c r="I335" s="1199">
        <f>+IF(Y336=1,B335,D335*100)</f>
        <v>113744.68486165593</v>
      </c>
      <c r="J335" s="1193" t="str">
        <f>VLOOKUP(A335,Marché!$B:$C,2,)</f>
        <v>BDT DU 19/04/2025 à 4.50%  30 ans ATYP 30/09/2024</v>
      </c>
      <c r="K335" s="1193">
        <f>VLOOKUP($A335,Marché!$B:$D,3,)</f>
        <v>100000</v>
      </c>
      <c r="L335" s="1193">
        <f>VLOOKUP($A335,Marché!$B:$F,4,)</f>
        <v>0</v>
      </c>
      <c r="M335" s="1197">
        <f>VLOOKUP($A335,Marché!$B:$X,5,)</f>
        <v>4.4999999999999998E-2</v>
      </c>
      <c r="N335" s="1193">
        <f>VLOOKUP($A335,Marché!$B:$X,8,)</f>
        <v>30</v>
      </c>
      <c r="O335" s="1200" t="str">
        <f>Marché!J2688</f>
        <v>A</v>
      </c>
      <c r="P335" s="1200" t="str">
        <f>Marché!K2688</f>
        <v>A</v>
      </c>
      <c r="Q335" s="1200" t="str">
        <f>Marché!L2688</f>
        <v>F</v>
      </c>
      <c r="R335" s="1287">
        <v>0</v>
      </c>
      <c r="S335" s="1229" cm="1">
        <f t="array" ref="S335">IF(C335&gt;'Courbe des taux'!$D$50,ROUND( TREND('Courbe des taux'!$E$49:$E$50,'Courbe des taux'!$D$49:$D$50,Lignes_détenues!C335),5),ROUND(IF(C335&gt;365,interpoler(_mat2,taux2,C335),interpoler(_mat1,taux1,C335)),5))</f>
        <v>4.0800000000000003E-2</v>
      </c>
      <c r="T335" s="1201">
        <f t="shared" si="30"/>
        <v>4.0800000000000003E-2</v>
      </c>
      <c r="U335" s="1201">
        <f>ROUND(IF(D335*366&gt;366,interpoler(_mat2,taux2,D335*366),interpoler(_mat1,taux1,D335*366)),5)</f>
        <v>2.2700000000000001E-2</v>
      </c>
      <c r="V335" s="1202" t="str">
        <f>+IF((AB335-$AF$1)&lt;=366,"M","A")</f>
        <v>A</v>
      </c>
      <c r="W335" s="1202" t="s">
        <v>287</v>
      </c>
      <c r="X335" s="1212">
        <f>+prix_atp(AF$1,AA335,Z335,AB335,M335,K335,W335,V335,P335,Q335,N335,D335,Y335)</f>
        <v>113744.68486165593</v>
      </c>
      <c r="Y335" s="1202">
        <v>1</v>
      </c>
      <c r="Z335" s="35">
        <v>45766</v>
      </c>
      <c r="AA335" s="1198">
        <f>VLOOKUP($A335,Marché!$B:$X,6,)</f>
        <v>45565</v>
      </c>
      <c r="AB335" s="1198">
        <f>VLOOKUP($A335,Marché!$B:$X,7,)</f>
        <v>56723</v>
      </c>
      <c r="AC335" s="35"/>
      <c r="AD335" s="2"/>
    </row>
    <row r="336" spans="1:31" ht="15" hidden="1" x14ac:dyDescent="0.25">
      <c r="A336" s="1191">
        <v>152961</v>
      </c>
      <c r="B336" s="1192">
        <f t="shared" si="35"/>
        <v>0</v>
      </c>
      <c r="C336" s="1193">
        <f>(AB336-$AF$1)</f>
        <v>-364</v>
      </c>
      <c r="D336" s="1194">
        <f t="shared" si="37"/>
        <v>2.4199999999999999E-2</v>
      </c>
      <c r="E336" s="1195">
        <f>duration_titre($AF$1,AA336,AB336,M336,K336,W336,V336,P336,Q336,N336,D336)</f>
        <v>0</v>
      </c>
      <c r="F336" s="1195">
        <f t="shared" si="36"/>
        <v>0</v>
      </c>
      <c r="G336" s="1195">
        <f>convexite_titre($AF$1,AA336,AB336,M336,K336,W336,V336,P336,Q336,N336,D336)</f>
        <v>0</v>
      </c>
      <c r="H336" s="1196">
        <f>+ROUND(coupon_courru($AF$1,AA336,AB336,M336,K336,W336,P336,Q336,N336,V336,"V"),4)</f>
        <v>5963.0277999999998</v>
      </c>
      <c r="I336" s="1199">
        <f>+IF(Y337=1,B336,D336*100)</f>
        <v>0</v>
      </c>
      <c r="J336" s="1193" t="s">
        <v>3119</v>
      </c>
      <c r="K336" s="1193">
        <v>100000</v>
      </c>
      <c r="L336" s="1193">
        <v>0</v>
      </c>
      <c r="M336" s="1197">
        <v>3.3700000000000001E-2</v>
      </c>
      <c r="N336" s="1193">
        <v>52</v>
      </c>
      <c r="O336" s="1200" t="s">
        <v>288</v>
      </c>
      <c r="P336" s="1200" t="s">
        <v>1716</v>
      </c>
      <c r="Q336" s="1200" t="s">
        <v>1014</v>
      </c>
      <c r="R336" s="1287">
        <v>1.5E-3</v>
      </c>
      <c r="S336" s="1229" cm="1">
        <f t="array" ref="S336">IF(C336&gt;'Courbe des taux'!$D$50,ROUND( TREND('Courbe des taux'!$E$49:$E$50,'Courbe des taux'!$D$49:$D$50,Lignes_détenues!C336),5),ROUND(IF(C336&gt;365,interpoler(_mat2,taux2,C336),interpoler(_mat1,taux1,C336)),5))</f>
        <v>2.2700000000000001E-2</v>
      </c>
      <c r="T336" s="1201">
        <f t="shared" si="30"/>
        <v>2.2700000000000001E-2</v>
      </c>
      <c r="U336" s="1201">
        <f>ROUND(IF(D336*366&gt;366,interpoler(_mat2,taux2,D336*366),interpoler(_mat1,taux1,D336*366)),5)</f>
        <v>2.2700000000000001E-2</v>
      </c>
      <c r="V336" s="1202" t="str">
        <f>+IF((AB336-$AF$1)&lt;=366,"M","A")</f>
        <v>M</v>
      </c>
      <c r="W336" s="1202" t="s">
        <v>287</v>
      </c>
      <c r="X336" s="1212">
        <f>+prix_atp(AF$1,AA336,Z336,AB336,M336,K336,W336,V336,P336,Q336,N336,D336,Y336)</f>
        <v>0</v>
      </c>
      <c r="Y336" s="1202">
        <v>1</v>
      </c>
      <c r="Z336" s="35"/>
      <c r="AA336" s="1198">
        <v>45470</v>
      </c>
      <c r="AB336" s="1198">
        <v>45743</v>
      </c>
      <c r="AC336" s="35"/>
      <c r="AD336" s="2"/>
    </row>
    <row r="337" spans="1:30" ht="15" hidden="1" x14ac:dyDescent="0.25">
      <c r="A337" s="1191">
        <v>9651</v>
      </c>
      <c r="B337" s="1192">
        <f t="shared" si="35"/>
        <v>101096.3306</v>
      </c>
      <c r="C337" s="1193">
        <f>(AB337-$AF$1)</f>
        <v>2101</v>
      </c>
      <c r="D337" s="1194">
        <f t="shared" si="37"/>
        <v>3.6139999999999999E-2</v>
      </c>
      <c r="E337" s="1195">
        <f>duration_titre($AF$1,AA337,AB337,M337,K337,W337,V337,P337,Q337,N337,D337)</f>
        <v>5.7561643835616438</v>
      </c>
      <c r="F337" s="1195">
        <f t="shared" si="36"/>
        <v>5.5553924986600682</v>
      </c>
      <c r="G337" s="1195">
        <f>convexite_titre($AF$1,AA337,AB337,M337,K337,W337,V337,P337,Q337,N337,D337)</f>
        <v>36.224009242141676</v>
      </c>
      <c r="H337" s="1196">
        <f>+ROUND(coupon_courru($AF$1,AA337,AB337,M337,K337,W337,P337,Q337,N337,V337,"V"),4)</f>
        <v>4461.5277999999998</v>
      </c>
      <c r="I337" s="1199">
        <f>+IF(Y338=1,B337,D337*100)</f>
        <v>101096.3306</v>
      </c>
      <c r="J337" s="1193" t="str">
        <f>VLOOKUP(A337,Marché!$B:$C,2,)</f>
        <v>OBL SUB ATW du  26/12/2024  Fixe 7 ans AMORT</v>
      </c>
      <c r="K337" s="1193">
        <v>100000</v>
      </c>
      <c r="L337" s="1193">
        <v>0</v>
      </c>
      <c r="M337" s="1197">
        <v>3.5299999999999998E-2</v>
      </c>
      <c r="N337" s="1193">
        <v>52</v>
      </c>
      <c r="O337" s="1200" t="str">
        <f>Marché!J2690</f>
        <v>A</v>
      </c>
      <c r="P337" s="1200" t="str">
        <f>Marché!K2690</f>
        <v>A</v>
      </c>
      <c r="Q337" s="1200" t="str">
        <f>Marché!L2690</f>
        <v>F</v>
      </c>
      <c r="R337" s="1287">
        <v>5.0000000000000001E-3</v>
      </c>
      <c r="S337" s="1229" cm="1">
        <f t="array" ref="S337">IF(C337&gt;'Courbe des taux'!$D$50,ROUND( TREND('Courbe des taux'!$E$49:$E$50,'Courbe des taux'!$D$49:$D$50,Lignes_détenues!C337),5),ROUND(IF(C337&gt;365,interpoler(_mat2,taux2,C337),interpoler(_mat1,taux1,C337)),5))</f>
        <v>3.1140000000000001E-2</v>
      </c>
      <c r="T337" s="1201">
        <f t="shared" si="30"/>
        <v>3.1140000000000001E-2</v>
      </c>
      <c r="U337" s="1201">
        <f>ROUND(IF(D337*366&gt;366,interpoler(_mat2,taux2,D337*366),interpoler(_mat1,taux1,D337*366)),5)</f>
        <v>2.2700000000000001E-2</v>
      </c>
      <c r="V337" s="1202" t="str">
        <f>+IF((AB337-$AF$1)&lt;=366,"M","A")</f>
        <v>A</v>
      </c>
      <c r="W337" s="1202" t="s">
        <v>287</v>
      </c>
      <c r="X337" s="1212">
        <f>+Ammortissable!C803</f>
        <v>101096.3306</v>
      </c>
      <c r="Y337" s="1202">
        <v>1</v>
      </c>
      <c r="Z337" s="35"/>
      <c r="AA337" s="1198">
        <v>45652</v>
      </c>
      <c r="AB337" s="1198">
        <v>48208</v>
      </c>
      <c r="AC337" s="35"/>
      <c r="AD337" s="2"/>
    </row>
    <row r="338" spans="1:30" s="1480" customFormat="1" ht="15" hidden="1" x14ac:dyDescent="0.25">
      <c r="A338" s="1465">
        <v>9652</v>
      </c>
      <c r="B338" s="1466">
        <f t="shared" si="35"/>
        <v>100588.45747182048</v>
      </c>
      <c r="C338" s="1467">
        <f>(AB338-$AF$1)</f>
        <v>275</v>
      </c>
      <c r="D338" s="1468">
        <f t="shared" si="37"/>
        <v>2.8760000000000001E-2</v>
      </c>
      <c r="E338" s="1469">
        <f>duration_titre($AF$1,AA338,AB338,M338,K338,W338,V338,P338,Q338,N338,D338)</f>
        <v>0.75342465753424659</v>
      </c>
      <c r="F338" s="1469">
        <f t="shared" si="36"/>
        <v>0.73236192847140891</v>
      </c>
      <c r="G338" s="1469">
        <f>convexite_titre($AF$1,AA338,AB338,M338,K338,W338,V338,P338,Q338,N338,D338)</f>
        <v>1.2482420230385132</v>
      </c>
      <c r="H338" s="1470">
        <f>+ROUND(coupon_courru($AF$1,AA338,AB338,M338,K338,W338,P338,Q338,N338,V338,"V"),4)</f>
        <v>690</v>
      </c>
      <c r="I338" s="1471">
        <f>+IF(Y339=1,B338,D338*100)</f>
        <v>100588.45747182048</v>
      </c>
      <c r="J338" s="1467" t="str">
        <f>VLOOKUP(A338,Marché!$B:$C,2,)</f>
        <v>OBL SUB ATW du 26/12/2024  REVIS ANUEL  7 ANS</v>
      </c>
      <c r="K338" s="1467">
        <v>100000</v>
      </c>
      <c r="L338" s="1467">
        <v>0</v>
      </c>
      <c r="M338" s="1472">
        <v>2.76E-2</v>
      </c>
      <c r="N338" s="1467">
        <v>52</v>
      </c>
      <c r="O338" s="1474" t="s">
        <v>369</v>
      </c>
      <c r="P338" s="1474" t="str">
        <f>Marché!K2691</f>
        <v>A</v>
      </c>
      <c r="Q338" s="1474" t="str">
        <f>Marché!L2691</f>
        <v>F</v>
      </c>
      <c r="R338" s="1475">
        <v>4.4999999999999997E-3</v>
      </c>
      <c r="S338" s="1476" cm="1">
        <f t="array" ref="S338">IF(C338&gt;'Courbe des taux'!$D$50,ROUND( TREND('Courbe des taux'!$E$49:$E$50,'Courbe des taux'!$D$49:$D$50,Lignes_détenues!C338),5),ROUND(IF(C338&gt;365,interpoler(_mat2,taux2,C338),interpoler(_mat1,taux1,C338)),5))</f>
        <v>2.426E-2</v>
      </c>
      <c r="T338" s="1476">
        <f t="shared" si="30"/>
        <v>2.426E-2</v>
      </c>
      <c r="U338" s="1476">
        <f>ROUND(IF(D338*366&gt;366,interpoler(_mat2,taux2,D338*366),interpoler(_mat1,taux1,D338*366)),5)</f>
        <v>2.2700000000000001E-2</v>
      </c>
      <c r="V338" s="1477" t="str">
        <f>+IF((AB338-$AF$1)&lt;=366,"M","A")</f>
        <v>M</v>
      </c>
      <c r="W338" s="1477" t="s">
        <v>287</v>
      </c>
      <c r="X338" s="1478">
        <f>+prix_titre(AF$1,AA338,AB338,M338,K338,W338,V338,P338,Q338,N338,D338,Y338)</f>
        <v>100588.45747182048</v>
      </c>
      <c r="Y338" s="1477">
        <v>1</v>
      </c>
      <c r="Z338" s="1479" t="s">
        <v>3124</v>
      </c>
      <c r="AA338" s="1473">
        <v>46017</v>
      </c>
      <c r="AB338" s="1473">
        <v>46382</v>
      </c>
      <c r="AC338" s="1479"/>
    </row>
    <row r="339" spans="1:30" ht="19.5" hidden="1" customHeight="1" x14ac:dyDescent="0.25">
      <c r="A339" s="1191">
        <v>9654</v>
      </c>
      <c r="B339" s="1192">
        <f t="shared" si="35"/>
        <v>101065.61603059818</v>
      </c>
      <c r="C339" s="1193">
        <f>(AB339-$AF$1)</f>
        <v>2101</v>
      </c>
      <c r="D339" s="1194">
        <f t="shared" si="37"/>
        <v>3.814E-2</v>
      </c>
      <c r="E339" s="1195">
        <f>duration_titre($AF$1,AA339,AB339,M339,K339,W339,V339,P339,Q339,N339,D339)</f>
        <v>5.2282620149241703</v>
      </c>
      <c r="F339" s="1195">
        <f t="shared" si="36"/>
        <v>5.0361820322154722</v>
      </c>
      <c r="G339" s="1195">
        <f>convexite_titre($AF$1,AA339,AB339,M339,K339,W339,V339,P339,Q339,N339,D339)</f>
        <v>31.780860944438679</v>
      </c>
      <c r="H339" s="1196">
        <f>+ROUND(coupon_courru($AF$1,AA339,AB339,M339,K339,W339,P339,Q339,N339,V339,"V"),4)</f>
        <v>946.84929999999997</v>
      </c>
      <c r="I339" s="1199">
        <f>+IF(Y340=1,B339,D339*100)</f>
        <v>101065.61603059818</v>
      </c>
      <c r="J339" s="1193" t="str">
        <f>VLOOKUP(A339,Marché!$B:$C,2,)</f>
        <v>OBL SUB WAFASALAF du 26/12/2024  7 ans Fixe 3,84%</v>
      </c>
      <c r="K339" s="1193">
        <v>100000</v>
      </c>
      <c r="L339" s="1193">
        <v>0</v>
      </c>
      <c r="M339" s="1197">
        <v>3.8399999999999997E-2</v>
      </c>
      <c r="N339" s="1193">
        <v>7</v>
      </c>
      <c r="O339" s="1200" t="str">
        <f>+Marché!J2693</f>
        <v>A</v>
      </c>
      <c r="P339" s="1200" t="str">
        <f>+Marché!K2693</f>
        <v>A</v>
      </c>
      <c r="Q339" s="1200" t="str">
        <f>+Marché!L2693</f>
        <v>F</v>
      </c>
      <c r="R339" s="1287">
        <v>7.0000000000000001E-3</v>
      </c>
      <c r="S339" s="1229" cm="1">
        <f t="array" ref="S339">IF(C339&gt;'Courbe des taux'!$D$50,ROUND( TREND('Courbe des taux'!$E$49:$E$50,'Courbe des taux'!$D$49:$D$50,Lignes_détenues!C339),5),ROUND(IF(C339&gt;365,interpoler(_mat2,taux2,C339),interpoler(_mat1,taux1,C339)),5))</f>
        <v>3.1140000000000001E-2</v>
      </c>
      <c r="T339" s="1201">
        <f t="shared" si="30"/>
        <v>3.1140000000000001E-2</v>
      </c>
      <c r="U339" s="1201">
        <f>ROUND(IF(D339*366&gt;366,interpoler(_mat2,taux2,D339*366),interpoler(_mat1,taux1,D339*366)),5)</f>
        <v>2.2700000000000001E-2</v>
      </c>
      <c r="V339" s="1202" t="str">
        <f>+IF((AB339-$AF$1)&lt;=366,"M","A")</f>
        <v>A</v>
      </c>
      <c r="W339" s="1202" t="s">
        <v>287</v>
      </c>
      <c r="X339" s="1212">
        <f>+prix_titre(AF$1,AA339,AB339,M339,K339,W339,V339,P339,Q339,N339,D339,Y339)</f>
        <v>101065.61603059818</v>
      </c>
      <c r="Y339" s="1202">
        <v>1</v>
      </c>
      <c r="Z339" s="35"/>
      <c r="AA339" s="1198">
        <v>45652</v>
      </c>
      <c r="AB339" s="1198">
        <v>48208</v>
      </c>
      <c r="AC339" s="35"/>
      <c r="AD339" s="2"/>
    </row>
    <row r="340" spans="1:30" s="1496" customFormat="1" ht="15" hidden="1" x14ac:dyDescent="0.25">
      <c r="A340" s="1481">
        <v>9653</v>
      </c>
      <c r="B340" s="1482">
        <f t="shared" si="35"/>
        <v>100624.4577088223</v>
      </c>
      <c r="C340" s="1483">
        <f>(AB340-$AF$1)</f>
        <v>275</v>
      </c>
      <c r="D340" s="1484">
        <f t="shared" si="37"/>
        <v>3.0259999999999999E-2</v>
      </c>
      <c r="E340" s="1485">
        <f>duration_titre($AF$1,AA340,AB340,M340,K340,W340,V340,P340,Q340,N340,D340)</f>
        <v>0.75342465753424659</v>
      </c>
      <c r="F340" s="1485">
        <f t="shared" si="36"/>
        <v>0.73129565113102191</v>
      </c>
      <c r="G340" s="1485">
        <f>convexite_titre($AF$1,AA340,AB340,M340,K340,W340,V340,P340,Q340,N340,D340)</f>
        <v>1.244609930154229</v>
      </c>
      <c r="H340" s="1486">
        <f>+ROUND(coupon_courru($AF$1,AA340,AB340,M340,K340,W340,P340,Q340,N340,V340,"V"),4)</f>
        <v>727.5</v>
      </c>
      <c r="I340" s="1487">
        <f>+IF(Y341=1,B340,D340*100)</f>
        <v>100624.4577088223</v>
      </c>
      <c r="J340" s="1483" t="str">
        <f>VLOOKUP(A340,Marché!$B:$C,2,)</f>
        <v>OBL WAFASALAF du 26/12/2024 à 3,38% Rév Annuel 7ans</v>
      </c>
      <c r="K340" s="1483">
        <v>100000</v>
      </c>
      <c r="L340" s="1483">
        <v>0</v>
      </c>
      <c r="M340" s="1488">
        <v>2.9100000000000001E-2</v>
      </c>
      <c r="N340" s="1483">
        <v>52</v>
      </c>
      <c r="O340" s="1490" t="s">
        <v>369</v>
      </c>
      <c r="P340" s="1490" t="str">
        <f>Marché!K2693</f>
        <v>A</v>
      </c>
      <c r="Q340" s="1490" t="str">
        <f>Marché!L2693</f>
        <v>F</v>
      </c>
      <c r="R340" s="1491">
        <v>6.0000000000000001E-3</v>
      </c>
      <c r="S340" s="1492" cm="1">
        <f t="array" ref="S340">IF(C340&gt;'Courbe des taux'!$D$50,ROUND( TREND('Courbe des taux'!$E$49:$E$50,'Courbe des taux'!$D$49:$D$50,Lignes_détenues!C340),5),ROUND(IF(C340&gt;365,interpoler(_mat2,taux2,C340),interpoler(_mat1,taux1,C340)),5))</f>
        <v>2.426E-2</v>
      </c>
      <c r="T340" s="1492">
        <f t="shared" si="30"/>
        <v>2.426E-2</v>
      </c>
      <c r="U340" s="1492">
        <f>ROUND(IF(D340*366&gt;366,interpoler(_mat2,taux2,D340*366),interpoler(_mat1,taux1,D340*366)),5)</f>
        <v>2.2700000000000001E-2</v>
      </c>
      <c r="V340" s="1493" t="str">
        <f>+IF((AB340-$AF$1)&lt;=366,"M","A")</f>
        <v>M</v>
      </c>
      <c r="W340" s="1493" t="s">
        <v>287</v>
      </c>
      <c r="X340" s="1494">
        <f>+prix_titre(AF$1,AA340,AB340,M340,K340,W340,V340,P340,Q340,N340,D340,Y340)</f>
        <v>100624.4577088223</v>
      </c>
      <c r="Y340" s="1493">
        <v>1</v>
      </c>
      <c r="Z340" s="1495" t="s">
        <v>3124</v>
      </c>
      <c r="AA340" s="1489">
        <v>46017</v>
      </c>
      <c r="AB340" s="1489">
        <v>46382</v>
      </c>
      <c r="AC340" s="1495"/>
    </row>
    <row r="341" spans="1:30" ht="15" hidden="1" x14ac:dyDescent="0.25">
      <c r="A341" s="1191">
        <v>100970</v>
      </c>
      <c r="B341" s="1192">
        <f t="shared" ref="B341:B356" si="38">X341</f>
        <v>104603.08182631711</v>
      </c>
      <c r="C341" s="1193">
        <f>(AB341-$AF$1)</f>
        <v>735</v>
      </c>
      <c r="D341" s="1194">
        <f t="shared" si="37"/>
        <v>3.1899999999999998E-2</v>
      </c>
      <c r="E341" s="1195">
        <f>duration_titre($AF$1,AA341,AB341,M341,K341,W341,V341,P341,Q341,N341,D341)</f>
        <v>1.9162614583893969</v>
      </c>
      <c r="F341" s="1195">
        <f t="shared" ref="F341:F372" si="39">+E341/(1+D341)</f>
        <v>1.8570224424744615</v>
      </c>
      <c r="G341" s="1195">
        <f>convexite_titre($AF$1,AA341,AB341,M341,K341,W341,V341,P341,Q341,N341,D341)</f>
        <v>5.3925993159899539</v>
      </c>
      <c r="H341" s="1196">
        <f>+ROUND(coupon_courru($AF$1,AA341,AB341,M341,K341,W341,P341,Q341,N341,V341,"V"),4)</f>
        <v>3362.7397000000001</v>
      </c>
      <c r="I341" s="1199">
        <f>+IF(Y342=1,B341,D341*100)</f>
        <v>104603.08182631711</v>
      </c>
      <c r="J341" s="1193" t="str">
        <f>VLOOKUP(A341,Marché!$B:$C,2,)</f>
        <v>BSF EQDOM du 30/12/2024 à 3.40%  3 ANS ATYP 30/03/</v>
      </c>
      <c r="K341" s="1193">
        <v>100000</v>
      </c>
      <c r="L341" s="1193">
        <v>0</v>
      </c>
      <c r="M341" s="1197">
        <v>3.4000000000000002E-2</v>
      </c>
      <c r="N341" s="1193">
        <v>3</v>
      </c>
      <c r="O341" s="1200" t="str">
        <f>Marché!J2694</f>
        <v>A</v>
      </c>
      <c r="P341" s="1200" t="str">
        <f>Marché!K2694</f>
        <v>A</v>
      </c>
      <c r="Q341" s="1200" t="str">
        <f>Marché!L2694</f>
        <v>F</v>
      </c>
      <c r="R341" s="1287">
        <v>5.1999999999999998E-3</v>
      </c>
      <c r="S341" s="1229" cm="1">
        <f t="array" ref="S341">IF(C341&gt;'Courbe des taux'!$D$50,ROUND( TREND('Courbe des taux'!$E$49:$E$50,'Courbe des taux'!$D$49:$D$50,Lignes_détenues!C341),5),ROUND(IF(C341&gt;365,interpoler(_mat2,taux2,C341),interpoler(_mat1,taux1,C341)),5))</f>
        <v>2.6700000000000002E-2</v>
      </c>
      <c r="T341" s="1201">
        <f t="shared" si="30"/>
        <v>2.6700000000000002E-2</v>
      </c>
      <c r="U341" s="1201">
        <f>ROUND(IF(D341*366&gt;366,interpoler(_mat2,taux2,D341*366),interpoler(_mat1,taux1,D341*366)),5)</f>
        <v>2.2700000000000001E-2</v>
      </c>
      <c r="V341" s="1202" t="str">
        <f>+IF((AB341-$AF$1)&lt;=366,"M","A")</f>
        <v>A</v>
      </c>
      <c r="W341" s="1202" t="s">
        <v>287</v>
      </c>
      <c r="X341" s="1212">
        <f>+prix_atp(AF$1,AA341,Z341,AB341,M341,K341,W341,V341,P341,Q341,N341,D341,Y341)</f>
        <v>104603.08182631711</v>
      </c>
      <c r="Y341" s="1202">
        <v>1</v>
      </c>
      <c r="Z341" s="35">
        <v>45746</v>
      </c>
      <c r="AA341" s="1198">
        <v>45656</v>
      </c>
      <c r="AB341" s="1198">
        <v>46842</v>
      </c>
      <c r="AC341" s="35"/>
      <c r="AD341" s="2"/>
    </row>
    <row r="342" spans="1:30" ht="15" hidden="1" x14ac:dyDescent="0.25">
      <c r="A342" s="1191">
        <v>9660</v>
      </c>
      <c r="B342" s="1192">
        <f t="shared" si="38"/>
        <v>100906.27725963244</v>
      </c>
      <c r="C342" s="1193">
        <f>(AB342-$AF$1)</f>
        <v>279</v>
      </c>
      <c r="D342" s="1194">
        <f t="shared" si="37"/>
        <v>4.4290000000000003E-2</v>
      </c>
      <c r="E342" s="1195">
        <f>duration_titre($AF$1,AA342,AB342,M342,K342,W342,V342,P342,Q342,N342,D342)</f>
        <v>0.76438356164383559</v>
      </c>
      <c r="F342" s="1195">
        <f t="shared" si="39"/>
        <v>0.73196483892772657</v>
      </c>
      <c r="G342" s="1195">
        <f>convexite_titre($AF$1,AA342,AB342,M342,K342,W342,V342,P342,Q342,N342,D342)</f>
        <v>1.2366935712353455</v>
      </c>
      <c r="H342" s="1196">
        <f>+ROUND(coupon_courru($AF$1,AA342,AB342,M342,K342,W342,P342,Q342,N342,V342,"V"),4)</f>
        <v>1029.6111000000001</v>
      </c>
      <c r="I342" s="1199">
        <f>+IF(Y343=1,B342,D342*100)</f>
        <v>100906.27725963244</v>
      </c>
      <c r="J342" s="1193" t="str">
        <f>VLOOKUP(A342,Marché!$B:$C,2,)</f>
        <v>OBL SUB PERPT BCP du 30/12/2024 à 4.54%   REVISABLE</v>
      </c>
      <c r="K342" s="1193">
        <v>100000</v>
      </c>
      <c r="L342" s="1193">
        <v>0</v>
      </c>
      <c r="M342" s="1197">
        <v>4.3099999999999999E-2</v>
      </c>
      <c r="N342" s="1193">
        <v>52</v>
      </c>
      <c r="O342" s="1200" t="s">
        <v>369</v>
      </c>
      <c r="P342" s="1200" t="str">
        <f>Marché!K2695</f>
        <v>A</v>
      </c>
      <c r="Q342" s="1200" t="str">
        <f>Marché!L2695</f>
        <v>F</v>
      </c>
      <c r="R342" s="1287">
        <v>0.02</v>
      </c>
      <c r="S342" s="1229" cm="1">
        <f t="array" ref="S342">IF(C342&gt;'Courbe des taux'!$D$50,ROUND( TREND('Courbe des taux'!$E$49:$E$50,'Courbe des taux'!$D$49:$D$50,Lignes_détenues!C342),5),ROUND(IF(C342&gt;365,interpoler(_mat2,taux2,C342),interpoler(_mat1,taux1,C342)),5))</f>
        <v>2.4289999999999999E-2</v>
      </c>
      <c r="T342" s="1201">
        <f t="shared" si="30"/>
        <v>2.4289999999999999E-2</v>
      </c>
      <c r="U342" s="1201">
        <f>ROUND(IF(D342*366&gt;366,interpoler(_mat2,taux2,D342*366),interpoler(_mat1,taux1,D342*366)),5)</f>
        <v>2.2700000000000001E-2</v>
      </c>
      <c r="V342" s="1202" t="str">
        <f>+IF((AB342-$AF$1)&lt;=366,"M","A")</f>
        <v>M</v>
      </c>
      <c r="W342" s="1202" t="s">
        <v>287</v>
      </c>
      <c r="X342" s="1212">
        <f>+prix_atp(AF$1,AA342,Z342,AB342,M342,K342,W342,V342,P342,Q342,N342,D342,Y342)</f>
        <v>100906.27725963244</v>
      </c>
      <c r="Y342" s="1202">
        <v>1</v>
      </c>
      <c r="Z342" s="35"/>
      <c r="AA342" s="1198">
        <v>46021</v>
      </c>
      <c r="AB342" s="1198">
        <v>46386</v>
      </c>
      <c r="AC342" s="35"/>
      <c r="AD342" s="2">
        <f>K342*M342*(AB342-AF1)/360</f>
        <v>3340.25</v>
      </c>
    </row>
    <row r="343" spans="1:30" ht="15" hidden="1" x14ac:dyDescent="0.25">
      <c r="A343" s="1191">
        <v>100971</v>
      </c>
      <c r="B343" s="1192">
        <f t="shared" si="38"/>
        <v>100890.74136430427</v>
      </c>
      <c r="C343" s="1193">
        <f>(AB343-$AF$1)</f>
        <v>644</v>
      </c>
      <c r="D343" s="1194">
        <f t="shared" si="37"/>
        <v>3.1820000000000001E-2</v>
      </c>
      <c r="E343" s="1195">
        <f>duration_titre($AF$1,AA343,AB343,M343,K343,W343,V343,P343,Q343,N343,D343)</f>
        <v>1.7328358649064646</v>
      </c>
      <c r="F343" s="1195">
        <f t="shared" si="39"/>
        <v>1.6793974384160655</v>
      </c>
      <c r="G343" s="1195">
        <f>convexite_titre($AF$1,AA343,AB343,M343,K343,W343,V343,P343,Q343,N343,D343)</f>
        <v>4.4766798402950334</v>
      </c>
      <c r="H343" s="1196">
        <f>+ROUND(coupon_courru($AF$1,AA343,AB343,M343,K343,W343,P343,Q343,N343,V343,"V"),4)</f>
        <v>768.1096</v>
      </c>
      <c r="I343" s="1199">
        <f>+IF(Y344=1,B343,D343*100)</f>
        <v>100890.74136430427</v>
      </c>
      <c r="J343" s="1193" t="str">
        <f>VLOOKUP(A343,Marché!$B:$C,2,)</f>
        <v>BSF SOGELEASE du 30/12/2024 à 3,26%  3 ans</v>
      </c>
      <c r="K343" s="1193">
        <v>100000</v>
      </c>
      <c r="L343" s="1193">
        <v>0</v>
      </c>
      <c r="M343" s="1197">
        <v>3.2599999999999997E-2</v>
      </c>
      <c r="N343" s="1193">
        <v>3</v>
      </c>
      <c r="O343" s="1200" t="str">
        <f>Marché!J2696</f>
        <v>A</v>
      </c>
      <c r="P343" s="1200" t="str">
        <f>Marché!K2696</f>
        <v>A</v>
      </c>
      <c r="Q343" s="1200" t="str">
        <f>Marché!L2696</f>
        <v>F</v>
      </c>
      <c r="R343" s="1287">
        <v>5.4999999999999997E-3</v>
      </c>
      <c r="S343" s="1229" cm="1">
        <f t="array" ref="S343">IF(C343&gt;'Courbe des taux'!$D$50,ROUND( TREND('Courbe des taux'!$E$49:$E$50,'Courbe des taux'!$D$49:$D$50,Lignes_détenues!C343),5),ROUND(IF(C343&gt;365,interpoler(_mat2,taux2,C343),interpoler(_mat1,taux1,C343)),5))</f>
        <v>2.632E-2</v>
      </c>
      <c r="T343" s="1201">
        <f t="shared" si="30"/>
        <v>2.632E-2</v>
      </c>
      <c r="U343" s="1201">
        <f>ROUND(IF(D343*366&gt;366,interpoler(_mat2,taux2,D343*366),interpoler(_mat1,taux1,D343*366)),5)</f>
        <v>2.2700000000000001E-2</v>
      </c>
      <c r="V343" s="1202" t="str">
        <f>+IF((AB343-$AF$1)&lt;=366,"M","A")</f>
        <v>A</v>
      </c>
      <c r="W343" s="1202" t="s">
        <v>287</v>
      </c>
      <c r="X343" s="1212">
        <f>+prix_atp(AF$1,AA343,Z343,AB343,M343,K343,W343,V343,P343,Q343,N343,D343,Y343)</f>
        <v>100890.74136430427</v>
      </c>
      <c r="Y343" s="1202">
        <v>1</v>
      </c>
      <c r="Z343" s="35"/>
      <c r="AA343" s="1198">
        <v>45656</v>
      </c>
      <c r="AB343" s="1198">
        <v>46751</v>
      </c>
      <c r="AC343" s="35"/>
      <c r="AD343" s="2"/>
    </row>
    <row r="344" spans="1:30" s="342" customFormat="1" ht="15" hidden="1" x14ac:dyDescent="0.25">
      <c r="A344" s="1336">
        <v>9628</v>
      </c>
      <c r="B344" s="1209">
        <f t="shared" si="38"/>
        <v>101649.40629999999</v>
      </c>
      <c r="C344" s="1337">
        <f>(AB344-$AF$1)</f>
        <v>1933</v>
      </c>
      <c r="D344" s="1338">
        <f t="shared" si="37"/>
        <v>5.092E-2</v>
      </c>
      <c r="E344" s="1339">
        <f>duration_titre($AF$1,AA344,AB344,M344,K344,W344,V344,P344,Q344,N344,D344)</f>
        <v>4.5791205995551598</v>
      </c>
      <c r="F344" s="1339">
        <f t="shared" si="39"/>
        <v>4.3572494571948006</v>
      </c>
      <c r="G344" s="1339">
        <f>convexite_titre($AF$1,AA344,AB344,M344,K344,W344,V344,P344,Q344,N344,D344)</f>
        <v>25.096769511311521</v>
      </c>
      <c r="H344" s="1340">
        <f>+ROUND(coupon_courru($AF$1,AA344,AB344,M344,K344,W344,P344,Q344,N344,V344,"V"),4)</f>
        <v>3852.3287999999998</v>
      </c>
      <c r="I344" s="1341">
        <f>+IF(Y345=1,B344,D344*100)</f>
        <v>101649.40629999999</v>
      </c>
      <c r="J344" s="1337" t="str">
        <f>VLOOKUP(A344,Marché!$B:$C,2,)</f>
        <v>OBL HAYAN IMMO du 11/07/2024 à 5.45% 7 ans Amrt TRIM</v>
      </c>
      <c r="K344" s="1337">
        <v>100000</v>
      </c>
      <c r="L344" s="1337"/>
      <c r="M344" s="1342">
        <v>5.45E-2</v>
      </c>
      <c r="N344" s="1337">
        <v>7</v>
      </c>
      <c r="O344" s="1344" t="str">
        <f>VLOOKUP($A344,Marché!$B:$L,9,)</f>
        <v>A</v>
      </c>
      <c r="P344" s="1344" t="str">
        <f>VLOOKUP($A344,Marché!$B:$L,10,)</f>
        <v>A</v>
      </c>
      <c r="Q344" s="1344" t="str">
        <f>VLOOKUP($A344,Marché!$B:$L,11,)</f>
        <v>F</v>
      </c>
      <c r="R344" s="1345">
        <v>0.02</v>
      </c>
      <c r="S344" s="1346" cm="1">
        <f t="array" ref="S344">IF(C344&gt;'Courbe des taux'!$D$50,ROUND( TREND('Courbe des taux'!$E$49:$E$50,'Courbe des taux'!$D$49:$D$50,Lignes_détenues!C344),5),ROUND(IF(C344&gt;365,interpoler(_mat2,taux2,C344),interpoler(_mat1,taux1,C344)),5))</f>
        <v>3.092E-2</v>
      </c>
      <c r="T344" s="1346">
        <f t="shared" si="30"/>
        <v>3.092E-2</v>
      </c>
      <c r="U344" s="1346">
        <f>ROUND(IF(D344*366&gt;366,interpoler(_mat2,taux2,D344*366),interpoler(_mat1,taux1,D344*366)),5)</f>
        <v>2.2700000000000001E-2</v>
      </c>
      <c r="V344" s="1347" t="str">
        <f>+IF((AB344-$AF$1)&lt;=366,"M","A")</f>
        <v>A</v>
      </c>
      <c r="W344" s="1347" t="s">
        <v>287</v>
      </c>
      <c r="X344" s="1348">
        <f>'Echéanciers des Parts'!JV3</f>
        <v>101649.40629999999</v>
      </c>
      <c r="Y344" s="1347">
        <v>1</v>
      </c>
      <c r="Z344" s="1349"/>
      <c r="AA344" s="1343">
        <v>45484</v>
      </c>
      <c r="AB344" s="1343">
        <v>48040</v>
      </c>
    </row>
    <row r="345" spans="1:30" s="1373" customFormat="1" ht="15" hidden="1" x14ac:dyDescent="0.25">
      <c r="A345" s="1358">
        <v>201878</v>
      </c>
      <c r="B345" s="1359">
        <f t="shared" si="38"/>
        <v>0</v>
      </c>
      <c r="C345" s="1360">
        <f>(AB345-$AF$1)</f>
        <v>-66</v>
      </c>
      <c r="D345" s="1361">
        <f t="shared" si="37"/>
        <v>2.2700000000000001E-2</v>
      </c>
      <c r="E345" s="1362">
        <f>duration_titre($AF$1,AA345,AB345,M345,K345,W345,V345,P345,Q345,N345,D345)</f>
        <v>0</v>
      </c>
      <c r="F345" s="1362">
        <f t="shared" si="39"/>
        <v>0</v>
      </c>
      <c r="G345" s="1362">
        <f>convexite_titre($AF$1,AA345,AB345,M345,K345,W345,V345,P345,Q345,N345,D345)</f>
        <v>0</v>
      </c>
      <c r="H345" s="1363">
        <f>+ROUND(coupon_courru($AF$1,AA345,AB345,M345,K345,W345,P345,Q345,N345,V345,"V"),4)</f>
        <v>3750</v>
      </c>
      <c r="I345" s="1364">
        <f>+IF(Y346=1,B345,D345*100)</f>
        <v>0</v>
      </c>
      <c r="J345" s="1360" t="str">
        <f>VLOOKUP(A345,Marché!$B:$C,2,)</f>
        <v>BDT du 19/01/2025 à 2.70%  52 SEM</v>
      </c>
      <c r="K345" s="1360">
        <v>100000</v>
      </c>
      <c r="L345" s="1360"/>
      <c r="M345" s="1365">
        <v>2.7E-2</v>
      </c>
      <c r="N345" s="1360">
        <v>52</v>
      </c>
      <c r="O345" s="1367" t="str">
        <f>VLOOKUP($A345,Marché!$B:$L,9,)</f>
        <v>S</v>
      </c>
      <c r="P345" s="1367" t="str">
        <f>VLOOKUP($A345,Marché!$B:$L,10,)</f>
        <v>A</v>
      </c>
      <c r="Q345" s="1367" t="str">
        <f>VLOOKUP($A345,Marché!$B:$L,11,)</f>
        <v>F</v>
      </c>
      <c r="R345" s="1368">
        <v>0</v>
      </c>
      <c r="S345" s="1369" cm="1">
        <f t="array" ref="S345">IF(C345&gt;'Courbe des taux'!$D$50,ROUND( TREND('Courbe des taux'!$E$49:$E$50,'Courbe des taux'!$D$49:$D$50,Lignes_détenues!C345),5),ROUND(IF(C345&gt;365,interpoler(_mat2,taux2,C345),interpoler(_mat1,taux1,C345)),5))</f>
        <v>2.2700000000000001E-2</v>
      </c>
      <c r="T345" s="1369">
        <f t="shared" si="30"/>
        <v>2.2700000000000001E-2</v>
      </c>
      <c r="U345" s="1369">
        <f>ROUND(IF(D345*366&gt;366,interpoler(_mat2,taux2,D345*366),interpoler(_mat1,taux1,D345*366)),5)</f>
        <v>2.2700000000000001E-2</v>
      </c>
      <c r="V345" s="1370" t="str">
        <f>+IF((AB345-$AF$1)&lt;=366,"M","A")</f>
        <v>M</v>
      </c>
      <c r="W345" s="1370" t="s">
        <v>287</v>
      </c>
      <c r="X345" s="1371">
        <f>+prix_atp(AF$1,AA345,Z345,AB345,M345,K345,W345,V345,P345,Q345,N345,D345,Y345)</f>
        <v>0</v>
      </c>
      <c r="Y345" s="1370">
        <v>1</v>
      </c>
      <c r="Z345" s="1372">
        <v>45676</v>
      </c>
      <c r="AA345" s="1366">
        <v>45607</v>
      </c>
      <c r="AB345" s="1366">
        <v>46041</v>
      </c>
    </row>
    <row r="346" spans="1:30" ht="15" hidden="1" x14ac:dyDescent="0.25">
      <c r="A346" s="1191">
        <v>201763</v>
      </c>
      <c r="B346" s="1192">
        <f t="shared" si="38"/>
        <v>100626.70858941074</v>
      </c>
      <c r="C346" s="1193">
        <f>(AB346-$AF$1)</f>
        <v>247</v>
      </c>
      <c r="D346" s="1194">
        <f t="shared" si="37"/>
        <v>2.5579999999999999E-2</v>
      </c>
      <c r="E346" s="1195">
        <f>duration_titre($AF$1,AA346,AB346,M346,K346,W346,V346,P346,Q346,N346,D346)</f>
        <v>0.67671232876712328</v>
      </c>
      <c r="F346" s="1195">
        <f t="shared" si="39"/>
        <v>0.65983378065789444</v>
      </c>
      <c r="G346" s="1195">
        <f>convexite_titre($AF$1,AA346,AB346,M346,K346,W346,V346,P346,Q346,N346,D346)</f>
        <v>1.0787568351236505</v>
      </c>
      <c r="H346" s="1196">
        <f>+ROUND(coupon_courru($AF$1,AA346,AB346,M346,K346,W346,P346,Q346,N346,V346,"V"),4)</f>
        <v>773.55560000000003</v>
      </c>
      <c r="I346" s="1199">
        <f>+IF(Y347=1,B346,D346*100)</f>
        <v>100626.70858941074</v>
      </c>
      <c r="J346" s="1193" t="str">
        <f>VLOOKUP(A346,Marché!$B:$C,2,)</f>
        <v>BDT du 28/11/2022 a 2.90% REV 5 ans</v>
      </c>
      <c r="K346" s="1193">
        <v>100000</v>
      </c>
      <c r="L346" s="1193"/>
      <c r="M346" s="1197">
        <v>2.3599999999999999E-2</v>
      </c>
      <c r="N346" s="1193">
        <v>52</v>
      </c>
      <c r="O346" s="1200" t="str">
        <f>VLOOKUP($A346,Marché!$B:$L,9,)</f>
        <v>S</v>
      </c>
      <c r="P346" s="1200" t="str">
        <f>VLOOKUP($A346,Marché!$B:$L,10,)</f>
        <v>A</v>
      </c>
      <c r="Q346" s="1200" t="str">
        <f>VLOOKUP($A346,Marché!$B:$L,11,)</f>
        <v>F</v>
      </c>
      <c r="R346" s="1287">
        <v>1.5E-3</v>
      </c>
      <c r="S346" s="1229" cm="1">
        <f t="array" ref="S346">IF(C346&gt;'Courbe des taux'!$D$50,ROUND( TREND('Courbe des taux'!$E$49:$E$50,'Courbe des taux'!$D$49:$D$50,Lignes_détenues!C346),5),ROUND(IF(C346&gt;365,interpoler(_mat2,taux2,C346),interpoler(_mat1,taux1,C346)),5))</f>
        <v>2.4080000000000001E-2</v>
      </c>
      <c r="T346" s="1201">
        <f t="shared" si="30"/>
        <v>2.4080000000000001E-2</v>
      </c>
      <c r="U346" s="1201">
        <f>ROUND(IF(D346*366&gt;366,interpoler(_mat2,taux2,D346*366),interpoler(_mat1,taux1,D346*366)),5)</f>
        <v>2.2700000000000001E-2</v>
      </c>
      <c r="V346" s="1202" t="str">
        <f>+IF((AB346-$AF$1)&lt;=366,"M","A")</f>
        <v>M</v>
      </c>
      <c r="W346" s="1202" t="s">
        <v>287</v>
      </c>
      <c r="X346" s="1212">
        <f>+prix_titre(AF$1,AA346,AB346,M346,K346,W346,V346,P346,Q346,N346,D346,Y346)</f>
        <v>100626.70858941074</v>
      </c>
      <c r="Y346" s="1202">
        <v>1</v>
      </c>
      <c r="Z346" s="35"/>
      <c r="AA346" s="1198">
        <v>45989</v>
      </c>
      <c r="AB346" s="1198">
        <v>46354</v>
      </c>
      <c r="AC346" s="35"/>
      <c r="AD346" s="2"/>
    </row>
    <row r="347" spans="1:30" ht="15" hidden="1" x14ac:dyDescent="0.25">
      <c r="A347" s="1191">
        <v>201822</v>
      </c>
      <c r="B347" s="1192">
        <f t="shared" si="38"/>
        <v>113106.03316871001</v>
      </c>
      <c r="C347" s="1193">
        <f>(AB347-$AF$1)</f>
        <v>4736</v>
      </c>
      <c r="D347" s="1194">
        <f t="shared" si="37"/>
        <v>3.4909999999999997E-2</v>
      </c>
      <c r="E347" s="1195">
        <f>duration_titre($AF$1,AA347,AB347,M347,K347,W347,V347,P347,Q347,N347,D347)</f>
        <v>10.165540645847083</v>
      </c>
      <c r="F347" s="1195">
        <f t="shared" si="39"/>
        <v>9.8226325437449464</v>
      </c>
      <c r="G347" s="1195">
        <f>convexite_titre($AF$1,AA347,AB347,M347,K347,W347,V347,P347,Q347,N347,D347)</f>
        <v>121.22760873152647</v>
      </c>
      <c r="H347" s="1196">
        <f>+ROUND(coupon_courru($AF$1,AA347,AB347,M347,K347,W347,P347,Q347,N347,V347,"V"),4)</f>
        <v>156.1644</v>
      </c>
      <c r="I347" s="1199">
        <f>+IF(Y348=1,B347,D347*100)</f>
        <v>113106.03316871001</v>
      </c>
      <c r="J347" s="1193" t="str">
        <f>VLOOKUP(A347,Marché!$B:$C,2,)</f>
        <v xml:space="preserve">BDT du 27/06/2023 ATYP 14/03/2024 à 4.75 % 15 ans </v>
      </c>
      <c r="K347" s="1193">
        <v>100000</v>
      </c>
      <c r="L347" s="1193"/>
      <c r="M347" s="1197">
        <f>Marché!F2699</f>
        <v>4.7500000000000001E-2</v>
      </c>
      <c r="N347" s="1193">
        <f>Marché!I2699</f>
        <v>15</v>
      </c>
      <c r="O347" s="1200" t="str">
        <f>Marché!J2699</f>
        <v>A</v>
      </c>
      <c r="P347" s="1200" t="str">
        <f>Marché!K2699</f>
        <v>A</v>
      </c>
      <c r="Q347" s="1200" t="str">
        <f>Marché!L2699</f>
        <v>F</v>
      </c>
      <c r="R347" s="1287">
        <v>0</v>
      </c>
      <c r="S347" s="1229" cm="1">
        <f t="array" ref="S347">IF(C347&gt;'Courbe des taux'!$D$50,ROUND( TREND('Courbe des taux'!$E$49:$E$50,'Courbe des taux'!$D$49:$D$50,Lignes_détenues!C347),5),ROUND(IF(C347&gt;365,interpoler(_mat2,taux2,C347),interpoler(_mat1,taux1,C347)),5))</f>
        <v>3.4909999999999997E-2</v>
      </c>
      <c r="T347" s="1201">
        <f t="shared" si="30"/>
        <v>3.4909999999999997E-2</v>
      </c>
      <c r="U347" s="1201">
        <f>ROUND(IF(D347*366&gt;366,interpoler(_mat2,taux2,D347*366),interpoler(_mat1,taux1,D347*366)),5)</f>
        <v>2.2700000000000001E-2</v>
      </c>
      <c r="V347" s="1202" t="str">
        <f>+IF((AB347-$AF$1)&lt;=366,"M","A")</f>
        <v>A</v>
      </c>
      <c r="W347" s="1202" t="s">
        <v>287</v>
      </c>
      <c r="X347" s="1212">
        <f>+prix_atp(AF$1,AA347,Z347,AB347,M347,K347,W347,V347,P347,Q347,N347,D347,Y347)</f>
        <v>113106.03316871001</v>
      </c>
      <c r="Y347" s="1202">
        <v>1</v>
      </c>
      <c r="Z347" s="35">
        <v>45365</v>
      </c>
      <c r="AA347" s="1198">
        <f>Marché!G2699</f>
        <v>45104</v>
      </c>
      <c r="AB347" s="1198">
        <f>Marché!H2699</f>
        <v>50843</v>
      </c>
      <c r="AC347" s="35"/>
      <c r="AD347" s="2"/>
    </row>
    <row r="348" spans="1:30" ht="15" hidden="1" x14ac:dyDescent="0.25">
      <c r="A348" s="1191">
        <v>201882</v>
      </c>
      <c r="B348" s="1192">
        <f t="shared" si="38"/>
        <v>100212.07406614354</v>
      </c>
      <c r="C348" s="1193">
        <f>(AB348-$AF$1)</f>
        <v>354</v>
      </c>
      <c r="D348" s="1194">
        <f t="shared" si="37"/>
        <v>2.4740000000000002E-2</v>
      </c>
      <c r="E348" s="1195">
        <f>duration_titre($AF$1,AA348,AB348,M348,K348,W348,V348,P348,Q348,N348,D348)</f>
        <v>0.96986301369863015</v>
      </c>
      <c r="F348" s="1195">
        <f t="shared" si="39"/>
        <v>0.94644789283001562</v>
      </c>
      <c r="G348" s="1195">
        <f>convexite_titre($AF$1,AA348,AB348,M348,K348,W348,V348,P348,Q348,N348,D348)</f>
        <v>1.8193616902617762</v>
      </c>
      <c r="H348" s="1196">
        <f>+ROUND(coupon_courru($AF$1,AA348,AB348,M348,K348,W348,P348,Q348,N348,V348,"V"),4)</f>
        <v>79.863</v>
      </c>
      <c r="I348" s="1199">
        <f>+IF(Y349=1,B348,D348*100)</f>
        <v>100212.07406614354</v>
      </c>
      <c r="J348" s="1193" t="str">
        <f>VLOOKUP(A348,Marché!$B:$C,2,)</f>
        <v xml:space="preserve">BDT DU 06/01/2025 à 6.65% 2 ans </v>
      </c>
      <c r="K348" s="1193">
        <f>Marché!D2700</f>
        <v>100000</v>
      </c>
      <c r="L348" s="1193"/>
      <c r="M348" s="1197">
        <f>Marché!F2700</f>
        <v>2.6499999999999999E-2</v>
      </c>
      <c r="N348" s="1193">
        <f>Marché!I2700</f>
        <v>2</v>
      </c>
      <c r="O348" s="1200" t="str">
        <f>Marché!J2700</f>
        <v>A</v>
      </c>
      <c r="P348" s="1200" t="str">
        <f>Marché!K2700</f>
        <v>A</v>
      </c>
      <c r="Q348" s="1200" t="str">
        <f>Marché!L2700</f>
        <v>F</v>
      </c>
      <c r="R348" s="1287">
        <v>0</v>
      </c>
      <c r="S348" s="1229" cm="1">
        <f t="array" ref="S348">IF(C348&gt;'Courbe des taux'!$D$50,ROUND( TREND('Courbe des taux'!$E$49:$E$50,'Courbe des taux'!$D$49:$D$50,Lignes_détenues!C348),5),ROUND(IF(C348&gt;365,interpoler(_mat2,taux2,C348),interpoler(_mat1,taux1,C348)),5))</f>
        <v>2.4740000000000002E-2</v>
      </c>
      <c r="T348" s="1201">
        <f t="shared" ref="T348:T374" si="40">S348</f>
        <v>2.4740000000000002E-2</v>
      </c>
      <c r="U348" s="1201">
        <f>ROUND(IF(D348*366&gt;366,interpoler(_mat2,taux2,D348*366),interpoler(_mat1,taux1,D348*366)),5)</f>
        <v>2.2700000000000001E-2</v>
      </c>
      <c r="V348" s="1202" t="str">
        <f>+IF((AB348-$AF$1)&lt;=366,"M","A")</f>
        <v>M</v>
      </c>
      <c r="W348" s="1202" t="s">
        <v>287</v>
      </c>
      <c r="X348" s="1212">
        <f>+prix_atp(AF$1,AA348,Z348,AB348,M348,K348,W348,V348,P348,Q348,N348,D348,Y348)</f>
        <v>100212.07406614354</v>
      </c>
      <c r="Y348" s="1202">
        <v>1</v>
      </c>
      <c r="Z348" s="35">
        <v>45731</v>
      </c>
      <c r="AA348" s="1198">
        <f>Marché!G2700</f>
        <v>45663</v>
      </c>
      <c r="AB348" s="1198">
        <f>Marché!H2700</f>
        <v>46461</v>
      </c>
      <c r="AC348" s="35"/>
      <c r="AD348" s="2"/>
    </row>
    <row r="349" spans="1:30" ht="15" hidden="1" x14ac:dyDescent="0.25">
      <c r="A349" s="1191">
        <v>153049</v>
      </c>
      <c r="B349" s="1192">
        <f t="shared" si="38"/>
        <v>0</v>
      </c>
      <c r="C349" s="1193">
        <f>(AB349-$AF$1)</f>
        <v>-70</v>
      </c>
      <c r="D349" s="1194">
        <f t="shared" si="37"/>
        <v>2.52E-2</v>
      </c>
      <c r="E349" s="1195">
        <f>duration_titre($AF$1,AA349,AB349,M349,K349,W349,V349,P349,Q349,N349,D349)</f>
        <v>0</v>
      </c>
      <c r="F349" s="1195">
        <f t="shared" si="39"/>
        <v>0</v>
      </c>
      <c r="G349" s="1195">
        <f>convexite_titre($AF$1,AA349,AB349,M349,K349,W349,V349,P349,Q349,N349,D349)</f>
        <v>0</v>
      </c>
      <c r="H349" s="1196">
        <f>+ROUND(coupon_courru($AF$1,AA349,AB349,M349,K349,W349,P349,Q349,N349,V349,"V"),4)</f>
        <v>3351.4443999999999</v>
      </c>
      <c r="I349" s="1199">
        <f>+IF(Y350=1,B349,D349*100)</f>
        <v>0</v>
      </c>
      <c r="J349" s="1193" t="str">
        <f>VLOOKUP(A349,Marché!$B:$C,2,)</f>
        <v>CD BOA du 16/01/2025 à 2.78% 52 Sem</v>
      </c>
      <c r="K349" s="1193">
        <f>Marché!D2701</f>
        <v>100000</v>
      </c>
      <c r="L349" s="1193"/>
      <c r="M349" s="1197">
        <f>Marché!F2701</f>
        <v>2.7799999999999998E-2</v>
      </c>
      <c r="N349" s="1193">
        <f>Marché!I2701</f>
        <v>52</v>
      </c>
      <c r="O349" s="1200" t="str">
        <f>Marché!J2701</f>
        <v>S</v>
      </c>
      <c r="P349" s="1200" t="str">
        <f>Marché!K2701</f>
        <v>A</v>
      </c>
      <c r="Q349" s="1200" t="str">
        <f>Marché!L2701</f>
        <v>F</v>
      </c>
      <c r="R349" s="1287">
        <v>2.5000000000000001E-3</v>
      </c>
      <c r="S349" s="1229" cm="1">
        <f t="array" ref="S349">IF(C349&gt;'Courbe des taux'!$D$50,ROUND( TREND('Courbe des taux'!$E$49:$E$50,'Courbe des taux'!$D$49:$D$50,Lignes_détenues!C349),5),ROUND(IF(C349&gt;365,interpoler(_mat2,taux2,C349),interpoler(_mat1,taux1,C349)),5))</f>
        <v>2.2700000000000001E-2</v>
      </c>
      <c r="T349" s="1201">
        <f t="shared" si="40"/>
        <v>2.2700000000000001E-2</v>
      </c>
      <c r="U349" s="1201">
        <f>ROUND(IF(D349*366&gt;366,interpoler(_mat2,taux2,D349*366),interpoler(_mat1,taux1,D349*366)),5)</f>
        <v>2.2700000000000001E-2</v>
      </c>
      <c r="V349" s="1202" t="str">
        <f>+IF((AB349-$AF$1)&lt;=366,"M","A")</f>
        <v>M</v>
      </c>
      <c r="W349" s="1202" t="s">
        <v>287</v>
      </c>
      <c r="X349" s="1212">
        <f>+prix_titre(AF$1,AA349,AB349,M349,K349,W349,V349,P349,Q349,N349,D349,Y349)</f>
        <v>0</v>
      </c>
      <c r="Y349" s="1202">
        <v>1</v>
      </c>
      <c r="Z349" s="35"/>
      <c r="AA349" s="1198">
        <f>Marché!G2701</f>
        <v>45673</v>
      </c>
      <c r="AB349" s="1198">
        <f>Marché!H2701</f>
        <v>46037</v>
      </c>
      <c r="AC349" s="35"/>
      <c r="AD349" s="2"/>
    </row>
    <row r="350" spans="1:30" ht="15" hidden="1" x14ac:dyDescent="0.25">
      <c r="A350" s="1191">
        <v>153048</v>
      </c>
      <c r="B350" s="1192">
        <f t="shared" si="38"/>
        <v>0</v>
      </c>
      <c r="C350" s="1193">
        <f>(AB350-$AF$1)</f>
        <v>-252</v>
      </c>
      <c r="D350" s="1194">
        <f t="shared" si="37"/>
        <v>2.47E-2</v>
      </c>
      <c r="E350" s="1195">
        <f>duration_titre($AF$1,AA350,AB350,M350,K350,W350,V350,P350,Q350,N350,D350)</f>
        <v>0</v>
      </c>
      <c r="F350" s="1195">
        <f t="shared" si="39"/>
        <v>0</v>
      </c>
      <c r="G350" s="1195">
        <f>convexite_titre($AF$1,AA350,AB350,M350,K350,W350,V350,P350,Q350,N350,D350)</f>
        <v>0</v>
      </c>
      <c r="H350" s="1196">
        <f>+ROUND(coupon_courru($AF$1,AA350,AB350,M350,K350,W350,P350,Q350,N350,V350,"V"),4)</f>
        <v>3255</v>
      </c>
      <c r="I350" s="1199">
        <f>+IF(Y351=1,B350,D350*100)</f>
        <v>2.4699999999999998</v>
      </c>
      <c r="J350" s="1193" t="str">
        <f>VLOOKUP(A350,Marché!$B:$C,2,)</f>
        <v>CD BOA du 16/01/2025 à 2.70%  26 SEM</v>
      </c>
      <c r="K350" s="1193">
        <f>Marché!D2702</f>
        <v>100000</v>
      </c>
      <c r="L350" s="1193"/>
      <c r="M350" s="1197">
        <f>Marché!F2702</f>
        <v>2.7E-2</v>
      </c>
      <c r="N350" s="1193">
        <f>Marché!I2702</f>
        <v>26</v>
      </c>
      <c r="O350" s="1200" t="str">
        <f>Marché!J2702</f>
        <v>S</v>
      </c>
      <c r="P350" s="1200" t="str">
        <f>Marché!K2702</f>
        <v>A</v>
      </c>
      <c r="Q350" s="1200" t="str">
        <f>Marché!L2702</f>
        <v>F</v>
      </c>
      <c r="R350" s="1287">
        <v>2E-3</v>
      </c>
      <c r="S350" s="1229" cm="1">
        <f t="array" ref="S350">IF(C350&gt;'Courbe des taux'!$D$50,ROUND( TREND('Courbe des taux'!$E$49:$E$50,'Courbe des taux'!$D$49:$D$50,Lignes_détenues!C350),5),ROUND(IF(C350&gt;365,interpoler(_mat2,taux2,C350),interpoler(_mat1,taux1,C350)),5))</f>
        <v>2.2700000000000001E-2</v>
      </c>
      <c r="T350" s="1201">
        <f t="shared" si="40"/>
        <v>2.2700000000000001E-2</v>
      </c>
      <c r="U350" s="1201">
        <f>ROUND(IF(D350*366&gt;366,interpoler(_mat2,taux2,D350*366),interpoler(_mat1,taux1,D350*366)),5)</f>
        <v>2.2700000000000001E-2</v>
      </c>
      <c r="V350" s="1202" t="str">
        <f>+IF((AB350-$AF$1)&lt;=366,"M","A")</f>
        <v>M</v>
      </c>
      <c r="W350" s="1202" t="s">
        <v>287</v>
      </c>
      <c r="X350" s="1212">
        <f>+prix_atp(AF$1,AA350,Z350,AB350,M350,K350,W350,V350,P350,Q350,N350,D350,Y350)</f>
        <v>0</v>
      </c>
      <c r="Y350" s="1202">
        <v>1</v>
      </c>
      <c r="Z350" s="35"/>
      <c r="AA350" s="1198">
        <f>Marché!G2702</f>
        <v>45673</v>
      </c>
      <c r="AB350" s="1198">
        <f>Marché!H2702</f>
        <v>45855</v>
      </c>
      <c r="AC350" s="35"/>
      <c r="AD350" s="2"/>
    </row>
    <row r="351" spans="1:30" s="1221" customFormat="1" ht="15" hidden="1" x14ac:dyDescent="0.25">
      <c r="A351" s="1564">
        <v>100972</v>
      </c>
      <c r="B351" s="1565">
        <f t="shared" si="38"/>
        <v>100642.62800814155</v>
      </c>
      <c r="C351" s="1566">
        <f>(AB351-$AF$1)</f>
        <v>297</v>
      </c>
      <c r="D351" s="1567">
        <f t="shared" si="37"/>
        <v>2.7910000000000001E-2</v>
      </c>
      <c r="E351" s="1568">
        <f>duration_titre($AF$1,AA351,AB351,M351,K351,W351,V351,P351,Q351,N351,D351)</f>
        <v>0.81369863013698629</v>
      </c>
      <c r="F351" s="1568">
        <f t="shared" si="39"/>
        <v>0.79160493636309226</v>
      </c>
      <c r="G351" s="1568">
        <f>convexite_titre($AF$1,AA351,AB351,M351,K351,W351,V351,P351,Q351,N351,D351)</f>
        <v>1.3967495098709188</v>
      </c>
      <c r="H351" s="1569">
        <f>+ROUND(coupon_courru($AF$1,AA351,AB351,M351,K351,W351,P351,Q351,N351,V351,"V"),4)</f>
        <v>551.45209999999997</v>
      </c>
      <c r="I351" s="1570">
        <f>+IF(Y352=1,B351,D351*100)</f>
        <v>100642.62800814155</v>
      </c>
      <c r="J351" s="1566" t="str">
        <f>VLOOKUP(A351,Marché!$B:$C,2,)</f>
        <v>BSF WAFASALAF du 17/01/2025 à 2.96%  2ANS</v>
      </c>
      <c r="K351" s="1566">
        <f>Marché!D2703</f>
        <v>100000</v>
      </c>
      <c r="L351" s="1566"/>
      <c r="M351" s="1571">
        <f>Marché!F2703</f>
        <v>2.9600000000000001E-2</v>
      </c>
      <c r="N351" s="1566">
        <f>Marché!I2703</f>
        <v>2</v>
      </c>
      <c r="O351" s="1573" t="str">
        <f>Marché!J2703</f>
        <v>A</v>
      </c>
      <c r="P351" s="1573" t="str">
        <f>Marché!K2703</f>
        <v>A</v>
      </c>
      <c r="Q351" s="1573" t="str">
        <f>Marché!L2703</f>
        <v>F</v>
      </c>
      <c r="R351" s="1574">
        <v>3.5000000000000001E-3</v>
      </c>
      <c r="S351" s="1575" cm="1">
        <f t="array" ref="S351">IF(C351&gt;'Courbe des taux'!$D$50,ROUND( TREND('Courbe des taux'!$E$49:$E$50,'Courbe des taux'!$D$49:$D$50,Lignes_détenues!C351),5),ROUND(IF(C351&gt;365,interpoler(_mat2,taux2,C351),interpoler(_mat1,taux1,C351)),5))</f>
        <v>2.4410000000000001E-2</v>
      </c>
      <c r="T351" s="1575">
        <f t="shared" si="40"/>
        <v>2.4410000000000001E-2</v>
      </c>
      <c r="U351" s="1575">
        <f>ROUND(IF(D351*366&gt;366,interpoler(_mat2,taux2,D351*366),interpoler(_mat1,taux1,D351*366)),5)</f>
        <v>2.2700000000000001E-2</v>
      </c>
      <c r="V351" s="1576" t="str">
        <f>+IF((AB351-$AF$1)&lt;366,"M","A")</f>
        <v>M</v>
      </c>
      <c r="W351" s="1576" t="s">
        <v>287</v>
      </c>
      <c r="X351" s="1577">
        <f>+prix_titre(AF$1,AA351,AB351,M351,K351,W351,V351,P351,Q351,N351,D351,Y351)</f>
        <v>100642.62800814155</v>
      </c>
      <c r="Y351" s="1576">
        <v>2</v>
      </c>
      <c r="Z351" s="1578"/>
      <c r="AA351" s="1572">
        <f>Marché!G2703</f>
        <v>45674</v>
      </c>
      <c r="AB351" s="1572">
        <f>Marché!H2703</f>
        <v>46404</v>
      </c>
      <c r="AC351" s="1578"/>
    </row>
    <row r="352" spans="1:30" ht="15" hidden="1" x14ac:dyDescent="0.25">
      <c r="A352" s="1191">
        <v>141171</v>
      </c>
      <c r="B352" s="1192">
        <f t="shared" si="38"/>
        <v>0</v>
      </c>
      <c r="C352" s="1193">
        <f>(AB352-$AF$1)</f>
        <v>-241</v>
      </c>
      <c r="D352" s="1194">
        <f t="shared" si="37"/>
        <v>2.3699999999999999E-2</v>
      </c>
      <c r="E352" s="1195">
        <f>duration_titre($AF$1,AA352,AB352,M352,K352,W352,V352,P352,Q352,N352,D352)</f>
        <v>0</v>
      </c>
      <c r="F352" s="1195">
        <f t="shared" si="39"/>
        <v>0</v>
      </c>
      <c r="G352" s="1195">
        <f>convexite_titre($AF$1,AA352,AB352,M352,K352,W352,V352,P352,Q352,N352,D352)</f>
        <v>0</v>
      </c>
      <c r="H352" s="1196">
        <f>+ROUND(coupon_courru($AF$1,AA352,AB352,M352,K352,W352,P352,Q352,N352,V352,"V"),4)</f>
        <v>3066.75</v>
      </c>
      <c r="I352" s="1199">
        <f>+IF(Y353=1,B352,D352*100)</f>
        <v>0</v>
      </c>
      <c r="J352" s="1193" t="str">
        <f>VLOOKUP(A352,Marché!$B:$C,2,)</f>
        <v>BT OCP du 27/01/2025 a 2,61% 26 sem</v>
      </c>
      <c r="K352" s="1193">
        <f>Marché!D2704</f>
        <v>100000</v>
      </c>
      <c r="L352" s="1193"/>
      <c r="M352" s="1197">
        <f>Marché!F2704</f>
        <v>2.6100000000000002E-2</v>
      </c>
      <c r="N352" s="1193">
        <f>Marché!I2704</f>
        <v>26</v>
      </c>
      <c r="O352" s="1200" t="str">
        <f>Marché!J2704</f>
        <v>S</v>
      </c>
      <c r="P352" s="1200" t="str">
        <f>Marché!K2704</f>
        <v>S</v>
      </c>
      <c r="Q352" s="1200" t="str">
        <f>Marché!L2704</f>
        <v>F</v>
      </c>
      <c r="R352" s="1287">
        <v>1E-3</v>
      </c>
      <c r="S352" s="1229" cm="1">
        <f t="array" ref="S352">IF(C352&gt;'Courbe des taux'!$D$50,ROUND( TREND('Courbe des taux'!$E$49:$E$50,'Courbe des taux'!$D$49:$D$50,Lignes_détenues!C352),5),ROUND(IF(C352&gt;365,interpoler(_mat2,taux2,C352),interpoler(_mat1,taux1,C352)),5))</f>
        <v>2.2700000000000001E-2</v>
      </c>
      <c r="T352" s="1201">
        <f t="shared" si="40"/>
        <v>2.2700000000000001E-2</v>
      </c>
      <c r="U352" s="1201">
        <f>ROUND(IF(D352*366&gt;366,interpoler(_mat2,taux2,D352*366),interpoler(_mat1,taux1,D352*366)),5)</f>
        <v>2.2700000000000001E-2</v>
      </c>
      <c r="V352" s="1202" t="str">
        <f>+IF((AB352-$AF$1)&lt;=366,"M","A")</f>
        <v>M</v>
      </c>
      <c r="W352" s="1202" t="s">
        <v>287</v>
      </c>
      <c r="X352" s="1212">
        <f>+prix_titre(AF$1,AA352,AB352,M352,K352,W352,V352,P352,Q352,N352,D352,Y352)</f>
        <v>0</v>
      </c>
      <c r="Y352" s="1202">
        <v>1</v>
      </c>
      <c r="Z352" s="35"/>
      <c r="AA352" s="1198">
        <f>Marché!G2704</f>
        <v>45684</v>
      </c>
      <c r="AB352" s="1198">
        <f>Marché!H2704</f>
        <v>45866</v>
      </c>
      <c r="AC352" s="35"/>
      <c r="AD352" s="2"/>
    </row>
    <row r="353" spans="1:30" ht="15" hidden="1" x14ac:dyDescent="0.25">
      <c r="A353" s="1191">
        <v>100974</v>
      </c>
      <c r="B353" s="1192">
        <f t="shared" si="38"/>
        <v>100299.07555322254</v>
      </c>
      <c r="C353" s="1193">
        <f>(AB353-$AF$1)</f>
        <v>1042</v>
      </c>
      <c r="D353" s="1194">
        <f t="shared" si="37"/>
        <v>3.347E-2</v>
      </c>
      <c r="E353" s="1195">
        <f>duration_titre($AF$1,AA353,AB353,M353,K353,W353,V353,P353,Q353,N353,D353)</f>
        <v>2.760252113342776</v>
      </c>
      <c r="F353" s="1195">
        <f t="shared" si="39"/>
        <v>2.6708584800166202</v>
      </c>
      <c r="G353" s="1195">
        <f>convexite_titre($AF$1,AA353,AB353,M353,K353,W353,V353,P353,Q353,N353,D353)</f>
        <v>9.8578659719303925</v>
      </c>
      <c r="H353" s="1196">
        <f>+ROUND(coupon_courru($AF$1,AA353,AB353,M353,K353,W353,P353,Q353,N353,V353,"V"),4)</f>
        <v>485.26029999999997</v>
      </c>
      <c r="I353" s="1199">
        <f>+IF(Y354=1,B353,D353*100)</f>
        <v>100299.07555322254</v>
      </c>
      <c r="J353" s="1193" t="str">
        <f>VLOOKUP(A353,Marché!$B:$C,2,)</f>
        <v>BSF EQDOM du 31/01/2025 à 3.28%  4 ANS</v>
      </c>
      <c r="K353" s="1193">
        <f>Marché!D2705</f>
        <v>100000</v>
      </c>
      <c r="L353" s="1193"/>
      <c r="M353" s="1197">
        <f>Marché!F2705</f>
        <v>3.2800000000000003E-2</v>
      </c>
      <c r="N353" s="1193">
        <f>Marché!I2705</f>
        <v>4</v>
      </c>
      <c r="O353" s="1200" t="str">
        <f>Marché!J2705</f>
        <v>A</v>
      </c>
      <c r="P353" s="1200" t="str">
        <f>Marché!K2705</f>
        <v>A</v>
      </c>
      <c r="Q353" s="1200" t="str">
        <f>Marché!L2705</f>
        <v>F</v>
      </c>
      <c r="R353" s="1287">
        <v>5.4999999999999997E-3</v>
      </c>
      <c r="S353" s="1229" cm="1">
        <f t="array" ref="S353">IF(C353&gt;'Courbe des taux'!$D$50,ROUND( TREND('Courbe des taux'!$E$49:$E$50,'Courbe des taux'!$D$49:$D$50,Lignes_détenues!C353),5),ROUND(IF(C353&gt;365,interpoler(_mat2,taux2,C353),interpoler(_mat1,taux1,C353)),5))</f>
        <v>2.7969999999999998E-2</v>
      </c>
      <c r="T353" s="1201">
        <f t="shared" si="40"/>
        <v>2.7969999999999998E-2</v>
      </c>
      <c r="U353" s="1201">
        <f>ROUND(IF(D353*366&gt;366,interpoler(_mat2,taux2,D353*366),interpoler(_mat1,taux1,D353*366)),5)</f>
        <v>2.2700000000000001E-2</v>
      </c>
      <c r="V353" s="1202" t="str">
        <f>+IF((AB353-$AF$1)&lt;=366,"M","A")</f>
        <v>A</v>
      </c>
      <c r="W353" s="1202" t="s">
        <v>287</v>
      </c>
      <c r="X353" s="1212">
        <f>+prix_titre(AF$1,AA353,AB353,M353,K353,W353,V353,P353,Q353,N353,D353,Y353)</f>
        <v>100299.07555322254</v>
      </c>
      <c r="Y353" s="1202">
        <v>1</v>
      </c>
      <c r="Z353" s="35"/>
      <c r="AA353" s="1198">
        <f>Marché!G2705</f>
        <v>45688</v>
      </c>
      <c r="AB353" s="1198">
        <f>Marché!H2705</f>
        <v>47149</v>
      </c>
      <c r="AC353" s="35"/>
      <c r="AD353" s="2">
        <f>50000000*0.2</f>
        <v>10000000</v>
      </c>
    </row>
    <row r="354" spans="1:30" ht="15" hidden="1" x14ac:dyDescent="0.25">
      <c r="A354" s="1191">
        <v>100975</v>
      </c>
      <c r="B354" s="1192">
        <f t="shared" si="38"/>
        <v>100538.0951864348</v>
      </c>
      <c r="C354" s="1193">
        <f>(AB354-$AF$1)</f>
        <v>311</v>
      </c>
      <c r="D354" s="1194">
        <f t="shared" si="37"/>
        <v>2.8000000000000001E-2</v>
      </c>
      <c r="E354" s="1195">
        <f>duration_titre($AF$1,AA354,AB354,M354,K354,W354,V354,P354,Q354,N354,D354)</f>
        <v>0.852054794520548</v>
      </c>
      <c r="F354" s="1195">
        <f t="shared" si="39"/>
        <v>0.82884707638185606</v>
      </c>
      <c r="G354" s="1195">
        <f>convexite_titre($AF$1,AA354,AB354,M354,K354,W354,V354,P354,Q354,N354,D354)</f>
        <v>1.4932589511063767</v>
      </c>
      <c r="H354" s="1196">
        <f>+ROUND(coupon_courru($AF$1,AA354,AB354,M354,K354,W354,P354,Q354,N354,V354,"V"),4)</f>
        <v>439.39729999999997</v>
      </c>
      <c r="I354" s="1199">
        <f>+IF(Y355=1,B354,D354*100)</f>
        <v>100538.0951864348</v>
      </c>
      <c r="J354" s="1193" t="str">
        <f>VLOOKUP(A354,Marché!$B:$C,2,)</f>
        <v>BSF WAFASALAF du 31/01/2025 à 2.97%  2ANS</v>
      </c>
      <c r="K354" s="1193">
        <f>Marché!D2706</f>
        <v>100000</v>
      </c>
      <c r="L354" s="1193"/>
      <c r="M354" s="1197">
        <f>Marché!F2706</f>
        <v>2.9700000000000001E-2</v>
      </c>
      <c r="N354" s="1193">
        <f>Marché!I2706</f>
        <v>2</v>
      </c>
      <c r="O354" s="1200" t="str">
        <f>Marché!J2706</f>
        <v>A</v>
      </c>
      <c r="P354" s="1200" t="str">
        <f>Marché!K2706</f>
        <v>A</v>
      </c>
      <c r="Q354" s="1200" t="str">
        <f>Marché!L2706</f>
        <v>F</v>
      </c>
      <c r="R354" s="1287">
        <v>3.5000000000000001E-3</v>
      </c>
      <c r="S354" s="1229" cm="1">
        <f t="array" ref="S354">IF(C354&gt;'Courbe des taux'!$D$50,ROUND( TREND('Courbe des taux'!$E$49:$E$50,'Courbe des taux'!$D$49:$D$50,Lignes_détenues!C354),5),ROUND(IF(C354&gt;365,interpoler(_mat2,taux2,C354),interpoler(_mat1,taux1,C354)),5))</f>
        <v>2.4500000000000001E-2</v>
      </c>
      <c r="T354" s="1201">
        <f t="shared" si="40"/>
        <v>2.4500000000000001E-2</v>
      </c>
      <c r="U354" s="1201">
        <f>ROUND(IF(D354*366&gt;366,interpoler(_mat2,taux2,D354*366),interpoler(_mat1,taux1,D354*366)),5)</f>
        <v>2.2700000000000001E-2</v>
      </c>
      <c r="V354" s="1202" t="str">
        <f>+IF((AB354-$AF$1)&lt;366,"M","A")</f>
        <v>M</v>
      </c>
      <c r="W354" s="1202" t="s">
        <v>287</v>
      </c>
      <c r="X354" s="1212">
        <f>+prix_titre(AF$1,AA354,AB354,M354,K354,W354,V354,P354,Q354,N354,D354,Y354)</f>
        <v>100538.0951864348</v>
      </c>
      <c r="Y354" s="1202">
        <v>1</v>
      </c>
      <c r="Z354" s="35"/>
      <c r="AA354" s="1198">
        <f>Marché!G2706</f>
        <v>45688</v>
      </c>
      <c r="AB354" s="1198">
        <f>Marché!H2706</f>
        <v>46418</v>
      </c>
      <c r="AC354" s="35"/>
      <c r="AD354" s="2"/>
    </row>
    <row r="355" spans="1:30" ht="15" hidden="1" x14ac:dyDescent="0.25">
      <c r="A355" s="1191">
        <v>5156</v>
      </c>
      <c r="B355" s="1192">
        <f t="shared" si="38"/>
        <v>100728.93930821831</v>
      </c>
      <c r="C355" s="1193">
        <f>(AB355-$AF$1)</f>
        <v>-54</v>
      </c>
      <c r="D355" s="1194">
        <f t="shared" si="37"/>
        <v>3.6700000000000003E-2</v>
      </c>
      <c r="E355" s="1195">
        <f>duration_titre($AF$1,AA355,AB355,M355,K355,W355,V355,P355,Q355,N355,D355)</f>
        <v>0</v>
      </c>
      <c r="F355" s="1195">
        <f t="shared" si="39"/>
        <v>0</v>
      </c>
      <c r="G355" s="1195">
        <f>convexite_titre($AF$1,AA355,AB355,M355,K355,W355,V355,P355,Q355,N355,D355)</f>
        <v>0</v>
      </c>
      <c r="H355" s="1196">
        <f>+ROUND(coupon_courru($AF$1,AA355,AB355,M355,K355,W355,P355,Q355,N355,V355,"V"),4)</f>
        <v>602.13699999999994</v>
      </c>
      <c r="I355" s="1199">
        <f>+IF(Y356=1,B355,D355*100)</f>
        <v>100728.93930821831</v>
      </c>
      <c r="J355" s="1193" t="str">
        <f>VLOOKUP(A355,Marché!$B:$C,2,)</f>
        <v xml:space="preserve"> FLEXENERGY  du 06/02/2025  14ans Taux Rév  AMORT AN</v>
      </c>
      <c r="K355" s="1193">
        <f>Marché!D2707</f>
        <v>100000</v>
      </c>
      <c r="L355" s="1193"/>
      <c r="M355" s="1197">
        <f>Marché!F2707</f>
        <v>4.07E-2</v>
      </c>
      <c r="N355" s="1193">
        <f>Marché!I2707</f>
        <v>14</v>
      </c>
      <c r="O355" s="1200" t="str">
        <f>Marché!J2707</f>
        <v>A</v>
      </c>
      <c r="P355" s="1200" t="str">
        <f>Marché!K2707</f>
        <v>A</v>
      </c>
      <c r="Q355" s="1200" t="str">
        <f>Marché!L2707</f>
        <v>F</v>
      </c>
      <c r="R355" s="1287">
        <v>1.4E-2</v>
      </c>
      <c r="S355" s="1229" cm="1">
        <f t="array" ref="S355">IF(C355&gt;'Courbe des taux'!$D$50,ROUND( TREND('Courbe des taux'!$E$49:$E$50,'Courbe des taux'!$D$49:$D$50,Lignes_détenues!C355),5),ROUND(IF(C355&gt;365,interpoler(_mat2,taux2,C355),interpoler(_mat1,taux1,C355)),5))</f>
        <v>2.2700000000000001E-2</v>
      </c>
      <c r="T355" s="1201">
        <f t="shared" si="40"/>
        <v>2.2700000000000001E-2</v>
      </c>
      <c r="U355" s="1201">
        <f>ROUND(IF(D355*366&gt;366,interpoler(_mat2,taux2,D355*366),interpoler(_mat1,taux1,D355*366)),5)</f>
        <v>2.2700000000000001E-2</v>
      </c>
      <c r="V355" s="1202" t="str">
        <f>+IF((AB355-$AF$1)&lt;=366,"M","A")</f>
        <v>M</v>
      </c>
      <c r="W355" s="1202" t="s">
        <v>287</v>
      </c>
      <c r="X355" s="1212">
        <f>'Echeancier de parts 2'!W3</f>
        <v>100728.93930821831</v>
      </c>
      <c r="Y355" s="1202">
        <v>1</v>
      </c>
      <c r="Z355" s="35"/>
      <c r="AA355" s="1198">
        <f>Marché!G2707</f>
        <v>45694</v>
      </c>
      <c r="AB355" s="1198">
        <f>Marché!H2707</f>
        <v>46053</v>
      </c>
      <c r="AC355" s="35"/>
      <c r="AD355" s="2"/>
    </row>
    <row r="356" spans="1:30" s="1512" customFormat="1" ht="15" hidden="1" x14ac:dyDescent="0.25">
      <c r="A356" s="1497">
        <v>100977</v>
      </c>
      <c r="B356" s="1498">
        <f t="shared" si="38"/>
        <v>100393.427187918</v>
      </c>
      <c r="C356" s="1499">
        <f>(AB356-$AF$1)</f>
        <v>331</v>
      </c>
      <c r="D356" s="1500">
        <f t="shared" si="37"/>
        <v>2.8129999999999999E-2</v>
      </c>
      <c r="E356" s="1501">
        <f>duration_titre($AF$1,AA356,AB356,M356,K356,W356,V356,P356,Q356,N356,D356)</f>
        <v>0.9068493150684932</v>
      </c>
      <c r="F356" s="1501">
        <f t="shared" si="39"/>
        <v>0.88203759745216381</v>
      </c>
      <c r="G356" s="1501">
        <f>convexite_titre($AF$1,AA356,AB356,M356,K356,W356,V356,P356,Q356,N356,D356)</f>
        <v>1.6358950605140576</v>
      </c>
      <c r="H356" s="1502">
        <f>+ROUND(coupon_courru($AF$1,AA356,AB356,M356,K356,W356,P356,Q356,N356,V356,"V"),4)</f>
        <v>278.52050000000003</v>
      </c>
      <c r="I356" s="1503">
        <f>+IF(Y357=1,B356,D356*100)</f>
        <v>100393.427187918</v>
      </c>
      <c r="J356" s="1499" t="str">
        <f>VLOOKUP(A356,Marché!$B:$C,2,)</f>
        <v>BSF WAFASALAF du 31/02/2025 à 2.99%  2ANS</v>
      </c>
      <c r="K356" s="1499">
        <f>Marché!D2708</f>
        <v>100000</v>
      </c>
      <c r="L356" s="1499"/>
      <c r="M356" s="1504">
        <f>Marché!F2708</f>
        <v>2.9899999999999999E-2</v>
      </c>
      <c r="N356" s="1499">
        <f>Marché!I2708</f>
        <v>2</v>
      </c>
      <c r="O356" s="1506" t="str">
        <f>Marché!J2708</f>
        <v>A</v>
      </c>
      <c r="P356" s="1506" t="str">
        <f>Marché!K2708</f>
        <v>A</v>
      </c>
      <c r="Q356" s="1506" t="str">
        <f>Marché!L2708</f>
        <v>F</v>
      </c>
      <c r="R356" s="1507">
        <v>3.5000000000000001E-3</v>
      </c>
      <c r="S356" s="1508" cm="1">
        <f t="array" ref="S356">IF(C356&gt;'Courbe des taux'!$D$50,ROUND( TREND('Courbe des taux'!$E$49:$E$50,'Courbe des taux'!$D$49:$D$50,Lignes_détenues!C356),5),ROUND(IF(C356&gt;365,interpoler(_mat2,taux2,C356),interpoler(_mat1,taux1,C356)),5))</f>
        <v>2.4629999999999999E-2</v>
      </c>
      <c r="T356" s="1508">
        <f t="shared" si="40"/>
        <v>2.4629999999999999E-2</v>
      </c>
      <c r="U356" s="1508">
        <f>ROUND(IF(D356*366&gt;366,interpoler(_mat2,taux2,D356*366),interpoler(_mat1,taux1,D356*366)),5)</f>
        <v>2.2700000000000001E-2</v>
      </c>
      <c r="V356" s="1509" t="str">
        <f>+IF((AB356-$AF$1)&lt;366,"M","A")</f>
        <v>M</v>
      </c>
      <c r="W356" s="1509" t="s">
        <v>287</v>
      </c>
      <c r="X356" s="1509">
        <f>+prix_titre(AF$1,AA356,AB356,M356,K356,W356,V356,P356,Q356,N356,D356,Y356)</f>
        <v>100393.427187918</v>
      </c>
      <c r="Y356" s="1509">
        <v>1</v>
      </c>
      <c r="Z356" s="1511"/>
      <c r="AA356" s="1505">
        <f>Marché!G2708</f>
        <v>45708</v>
      </c>
      <c r="AB356" s="1505">
        <f>Marché!H2708</f>
        <v>46438</v>
      </c>
      <c r="AC356" s="1511"/>
    </row>
    <row r="357" spans="1:30" ht="15" hidden="1" x14ac:dyDescent="0.25">
      <c r="A357" s="1191">
        <v>141170</v>
      </c>
      <c r="B357" s="1192" t="e">
        <f>#REF!</f>
        <v>#REF!</v>
      </c>
      <c r="C357" s="1193">
        <f>(AB357-$AF$1)</f>
        <v>-392</v>
      </c>
      <c r="D357" s="1194">
        <f t="shared" si="37"/>
        <v>2.3400000000000001E-2</v>
      </c>
      <c r="E357" s="1195">
        <f>duration_titre($AF$1,AA357,AB357,M357,K357,W357,V357,P357,Q357,N357,D357)</f>
        <v>0</v>
      </c>
      <c r="F357" s="1195">
        <f t="shared" si="39"/>
        <v>0</v>
      </c>
      <c r="G357" s="1195">
        <f>convexite_titre($AF$1,AA357,AB357,M357,K357,W357,V357,P357,Q357,N357,D357)</f>
        <v>0</v>
      </c>
      <c r="H357" s="1196">
        <f>+ROUND(coupon_courru($AF$1,AA357,AB357,M357,K357,W357,P357,Q357,N357,V357,"V"),4)</f>
        <v>2760.1095999999998</v>
      </c>
      <c r="I357" s="1199" t="e">
        <f>+IF(Y357=1,B357,D357*100)</f>
        <v>#REF!</v>
      </c>
      <c r="J357" s="1193" t="str">
        <f>VLOOKUP(A357,Marché!$B:$C,2,)</f>
        <v>BT OCP du 27/01/2025 a 2,57% 1 MOIS</v>
      </c>
      <c r="K357" s="1193">
        <f>Marché!D2709</f>
        <v>100000</v>
      </c>
      <c r="L357" s="1193">
        <v>0</v>
      </c>
      <c r="M357" s="1197">
        <f>Marché!F2709</f>
        <v>2.5700000000000001E-2</v>
      </c>
      <c r="N357" s="1193">
        <f>Marché!I2709</f>
        <v>1</v>
      </c>
      <c r="O357" s="1200" t="str">
        <f>Marché!J2709</f>
        <v>M</v>
      </c>
      <c r="P357" s="1200" t="str">
        <f>Marché!K2709</f>
        <v>M</v>
      </c>
      <c r="Q357" s="1200" t="str">
        <f>Marché!L2709</f>
        <v>F</v>
      </c>
      <c r="R357" s="1287">
        <v>6.9999999999999999E-4</v>
      </c>
      <c r="S357" s="1229" cm="1">
        <f t="array" ref="S357">IF(C357&gt;'Courbe des taux'!$D$50,ROUND( TREND('Courbe des taux'!$E$49:$E$50,'Courbe des taux'!$D$49:$D$50,Lignes_détenues!C357),5),ROUND(IF(C357&gt;365,interpoler(_mat2,taux2,C357),interpoler(_mat1,taux1,C357)),5))</f>
        <v>2.2700000000000001E-2</v>
      </c>
      <c r="T357" s="1201">
        <f t="shared" si="40"/>
        <v>2.2700000000000001E-2</v>
      </c>
      <c r="U357" s="1201">
        <f>ROUND(IF(D357*366&gt;366,interpoler(_mat2,taux2,D357*366),interpoler(_mat1,taux1,D357*366)),5)</f>
        <v>2.2700000000000001E-2</v>
      </c>
      <c r="V357" s="1202" t="str">
        <f>+IF((AB357-$AF$1)&lt;=366,"M","A")</f>
        <v>M</v>
      </c>
      <c r="W357" s="1202" t="s">
        <v>287</v>
      </c>
      <c r="X357" s="1212">
        <f>K357*((AB357-AA357)*M357/360+1)/(1+(R357+S357)*((AB357-AF1)/360))</f>
        <v>102841.71238718092</v>
      </c>
      <c r="Y357" s="1202">
        <v>1</v>
      </c>
      <c r="Z357" s="35"/>
      <c r="AA357" s="1198">
        <f>Marché!G2709</f>
        <v>45684</v>
      </c>
      <c r="AB357" s="1198">
        <f>Marché!H2709</f>
        <v>45715</v>
      </c>
      <c r="AC357" s="35"/>
      <c r="AD357" s="2"/>
    </row>
    <row r="358" spans="1:30" ht="15" hidden="1" x14ac:dyDescent="0.25">
      <c r="A358" s="1191">
        <v>201892</v>
      </c>
      <c r="B358" s="1192">
        <f t="shared" ref="B358:B372" si="41">X358</f>
        <v>102963.31070718988</v>
      </c>
      <c r="C358" s="1193">
        <f>(AB358-$AF$1)</f>
        <v>480</v>
      </c>
      <c r="D358" s="1194">
        <f t="shared" si="37"/>
        <v>2.563E-2</v>
      </c>
      <c r="E358" s="1195">
        <f>duration_titre($AF$1,AA358,AB358,M358,K358,W358,V358,P358,Q358,N358,D358)</f>
        <v>1.2892739295596289</v>
      </c>
      <c r="F358" s="1195">
        <f t="shared" si="39"/>
        <v>1.2570555946682809</v>
      </c>
      <c r="G358" s="1195">
        <f>convexite_titre($AF$1,AA358,AB358,M358,K358,W358,V358,P358,Q358,N358,D358)</f>
        <v>2.8297201117826809</v>
      </c>
      <c r="H358" s="1196">
        <f>+ROUND(coupon_courru($AF$1,AA358,AB358,M358,K358,W358,P358,Q358,N358,V358,"V"),4)</f>
        <v>1815.0685000000001</v>
      </c>
      <c r="I358" s="1199">
        <f>+IF(Y358=1,B358,D358*100)</f>
        <v>102963.31070718988</v>
      </c>
      <c r="J358" s="1193" t="str">
        <f>VLOOKUP(A358,Marché!$B:$C,2,)</f>
        <v>BDT du 24/02/2025 a 2.65% 2 ans</v>
      </c>
      <c r="K358" s="1193">
        <f>Marché!D2710</f>
        <v>100000</v>
      </c>
      <c r="L358" s="1193">
        <v>1</v>
      </c>
      <c r="M358" s="1197">
        <f>Marché!F2710</f>
        <v>2.6499999999999999E-2</v>
      </c>
      <c r="N358" s="1193">
        <f>Marché!I2710</f>
        <v>2</v>
      </c>
      <c r="O358" s="1200" t="str">
        <f>Marché!J2710</f>
        <v>A</v>
      </c>
      <c r="P358" s="1200" t="str">
        <f>Marché!K2710</f>
        <v>A</v>
      </c>
      <c r="Q358" s="1200" t="str">
        <f>Marché!L2710</f>
        <v>F</v>
      </c>
      <c r="R358" s="1287">
        <v>0</v>
      </c>
      <c r="S358" s="1229" cm="1">
        <f t="array" ref="S358">IF(C358&gt;'Courbe des taux'!$D$50,ROUND( TREND('Courbe des taux'!$E$49:$E$50,'Courbe des taux'!$D$49:$D$50,Lignes_détenues!C358),5),ROUND(IF(C358&gt;365,interpoler(_mat2,taux2,C358),interpoler(_mat1,taux1,C358)),5))</f>
        <v>2.563E-2</v>
      </c>
      <c r="T358" s="1201">
        <f t="shared" si="40"/>
        <v>2.563E-2</v>
      </c>
      <c r="U358" s="1201">
        <f>ROUND(IF(D358*366&gt;366,interpoler(_mat2,taux2,D358*366),interpoler(_mat1,taux1,D358*366)),5)</f>
        <v>2.2700000000000001E-2</v>
      </c>
      <c r="V358" s="1202" t="str">
        <f>+IF((AB358-$AF$1)&lt;=366,"M","A")</f>
        <v>A</v>
      </c>
      <c r="W358" s="1202" t="s">
        <v>287</v>
      </c>
      <c r="X358" s="1212">
        <f>+prix_atp(AF$1,AA358,Z358,AB358,M358,K358,W358,V358,P358,Q358,N358,D358,Y358)</f>
        <v>102963.31070718988</v>
      </c>
      <c r="Y358" s="1202">
        <v>1</v>
      </c>
      <c r="Z358" s="35">
        <v>45857</v>
      </c>
      <c r="AA358" s="1198">
        <f>Marché!G2710</f>
        <v>45712</v>
      </c>
      <c r="AB358" s="1198">
        <f>Marché!H2710</f>
        <v>46587</v>
      </c>
      <c r="AC358" s="35"/>
      <c r="AD358" s="2"/>
    </row>
    <row r="359" spans="1:30" s="1598" customFormat="1" ht="15" hidden="1" x14ac:dyDescent="0.25">
      <c r="A359" s="1583">
        <v>9677</v>
      </c>
      <c r="B359" s="1584">
        <f t="shared" si="41"/>
        <v>99474.169901697751</v>
      </c>
      <c r="C359" s="1585">
        <f>(AB359-$AF$1)</f>
        <v>2164</v>
      </c>
      <c r="D359" s="1586">
        <f t="shared" si="37"/>
        <v>3.8219999999999997E-2</v>
      </c>
      <c r="E359" s="1587">
        <f>duration_titre($AF$1,AA359,AB359,M359,K359,W359,V359,P359,Q359,N359,D359)</f>
        <v>5.4195509073202839</v>
      </c>
      <c r="F359" s="1587">
        <f t="shared" si="39"/>
        <v>5.2200409424980103</v>
      </c>
      <c r="G359" s="1587">
        <f>convexite_titre($AF$1,AA359,AB359,M359,K359,W359,V359,P359,Q359,N359,D359)</f>
        <v>33.796473546596069</v>
      </c>
      <c r="H359" s="1588">
        <f>+ROUND(coupon_courru($AF$1,AA359,AB359,M359,K359,W359,P359,Q359,N359,V359,"V"),4)</f>
        <v>271.47949999999997</v>
      </c>
      <c r="I359" s="1589">
        <f>+IF(Y359=1,B359,D359*100)</f>
        <v>99474.169901697751</v>
      </c>
      <c r="J359" s="1585" t="str">
        <f>VLOOKUP(A359,Marché!$B:$C,2,)</f>
        <v>OBL ORD du 27/02/2025 7 ans Fixe 3,67%</v>
      </c>
      <c r="K359" s="1585">
        <f>Marché!D2711</f>
        <v>100000</v>
      </c>
      <c r="L359" s="1585">
        <v>2</v>
      </c>
      <c r="M359" s="1590">
        <f>Marché!F2711</f>
        <v>3.6700000000000003E-2</v>
      </c>
      <c r="N359" s="1585">
        <f>Marché!I2711</f>
        <v>7</v>
      </c>
      <c r="O359" s="1592" t="str">
        <f>Marché!J2711</f>
        <v>A</v>
      </c>
      <c r="P359" s="1592" t="str">
        <f>Marché!K2711</f>
        <v>A</v>
      </c>
      <c r="Q359" s="1592" t="str">
        <f>Marché!L2711</f>
        <v>F</v>
      </c>
      <c r="R359" s="1593">
        <v>7.0000000000000001E-3</v>
      </c>
      <c r="S359" s="1594" cm="1">
        <f t="array" ref="S359">IF(C359&gt;'Courbe des taux'!$D$50,ROUND( TREND('Courbe des taux'!$E$49:$E$50,'Courbe des taux'!$D$49:$D$50,Lignes_détenues!C359),5),ROUND(IF(C359&gt;365,interpoler(_mat2,taux2,C359),interpoler(_mat1,taux1,C359)),5))</f>
        <v>3.1220000000000001E-2</v>
      </c>
      <c r="T359" s="1594">
        <f t="shared" si="40"/>
        <v>3.1220000000000001E-2</v>
      </c>
      <c r="U359" s="1594">
        <f>ROUND(IF(D359*366&gt;366,interpoler(_mat2,taux2,D359*366),interpoler(_mat1,taux1,D359*366)),5)</f>
        <v>2.2700000000000001E-2</v>
      </c>
      <c r="V359" s="1595" t="str">
        <f>+IF((AB359-$AF$1)&lt;=366,"M","A")</f>
        <v>A</v>
      </c>
      <c r="W359" s="1595" t="s">
        <v>287</v>
      </c>
      <c r="X359" s="1212">
        <f>+prix_titre(AF$1,AA359,AB359,M359,K359,W359,V359,P359,Q359,N359,D359,Y359)</f>
        <v>99474.169901697751</v>
      </c>
      <c r="Y359" s="1595">
        <v>1</v>
      </c>
      <c r="Z359" s="1597">
        <v>45858</v>
      </c>
      <c r="AA359" s="1591">
        <f>Marché!G2711</f>
        <v>45715</v>
      </c>
      <c r="AB359" s="1591">
        <f>Marché!H2711</f>
        <v>48271</v>
      </c>
      <c r="AC359" s="1597"/>
    </row>
    <row r="360" spans="1:30" ht="15" hidden="1" x14ac:dyDescent="0.25">
      <c r="A360" s="1191">
        <v>153064</v>
      </c>
      <c r="B360" s="1192">
        <f t="shared" si="41"/>
        <v>0</v>
      </c>
      <c r="C360" s="1193">
        <f>(AB360-$AF$1)</f>
        <v>-300</v>
      </c>
      <c r="D360" s="1194">
        <f t="shared" si="37"/>
        <v>2.4199999999999999E-2</v>
      </c>
      <c r="E360" s="1195">
        <f>duration_titre($AF$1,AA360,AB360,M360,K360,W360,V360,P360,Q360,N360,D360)</f>
        <v>0</v>
      </c>
      <c r="F360" s="1195">
        <f t="shared" si="39"/>
        <v>0</v>
      </c>
      <c r="G360" s="1195">
        <f>convexite_titre($AF$1,AA360,AB360,M360,K360,W360,V360,P360,Q360,N360,D360)</f>
        <v>0</v>
      </c>
      <c r="H360" s="1196">
        <f>+ROUND(coupon_courru($AF$1,AA360,AB360,M360,K360,W360,P360,Q360,N360,V360,"V"),4)</f>
        <v>2899.9167000000002</v>
      </c>
      <c r="I360" s="1199">
        <f>+IF(Y360=1,B360,D360*100)</f>
        <v>0</v>
      </c>
      <c r="J360" s="1193" t="str">
        <f>VLOOKUP(A360,Marché!$B:$C,2,)</f>
        <v>CD CDM du 28/02/2025  a 2.75% 26 SEM</v>
      </c>
      <c r="K360" s="1193">
        <f>Marché!D2712</f>
        <v>100000</v>
      </c>
      <c r="L360" s="1193">
        <v>3</v>
      </c>
      <c r="M360" s="1197">
        <f>Marché!F2712</f>
        <v>2.6700000000000002E-2</v>
      </c>
      <c r="N360" s="1193">
        <f>Marché!I2712</f>
        <v>13</v>
      </c>
      <c r="O360" s="1200" t="str">
        <f>Marché!J2712</f>
        <v>S</v>
      </c>
      <c r="P360" s="1200" t="str">
        <f>Marché!K2712</f>
        <v>T</v>
      </c>
      <c r="Q360" s="1200" t="str">
        <f>Marché!L2712</f>
        <v>F</v>
      </c>
      <c r="R360" s="1287">
        <v>1.5E-3</v>
      </c>
      <c r="S360" s="1229" cm="1">
        <f t="array" ref="S360">IF(C360&gt;'Courbe des taux'!$D$50,ROUND( TREND('Courbe des taux'!$E$49:$E$50,'Courbe des taux'!$D$49:$D$50,Lignes_détenues!C360),5),ROUND(IF(C360&gt;365,interpoler(_mat2,taux2,C360),interpoler(_mat1,taux1,C360)),5))</f>
        <v>2.2700000000000001E-2</v>
      </c>
      <c r="T360" s="1201">
        <f t="shared" si="40"/>
        <v>2.2700000000000001E-2</v>
      </c>
      <c r="U360" s="1201">
        <f>ROUND(IF(D360*366&gt;366,interpoler(_mat2,taux2,D360*366),interpoler(_mat1,taux1,D360*366)),5)</f>
        <v>2.2700000000000001E-2</v>
      </c>
      <c r="V360" s="1202" t="str">
        <f>+IF((AB360-$AF$1)&lt;=366,"M","A")</f>
        <v>M</v>
      </c>
      <c r="W360" s="1202" t="s">
        <v>287</v>
      </c>
      <c r="X360" s="1212">
        <f>+prix_atp(AF$1,AA360,Z360,AB360,M360,K360,W360,V360,P360,Q360,N360,D360,Y360)</f>
        <v>0</v>
      </c>
      <c r="Y360" s="1202">
        <v>1</v>
      </c>
      <c r="Z360" s="35"/>
      <c r="AA360" s="1198">
        <f>Marché!G2712</f>
        <v>45716</v>
      </c>
      <c r="AB360" s="1198">
        <f>Marché!H2712</f>
        <v>45807</v>
      </c>
      <c r="AC360" s="35"/>
      <c r="AD360" s="2"/>
    </row>
    <row r="361" spans="1:30" ht="15" hidden="1" x14ac:dyDescent="0.25">
      <c r="A361" s="1191">
        <v>153063</v>
      </c>
      <c r="B361" s="1192">
        <f t="shared" si="41"/>
        <v>0</v>
      </c>
      <c r="C361" s="1193">
        <f>(AB361-$AF$1)</f>
        <v>-209</v>
      </c>
      <c r="D361" s="1194">
        <f t="shared" si="37"/>
        <v>2.47E-2</v>
      </c>
      <c r="E361" s="1195">
        <f>duration_titre($AF$1,AA361,AB361,M361,K361,W361,V361,P361,Q361,N361,D361)</f>
        <v>0</v>
      </c>
      <c r="F361" s="1195">
        <f t="shared" si="39"/>
        <v>0</v>
      </c>
      <c r="G361" s="1195">
        <f>convexite_titre($AF$1,AA361,AB361,M361,K361,W361,V361,P361,Q361,N361,D361)</f>
        <v>0</v>
      </c>
      <c r="H361" s="1196">
        <f>+ROUND(coupon_courru($AF$1,AA361,AB361,M361,K361,W361,P361,Q361,N361,V361,"V"),4)</f>
        <v>2986.8056000000001</v>
      </c>
      <c r="I361" s="1199">
        <f>+IF(Y361=1,B361,D361*100)</f>
        <v>0</v>
      </c>
      <c r="J361" s="1193" t="str">
        <f>VLOOKUP(A361,Marché!$B:$C,2,)</f>
        <v>CD CDM du 28/02/2025 a A.27% 26 SEM</v>
      </c>
      <c r="K361" s="1193">
        <f>Marché!D2713</f>
        <v>100000</v>
      </c>
      <c r="L361" s="1193">
        <v>4</v>
      </c>
      <c r="M361" s="1197">
        <v>2.75E-2</v>
      </c>
      <c r="N361" s="1193">
        <f>Marché!I2713</f>
        <v>26</v>
      </c>
      <c r="O361" s="1200" t="str">
        <f>Marché!J2713</f>
        <v>S</v>
      </c>
      <c r="P361" s="1200" t="str">
        <f>Marché!K2713</f>
        <v>S</v>
      </c>
      <c r="Q361" s="1200" t="str">
        <f>Marché!L2713</f>
        <v>F</v>
      </c>
      <c r="R361" s="1287">
        <v>2E-3</v>
      </c>
      <c r="S361" s="1229" cm="1">
        <f t="array" ref="S361">IF(C361&gt;'Courbe des taux'!$D$50,ROUND( TREND('Courbe des taux'!$E$49:$E$50,'Courbe des taux'!$D$49:$D$50,Lignes_détenues!C361),5),ROUND(IF(C361&gt;365,interpoler(_mat2,taux2,C361),interpoler(_mat1,taux1,C361)),5))</f>
        <v>2.2700000000000001E-2</v>
      </c>
      <c r="T361" s="1201">
        <f t="shared" si="40"/>
        <v>2.2700000000000001E-2</v>
      </c>
      <c r="U361" s="1201">
        <f>ROUND(IF(D361*366&gt;366,interpoler(_mat2,taux2,D361*366),interpoler(_mat1,taux1,D361*366)),5)</f>
        <v>2.2700000000000001E-2</v>
      </c>
      <c r="V361" s="1202" t="str">
        <f>+IF((AB361-$AF$1)&lt;=366,"M","A")</f>
        <v>M</v>
      </c>
      <c r="W361" s="1202" t="s">
        <v>287</v>
      </c>
      <c r="X361" s="1212">
        <f>+prix_atp(AF$1,AA361,Z361,AB361,M361,K361,W361,V361,P361,Q361,N361,D361,Y361)</f>
        <v>0</v>
      </c>
      <c r="Y361" s="1202">
        <v>1</v>
      </c>
      <c r="Z361" s="35">
        <v>45898</v>
      </c>
      <c r="AA361" s="1198">
        <f>Marché!G2713</f>
        <v>45716</v>
      </c>
      <c r="AB361" s="1198">
        <f>Marché!H2713</f>
        <v>45898</v>
      </c>
      <c r="AC361" s="35"/>
      <c r="AD361" s="2"/>
    </row>
    <row r="362" spans="1:30" ht="15" hidden="1" x14ac:dyDescent="0.25">
      <c r="A362" s="1191">
        <v>100979</v>
      </c>
      <c r="B362" s="1192">
        <f t="shared" si="41"/>
        <v>100326.07244095851</v>
      </c>
      <c r="C362" s="1193">
        <f>(AB362-$AF$1)</f>
        <v>340</v>
      </c>
      <c r="D362" s="1194">
        <f t="shared" si="37"/>
        <v>2.9170000000000001E-2</v>
      </c>
      <c r="E362" s="1195">
        <f>duration_titre($AF$1,AA362,AB362,M362,K362,W362,V362,P362,Q362,N362,D362)</f>
        <v>0.93150684931506844</v>
      </c>
      <c r="F362" s="1195">
        <f t="shared" si="39"/>
        <v>0.90510493826585359</v>
      </c>
      <c r="G362" s="1195">
        <f>convexite_titre($AF$1,AA362,AB362,M362,K362,W362,V362,P362,Q362,N362,D362)</f>
        <v>1.6986662918753834</v>
      </c>
      <c r="H362" s="1196">
        <f>+ROUND(coupon_courru($AF$1,AA362,AB362,M362,K362,W362,P362,Q362,N362,V362,"V"),4)</f>
        <v>211.6438</v>
      </c>
      <c r="I362" s="1199">
        <f>+IF(Y362=1,B362,D362*100)</f>
        <v>100326.07244095851</v>
      </c>
      <c r="J362" s="1193" t="str">
        <f>VLOOKUP(A362,Marché!$B:$C,2,)</f>
        <v>BSF RCI FINANCE du 01/03/2025 a 3.09% 2 ANS</v>
      </c>
      <c r="K362" s="1193">
        <f>Marché!D2714</f>
        <v>100000</v>
      </c>
      <c r="L362" s="1193">
        <v>5</v>
      </c>
      <c r="M362" s="1197">
        <f>Marché!F2714</f>
        <v>3.09E-2</v>
      </c>
      <c r="N362" s="1193">
        <f>Marché!I2714</f>
        <v>2</v>
      </c>
      <c r="O362" s="1200" t="str">
        <f>Marché!J2714</f>
        <v>A</v>
      </c>
      <c r="P362" s="1200" t="str">
        <f>Marché!K2714</f>
        <v>A</v>
      </c>
      <c r="Q362" s="1200" t="str">
        <f>Marché!L2714</f>
        <v>F</v>
      </c>
      <c r="R362" s="1287">
        <v>4.4999999999999997E-3</v>
      </c>
      <c r="S362" s="1229" cm="1">
        <f t="array" ref="S362">IF(C362&gt;'Courbe des taux'!$D$50,ROUND( TREND('Courbe des taux'!$E$49:$E$50,'Courbe des taux'!$D$49:$D$50,Lignes_détenues!C362),5),ROUND(IF(C362&gt;365,interpoler(_mat2,taux2,C362),interpoler(_mat1,taux1,C362)),5))</f>
        <v>2.4670000000000001E-2</v>
      </c>
      <c r="T362" s="1201">
        <f t="shared" si="40"/>
        <v>2.4670000000000001E-2</v>
      </c>
      <c r="U362" s="1201">
        <f>ROUND(IF(D362*366&gt;366,interpoler(_mat2,taux2,D362*366),interpoler(_mat1,taux1,D362*366)),5)</f>
        <v>2.2700000000000001E-2</v>
      </c>
      <c r="V362" s="1202" t="str">
        <f>+IF((AB362-$AF$1)&lt;=366,"M","A")</f>
        <v>M</v>
      </c>
      <c r="W362" s="1202" t="s">
        <v>287</v>
      </c>
      <c r="X362" s="1212">
        <f>+prix_atp(AF$1,AA362,Z362,AB362,M362,K362,W362,V362,P362,Q362,N362,D362,Y362)</f>
        <v>100326.07244095851</v>
      </c>
      <c r="Y362" s="1202">
        <v>1</v>
      </c>
      <c r="Z362" s="35">
        <v>45717</v>
      </c>
      <c r="AA362" s="1198">
        <f>Marché!G2714</f>
        <v>45716</v>
      </c>
      <c r="AB362" s="1198">
        <f>Marché!H2714</f>
        <v>46447</v>
      </c>
      <c r="AC362" s="35"/>
      <c r="AD362" s="2"/>
    </row>
    <row r="363" spans="1:30" ht="15" hidden="1" x14ac:dyDescent="0.25">
      <c r="A363" s="1191">
        <v>100984</v>
      </c>
      <c r="B363" s="1192">
        <f t="shared" si="41"/>
        <v>103416.54372190211</v>
      </c>
      <c r="C363" s="1193">
        <f>(AB363-$AF$1)</f>
        <v>434</v>
      </c>
      <c r="D363" s="1194">
        <f t="shared" si="37"/>
        <v>3.0040000000000001E-2</v>
      </c>
      <c r="E363" s="1195">
        <f>duration_titre($AF$1,AA363,AB363,M363,K363,W363,V363,P363,Q363,N363,D363)</f>
        <v>1.1589092059801842</v>
      </c>
      <c r="F363" s="1195">
        <f t="shared" si="39"/>
        <v>1.1251108752865755</v>
      </c>
      <c r="G363" s="1195">
        <f>convexite_titre($AF$1,AA363,AB363,M363,K363,W363,V363,P363,Q363,N363,D363)</f>
        <v>2.385716962872638</v>
      </c>
      <c r="H363" s="1196">
        <f>+ROUND(coupon_courru($AF$1,AA363,AB363,M363,K363,W363,P363,Q363,N363,V363,"V"),4)</f>
        <v>2522.0821999999998</v>
      </c>
      <c r="I363" s="1199">
        <f>+IF(Y363=1,B363,D363*100)</f>
        <v>3.004</v>
      </c>
      <c r="J363" s="1193" t="str">
        <f>VLOOKUP(A363,Marché!$B:$C,2,)</f>
        <v>BSF EQDOM du 03/03/2025 a 3.11% 27 MOIS</v>
      </c>
      <c r="K363" s="1193">
        <f>Marché!D2715</f>
        <v>100000</v>
      </c>
      <c r="L363" s="1193"/>
      <c r="M363" s="1197">
        <f>Marché!F2715</f>
        <v>3.1099999999999999E-2</v>
      </c>
      <c r="N363" s="1193">
        <f>Marché!I2715</f>
        <v>27</v>
      </c>
      <c r="O363" s="1200" t="str">
        <f>Marché!J2715</f>
        <v>M</v>
      </c>
      <c r="P363" s="1200" t="str">
        <f>Marché!K2715</f>
        <v>A</v>
      </c>
      <c r="Q363" s="1200" t="str">
        <f>Marché!L2715</f>
        <v>F</v>
      </c>
      <c r="R363" s="1287">
        <v>4.5999999999999999E-3</v>
      </c>
      <c r="S363" s="1229" cm="1">
        <f t="array" ref="S363">IF(C363&gt;'Courbe des taux'!$D$50,ROUND( TREND('Courbe des taux'!$E$49:$E$50,'Courbe des taux'!$D$49:$D$50,Lignes_détenues!C363),5),ROUND(IF(C363&gt;365,interpoler(_mat2,taux2,C363),interpoler(_mat1,taux1,C363)),5))</f>
        <v>2.5440000000000001E-2</v>
      </c>
      <c r="T363" s="1201">
        <f t="shared" si="40"/>
        <v>2.5440000000000001E-2</v>
      </c>
      <c r="U363" s="1201">
        <f>ROUND(IF(D363*366&gt;366,interpoler(_mat2,taux2,D363*366),interpoler(_mat1,taux1,D363*366)),5)</f>
        <v>2.2700000000000001E-2</v>
      </c>
      <c r="V363" s="1202" t="str">
        <f>+IF((AB363-$AF$1)&lt;=366,"M","A")</f>
        <v>A</v>
      </c>
      <c r="W363" s="1202" t="s">
        <v>287</v>
      </c>
      <c r="X363" s="1212">
        <f>+prix_atp(AF$1,AA363,Z363,AB363,M363,K363,W363,V363,P363,Q363,N363,D363,Y363)</f>
        <v>103416.54372190211</v>
      </c>
      <c r="Y363" s="1202">
        <v>2</v>
      </c>
      <c r="Z363" s="35">
        <v>45811</v>
      </c>
      <c r="AA363" s="1198">
        <f>Marché!G2715</f>
        <v>45719</v>
      </c>
      <c r="AB363" s="1198">
        <f>Marché!H2715</f>
        <v>46541</v>
      </c>
      <c r="AC363" s="35"/>
      <c r="AD363" s="2"/>
    </row>
    <row r="364" spans="1:30" ht="15" hidden="1" x14ac:dyDescent="0.25">
      <c r="A364" s="1191">
        <v>100983</v>
      </c>
      <c r="B364" s="1192">
        <f t="shared" si="41"/>
        <v>103426.21520352659</v>
      </c>
      <c r="C364" s="1193">
        <f>(AB364-$AF$1)</f>
        <v>526</v>
      </c>
      <c r="D364" s="1194">
        <f t="shared" si="37"/>
        <v>3.0530000000000002E-2</v>
      </c>
      <c r="E364" s="1195">
        <f>duration_titre($AF$1,AA364,AB364,M364,K364,W364,V364,P364,Q364,N364,D364)</f>
        <v>1.4106767326035432</v>
      </c>
      <c r="F364" s="1195">
        <f t="shared" si="39"/>
        <v>1.3688846832246935</v>
      </c>
      <c r="G364" s="1195">
        <f>convexite_titre($AF$1,AA364,AB364,M364,K364,W364,V364,P364,Q364,N364,D364)</f>
        <v>3.2299481990970236</v>
      </c>
      <c r="H364" s="1196">
        <f>+ROUND(coupon_courru($AF$1,AA364,AB364,M364,K364,W364,P364,Q364,N364,V364,"V"),4)</f>
        <v>1754.9589000000001</v>
      </c>
      <c r="I364" s="1199">
        <f>+IF(Y364=1,B364,D364*100)</f>
        <v>3.0529999999999999</v>
      </c>
      <c r="J364" s="1193" t="str">
        <f>VLOOKUP(A364,Marché!$B:$C,2,)</f>
        <v>BSF EQDOM du 03/03/2025 a 3.14% 30 MOIS</v>
      </c>
      <c r="K364" s="1193">
        <f>Marché!D2716</f>
        <v>100000</v>
      </c>
      <c r="L364" s="1193"/>
      <c r="M364" s="1197">
        <f>Marché!F2716</f>
        <v>3.1399999999999997E-2</v>
      </c>
      <c r="N364" s="1193">
        <f>Marché!I2716</f>
        <v>30</v>
      </c>
      <c r="O364" s="1200" t="str">
        <f>Marché!J2716</f>
        <v>M</v>
      </c>
      <c r="P364" s="1200" t="str">
        <f>Marché!K2716</f>
        <v>A</v>
      </c>
      <c r="Q364" s="1200" t="str">
        <f>Marché!L2716</f>
        <v>F</v>
      </c>
      <c r="R364" s="1287">
        <v>4.7000000000000002E-3</v>
      </c>
      <c r="S364" s="1229" cm="1">
        <f t="array" ref="S364">IF(C364&gt;'Courbe des taux'!$D$50,ROUND( TREND('Courbe des taux'!$E$49:$E$50,'Courbe des taux'!$D$49:$D$50,Lignes_détenues!C364),5),ROUND(IF(C364&gt;365,interpoler(_mat2,taux2,C364),interpoler(_mat1,taux1,C364)),5))</f>
        <v>2.5829999999999999E-2</v>
      </c>
      <c r="T364" s="1201">
        <f t="shared" si="40"/>
        <v>2.5829999999999999E-2</v>
      </c>
      <c r="U364" s="1201">
        <f>ROUND(IF(D364*366&gt;366,interpoler(_mat2,taux2,D364*366),interpoler(_mat1,taux1,D364*366)),5)</f>
        <v>2.2700000000000001E-2</v>
      </c>
      <c r="V364" s="1202" t="str">
        <f>+IF((AB364-$AF$1)&lt;=366,"M","A")</f>
        <v>A</v>
      </c>
      <c r="W364" s="1202" t="s">
        <v>287</v>
      </c>
      <c r="X364" s="1212">
        <f>+prix_atp(AF$1,AA364,Z364,AB364,M364,K364,W364,V364,P364,Q364,N364,D364,Y364)</f>
        <v>103426.21520352659</v>
      </c>
      <c r="Y364" s="1202">
        <v>3</v>
      </c>
      <c r="Z364" s="35">
        <v>45903</v>
      </c>
      <c r="AA364" s="1198">
        <f>Marché!G2716</f>
        <v>45719</v>
      </c>
      <c r="AB364" s="1198">
        <f>Marché!H2716</f>
        <v>46633</v>
      </c>
      <c r="AC364" s="35"/>
      <c r="AD364" s="2"/>
    </row>
    <row r="365" spans="1:30" ht="15" hidden="1" x14ac:dyDescent="0.25">
      <c r="A365" s="1191">
        <v>201889</v>
      </c>
      <c r="B365" s="1192">
        <f t="shared" si="41"/>
        <v>102342.84304450886</v>
      </c>
      <c r="C365" s="1193">
        <f>(AB365-$AF$1)</f>
        <v>1663</v>
      </c>
      <c r="D365" s="1194">
        <f t="shared" si="37"/>
        <v>3.0300000000000001E-2</v>
      </c>
      <c r="E365" s="1195">
        <f>duration_titre($AF$1,AA365,AB365,M365,K365,W365,V365,P365,Q365,N365,D365)</f>
        <v>4.2851662151049652</v>
      </c>
      <c r="F365" s="1195">
        <f t="shared" si="39"/>
        <v>4.1591441474376056</v>
      </c>
      <c r="G365" s="1195">
        <f>convexite_titre($AF$1,AA365,AB365,M365,K365,W365,V365,P365,Q365,N365,D365)</f>
        <v>22.04012875062806</v>
      </c>
      <c r="H365" s="1196">
        <f>+ROUND(coupon_courru($AF$1,AA365,AB365,M365,K365,W365,P365,Q365,N365,V365,"V"),4)</f>
        <v>1272.7397000000001</v>
      </c>
      <c r="I365" s="1199">
        <f>+IF(Y365=1,B365,D365*100)</f>
        <v>102342.84304450886</v>
      </c>
      <c r="J365" s="1193"/>
      <c r="K365" s="1193">
        <v>100000</v>
      </c>
      <c r="L365" s="1193"/>
      <c r="M365" s="1197">
        <v>2.8500000000000001E-2</v>
      </c>
      <c r="N365" s="1193">
        <v>5</v>
      </c>
      <c r="O365" s="1200" t="s">
        <v>1716</v>
      </c>
      <c r="P365" s="1200" t="s">
        <v>1716</v>
      </c>
      <c r="Q365" s="1200" t="s">
        <v>1014</v>
      </c>
      <c r="R365" s="1287">
        <v>0</v>
      </c>
      <c r="S365" s="1229" cm="1">
        <f t="array" ref="S365">IF(C365&gt;'Courbe des taux'!$D$50,ROUND( TREND('Courbe des taux'!$E$49:$E$50,'Courbe des taux'!$D$49:$D$50,Lignes_détenues!C365),5),ROUND(IF(C365&gt;365,interpoler(_mat2,taux2,C365),interpoler(_mat1,taux1,C365)),5))</f>
        <v>3.0300000000000001E-2</v>
      </c>
      <c r="T365" s="1201">
        <f t="shared" si="40"/>
        <v>3.0300000000000001E-2</v>
      </c>
      <c r="U365" s="1201">
        <f>ROUND(IF(D365*366&gt;366,interpoler(_mat2,taux2,D365*366),interpoler(_mat1,taux1,D365*366)),5)</f>
        <v>2.2700000000000001E-2</v>
      </c>
      <c r="V365" s="1202" t="str">
        <f>+IF((AB365-$AF$1)&lt;=366,"M","A")</f>
        <v>A</v>
      </c>
      <c r="W365" s="1202" t="s">
        <v>287</v>
      </c>
      <c r="X365" s="1212">
        <f>+prix_atp(AF$1,AA365,Z365,AB365,M365,K365,W365,V365,P365,Q365,N365,D365,Y365)</f>
        <v>102342.84304450886</v>
      </c>
      <c r="Y365" s="1202">
        <v>1</v>
      </c>
      <c r="Z365" s="35">
        <v>45944</v>
      </c>
      <c r="AA365" s="1198">
        <v>45705</v>
      </c>
      <c r="AB365" s="1198">
        <v>47770</v>
      </c>
      <c r="AC365" s="35"/>
      <c r="AD365" s="2"/>
    </row>
    <row r="366" spans="1:30" ht="15" hidden="1" x14ac:dyDescent="0.25">
      <c r="A366" s="1191">
        <v>201891</v>
      </c>
      <c r="B366" s="1192">
        <f t="shared" si="41"/>
        <v>0</v>
      </c>
      <c r="C366" s="1193">
        <f>(AB366-$AF$1)</f>
        <v>-10</v>
      </c>
      <c r="D366" s="1194">
        <f t="shared" si="37"/>
        <v>2.2700000000000001E-2</v>
      </c>
      <c r="E366" s="1195">
        <f>duration_titre($AF$1,AA366,AB366,M366,K366,W366,V366,P366,Q366,N366,D366)</f>
        <v>0</v>
      </c>
      <c r="F366" s="1195">
        <f t="shared" si="39"/>
        <v>0</v>
      </c>
      <c r="G366" s="1195">
        <f>convexite_titre($AF$1,AA366,AB366,M366,K366,W366,V366,P366,Q366,N366,D366)</f>
        <v>0</v>
      </c>
      <c r="H366" s="1196">
        <f>+ROUND(coupon_courru($AF$1,AA366,AB366,M366,K366,W366,P366,Q366,N366,V366,"V"),4)</f>
        <v>71.232900000000001</v>
      </c>
      <c r="I366" s="1199">
        <f>+IF(Y366=1,B366,D366*100)</f>
        <v>0</v>
      </c>
      <c r="J366" s="1193"/>
      <c r="K366" s="1193">
        <v>100000</v>
      </c>
      <c r="L366" s="1193"/>
      <c r="M366" s="1197">
        <v>2.5999999999999999E-2</v>
      </c>
      <c r="N366" s="1193">
        <v>1</v>
      </c>
      <c r="O366" s="1200" t="s">
        <v>1716</v>
      </c>
      <c r="P366" s="1200" t="s">
        <v>1716</v>
      </c>
      <c r="Q366" s="1200" t="s">
        <v>1014</v>
      </c>
      <c r="R366" s="1287">
        <v>0</v>
      </c>
      <c r="S366" s="1229" cm="1">
        <f t="array" ref="S366">IF(C366&gt;'Courbe des taux'!$D$50,ROUND( TREND('Courbe des taux'!$E$49:$E$50,'Courbe des taux'!$D$49:$D$50,Lignes_détenues!C366),5),ROUND(IF(C366&gt;365,interpoler(_mat2,taux2,C366),interpoler(_mat1,taux1,C366)),5))</f>
        <v>2.2700000000000001E-2</v>
      </c>
      <c r="T366" s="1201">
        <f t="shared" si="40"/>
        <v>2.2700000000000001E-2</v>
      </c>
      <c r="U366" s="1201">
        <f>ROUND(IF(D366*366&gt;366,interpoler(_mat2,taux2,D366*366),interpoler(_mat1,taux1,D366*366)),5)</f>
        <v>2.2700000000000001E-2</v>
      </c>
      <c r="V366" s="1202" t="str">
        <f>+IF((AB366-$AF$1)&lt;=366,"M","A")</f>
        <v>M</v>
      </c>
      <c r="W366" s="1202" t="s">
        <v>287</v>
      </c>
      <c r="X366" s="1212">
        <f>+prix_atp(AF$1,AA366,Z366,AB366,M366,K366,W366,V366,P366,Q366,N366,D366,Y366)</f>
        <v>0</v>
      </c>
      <c r="Y366" s="1202">
        <v>1</v>
      </c>
      <c r="Z366" s="35">
        <v>45732</v>
      </c>
      <c r="AA366" s="1198">
        <v>45712</v>
      </c>
      <c r="AB366" s="1198">
        <v>46097</v>
      </c>
      <c r="AC366" s="35"/>
      <c r="AD366" s="2"/>
    </row>
    <row r="367" spans="1:30" ht="15" hidden="1" x14ac:dyDescent="0.25">
      <c r="A367" s="1191">
        <v>9091</v>
      </c>
      <c r="B367" s="1192">
        <f t="shared" si="41"/>
        <v>108944.3849201207</v>
      </c>
      <c r="C367" s="1193">
        <f>(AB367-$AF$1)</f>
        <v>1205</v>
      </c>
      <c r="D367" s="1194">
        <f t="shared" si="37"/>
        <v>3.065E-2</v>
      </c>
      <c r="E367" s="1195">
        <f>duration_titre($AF$1,AA367,AB367,M367,K367,W367,V367,P367,Q367,N367,D367)</f>
        <v>3.0410775642409567</v>
      </c>
      <c r="F367" s="1195">
        <f t="shared" si="39"/>
        <v>2.9506404349109361</v>
      </c>
      <c r="G367" s="1195">
        <f>convexite_titre($AF$1,AA367,AB367,M367,K367,W367,V367,P367,Q367,N367,D367)</f>
        <v>12.08183630750789</v>
      </c>
      <c r="H367" s="1196">
        <f>+ROUND(coupon_courru($AF$1,AA367,AB367,M367,K367,W367,P367,Q367,N367,V367,"V"),4)</f>
        <v>3408.6574999999998</v>
      </c>
      <c r="I367" s="1199">
        <f>+IF(Y367=1,B367,D367*100)</f>
        <v>108944.3849201207</v>
      </c>
      <c r="J367" s="1193" t="str">
        <f>Marché!C2717</f>
        <v>OBLIG ADM DU 13/07/2009 20 ANS 4.86%</v>
      </c>
      <c r="K367" s="1193">
        <f>Marché!D2717</f>
        <v>100000</v>
      </c>
      <c r="L367" s="1193"/>
      <c r="M367" s="1197">
        <f>Marché!F2717</f>
        <v>4.8599999999999997E-2</v>
      </c>
      <c r="N367" s="1193">
        <f>Marché!I2717</f>
        <v>20</v>
      </c>
      <c r="O367" s="1200" t="s">
        <v>1716</v>
      </c>
      <c r="P367" s="1200" t="s">
        <v>1716</v>
      </c>
      <c r="Q367" s="1200" t="s">
        <v>1014</v>
      </c>
      <c r="R367" s="1287">
        <v>2E-3</v>
      </c>
      <c r="S367" s="1229" cm="1">
        <f t="array" ref="S367">IF(C367&gt;'Courbe des taux'!$D$50,ROUND( TREND('Courbe des taux'!$E$49:$E$50,'Courbe des taux'!$D$49:$D$50,Lignes_détenues!C367),5),ROUND(IF(C367&gt;365,interpoler(_mat2,taux2,C367),interpoler(_mat1,taux1,C367)),5))</f>
        <v>2.8649999999999998E-2</v>
      </c>
      <c r="T367" s="1201">
        <f t="shared" si="40"/>
        <v>2.8649999999999998E-2</v>
      </c>
      <c r="U367" s="1201">
        <f>ROUND(IF(D367*366&gt;366,interpoler(_mat2,taux2,D367*366),interpoler(_mat1,taux1,D367*366)),5)</f>
        <v>2.2700000000000001E-2</v>
      </c>
      <c r="V367" s="1202" t="str">
        <f>+IF((AB367-$AF$1)&lt;=366,"M","A")</f>
        <v>A</v>
      </c>
      <c r="W367" s="1202" t="s">
        <v>287</v>
      </c>
      <c r="X367" s="1212">
        <f>+prix_titre(AF$1,AA367,AB367,M367,K367,W367,V367,P367,Q367,N367,D367,Y367)</f>
        <v>108944.3849201207</v>
      </c>
      <c r="Y367" s="1202">
        <v>1</v>
      </c>
      <c r="Z367" s="35"/>
      <c r="AA367" s="1198">
        <f>Marché!G2717</f>
        <v>40007</v>
      </c>
      <c r="AB367" s="1198">
        <f>Marché!H2717</f>
        <v>47312</v>
      </c>
      <c r="AC367" s="35"/>
      <c r="AD367" s="2"/>
    </row>
    <row r="368" spans="1:30" ht="15" hidden="1" x14ac:dyDescent="0.25">
      <c r="A368" s="1191">
        <v>152364</v>
      </c>
      <c r="B368" s="1192">
        <f t="shared" si="41"/>
        <v>102174.7419357075</v>
      </c>
      <c r="C368" s="1193">
        <f>(AB368-$AF$1)</f>
        <v>25</v>
      </c>
      <c r="D368" s="1194">
        <f t="shared" si="37"/>
        <v>2.47E-2</v>
      </c>
      <c r="E368" s="1195">
        <f>duration_titre($AF$1,AA368,AB368,M368,K368,W368,V368,P368,Q368,N368,D368)</f>
        <v>6.8493150684931503E-2</v>
      </c>
      <c r="F368" s="1195">
        <f t="shared" si="39"/>
        <v>6.684214959005709E-2</v>
      </c>
      <c r="G368" s="1195">
        <f>convexite_titre($AF$1,AA368,AB368,M368,K368,W368,V368,P368,Q368,N368,D368)</f>
        <v>6.969881820438531E-2</v>
      </c>
      <c r="H368" s="1196">
        <f>+ROUND(coupon_courru($AF$1,AA368,AB368,M368,K368,W368,P368,Q368,N368,V368,"V"),4)</f>
        <v>2189.0410999999999</v>
      </c>
      <c r="I368" s="1199">
        <f>+IF(Y368=1,B368,D368*100)</f>
        <v>102174.7419357075</v>
      </c>
      <c r="J368" s="1193" t="str">
        <f>Marché!C2718</f>
        <v>CD ATW du 20/04/2021 a 2.35% 5 ans</v>
      </c>
      <c r="K368" s="1193">
        <f>Marché!D2718</f>
        <v>100000</v>
      </c>
      <c r="L368" s="1193"/>
      <c r="M368" s="1197">
        <f>Marché!F2718</f>
        <v>2.35E-2</v>
      </c>
      <c r="N368" s="1193">
        <f>Marché!I2718</f>
        <v>5</v>
      </c>
      <c r="O368" s="1200" t="s">
        <v>1716</v>
      </c>
      <c r="P368" s="1200" t="s">
        <v>1716</v>
      </c>
      <c r="Q368" s="1200" t="s">
        <v>1014</v>
      </c>
      <c r="R368" s="1287">
        <v>2E-3</v>
      </c>
      <c r="S368" s="1229" cm="1">
        <f t="array" ref="S368">IF(C368&gt;'Courbe des taux'!$D$50,ROUND( TREND('Courbe des taux'!$E$49:$E$50,'Courbe des taux'!$D$49:$D$50,Lignes_détenues!C368),5),ROUND(IF(C368&gt;365,interpoler(_mat2,taux2,C368),interpoler(_mat1,taux1,C368)),5))</f>
        <v>2.2700000000000001E-2</v>
      </c>
      <c r="T368" s="1201">
        <f t="shared" si="40"/>
        <v>2.2700000000000001E-2</v>
      </c>
      <c r="U368" s="1201">
        <f>ROUND(IF(D368*366&gt;366,interpoler(_mat2,taux2,D368*366),interpoler(_mat1,taux1,D368*366)),5)</f>
        <v>2.2700000000000001E-2</v>
      </c>
      <c r="V368" s="1202" t="str">
        <f>+IF((AB368-$AF$1)&lt;=366,"M","A")</f>
        <v>M</v>
      </c>
      <c r="W368" s="1202" t="s">
        <v>287</v>
      </c>
      <c r="X368" s="1212">
        <f>+prix_titre(AF$1,AA368,AB368,M368,K368,W368,V368,P368,Q368,N368,D368,Y368)</f>
        <v>102174.7419357075</v>
      </c>
      <c r="Y368" s="1202">
        <v>1</v>
      </c>
      <c r="Z368" s="35"/>
      <c r="AA368" s="1198">
        <f>Marché!G2718</f>
        <v>44306</v>
      </c>
      <c r="AB368" s="1198">
        <f>Marché!H2718</f>
        <v>46132</v>
      </c>
      <c r="AC368" s="35"/>
      <c r="AD368" s="2"/>
    </row>
    <row r="369" spans="1:32" ht="15" hidden="1" x14ac:dyDescent="0.25">
      <c r="A369" s="1191">
        <v>100985</v>
      </c>
      <c r="B369" s="1192">
        <f t="shared" si="41"/>
        <v>102726.80882377703</v>
      </c>
      <c r="C369" s="1193">
        <f>(AB369-$AF$1)</f>
        <v>732</v>
      </c>
      <c r="D369" s="1194">
        <f t="shared" si="37"/>
        <v>3.1690000000000003E-2</v>
      </c>
      <c r="E369" s="1195">
        <f>duration_titre($AF$1,AA369,AB369,M369,K369,W369,V369,P369,Q369,N369,D369)</f>
        <v>1.9180292008304454</v>
      </c>
      <c r="F369" s="1195">
        <f t="shared" si="39"/>
        <v>1.859113881912634</v>
      </c>
      <c r="G369" s="1195">
        <f>convexite_titre($AF$1,AA369,AB369,M369,K369,W369,V369,P369,Q369,N369,D369)</f>
        <v>5.3888287575938953</v>
      </c>
      <c r="H369" s="1196">
        <f>+ROUND(coupon_courru($AF$1,AA369,AB369,M369,K369,W369,P369,Q369,N369,V369,"V"),4)</f>
        <v>3011.7260000000001</v>
      </c>
      <c r="I369" s="1199">
        <f>+IF(Y369=1,B369,D369*100)</f>
        <v>102726.80882377703</v>
      </c>
      <c r="J369" s="1193" t="str">
        <f>Marché!C2719</f>
        <v>BSF RCI FINANCE du 27/03/2025 a 3,02% 3 ANS</v>
      </c>
      <c r="K369" s="1193">
        <f>Marché!D2719</f>
        <v>100000</v>
      </c>
      <c r="L369" s="1193"/>
      <c r="M369" s="1197">
        <f>Marché!F2719</f>
        <v>3.0200000000000001E-2</v>
      </c>
      <c r="N369" s="1193">
        <f>Marché!I2719</f>
        <v>4</v>
      </c>
      <c r="O369" s="1200" t="s">
        <v>1716</v>
      </c>
      <c r="P369" s="1200" t="s">
        <v>1716</v>
      </c>
      <c r="Q369" s="1200" t="s">
        <v>1014</v>
      </c>
      <c r="R369" s="1287">
        <v>5.0000000000000001E-3</v>
      </c>
      <c r="S369" s="1229" cm="1">
        <f t="array" ref="S369">IF(C369&gt;'Courbe des taux'!$D$50,ROUND( TREND('Courbe des taux'!$E$49:$E$50,'Courbe des taux'!$D$49:$D$50,Lignes_détenues!C369),5),ROUND(IF(C369&gt;366,interpoler(_mat2,taux2,C369),interpoler(_mat1,taux1,C369)),5))</f>
        <v>2.6689999999999998E-2</v>
      </c>
      <c r="T369" s="1201">
        <f t="shared" si="40"/>
        <v>2.6689999999999998E-2</v>
      </c>
      <c r="U369" s="1201">
        <f>ROUND(IF(D369*366&gt;366,interpoler(_mat2,taux2,D369*366),interpoler(_mat1,taux1,D369*366)),5)</f>
        <v>2.2700000000000001E-2</v>
      </c>
      <c r="V369" s="1202" t="str">
        <f>+IF((AB369-$AF$1)&lt;=366,"M","A")</f>
        <v>A</v>
      </c>
      <c r="W369" s="1202" t="s">
        <v>287</v>
      </c>
      <c r="X369" s="1212">
        <f>+prix_titre(AF$1,AA369,AB369,M369,K369,W369,V369,P369,Q369,N369,D369,Y369)</f>
        <v>102726.80882377703</v>
      </c>
      <c r="Y369" s="1202">
        <v>1</v>
      </c>
      <c r="Z369" s="35"/>
      <c r="AA369" s="1198">
        <f>Marché!G2719</f>
        <v>45743</v>
      </c>
      <c r="AB369" s="1198">
        <f>Marché!H2719</f>
        <v>46839</v>
      </c>
      <c r="AC369" s="35"/>
      <c r="AD369" s="2"/>
    </row>
    <row r="370" spans="1:32" ht="15" hidden="1" x14ac:dyDescent="0.25">
      <c r="A370" s="1191">
        <v>100986</v>
      </c>
      <c r="B370" s="1192">
        <f t="shared" si="41"/>
        <v>102718.02866462716</v>
      </c>
      <c r="C370" s="1193">
        <f>(AB370-$AF$1)</f>
        <v>733</v>
      </c>
      <c r="D370" s="1194">
        <f t="shared" si="37"/>
        <v>3.1690000000000003E-2</v>
      </c>
      <c r="E370" s="1195">
        <f>duration_titre($AF$1,AA370,AB370,M370,K370,W370,V370,P370,Q370,N370,D370)</f>
        <v>1.9207689268578425</v>
      </c>
      <c r="F370" s="1195">
        <f t="shared" si="39"/>
        <v>1.8617694528955815</v>
      </c>
      <c r="G370" s="1195">
        <f>convexite_titre($AF$1,AA370,AB370,M370,K370,W370,V370,P370,Q370,N370,D370)</f>
        <v>5.4012838283033417</v>
      </c>
      <c r="H370" s="1196">
        <f>+ROUND(coupon_courru($AF$1,AA370,AB370,M370,K370,W370,P370,Q370,N370,V370,"V"),4)</f>
        <v>3003.4521</v>
      </c>
      <c r="I370" s="1199">
        <f>+IF(Y370=1,B370,D370*100)</f>
        <v>102718.02866462716</v>
      </c>
      <c r="J370" s="1193" t="str">
        <f>Marché!C2720</f>
        <v>BSF  SOGELEASE    du 28/03/2025 A 3,02% 3 ans</v>
      </c>
      <c r="K370" s="1193">
        <f>Marché!D2720</f>
        <v>100000</v>
      </c>
      <c r="L370" s="1193"/>
      <c r="M370" s="1197">
        <f>Marché!F2720</f>
        <v>3.0200000000000001E-2</v>
      </c>
      <c r="N370" s="1193">
        <f>Marché!I2720</f>
        <v>4</v>
      </c>
      <c r="O370" s="1200" t="s">
        <v>1716</v>
      </c>
      <c r="P370" s="1200" t="s">
        <v>1716</v>
      </c>
      <c r="Q370" s="1200" t="s">
        <v>1014</v>
      </c>
      <c r="R370" s="1287">
        <v>5.0000000000000001E-3</v>
      </c>
      <c r="S370" s="1229" cm="1">
        <f t="array" ref="S370">IF(C370&gt;'Courbe des taux'!$D$50,ROUND( TREND('Courbe des taux'!$E$49:$E$50,'Courbe des taux'!$D$49:$D$50,Lignes_détenues!C370),5),ROUND(IF(C370&gt;365,interpoler(_mat2,taux2,C370),interpoler(_mat1,taux1,C370)),5))</f>
        <v>2.6689999999999998E-2</v>
      </c>
      <c r="T370" s="1201">
        <f t="shared" si="40"/>
        <v>2.6689999999999998E-2</v>
      </c>
      <c r="U370" s="1201">
        <f>ROUND(IF(D370*366&gt;366,interpoler(_mat2,taux2,D370*366),interpoler(_mat1,taux1,D370*366)),5)</f>
        <v>2.2700000000000001E-2</v>
      </c>
      <c r="V370" s="1202" t="str">
        <f>+IF((AB370-$AF$1)&lt;=366,"M","A")</f>
        <v>A</v>
      </c>
      <c r="W370" s="1202" t="s">
        <v>287</v>
      </c>
      <c r="X370" s="1212">
        <f>+prix_titre(AF$1,AA370,AB370,M370,K370,W370,V370,P370,Q370,N370,D370,Y370)</f>
        <v>102718.02866462716</v>
      </c>
      <c r="Y370" s="1202">
        <v>1</v>
      </c>
      <c r="Z370" s="35"/>
      <c r="AA370" s="1198">
        <f>Marché!G2720</f>
        <v>45744</v>
      </c>
      <c r="AB370" s="1198">
        <f>Marché!H2720</f>
        <v>46840</v>
      </c>
      <c r="AC370" s="35"/>
      <c r="AD370" s="2"/>
      <c r="AF370" s="2">
        <f>A370</f>
        <v>100986</v>
      </c>
    </row>
    <row r="371" spans="1:32" ht="15" hidden="1" x14ac:dyDescent="0.25">
      <c r="A371" s="1191">
        <v>100987</v>
      </c>
      <c r="B371" s="1192">
        <f t="shared" si="41"/>
        <v>102777.65694825086</v>
      </c>
      <c r="C371" s="1193">
        <f>(AB371-$AF$1)</f>
        <v>371</v>
      </c>
      <c r="D371" s="1194">
        <f t="shared" si="37"/>
        <v>2.9669999999999998E-2</v>
      </c>
      <c r="E371" s="1195">
        <f>duration_titre($AF$1,AA371,AB371,M371,K371,W371,V371,P371,Q371,N371,D371)</f>
        <v>0.98842156742942411</v>
      </c>
      <c r="F371" s="1195">
        <f t="shared" si="39"/>
        <v>0.95994014337547373</v>
      </c>
      <c r="G371" s="1195">
        <f>convexite_titre($AF$1,AA371,AB371,M371,K371,W371,V371,P371,Q371,N371,D371)</f>
        <v>1.8794495766077126</v>
      </c>
      <c r="H371" s="1196">
        <f>+ROUND(coupon_courru($AF$1,AA371,AB371,M371,K371,W371,P371,Q371,N371,V371,"V"),4)</f>
        <v>2832.6574999999998</v>
      </c>
      <c r="I371" s="1199">
        <f>+IF(Y371=1,B371,D371*100)</f>
        <v>102777.65694825086</v>
      </c>
      <c r="J371" s="1193">
        <f>Marché!C2721</f>
        <v>0</v>
      </c>
      <c r="K371" s="1193">
        <f>Marché!D2721</f>
        <v>100000</v>
      </c>
      <c r="L371" s="1193"/>
      <c r="M371" s="1197">
        <f>Marché!F2721</f>
        <v>2.8799999999999999E-2</v>
      </c>
      <c r="N371" s="1193">
        <v>2</v>
      </c>
      <c r="O371" s="1200" t="s">
        <v>1716</v>
      </c>
      <c r="P371" s="1200" t="s">
        <v>1716</v>
      </c>
      <c r="Q371" s="1200" t="s">
        <v>1014</v>
      </c>
      <c r="R371" s="1287">
        <v>4.4999999999999997E-3</v>
      </c>
      <c r="S371" s="1229" cm="1">
        <f t="array" ref="S371">IF(C371&gt;'Courbe des taux'!$D$50,ROUND( TREND('Courbe des taux'!$E$49:$E$50,'Courbe des taux'!$D$49:$D$50,Lignes_détenues!C371),5),ROUND(IF(C371&gt;365,interpoler(_mat2,taux2,C371),interpoler(_mat1,taux1,C371)),5))</f>
        <v>2.5170000000000001E-2</v>
      </c>
      <c r="T371" s="1201">
        <f t="shared" si="40"/>
        <v>2.5170000000000001E-2</v>
      </c>
      <c r="U371" s="1201">
        <f>ROUND(IF(D371*366&gt;366,interpoler(_mat2,taux2,D371*366),interpoler(_mat1,taux1,D371*366)),5)</f>
        <v>2.2700000000000001E-2</v>
      </c>
      <c r="V371" s="1202" t="str">
        <f>+IF((AB371-$AF$1)&lt;=366,"M","A")</f>
        <v>A</v>
      </c>
      <c r="W371" s="1202" t="s">
        <v>287</v>
      </c>
      <c r="X371" s="1212">
        <f>+prix_atp(AF$1,AA371,Z371,AB371,M371,K371,W371,V371,P371,Q371,N371,D371,Y371)</f>
        <v>102777.65694825086</v>
      </c>
      <c r="Y371" s="1202">
        <v>1</v>
      </c>
      <c r="Z371" s="35">
        <v>45748</v>
      </c>
      <c r="AA371" s="1198">
        <f>Marché!G2721</f>
        <v>45744</v>
      </c>
      <c r="AB371" s="1198">
        <f>Marché!H2721</f>
        <v>46478</v>
      </c>
      <c r="AC371" s="35"/>
      <c r="AD371" s="2"/>
      <c r="AF371" s="2">
        <f>A371</f>
        <v>100987</v>
      </c>
    </row>
    <row r="372" spans="1:32" ht="15" hidden="1" x14ac:dyDescent="0.25">
      <c r="A372" s="1191">
        <v>100988</v>
      </c>
      <c r="B372" s="1192">
        <f t="shared" si="41"/>
        <v>101897.01644075166</v>
      </c>
      <c r="C372" s="1193">
        <f>(AB372-$AF$1)</f>
        <v>1463</v>
      </c>
      <c r="D372" s="1194">
        <f t="shared" si="37"/>
        <v>3.4729999999999997E-2</v>
      </c>
      <c r="E372" s="1195">
        <f>duration_titre($AF$1,AA372,AB372,M372,K372,W372,V372,P372,Q372,N372,D372)</f>
        <v>3.7101070310258413</v>
      </c>
      <c r="F372" s="1195">
        <f t="shared" si="39"/>
        <v>3.5855798430758186</v>
      </c>
      <c r="G372" s="1195">
        <f>convexite_titre($AF$1,AA372,AB372,M372,K372,W372,V372,P372,Q372,N372,D372)</f>
        <v>17.083953652547148</v>
      </c>
      <c r="H372" s="1196">
        <f>+ROUND(coupon_courru($AF$1,AA372,AB372,M372,K372,W372,P372,Q372,N372,V372,"V"),4)</f>
        <v>3122.7945</v>
      </c>
      <c r="I372" s="1199">
        <f>+IF(Y372=1,B372,D372*100)</f>
        <v>101897.01644075166</v>
      </c>
      <c r="J372" s="1193" t="str">
        <f>Marché!C2722</f>
        <v>BSF WAFASALAF  du 28/03/2025 à 3.14% 5 ans</v>
      </c>
      <c r="K372" s="1193">
        <f>Marché!D2722</f>
        <v>100000</v>
      </c>
      <c r="L372" s="1193"/>
      <c r="M372" s="1197">
        <f>Marché!F2722</f>
        <v>3.1399999999999997E-2</v>
      </c>
      <c r="N372" s="1193">
        <f>Marché!I2722</f>
        <v>5</v>
      </c>
      <c r="O372" s="1200" t="s">
        <v>1716</v>
      </c>
      <c r="P372" s="1200" t="s">
        <v>1716</v>
      </c>
      <c r="Q372" s="1200" t="s">
        <v>1014</v>
      </c>
      <c r="R372" s="1287">
        <v>5.0000000000000001E-3</v>
      </c>
      <c r="S372" s="1229" cm="1">
        <f t="array" ref="S372">IF(C372&gt;'Courbe des taux'!$D$50,ROUND( TREND('Courbe des taux'!$E$49:$E$50,'Courbe des taux'!$D$49:$D$50,Lignes_détenues!C372),5),ROUND(IF(C372&gt;365,interpoler(_mat2,taux2,C372),interpoler(_mat1,taux1,C372)),5))</f>
        <v>2.9729999999999999E-2</v>
      </c>
      <c r="T372" s="1201">
        <f t="shared" si="40"/>
        <v>2.9729999999999999E-2</v>
      </c>
      <c r="U372" s="1201">
        <f>ROUND(IF(D372*366&gt;366,interpoler(_mat2,taux2,D372*366),interpoler(_mat1,taux1,D372*366)),5)</f>
        <v>2.2700000000000001E-2</v>
      </c>
      <c r="V372" s="1202" t="str">
        <f>+IF((AB372-$AF$1)&lt;=366,"M","A")</f>
        <v>A</v>
      </c>
      <c r="W372" s="1202" t="s">
        <v>287</v>
      </c>
      <c r="X372" s="1212">
        <f>+prix_titre(AF$1,AA372,AB372,M372,K372,W372,V372,P372,Q372,N372,D372,Y372)</f>
        <v>101897.01644075166</v>
      </c>
      <c r="Y372" s="1202">
        <v>1</v>
      </c>
      <c r="Z372" s="35"/>
      <c r="AA372" s="1198">
        <f>Marché!G2722</f>
        <v>45744</v>
      </c>
      <c r="AB372" s="1198">
        <f>Marché!H2722</f>
        <v>47570</v>
      </c>
      <c r="AC372" s="35"/>
      <c r="AD372" s="2"/>
      <c r="AF372" s="2">
        <f>A372</f>
        <v>100988</v>
      </c>
    </row>
    <row r="373" spans="1:32" ht="15" hidden="1" x14ac:dyDescent="0.25">
      <c r="A373" s="1191">
        <v>141174</v>
      </c>
      <c r="B373" s="1192">
        <f t="shared" ref="B373" si="42">X373</f>
        <v>102686.71144010111</v>
      </c>
      <c r="C373" s="1193">
        <f>(AB373-$AF$1)</f>
        <v>8</v>
      </c>
      <c r="D373" s="1194">
        <f t="shared" si="37"/>
        <v>2.6700000000000002E-2</v>
      </c>
      <c r="E373" s="1195">
        <f>duration_titre($AF$1,AA373,AB373,M373,K373,W373,V373,P373,Q373,N373,D373)</f>
        <v>2.1917808219178086E-2</v>
      </c>
      <c r="F373" s="1195">
        <f t="shared" ref="F373" si="43">+E373/(1+D373)</f>
        <v>2.1347821388115407E-2</v>
      </c>
      <c r="G373" s="1195">
        <f>convexite_titre($AF$1,AA373,AB373,M373,K373,W373,V373,P373,Q373,N373,D373)</f>
        <v>2.124838691263016E-2</v>
      </c>
      <c r="H373" s="1196">
        <f>+ROUND(coupon_courru($AF$1,AA373,AB373,M373,K373,W373,P373,Q373,N373,V373,"V"),4)</f>
        <v>2687.4167000000002</v>
      </c>
      <c r="I373" s="1199">
        <f>+IF(Y373=1,B373,D373*100)</f>
        <v>102686.71144010111</v>
      </c>
      <c r="J373" s="1193" t="s">
        <v>3171</v>
      </c>
      <c r="K373" s="1193">
        <v>100000</v>
      </c>
      <c r="L373" s="1193"/>
      <c r="M373" s="1197">
        <v>2.7099999999999999E-2</v>
      </c>
      <c r="N373" s="1193">
        <v>52</v>
      </c>
      <c r="O373" s="1200" t="s">
        <v>369</v>
      </c>
      <c r="P373" s="1200" t="s">
        <v>1716</v>
      </c>
      <c r="Q373" s="1200" t="s">
        <v>1014</v>
      </c>
      <c r="R373" s="1287">
        <v>4.0000000000000001E-3</v>
      </c>
      <c r="S373" s="1229" cm="1">
        <f t="array" ref="S373">IF(C373&gt;'Courbe des taux'!$D$50,ROUND( TREND('Courbe des taux'!$E$49:$E$50,'Courbe des taux'!$D$49:$D$50,Lignes_détenues!C373),5),ROUND(IF(C373&gt;365,interpoler(_mat2,taux2,C373),interpoler(_mat1,taux1,C373)),5))</f>
        <v>2.2700000000000001E-2</v>
      </c>
      <c r="T373" s="1201">
        <f t="shared" si="40"/>
        <v>2.2700000000000001E-2</v>
      </c>
      <c r="U373" s="1201">
        <f>ROUND(IF(D373*366&gt;366,interpoler(_mat2,taux2,D373*366),interpoler(_mat1,taux1,D373*366)),5)</f>
        <v>2.2700000000000001E-2</v>
      </c>
      <c r="V373" s="1202" t="s">
        <v>1716</v>
      </c>
      <c r="W373" s="1202" t="s">
        <v>287</v>
      </c>
      <c r="X373" s="1212">
        <f>K373*((AB373-AA373)*M373/360+1)/(1+(R373+S373)*((AB373-AF1)/360))</f>
        <v>102686.71144010111</v>
      </c>
      <c r="Y373" s="1202">
        <v>1</v>
      </c>
      <c r="Z373" s="35"/>
      <c r="AA373" s="1198">
        <v>45750</v>
      </c>
      <c r="AB373" s="1198">
        <v>46115</v>
      </c>
      <c r="AC373" s="35"/>
      <c r="AD373" s="2"/>
    </row>
    <row r="374" spans="1:32" ht="15" hidden="1" x14ac:dyDescent="0.25">
      <c r="A374" s="1191">
        <v>201877</v>
      </c>
      <c r="B374" s="1192">
        <f t="shared" ref="B374" si="44">X374</f>
        <v>0</v>
      </c>
      <c r="C374" s="1193">
        <f>(AB374-$AF$1)</f>
        <v>-325</v>
      </c>
      <c r="D374" s="1194">
        <f t="shared" si="37"/>
        <v>2.2700000000000001E-2</v>
      </c>
      <c r="E374" s="1195">
        <f>duration_titre($AF$1,AA374,AB374,M374,K374,W374,V374,P374,Q374,N374,D374)</f>
        <v>0</v>
      </c>
      <c r="F374" s="1195">
        <f t="shared" ref="F374" si="45">+E374/(1+D374)</f>
        <v>0</v>
      </c>
      <c r="G374" s="1195">
        <f>convexite_titre($AF$1,AA374,AB374,M374,K374,W374,V374,P374,Q374,N374,D374)</f>
        <v>0</v>
      </c>
      <c r="H374" s="1196">
        <f>+ROUND(coupon_courru($AF$1,AA374,AB374,M374,K374,W374,P374,Q374,N374,V374,"V"),4)</f>
        <v>3633.5</v>
      </c>
      <c r="I374" s="1199">
        <f>+IF(Y374=1,B374,D374*100)</f>
        <v>0</v>
      </c>
      <c r="J374" s="1193" t="s">
        <v>3172</v>
      </c>
      <c r="K374" s="1193">
        <v>100000</v>
      </c>
      <c r="L374" s="1193"/>
      <c r="M374" s="1197">
        <v>2.58E-2</v>
      </c>
      <c r="N374" s="1193">
        <v>26</v>
      </c>
      <c r="O374" s="1200" t="s">
        <v>369</v>
      </c>
      <c r="P374" s="1200" t="s">
        <v>369</v>
      </c>
      <c r="Q374" s="1200" t="s">
        <v>1014</v>
      </c>
      <c r="R374" s="1287">
        <v>0</v>
      </c>
      <c r="S374" s="1229" cm="1">
        <f t="array" ref="S374">IF(C374&gt;'Courbe des taux'!$D$50,ROUND( TREND('Courbe des taux'!$E$49:$E$50,'Courbe des taux'!$D$49:$D$50,Lignes_détenues!C374),5),ROUND(IF(C374&gt;365,interpoler(_mat2,taux2,C374),interpoler(_mat1,taux1,C374)),5))</f>
        <v>2.2700000000000001E-2</v>
      </c>
      <c r="T374" s="1201">
        <f t="shared" si="40"/>
        <v>2.2700000000000001E-2</v>
      </c>
      <c r="U374" s="1201">
        <f>ROUND(IF(D374*366&gt;366,interpoler(_mat2,taux2,D374*366),interpoler(_mat1,taux1,D374*366)),5)</f>
        <v>2.2700000000000001E-2</v>
      </c>
      <c r="V374" s="1202" t="str">
        <f>+IF((AB374-$AF$1)&lt;=366,"M","A")</f>
        <v>M</v>
      </c>
      <c r="W374" s="1202" t="s">
        <v>287</v>
      </c>
      <c r="X374" s="1212">
        <f>+prix_atp(AF$1,AA374,Z374,AB374,M374,K374,W374,V374,P374,Q374,N374,D374,Y374)</f>
        <v>0</v>
      </c>
      <c r="Y374" s="1202">
        <v>1</v>
      </c>
      <c r="Z374" s="35">
        <v>45600</v>
      </c>
      <c r="AA374" s="1198">
        <v>45600</v>
      </c>
      <c r="AB374" s="1198">
        <v>45782</v>
      </c>
      <c r="AC374" s="35"/>
      <c r="AD374" s="2"/>
    </row>
    <row r="375" spans="1:32" ht="15" hidden="1" x14ac:dyDescent="0.25">
      <c r="A375" s="1191">
        <v>9102</v>
      </c>
      <c r="B375" s="1192">
        <f>X375</f>
        <v>110105.64511965023</v>
      </c>
      <c r="C375" s="1193">
        <f>(AB375-$AF$1)</f>
        <v>1492</v>
      </c>
      <c r="D375" s="1194">
        <f>ROUND(T375+R375,5)</f>
        <v>3.4729999999999997E-2</v>
      </c>
      <c r="E375" s="1195">
        <f>duration_titre($AF$1,AA375,AB375,M375,K375,W375,V375,P375,Q375,N375,D375)</f>
        <v>3.6530565271092632</v>
      </c>
      <c r="F375" s="1195">
        <f t="shared" ref="F375" si="46">+E375/(1+D375)</f>
        <v>3.5304442000418113</v>
      </c>
      <c r="G375" s="1195">
        <f>convexite_titre($AF$1,AA375,AB375,M375,K375,W375,V375,P375,Q375,N375,D375)</f>
        <v>16.931978810138357</v>
      </c>
      <c r="H375" s="1196">
        <f>+ROUND(coupon_courru($AF$1,AA375,AB375,M375,K375,W375,P375,Q375,N375,V375,"V"),4)</f>
        <v>4538.7397000000001</v>
      </c>
      <c r="I375" s="1199">
        <f>+IF(Y375=1,B375,D375*100)</f>
        <v>110105.64511965023</v>
      </c>
      <c r="J375" s="1193" t="s">
        <v>3172</v>
      </c>
      <c r="K375" s="1193">
        <f>VLOOKUP($A375,Marché!$B:$D,3,)</f>
        <v>100000</v>
      </c>
      <c r="L375" s="1193">
        <f>VLOOKUP($A375,Marché!$B:$F,4,)</f>
        <v>0</v>
      </c>
      <c r="M375" s="1197">
        <f>VLOOKUP($A375,Marché!$B:$X,5,)</f>
        <v>4.9599999999999998E-2</v>
      </c>
      <c r="N375" s="1193">
        <f>VLOOKUP($A375,Marché!$B:$X,8,)</f>
        <v>20</v>
      </c>
      <c r="O375" s="1200" t="s">
        <v>369</v>
      </c>
      <c r="P375" s="1200" t="s">
        <v>369</v>
      </c>
      <c r="Q375" s="1200" t="s">
        <v>1014</v>
      </c>
      <c r="R375" s="1287">
        <v>4.8999999999999998E-3</v>
      </c>
      <c r="S375" s="1229" cm="1">
        <f t="array" ref="S375">IF(C375&gt;'Courbe des taux'!$D$50,ROUND( TREND('Courbe des taux'!$E$49:$E$50,'Courbe des taux'!$D$49:$D$50,Lignes_détenues!C375),5),ROUND(IF(C375&gt;365,interpoler(_mat2,taux2,C375),interpoler(_mat1,taux1,C375)),5))</f>
        <v>2.9829999999999999E-2</v>
      </c>
      <c r="T375" s="1201">
        <f>S375</f>
        <v>2.9829999999999999E-2</v>
      </c>
      <c r="U375" s="1201">
        <f>ROUND(IF(D375*366&gt;366,interpoler(_mat2,taux2,D375*366),interpoler(_mat1,taux1,D375*366)),5)</f>
        <v>2.2700000000000001E-2</v>
      </c>
      <c r="V375" s="1202" t="str">
        <f>+IF((AB375-$AF$1)&lt;=366,"M","A")</f>
        <v>A</v>
      </c>
      <c r="W375" s="1202" t="s">
        <v>287</v>
      </c>
      <c r="X375" s="1212">
        <f>+prix_titre(AF$1,AA375,AB375,M375,K375,W375,V375,P375,Q375,N375,D375,Y375)</f>
        <v>110105.64511965023</v>
      </c>
      <c r="Y375" s="1202">
        <v>1</v>
      </c>
      <c r="Z375" s="35"/>
      <c r="AA375" s="1198">
        <f>VLOOKUP($A375,Marché!$B:$X,6,)</f>
        <v>40294</v>
      </c>
      <c r="AB375" s="1198">
        <f>VLOOKUP($A375,Marché!$B:$X,7,)</f>
        <v>47599</v>
      </c>
      <c r="AC375" s="35"/>
      <c r="AD375" s="2"/>
    </row>
    <row r="376" spans="1:32" ht="15" hidden="1" x14ac:dyDescent="0.25">
      <c r="A376" s="1191">
        <v>153078</v>
      </c>
      <c r="B376" s="1192">
        <f>X376</f>
        <v>101074.96785299583</v>
      </c>
      <c r="C376" s="1193">
        <f>(AB376-$AF$1)</f>
        <v>1496</v>
      </c>
      <c r="D376" s="1194">
        <f>ROUND(T376+R376,5)</f>
        <v>3.3340000000000002E-2</v>
      </c>
      <c r="E376" s="1195">
        <f>duration_titre($AF$1,AA376,AB376,M376,K376,W376,V376,P376,Q376,N376,D376)</f>
        <v>3.819613834513742</v>
      </c>
      <c r="F376" s="1195">
        <f t="shared" ref="F376" si="47">+E376/(1+D376)</f>
        <v>3.6963766374220897</v>
      </c>
      <c r="G376" s="1195">
        <f>convexite_titre($AF$1,AA376,AB376,M376,K376,W376,V376,P376,Q376,N376,D376)</f>
        <v>17.960388013704613</v>
      </c>
      <c r="H376" s="1196">
        <f>+ROUND(coupon_courru($AF$1,AA376,AB376,M376,K376,W376,P376,Q376,N376,V376,"V"),4)</f>
        <v>2640</v>
      </c>
      <c r="I376" s="1199">
        <f>+IF(Y376=1,B376,D376*100)</f>
        <v>101074.96785299583</v>
      </c>
      <c r="J376" s="1193" t="s">
        <v>3176</v>
      </c>
      <c r="K376" s="1193">
        <v>100000</v>
      </c>
      <c r="L376" s="1193"/>
      <c r="M376" s="1197">
        <v>2.92E-2</v>
      </c>
      <c r="N376" s="1193">
        <v>5</v>
      </c>
      <c r="O376" s="1200" t="s">
        <v>1716</v>
      </c>
      <c r="P376" s="1200" t="s">
        <v>1716</v>
      </c>
      <c r="Q376" s="1200" t="s">
        <v>1014</v>
      </c>
      <c r="R376" s="1287">
        <v>3.5000000000000001E-3</v>
      </c>
      <c r="S376" s="1229" cm="1">
        <f t="array" ref="S376">IF(C376&gt;'Courbe des taux'!$D$50,ROUND( TREND('Courbe des taux'!$E$49:$E$50,'Courbe des taux'!$D$49:$D$50,Lignes_détenues!C376),5),ROUND(IF(C376&gt;365,interpoler(_mat2,taux2,C376),interpoler(_mat1,taux1,C376)),5))</f>
        <v>2.9839999999999998E-2</v>
      </c>
      <c r="T376" s="1201">
        <f>S376</f>
        <v>2.9839999999999998E-2</v>
      </c>
      <c r="U376" s="1201">
        <f>ROUND(IF(D376*366&gt;366,interpoler(_mat2,taux2,D376*366),interpoler(_mat1,taux1,D376*366)),5)</f>
        <v>2.2700000000000001E-2</v>
      </c>
      <c r="V376" s="1202" t="str">
        <f>+IF((AB376-$AF$1)&lt;=366,"M","A")</f>
        <v>A</v>
      </c>
      <c r="W376" s="1202" t="s">
        <v>287</v>
      </c>
      <c r="X376" s="1212">
        <f>+prix_titre(AF$1,AA376,AB376,M376,K376,W376,V376,P376,Q376,N376,D376,Y376)</f>
        <v>101074.96785299583</v>
      </c>
      <c r="Y376" s="1202">
        <v>1</v>
      </c>
      <c r="Z376" s="35"/>
      <c r="AA376" s="1198">
        <v>45777</v>
      </c>
      <c r="AB376" s="1198">
        <v>47603</v>
      </c>
      <c r="AC376" s="35"/>
      <c r="AD376" s="2"/>
    </row>
    <row r="377" spans="1:32" ht="15" hidden="1" x14ac:dyDescent="0.25">
      <c r="A377" s="1191">
        <v>153081</v>
      </c>
      <c r="B377" s="1192">
        <f>X377</f>
        <v>0</v>
      </c>
      <c r="C377" s="1193">
        <f>(AB377-$AF$1)</f>
        <v>-148</v>
      </c>
      <c r="D377" s="1194">
        <f>ROUND(T377+R377,5)</f>
        <v>2.47E-2</v>
      </c>
      <c r="E377" s="1195">
        <f>duration_titre($AF$1,AA377,AB377,M377,K377,W377,V377,P377,Q377,N377,D377)</f>
        <v>0</v>
      </c>
      <c r="F377" s="1195">
        <f t="shared" ref="F377" si="48">+E377/(1+D377)</f>
        <v>0</v>
      </c>
      <c r="G377" s="1195">
        <f>convexite_titre($AF$1,AA377,AB377,M377,K377,W377,V377,P377,Q377,N377,D377)</f>
        <v>0</v>
      </c>
      <c r="H377" s="1196">
        <f>+ROUND(coupon_courru($AF$1,AA377,AB377,M377,K377,W377,P377,Q377,N377,V377,"V"),4)</f>
        <v>2236.6667000000002</v>
      </c>
      <c r="I377" s="1199">
        <f>+IF(Y377=1,B377,D377*100)</f>
        <v>0</v>
      </c>
      <c r="J377" s="1193" t="s">
        <v>3177</v>
      </c>
      <c r="K377" s="1193">
        <v>100000</v>
      </c>
      <c r="L377" s="1193"/>
      <c r="M377" s="1197">
        <v>2.4400000000000002E-2</v>
      </c>
      <c r="N377" s="1193">
        <v>26</v>
      </c>
      <c r="O377" s="1200" t="s">
        <v>369</v>
      </c>
      <c r="P377" s="1200" t="s">
        <v>369</v>
      </c>
      <c r="Q377" s="1200" t="s">
        <v>1014</v>
      </c>
      <c r="R377" s="1287">
        <v>2E-3</v>
      </c>
      <c r="S377" s="1229" cm="1">
        <f t="array" ref="S377">IF(C377&gt;'Courbe des taux'!$D$50,ROUND( TREND('Courbe des taux'!$E$49:$E$50,'Courbe des taux'!$D$49:$D$50,Lignes_détenues!C377),5),ROUND(IF(C377&gt;365,interpoler(_mat2,taux2,C377),interpoler(_mat1,taux1,C377)),5))</f>
        <v>2.2700000000000001E-2</v>
      </c>
      <c r="T377" s="1201">
        <f>S377</f>
        <v>2.2700000000000001E-2</v>
      </c>
      <c r="U377" s="1201">
        <f>ROUND(IF(D377*366&gt;366,interpoler(_mat2,taux2,D377*366),interpoler(_mat1,taux1,D377*366)),5)</f>
        <v>2.2700000000000001E-2</v>
      </c>
      <c r="V377" s="1202" t="str">
        <f>+IF((AB377-$AF$1)&lt;=366,"M","A")</f>
        <v>M</v>
      </c>
      <c r="W377" s="1202" t="s">
        <v>287</v>
      </c>
      <c r="X377" s="1212">
        <f>+prix_titre(AF$1,AA377,AB377,M377,K377,W377,V377,P377,Q377,N377,D377,Y377)</f>
        <v>0</v>
      </c>
      <c r="Y377" s="1202">
        <v>1</v>
      </c>
      <c r="Z377" s="35">
        <v>45777</v>
      </c>
      <c r="AA377" s="1198">
        <v>45777</v>
      </c>
      <c r="AB377" s="1198">
        <v>45959</v>
      </c>
      <c r="AC377" s="35"/>
      <c r="AD377" s="2"/>
    </row>
    <row r="378" spans="1:32" ht="15" hidden="1" x14ac:dyDescent="0.25">
      <c r="A378" s="1191">
        <v>153080</v>
      </c>
      <c r="B378" s="1192">
        <f>X378</f>
        <v>0</v>
      </c>
      <c r="C378" s="1193">
        <f>(AB378-$AF$1)</f>
        <v>-238</v>
      </c>
      <c r="D378" s="1194">
        <f>ROUND(T378+R378,5)</f>
        <v>2.4199999999999999E-2</v>
      </c>
      <c r="E378" s="1195">
        <f>duration_titre($AF$1,AA378,AB378,M378,K378,W378,V378,P378,Q378,N378,D378)</f>
        <v>0</v>
      </c>
      <c r="F378" s="1195">
        <f t="shared" ref="F378" si="49">+E378/(1+D378)</f>
        <v>0</v>
      </c>
      <c r="G378" s="1195">
        <f>convexite_titre($AF$1,AA378,AB378,M378,K378,W378,V378,P378,Q378,N378,D378)</f>
        <v>0</v>
      </c>
      <c r="H378" s="1196">
        <f>+ROUND(coupon_courru($AF$1,AA378,AB378,M378,K378,W378,P378,Q378,N378,V378,"V"),4)</f>
        <v>2172.5</v>
      </c>
      <c r="I378" s="1199">
        <f>+IF(Y378=1,B378,D378*100)</f>
        <v>0</v>
      </c>
      <c r="J378" s="1193" t="s">
        <v>3178</v>
      </c>
      <c r="K378" s="1193">
        <v>100000</v>
      </c>
      <c r="L378" s="1193"/>
      <c r="M378" s="1197">
        <v>2.3699999999999999E-2</v>
      </c>
      <c r="N378" s="1193">
        <v>13</v>
      </c>
      <c r="O378" s="1200" t="s">
        <v>369</v>
      </c>
      <c r="P378" s="1200" t="s">
        <v>1525</v>
      </c>
      <c r="Q378" s="1200" t="s">
        <v>1014</v>
      </c>
      <c r="R378" s="1287">
        <v>1.5E-3</v>
      </c>
      <c r="S378" s="1229" cm="1">
        <f t="array" ref="S378">IF(C378&gt;'Courbe des taux'!$D$50,ROUND( TREND('Courbe des taux'!$E$49:$E$50,'Courbe des taux'!$D$49:$D$50,Lignes_détenues!C378),5),ROUND(IF(C378&gt;365,interpoler(_mat2,taux2,C378),interpoler(_mat1,taux1,C378)),5))</f>
        <v>2.2700000000000001E-2</v>
      </c>
      <c r="T378" s="1201">
        <f>S378</f>
        <v>2.2700000000000001E-2</v>
      </c>
      <c r="U378" s="1201">
        <f>ROUND(IF(D378*366&gt;366,interpoler(_mat2,taux2,D378*366),interpoler(_mat1,taux1,D378*366)),5)</f>
        <v>2.2700000000000001E-2</v>
      </c>
      <c r="V378" s="1202" t="str">
        <f>+IF((AB378-$AF$1)&lt;=366,"M","A")</f>
        <v>M</v>
      </c>
      <c r="W378" s="1202" t="s">
        <v>287</v>
      </c>
      <c r="X378" s="1212">
        <f>+prix_atp(AF$1,AA378,Z378,AB378,M378,K378,W378,V378,P378,Q378,N378,D378,Y378)</f>
        <v>0</v>
      </c>
      <c r="Y378" s="1202">
        <v>1</v>
      </c>
      <c r="Z378" s="35">
        <v>45777</v>
      </c>
      <c r="AA378" s="1198">
        <v>45777</v>
      </c>
      <c r="AB378" s="1198">
        <v>45869</v>
      </c>
      <c r="AC378" s="35"/>
      <c r="AD378" s="2"/>
    </row>
    <row r="379" spans="1:32" ht="15" hidden="1" x14ac:dyDescent="0.25">
      <c r="A379" s="1191">
        <v>100885</v>
      </c>
      <c r="B379" s="1192">
        <f>X379</f>
        <v>102432.29749242267</v>
      </c>
      <c r="C379" s="1193">
        <f>(AB379-$AF$1)</f>
        <v>406</v>
      </c>
      <c r="D379" s="1194">
        <f>ROUND(T379+R379,5)</f>
        <v>2.8819999999999998E-2</v>
      </c>
      <c r="E379" s="1195">
        <f>duration_titre($AF$1,AA379,AB379,M379,K379,W379,V379,P379,Q379,N379,D379)</f>
        <v>1.0848861121671221</v>
      </c>
      <c r="F379" s="1195">
        <f t="shared" ref="F379" si="50">+E379/(1+D379)</f>
        <v>1.0544955504044653</v>
      </c>
      <c r="G379" s="1195">
        <f>convexite_titre($AF$1,AA379,AB379,M379,K379,W379,V379,P379,Q379,N379,D379)</f>
        <v>2.1621323829094012</v>
      </c>
      <c r="H379" s="1196">
        <f>+ROUND(coupon_courru($AF$1,AA379,AB379,M379,K379,W379,P379,Q379,N379,V379,"V"),4)</f>
        <v>2503.2329</v>
      </c>
      <c r="I379" s="1199">
        <f>+IF(Y379=1,B379,D379*100)</f>
        <v>102432.29749242267</v>
      </c>
      <c r="J379" s="1193" t="s">
        <v>3179</v>
      </c>
      <c r="K379" s="1193">
        <v>100000</v>
      </c>
      <c r="L379" s="1193"/>
      <c r="M379" s="1197">
        <v>2.8199999999999999E-2</v>
      </c>
      <c r="N379" s="1193">
        <v>5</v>
      </c>
      <c r="O379" s="1200" t="s">
        <v>1716</v>
      </c>
      <c r="P379" s="1200" t="s">
        <v>1716</v>
      </c>
      <c r="Q379" s="1200" t="s">
        <v>1014</v>
      </c>
      <c r="R379" s="1287">
        <v>3.5000000000000001E-3</v>
      </c>
      <c r="S379" s="1229" cm="1">
        <f t="array" ref="S379">IF(C379&gt;'Courbe des taux'!$D$50,ROUND( TREND('Courbe des taux'!$E$49:$E$50,'Courbe des taux'!$D$49:$D$50,Lignes_détenues!C379),5),ROUND(IF(C379&gt;365,interpoler(_mat2,taux2,C379),interpoler(_mat1,taux1,C379)),5))</f>
        <v>2.5319999999999999E-2</v>
      </c>
      <c r="T379" s="1201">
        <f>S379</f>
        <v>2.5319999999999999E-2</v>
      </c>
      <c r="U379" s="1201">
        <f>ROUND(IF(D379*366&gt;366,interpoler(_mat2,taux2,D379*366),interpoler(_mat1,taux1,D379*366)),5)</f>
        <v>2.2700000000000001E-2</v>
      </c>
      <c r="V379" s="1202" t="str">
        <f>+IF((AB379-$AF$1)&lt;=366,"M","A")</f>
        <v>A</v>
      </c>
      <c r="W379" s="1202" t="s">
        <v>287</v>
      </c>
      <c r="X379" s="1212">
        <f>+prix_atp(AF$1,AA379,Z379,AB379,M379,K379,W379,V379,P379,Q379,N379,D379,Y379)</f>
        <v>102432.29749242267</v>
      </c>
      <c r="Y379" s="1202">
        <v>1</v>
      </c>
      <c r="Z379" s="35"/>
      <c r="AA379" s="1198">
        <v>44687</v>
      </c>
      <c r="AB379" s="1198">
        <v>46513</v>
      </c>
      <c r="AC379" s="35"/>
      <c r="AD379" s="2"/>
    </row>
    <row r="380" spans="1:32" ht="15" hidden="1" x14ac:dyDescent="0.25">
      <c r="A380" s="1191">
        <v>201894</v>
      </c>
      <c r="B380" s="1192">
        <f t="shared" ref="B380:B385" si="51">X380</f>
        <v>0</v>
      </c>
      <c r="C380" s="1193">
        <f>(AB380-$AF$1)</f>
        <v>-276</v>
      </c>
      <c r="D380" s="1194">
        <f t="shared" ref="D380:D381" si="52">ROUND(T380+R380,5)</f>
        <v>2.2700000000000001E-2</v>
      </c>
      <c r="E380" s="1195">
        <f>duration_titre($AF$1,AA380,AB380,M380,K380,W380,V380,P380,Q380,N380,D380)</f>
        <v>0</v>
      </c>
      <c r="F380" s="1195">
        <f t="shared" ref="F380:F381" si="53">+E380/(1+D380)</f>
        <v>0</v>
      </c>
      <c r="G380" s="1195">
        <f>convexite_titre($AF$1,AA380,AB380,M380,K380,W380,V380,P380,Q380,N380,D380)</f>
        <v>0</v>
      </c>
      <c r="H380" s="1196">
        <f>+ROUND(coupon_courru($AF$1,AA380,AB380,M380,K380,W380,P380,Q380,N380,V380,"V"),4)</f>
        <v>2242.7777999999998</v>
      </c>
      <c r="I380" s="1199">
        <f>+IF(Y380=1,B380,D380*100)</f>
        <v>0</v>
      </c>
      <c r="J380" s="1193" t="s">
        <v>3180</v>
      </c>
      <c r="K380" s="1193">
        <v>100000</v>
      </c>
      <c r="L380" s="1193"/>
      <c r="M380" s="1197">
        <v>2.1999999999999999E-2</v>
      </c>
      <c r="N380" s="1193">
        <v>13</v>
      </c>
      <c r="O380" s="1200" t="s">
        <v>369</v>
      </c>
      <c r="P380" s="1200" t="s">
        <v>1525</v>
      </c>
      <c r="Q380" s="1200" t="s">
        <v>1014</v>
      </c>
      <c r="R380" s="1287">
        <v>0</v>
      </c>
      <c r="S380" s="1229" cm="1">
        <f t="array" ref="S380">IF(C380&gt;'Courbe des taux'!$D$50,ROUND( TREND('Courbe des taux'!$E$49:$E$50,'Courbe des taux'!$D$49:$D$50,Lignes_détenues!C380),5),ROUND(IF(C380&gt;365,interpoler(_mat2,taux2,C380),interpoler(_mat1,taux1,C380)),5))</f>
        <v>2.2700000000000001E-2</v>
      </c>
      <c r="T380" s="1201">
        <f t="shared" ref="T380:T381" si="54">S380</f>
        <v>2.2700000000000001E-2</v>
      </c>
      <c r="U380" s="1201">
        <f>ROUND(IF(D380*366&gt;366,interpoler(_mat2,taux2,D380*366),interpoler(_mat1,taux1,D380*366)),5)</f>
        <v>2.2700000000000001E-2</v>
      </c>
      <c r="V380" s="1202" t="str">
        <f>+IF((AB380-$AF$1)&lt;=366,"M","A")</f>
        <v>M</v>
      </c>
      <c r="W380" s="1202" t="s">
        <v>287</v>
      </c>
      <c r="X380" s="1212">
        <f>+prix_atp(AF$1,AA380,Z380,AB380,M380,K380,W380,V380,P380,Q380,N380,D380,Y380)</f>
        <v>0</v>
      </c>
      <c r="Y380" s="1202">
        <v>1</v>
      </c>
      <c r="Z380" s="35">
        <v>45740</v>
      </c>
      <c r="AA380" s="1198">
        <v>45740</v>
      </c>
      <c r="AB380" s="1198">
        <v>45831</v>
      </c>
      <c r="AC380" s="35"/>
      <c r="AD380" s="2"/>
    </row>
    <row r="381" spans="1:32" ht="15" hidden="1" x14ac:dyDescent="0.25">
      <c r="A381" s="1191">
        <v>201893</v>
      </c>
      <c r="B381" s="1192">
        <f t="shared" si="51"/>
        <v>0</v>
      </c>
      <c r="C381" s="1193">
        <f>(AB381-$AF$1)</f>
        <v>-206</v>
      </c>
      <c r="D381" s="1194">
        <f t="shared" si="52"/>
        <v>2.2700000000000001E-2</v>
      </c>
      <c r="E381" s="1195">
        <f>duration_titre($AF$1,AA381,AB381,M381,K381,W381,V381,P381,Q381,N381,D381)</f>
        <v>0</v>
      </c>
      <c r="F381" s="1195">
        <f t="shared" si="53"/>
        <v>0</v>
      </c>
      <c r="G381" s="1195">
        <f>convexite_titre($AF$1,AA381,AB381,M381,K381,W381,V381,P381,Q381,N381,D381)</f>
        <v>0</v>
      </c>
      <c r="H381" s="1196">
        <f>+ROUND(coupon_courru($AF$1,AA381,AB381,M381,K381,W381,P381,Q381,N381,V381,"V"),4)</f>
        <v>2575.8888999999999</v>
      </c>
      <c r="I381" s="1199">
        <f>+IF(Y381=1,B381,D381*100)</f>
        <v>0</v>
      </c>
      <c r="J381" s="1193" t="s">
        <v>3181</v>
      </c>
      <c r="K381" s="1193">
        <v>100000</v>
      </c>
      <c r="L381" s="1193"/>
      <c r="M381" s="1197">
        <v>2.3900000000000001E-2</v>
      </c>
      <c r="N381" s="1193">
        <v>26</v>
      </c>
      <c r="O381" s="1200" t="s">
        <v>369</v>
      </c>
      <c r="P381" s="1200" t="s">
        <v>369</v>
      </c>
      <c r="Q381" s="1200" t="s">
        <v>1014</v>
      </c>
      <c r="R381" s="1287">
        <v>0</v>
      </c>
      <c r="S381" s="1229" cm="1">
        <f t="array" ref="S381">IF(C381&gt;'Courbe des taux'!$D$50,ROUND( TREND('Courbe des taux'!$E$49:$E$50,'Courbe des taux'!$D$49:$D$50,Lignes_détenues!C381),5),ROUND(IF(C381&gt;365,interpoler(_mat2,taux2,C381),interpoler(_mat1,taux1,C381)),5))</f>
        <v>2.2700000000000001E-2</v>
      </c>
      <c r="T381" s="1201">
        <f t="shared" si="54"/>
        <v>2.2700000000000001E-2</v>
      </c>
      <c r="U381" s="1201">
        <f>ROUND(IF(D381*366&gt;366,interpoler(_mat2,taux2,D381*366),interpoler(_mat1,taux1,D381*366)),5)</f>
        <v>2.2700000000000001E-2</v>
      </c>
      <c r="V381" s="1202" t="str">
        <f>+IF((AB381-$AF$1)&lt;=366,"M","A")</f>
        <v>M</v>
      </c>
      <c r="W381" s="1202" t="s">
        <v>287</v>
      </c>
      <c r="X381" s="1212">
        <f>+prix_atp(AF$1,AA381,Z381,AB381,M381,K381,W381,V381,P381,Q381,N381,D381,Y381)</f>
        <v>0</v>
      </c>
      <c r="Y381" s="1202">
        <v>1</v>
      </c>
      <c r="Z381" s="35">
        <v>45719</v>
      </c>
      <c r="AA381" s="1198">
        <v>45719</v>
      </c>
      <c r="AB381" s="1198">
        <v>45901</v>
      </c>
      <c r="AC381" s="35"/>
      <c r="AD381" s="2"/>
    </row>
    <row r="382" spans="1:32" ht="15" hidden="1" x14ac:dyDescent="0.25">
      <c r="A382" s="1191">
        <v>100992</v>
      </c>
      <c r="B382" s="1192">
        <f t="shared" si="51"/>
        <v>101865.1548626624</v>
      </c>
      <c r="C382" s="1193">
        <f>(AB382-$AF$1)</f>
        <v>431</v>
      </c>
      <c r="D382" s="1194">
        <f t="shared" ref="D382" si="55">ROUND(T382+R382,5)</f>
        <v>2.9420000000000002E-2</v>
      </c>
      <c r="E382" s="1195">
        <f>duration_titre($AF$1,AA382,AB382,M382,K382,W382,V382,P382,Q382,N382,D382)</f>
        <v>1.1548418183953419</v>
      </c>
      <c r="F382" s="1195">
        <f t="shared" ref="F382" si="56">+E382/(1+D382)</f>
        <v>1.1218373631708554</v>
      </c>
      <c r="G382" s="1195">
        <f>convexite_titre($AF$1,AA382,AB382,M382,K382,W382,V382,P382,Q382,N382,D382)</f>
        <v>2.3721746196563287</v>
      </c>
      <c r="H382" s="1196">
        <f>+ROUND(coupon_courru($AF$1,AA382,AB382,M382,K382,W382,P382,Q382,N382,V382,"V"),4)</f>
        <v>2179.0137</v>
      </c>
      <c r="I382" s="1199">
        <f>+IF(Y382=1,B382,D382*100)</f>
        <v>101865.1548626624</v>
      </c>
      <c r="J382" s="1193" t="s">
        <v>3182</v>
      </c>
      <c r="K382" s="1193">
        <v>100000</v>
      </c>
      <c r="L382" s="1193"/>
      <c r="M382" s="1197">
        <v>2.6599999999999999E-2</v>
      </c>
      <c r="N382" s="1193">
        <v>2</v>
      </c>
      <c r="O382" s="1200" t="s">
        <v>1716</v>
      </c>
      <c r="P382" s="1200" t="s">
        <v>1716</v>
      </c>
      <c r="Q382" s="1200" t="s">
        <v>1014</v>
      </c>
      <c r="R382" s="1287">
        <v>4.0000000000000001E-3</v>
      </c>
      <c r="S382" s="1229" cm="1">
        <f t="array" ref="S382">IF(C382&gt;'Courbe des taux'!$D$50,ROUND( TREND('Courbe des taux'!$E$49:$E$50,'Courbe des taux'!$D$49:$D$50,Lignes_détenues!C382),5),ROUND(IF(C382&gt;365,interpoler(_mat2,taux2,C382),interpoler(_mat1,taux1,C382)),5))</f>
        <v>2.5420000000000002E-2</v>
      </c>
      <c r="T382" s="1201">
        <f t="shared" ref="T382" si="57">S382</f>
        <v>2.5420000000000002E-2</v>
      </c>
      <c r="U382" s="1201">
        <f>ROUND(IF(D382*366&gt;366,interpoler(_mat2,taux2,D382*366),interpoler(_mat1,taux1,D382*366)),5)</f>
        <v>2.2700000000000001E-2</v>
      </c>
      <c r="V382" s="1202" t="str">
        <f>+IF((AB382-$AF$1)&lt;=366,"M","A")</f>
        <v>A</v>
      </c>
      <c r="W382" s="1202" t="s">
        <v>287</v>
      </c>
      <c r="X382" s="1212">
        <f>+prix_atp(AF$1,AA382,Z382,AB382,M382,K382,W382,V382,P382,Q382,N382,D382,Y382)</f>
        <v>101865.1548626624</v>
      </c>
      <c r="Y382" s="1202">
        <v>1</v>
      </c>
      <c r="Z382" s="35">
        <v>45808</v>
      </c>
      <c r="AA382" s="1198">
        <v>45806</v>
      </c>
      <c r="AB382" s="1198">
        <v>46538</v>
      </c>
      <c r="AC382" s="35"/>
      <c r="AD382" s="2"/>
    </row>
    <row r="383" spans="1:32" ht="15" hidden="1" x14ac:dyDescent="0.25">
      <c r="A383" s="1191">
        <v>9686</v>
      </c>
      <c r="B383" s="1192">
        <f t="shared" si="51"/>
        <v>101609.79979999999</v>
      </c>
      <c r="C383" s="1193">
        <f>(AB383-$AF$1)</f>
        <v>1166</v>
      </c>
      <c r="D383" s="1194">
        <f t="shared" ref="D383:D386" si="58">ROUND(T383+R383,5)</f>
        <v>3.3989999999999999E-2</v>
      </c>
      <c r="E383" s="1195">
        <f>duration_titre($AF$1,AA383,AB383,M383,K383,W383,V383,P383,Q383,N383,D383)</f>
        <v>3.0292350616603998</v>
      </c>
      <c r="F383" s="1195">
        <f t="shared" ref="F383" si="59">+E383/(1+D383)</f>
        <v>2.9296560524380313</v>
      </c>
      <c r="G383" s="1195">
        <f>convexite_titre($AF$1,AA383,AB383,M383,K383,W383,V383,P383,Q383,N383,D383)</f>
        <v>11.754639015474632</v>
      </c>
      <c r="H383" s="1196">
        <f>+ROUND(coupon_courru($AF$1,AA383,AB383,M383,K383,W383,P383,Q383,N383,V383,"V"),4)</f>
        <v>2303.4247</v>
      </c>
      <c r="I383" s="1199">
        <f>+IF(Y383=1,B383,D383*100)</f>
        <v>101609.79979999999</v>
      </c>
      <c r="J383" s="1193" t="s">
        <v>3183</v>
      </c>
      <c r="K383" s="1193">
        <v>100000</v>
      </c>
      <c r="L383" s="1193"/>
      <c r="M383" s="1197">
        <v>2.8500000000000001E-2</v>
      </c>
      <c r="N383" s="1193">
        <v>4</v>
      </c>
      <c r="O383" s="1200" t="s">
        <v>1716</v>
      </c>
      <c r="P383" s="1200" t="s">
        <v>1716</v>
      </c>
      <c r="Q383" s="1200" t="s">
        <v>1014</v>
      </c>
      <c r="R383" s="1287">
        <v>5.4999999999999997E-3</v>
      </c>
      <c r="S383" s="1229" cm="1">
        <f t="array" ref="S383">IF(C383&gt;'Courbe des taux'!$D$50,ROUND( TREND('Courbe des taux'!$E$49:$E$50,'Courbe des taux'!$D$49:$D$50,Lignes_détenues!C383),5),ROUND(IF(C383&gt;365,interpoler(_mat2,taux2,C383),interpoler(_mat1,taux1,C383)),5))</f>
        <v>2.8490000000000001E-2</v>
      </c>
      <c r="T383" s="1201">
        <f t="shared" ref="T383" si="60">S383</f>
        <v>2.8490000000000001E-2</v>
      </c>
      <c r="U383" s="1201">
        <f>ROUND(IF(D383*366&gt;366,interpoler(_mat2,taux2,D383*366),interpoler(_mat1,taux1,D383*366)),5)</f>
        <v>2.2700000000000001E-2</v>
      </c>
      <c r="V383" s="1202" t="str">
        <f>+IF((AB383-$AF$1)&lt;=366,"M","A")</f>
        <v>A</v>
      </c>
      <c r="W383" s="1202" t="s">
        <v>287</v>
      </c>
      <c r="X383" s="1212">
        <f>Ammortissable!C822</f>
        <v>101609.79979999999</v>
      </c>
      <c r="Y383" s="1202">
        <v>1</v>
      </c>
      <c r="Z383" s="35"/>
      <c r="AA383" s="1198">
        <v>45812</v>
      </c>
      <c r="AB383" s="1198">
        <v>47273</v>
      </c>
      <c r="AC383" s="35"/>
      <c r="AD383" s="2"/>
    </row>
    <row r="384" spans="1:32" ht="15" hidden="1" x14ac:dyDescent="0.25">
      <c r="A384" s="1191">
        <v>9685</v>
      </c>
      <c r="B384" s="1192">
        <f t="shared" si="51"/>
        <v>88261.261369999993</v>
      </c>
      <c r="C384" s="1193">
        <f>(AB384-$AF$1)</f>
        <v>70</v>
      </c>
      <c r="D384" s="1194">
        <f t="shared" si="58"/>
        <v>2.8330000000000001E-2</v>
      </c>
      <c r="E384" s="1195">
        <f>duration_titre($AF$1,AA384,AB384,M384,K384,W384,V384,P384,Q384,N384,D384)</f>
        <v>0.19178082191780821</v>
      </c>
      <c r="F384" s="1195">
        <f t="shared" ref="F384" si="61">+E384/(1+D384)</f>
        <v>0.18649735193742106</v>
      </c>
      <c r="G384" s="1195">
        <f>convexite_titre($AF$1,AA384,AB384,M384,K384,W384,V384,P384,Q384,N384,D384)</f>
        <v>0.21614070130937968</v>
      </c>
      <c r="H384" s="1196">
        <f>+ROUND(coupon_courru($AF$1,AA384,AB384,M384,K384,W384,P384,Q384,N384,V384,"V"),4)</f>
        <v>877.33330000000001</v>
      </c>
      <c r="I384" s="1199">
        <f>+IF(Y384=1,B384,D384*100)</f>
        <v>88261.261369999993</v>
      </c>
      <c r="J384" s="1193" t="s">
        <v>3187</v>
      </c>
      <c r="K384" s="1193">
        <v>100000</v>
      </c>
      <c r="L384" s="1193"/>
      <c r="M384" s="1197">
        <v>2.8199999999999999E-2</v>
      </c>
      <c r="N384" s="1193">
        <v>26</v>
      </c>
      <c r="O384" s="1200" t="s">
        <v>369</v>
      </c>
      <c r="P384" s="1200" t="s">
        <v>369</v>
      </c>
      <c r="Q384" s="1200" t="s">
        <v>1014</v>
      </c>
      <c r="R384" s="1287">
        <v>5.4999999999999997E-3</v>
      </c>
      <c r="S384" s="1229" cm="1">
        <f t="array" ref="S384">IF(C384&gt;'Courbe des taux'!$D$50,ROUND( TREND('Courbe des taux'!$E$49:$E$50,'Courbe des taux'!$D$49:$D$50,Lignes_détenues!C384),5),ROUND(IF(C384&gt;365,interpoler(_mat2,taux2,C384),interpoler(_mat1,taux1,C384)),5))</f>
        <v>2.283E-2</v>
      </c>
      <c r="T384" s="1201">
        <f t="shared" ref="T384" si="62">S384</f>
        <v>2.283E-2</v>
      </c>
      <c r="U384" s="1201">
        <f>ROUND(IF(D384*366&gt;366,interpoler(_mat2,taux2,D384*366),interpoler(_mat1,taux1,D384*366)),5)</f>
        <v>2.2700000000000001E-2</v>
      </c>
      <c r="V384" s="1202" t="str">
        <f>+IF((AB384-$AF$1)&lt;366,"M","A")</f>
        <v>M</v>
      </c>
      <c r="W384" s="1202" t="s">
        <v>287</v>
      </c>
      <c r="X384" s="1212">
        <f>Ammortissable!C840</f>
        <v>88261.261369999993</v>
      </c>
      <c r="Y384" s="1202">
        <v>1</v>
      </c>
      <c r="Z384" s="35">
        <v>45812</v>
      </c>
      <c r="AA384" s="1198">
        <v>45995</v>
      </c>
      <c r="AB384" s="1198">
        <v>46177</v>
      </c>
      <c r="AC384" s="35"/>
      <c r="AD384" s="2"/>
    </row>
    <row r="385" spans="1:31" s="342" customFormat="1" ht="15" hidden="1" x14ac:dyDescent="0.25">
      <c r="A385" s="1336">
        <v>9684</v>
      </c>
      <c r="B385" s="1209">
        <f t="shared" si="51"/>
        <v>100854.62639533126</v>
      </c>
      <c r="C385" s="1337">
        <f>(AB385-$AF$1)</f>
        <v>70</v>
      </c>
      <c r="D385" s="1338">
        <f t="shared" si="58"/>
        <v>2.7830000000000001E-2</v>
      </c>
      <c r="E385" s="1339">
        <f>duration_titre($AF$1,AA385,AB385,M385,K385,W385,V385,P385,Q385,N385,D385)</f>
        <v>0.19178082191780821</v>
      </c>
      <c r="F385" s="1339">
        <f t="shared" ref="F385:F386" si="63">+E385/(1+D385)</f>
        <v>0.18658807576915268</v>
      </c>
      <c r="G385" s="1339">
        <f>convexite_titre($AF$1,AA385,AB385,M385,K385,W385,V385,P385,Q385,N385,D385)</f>
        <v>0.2163510408338179</v>
      </c>
      <c r="H385" s="1340">
        <f>+ROUND(coupon_courru($AF$1,AA385,AB385,M385,K385,W385,P385,Q385,N385,V385,"V"),4)</f>
        <v>861.77779999999996</v>
      </c>
      <c r="I385" s="1341">
        <f>+IF(Y385=1,B385,D385*100)</f>
        <v>100854.62639533126</v>
      </c>
      <c r="J385" s="1337" t="s">
        <v>3186</v>
      </c>
      <c r="K385" s="1337">
        <v>100000</v>
      </c>
      <c r="L385" s="1337"/>
      <c r="M385" s="1342">
        <v>2.7699999999999999E-2</v>
      </c>
      <c r="N385" s="1337">
        <v>26</v>
      </c>
      <c r="O385" s="1344" t="s">
        <v>369</v>
      </c>
      <c r="P385" s="1344" t="s">
        <v>369</v>
      </c>
      <c r="Q385" s="1344" t="s">
        <v>1014</v>
      </c>
      <c r="R385" s="1345">
        <v>5.0000000000000001E-3</v>
      </c>
      <c r="S385" s="1346" cm="1">
        <f t="array" ref="S385">IF(C385&gt;'Courbe des taux'!$D$50,ROUND( TREND('Courbe des taux'!$E$49:$E$50,'Courbe des taux'!$D$49:$D$50,Lignes_détenues!C385),5),ROUND(IF(C385&gt;365,interpoler(_mat2,taux2,C385),interpoler(_mat1,taux1,C385)),5))</f>
        <v>2.283E-2</v>
      </c>
      <c r="T385" s="1346">
        <f t="shared" ref="T385:T386" si="64">S385</f>
        <v>2.283E-2</v>
      </c>
      <c r="U385" s="1346">
        <f>ROUND(IF(D385*366&gt;366,interpoler(_mat2,taux2,D385*366),interpoler(_mat1,taux1,D385*366)),5)</f>
        <v>2.2700000000000001E-2</v>
      </c>
      <c r="V385" s="1347" t="str">
        <f>+IF((AB385-$AF$1)&lt;366,"M","A")</f>
        <v>M</v>
      </c>
      <c r="W385" s="1347" t="s">
        <v>287</v>
      </c>
      <c r="X385" s="1348">
        <f>+prix_titre(AF$1,AA385,AB385,M385,K385,W385,V385,P385,Q385,N385,D385,Y385)</f>
        <v>100854.62639533126</v>
      </c>
      <c r="Y385" s="1347">
        <v>1</v>
      </c>
      <c r="Z385" s="1349"/>
      <c r="AA385" s="1343">
        <v>45995</v>
      </c>
      <c r="AB385" s="1343">
        <v>46177</v>
      </c>
      <c r="AC385" s="35"/>
    </row>
    <row r="386" spans="1:31" ht="15" hidden="1" x14ac:dyDescent="0.25">
      <c r="A386" s="1191">
        <v>153087</v>
      </c>
      <c r="B386" s="1192">
        <f t="shared" ref="B386" si="65">X386</f>
        <v>0</v>
      </c>
      <c r="C386" s="1193">
        <f>(AB386-$AF$1)</f>
        <v>-209</v>
      </c>
      <c r="D386" s="1194">
        <f t="shared" si="58"/>
        <v>2.4199999999999999E-2</v>
      </c>
      <c r="E386" s="1195">
        <f>duration_titre($AF$1,AA386,AB386,M386,K386,W386,V386,P386,Q386,N386,D386)</f>
        <v>0</v>
      </c>
      <c r="F386" s="1195">
        <f t="shared" si="63"/>
        <v>0</v>
      </c>
      <c r="G386" s="1195">
        <f>convexite_titre($AF$1,AA386,AB386,M386,K386,W386,V386,P386,Q386,N386,D386)</f>
        <v>0</v>
      </c>
      <c r="H386" s="1196">
        <f>+ROUND(coupon_courru($AF$1,AA386,AB386,M386,K386,W386,P386,Q386,N386,V386,"V"),4)</f>
        <v>1858.3333</v>
      </c>
      <c r="I386" s="1199">
        <f>+IF(Y386=1,B386,D386*100)</f>
        <v>0</v>
      </c>
      <c r="J386" s="1193" t="s">
        <v>3182</v>
      </c>
      <c r="K386" s="1193">
        <v>100000</v>
      </c>
      <c r="L386" s="1193"/>
      <c r="M386" s="1197">
        <v>2.23E-2</v>
      </c>
      <c r="N386" s="1193">
        <v>13</v>
      </c>
      <c r="O386" s="1200" t="s">
        <v>369</v>
      </c>
      <c r="P386" s="1200" t="s">
        <v>1525</v>
      </c>
      <c r="Q386" s="1200" t="s">
        <v>1014</v>
      </c>
      <c r="R386" s="1287">
        <v>1.5E-3</v>
      </c>
      <c r="S386" s="1229" cm="1">
        <f t="array" ref="S386">IF(C386&gt;'Courbe des taux'!$D$50,ROUND( TREND('Courbe des taux'!$E$49:$E$50,'Courbe des taux'!$D$49:$D$50,Lignes_détenues!C386),5),ROUND(IF(C386&gt;365,interpoler(_mat2,taux2,C386),interpoler(_mat1,taux1,C386)),5))</f>
        <v>2.2700000000000001E-2</v>
      </c>
      <c r="T386" s="1201">
        <f t="shared" si="64"/>
        <v>2.2700000000000001E-2</v>
      </c>
      <c r="U386" s="1201">
        <f>ROUND(IF(D386*366&gt;366,interpoler(_mat2,taux2,D386*366),interpoler(_mat1,taux1,D386*366)),5)</f>
        <v>2.2700000000000001E-2</v>
      </c>
      <c r="V386" s="1202" t="str">
        <f>+IF((AB386-$AF$1)&lt;=366,"M","A")</f>
        <v>M</v>
      </c>
      <c r="W386" s="1202" t="s">
        <v>287</v>
      </c>
      <c r="X386" s="1212">
        <f>+prix_atp(AF$1,AA386,Z386,AB386,M386,K386,W386,V386,P386,Q386,N386,D386,Y386)</f>
        <v>0</v>
      </c>
      <c r="Y386" s="1202">
        <v>1</v>
      </c>
      <c r="Z386" s="35">
        <v>45808</v>
      </c>
      <c r="AA386" s="1198">
        <v>45807</v>
      </c>
      <c r="AB386" s="1198">
        <v>45898</v>
      </c>
      <c r="AC386" s="35"/>
      <c r="AD386" s="2"/>
    </row>
    <row r="387" spans="1:31" ht="15" hidden="1" x14ac:dyDescent="0.25">
      <c r="A387" s="1191">
        <v>153088</v>
      </c>
      <c r="B387" s="1192">
        <f t="shared" ref="B387" si="66">X387</f>
        <v>0</v>
      </c>
      <c r="C387" s="1193">
        <f>(AB387-$AF$1)</f>
        <v>-118</v>
      </c>
      <c r="D387" s="1194">
        <f t="shared" ref="D387" si="67">ROUND(T387+R387,5)</f>
        <v>2.47E-2</v>
      </c>
      <c r="E387" s="1195">
        <f>duration_titre($AF$1,AA387,AB387,M387,K387,W387,V387,P387,Q387,N387,D387)</f>
        <v>0</v>
      </c>
      <c r="F387" s="1195">
        <f t="shared" ref="F387" si="68">+E387/(1+D387)</f>
        <v>0</v>
      </c>
      <c r="G387" s="1195">
        <f>convexite_titre($AF$1,AA387,AB387,M387,K387,W387,V387,P387,Q387,N387,D387)</f>
        <v>0</v>
      </c>
      <c r="H387" s="1196">
        <f>+ROUND(coupon_courru($AF$1,AA387,AB387,M387,K387,W387,P387,Q387,N387,V387,"V"),4)</f>
        <v>1925</v>
      </c>
      <c r="I387" s="1199">
        <f>+IF(Y387=1,B387,D387*100)</f>
        <v>0</v>
      </c>
      <c r="J387" s="1193" t="s">
        <v>3182</v>
      </c>
      <c r="K387" s="1193">
        <v>100000</v>
      </c>
      <c r="L387" s="1193"/>
      <c r="M387" s="1197">
        <v>2.3099999999999999E-2</v>
      </c>
      <c r="N387" s="1193">
        <v>26</v>
      </c>
      <c r="O387" s="1200" t="s">
        <v>369</v>
      </c>
      <c r="P387" s="1200" t="s">
        <v>369</v>
      </c>
      <c r="Q387" s="1200" t="s">
        <v>1014</v>
      </c>
      <c r="R387" s="1287">
        <v>2E-3</v>
      </c>
      <c r="S387" s="1229" cm="1">
        <f t="array" ref="S387">IF(C387&gt;'Courbe des taux'!$D$50,ROUND( TREND('Courbe des taux'!$E$49:$E$50,'Courbe des taux'!$D$49:$D$50,Lignes_détenues!C387),5),ROUND(IF(C387&gt;365,interpoler(_mat2,taux2,C387),interpoler(_mat1,taux1,C387)),5))</f>
        <v>2.2700000000000001E-2</v>
      </c>
      <c r="T387" s="1201">
        <f t="shared" ref="T387" si="69">S387</f>
        <v>2.2700000000000001E-2</v>
      </c>
      <c r="U387" s="1201">
        <f>ROUND(IF(D387*366&gt;366,interpoler(_mat2,taux2,D387*366),interpoler(_mat1,taux1,D387*366)),5)</f>
        <v>2.2700000000000001E-2</v>
      </c>
      <c r="V387" s="1202" t="str">
        <f>+IF((AB387-$AF$1)&lt;=366,"M","A")</f>
        <v>M</v>
      </c>
      <c r="W387" s="1202" t="s">
        <v>287</v>
      </c>
      <c r="X387" s="1212">
        <f>+prix_atp(AF$1,AA387,Z387,AB387,M387,K387,W387,V387,P387,Q387,N387,D387,Y387)</f>
        <v>0</v>
      </c>
      <c r="Y387" s="1202">
        <v>1</v>
      </c>
      <c r="Z387" s="35">
        <v>45807</v>
      </c>
      <c r="AA387" s="1198">
        <v>45807</v>
      </c>
      <c r="AB387" s="1198">
        <v>45989</v>
      </c>
      <c r="AC387" s="35"/>
      <c r="AD387" s="2"/>
    </row>
    <row r="388" spans="1:31" ht="15" hidden="1" x14ac:dyDescent="0.25">
      <c r="A388" s="1191">
        <v>100993</v>
      </c>
      <c r="B388" s="1192">
        <f t="shared" ref="B388" si="70">X388</f>
        <v>101089.85370000001</v>
      </c>
      <c r="C388" s="1193">
        <f>(AB388-$AF$1)</f>
        <v>1540</v>
      </c>
      <c r="D388" s="1194">
        <f t="shared" ref="D388" si="71">ROUND(T388+R388,5)</f>
        <v>3.4959999999999998E-2</v>
      </c>
      <c r="E388" s="1195">
        <f>duration_titre($AF$1,AA388,AB388,M388,K388,W388,V388,P388,Q388,N388,D388)</f>
        <v>3.9489673347259271</v>
      </c>
      <c r="F388" s="1195">
        <f t="shared" ref="F388" si="72">+E388/(1+D388)</f>
        <v>3.8155748383762917</v>
      </c>
      <c r="G388" s="1195">
        <f>convexite_titre($AF$1,AA388,AB388,M388,K388,W388,V388,P388,Q388,N388,D388)</f>
        <v>18.943074479699757</v>
      </c>
      <c r="H388" s="1196">
        <f>+ROUND(coupon_courru($AF$1,AA388,AB388,M388,K388,W388,P388,Q388,N388,V388,"V"),4)</f>
        <v>2193.9726000000001</v>
      </c>
      <c r="I388" s="1199">
        <f>+IF(Y388=1,B388,D388*100)</f>
        <v>101089.85370000001</v>
      </c>
      <c r="J388" s="1193" t="s">
        <v>3189</v>
      </c>
      <c r="K388" s="1193">
        <v>100000</v>
      </c>
      <c r="L388" s="1193"/>
      <c r="M388" s="1197">
        <v>2.8000000000000001E-2</v>
      </c>
      <c r="N388" s="1193">
        <v>5</v>
      </c>
      <c r="O388" s="1200" t="s">
        <v>1716</v>
      </c>
      <c r="P388" s="1200" t="s">
        <v>1716</v>
      </c>
      <c r="Q388" s="1200" t="s">
        <v>1014</v>
      </c>
      <c r="R388" s="1287">
        <v>5.0000000000000001E-3</v>
      </c>
      <c r="S388" s="1229" cm="1">
        <f t="array" ref="S388">IF(C388&gt;'Courbe des taux'!$D$50,ROUND( TREND('Courbe des taux'!$E$49:$E$50,'Courbe des taux'!$D$49:$D$50,Lignes_détenues!C388),5),ROUND(IF(C388&gt;365,interpoler(_mat2,taux2,C388),interpoler(_mat1,taux1,C388)),5))</f>
        <v>2.9960000000000001E-2</v>
      </c>
      <c r="T388" s="1201">
        <f t="shared" ref="T388" si="73">S388</f>
        <v>2.9960000000000001E-2</v>
      </c>
      <c r="U388" s="1201">
        <f>ROUND(IF(D388*366&gt;366,interpoler(_mat2,taux2,D388*366),interpoler(_mat1,taux1,D388*366)),5)</f>
        <v>2.2700000000000001E-2</v>
      </c>
      <c r="V388" s="1202" t="str">
        <f>+IF((AB388-$AF$1)&lt;=366,"M","A")</f>
        <v>A</v>
      </c>
      <c r="W388" s="1202" t="s">
        <v>287</v>
      </c>
      <c r="X388" s="1212">
        <f>Ammortissable!C858</f>
        <v>101089.85370000001</v>
      </c>
      <c r="Y388" s="1202">
        <v>1</v>
      </c>
      <c r="Z388" s="35"/>
      <c r="AA388" s="1198">
        <v>45821</v>
      </c>
      <c r="AB388" s="1198">
        <v>47647</v>
      </c>
      <c r="AC388" s="35"/>
      <c r="AD388" s="2"/>
    </row>
    <row r="389" spans="1:31" ht="15" hidden="1" x14ac:dyDescent="0.25">
      <c r="A389" s="1191">
        <v>100994</v>
      </c>
      <c r="B389" s="1192">
        <f t="shared" ref="B389:B390" si="74">X389</f>
        <v>101514.10406415844</v>
      </c>
      <c r="C389" s="1193">
        <f>(AB389-$AF$1)</f>
        <v>461</v>
      </c>
      <c r="D389" s="1194">
        <f t="shared" ref="D389" si="75">ROUND(T389+R389,5)</f>
        <v>2.955E-2</v>
      </c>
      <c r="E389" s="1195">
        <f>duration_titre($AF$1,AA389,AB389,M389,K389,W389,V389,P389,Q389,N389,D389)</f>
        <v>1.2378659556932503</v>
      </c>
      <c r="F389" s="1195">
        <f t="shared" ref="F389" si="76">+E389/(1+D389)</f>
        <v>1.20233690028969</v>
      </c>
      <c r="G389" s="1195">
        <f>convexite_titre($AF$1,AA389,AB389,M389,K389,W389,V389,P389,Q389,N389,D389)</f>
        <v>2.6365698749065127</v>
      </c>
      <c r="H389" s="1196">
        <f>+ROUND(coupon_courru($AF$1,AA389,AB389,M389,K389,W389,P389,Q389,N389,V389,"V"),4)</f>
        <v>1894.0547999999999</v>
      </c>
      <c r="I389" s="1199">
        <f>+IF(Z389=1,B389,D389*100)</f>
        <v>2.9550000000000001</v>
      </c>
      <c r="J389" s="1193" t="s">
        <v>3190</v>
      </c>
      <c r="K389" s="1193">
        <v>100000</v>
      </c>
      <c r="L389" s="1193"/>
      <c r="M389" s="1197">
        <v>2.5700000000000001E-2</v>
      </c>
      <c r="N389" s="1193">
        <v>2</v>
      </c>
      <c r="O389" s="1200" t="s">
        <v>1716</v>
      </c>
      <c r="P389" s="1200" t="s">
        <v>1716</v>
      </c>
      <c r="Q389" s="1200" t="s">
        <v>1014</v>
      </c>
      <c r="R389" s="1287">
        <v>4.0000000000000001E-3</v>
      </c>
      <c r="S389" s="1229" cm="1">
        <f t="array" ref="S389">IF(C389&gt;'Courbe des taux'!$D$50,ROUND( TREND('Courbe des taux'!$E$49:$E$50,'Courbe des taux'!$D$49:$D$50,Lignes_détenues!C389),5),ROUND(IF(C389&gt;365,interpoler(_mat2,taux2,C389),interpoler(_mat1,taux1,C389)),5))</f>
        <v>2.555E-2</v>
      </c>
      <c r="T389" s="1201">
        <f t="shared" ref="T389" si="77">S389</f>
        <v>2.555E-2</v>
      </c>
      <c r="U389" s="1201">
        <f>ROUND(IF(D389*366&gt;366,interpoler(_mat2,taux2,D389*366),interpoler(_mat1,taux1,D389*366)),5)</f>
        <v>2.2700000000000001E-2</v>
      </c>
      <c r="V389" s="1202" t="str">
        <f>+IF((AB389-$AF$1)&lt;=366,"M","A")</f>
        <v>A</v>
      </c>
      <c r="W389" s="1202" t="s">
        <v>287</v>
      </c>
      <c r="X389" s="1212">
        <f>+prix_atp(AF$1,AA389,Z389,AB389,M389,K389,W389,V389,P389,Q389,N389,D389,Y389)</f>
        <v>101514.10406415844</v>
      </c>
      <c r="Y389" s="1202">
        <v>1</v>
      </c>
      <c r="Z389" s="35">
        <v>45838</v>
      </c>
      <c r="AA389" s="1198">
        <v>45824</v>
      </c>
      <c r="AB389" s="1198">
        <v>46568</v>
      </c>
      <c r="AC389" s="35"/>
      <c r="AD389" s="2"/>
    </row>
    <row r="390" spans="1:31" ht="15" hidden="1" x14ac:dyDescent="0.25">
      <c r="A390" s="1191">
        <v>100995</v>
      </c>
      <c r="B390" s="1192">
        <f t="shared" si="74"/>
        <v>101114.68240000001</v>
      </c>
      <c r="C390" s="1193">
        <f>(AB390-$AF$1)</f>
        <v>1545</v>
      </c>
      <c r="D390" s="1194">
        <f t="shared" ref="D390" si="78">ROUND(T390+R390,5)</f>
        <v>3.4909999999999997E-2</v>
      </c>
      <c r="E390" s="1195">
        <f>duration_titre($AF$1,AA390,AB390,M390,K390,W390,V390,P390,Q390,N390,D390)</f>
        <v>3.9610257180472828</v>
      </c>
      <c r="F390" s="1195">
        <f t="shared" ref="F390" si="79">+E390/(1+D390)</f>
        <v>3.8274108067825057</v>
      </c>
      <c r="G390" s="1195">
        <f>convexite_titre($AF$1,AA390,AB390,M390,K390,W390,V390,P390,Q390,N390,D390)</f>
        <v>19.049026594176759</v>
      </c>
      <c r="H390" s="1196">
        <f>+ROUND(coupon_courru($AF$1,AA390,AB390,M390,K390,W390,P390,Q390,N390,V390,"V"),4)</f>
        <v>2171.0137</v>
      </c>
      <c r="I390" s="1199">
        <f>+IF(Z390=1,B390,D390*100)</f>
        <v>3.4909999999999997</v>
      </c>
      <c r="J390" s="1193" t="s">
        <v>3191</v>
      </c>
      <c r="K390" s="1193">
        <v>100000</v>
      </c>
      <c r="L390" s="1193"/>
      <c r="M390" s="1197">
        <v>2.8199999999999999E-2</v>
      </c>
      <c r="N390" s="1193">
        <v>5</v>
      </c>
      <c r="O390" s="1200" t="s">
        <v>1716</v>
      </c>
      <c r="P390" s="1200" t="s">
        <v>1716</v>
      </c>
      <c r="Q390" s="1200" t="s">
        <v>1014</v>
      </c>
      <c r="R390" s="1287">
        <v>4.9300000000000004E-3</v>
      </c>
      <c r="S390" s="1229" cm="1">
        <f t="array" ref="S390">IF(C390&gt;'Courbe des taux'!$D$50,ROUND( TREND('Courbe des taux'!$E$49:$E$50,'Courbe des taux'!$D$49:$D$50,Lignes_détenues!C390),5),ROUND(IF(C390&gt;365,interpoler(_mat2,taux2,C390),interpoler(_mat1,taux1,C390)),5))</f>
        <v>2.998E-2</v>
      </c>
      <c r="T390" s="1201">
        <f t="shared" ref="T390" si="80">S390</f>
        <v>2.998E-2</v>
      </c>
      <c r="U390" s="1201">
        <f>ROUND(IF(D390*366&gt;366,interpoler(_mat2,taux2,D390*366),interpoler(_mat1,taux1,D390*366)),5)</f>
        <v>2.2700000000000001E-2</v>
      </c>
      <c r="V390" s="1202" t="str">
        <f>+IF((AB390-$AF$1)&lt;=366,"M","A")</f>
        <v>A</v>
      </c>
      <c r="W390" s="1202" t="s">
        <v>287</v>
      </c>
      <c r="X390" s="1212">
        <f>Ammortissable!C876</f>
        <v>101114.68240000001</v>
      </c>
      <c r="Y390" s="1202">
        <v>1</v>
      </c>
      <c r="Z390" s="35"/>
      <c r="AA390" s="1198">
        <v>45826</v>
      </c>
      <c r="AB390" s="1198">
        <v>47652</v>
      </c>
      <c r="AC390" s="35"/>
      <c r="AD390" s="2"/>
    </row>
    <row r="391" spans="1:31" ht="15" hidden="1" x14ac:dyDescent="0.25">
      <c r="A391" s="1191">
        <v>9690</v>
      </c>
      <c r="B391" s="1192">
        <f t="shared" ref="B391:B395" si="81">X391</f>
        <v>100049.2259542838</v>
      </c>
      <c r="C391" s="1193">
        <f>(AB391-$AF$1)</f>
        <v>85</v>
      </c>
      <c r="D391" s="1194">
        <f t="shared" ref="D391:D392" si="82">ROUND(T391+R391,5)</f>
        <v>2.7449999999999999E-2</v>
      </c>
      <c r="E391" s="1195">
        <f>duration_titre($AF$1,AA391,AB391,M391,K391,W391,V391,P391,Q391,N391,D391)</f>
        <v>0.23287671232876711</v>
      </c>
      <c r="F391" s="1195">
        <f t="shared" ref="F391:F392" si="83">+E391/(1+D391)</f>
        <v>0.22665503170837228</v>
      </c>
      <c r="G391" s="1195">
        <f>convexite_titre($AF$1,AA391,AB391,M391,K391,W391,V391,P391,Q391,N391,D391)</f>
        <v>0.27197207681677016</v>
      </c>
      <c r="H391" s="1196">
        <f>+ROUND(coupon_courru($AF$1,AA391,AB391,M391,K391,W391,P391,Q391,N391,V391,"V"),4)</f>
        <v>53.083300000000001</v>
      </c>
      <c r="I391" s="1199">
        <f>+IF(Z391=1,B391,D391*100)</f>
        <v>2.7449999999999997</v>
      </c>
      <c r="J391" s="1193" t="s">
        <v>3193</v>
      </c>
      <c r="K391" s="1193">
        <v>100000</v>
      </c>
      <c r="L391" s="1193"/>
      <c r="M391" s="1197">
        <v>2.7300000000000001E-2</v>
      </c>
      <c r="N391" s="1193">
        <v>13</v>
      </c>
      <c r="O391" s="1200" t="s">
        <v>369</v>
      </c>
      <c r="P391" s="1200" t="s">
        <v>1525</v>
      </c>
      <c r="Q391" s="1200" t="s">
        <v>1014</v>
      </c>
      <c r="R391" s="1287">
        <v>4.4999999999999997E-3</v>
      </c>
      <c r="S391" s="1229" cm="1">
        <f t="array" ref="S391">IF(C391&gt;'Courbe des taux'!$D$50,ROUND( TREND('Courbe des taux'!$E$49:$E$50,'Courbe des taux'!$D$49:$D$50,Lignes_détenues!C391),5),ROUND(IF(C391&gt;365,interpoler(_mat2,taux2,C391),interpoler(_mat1,taux1,C391)),5))</f>
        <v>2.2950000000000002E-2</v>
      </c>
      <c r="T391" s="1201">
        <f t="shared" ref="T391:T392" si="84">S391</f>
        <v>2.2950000000000002E-2</v>
      </c>
      <c r="U391" s="1201">
        <f>ROUND(IF(D391*366&gt;366,interpoler(_mat2,taux2,D391*366),interpoler(_mat1,taux1,D391*366)),5)</f>
        <v>2.2700000000000001E-2</v>
      </c>
      <c r="V391" s="1202" t="str">
        <f>+IF((AB391-$AF$1)&lt;=366,"M","A")</f>
        <v>M</v>
      </c>
      <c r="W391" s="1202" t="s">
        <v>287</v>
      </c>
      <c r="X391" s="1212">
        <f>+prix_atp(AF$1,AA391,Z391,AB391,M391,K391,W391,V391,P391,Q391,N391,D391,Y391)</f>
        <v>100049.2259542838</v>
      </c>
      <c r="Y391" s="1202">
        <v>1</v>
      </c>
      <c r="Z391" s="35">
        <v>45827</v>
      </c>
      <c r="AA391" s="1198">
        <v>46100</v>
      </c>
      <c r="AB391" s="1198">
        <v>46192</v>
      </c>
      <c r="AC391" s="35"/>
      <c r="AD391" s="2"/>
      <c r="AE391" s="2">
        <f>K391*M391*(AB391-AA391)/360</f>
        <v>697.66666666666663</v>
      </c>
    </row>
    <row r="392" spans="1:31" s="342" customFormat="1" ht="15" hidden="1" x14ac:dyDescent="0.25">
      <c r="A392" s="1336">
        <v>9689</v>
      </c>
      <c r="B392" s="1209">
        <f t="shared" si="81"/>
        <v>100051.14036061926</v>
      </c>
      <c r="C392" s="1337">
        <f>(AB392-$AF$1)</f>
        <v>85</v>
      </c>
      <c r="D392" s="1338">
        <f t="shared" si="82"/>
        <v>2.845E-2</v>
      </c>
      <c r="E392" s="1339">
        <f>duration_titre($AF$1,AA392,AB392,M392,K392,W392,V392,P392,Q392,N392,D392)</f>
        <v>0.23287671232876711</v>
      </c>
      <c r="F392" s="1339">
        <f t="shared" si="83"/>
        <v>0.22643464663208429</v>
      </c>
      <c r="G392" s="1339">
        <f>convexite_titre($AF$1,AA392,AB392,M392,K392,W392,V392,P392,Q392,N392,D392)</f>
        <v>0.271443436916807</v>
      </c>
      <c r="H392" s="1340">
        <f>+ROUND(coupon_courru($AF$1,AA392,AB392,M392,K392,W392,P392,Q392,N392,V392,"V"),4)</f>
        <v>55.027799999999999</v>
      </c>
      <c r="I392" s="1341">
        <f>+IF(Z392=1,B392,D392*100)</f>
        <v>2.8449999999999998</v>
      </c>
      <c r="J392" s="1337" t="s">
        <v>3192</v>
      </c>
      <c r="K392" s="1337">
        <v>100000</v>
      </c>
      <c r="L392" s="1337"/>
      <c r="M392" s="1342">
        <v>2.8299999999999999E-2</v>
      </c>
      <c r="N392" s="1337">
        <v>13</v>
      </c>
      <c r="O392" s="1344" t="s">
        <v>369</v>
      </c>
      <c r="P392" s="1344" t="s">
        <v>1525</v>
      </c>
      <c r="Q392" s="1344" t="s">
        <v>1014</v>
      </c>
      <c r="R392" s="1345">
        <v>5.4999999999999997E-3</v>
      </c>
      <c r="S392" s="1346" cm="1">
        <f t="array" ref="S392">IF(C392&gt;'Courbe des taux'!$D$50,ROUND( TREND('Courbe des taux'!$E$49:$E$50,'Courbe des taux'!$D$49:$D$50,Lignes_détenues!C392),5),ROUND(IF(C392&gt;365,interpoler(_mat2,taux2,C392),interpoler(_mat1,taux1,C392)),5))</f>
        <v>2.2950000000000002E-2</v>
      </c>
      <c r="T392" s="1346">
        <f t="shared" si="84"/>
        <v>2.2950000000000002E-2</v>
      </c>
      <c r="U392" s="1346">
        <f>ROUND(IF(D392*366&gt;366,interpoler(_mat2,taux2,D392*366),interpoler(_mat1,taux1,D392*366)),5)</f>
        <v>2.2700000000000001E-2</v>
      </c>
      <c r="V392" s="1347" t="str">
        <f>+IF((AB392-$AF$1)&lt;=366,"M","A")</f>
        <v>M</v>
      </c>
      <c r="W392" s="1347" t="s">
        <v>287</v>
      </c>
      <c r="X392" s="1348">
        <f>+prix_titre(AF$1,AA392,AB392,M392,K392,W392,V392,P392,Q392,N392,D392,Y392)</f>
        <v>100051.14036061926</v>
      </c>
      <c r="Y392" s="1347">
        <v>1</v>
      </c>
      <c r="Z392" s="1349"/>
      <c r="AA392" s="1343">
        <v>46100</v>
      </c>
      <c r="AB392" s="1343">
        <v>46192</v>
      </c>
      <c r="AC392" s="35"/>
      <c r="AE392" s="342">
        <f>K391*M391*(AB391-AA391)/360</f>
        <v>697.66666666666663</v>
      </c>
    </row>
    <row r="393" spans="1:31" ht="15" hidden="1" x14ac:dyDescent="0.25">
      <c r="A393" s="1191">
        <v>9692</v>
      </c>
      <c r="B393" s="1192">
        <f t="shared" si="81"/>
        <v>101539.93145231719</v>
      </c>
      <c r="C393" s="1193">
        <f>(AB393-$AF$1)</f>
        <v>454</v>
      </c>
      <c r="D393" s="1194">
        <f t="shared" ref="D393" si="85">ROUND(T393+R393,5)</f>
        <v>2.5739999999999999E-2</v>
      </c>
      <c r="E393" s="1195">
        <f>duration_titre($AF$1,AA393,AB393,M393,K393,W393,V393,P393,Q393,N393,D393)</f>
        <v>1.2206392374739021</v>
      </c>
      <c r="F393" s="1195">
        <f t="shared" ref="F393" si="86">+E393/(1+D393)</f>
        <v>1.1900084207244546</v>
      </c>
      <c r="G393" s="1195">
        <f>convexite_titre($AF$1,AA393,AB393,M393,K393,W393,V393,P393,Q393,N393,D393)</f>
        <v>2.5978016940165438</v>
      </c>
      <c r="H393" s="1196">
        <f>+ROUND(coupon_courru($AF$1,AA393,AB393,M393,K393,W393,P393,Q393,N393,V393,"V"),4)</f>
        <v>1792.1096</v>
      </c>
      <c r="I393" s="1199">
        <f>+IF(Z393=1,B393,D393*100)</f>
        <v>2.5739999999999998</v>
      </c>
      <c r="J393" s="1193" t="s">
        <v>3194</v>
      </c>
      <c r="K393" s="1193">
        <v>100000</v>
      </c>
      <c r="L393" s="1193"/>
      <c r="M393" s="1197">
        <v>2.3699999999999999E-2</v>
      </c>
      <c r="N393" s="1193">
        <v>2</v>
      </c>
      <c r="O393" s="1200" t="s">
        <v>1716</v>
      </c>
      <c r="P393" s="1200" t="s">
        <v>1716</v>
      </c>
      <c r="Q393" s="1200" t="s">
        <v>1014</v>
      </c>
      <c r="R393" s="1287">
        <v>2.2000000000000001E-4</v>
      </c>
      <c r="S393" s="1229" cm="1">
        <f t="array" ref="S393">IF(C393&gt;'Courbe des taux'!$D$50,ROUND( TREND('Courbe des taux'!$E$49:$E$50,'Courbe des taux'!$D$49:$D$50,Lignes_détenues!C393),5),ROUND(IF(C393&gt;365,interpoler(_mat2,taux2,C393),interpoler(_mat1,taux1,C393)),5))</f>
        <v>2.5520000000000001E-2</v>
      </c>
      <c r="T393" s="1201">
        <f t="shared" ref="T393" si="87">S393</f>
        <v>2.5520000000000001E-2</v>
      </c>
      <c r="U393" s="1201">
        <f>ROUND(IF(D393*366&gt;366,interpoler(_mat2,taux2,D393*366),interpoler(_mat1,taux1,D393*366)),5)</f>
        <v>2.2700000000000001E-2</v>
      </c>
      <c r="V393" s="1202" t="str">
        <f>+IF((AB393-$AF$1)&lt;=366,"M","A")</f>
        <v>A</v>
      </c>
      <c r="W393" s="1202" t="s">
        <v>287</v>
      </c>
      <c r="X393" s="1212">
        <f>+prix_titre(AF$1,AA393,AB393,M393,K393,W393,V393,P393,Q393,N393,D393,Y393)</f>
        <v>101539.93145231719</v>
      </c>
      <c r="Y393" s="1202">
        <v>1</v>
      </c>
      <c r="Z393" s="35"/>
      <c r="AA393" s="1198">
        <v>45831</v>
      </c>
      <c r="AB393" s="1198">
        <v>46561</v>
      </c>
      <c r="AC393" s="35"/>
      <c r="AD393" s="2"/>
    </row>
    <row r="394" spans="1:31" ht="15" hidden="1" x14ac:dyDescent="0.25">
      <c r="A394" s="1191">
        <v>9691</v>
      </c>
      <c r="B394" s="1192">
        <f t="shared" si="81"/>
        <v>98294.433291818379</v>
      </c>
      <c r="C394" s="1193">
        <f>(AB394-$AF$1)</f>
        <v>3377</v>
      </c>
      <c r="D394" s="1194">
        <f t="shared" ref="D394" si="88">ROUND(T394+R394,5)</f>
        <v>3.9809999999999998E-2</v>
      </c>
      <c r="E394" s="1195">
        <f>duration_titre($AF$1,AA394,AB394,M394,K394,W394,V394,P394,Q394,N394,D394)</f>
        <v>7.8486779247984595</v>
      </c>
      <c r="F394" s="1195">
        <f t="shared" ref="F394" si="89">+E394/(1+D394)</f>
        <v>7.5481846922019029</v>
      </c>
      <c r="G394" s="1195">
        <f>convexite_titre($AF$1,AA394,AB394,M394,K394,W394,V394,P394,Q394,N394,D394)</f>
        <v>70.879842927468502</v>
      </c>
      <c r="H394" s="1196">
        <f>+ROUND(coupon_courru($AF$1,AA394,AB394,M394,K394,W394,P394,Q394,N394,V394,"V"),4)</f>
        <v>2576.7123000000001</v>
      </c>
      <c r="I394" s="1199">
        <f>+IF(Z394=1,B394,D394*100)</f>
        <v>3.9809999999999999</v>
      </c>
      <c r="J394" s="1193" t="s">
        <v>3195</v>
      </c>
      <c r="K394" s="1193">
        <v>100000</v>
      </c>
      <c r="L394" s="1193"/>
      <c r="M394" s="1197">
        <v>3.4200000000000001E-2</v>
      </c>
      <c r="N394" s="1193">
        <v>10</v>
      </c>
      <c r="O394" s="1200" t="s">
        <v>1716</v>
      </c>
      <c r="P394" s="1200" t="s">
        <v>1716</v>
      </c>
      <c r="Q394" s="1200" t="s">
        <v>1014</v>
      </c>
      <c r="R394" s="1287">
        <v>7.0000000000000001E-3</v>
      </c>
      <c r="S394" s="1229" cm="1">
        <f t="array" ref="S394">IF(C394&gt;'Courbe des taux'!$D$50,ROUND( TREND('Courbe des taux'!$E$49:$E$50,'Courbe des taux'!$D$49:$D$50,Lignes_détenues!C394),5),ROUND(IF(C394&gt;365,interpoler(_mat2,taux2,C394),interpoler(_mat1,taux1,C394)),5))</f>
        <v>3.2809999999999999E-2</v>
      </c>
      <c r="T394" s="1201">
        <f t="shared" ref="T394" si="90">S394</f>
        <v>3.2809999999999999E-2</v>
      </c>
      <c r="U394" s="1201">
        <f>ROUND(IF(D394*366&gt;366,interpoler(_mat2,taux2,D394*366),interpoler(_mat1,taux1,D394*366)),5)</f>
        <v>2.2700000000000001E-2</v>
      </c>
      <c r="V394" s="1202" t="str">
        <f>+IF((AB394-$AF$1)&lt;=366,"M","A")</f>
        <v>A</v>
      </c>
      <c r="W394" s="1202" t="s">
        <v>287</v>
      </c>
      <c r="X394" s="1212">
        <f>+prix_titre(AF$1,AA394,AB394,M394,K394,W394,V394,P394,Q394,N394,D394,Y394)</f>
        <v>98294.433291818379</v>
      </c>
      <c r="Y394" s="1202">
        <v>1</v>
      </c>
      <c r="Z394" s="35"/>
      <c r="AA394" s="1198">
        <v>45832</v>
      </c>
      <c r="AB394" s="1198">
        <v>49484</v>
      </c>
      <c r="AC394" s="35"/>
      <c r="AD394" s="2"/>
    </row>
    <row r="395" spans="1:31" ht="15" hidden="1" x14ac:dyDescent="0.25">
      <c r="A395" s="1191">
        <v>9697</v>
      </c>
      <c r="B395" s="1192">
        <f t="shared" si="81"/>
        <v>103848.3216</v>
      </c>
      <c r="C395" s="1193">
        <f>(AB395-$AF$1)</f>
        <v>90</v>
      </c>
      <c r="D395" s="1194">
        <f t="shared" ref="D395" si="91">ROUND(T395+R395,5)</f>
        <v>2.298E-2</v>
      </c>
      <c r="E395" s="1195">
        <f>duration_titre($AF$1,AA395,AB395,M395,K395,W395,V395,P395,Q395,N395,D395)</f>
        <v>0.24657534246575341</v>
      </c>
      <c r="F395" s="1195">
        <f t="shared" ref="F395" si="92">+E395/(1+D395)</f>
        <v>0.24103632765621363</v>
      </c>
      <c r="G395" s="1195">
        <f>convexite_titre($AF$1,AA395,AB395,M395,K395,W395,V395,P395,Q395,N395,D395)</f>
        <v>0.29372025131941198</v>
      </c>
      <c r="H395" s="1196">
        <f>+ROUND(coupon_courru($AF$1,AA395,AB395,M395,K395,W395,P395,Q395,N395,V395,"V"),4)</f>
        <v>3842.4657999999999</v>
      </c>
      <c r="I395" s="1199">
        <f>+IF(Z395=1,B395,D395*100)</f>
        <v>2.298</v>
      </c>
      <c r="J395" s="1193" t="s">
        <v>3196</v>
      </c>
      <c r="K395" s="1193">
        <v>100000</v>
      </c>
      <c r="L395" s="1193"/>
      <c r="M395" s="1197">
        <v>5.0999999999999997E-2</v>
      </c>
      <c r="N395" s="1193">
        <v>5</v>
      </c>
      <c r="O395" s="1200" t="s">
        <v>1716</v>
      </c>
      <c r="P395" s="1200" t="s">
        <v>1716</v>
      </c>
      <c r="Q395" s="1200" t="s">
        <v>1014</v>
      </c>
      <c r="R395" s="1287">
        <v>0</v>
      </c>
      <c r="S395" s="1229" cm="1">
        <f t="array" ref="S395">IF(C395&gt;'Courbe des taux'!$D$50,ROUND( TREND('Courbe des taux'!$E$49:$E$50,'Courbe des taux'!$D$49:$D$50,Lignes_détenues!C395),5),ROUND(IF(C395&gt;365,interpoler(_mat2,taux2,C395),interpoler(_mat1,taux1,C395)),5))</f>
        <v>2.298E-2</v>
      </c>
      <c r="T395" s="1201">
        <f t="shared" ref="T395" si="93">S395</f>
        <v>2.298E-2</v>
      </c>
      <c r="U395" s="1201">
        <f>ROUND(IF(D395*366&gt;366,interpoler(_mat2,taux2,D395*366),interpoler(_mat1,taux1,D395*366)),5)</f>
        <v>2.2700000000000001E-2</v>
      </c>
      <c r="V395" s="1202" t="str">
        <f>+IF((AB395-$AF$1)&lt;=366,"M","A")</f>
        <v>M</v>
      </c>
      <c r="W395" s="1202" t="s">
        <v>287</v>
      </c>
      <c r="X395" s="1212">
        <f>Ammortissable!C913</f>
        <v>103848.3216</v>
      </c>
      <c r="Y395" s="1202">
        <v>1</v>
      </c>
      <c r="Z395" s="35"/>
      <c r="AA395" s="1198">
        <v>45832</v>
      </c>
      <c r="AB395" s="1198">
        <v>46197</v>
      </c>
      <c r="AC395" s="35"/>
      <c r="AD395" s="2"/>
    </row>
    <row r="396" spans="1:31" ht="15" hidden="1" x14ac:dyDescent="0.25">
      <c r="A396" s="1191">
        <v>9700</v>
      </c>
      <c r="B396" s="1192">
        <f t="shared" ref="B396" si="94">X396</f>
        <v>101270.58641021856</v>
      </c>
      <c r="C396" s="1193">
        <f>(AB396-$AF$1)</f>
        <v>1553</v>
      </c>
      <c r="D396" s="1194">
        <f t="shared" ref="D396" si="95">ROUND(T396+R396,5)</f>
        <v>5.1999999999999998E-2</v>
      </c>
      <c r="E396" s="1195">
        <f>duration_titre($AF$1,AA396,AB396,M396,K396,W396,V396,P396,Q396,N396,D396)</f>
        <v>3.8258235317057085</v>
      </c>
      <c r="F396" s="1195">
        <f t="shared" ref="F396" si="96">+E396/(1+D396)</f>
        <v>3.6367143837506735</v>
      </c>
      <c r="G396" s="1195">
        <f>convexite_titre($AF$1,AA396,AB396,M396,K396,W396,V396,P396,Q396,N396,D396)</f>
        <v>17.699434275888663</v>
      </c>
      <c r="H396" s="1196">
        <f>+ROUND(coupon_courru($AF$1,AA396,AB396,M396,K396,W396,P396,Q396,N396,V396,"V"),4)</f>
        <v>3455.5068000000001</v>
      </c>
      <c r="I396" s="1199">
        <f>+IF(Z396=1,B396,D396*100)</f>
        <v>5.2</v>
      </c>
      <c r="J396" s="1193" t="s">
        <v>3197</v>
      </c>
      <c r="K396" s="1193">
        <v>100000</v>
      </c>
      <c r="L396" s="1193"/>
      <c r="M396" s="1197">
        <v>4.6199999999999998E-2</v>
      </c>
      <c r="N396" s="1193">
        <v>5</v>
      </c>
      <c r="O396" s="1200" t="s">
        <v>1716</v>
      </c>
      <c r="P396" s="1200" t="s">
        <v>1716</v>
      </c>
      <c r="Q396" s="1200" t="s">
        <v>1014</v>
      </c>
      <c r="R396" s="1287">
        <v>2.1999999999999999E-2</v>
      </c>
      <c r="S396" s="1229" cm="1">
        <f t="array" ref="S396">IF(C396&gt;'Courbe des taux'!$D$50,ROUND( TREND('Courbe des taux'!$E$49:$E$50,'Courbe des taux'!$D$49:$D$50,Lignes_détenues!C396),5),ROUND(IF(C396&gt;365,interpoler(_mat2,taux2,C396),interpoler(_mat1,taux1,C396)),5))</f>
        <v>0.03</v>
      </c>
      <c r="T396" s="1201">
        <f t="shared" ref="T396" si="97">S396</f>
        <v>0.03</v>
      </c>
      <c r="U396" s="1201">
        <f>ROUND(IF(D396*366&gt;366,interpoler(_mat2,taux2,D396*366),interpoler(_mat1,taux1,D396*366)),5)</f>
        <v>2.2700000000000001E-2</v>
      </c>
      <c r="V396" s="1202" t="str">
        <f>+IF((AB396-$AF$1)&lt;=366,"M","A")</f>
        <v>A</v>
      </c>
      <c r="W396" s="1202" t="s">
        <v>287</v>
      </c>
      <c r="X396" s="1212">
        <f>+prix_titre(AF$1,AA396,AB396,M396,K396,W396,V396,P396,Q396,N396,D396,Y396)</f>
        <v>101270.58641021856</v>
      </c>
      <c r="Y396" s="1202">
        <v>1</v>
      </c>
      <c r="Z396" s="35"/>
      <c r="AA396" s="1198">
        <v>45834</v>
      </c>
      <c r="AB396" s="1198">
        <v>47660</v>
      </c>
      <c r="AC396" s="35"/>
      <c r="AD396" s="2"/>
    </row>
    <row r="397" spans="1:31" ht="15" hidden="1" x14ac:dyDescent="0.25">
      <c r="A397" s="1191">
        <v>9708</v>
      </c>
      <c r="B397" s="1192">
        <f t="shared" ref="B397" si="98">X397</f>
        <v>102018.9615</v>
      </c>
      <c r="C397" s="1193">
        <f>(AB397-$AF$1)</f>
        <v>2288</v>
      </c>
      <c r="D397" s="1194">
        <f t="shared" ref="D397" si="99">ROUND(T397+R397,5)</f>
        <v>3.5880000000000002E-2</v>
      </c>
      <c r="E397" s="1195">
        <f>duration_titre($AF$1,AA397,AB397,M397,K397,W397,V397,P397,Q397,N397,D397)</f>
        <v>5.7164420889258603</v>
      </c>
      <c r="F397" s="1195">
        <f t="shared" ref="F397" si="100">+E397/(1+D397)</f>
        <v>5.5184404457329617</v>
      </c>
      <c r="G397" s="1195">
        <f>convexite_titre($AF$1,AA397,AB397,M397,K397,W397,V397,P397,Q397,N397,D397)</f>
        <v>37.76756127271026</v>
      </c>
      <c r="H397" s="1196">
        <f>+ROUND(coupon_courru($AF$1,AA397,AB397,M397,K397,W397,P397,Q397,N397,V397,"V"),4)</f>
        <v>2011.9726000000001</v>
      </c>
      <c r="I397" s="1199">
        <f>+IF(Z397=1,B397,D397*100)</f>
        <v>3.5880000000000001</v>
      </c>
      <c r="J397" s="1193" t="s">
        <v>3198</v>
      </c>
      <c r="K397" s="1193">
        <v>100000</v>
      </c>
      <c r="L397" s="1193"/>
      <c r="M397" s="1197">
        <v>2.7300000000000001E-2</v>
      </c>
      <c r="N397" s="1193">
        <v>2</v>
      </c>
      <c r="O397" s="1200" t="s">
        <v>1716</v>
      </c>
      <c r="P397" s="1200" t="s">
        <v>1716</v>
      </c>
      <c r="Q397" s="1200" t="s">
        <v>1014</v>
      </c>
      <c r="R397" s="1287">
        <v>4.4999999999999997E-3</v>
      </c>
      <c r="S397" s="1229" cm="1">
        <f t="array" ref="S397">IF(C397&gt;'Courbe des taux'!$D$50,ROUND( TREND('Courbe des taux'!$E$49:$E$50,'Courbe des taux'!$D$49:$D$50,Lignes_détenues!C397),5),ROUND(IF(C397&gt;365,interpoler(_mat2,taux2,C397),interpoler(_mat1,taux1,C397)),5))</f>
        <v>3.1379999999999998E-2</v>
      </c>
      <c r="T397" s="1201">
        <f t="shared" ref="T397" si="101">S397</f>
        <v>3.1379999999999998E-2</v>
      </c>
      <c r="U397" s="1201">
        <f>ROUND(IF(D397*366&gt;366,interpoler(_mat2,taux2,D397*366),interpoler(_mat1,taux1,D397*366)),5)</f>
        <v>2.2700000000000001E-2</v>
      </c>
      <c r="V397" s="1202" t="str">
        <f>+IF((AB397-$AF$1)&lt;=366,"M","A")</f>
        <v>A</v>
      </c>
      <c r="W397" s="1202" t="s">
        <v>287</v>
      </c>
      <c r="X397" s="1212">
        <f>Ammortissable!C933</f>
        <v>102018.9615</v>
      </c>
      <c r="Y397" s="1202">
        <v>1</v>
      </c>
      <c r="Z397" s="35"/>
      <c r="AA397" s="1198">
        <v>45838</v>
      </c>
      <c r="AB397" s="1198">
        <v>48395</v>
      </c>
      <c r="AC397" s="35"/>
      <c r="AD397" s="2"/>
    </row>
    <row r="398" spans="1:31" ht="15" hidden="1" x14ac:dyDescent="0.25">
      <c r="A398" s="1191">
        <v>9702</v>
      </c>
      <c r="B398" s="1192">
        <f t="shared" ref="B398" si="102">X398</f>
        <v>102079.07743999999</v>
      </c>
      <c r="C398" s="1193">
        <f>(AB398-$AF$1)</f>
        <v>96</v>
      </c>
      <c r="D398" s="1194">
        <f t="shared" ref="D398" si="103">ROUND(T398+R398,5)</f>
        <v>2.903E-2</v>
      </c>
      <c r="E398" s="1195">
        <f>duration_titre($AF$1,AA398,AB398,M398,K398,W398,V398,P398,Q398,N398,D398)</f>
        <v>0.26301369863013696</v>
      </c>
      <c r="F398" s="1195">
        <f t="shared" ref="F398" si="104">+E398/(1+D398)</f>
        <v>0.25559381031664474</v>
      </c>
      <c r="G398" s="1195">
        <f>convexite_titre($AF$1,AA398,AB398,M398,K398,W398,V398,P398,Q398,N398,D398)</f>
        <v>0.31371144059453571</v>
      </c>
      <c r="H398" s="1196">
        <f>+ROUND(coupon_courru($AF$1,AA398,AB398,M398,K398,W398,P398,Q398,N398,V398,"V"),4)</f>
        <v>2114.6388999999999</v>
      </c>
      <c r="I398" s="1199">
        <f>+IF(Z398=1,B398,D398*100)</f>
        <v>2.903</v>
      </c>
      <c r="J398" s="1193" t="s">
        <v>3200</v>
      </c>
      <c r="K398" s="1193">
        <v>100000</v>
      </c>
      <c r="L398" s="1193"/>
      <c r="M398" s="1197">
        <v>2.8299999999999999E-2</v>
      </c>
      <c r="N398" s="1193">
        <v>52</v>
      </c>
      <c r="O398" s="1200" t="s">
        <v>369</v>
      </c>
      <c r="P398" s="1200" t="s">
        <v>1716</v>
      </c>
      <c r="Q398" s="1200" t="s">
        <v>1014</v>
      </c>
      <c r="R398" s="1287">
        <v>6.0000000000000001E-3</v>
      </c>
      <c r="S398" s="1229" cm="1">
        <f t="array" ref="S398">IF(C398&gt;'Courbe des taux'!$D$50,ROUND( TREND('Courbe des taux'!$E$49:$E$50,'Courbe des taux'!$D$49:$D$50,Lignes_détenues!C398),5),ROUND(IF(C398&gt;365,interpoler(_mat2,taux2,C398),interpoler(_mat1,taux1,C398)),5))</f>
        <v>2.3029999999999998E-2</v>
      </c>
      <c r="T398" s="1201">
        <f t="shared" ref="T398" si="105">S398</f>
        <v>2.3029999999999998E-2</v>
      </c>
      <c r="U398" s="1201">
        <f>ROUND(IF(D398*366&gt;366,interpoler(_mat2,taux2,D398*366),interpoler(_mat1,taux1,D398*366)),5)</f>
        <v>2.2700000000000001E-2</v>
      </c>
      <c r="V398" s="1202" t="str">
        <f>+IF((AB398-$AF$1)&lt;=366,"M","A")</f>
        <v>M</v>
      </c>
      <c r="W398" s="1202" t="s">
        <v>287</v>
      </c>
      <c r="X398" s="1212">
        <f>Ammortissable!C973</f>
        <v>102079.07743999999</v>
      </c>
      <c r="Y398" s="1202">
        <v>1</v>
      </c>
      <c r="Z398" s="35"/>
      <c r="AA398" s="1198">
        <v>45838</v>
      </c>
      <c r="AB398" s="1198">
        <v>46203</v>
      </c>
      <c r="AC398" s="35"/>
      <c r="AD398" s="2"/>
    </row>
    <row r="399" spans="1:31" ht="15" hidden="1" x14ac:dyDescent="0.25">
      <c r="A399" s="1191">
        <v>9703</v>
      </c>
      <c r="B399" s="1192">
        <f t="shared" ref="B399" si="106">X399</f>
        <v>98971.472600000008</v>
      </c>
      <c r="C399" s="1193">
        <f>(AB399-$AF$1)</f>
        <v>5210</v>
      </c>
      <c r="D399" s="1194">
        <f t="shared" ref="D399" si="107">ROUND(T399+R399,5)</f>
        <v>4.1320000000000003E-2</v>
      </c>
      <c r="E399" s="1195">
        <f>duration_titre($AF$1,AA399,AB399,M399,K399,W399,V399,P399,Q399,N399,D399)</f>
        <v>11.063691108160917</v>
      </c>
      <c r="F399" s="1195">
        <f t="shared" ref="F399" si="108">+E399/(1+D399)</f>
        <v>10.624679357124531</v>
      </c>
      <c r="G399" s="1195">
        <f>convexite_titre($AF$1,AA399,AB399,M399,K399,W399,V399,P399,Q399,N399,D399)</f>
        <v>143.55398912076217</v>
      </c>
      <c r="H399" s="1196">
        <f>+ROUND(coupon_courru($AF$1,AA399,AB399,M399,K399,W399,P399,Q399,N399,V399,"V"),4)</f>
        <v>2572.0821999999998</v>
      </c>
      <c r="I399" s="1199">
        <f>+IF(Z399=1,B399,D399*100)</f>
        <v>4.1320000000000006</v>
      </c>
      <c r="J399" s="1193" t="s">
        <v>3204</v>
      </c>
      <c r="K399" s="1193">
        <v>100000</v>
      </c>
      <c r="L399" s="1193"/>
      <c r="M399" s="1197">
        <v>3.49E-2</v>
      </c>
      <c r="N399" s="1193">
        <v>15</v>
      </c>
      <c r="O399" s="1200" t="s">
        <v>1716</v>
      </c>
      <c r="P399" s="1200" t="s">
        <v>1716</v>
      </c>
      <c r="Q399" s="1200" t="s">
        <v>1014</v>
      </c>
      <c r="R399" s="1287">
        <v>6.0000000000000001E-3</v>
      </c>
      <c r="S399" s="1229" cm="1">
        <f t="array" ref="S399">IF(C399&gt;'Courbe des taux'!$D$50,ROUND( TREND('Courbe des taux'!$E$49:$E$50,'Courbe des taux'!$D$49:$D$50,Lignes_détenues!C399),5),ROUND(IF(C399&gt;365,interpoler(_mat2,taux2,C399),interpoler(_mat1,taux1,C399)),5))</f>
        <v>3.5319999999999997E-2</v>
      </c>
      <c r="T399" s="1201">
        <f t="shared" ref="T399" si="109">S399</f>
        <v>3.5319999999999997E-2</v>
      </c>
      <c r="U399" s="1201">
        <f>ROUND(IF(D399*366&gt;366,interpoler(_mat2,taux2,D399*366),interpoler(_mat1,taux1,D399*366)),5)</f>
        <v>2.2700000000000001E-2</v>
      </c>
      <c r="V399" s="1202" t="str">
        <f>+IF((AB399-$AF$1)&lt;=366,"M","A")</f>
        <v>A</v>
      </c>
      <c r="W399" s="1202" t="s">
        <v>287</v>
      </c>
      <c r="X399" s="1212">
        <f>Ammortissable!C952</f>
        <v>98971.472600000008</v>
      </c>
      <c r="Y399" s="1202">
        <v>1</v>
      </c>
      <c r="Z399" s="35"/>
      <c r="AA399" s="1198">
        <v>45838</v>
      </c>
      <c r="AB399" s="1198">
        <v>51317</v>
      </c>
      <c r="AC399" s="35"/>
      <c r="AD399" s="2"/>
    </row>
    <row r="400" spans="1:31" ht="15" hidden="1" x14ac:dyDescent="0.25">
      <c r="A400" s="1191">
        <v>9704</v>
      </c>
      <c r="B400" s="1192">
        <f t="shared" ref="B400" si="110">X400</f>
        <v>99971.194708869589</v>
      </c>
      <c r="C400" s="1193">
        <f>(AB400-$AF$1)</f>
        <v>2288</v>
      </c>
      <c r="D400" s="1194">
        <f t="shared" ref="D400" si="111">ROUND(T400+R400,5)</f>
        <v>3.8379999999999997E-2</v>
      </c>
      <c r="E400" s="1195">
        <f>duration_titre($AF$1,AA400,AB400,M400,K400,W400,V400,P400,Q400,N400,D400)</f>
        <v>5.6064575118301549</v>
      </c>
      <c r="F400" s="1195">
        <f t="shared" ref="F400" si="112">+E400/(1+D400)</f>
        <v>5.3992348772416214</v>
      </c>
      <c r="G400" s="1195">
        <f>convexite_titre($AF$1,AA400,AB400,M400,K400,W400,V400,P400,Q400,N400,D400)</f>
        <v>36.658568920998306</v>
      </c>
      <c r="H400" s="1196">
        <f>+ROUND(coupon_courru($AF$1,AA400,AB400,M400,K400,W400,P400,Q400,N400,V400,"V"),4)</f>
        <v>2491.0137</v>
      </c>
      <c r="I400" s="1199">
        <f>+IF(Z400=1,B400,D400*100)</f>
        <v>3.8379999999999996</v>
      </c>
      <c r="J400" s="1193" t="s">
        <v>3201</v>
      </c>
      <c r="K400" s="1193">
        <v>100000</v>
      </c>
      <c r="L400" s="1193"/>
      <c r="M400" s="1197">
        <v>3.3799999999999997E-2</v>
      </c>
      <c r="N400" s="1193">
        <v>7</v>
      </c>
      <c r="O400" s="1200" t="s">
        <v>1716</v>
      </c>
      <c r="P400" s="1200" t="s">
        <v>1716</v>
      </c>
      <c r="Q400" s="1200" t="s">
        <v>1014</v>
      </c>
      <c r="R400" s="1287">
        <v>7.0000000000000001E-3</v>
      </c>
      <c r="S400" s="1229" cm="1">
        <f t="array" ref="S400">IF(C400&gt;'Courbe des taux'!$D$50,ROUND( TREND('Courbe des taux'!$E$49:$E$50,'Courbe des taux'!$D$49:$D$50,Lignes_détenues!C400),5),ROUND(IF(C400&gt;365,interpoler(_mat2,taux2,C400),interpoler(_mat1,taux1,C400)),5))</f>
        <v>3.1379999999999998E-2</v>
      </c>
      <c r="T400" s="1201">
        <f t="shared" ref="T400" si="113">S400</f>
        <v>3.1379999999999998E-2</v>
      </c>
      <c r="U400" s="1201">
        <f>ROUND(IF(D400*366&gt;366,interpoler(_mat2,taux2,D400*366),interpoler(_mat1,taux1,D400*366)),5)</f>
        <v>2.2700000000000001E-2</v>
      </c>
      <c r="V400" s="1202" t="str">
        <f>+IF((AB400-$AF$1)&lt;=366,"M","A")</f>
        <v>A</v>
      </c>
      <c r="W400" s="1202" t="s">
        <v>287</v>
      </c>
      <c r="X400" s="1212">
        <f>+prix_titre(AF$1,AA400,AB400,M400,K400,W400,V400,P400,Q400,N400,D400,Y400)</f>
        <v>99971.194708869589</v>
      </c>
      <c r="Y400" s="1202">
        <v>1</v>
      </c>
      <c r="Z400" s="35"/>
      <c r="AA400" s="1198">
        <v>45838</v>
      </c>
      <c r="AB400" s="1198">
        <v>48395</v>
      </c>
      <c r="AC400" s="35"/>
      <c r="AD400" s="2"/>
    </row>
    <row r="401" spans="1:30" ht="15" hidden="1" x14ac:dyDescent="0.25">
      <c r="A401" s="1191">
        <v>9705</v>
      </c>
      <c r="B401" s="1192">
        <f t="shared" ref="B401" si="114">X401</f>
        <v>102129.38240765486</v>
      </c>
      <c r="C401" s="1193">
        <f>(AB401-$AF$1)</f>
        <v>96</v>
      </c>
      <c r="D401" s="1194">
        <f t="shared" ref="D401" si="115">ROUND(T401+R401,5)</f>
        <v>2.903E-2</v>
      </c>
      <c r="E401" s="1195">
        <f>duration_titre($AF$1,AA401,AB401,M401,K401,W401,V401,P401,Q401,N401,D401)</f>
        <v>0.26301369863013696</v>
      </c>
      <c r="F401" s="1195">
        <f t="shared" ref="F401" si="116">+E401/(1+D401)</f>
        <v>0.25559381031664474</v>
      </c>
      <c r="G401" s="1195">
        <f>convexite_titre($AF$1,AA401,AB401,M401,K401,W401,V401,P401,Q401,N401,D401)</f>
        <v>0.31371144059453571</v>
      </c>
      <c r="H401" s="1196">
        <f>+ROUND(coupon_courru($AF$1,AA401,AB401,M401,K401,W401,P401,Q401,N401,V401,"V"),4)</f>
        <v>2152</v>
      </c>
      <c r="I401" s="1199">
        <f>+IF(Z401=1,B401,D401*100)</f>
        <v>2.903</v>
      </c>
      <c r="J401" s="1193" t="s">
        <v>3202</v>
      </c>
      <c r="K401" s="1193">
        <v>100000</v>
      </c>
      <c r="L401" s="1193"/>
      <c r="M401" s="1197">
        <v>2.8799999999999999E-2</v>
      </c>
      <c r="N401" s="1193">
        <v>52</v>
      </c>
      <c r="O401" s="1200" t="s">
        <v>369</v>
      </c>
      <c r="P401" s="1200" t="s">
        <v>1716</v>
      </c>
      <c r="Q401" s="1200" t="s">
        <v>1014</v>
      </c>
      <c r="R401" s="1287">
        <v>6.0000000000000001E-3</v>
      </c>
      <c r="S401" s="1229" cm="1">
        <f t="array" ref="S401">IF(C401&gt;'Courbe des taux'!$D$50,ROUND( TREND('Courbe des taux'!$E$49:$E$50,'Courbe des taux'!$D$49:$D$50,Lignes_détenues!C401),5),ROUND(IF(C401&gt;365,interpoler(_mat2,taux2,C401),interpoler(_mat1,taux1,C401)),5))</f>
        <v>2.3029999999999998E-2</v>
      </c>
      <c r="T401" s="1201">
        <f t="shared" ref="T401" si="117">S401</f>
        <v>2.3029999999999998E-2</v>
      </c>
      <c r="U401" s="1201">
        <f>ROUND(IF(D401*366&gt;366,interpoler(_mat2,taux2,D401*366),interpoler(_mat1,taux1,D401*366)),5)</f>
        <v>2.2700000000000001E-2</v>
      </c>
      <c r="V401" s="1202" t="str">
        <f>+IF((AB401-$AF$1)&lt;=366,"M","A")</f>
        <v>M</v>
      </c>
      <c r="W401" s="1202" t="s">
        <v>287</v>
      </c>
      <c r="X401" s="1212">
        <f>+prix_titre(AF$1,AA401,AB401,M401,K401,W401,V401,P401,Q401,N401,D401,Y401)</f>
        <v>102129.38240765486</v>
      </c>
      <c r="Y401" s="1202">
        <v>1</v>
      </c>
      <c r="Z401" s="35"/>
      <c r="AA401" s="1198">
        <v>45838</v>
      </c>
      <c r="AB401" s="1198">
        <v>46203</v>
      </c>
      <c r="AC401" s="35"/>
      <c r="AD401" s="2"/>
    </row>
    <row r="402" spans="1:30" ht="15" hidden="1" x14ac:dyDescent="0.25">
      <c r="A402" s="1191">
        <v>9707</v>
      </c>
      <c r="B402" s="1192">
        <f t="shared" ref="B402:B403" si="118">X402</f>
        <v>100569.29400000001</v>
      </c>
      <c r="C402" s="1193">
        <f>(AB402-$AF$1)</f>
        <v>2288</v>
      </c>
      <c r="D402" s="1194">
        <f t="shared" ref="D402" si="119">ROUND(T402+R402,5)</f>
        <v>3.6380000000000003E-2</v>
      </c>
      <c r="E402" s="1195">
        <f>duration_titre($AF$1,AA402,AB402,M402,K402,W402,V402,P402,Q402,N402,D402)</f>
        <v>5.6598558782631132</v>
      </c>
      <c r="F402" s="1195">
        <f t="shared" ref="F402" si="120">+E402/(1+D402)</f>
        <v>5.4611782148083838</v>
      </c>
      <c r="G402" s="1195">
        <f>convexite_titre($AF$1,AA402,AB402,M402,K402,W402,V402,P402,Q402,N402,D402)</f>
        <v>37.251111910812938</v>
      </c>
      <c r="H402" s="1196">
        <f>+ROUND(coupon_courru($AF$1,AA402,AB402,M402,K402,W402,P402,Q402,N402,V402,"V"),4)</f>
        <v>2262.5479</v>
      </c>
      <c r="I402" s="1199">
        <f>+IF(Z402=1,B402,D402*100)</f>
        <v>3.6380000000000003</v>
      </c>
      <c r="J402" s="1193" t="s">
        <v>3203</v>
      </c>
      <c r="K402" s="1193">
        <v>100000</v>
      </c>
      <c r="L402" s="1193"/>
      <c r="M402" s="1197">
        <v>3.0700000000000002E-2</v>
      </c>
      <c r="N402" s="1193">
        <v>7</v>
      </c>
      <c r="O402" s="1200" t="s">
        <v>1716</v>
      </c>
      <c r="P402" s="1200" t="s">
        <v>1716</v>
      </c>
      <c r="Q402" s="1200" t="s">
        <v>1014</v>
      </c>
      <c r="R402" s="1287">
        <v>5.0000000000000001E-3</v>
      </c>
      <c r="S402" s="1229" cm="1">
        <f t="array" ref="S402">IF(C402&gt;'Courbe des taux'!$D$50,ROUND( TREND('Courbe des taux'!$E$49:$E$50,'Courbe des taux'!$D$49:$D$50,Lignes_détenues!C402),5),ROUND(IF(C402&gt;365,interpoler(_mat2,taux2,C402),interpoler(_mat1,taux1,C402)),5))</f>
        <v>3.1379999999999998E-2</v>
      </c>
      <c r="T402" s="1201">
        <f t="shared" ref="T402" si="121">S402</f>
        <v>3.1379999999999998E-2</v>
      </c>
      <c r="U402" s="1201">
        <f>ROUND(IF(D402*366&gt;366,interpoler(_mat2,taux2,D402*366),interpoler(_mat1,taux1,D402*366)),5)</f>
        <v>2.2700000000000001E-2</v>
      </c>
      <c r="V402" s="1202" t="str">
        <f>+IF((AB402-$AF$1)&lt;=366,"M","A")</f>
        <v>A</v>
      </c>
      <c r="W402" s="1202" t="s">
        <v>287</v>
      </c>
      <c r="X402" s="1212">
        <f>Ammortissable!C993</f>
        <v>100569.29400000001</v>
      </c>
      <c r="Y402" s="1202">
        <v>1</v>
      </c>
      <c r="Z402" s="35"/>
      <c r="AA402" s="1198">
        <v>45838</v>
      </c>
      <c r="AB402" s="1198">
        <v>48395</v>
      </c>
      <c r="AC402" s="35"/>
      <c r="AD402" s="2"/>
    </row>
    <row r="403" spans="1:30" ht="15" hidden="1" x14ac:dyDescent="0.25">
      <c r="A403" s="1191">
        <v>100997</v>
      </c>
      <c r="B403" s="1192">
        <f t="shared" si="118"/>
        <v>101723.70368379282</v>
      </c>
      <c r="C403" s="1193">
        <f>(AB403-$AF$1)</f>
        <v>462</v>
      </c>
      <c r="D403" s="1194">
        <f t="shared" ref="D403" si="122">ROUND(T403+R403,5)</f>
        <v>2.9049999999999999E-2</v>
      </c>
      <c r="E403" s="1195">
        <f>duration_titre($AF$1,AA403,AB403,M403,K403,W403,V403,P403,Q403,N403,D403)</f>
        <v>1.2394121635267639</v>
      </c>
      <c r="F403" s="1195">
        <f t="shared" ref="F403" si="123">+E403/(1+D403)</f>
        <v>1.2044236563109312</v>
      </c>
      <c r="G403" s="1195">
        <f>convexite_titre($AF$1,AA403,AB403,M403,K403,W403,V403,P403,Q403,N403,D403)</f>
        <v>2.6452790059081219</v>
      </c>
      <c r="H403" s="1196">
        <f>+ROUND(coupon_courru($AF$1,AA403,AB403,M403,K403,W403,P403,Q403,N403,V403,"V"),4)</f>
        <v>1982.4657999999999</v>
      </c>
      <c r="I403" s="1199">
        <f>+IF(Z403=1,B403,D403*100)</f>
        <v>2.9049999999999998</v>
      </c>
      <c r="J403" s="1193" t="s">
        <v>3208</v>
      </c>
      <c r="K403" s="1193">
        <v>100000</v>
      </c>
      <c r="L403" s="1193"/>
      <c r="M403" s="1197">
        <v>2.7E-2</v>
      </c>
      <c r="N403" s="1193">
        <v>2</v>
      </c>
      <c r="O403" s="1200" t="s">
        <v>1716</v>
      </c>
      <c r="P403" s="1200" t="s">
        <v>1716</v>
      </c>
      <c r="Q403" s="1200" t="s">
        <v>1014</v>
      </c>
      <c r="R403" s="1287">
        <v>3.5000000000000001E-3</v>
      </c>
      <c r="S403" s="1229" cm="1">
        <f t="array" ref="S403">IF(C403&gt;'Courbe des taux'!$D$50,ROUND( TREND('Courbe des taux'!$E$49:$E$50,'Courbe des taux'!$D$49:$D$50,Lignes_détenues!C403),5),ROUND(IF(C403&gt;365,interpoler(_mat2,taux2,C403),interpoler(_mat1,taux1,C403)),5))</f>
        <v>2.555E-2</v>
      </c>
      <c r="T403" s="1201">
        <f t="shared" ref="T403" si="124">S403</f>
        <v>2.555E-2</v>
      </c>
      <c r="U403" s="1201">
        <f>ROUND(IF(D403*366&gt;366,interpoler(_mat2,taux2,D403*366),interpoler(_mat1,taux1,D403*366)),5)</f>
        <v>2.2700000000000001E-2</v>
      </c>
      <c r="V403" s="1202" t="str">
        <f>+IF((AB403-$AF$1)&lt;=366,"M","A")</f>
        <v>A</v>
      </c>
      <c r="W403" s="1202" t="s">
        <v>287</v>
      </c>
      <c r="X403" s="1212">
        <f>+prix_titre(AF$1,AA403,AB403,M403,K403,W403,V403,P403,Q403,N403,D403,Y403)</f>
        <v>101723.70368379282</v>
      </c>
      <c r="Y403" s="1202">
        <v>1</v>
      </c>
      <c r="Z403" s="35"/>
      <c r="AA403" s="1198">
        <v>45839</v>
      </c>
      <c r="AB403" s="1198">
        <v>46569</v>
      </c>
      <c r="AC403" s="35"/>
      <c r="AD403" s="2"/>
    </row>
    <row r="404" spans="1:30" ht="15" hidden="1" x14ac:dyDescent="0.25">
      <c r="A404" s="1191">
        <v>100996</v>
      </c>
      <c r="B404" s="1192">
        <f t="shared" ref="B404:B405" si="125">X404</f>
        <v>101486.86660801398</v>
      </c>
      <c r="C404" s="1193">
        <f>(AB404-$AF$1)</f>
        <v>827</v>
      </c>
      <c r="D404" s="1194">
        <f t="shared" ref="D404" si="126">ROUND(T404+R404,5)</f>
        <v>3.1579999999999997E-2</v>
      </c>
      <c r="E404" s="1195">
        <f>duration_titre($AF$1,AA404,AB404,M404,K404,W404,V404,P404,Q404,N404,D404)</f>
        <v>2.1823064208701006</v>
      </c>
      <c r="F404" s="1195">
        <f t="shared" ref="F404" si="127">+E404/(1+D404)</f>
        <v>2.1154989635996246</v>
      </c>
      <c r="G404" s="1195">
        <f>convexite_titre($AF$1,AA404,AB404,M404,K404,W404,V404,P404,Q404,N404,D404)</f>
        <v>6.6509526050415451</v>
      </c>
      <c r="H404" s="1196">
        <f>+ROUND(coupon_courru($AF$1,AA404,AB404,M404,K404,W404,P404,Q404,N404,V404,"V"),4)</f>
        <v>2115.1507000000001</v>
      </c>
      <c r="I404" s="1199">
        <f>+IF(Z404=1,B404,D404*100)</f>
        <v>3.1579999999999995</v>
      </c>
      <c r="J404" s="1193" t="s">
        <v>1673</v>
      </c>
      <c r="K404" s="1193">
        <v>100000</v>
      </c>
      <c r="L404" s="1193"/>
      <c r="M404" s="1197">
        <v>2.87E-2</v>
      </c>
      <c r="N404" s="1193">
        <v>3</v>
      </c>
      <c r="O404" s="1200" t="s">
        <v>1716</v>
      </c>
      <c r="P404" s="1200" t="s">
        <v>1716</v>
      </c>
      <c r="Q404" s="1200" t="s">
        <v>1014</v>
      </c>
      <c r="R404" s="1287">
        <v>4.4999999999999997E-3</v>
      </c>
      <c r="S404" s="1229" cm="1">
        <f t="array" ref="S404">IF(C404&gt;'Courbe des taux'!$D$50,ROUND( TREND('Courbe des taux'!$E$49:$E$50,'Courbe des taux'!$D$49:$D$50,Lignes_détenues!C404),5),ROUND(IF(C404&gt;365,interpoler(_mat2,taux2,C404),interpoler(_mat1,taux1,C404)),5))</f>
        <v>2.708E-2</v>
      </c>
      <c r="T404" s="1201">
        <f t="shared" ref="T404" si="128">S404</f>
        <v>2.708E-2</v>
      </c>
      <c r="U404" s="1201">
        <f>ROUND(IF(D404*366&gt;366,interpoler(_mat2,taux2,D404*366),interpoler(_mat1,taux1,D404*366)),5)</f>
        <v>2.2700000000000001E-2</v>
      </c>
      <c r="V404" s="1202" t="str">
        <f>+IF((AB404-$AF$1)&lt;=366,"M","A")</f>
        <v>A</v>
      </c>
      <c r="W404" s="1202" t="s">
        <v>287</v>
      </c>
      <c r="X404" s="1212">
        <f>+prix_titre(AF$1,AA404,AB404,M404,K404,W404,V404,P404,Q404,N404,D404,Y404)</f>
        <v>101486.86660801398</v>
      </c>
      <c r="Y404" s="1202">
        <v>1</v>
      </c>
      <c r="Z404" s="35"/>
      <c r="AA404" s="1198">
        <v>45838</v>
      </c>
      <c r="AB404" s="1198">
        <v>46934</v>
      </c>
      <c r="AC404" s="35"/>
      <c r="AD404" s="2"/>
    </row>
    <row r="405" spans="1:30" ht="15" hidden="1" x14ac:dyDescent="0.25">
      <c r="A405" s="1191">
        <v>9714</v>
      </c>
      <c r="B405" s="1192">
        <f t="shared" si="125"/>
        <v>100556.91190000001</v>
      </c>
      <c r="C405" s="1193">
        <f>(AB405-$AF$1)</f>
        <v>2295</v>
      </c>
      <c r="D405" s="1194">
        <f t="shared" ref="D405" si="129">ROUND(T405+R405,5)</f>
        <v>3.8249999999999999E-2</v>
      </c>
      <c r="E405" s="1195">
        <f>duration_titre($AF$1,AA405,AB405,M405,K405,W405,V405,P405,Q405,N405,D405)</f>
        <v>5.6700272952288397</v>
      </c>
      <c r="F405" s="1195">
        <f t="shared" ref="F405" si="130">+E405/(1+D405)</f>
        <v>5.4611387384819077</v>
      </c>
      <c r="G405" s="1195">
        <f>convexite_titre($AF$1,AA405,AB405,M405,K405,W405,V405,P405,Q405,N405,D405)</f>
        <v>37.26225945216202</v>
      </c>
      <c r="H405" s="1196">
        <f>+ROUND(coupon_courru($AF$1,AA405,AB405,M405,K405,W405,P405,Q405,N405,V405,"V"),4)</f>
        <v>2225.2055</v>
      </c>
      <c r="I405" s="1199">
        <f>+IF(Z405=1,B405,D405*100)</f>
        <v>3.8249999999999997</v>
      </c>
      <c r="J405" s="1193" t="s">
        <v>3209</v>
      </c>
      <c r="K405" s="1193">
        <v>100000</v>
      </c>
      <c r="L405" s="1193"/>
      <c r="M405" s="1197">
        <v>3.1E-2</v>
      </c>
      <c r="N405" s="1193">
        <v>7</v>
      </c>
      <c r="O405" s="1200" t="s">
        <v>1716</v>
      </c>
      <c r="P405" s="1200" t="s">
        <v>1716</v>
      </c>
      <c r="Q405" s="1200" t="s">
        <v>1014</v>
      </c>
      <c r="R405" s="1287">
        <v>6.8599999999999998E-3</v>
      </c>
      <c r="S405" s="1229" cm="1">
        <f t="array" ref="S405">IF(C405&gt;'Courbe des taux'!$D$50,ROUND( TREND('Courbe des taux'!$E$49:$E$50,'Courbe des taux'!$D$49:$D$50,Lignes_détenues!C405),5),ROUND(IF(C405&gt;365,interpoler(_mat2,taux2,C405),interpoler(_mat1,taux1,C405)),5))</f>
        <v>3.1390000000000001E-2</v>
      </c>
      <c r="T405" s="1201">
        <f t="shared" ref="T405" si="131">S405</f>
        <v>3.1390000000000001E-2</v>
      </c>
      <c r="U405" s="1201">
        <f>ROUND(IF(D405*366&gt;366,interpoler(_mat2,taux2,D405*366),interpoler(_mat1,taux1,D405*366)),5)</f>
        <v>2.2700000000000001E-2</v>
      </c>
      <c r="V405" s="1202" t="str">
        <f>+IF((AB405-$AF$1)&lt;=366,"M","A")</f>
        <v>A</v>
      </c>
      <c r="W405" s="1202" t="s">
        <v>287</v>
      </c>
      <c r="X405" s="1212">
        <f>Ammortissable!C1012</f>
        <v>100556.91190000001</v>
      </c>
      <c r="Y405" s="1202">
        <v>1</v>
      </c>
      <c r="Z405" s="35"/>
      <c r="AA405" s="1198">
        <v>45845</v>
      </c>
      <c r="AB405" s="1198">
        <v>48402</v>
      </c>
      <c r="AC405" s="35"/>
      <c r="AD405" s="2"/>
    </row>
    <row r="406" spans="1:30" ht="15" hidden="1" x14ac:dyDescent="0.25">
      <c r="A406" s="1191">
        <v>201913</v>
      </c>
      <c r="B406" s="1192">
        <f t="shared" ref="B406" si="132">X406</f>
        <v>101087.83968711425</v>
      </c>
      <c r="C406" s="1193">
        <f>(AB406-$AF$1)</f>
        <v>543</v>
      </c>
      <c r="D406" s="1194">
        <f t="shared" ref="D406" si="133">ROUND(T406+R406,5)</f>
        <v>2.5899999999999999E-2</v>
      </c>
      <c r="E406" s="1195">
        <f>duration_titre($AF$1,AA406,AB406,M406,K406,W406,V406,P406,Q406,N406,D406)</f>
        <v>1.4660644431724723</v>
      </c>
      <c r="F406" s="1195">
        <f t="shared" ref="F406" si="134">+E406/(1+D406)</f>
        <v>1.4290519964640533</v>
      </c>
      <c r="G406" s="1195">
        <f>convexite_titre($AF$1,AA406,AB406,M406,K406,W406,V406,P406,Q406,N406,D406)</f>
        <v>3.4552495864944706</v>
      </c>
      <c r="H406" s="1196">
        <f>+ROUND(coupon_courru($AF$1,AA406,AB406,M406,K406,W406,P406,Q406,N406,V406,"V"),4)</f>
        <v>1127.1233</v>
      </c>
      <c r="I406" s="1199">
        <f>+IF(Z406=1,B406,D406*100)</f>
        <v>2.59</v>
      </c>
      <c r="J406" s="1193" t="s">
        <v>3213</v>
      </c>
      <c r="K406" s="1193">
        <v>100000</v>
      </c>
      <c r="L406" s="1193"/>
      <c r="M406" s="1197">
        <v>2.1999999999999999E-2</v>
      </c>
      <c r="N406" s="1193">
        <v>2</v>
      </c>
      <c r="O406" s="1200" t="s">
        <v>1716</v>
      </c>
      <c r="P406" s="1200" t="s">
        <v>1716</v>
      </c>
      <c r="Q406" s="1200" t="s">
        <v>1014</v>
      </c>
      <c r="R406" s="1287">
        <v>0</v>
      </c>
      <c r="S406" s="1229" cm="1">
        <f t="array" ref="S406">IF(C406&gt;'Courbe des taux'!$D$50,ROUND( TREND('Courbe des taux'!$E$49:$E$50,'Courbe des taux'!$D$49:$D$50,Lignes_détenues!C406),5),ROUND(IF(C406&gt;365,interpoler(_mat2,taux2,C406),interpoler(_mat1,taux1,C406)),5))</f>
        <v>2.5899999999999999E-2</v>
      </c>
      <c r="T406" s="1201">
        <f t="shared" ref="T406" si="135">S406</f>
        <v>2.5899999999999999E-2</v>
      </c>
      <c r="U406" s="1201">
        <f>ROUND(IF(D406*366&gt;366,interpoler(_mat2,taux2,D406*366),interpoler(_mat1,taux1,D406*366)),5)</f>
        <v>2.2700000000000001E-2</v>
      </c>
      <c r="V406" s="1202" t="str">
        <f>+IF((AB406-$AF$1)&lt;=366,"M","A")</f>
        <v>A</v>
      </c>
      <c r="W406" s="1202" t="s">
        <v>287</v>
      </c>
      <c r="X406" s="1212">
        <f>+prix_atp(AF$1,AA406,Z406,AB406,M406,K406,W406,V406,P406,Q406,N406,D406,Y406)</f>
        <v>101087.83968711425</v>
      </c>
      <c r="Y406" s="1202">
        <v>1</v>
      </c>
      <c r="Z406" s="35">
        <v>45920</v>
      </c>
      <c r="AA406" s="1198">
        <v>45831</v>
      </c>
      <c r="AB406" s="1198">
        <v>46650</v>
      </c>
      <c r="AC406" s="35"/>
      <c r="AD406" s="2"/>
    </row>
    <row r="407" spans="1:30" ht="15" hidden="1" x14ac:dyDescent="0.25">
      <c r="A407" s="1191">
        <v>201899</v>
      </c>
      <c r="B407" s="1192">
        <f t="shared" ref="B407:B409" si="136">X407</f>
        <v>0</v>
      </c>
      <c r="C407" s="1193">
        <f>(AB407-$AF$1)</f>
        <v>-198</v>
      </c>
      <c r="D407" s="1194">
        <f t="shared" ref="D407:D409" si="137">ROUND(T407+R407,5)</f>
        <v>2.2700000000000001E-2</v>
      </c>
      <c r="E407" s="1195">
        <f>duration_titre($AF$1,AA407,AB407,M407,K407,W407,V407,P407,Q407,N407,D407)</f>
        <v>0</v>
      </c>
      <c r="F407" s="1195">
        <f t="shared" ref="F407:F409" si="138">+E407/(1+D407)</f>
        <v>0</v>
      </c>
      <c r="G407" s="1195">
        <f>convexite_titre($AF$1,AA407,AB407,M407,K407,W407,V407,P407,Q407,N407,D407)</f>
        <v>0</v>
      </c>
      <c r="H407" s="1196">
        <f>+ROUND(coupon_courru($AF$1,AA407,AB407,M407,K407,W407,P407,Q407,N407,V407,"V"),4)</f>
        <v>1428.9444000000001</v>
      </c>
      <c r="I407" s="1199">
        <f>+IF(Z407=1,B407,D407*100)</f>
        <v>2.27</v>
      </c>
      <c r="J407" s="1193" t="s">
        <v>3212</v>
      </c>
      <c r="K407" s="1193">
        <v>100000</v>
      </c>
      <c r="L407" s="1193"/>
      <c r="M407" s="1197">
        <v>1.78E-2</v>
      </c>
      <c r="N407" s="1193">
        <v>13</v>
      </c>
      <c r="O407" s="1200" t="s">
        <v>369</v>
      </c>
      <c r="P407" s="1200" t="s">
        <v>1525</v>
      </c>
      <c r="Q407" s="1200" t="s">
        <v>1014</v>
      </c>
      <c r="R407" s="1287">
        <v>0</v>
      </c>
      <c r="S407" s="1229" cm="1">
        <f t="array" ref="S407">IF(C407&gt;'Courbe des taux'!$D$50,ROUND( TREND('Courbe des taux'!$E$49:$E$50,'Courbe des taux'!$D$49:$D$50,Lignes_détenues!C407),5),ROUND(IF(C407&gt;365,interpoler(_mat2,taux2,C407),interpoler(_mat1,taux1,C407)),5))</f>
        <v>2.2700000000000001E-2</v>
      </c>
      <c r="T407" s="1201">
        <f t="shared" ref="T407:T409" si="139">S407</f>
        <v>2.2700000000000001E-2</v>
      </c>
      <c r="U407" s="1201">
        <f>ROUND(IF(D407*366&gt;366,interpoler(_mat2,taux2,D407*366),interpoler(_mat1,taux1,D407*366)),5)</f>
        <v>2.2700000000000001E-2</v>
      </c>
      <c r="V407" s="1202" t="str">
        <f>+IF((AB407-$AF$1)&lt;=366,"M","A")</f>
        <v>M</v>
      </c>
      <c r="W407" s="1202" t="s">
        <v>287</v>
      </c>
      <c r="X407" s="1212">
        <f>+prix_atp(AF$1,AA407,Z407,AB407,M407,K407,W407,V407,P407,Q407,N407,D407,Y407)</f>
        <v>0</v>
      </c>
      <c r="Y407" s="1202">
        <v>1</v>
      </c>
      <c r="Z407" s="35">
        <v>45818</v>
      </c>
      <c r="AA407" s="1198">
        <v>45818</v>
      </c>
      <c r="AB407" s="1198">
        <v>45909</v>
      </c>
      <c r="AC407" s="35"/>
      <c r="AD407" s="2"/>
    </row>
    <row r="408" spans="1:30" ht="15" hidden="1" x14ac:dyDescent="0.25">
      <c r="A408" s="1191">
        <v>201900</v>
      </c>
      <c r="B408" s="1192">
        <f t="shared" si="136"/>
        <v>0</v>
      </c>
      <c r="C408" s="1193">
        <f>(AB408-$AF$1)</f>
        <v>-198</v>
      </c>
      <c r="D408" s="1194">
        <f t="shared" si="137"/>
        <v>2.2700000000000001E-2</v>
      </c>
      <c r="E408" s="1195">
        <f>duration_titre($AF$1,AA408,AB408,M408,K408,W408,V408,P408,Q408,N408,D408)</f>
        <v>0</v>
      </c>
      <c r="F408" s="1195">
        <f t="shared" si="138"/>
        <v>0</v>
      </c>
      <c r="G408" s="1195">
        <f>convexite_titre($AF$1,AA408,AB408,M408,K408,W408,V408,P408,Q408,N408,D408)</f>
        <v>0</v>
      </c>
      <c r="H408" s="1196">
        <f>+ROUND(coupon_courru($AF$1,AA408,AB408,M408,K408,W408,P408,Q408,N408,V408,"V"),4)</f>
        <v>1509.2221999999999</v>
      </c>
      <c r="I408" s="1199">
        <f>+IF(Z408=1,B408,D408*100)</f>
        <v>2.27</v>
      </c>
      <c r="J408" s="1193" t="s">
        <v>3211</v>
      </c>
      <c r="K408" s="1193">
        <v>100000</v>
      </c>
      <c r="L408" s="1193"/>
      <c r="M408" s="1197">
        <v>1.8800000000000001E-2</v>
      </c>
      <c r="N408" s="1193">
        <v>13</v>
      </c>
      <c r="O408" s="1200" t="s">
        <v>369</v>
      </c>
      <c r="P408" s="1200" t="s">
        <v>1525</v>
      </c>
      <c r="Q408" s="1200" t="s">
        <v>1014</v>
      </c>
      <c r="R408" s="1287">
        <v>0</v>
      </c>
      <c r="S408" s="1229" cm="1">
        <f t="array" ref="S408">IF(C408&gt;'Courbe des taux'!$D$50,ROUND( TREND('Courbe des taux'!$E$49:$E$50,'Courbe des taux'!$D$49:$D$50,Lignes_détenues!C408),5),ROUND(IF(C408&gt;365,interpoler(_mat2,taux2,C408),interpoler(_mat1,taux1,C408)),5))</f>
        <v>2.2700000000000001E-2</v>
      </c>
      <c r="T408" s="1201">
        <f t="shared" si="139"/>
        <v>2.2700000000000001E-2</v>
      </c>
      <c r="U408" s="1201">
        <f>ROUND(IF(D408*366&gt;366,interpoler(_mat2,taux2,D408*366),interpoler(_mat1,taux1,D408*366)),5)</f>
        <v>2.2700000000000001E-2</v>
      </c>
      <c r="V408" s="1202" t="str">
        <f>+IF((AB408-$AF$1)&lt;=366,"M","A")</f>
        <v>M</v>
      </c>
      <c r="W408" s="1202" t="s">
        <v>287</v>
      </c>
      <c r="X408" s="1212">
        <f>+prix_atp(AF$1,AA408,Z408,AB408,M408,K408,W408,V408,P408,Q408,N408,D408,Y408)</f>
        <v>0</v>
      </c>
      <c r="Y408" s="1202">
        <v>1</v>
      </c>
      <c r="Z408" s="35">
        <v>45818</v>
      </c>
      <c r="AA408" s="1198">
        <v>45818</v>
      </c>
      <c r="AB408" s="1198">
        <v>45909</v>
      </c>
      <c r="AC408" s="35"/>
      <c r="AD408" s="2"/>
    </row>
    <row r="409" spans="1:30" ht="15" hidden="1" x14ac:dyDescent="0.25">
      <c r="A409" s="1191">
        <v>201910</v>
      </c>
      <c r="B409" s="1192">
        <f t="shared" si="136"/>
        <v>0</v>
      </c>
      <c r="C409" s="1193">
        <f>(AB409-$AF$1)</f>
        <v>-185</v>
      </c>
      <c r="D409" s="1194">
        <f t="shared" si="137"/>
        <v>2.2700000000000001E-2</v>
      </c>
      <c r="E409" s="1195">
        <f>duration_titre($AF$1,AA409,AB409,M409,K409,W409,V409,P409,Q409,N409,D409)</f>
        <v>0</v>
      </c>
      <c r="F409" s="1195">
        <f t="shared" si="138"/>
        <v>0</v>
      </c>
      <c r="G409" s="1195">
        <f>convexite_titre($AF$1,AA409,AB409,M409,K409,W409,V409,P409,Q409,N409,D409)</f>
        <v>0</v>
      </c>
      <c r="H409" s="1196">
        <f>+ROUND(coupon_courru($AF$1,AA409,AB409,M409,K409,W409,P409,Q409,N409,V409,"V"),4)</f>
        <v>1065.6667</v>
      </c>
      <c r="I409" s="1199">
        <f>+IF(Z409=1,B409,D409*100)</f>
        <v>2.27</v>
      </c>
      <c r="J409" s="1193" t="s">
        <v>3210</v>
      </c>
      <c r="K409" s="1193">
        <v>100000</v>
      </c>
      <c r="L409" s="1193"/>
      <c r="M409" s="1197">
        <v>1.3899999999999999E-2</v>
      </c>
      <c r="N409" s="1193">
        <v>13</v>
      </c>
      <c r="O409" s="1200" t="s">
        <v>369</v>
      </c>
      <c r="P409" s="1200" t="s">
        <v>1525</v>
      </c>
      <c r="Q409" s="1200" t="s">
        <v>1014</v>
      </c>
      <c r="R409" s="1287">
        <v>0</v>
      </c>
      <c r="S409" s="1229" cm="1">
        <f t="array" ref="S409">IF(C409&gt;'Courbe des taux'!$D$50,ROUND( TREND('Courbe des taux'!$E$49:$E$50,'Courbe des taux'!$D$49:$D$50,Lignes_détenues!C409),5),ROUND(IF(C409&gt;365,interpoler(_mat2,taux2,C409),interpoler(_mat1,taux1,C409)),5))</f>
        <v>2.2700000000000001E-2</v>
      </c>
      <c r="T409" s="1201">
        <f t="shared" si="139"/>
        <v>2.2700000000000001E-2</v>
      </c>
      <c r="U409" s="1201">
        <f>ROUND(IF(D409*366&gt;366,interpoler(_mat2,taux2,D409*366),interpoler(_mat1,taux1,D409*366)),5)</f>
        <v>2.2700000000000001E-2</v>
      </c>
      <c r="V409" s="1202" t="str">
        <f>+IF((AB409-$AF$1)&lt;=366,"M","A")</f>
        <v>M</v>
      </c>
      <c r="W409" s="1202" t="s">
        <v>287</v>
      </c>
      <c r="X409" s="1212">
        <f>+prix_atp(AF$1,AA409,Z409,AB409,M409,K409,W409,V409,P409,Q409,N409,D409,Y409)</f>
        <v>0</v>
      </c>
      <c r="Y409" s="1202">
        <v>1</v>
      </c>
      <c r="Z409" s="35">
        <v>45831</v>
      </c>
      <c r="AA409" s="1198">
        <v>45831</v>
      </c>
      <c r="AB409" s="1198">
        <v>45922</v>
      </c>
      <c r="AC409" s="35"/>
      <c r="AD409" s="2"/>
    </row>
    <row r="410" spans="1:30" ht="15" hidden="1" x14ac:dyDescent="0.25">
      <c r="A410" s="1191">
        <v>201896</v>
      </c>
      <c r="B410" s="1192">
        <f t="shared" ref="B410" si="140">X410</f>
        <v>99656.745706819056</v>
      </c>
      <c r="C410" s="1193">
        <f>(AB410-$AF$1)</f>
        <v>3336</v>
      </c>
      <c r="D410" s="1194">
        <f t="shared" ref="D410" si="141">ROUND(T410+R410,5)</f>
        <v>3.2750000000000001E-2</v>
      </c>
      <c r="E410" s="1195">
        <f>duration_titre($AF$1,AA410,AB410,M410,K410,W410,V410,P410,Q410,N410,D410)</f>
        <v>7.9386820811647185</v>
      </c>
      <c r="F410" s="1195">
        <f t="shared" ref="F410" si="142">+E410/(1+D410)</f>
        <v>7.6869349611858802</v>
      </c>
      <c r="G410" s="1195">
        <f>convexite_titre($AF$1,AA410,AB410,M410,K410,W410,V410,P410,Q410,N410,D410)</f>
        <v>72.48964002695476</v>
      </c>
      <c r="H410" s="1196">
        <f>+ROUND(coupon_courru($AF$1,AA410,AB410,M410,K410,W410,P410,Q410,N410,V410,"V"),4)</f>
        <v>2510.6849000000002</v>
      </c>
      <c r="I410" s="1199">
        <f>+IF(Z410=1,B410,D410*100)</f>
        <v>3.2750000000000004</v>
      </c>
      <c r="J410" s="1193" t="s">
        <v>3214</v>
      </c>
      <c r="K410" s="1193">
        <v>100000</v>
      </c>
      <c r="L410" s="1193"/>
      <c r="M410" s="1197">
        <v>2.9000000000000001E-2</v>
      </c>
      <c r="N410" s="1193">
        <v>10</v>
      </c>
      <c r="O410" s="1200" t="s">
        <v>1716</v>
      </c>
      <c r="P410" s="1200" t="s">
        <v>1716</v>
      </c>
      <c r="Q410" s="1200" t="s">
        <v>1014</v>
      </c>
      <c r="R410" s="1287">
        <v>0</v>
      </c>
      <c r="S410" s="1229" cm="1">
        <f t="array" ref="S410">IF(C410&gt;'Courbe des taux'!$D$50,ROUND( TREND('Courbe des taux'!$E$49:$E$50,'Courbe des taux'!$D$49:$D$50,Lignes_détenues!C410),5),ROUND(IF(C410&gt;365,interpoler(_mat2,taux2,C410),interpoler(_mat1,taux1,C410)),5))</f>
        <v>3.2750000000000001E-2</v>
      </c>
      <c r="T410" s="1201">
        <f t="shared" ref="T410" si="143">S410</f>
        <v>3.2750000000000001E-2</v>
      </c>
      <c r="U410" s="1201">
        <f>ROUND(IF(D410*366&gt;366,interpoler(_mat2,taux2,D410*366),interpoler(_mat1,taux1,D410*366)),5)</f>
        <v>2.2700000000000001E-2</v>
      </c>
      <c r="V410" s="1202" t="str">
        <f>+IF((AB410-$AF$1)&lt;=366,"M","A")</f>
        <v>A</v>
      </c>
      <c r="W410" s="1202" t="s">
        <v>287</v>
      </c>
      <c r="X410" s="1212">
        <f>+prix_atp(AF$1,AA410,Z410,AB410,M410,K410,W410,V410,P410,Q410,N410,D410,Y410)</f>
        <v>99656.745706819056</v>
      </c>
      <c r="Y410" s="1202">
        <v>1</v>
      </c>
      <c r="Z410" s="35">
        <v>45791</v>
      </c>
      <c r="AA410" s="1198">
        <v>45782</v>
      </c>
      <c r="AB410" s="1198">
        <v>49443</v>
      </c>
      <c r="AC410" s="35"/>
      <c r="AD410" s="2"/>
    </row>
    <row r="411" spans="1:30" ht="15" hidden="1" x14ac:dyDescent="0.25">
      <c r="A411" s="1191">
        <v>153093</v>
      </c>
      <c r="B411" s="1192">
        <f t="shared" ref="B411" si="144">X411</f>
        <v>0</v>
      </c>
      <c r="C411" s="1193">
        <f>(AB411-$AF$1)</f>
        <v>-176</v>
      </c>
      <c r="D411" s="1194">
        <f t="shared" ref="D411" si="145">ROUND(T411+R411,5)</f>
        <v>2.4199999999999999E-2</v>
      </c>
      <c r="E411" s="1195">
        <f>duration_titre($AF$1,AA411,AB411,M411,K411,W411,V411,P411,Q411,N411,D411)</f>
        <v>0</v>
      </c>
      <c r="F411" s="1195">
        <f t="shared" ref="F411" si="146">+E411/(1+D411)</f>
        <v>0</v>
      </c>
      <c r="G411" s="1195">
        <f>convexite_titre($AF$1,AA411,AB411,M411,K411,W411,V411,P411,Q411,N411,D411)</f>
        <v>0</v>
      </c>
      <c r="H411" s="1196">
        <f>+ROUND(coupon_courru($AF$1,AA411,AB411,M411,K411,W411,P411,Q411,N411,V411,"V"),4)</f>
        <v>1748.5</v>
      </c>
      <c r="I411" s="1199">
        <f>+IF(Z411=1,B411,D411*100)</f>
        <v>2.42</v>
      </c>
      <c r="J411" s="1193" t="s">
        <v>3215</v>
      </c>
      <c r="K411" s="1193">
        <v>100000</v>
      </c>
      <c r="L411" s="1193"/>
      <c r="M411" s="1197">
        <v>2.3400000000000001E-2</v>
      </c>
      <c r="N411" s="1193">
        <v>13</v>
      </c>
      <c r="O411" s="1200" t="s">
        <v>369</v>
      </c>
      <c r="P411" s="1200" t="s">
        <v>1525</v>
      </c>
      <c r="Q411" s="1200" t="s">
        <v>1014</v>
      </c>
      <c r="R411" s="1287">
        <v>1.5E-3</v>
      </c>
      <c r="S411" s="1229" cm="1">
        <f t="array" ref="S411">IF(C411&gt;'Courbe des taux'!$D$50,ROUND( TREND('Courbe des taux'!$E$49:$E$50,'Courbe des taux'!$D$49:$D$50,Lignes_détenues!C411),5),ROUND(IF(C411&gt;365,interpoler(_mat2,taux2,C411),interpoler(_mat1,taux1,C411)),5))</f>
        <v>2.2700000000000001E-2</v>
      </c>
      <c r="T411" s="1201">
        <f t="shared" ref="T411" si="147">S411</f>
        <v>2.2700000000000001E-2</v>
      </c>
      <c r="U411" s="1201">
        <f>ROUND(IF(D411*366&gt;366,interpoler(_mat2,taux2,D411*366),interpoler(_mat1,taux1,D411*366)),5)</f>
        <v>2.2700000000000001E-2</v>
      </c>
      <c r="V411" s="1202" t="str">
        <f>+IF((AB411-$AF$1)&lt;=366,"M","A")</f>
        <v>M</v>
      </c>
      <c r="W411" s="1202" t="s">
        <v>287</v>
      </c>
      <c r="X411" s="1212">
        <f>+prix_atp(AF$1,AA411,Z411,AB411,M411,K411,W411,V411,P411,Q411,N411,D411,Y411)</f>
        <v>0</v>
      </c>
      <c r="Y411" s="1202">
        <v>1</v>
      </c>
      <c r="Z411" s="35">
        <v>45838</v>
      </c>
      <c r="AA411" s="1198">
        <v>45838</v>
      </c>
      <c r="AB411" s="1198">
        <v>45931</v>
      </c>
      <c r="AC411" s="35"/>
      <c r="AD411" s="2"/>
    </row>
    <row r="412" spans="1:30" ht="15" hidden="1" x14ac:dyDescent="0.25">
      <c r="A412" s="1191">
        <v>201914</v>
      </c>
      <c r="B412" s="1192">
        <f t="shared" ref="B412" si="148">X412</f>
        <v>97234.264790823087</v>
      </c>
      <c r="C412" s="1193">
        <f>(AB412-$AF$1)</f>
        <v>10917</v>
      </c>
      <c r="D412" s="1194">
        <f t="shared" ref="D412" si="149">ROUND(T412+R412,5)</f>
        <v>4.1169999999999998E-2</v>
      </c>
      <c r="E412" s="1195">
        <f>duration_titre($AF$1,AA412,AB412,M412,K412,W412,V412,P412,Q412,N412,D412)</f>
        <v>17.947213407346819</v>
      </c>
      <c r="F412" s="1195">
        <f t="shared" ref="F412" si="150">+E412/(1+D412)</f>
        <v>17.237543731904321</v>
      </c>
      <c r="G412" s="1195">
        <f>convexite_titre($AF$1,AA412,AB412,M412,K412,W412,V412,P412,Q412,N412,D412)</f>
        <v>418.5147092160683</v>
      </c>
      <c r="H412" s="1196">
        <f>+ROUND(coupon_courru($AF$1,AA412,AB412,M412,K412,W412,P412,Q412,N412,V412,"V"),4)</f>
        <v>416.4384</v>
      </c>
      <c r="I412" s="1199">
        <f>+IF(Z412=1,B412,D412*100)</f>
        <v>4.117</v>
      </c>
      <c r="J412" s="1193" t="s">
        <v>3216</v>
      </c>
      <c r="K412" s="1193">
        <v>100000</v>
      </c>
      <c r="L412" s="1193"/>
      <c r="M412" s="1197">
        <v>3.7999999999999999E-2</v>
      </c>
      <c r="N412" s="1193">
        <v>30</v>
      </c>
      <c r="O412" s="1200" t="s">
        <v>1716</v>
      </c>
      <c r="P412" s="1200" t="s">
        <v>1716</v>
      </c>
      <c r="Q412" s="1200" t="s">
        <v>1014</v>
      </c>
      <c r="R412" s="1287">
        <v>0</v>
      </c>
      <c r="S412" s="1229" cm="1">
        <f t="array" ref="S412">IF(C412&gt;'Courbe des taux'!$D$50,ROUND( TREND('Courbe des taux'!$E$49:$E$50,'Courbe des taux'!$D$49:$D$50,Lignes_détenues!C412),5),ROUND(IF(C412&gt;365,interpoler(_mat2,taux2,C412),interpoler(_mat1,taux1,C412)),5))</f>
        <v>4.1169999999999998E-2</v>
      </c>
      <c r="T412" s="1201">
        <f t="shared" ref="T412" si="151">S412</f>
        <v>4.1169999999999998E-2</v>
      </c>
      <c r="U412" s="1201">
        <f>ROUND(IF(D412*366&gt;366,interpoler(_mat2,taux2,D412*366),interpoler(_mat1,taux1,D412*366)),5)</f>
        <v>2.2700000000000001E-2</v>
      </c>
      <c r="V412" s="1202" t="str">
        <f>+IF((AB412-$AF$1)&lt;=366,"M","A")</f>
        <v>A</v>
      </c>
      <c r="W412" s="1202" t="s">
        <v>287</v>
      </c>
      <c r="X412" s="1212">
        <f>+prix_atp(AF$1,AA412,Z412,AB412,M412,K412,W412,V412,P412,Q412,N412,D412,Y412)</f>
        <v>97234.264790823087</v>
      </c>
      <c r="Y412" s="1202">
        <v>1</v>
      </c>
      <c r="Z412" s="35">
        <v>46067</v>
      </c>
      <c r="AA412" s="1198">
        <v>45846</v>
      </c>
      <c r="AB412" s="1198">
        <v>57024</v>
      </c>
      <c r="AC412" s="35"/>
      <c r="AD412" s="2"/>
    </row>
    <row r="413" spans="1:30" ht="15" hidden="1" x14ac:dyDescent="0.25">
      <c r="A413" s="1191">
        <v>201908</v>
      </c>
      <c r="B413" s="1192">
        <f t="shared" ref="B413:B414" si="152">X413</f>
        <v>0</v>
      </c>
      <c r="C413" s="1193">
        <f>(AB413-$AF$1)</f>
        <v>-185</v>
      </c>
      <c r="D413" s="1194">
        <f t="shared" ref="D413:D414" si="153">ROUND(T413+R413,5)</f>
        <v>2.2700000000000001E-2</v>
      </c>
      <c r="E413" s="1195">
        <f>duration_titre($AF$1,AA413,AB413,M413,K413,W413,V413,P413,Q413,N413,D413)</f>
        <v>0</v>
      </c>
      <c r="F413" s="1195">
        <f t="shared" ref="F413:F414" si="154">+E413/(1+D413)</f>
        <v>0</v>
      </c>
      <c r="G413" s="1195">
        <f>convexite_titre($AF$1,AA413,AB413,M413,K413,W413,V413,P413,Q413,N413,D413)</f>
        <v>0</v>
      </c>
      <c r="H413" s="1196">
        <f>+ROUND(coupon_courru($AF$1,AA413,AB413,M413,K413,W413,P413,Q413,N413,V413,"V"),4)</f>
        <v>1150</v>
      </c>
      <c r="I413" s="1199">
        <f>+IF(Z413=1,B413,D413*100)</f>
        <v>2.27</v>
      </c>
      <c r="J413" s="1193" t="s">
        <v>3217</v>
      </c>
      <c r="K413" s="1193">
        <v>100000</v>
      </c>
      <c r="L413" s="1193"/>
      <c r="M413" s="1197">
        <v>1.4999999999999999E-2</v>
      </c>
      <c r="N413" s="1193">
        <v>13</v>
      </c>
      <c r="O413" s="1200" t="s">
        <v>369</v>
      </c>
      <c r="P413" s="1200" t="s">
        <v>1525</v>
      </c>
      <c r="Q413" s="1200" t="s">
        <v>1014</v>
      </c>
      <c r="R413" s="1287">
        <v>0</v>
      </c>
      <c r="S413" s="1229" cm="1">
        <f t="array" ref="S413">IF(C413&gt;'Courbe des taux'!$D$50,ROUND( TREND('Courbe des taux'!$E$49:$E$50,'Courbe des taux'!$D$49:$D$50,Lignes_détenues!C413),5),ROUND(IF(C413&gt;365,interpoler(_mat2,taux2,C413),interpoler(_mat1,taux1,C413)),5))</f>
        <v>2.2700000000000001E-2</v>
      </c>
      <c r="T413" s="1201">
        <f t="shared" ref="T413:T414" si="155">S413</f>
        <v>2.2700000000000001E-2</v>
      </c>
      <c r="U413" s="1201">
        <f>ROUND(IF(D413*366&gt;366,interpoler(_mat2,taux2,D413*366),interpoler(_mat1,taux1,D413*366)),5)</f>
        <v>2.2700000000000001E-2</v>
      </c>
      <c r="V413" s="1202" t="str">
        <f>+IF((AB413-$AF$1)&lt;=366,"M","A")</f>
        <v>M</v>
      </c>
      <c r="W413" s="1202" t="s">
        <v>287</v>
      </c>
      <c r="X413" s="1212">
        <f>+prix_atp(AF$1,AA413,Z413,AB413,M413,K413,W413,V413,P413,Q413,N413,D413,Y413)</f>
        <v>0</v>
      </c>
      <c r="Y413" s="1202">
        <v>1</v>
      </c>
      <c r="Z413" s="35">
        <v>45831</v>
      </c>
      <c r="AA413" s="1198">
        <v>45831</v>
      </c>
      <c r="AB413" s="1198">
        <v>45922</v>
      </c>
      <c r="AC413" s="35"/>
      <c r="AD413" s="2"/>
    </row>
    <row r="414" spans="1:30" ht="15" hidden="1" x14ac:dyDescent="0.25">
      <c r="A414" s="1191">
        <v>201909</v>
      </c>
      <c r="B414" s="1192">
        <f t="shared" si="152"/>
        <v>0</v>
      </c>
      <c r="C414" s="1193">
        <f>(AB414-$AF$1)</f>
        <v>-185</v>
      </c>
      <c r="D414" s="1194">
        <f t="shared" si="153"/>
        <v>2.2700000000000001E-2</v>
      </c>
      <c r="E414" s="1195">
        <f>duration_titre($AF$1,AA414,AB414,M414,K414,W414,V414,P414,Q414,N414,D414)</f>
        <v>0</v>
      </c>
      <c r="F414" s="1195">
        <f t="shared" si="154"/>
        <v>0</v>
      </c>
      <c r="G414" s="1195">
        <f>convexite_titre($AF$1,AA414,AB414,M414,K414,W414,V414,P414,Q414,N414,D414)</f>
        <v>0</v>
      </c>
      <c r="H414" s="1196">
        <f>+ROUND(coupon_courru($AF$1,AA414,AB414,M414,K414,W414,P414,Q414,N414,V414,"V"),4)</f>
        <v>1226.6667</v>
      </c>
      <c r="I414" s="1199">
        <f>+IF(Z414=1,B414,D414*100)</f>
        <v>2.27</v>
      </c>
      <c r="J414" s="1193" t="s">
        <v>3218</v>
      </c>
      <c r="K414" s="1193">
        <v>100000</v>
      </c>
      <c r="L414" s="1193"/>
      <c r="M414" s="1197">
        <v>1.6E-2</v>
      </c>
      <c r="N414" s="1193">
        <v>13</v>
      </c>
      <c r="O414" s="1200" t="s">
        <v>369</v>
      </c>
      <c r="P414" s="1200" t="s">
        <v>1525</v>
      </c>
      <c r="Q414" s="1200" t="s">
        <v>1014</v>
      </c>
      <c r="R414" s="1287">
        <v>0</v>
      </c>
      <c r="S414" s="1229" cm="1">
        <f t="array" ref="S414">IF(C414&gt;'Courbe des taux'!$D$50,ROUND( TREND('Courbe des taux'!$E$49:$E$50,'Courbe des taux'!$D$49:$D$50,Lignes_détenues!C414),5),ROUND(IF(C414&gt;365,interpoler(_mat2,taux2,C414),interpoler(_mat1,taux1,C414)),5))</f>
        <v>2.2700000000000001E-2</v>
      </c>
      <c r="T414" s="1201">
        <f t="shared" si="155"/>
        <v>2.2700000000000001E-2</v>
      </c>
      <c r="U414" s="1201">
        <f>ROUND(IF(D414*366&gt;366,interpoler(_mat2,taux2,D414*366),interpoler(_mat1,taux1,D414*366)),5)</f>
        <v>2.2700000000000001E-2</v>
      </c>
      <c r="V414" s="1202" t="str">
        <f>+IF((AB414-$AF$1)&lt;=366,"M","A")</f>
        <v>M</v>
      </c>
      <c r="W414" s="1202" t="s">
        <v>287</v>
      </c>
      <c r="X414" s="1212">
        <f>+prix_atp(AF$1,AA414,Z414,AB414,M414,K414,W414,V414,P414,Q414,N414,D414,Y414)</f>
        <v>0</v>
      </c>
      <c r="Y414" s="1202">
        <v>1</v>
      </c>
      <c r="Z414" s="35">
        <v>45831</v>
      </c>
      <c r="AA414" s="1198">
        <v>45831</v>
      </c>
      <c r="AB414" s="1198">
        <v>45922</v>
      </c>
      <c r="AC414" s="35"/>
      <c r="AD414" s="2"/>
    </row>
    <row r="415" spans="1:30" ht="15" hidden="1" x14ac:dyDescent="0.25">
      <c r="A415" s="1191">
        <v>100998</v>
      </c>
      <c r="B415" s="1192">
        <f t="shared" ref="B415" si="156">X415</f>
        <v>100978.206337989</v>
      </c>
      <c r="C415" s="1193">
        <f>(AB415-$AF$1)</f>
        <v>841</v>
      </c>
      <c r="D415" s="1194">
        <f t="shared" ref="D415" si="157">ROUND(T415+R415,5)</f>
        <v>3.1640000000000001E-2</v>
      </c>
      <c r="E415" s="1195">
        <f>duration_titre($AF$1,AA415,AB415,M415,K415,W415,V415,P415,Q415,N415,D415)</f>
        <v>2.2241394280319966</v>
      </c>
      <c r="F415" s="1195">
        <f t="shared" ref="F415" si="158">+E415/(1+D415)</f>
        <v>2.1559259315575172</v>
      </c>
      <c r="G415" s="1195">
        <f>convexite_titre($AF$1,AA415,AB415,M415,K415,W415,V415,P415,Q415,N415,D415)</f>
        <v>6.8577463097717475</v>
      </c>
      <c r="H415" s="1196">
        <f>+ROUND(coupon_courru($AF$1,AA415,AB415,M415,K415,W415,P415,Q415,N415,V415,"V"),4)</f>
        <v>1914.2465999999999</v>
      </c>
      <c r="I415" s="1199">
        <f>+IF(Z415=1,B415,D415*100)</f>
        <v>3.1640000000000001</v>
      </c>
      <c r="J415" s="1193" t="s">
        <v>3219</v>
      </c>
      <c r="K415" s="1193">
        <v>100000</v>
      </c>
      <c r="L415" s="1193"/>
      <c r="M415" s="1197">
        <v>2.7400000000000001E-2</v>
      </c>
      <c r="N415" s="1193">
        <v>3</v>
      </c>
      <c r="O415" s="1200" t="s">
        <v>1716</v>
      </c>
      <c r="P415" s="1200" t="s">
        <v>1716</v>
      </c>
      <c r="Q415" s="1200" t="s">
        <v>1014</v>
      </c>
      <c r="R415" s="1287">
        <v>4.4999999999999997E-3</v>
      </c>
      <c r="S415" s="1229" cm="1">
        <f t="array" ref="S415">IF(C415&gt;'Courbe des taux'!$D$50,ROUND( TREND('Courbe des taux'!$E$49:$E$50,'Courbe des taux'!$D$49:$D$50,Lignes_détenues!C415),5),ROUND(IF(C415&gt;365,interpoler(_mat2,taux2,C415),interpoler(_mat1,taux1,C415)),5))</f>
        <v>2.7140000000000001E-2</v>
      </c>
      <c r="T415" s="1201">
        <f t="shared" ref="T415" si="159">S415</f>
        <v>2.7140000000000001E-2</v>
      </c>
      <c r="U415" s="1201">
        <f>ROUND(IF(D415*366&gt;366,interpoler(_mat2,taux2,D415*366),interpoler(_mat1,taux1,D415*366)),5)</f>
        <v>2.2700000000000001E-2</v>
      </c>
      <c r="V415" s="1202" t="str">
        <f>+IF((AB415-$AF$1)&lt;=366,"M","A")</f>
        <v>A</v>
      </c>
      <c r="W415" s="1202" t="s">
        <v>287</v>
      </c>
      <c r="X415" s="1212">
        <f>+prix_titre(AF$1,AA415,AB415,M415,K415,W415,V415,P415,Q415,N415,D415,Y415)</f>
        <v>100978.206337989</v>
      </c>
      <c r="Y415" s="1202">
        <v>1</v>
      </c>
      <c r="Z415" s="35">
        <v>45852</v>
      </c>
      <c r="AA415" s="1198">
        <v>45852</v>
      </c>
      <c r="AB415" s="1198">
        <v>46948</v>
      </c>
      <c r="AC415" s="35"/>
      <c r="AD415" s="2"/>
    </row>
    <row r="416" spans="1:30" s="342" customFormat="1" ht="15" hidden="1" x14ac:dyDescent="0.25">
      <c r="A416" s="1336">
        <v>5166</v>
      </c>
      <c r="B416" s="1209">
        <f t="shared" ref="B416:B417" si="160">X416</f>
        <v>100558.60194883672</v>
      </c>
      <c r="C416" s="1337">
        <f>(AB416-$AF$1)</f>
        <v>-46107</v>
      </c>
      <c r="D416" s="1338">
        <f t="shared" ref="D416:D417" si="161">ROUND(T416+R416,5)</f>
        <v>1.0271999999999999</v>
      </c>
      <c r="E416" s="1339">
        <f>duration_titre($AF$1,AA416,AB416,M416,K416,W416,V416,P416,Q416,N416,D416)</f>
        <v>0</v>
      </c>
      <c r="F416" s="1339">
        <f t="shared" ref="F416:F417" si="162">+E416/(1+D416)</f>
        <v>0</v>
      </c>
      <c r="G416" s="1339">
        <f>convexite_titre($AF$1,AA416,AB416,M416,K416,W416,V416,P416,Q416,N416,D416)</f>
        <v>0</v>
      </c>
      <c r="H416" s="1340">
        <f>+ROUND(coupon_courru($AF$1,AA416,AB416,M416,K416,W416,P416,Q416,N416,V416,"V"),4)</f>
        <v>0</v>
      </c>
      <c r="I416" s="1341">
        <f>+IF(Z416=1,B416,D416*100)</f>
        <v>102.71999999999998</v>
      </c>
      <c r="J416" s="1337"/>
      <c r="K416" s="1337">
        <v>100000</v>
      </c>
      <c r="L416" s="1337"/>
      <c r="M416" s="1342"/>
      <c r="N416" s="1337"/>
      <c r="O416" s="1344"/>
      <c r="P416" s="1344"/>
      <c r="Q416" s="1344" t="s">
        <v>1014</v>
      </c>
      <c r="R416" s="1345">
        <v>1.0044999999999999</v>
      </c>
      <c r="S416" s="1346" cm="1">
        <f t="array" ref="S416">IF(C416&gt;'Courbe des taux'!$D$50,ROUND( TREND('Courbe des taux'!$E$49:$E$50,'Courbe des taux'!$D$49:$D$50,Lignes_détenues!C416),5),ROUND(IF(C416&gt;365,interpoler(_mat2,taux2,C416),interpoler(_mat1,taux1,C416)),5))</f>
        <v>2.2700000000000001E-2</v>
      </c>
      <c r="T416" s="1346">
        <f t="shared" ref="T416:T417" si="163">S416</f>
        <v>2.2700000000000001E-2</v>
      </c>
      <c r="U416" s="1346">
        <f>ROUND(IF(D416*366&gt;366,interpoler(_mat2,taux2,D416*366),interpoler(_mat1,taux1,D416*366)),5)</f>
        <v>2.5190000000000001E-2</v>
      </c>
      <c r="V416" s="1347" t="str">
        <f>+IF((AB416-$AF$1)&lt;=366,"M","A")</f>
        <v>M</v>
      </c>
      <c r="W416" s="1347" t="s">
        <v>287</v>
      </c>
      <c r="X416" s="1348">
        <f>'Echeancier de parts 2'!CV3</f>
        <v>100558.60194883672</v>
      </c>
      <c r="Y416" s="1347">
        <v>1</v>
      </c>
      <c r="Z416" s="1349"/>
      <c r="AA416" s="1343"/>
      <c r="AB416" s="1343"/>
      <c r="AC416" s="1349"/>
    </row>
    <row r="417" spans="1:30" ht="15" hidden="1" x14ac:dyDescent="0.25">
      <c r="A417" s="1191">
        <v>5167</v>
      </c>
      <c r="B417" s="1192">
        <f t="shared" si="160"/>
        <v>101241.3377</v>
      </c>
      <c r="C417" s="1193">
        <f>(AB417-$AF$1)</f>
        <v>-46107</v>
      </c>
      <c r="D417" s="1194">
        <f t="shared" si="161"/>
        <v>2.0272000000000001</v>
      </c>
      <c r="E417" s="1195">
        <f>duration_titre($AF$1,AA417,AB417,M417,K417,W417,V417,P417,Q417,N417,D417)</f>
        <v>0</v>
      </c>
      <c r="F417" s="1195">
        <f t="shared" si="162"/>
        <v>0</v>
      </c>
      <c r="G417" s="1195">
        <f>convexite_titre($AF$1,AA417,AB417,M417,K417,W417,V417,P417,Q417,N417,D417)</f>
        <v>0</v>
      </c>
      <c r="H417" s="1196">
        <f>+ROUND(coupon_courru($AF$1,AA417,AB417,M417,K417,W417,P417,Q417,N417,V417,"V"),4)</f>
        <v>0</v>
      </c>
      <c r="I417" s="1199">
        <f>+IF(Z417=1,B417,D417*100)</f>
        <v>202.72</v>
      </c>
      <c r="J417" s="1193"/>
      <c r="K417" s="1193">
        <v>100000</v>
      </c>
      <c r="L417" s="1193"/>
      <c r="M417" s="1197"/>
      <c r="N417" s="1193"/>
      <c r="O417" s="1200"/>
      <c r="P417" s="1200"/>
      <c r="Q417" s="1200" t="s">
        <v>1014</v>
      </c>
      <c r="R417" s="1287">
        <v>2.0045000000000002</v>
      </c>
      <c r="S417" s="1229" cm="1">
        <f t="array" ref="S417">IF(C417&gt;'Courbe des taux'!$D$50,ROUND( TREND('Courbe des taux'!$E$49:$E$50,'Courbe des taux'!$D$49:$D$50,Lignes_détenues!C417),5),ROUND(IF(C417&gt;365,interpoler(_mat2,taux2,C417),interpoler(_mat1,taux1,C417)),5))</f>
        <v>2.2700000000000001E-2</v>
      </c>
      <c r="T417" s="1201">
        <f t="shared" si="163"/>
        <v>2.2700000000000001E-2</v>
      </c>
      <c r="U417" s="1201">
        <f>ROUND(IF(D417*366&gt;366,interpoler(_mat2,taux2,D417*366),interpoler(_mat1,taux1,D417*366)),5)</f>
        <v>2.673E-2</v>
      </c>
      <c r="V417" s="1202" t="str">
        <f>+IF((AB417-$AF$1)&lt;=366,"M","A")</f>
        <v>M</v>
      </c>
      <c r="W417" s="1202" t="s">
        <v>287</v>
      </c>
      <c r="X417" s="1212">
        <f>'Echeancier de parts 2'!DJ3</f>
        <v>101241.3377</v>
      </c>
      <c r="Y417" s="1202">
        <v>1</v>
      </c>
      <c r="Z417" s="35"/>
      <c r="AA417" s="1198"/>
      <c r="AB417" s="1198"/>
      <c r="AC417" s="35"/>
      <c r="AD417" s="2"/>
    </row>
    <row r="418" spans="1:30" ht="15" hidden="1" x14ac:dyDescent="0.25">
      <c r="A418" s="1191">
        <v>141175</v>
      </c>
      <c r="B418" s="1192">
        <f t="shared" ref="B418" si="164">X418</f>
        <v>0</v>
      </c>
      <c r="C418" s="1193">
        <f>(AB418-$AF$1)</f>
        <v>-56</v>
      </c>
      <c r="D418" s="1194">
        <f t="shared" ref="D418" si="165">ROUND(T418+R418,5)</f>
        <v>2.3699999999999999E-2</v>
      </c>
      <c r="E418" s="1195">
        <f>duration_titre($AF$1,AA418,AB418,M418,K418,W418,V418,P418,Q418,N418,D418)</f>
        <v>0</v>
      </c>
      <c r="F418" s="1195">
        <f t="shared" ref="F418" si="166">+E418/(1+D418)</f>
        <v>0</v>
      </c>
      <c r="G418" s="1195">
        <f>convexite_titre($AF$1,AA418,AB418,M418,K418,W418,V418,P418,Q418,N418,D418)</f>
        <v>0</v>
      </c>
      <c r="H418" s="1196">
        <f>+ROUND(coupon_courru($AF$1,AA418,AB418,M418,K418,W418,P418,Q418,N418,V418,"V"),4)</f>
        <v>1520</v>
      </c>
      <c r="I418" s="1199">
        <f>+IF(Z418=1,B418,D418*100)</f>
        <v>2.37</v>
      </c>
      <c r="J418" s="1193" t="s">
        <v>3221</v>
      </c>
      <c r="K418" s="1193">
        <v>100000</v>
      </c>
      <c r="L418" s="1193"/>
      <c r="M418" s="1197">
        <v>2.2800000000000001E-2</v>
      </c>
      <c r="N418" s="1193">
        <v>26</v>
      </c>
      <c r="O418" s="1200" t="s">
        <v>369</v>
      </c>
      <c r="P418" s="1200" t="s">
        <v>369</v>
      </c>
      <c r="Q418" s="1200" t="s">
        <v>1014</v>
      </c>
      <c r="R418" s="1287">
        <v>1E-3</v>
      </c>
      <c r="S418" s="1229" cm="1">
        <f t="array" ref="S418">IF(C418&gt;'Courbe des taux'!$D$50,ROUND( TREND('Courbe des taux'!$E$49:$E$50,'Courbe des taux'!$D$49:$D$50,Lignes_détenues!C418),5),ROUND(IF(C418&gt;365,interpoler(_mat2,taux2,C418),interpoler(_mat1,taux1,C418)),5))</f>
        <v>2.2700000000000001E-2</v>
      </c>
      <c r="T418" s="1201">
        <f t="shared" ref="T418" si="167">S418</f>
        <v>2.2700000000000001E-2</v>
      </c>
      <c r="U418" s="1201">
        <f>ROUND(IF(D418*366&gt;366,interpoler(_mat2,taux2,D418*366),interpoler(_mat1,taux1,D418*366)),5)</f>
        <v>2.2700000000000001E-2</v>
      </c>
      <c r="V418" s="1202" t="str">
        <f>+IF((AB418-$AF$1)&lt;=366,"M","A")</f>
        <v>M</v>
      </c>
      <c r="W418" s="1202" t="s">
        <v>287</v>
      </c>
      <c r="X418" s="1212">
        <f>+prix_titre(AF$1,AA418,AB418,M418,K418,W418,V418,P418,Q418,N418,D418,Y418)</f>
        <v>0</v>
      </c>
      <c r="Y418" s="1202">
        <v>1</v>
      </c>
      <c r="Z418" s="35"/>
      <c r="AA418" s="1198">
        <v>45867</v>
      </c>
      <c r="AB418" s="1198">
        <v>46051</v>
      </c>
      <c r="AC418" s="35"/>
      <c r="AD418" s="2"/>
    </row>
    <row r="419" spans="1:30" ht="15" hidden="1" x14ac:dyDescent="0.25">
      <c r="A419" s="1191">
        <v>100999</v>
      </c>
      <c r="B419" s="1192">
        <f t="shared" ref="B419" si="168">X419</f>
        <v>99491.020349159997</v>
      </c>
      <c r="C419" s="1193">
        <f>(AB419-$AF$1)</f>
        <v>1585</v>
      </c>
      <c r="D419" s="1194">
        <f t="shared" ref="D419" si="169">ROUND(T419+R419,5)</f>
        <v>3.5090000000000003E-2</v>
      </c>
      <c r="E419" s="1195">
        <f>duration_titre($AF$1,AA419,AB419,M419,K419,W419,V419,P419,Q419,N419,D419)</f>
        <v>4.0638068459984789</v>
      </c>
      <c r="F419" s="1195">
        <f t="shared" ref="F419" si="170">+E419/(1+D419)</f>
        <v>3.9260420311262583</v>
      </c>
      <c r="G419" s="1195">
        <f>convexite_titre($AF$1,AA419,AB419,M419,K419,W419,V419,P419,Q419,N419,D419)</f>
        <v>19.923998484907127</v>
      </c>
      <c r="H419" s="1196">
        <f>+ROUND(coupon_courru($AF$1,AA419,AB419,M419,K419,W419,P419,Q419,N419,V419,"V"),4)</f>
        <v>1914.7945</v>
      </c>
      <c r="I419" s="1199">
        <f>+IF(Z419=1,B419,D419*100)</f>
        <v>3.5090000000000003</v>
      </c>
      <c r="J419" s="1193" t="s">
        <v>3222</v>
      </c>
      <c r="K419" s="1193">
        <v>100000</v>
      </c>
      <c r="L419" s="1193"/>
      <c r="M419" s="1197">
        <v>2.9000000000000001E-2</v>
      </c>
      <c r="N419" s="1193">
        <v>5</v>
      </c>
      <c r="O419" s="1200" t="s">
        <v>1716</v>
      </c>
      <c r="P419" s="1200" t="s">
        <v>1716</v>
      </c>
      <c r="Q419" s="1200" t="s">
        <v>1014</v>
      </c>
      <c r="R419" s="1287">
        <v>5.0000000000000001E-3</v>
      </c>
      <c r="S419" s="1229" cm="1">
        <f t="array" ref="S419">IF(C419&gt;'Courbe des taux'!$D$50,ROUND( TREND('Courbe des taux'!$E$49:$E$50,'Courbe des taux'!$D$49:$D$50,Lignes_détenues!C419),5),ROUND(IF(C419&gt;365,interpoler(_mat2,taux2,C419),interpoler(_mat1,taux1,C419)),5))</f>
        <v>3.0089999999999999E-2</v>
      </c>
      <c r="T419" s="1201">
        <f t="shared" ref="T419" si="171">S419</f>
        <v>3.0089999999999999E-2</v>
      </c>
      <c r="U419" s="1201">
        <f>ROUND(IF(D419*366&gt;366,interpoler(_mat2,taux2,D419*366),interpoler(_mat1,taux1,D419*366)),5)</f>
        <v>2.2700000000000001E-2</v>
      </c>
      <c r="V419" s="1202" t="str">
        <f>+IF((AB419-$AF$1)&lt;=366,"M","A")</f>
        <v>A</v>
      </c>
      <c r="W419" s="1202" t="s">
        <v>287</v>
      </c>
      <c r="X419" s="1212">
        <f>+prix_titre(AF$1,AA419,AB419,M419,K419,W419,V419,P419,Q419,N419,D419,Y419)</f>
        <v>99491.020349159997</v>
      </c>
      <c r="Y419" s="1202">
        <v>1</v>
      </c>
      <c r="Z419" s="35"/>
      <c r="AA419" s="1198">
        <v>45866</v>
      </c>
      <c r="AB419" s="1198">
        <v>47692</v>
      </c>
      <c r="AC419" s="35"/>
      <c r="AD419" s="2"/>
    </row>
    <row r="420" spans="1:30" ht="15" hidden="1" x14ac:dyDescent="0.25">
      <c r="A420" s="1191">
        <v>153100</v>
      </c>
      <c r="B420" s="1192">
        <f t="shared" ref="B420:B423" si="172">X420</f>
        <v>101532.0280976221</v>
      </c>
      <c r="C420" s="1193">
        <f>(AB420-$AF$1)</f>
        <v>126</v>
      </c>
      <c r="D420" s="1194">
        <f t="shared" ref="D420:D423" si="173">ROUND(T420+R420,5)</f>
        <v>2.546E-2</v>
      </c>
      <c r="E420" s="1195">
        <f>duration_titre($AF$1,AA420,AB420,M420,K420,W420,V420,P420,Q420,N420,D420)</f>
        <v>0.34520547945205482</v>
      </c>
      <c r="F420" s="1195">
        <f t="shared" ref="F420:F423" si="174">+E420/(1+D420)</f>
        <v>0.33663475850062879</v>
      </c>
      <c r="G420" s="1195">
        <f>convexite_titre($AF$1,AA420,AB420,M420,K420,W420,V420,P420,Q420,N420,D420)</f>
        <v>0.44159979102945512</v>
      </c>
      <c r="H420" s="1196">
        <f>+ROUND(coupon_courru($AF$1,AA420,AB420,M420,K420,W420,P420,Q420,N420,V420,"V"),4)</f>
        <v>1593.2778000000001</v>
      </c>
      <c r="I420" s="1199">
        <f>+IF(Z420=1,B420,D420*100)</f>
        <v>2.5459999999999998</v>
      </c>
      <c r="J420" s="1193" t="s">
        <v>3226</v>
      </c>
      <c r="K420" s="1193">
        <v>100000</v>
      </c>
      <c r="L420" s="1193"/>
      <c r="M420" s="1197">
        <v>2.41E-2</v>
      </c>
      <c r="N420" s="1193">
        <v>52</v>
      </c>
      <c r="O420" s="1200" t="s">
        <v>369</v>
      </c>
      <c r="P420" s="1200" t="s">
        <v>1716</v>
      </c>
      <c r="Q420" s="1200" t="s">
        <v>1014</v>
      </c>
      <c r="R420" s="1287">
        <v>2.2000000000000001E-3</v>
      </c>
      <c r="S420" s="1229" cm="1">
        <f t="array" ref="S420">IF(C420&gt;'Courbe des taux'!$D$50,ROUND( TREND('Courbe des taux'!$E$49:$E$50,'Courbe des taux'!$D$49:$D$50,Lignes_détenues!C420),5),ROUND(IF(C420&gt;365,interpoler(_mat2,taux2,C420),interpoler(_mat1,taux1,C420)),5))</f>
        <v>2.3259999999999999E-2</v>
      </c>
      <c r="T420" s="1201">
        <f t="shared" ref="T420:T423" si="175">S420</f>
        <v>2.3259999999999999E-2</v>
      </c>
      <c r="U420" s="1201">
        <f>ROUND(IF(D420*366&gt;366,interpoler(_mat2,taux2,D420*366),interpoler(_mat1,taux1,D420*366)),5)</f>
        <v>2.2700000000000001E-2</v>
      </c>
      <c r="V420" s="1202" t="str">
        <f>+IF((AB420-$AF$1)&lt;=366,"M","A")</f>
        <v>M</v>
      </c>
      <c r="W420" s="1202" t="s">
        <v>287</v>
      </c>
      <c r="X420" s="1212">
        <f>+prix_atp(AF$1,AA420,Z420,AB420,M420,K420,W420,V420,P420,Q420,N420,D420,Y420)</f>
        <v>101532.0280976221</v>
      </c>
      <c r="Y420" s="1202">
        <v>1</v>
      </c>
      <c r="Z420" s="35">
        <v>45869</v>
      </c>
      <c r="AA420" s="1198">
        <v>45869</v>
      </c>
      <c r="AB420" s="1198">
        <v>46233</v>
      </c>
      <c r="AC420" s="35"/>
      <c r="AD420" s="2"/>
    </row>
    <row r="421" spans="1:30" s="1598" customFormat="1" ht="15" hidden="1" x14ac:dyDescent="0.25">
      <c r="A421" s="1583">
        <v>153101</v>
      </c>
      <c r="B421" s="1584">
        <f t="shared" si="172"/>
        <v>101198.54771997264</v>
      </c>
      <c r="C421" s="1585">
        <f>(AB421-$AF$1)</f>
        <v>493</v>
      </c>
      <c r="D421" s="1586">
        <f t="shared" si="173"/>
        <v>2.869E-2</v>
      </c>
      <c r="E421" s="1587">
        <f>duration_titre($AF$1,AA421,AB421,M421,K421,W421,V421,P421,Q421,N421,D421)</f>
        <v>1.3259296600306336</v>
      </c>
      <c r="F421" s="1587">
        <f t="shared" si="174"/>
        <v>1.2889496933290239</v>
      </c>
      <c r="G421" s="1587">
        <f>convexite_titre($AF$1,AA421,AB421,M421,K421,W421,V421,P421,Q421,N421,D421)</f>
        <v>2.9372069729345021</v>
      </c>
      <c r="H421" s="1588">
        <f>+ROUND(coupon_courru($AF$1,AA421,AB421,M421,K421,W421,P421,Q421,N421,V421,"V"),4)</f>
        <v>1642.7671</v>
      </c>
      <c r="I421" s="1589">
        <f>+IF(Z421=1,B421,D421*100)</f>
        <v>2.8690000000000002</v>
      </c>
      <c r="J421" s="1585" t="s">
        <v>3225</v>
      </c>
      <c r="K421" s="1585">
        <v>100000</v>
      </c>
      <c r="L421" s="1585"/>
      <c r="M421" s="1590">
        <v>2.53E-2</v>
      </c>
      <c r="N421" s="1585">
        <v>2</v>
      </c>
      <c r="O421" s="1592" t="s">
        <v>1716</v>
      </c>
      <c r="P421" s="1592" t="s">
        <v>1716</v>
      </c>
      <c r="Q421" s="1592" t="s">
        <v>1014</v>
      </c>
      <c r="R421" s="1593">
        <v>3.0000000000000001E-3</v>
      </c>
      <c r="S421" s="1594" cm="1">
        <f t="array" ref="S421">IF(C421&gt;'Courbe des taux'!$D$50,ROUND( TREND('Courbe des taux'!$E$49:$E$50,'Courbe des taux'!$D$49:$D$50,Lignes_détenues!C421),5),ROUND(IF(C421&gt;365,interpoler(_mat2,taux2,C421),interpoler(_mat1,taux1,C421)),5))</f>
        <v>2.5690000000000001E-2</v>
      </c>
      <c r="T421" s="1594">
        <f t="shared" si="175"/>
        <v>2.5690000000000001E-2</v>
      </c>
      <c r="U421" s="1594">
        <f>ROUND(IF(D421*366&gt;366,interpoler(_mat2,taux2,D421*366),interpoler(_mat1,taux1,D421*366)),5)</f>
        <v>2.2700000000000001E-2</v>
      </c>
      <c r="V421" s="1595" t="str">
        <f>+IF((AB421-$AF$1)&lt;=366,"M","A")</f>
        <v>A</v>
      </c>
      <c r="W421" s="1595" t="s">
        <v>287</v>
      </c>
      <c r="X421" s="1596">
        <f>+prix_atp(AF$1,AA421,Z421,AB421,M421,K421,W421,V421,P421,Q421,N421,D421,Y421)</f>
        <v>101198.54771997264</v>
      </c>
      <c r="Y421" s="1595">
        <v>1</v>
      </c>
      <c r="Z421" s="1597">
        <v>45869</v>
      </c>
      <c r="AA421" s="1591">
        <v>45869</v>
      </c>
      <c r="AB421" s="1591">
        <v>46600</v>
      </c>
      <c r="AC421" s="1597"/>
    </row>
    <row r="422" spans="1:30" ht="15" hidden="1" x14ac:dyDescent="0.25">
      <c r="A422" s="1191">
        <v>153098</v>
      </c>
      <c r="B422" s="1192">
        <f t="shared" si="172"/>
        <v>101161.77390261902</v>
      </c>
      <c r="C422" s="1193">
        <f>(AB422-$AF$1)</f>
        <v>492</v>
      </c>
      <c r="D422" s="1194">
        <f t="shared" si="173"/>
        <v>2.8680000000000001E-2</v>
      </c>
      <c r="E422" s="1195">
        <f>duration_titre($AF$1,AA422,AB422,M422,K422,W422,V422,P422,Q422,N422,D422)</f>
        <v>1.323376378886481</v>
      </c>
      <c r="F422" s="1195">
        <f t="shared" si="174"/>
        <v>1.2864801287927061</v>
      </c>
      <c r="G422" s="1195">
        <f>convexite_titre($AF$1,AA422,AB422,M422,K422,W422,V422,P422,Q422,N422,D422)</f>
        <v>2.9282911919961307</v>
      </c>
      <c r="H422" s="1196">
        <f>+ROUND(coupon_courru($AF$1,AA422,AB422,M422,K422,W422,P422,Q422,N422,V422,"V"),4)</f>
        <v>1636.6575</v>
      </c>
      <c r="I422" s="1199">
        <f>+IF(Z422=1,B422,D422*100)</f>
        <v>2.8679999999999999</v>
      </c>
      <c r="J422" s="1193" t="s">
        <v>3224</v>
      </c>
      <c r="K422" s="1193">
        <v>100000</v>
      </c>
      <c r="L422" s="1193"/>
      <c r="M422" s="1197">
        <v>2.5100000000000001E-2</v>
      </c>
      <c r="N422" s="1193">
        <v>2</v>
      </c>
      <c r="O422" s="1200" t="s">
        <v>1716</v>
      </c>
      <c r="P422" s="1200" t="s">
        <v>1716</v>
      </c>
      <c r="Q422" s="1200" t="s">
        <v>1014</v>
      </c>
      <c r="R422" s="1287">
        <v>3.0000000000000001E-3</v>
      </c>
      <c r="S422" s="1229" cm="1">
        <f t="array" ref="S422">IF(C422&gt;'Courbe des taux'!$D$50,ROUND( TREND('Courbe des taux'!$E$49:$E$50,'Courbe des taux'!$D$49:$D$50,Lignes_détenues!C422),5),ROUND(IF(C422&gt;365,interpoler(_mat2,taux2,C422),interpoler(_mat1,taux1,C422)),5))</f>
        <v>2.5680000000000001E-2</v>
      </c>
      <c r="T422" s="1201">
        <f t="shared" si="175"/>
        <v>2.5680000000000001E-2</v>
      </c>
      <c r="U422" s="1201">
        <f>ROUND(IF(D422*366&gt;366,interpoler(_mat2,taux2,D422*366),interpoler(_mat1,taux1,D422*366)),5)</f>
        <v>2.2700000000000001E-2</v>
      </c>
      <c r="V422" s="1202" t="str">
        <f>+IF((AB422-$AF$1)&lt;=366,"M","A")</f>
        <v>A</v>
      </c>
      <c r="W422" s="1202" t="s">
        <v>287</v>
      </c>
      <c r="X422" s="1212">
        <f>+prix_titre(AF$1,AA422,AB422,M422,K422,W422,V422,P422,Q422,N422,D422,Y422)</f>
        <v>101161.77390261902</v>
      </c>
      <c r="Y422" s="1202">
        <v>1</v>
      </c>
      <c r="Z422" s="35"/>
      <c r="AA422" s="1198">
        <v>45869</v>
      </c>
      <c r="AB422" s="1198">
        <v>46599</v>
      </c>
      <c r="AC422" s="35"/>
      <c r="AD422" s="2"/>
    </row>
    <row r="423" spans="1:30" ht="15" hidden="1" x14ac:dyDescent="0.25">
      <c r="A423" s="1191">
        <v>141177</v>
      </c>
      <c r="B423" s="1192">
        <f t="shared" si="172"/>
        <v>101638.04658236599</v>
      </c>
      <c r="C423" s="1193">
        <f>(AB423-$AF$1)</f>
        <v>127</v>
      </c>
      <c r="D423" s="1194">
        <f t="shared" si="173"/>
        <v>2.7269999999999999E-2</v>
      </c>
      <c r="E423" s="1195">
        <f>duration_titre($AF$1,AA423,AB423,M423,K423,W423,V423,P423,Q423,N423,D423)</f>
        <v>0.34794520547945207</v>
      </c>
      <c r="F423" s="1195">
        <f t="shared" si="174"/>
        <v>0.33870862137456764</v>
      </c>
      <c r="G423" s="1195">
        <f>convexite_titre($AF$1,AA423,AB423,M423,K423,W423,V423,P423,Q423,N423,D423)</f>
        <v>0.44444076263923171</v>
      </c>
      <c r="H423" s="1196">
        <f>+ROUND(coupon_courru($AF$1,AA423,AB423,M423,K423,W423,P423,Q423,N423,V423,"V"),4)</f>
        <v>1705.6667</v>
      </c>
      <c r="I423" s="1199">
        <f>+IF(Z423=1,B423,D423*100)</f>
        <v>2.7269999999999999</v>
      </c>
      <c r="J423" s="1193" t="s">
        <v>3223</v>
      </c>
      <c r="K423" s="1193">
        <v>100000</v>
      </c>
      <c r="L423" s="1193"/>
      <c r="M423" s="1197">
        <v>2.58E-2</v>
      </c>
      <c r="N423" s="1193">
        <v>52</v>
      </c>
      <c r="O423" s="1200" t="s">
        <v>369</v>
      </c>
      <c r="P423" s="1200" t="s">
        <v>1716</v>
      </c>
      <c r="Q423" s="1200" t="s">
        <v>1014</v>
      </c>
      <c r="R423" s="1287">
        <v>4.0000000000000001E-3</v>
      </c>
      <c r="S423" s="1229" cm="1">
        <f t="array" ref="S423">IF(C423&gt;'Courbe des taux'!$D$50,ROUND( TREND('Courbe des taux'!$E$49:$E$50,'Courbe des taux'!$D$49:$D$50,Lignes_détenues!C423),5),ROUND(IF(C423&gt;365,interpoler(_mat2,taux2,C423),interpoler(_mat1,taux1,C423)),5))</f>
        <v>2.3269999999999999E-2</v>
      </c>
      <c r="T423" s="1201">
        <f t="shared" si="175"/>
        <v>2.3269999999999999E-2</v>
      </c>
      <c r="U423" s="1201">
        <f>ROUND(IF(D423*366&gt;366,interpoler(_mat2,taux2,D423*366),interpoler(_mat1,taux1,D423*366)),5)</f>
        <v>2.2700000000000001E-2</v>
      </c>
      <c r="V423" s="1202" t="str">
        <f>+IF((AB423-$AF$1)&lt;=366,"M","A")</f>
        <v>M</v>
      </c>
      <c r="W423" s="1202" t="s">
        <v>287</v>
      </c>
      <c r="X423" s="1212">
        <f>+prix_titre(AF$1,AA423,AB423,M423,K423,W423,V423,P423,Q423,N423,D423,Y423)</f>
        <v>101638.04658236599</v>
      </c>
      <c r="Y423" s="1202">
        <v>1</v>
      </c>
      <c r="Z423" s="35"/>
      <c r="AA423" s="1198">
        <v>45869</v>
      </c>
      <c r="AB423" s="1198">
        <v>46234</v>
      </c>
      <c r="AC423" s="35"/>
      <c r="AD423" s="2"/>
    </row>
    <row r="424" spans="1:30" ht="15" hidden="1" x14ac:dyDescent="0.25">
      <c r="A424" s="1191">
        <v>153099</v>
      </c>
      <c r="B424" s="1192">
        <f t="shared" ref="B424" si="176">X424</f>
        <v>0</v>
      </c>
      <c r="C424" s="1193">
        <f>(AB424-$AF$1)</f>
        <v>-56</v>
      </c>
      <c r="D424" s="1194">
        <f t="shared" ref="D424" si="177">ROUND(T424+R424,5)</f>
        <v>2.4500000000000001E-2</v>
      </c>
      <c r="E424" s="1195">
        <f>duration_titre($AF$1,AA424,AB424,M424,K424,W424,V424,P424,Q424,N424,D424)</f>
        <v>0</v>
      </c>
      <c r="F424" s="1195">
        <f t="shared" ref="F424" si="178">+E424/(1+D424)</f>
        <v>0</v>
      </c>
      <c r="G424" s="1195">
        <f>convexite_titre($AF$1,AA424,AB424,M424,K424,W424,V424,P424,Q424,N424,D424)</f>
        <v>0</v>
      </c>
      <c r="H424" s="1196">
        <f>+ROUND(coupon_courru($AF$1,AA424,AB424,M424,K424,W424,P424,Q424,N424,V424,"V"),4)</f>
        <v>1560.2221999999999</v>
      </c>
      <c r="I424" s="1199">
        <f>+IF(Z424=1,B424,D424*100)</f>
        <v>2.4500000000000002</v>
      </c>
      <c r="J424" s="1193" t="s">
        <v>3227</v>
      </c>
      <c r="K424" s="1193">
        <v>100000</v>
      </c>
      <c r="L424" s="1193"/>
      <c r="M424" s="1197">
        <v>2.3599999999999999E-2</v>
      </c>
      <c r="N424" s="1193">
        <v>26</v>
      </c>
      <c r="O424" s="1200" t="s">
        <v>369</v>
      </c>
      <c r="P424" s="1200" t="s">
        <v>1716</v>
      </c>
      <c r="Q424" s="1200" t="s">
        <v>1014</v>
      </c>
      <c r="R424" s="1287">
        <v>1.8E-3</v>
      </c>
      <c r="S424" s="1229" cm="1">
        <f t="array" ref="S424">IF(C424&gt;'Courbe des taux'!$D$50,ROUND( TREND('Courbe des taux'!$E$49:$E$50,'Courbe des taux'!$D$49:$D$50,Lignes_détenues!C424),5),ROUND(IF(C424&gt;365,interpoler(_mat2,taux2,C424),interpoler(_mat1,taux1,C424)),5))</f>
        <v>2.2700000000000001E-2</v>
      </c>
      <c r="T424" s="1201">
        <f t="shared" ref="T424" si="179">S424</f>
        <v>2.2700000000000001E-2</v>
      </c>
      <c r="U424" s="1201">
        <f>ROUND(IF(D424*366&gt;366,interpoler(_mat2,taux2,D424*366),interpoler(_mat1,taux1,D424*366)),5)</f>
        <v>2.2700000000000001E-2</v>
      </c>
      <c r="V424" s="1202" t="str">
        <f>+IF((AB424-$AF$1)&lt;=366,"M","A")</f>
        <v>M</v>
      </c>
      <c r="W424" s="1202" t="s">
        <v>287</v>
      </c>
      <c r="X424" s="1212">
        <f>+prix_atp(AF$1,AA424,Z424,AB424,M424,K424,W424,V424,P424,Q424,N424,D424,Y424)</f>
        <v>0</v>
      </c>
      <c r="Y424" s="1202">
        <v>1</v>
      </c>
      <c r="Z424" s="35">
        <v>45869</v>
      </c>
      <c r="AA424" s="1198">
        <v>45869</v>
      </c>
      <c r="AB424" s="1198">
        <v>46051</v>
      </c>
      <c r="AC424" s="35"/>
      <c r="AD424" s="2"/>
    </row>
    <row r="425" spans="1:30" ht="15" hidden="1" x14ac:dyDescent="0.25">
      <c r="A425" s="1191">
        <v>101000</v>
      </c>
      <c r="B425" s="1192">
        <f t="shared" ref="B425" si="180">X425</f>
        <v>99509.72520569172</v>
      </c>
      <c r="C425" s="1193">
        <f>(AB425-$AF$1)</f>
        <v>1593</v>
      </c>
      <c r="D425" s="1194">
        <f t="shared" ref="D425" si="181">ROUND(T425+R425,5)</f>
        <v>3.6110000000000003E-2</v>
      </c>
      <c r="E425" s="1195">
        <f>duration_titre($AF$1,AA425,AB425,M425,K425,W425,V425,P425,Q425,N425,D425)</f>
        <v>4.0766694730909947</v>
      </c>
      <c r="F425" s="1195">
        <f t="shared" ref="F425" si="182">+E425/(1+D425)</f>
        <v>3.9345913784163788</v>
      </c>
      <c r="G425" s="1195">
        <f>convexite_titre($AF$1,AA425,AB425,M425,K425,W425,V425,P425,Q425,N425,D425)</f>
        <v>20.015401034321059</v>
      </c>
      <c r="H425" s="1196">
        <f>+ROUND(coupon_courru($AF$1,AA425,AB425,M425,K425,W425,P425,Q425,N425,V425,"V"),4)</f>
        <v>1915.0685000000001</v>
      </c>
      <c r="I425" s="1199">
        <f>+IF(Z425=1,B425,D425*100)</f>
        <v>3.6110000000000002</v>
      </c>
      <c r="J425" s="1193" t="s">
        <v>3228</v>
      </c>
      <c r="K425" s="1193">
        <v>100000</v>
      </c>
      <c r="L425" s="1193"/>
      <c r="M425" s="1197">
        <v>0.03</v>
      </c>
      <c r="N425" s="1193">
        <v>5</v>
      </c>
      <c r="O425" s="1200" t="s">
        <v>1716</v>
      </c>
      <c r="P425" s="1200" t="s">
        <v>1716</v>
      </c>
      <c r="Q425" s="1200" t="s">
        <v>1014</v>
      </c>
      <c r="R425" s="1287">
        <v>6.0000000000000001E-3</v>
      </c>
      <c r="S425" s="1229" cm="1">
        <f t="array" ref="S425">IF(C425&gt;'Courbe des taux'!$D$50,ROUND( TREND('Courbe des taux'!$E$49:$E$50,'Courbe des taux'!$D$49:$D$50,Lignes_détenues!C425),5),ROUND(IF(C425&gt;365,interpoler(_mat2,taux2,C425),interpoler(_mat1,taux1,C425)),5))</f>
        <v>3.0110000000000001E-2</v>
      </c>
      <c r="T425" s="1201">
        <f t="shared" ref="T425" si="183">S425</f>
        <v>3.0110000000000001E-2</v>
      </c>
      <c r="U425" s="1201">
        <f>ROUND(IF(D425*366&gt;366,interpoler(_mat2,taux2,D425*366),interpoler(_mat1,taux1,D425*366)),5)</f>
        <v>2.2700000000000001E-2</v>
      </c>
      <c r="V425" s="1202" t="str">
        <f>+IF((AB425-$AF$1)&lt;=366,"M","A")</f>
        <v>A</v>
      </c>
      <c r="W425" s="1202" t="s">
        <v>287</v>
      </c>
      <c r="X425" s="1212">
        <f>+prix_atp(AF$1,AA425,Z425,AB425,M425,K425,W425,V425,P425,Q425,N425,D425,Y425)</f>
        <v>99509.72520569172</v>
      </c>
      <c r="Y425" s="1202">
        <v>1</v>
      </c>
      <c r="Z425" s="35">
        <v>45874</v>
      </c>
      <c r="AA425" s="1198">
        <v>45870</v>
      </c>
      <c r="AB425" s="1198">
        <v>47700</v>
      </c>
      <c r="AC425" s="35"/>
      <c r="AD425" s="2"/>
    </row>
    <row r="426" spans="1:30" ht="15" hidden="1" x14ac:dyDescent="0.25">
      <c r="A426" s="1191">
        <v>101001</v>
      </c>
      <c r="B426" s="1192">
        <f t="shared" ref="B426" si="184">X426</f>
        <v>101233.67208150943</v>
      </c>
      <c r="C426" s="1193">
        <f>(AB426-$AF$1)</f>
        <v>495</v>
      </c>
      <c r="D426" s="1194">
        <f t="shared" ref="D426" si="185">ROUND(T426+R426,5)</f>
        <v>2.9700000000000001E-2</v>
      </c>
      <c r="E426" s="1195">
        <f>duration_titre($AF$1,AA426,AB426,M426,K426,W426,V426,P426,Q426,N426,D426)</f>
        <v>1.3305484511990522</v>
      </c>
      <c r="F426" s="1195">
        <f t="shared" ref="F426" si="186">+E426/(1+D426)</f>
        <v>1.2921709732922717</v>
      </c>
      <c r="G426" s="1195">
        <f>convexite_titre($AF$1,AA426,AB426,M426,K426,W426,V426,P426,Q426,N426,D426)</f>
        <v>2.9481469299920326</v>
      </c>
      <c r="H426" s="1196">
        <f>+ROUND(coupon_courru($AF$1,AA426,AB426,M426,K426,W426,P426,Q426,N426,V426,"V"),4)</f>
        <v>1686.8493000000001</v>
      </c>
      <c r="I426" s="1199">
        <f>+IF(Z426=1,B426,D426*100)</f>
        <v>2.97</v>
      </c>
      <c r="J426" s="1193" t="s">
        <v>3229</v>
      </c>
      <c r="K426" s="1193">
        <v>100000</v>
      </c>
      <c r="L426" s="1193"/>
      <c r="M426" s="1197">
        <v>2.6200000000000001E-2</v>
      </c>
      <c r="N426" s="1193">
        <v>2</v>
      </c>
      <c r="O426" s="1200" t="s">
        <v>1716</v>
      </c>
      <c r="P426" s="1200" t="s">
        <v>1716</v>
      </c>
      <c r="Q426" s="1200" t="s">
        <v>1014</v>
      </c>
      <c r="R426" s="1287">
        <v>4.0000000000000001E-3</v>
      </c>
      <c r="S426" s="1229" cm="1">
        <f t="array" ref="S426">IF(C426&gt;'Courbe des taux'!$D$50,ROUND( TREND('Courbe des taux'!$E$49:$E$50,'Courbe des taux'!$D$49:$D$50,Lignes_détenues!C426),5),ROUND(IF(C426&gt;365,interpoler(_mat2,taux2,C426),interpoler(_mat1,taux1,C426)),5))</f>
        <v>2.5700000000000001E-2</v>
      </c>
      <c r="T426" s="1201">
        <f t="shared" ref="T426" si="187">S426</f>
        <v>2.5700000000000001E-2</v>
      </c>
      <c r="U426" s="1201">
        <f>ROUND(IF(D426*366&gt;366,interpoler(_mat2,taux2,D426*366),interpoler(_mat1,taux1,D426*366)),5)</f>
        <v>2.2700000000000001E-2</v>
      </c>
      <c r="V426" s="1202" t="str">
        <f>+IF((AB426-$AF$1)&lt;=366,"M","A")</f>
        <v>A</v>
      </c>
      <c r="W426" s="1202" t="s">
        <v>287</v>
      </c>
      <c r="X426" s="1212">
        <f>+prix_atp(AF$1,AA426,Z426,AB426,M426,K426,W426,V426,P426,Q426,N426,D426,Y426)</f>
        <v>101233.67208150943</v>
      </c>
      <c r="Y426" s="1202">
        <v>1</v>
      </c>
      <c r="Z426" s="35">
        <v>45870</v>
      </c>
      <c r="AA426" s="1198">
        <v>45870</v>
      </c>
      <c r="AB426" s="1198">
        <v>46602</v>
      </c>
      <c r="AC426" s="35"/>
      <c r="AD426" s="2"/>
    </row>
    <row r="427" spans="1:30" ht="15" hidden="1" x14ac:dyDescent="0.25">
      <c r="A427" s="1191">
        <v>101005</v>
      </c>
      <c r="B427" s="1192">
        <f t="shared" ref="B427" si="188">X427</f>
        <v>100111.9835</v>
      </c>
      <c r="C427" s="1193">
        <f>(AB427-$AF$1)</f>
        <v>2330</v>
      </c>
      <c r="D427" s="1194">
        <f t="shared" ref="D427" si="189">ROUND(T427+R427,5)</f>
        <v>3.7609999999999998E-2</v>
      </c>
      <c r="E427" s="1195">
        <f>duration_titre($AF$1,AA427,AB427,M427,K427,W427,V427,P427,Q427,N427,D427)</f>
        <v>5.7802208295905588</v>
      </c>
      <c r="F427" s="1195">
        <f t="shared" ref="F427" si="190">+E427/(1+D427)</f>
        <v>5.5707065560186964</v>
      </c>
      <c r="G427" s="1195">
        <f>convexite_titre($AF$1,AA427,AB427,M427,K427,W427,V427,P427,Q427,N427,D427)</f>
        <v>38.539289065851328</v>
      </c>
      <c r="H427" s="1196">
        <f>+ROUND(coupon_courru($AF$1,AA427,AB427,M427,K427,W427,P427,Q427,N427,V427,"V"),4)</f>
        <v>1878.1918000000001</v>
      </c>
      <c r="I427" s="1199">
        <f>+IF(Z427=1,B427,D427*100)</f>
        <v>3.7609999999999997</v>
      </c>
      <c r="J427" s="1193" t="s">
        <v>3230</v>
      </c>
      <c r="K427" s="1193">
        <v>100000</v>
      </c>
      <c r="L427" s="1193"/>
      <c r="M427" s="1197">
        <v>3.0200000000000001E-2</v>
      </c>
      <c r="N427" s="1193">
        <v>7</v>
      </c>
      <c r="O427" s="1200" t="s">
        <v>1716</v>
      </c>
      <c r="P427" s="1200" t="s">
        <v>1716</v>
      </c>
      <c r="Q427" s="1200" t="s">
        <v>1014</v>
      </c>
      <c r="R427" s="1287">
        <v>6.1700000000000001E-3</v>
      </c>
      <c r="S427" s="1229" cm="1">
        <f t="array" ref="S427">IF(C427&gt;'Courbe des taux'!$D$50,ROUND( TREND('Courbe des taux'!$E$49:$E$50,'Courbe des taux'!$D$49:$D$50,Lignes_détenues!C427),5),ROUND(IF(C427&gt;365,interpoler(_mat2,taux2,C427),interpoler(_mat1,taux1,C427)),5))</f>
        <v>3.1440000000000003E-2</v>
      </c>
      <c r="T427" s="1201">
        <f t="shared" ref="T427" si="191">S427</f>
        <v>3.1440000000000003E-2</v>
      </c>
      <c r="U427" s="1201">
        <f>ROUND(IF(D427*366&gt;366,interpoler(_mat2,taux2,D427*366),interpoler(_mat1,taux1,D427*366)),5)</f>
        <v>2.2700000000000001E-2</v>
      </c>
      <c r="V427" s="1202" t="str">
        <f>+IF((AB427-$AF$1)&lt;=366,"M","A")</f>
        <v>A</v>
      </c>
      <c r="W427" s="1202" t="s">
        <v>287</v>
      </c>
      <c r="X427" s="1212">
        <f>Ammortissable!C1031</f>
        <v>100111.9835</v>
      </c>
      <c r="Y427" s="1202">
        <v>1</v>
      </c>
      <c r="Z427" s="35"/>
      <c r="AA427" s="1198">
        <v>45880</v>
      </c>
      <c r="AB427" s="1198">
        <v>48437</v>
      </c>
      <c r="AC427" s="35"/>
      <c r="AD427" s="2"/>
    </row>
    <row r="428" spans="1:30" ht="15" hidden="1" x14ac:dyDescent="0.25">
      <c r="A428" s="1191">
        <v>101006</v>
      </c>
      <c r="B428" s="1192">
        <f t="shared" ref="B428" si="192">X428</f>
        <v>100577.6813</v>
      </c>
      <c r="C428" s="1193">
        <f>(AB428-$AF$1)</f>
        <v>1600</v>
      </c>
      <c r="D428" s="1194">
        <f t="shared" ref="D428" si="193">ROUND(T428+R428,5)</f>
        <v>3.5130000000000002E-2</v>
      </c>
      <c r="E428" s="1195">
        <f>duration_titre($AF$1,AA428,AB428,M428,K428,W428,V428,P428,Q428,N428,D428)</f>
        <v>4.1115508663593934</v>
      </c>
      <c r="F428" s="1195">
        <f t="shared" ref="F428" si="194">+E428/(1+D428)</f>
        <v>3.9720140140459583</v>
      </c>
      <c r="G428" s="1195">
        <f>convexite_titre($AF$1,AA428,AB428,M428,K428,W428,V428,P428,Q428,N428,D428)</f>
        <v>20.315884487954577</v>
      </c>
      <c r="H428" s="1196">
        <f>+ROUND(coupon_courru($AF$1,AA428,AB428,M428,K428,W428,P428,Q428,N428,V428,"V"),4)</f>
        <v>1746.0822000000001</v>
      </c>
      <c r="I428" s="1199">
        <f>+IF(Z428=1,B428,D428*100)</f>
        <v>3.5130000000000003</v>
      </c>
      <c r="J428" s="1193" t="s">
        <v>3231</v>
      </c>
      <c r="K428" s="1193">
        <v>100000</v>
      </c>
      <c r="L428" s="1193"/>
      <c r="M428" s="1197">
        <v>2.8199999999999999E-2</v>
      </c>
      <c r="N428" s="1193">
        <v>5</v>
      </c>
      <c r="O428" s="1200" t="s">
        <v>1716</v>
      </c>
      <c r="P428" s="1200" t="s">
        <v>1716</v>
      </c>
      <c r="Q428" s="1200" t="s">
        <v>1014</v>
      </c>
      <c r="R428" s="1287">
        <v>5.0000000000000001E-3</v>
      </c>
      <c r="S428" s="1229" cm="1">
        <f t="array" ref="S428">IF(C428&gt;'Courbe des taux'!$D$50,ROUND( TREND('Courbe des taux'!$E$49:$E$50,'Courbe des taux'!$D$49:$D$50,Lignes_détenues!C428),5),ROUND(IF(C428&gt;365,interpoler(_mat2,taux2,C428),interpoler(_mat1,taux1,C428)),5))</f>
        <v>3.0130000000000001E-2</v>
      </c>
      <c r="T428" s="1201">
        <f t="shared" ref="T428" si="195">S428</f>
        <v>3.0130000000000001E-2</v>
      </c>
      <c r="U428" s="1201">
        <f>ROUND(IF(D428*366&gt;366,interpoler(_mat2,taux2,D428*366),interpoler(_mat1,taux1,D428*366)),5)</f>
        <v>2.2700000000000001E-2</v>
      </c>
      <c r="V428" s="1202" t="str">
        <f>+IF((AB428-$AF$1)&lt;=366,"M","A")</f>
        <v>A</v>
      </c>
      <c r="W428" s="1202" t="s">
        <v>287</v>
      </c>
      <c r="X428" s="1212">
        <f>Ammortissable!C1051</f>
        <v>100577.6813</v>
      </c>
      <c r="Y428" s="1202">
        <v>1</v>
      </c>
      <c r="Z428" s="35"/>
      <c r="AA428" s="1198">
        <v>45881</v>
      </c>
      <c r="AB428" s="1198">
        <v>47707</v>
      </c>
      <c r="AC428" s="35"/>
      <c r="AD428" s="2"/>
    </row>
    <row r="429" spans="1:30" ht="15" hidden="1" x14ac:dyDescent="0.25">
      <c r="A429" s="1191">
        <v>201905</v>
      </c>
      <c r="B429" s="1192">
        <f t="shared" ref="B429:B430" si="196">X429</f>
        <v>96998.788864512171</v>
      </c>
      <c r="C429" s="1193">
        <f>(AB429-$AF$1)</f>
        <v>5226</v>
      </c>
      <c r="D429" s="1194">
        <f t="shared" ref="D429" si="197">ROUND(T429+R429,5)</f>
        <v>3.533E-2</v>
      </c>
      <c r="E429" s="1195">
        <f>duration_titre($AF$1,AA429,AB429,M429,K429,W429,V429,P429,Q429,N429,D429)</f>
        <v>11.478159086666112</v>
      </c>
      <c r="F429" s="1195">
        <f t="shared" ref="F429" si="198">+E429/(1+D429)</f>
        <v>11.086473961602689</v>
      </c>
      <c r="G429" s="1195">
        <f>convexite_titre($AF$1,AA429,AB429,M429,K429,W429,V429,P429,Q429,N429,D429)</f>
        <v>152.75087374812676</v>
      </c>
      <c r="H429" s="1196">
        <f>+ROUND(coupon_courru($AF$1,AA429,AB429,M429,K429,W429,P429,Q429,N429,V429,"V"),4)</f>
        <v>2114.1095999999998</v>
      </c>
      <c r="I429" s="1199">
        <f>+IF(Z429=1,B429,D429*100)</f>
        <v>3.5329999999999999</v>
      </c>
      <c r="J429" s="1193" t="s">
        <v>3232</v>
      </c>
      <c r="K429" s="1193">
        <v>100000</v>
      </c>
      <c r="L429" s="1193"/>
      <c r="M429" s="1197">
        <v>3.0499999999999999E-2</v>
      </c>
      <c r="N429" s="1193">
        <v>15</v>
      </c>
      <c r="O429" s="1200" t="s">
        <v>1716</v>
      </c>
      <c r="P429" s="1200" t="s">
        <v>1716</v>
      </c>
      <c r="Q429" s="1200" t="s">
        <v>1014</v>
      </c>
      <c r="R429" s="1287">
        <v>0</v>
      </c>
      <c r="S429" s="1229" cm="1">
        <f t="array" ref="S429">IF(C429&gt;'Courbe des taux'!$D$50,ROUND( TREND('Courbe des taux'!$E$49:$E$50,'Courbe des taux'!$D$49:$D$50,Lignes_détenues!C429),5),ROUND(IF(C429&gt;365,interpoler(_mat2,taux2,C429),interpoler(_mat1,taux1,C429)),5))</f>
        <v>3.533E-2</v>
      </c>
      <c r="T429" s="1201">
        <f t="shared" ref="T429" si="199">S429</f>
        <v>3.533E-2</v>
      </c>
      <c r="U429" s="1201">
        <f>ROUND(IF(D429*366&gt;366,interpoler(_mat2,taux2,D429*366),interpoler(_mat1,taux1,D429*366)),5)</f>
        <v>2.2700000000000001E-2</v>
      </c>
      <c r="V429" s="1202" t="str">
        <f>+IF((AB429-$AF$1)&lt;=366,"M","A")</f>
        <v>A</v>
      </c>
      <c r="W429" s="1202" t="s">
        <v>287</v>
      </c>
      <c r="X429" s="1212">
        <f>+prix_atp(AF$1,AA429,Z429,AB429,M429,K429,W429,V429,P429,Q429,N429,D429,Y429)</f>
        <v>96998.788864512171</v>
      </c>
      <c r="Y429" s="1202">
        <v>1</v>
      </c>
      <c r="Z429" s="35">
        <v>45854</v>
      </c>
      <c r="AA429" s="1198">
        <v>45824</v>
      </c>
      <c r="AB429" s="1198">
        <v>51333</v>
      </c>
      <c r="AC429" s="35"/>
      <c r="AD429" s="2"/>
    </row>
    <row r="430" spans="1:30" ht="15" hidden="1" x14ac:dyDescent="0.25">
      <c r="A430" s="1191">
        <v>153107</v>
      </c>
      <c r="B430" s="1192">
        <f t="shared" si="196"/>
        <v>0</v>
      </c>
      <c r="C430" s="1193">
        <f>(AB430-$AF$1)</f>
        <v>-27</v>
      </c>
      <c r="D430" s="1194">
        <f t="shared" ref="D430" si="200">ROUND(T430+R430,5)</f>
        <v>2.47E-2</v>
      </c>
      <c r="E430" s="1195">
        <f>duration_titre($AF$1,AA430,AB430,M430,K430,W430,V430,P430,Q430,N430,D430)</f>
        <v>0</v>
      </c>
      <c r="F430" s="1195">
        <f t="shared" ref="F430" si="201">+E430/(1+D430)</f>
        <v>0</v>
      </c>
      <c r="G430" s="1195">
        <f>convexite_titre($AF$1,AA430,AB430,M430,K430,W430,V430,P430,Q430,N430,D430)</f>
        <v>0</v>
      </c>
      <c r="H430" s="1196">
        <f>+ROUND(coupon_courru($AF$1,AA430,AB430,M430,K430,W430,P430,Q430,N430,V430,"V"),4)</f>
        <v>1387.5278000000001</v>
      </c>
      <c r="I430" s="1199">
        <f>+IF(Z430=1,B430,D430*100)</f>
        <v>2.4699999999999998</v>
      </c>
      <c r="J430" s="1193" t="s">
        <v>3233</v>
      </c>
      <c r="K430" s="1193">
        <v>100000</v>
      </c>
      <c r="L430" s="1193"/>
      <c r="M430" s="1197">
        <v>2.3900000000000001E-2</v>
      </c>
      <c r="N430" s="1193">
        <v>26</v>
      </c>
      <c r="O430" s="1200" t="s">
        <v>369</v>
      </c>
      <c r="P430" s="1200" t="s">
        <v>369</v>
      </c>
      <c r="Q430" s="1200" t="s">
        <v>1014</v>
      </c>
      <c r="R430" s="1287">
        <v>2E-3</v>
      </c>
      <c r="S430" s="1229" cm="1">
        <f t="array" ref="S430">IF(C430&gt;'Courbe des taux'!$D$50,ROUND( TREND('Courbe des taux'!$E$49:$E$50,'Courbe des taux'!$D$49:$D$50,Lignes_détenues!C430),5),ROUND(IF(C430&gt;365,interpoler(_mat2,taux2,C430),interpoler(_mat1,taux1,C430)),5))</f>
        <v>2.2700000000000001E-2</v>
      </c>
      <c r="T430" s="1201">
        <f t="shared" ref="T430" si="202">S430</f>
        <v>2.2700000000000001E-2</v>
      </c>
      <c r="U430" s="1201">
        <f>ROUND(IF(D430*366&gt;366,interpoler(_mat2,taux2,D430*366),interpoler(_mat1,taux1,D430*366)),5)</f>
        <v>2.2700000000000001E-2</v>
      </c>
      <c r="V430" s="1202" t="str">
        <f>+IF((AB430-$AF$1)&lt;=366,"M","A")</f>
        <v>M</v>
      </c>
      <c r="W430" s="1202" t="s">
        <v>287</v>
      </c>
      <c r="X430" s="1212">
        <f>+prix_atp(AF$1,AA430,Z430,AB430,M430,K430,W430,V430,P430,Q430,N430,D430,Y430)</f>
        <v>0</v>
      </c>
      <c r="Y430" s="1202">
        <v>1</v>
      </c>
      <c r="Z430" s="35">
        <v>45898</v>
      </c>
      <c r="AA430" s="1198">
        <v>45898</v>
      </c>
      <c r="AB430" s="1198">
        <v>46080</v>
      </c>
      <c r="AC430" s="35"/>
      <c r="AD430" s="2"/>
    </row>
    <row r="431" spans="1:30" ht="15" hidden="1" x14ac:dyDescent="0.25">
      <c r="A431" s="1191">
        <v>153108</v>
      </c>
      <c r="B431" s="1192">
        <f t="shared" ref="B431" si="203">X431</f>
        <v>101307.82972736377</v>
      </c>
      <c r="C431" s="1193">
        <f>(AB431-$AF$1)</f>
        <v>158</v>
      </c>
      <c r="D431" s="1194">
        <f t="shared" ref="D431" si="204">ROUND(T431+R431,5)</f>
        <v>2.5989999999999999E-2</v>
      </c>
      <c r="E431" s="1195">
        <f>duration_titre($AF$1,AA431,AB431,M431,K431,W431,V431,P431,Q431,N431,D431)</f>
        <v>0.43287671232876712</v>
      </c>
      <c r="F431" s="1195">
        <f t="shared" ref="F431" si="205">+E431/(1+D431)</f>
        <v>0.42191123922140289</v>
      </c>
      <c r="G431" s="1195">
        <f>convexite_titre($AF$1,AA431,AB431,M431,K431,W431,V431,P431,Q431,N431,D431)</f>
        <v>0.58923263321291608</v>
      </c>
      <c r="H431" s="1196">
        <f>+ROUND(coupon_courru($AF$1,AA431,AB431,M431,K431,W431,P431,Q431,N431,V431,"V"),4)</f>
        <v>1422.3611000000001</v>
      </c>
      <c r="I431" s="1199">
        <f>+IF(Z431=1,B431,D431*100)</f>
        <v>2.5989999999999998</v>
      </c>
      <c r="J431" s="1193" t="s">
        <v>3234</v>
      </c>
      <c r="K431" s="1193">
        <v>100000</v>
      </c>
      <c r="L431" s="1193"/>
      <c r="M431" s="1197">
        <v>2.4500000000000001E-2</v>
      </c>
      <c r="N431" s="1193">
        <v>52</v>
      </c>
      <c r="O431" s="1200" t="s">
        <v>369</v>
      </c>
      <c r="P431" s="1200" t="s">
        <v>369</v>
      </c>
      <c r="Q431" s="1200" t="s">
        <v>1014</v>
      </c>
      <c r="R431" s="1287">
        <v>2.5000000000000001E-3</v>
      </c>
      <c r="S431" s="1229" cm="1">
        <f t="array" ref="S431">IF(C431&gt;'Courbe des taux'!$D$50,ROUND( TREND('Courbe des taux'!$E$49:$E$50,'Courbe des taux'!$D$49:$D$50,Lignes_détenues!C431),5),ROUND(IF(C431&gt;365,interpoler(_mat2,taux2,C431),interpoler(_mat1,taux1,C431)),5))</f>
        <v>2.349E-2</v>
      </c>
      <c r="T431" s="1201">
        <f t="shared" ref="T431" si="206">S431</f>
        <v>2.349E-2</v>
      </c>
      <c r="U431" s="1201">
        <f>ROUND(IF(D431*366&gt;366,interpoler(_mat2,taux2,D431*366),interpoler(_mat1,taux1,D431*366)),5)</f>
        <v>2.2700000000000001E-2</v>
      </c>
      <c r="V431" s="1202" t="str">
        <f>+IF((AB431-$AF$1)&lt;=366,"M","A")</f>
        <v>M</v>
      </c>
      <c r="W431" s="1202" t="s">
        <v>287</v>
      </c>
      <c r="X431" s="1212">
        <f>+prix_atp(AF$1,AA431,Z431,AB431,M431,K431,W431,V431,P431,Q431,N431,D431,Y431)</f>
        <v>101307.82972736377</v>
      </c>
      <c r="Y431" s="1202">
        <v>1</v>
      </c>
      <c r="Z431" s="35">
        <v>45898</v>
      </c>
      <c r="AA431" s="1198">
        <v>45898</v>
      </c>
      <c r="AB431" s="1198">
        <v>46265</v>
      </c>
      <c r="AC431" s="35"/>
      <c r="AD431" s="2"/>
    </row>
    <row r="432" spans="1:30" ht="15" hidden="1" x14ac:dyDescent="0.25">
      <c r="A432" s="1191">
        <v>201898</v>
      </c>
      <c r="B432" s="1192">
        <f>X432</f>
        <v>99294.360367719957</v>
      </c>
      <c r="C432" s="1193">
        <f>(AB432-$AF$1)</f>
        <v>7088</v>
      </c>
      <c r="D432" s="1194">
        <f t="shared" ref="D432:D437" si="207">ROUND(T432+R432,5)</f>
        <v>3.6510000000000001E-2</v>
      </c>
      <c r="E432" s="1195">
        <f>duration_titre($AF$1,AA432,AB432,M432,K432,W432,V432,P432,Q432,N432,D432)</f>
        <v>14.136469057156527</v>
      </c>
      <c r="F432" s="1195">
        <f t="shared" ref="F432" si="208">+E432/(1+D432)</f>
        <v>13.638526456239232</v>
      </c>
      <c r="G432" s="1195">
        <f>convexite_titre($AF$1,AA432,AB432,M432,K432,W432,V432,P432,Q432,N432,D432)</f>
        <v>240.68625453123332</v>
      </c>
      <c r="H432" s="1196">
        <f>+ROUND(coupon_courru($AF$1,AA432,AB432,M432,K432,W432,P432,Q432,N432,V432,"V"),4)</f>
        <v>2021.3698999999999</v>
      </c>
      <c r="I432" s="1199">
        <f>+IF(Z432=1,B432,D432*100)</f>
        <v>3.6510000000000002</v>
      </c>
      <c r="J432" s="1193" t="s">
        <v>3235</v>
      </c>
      <c r="K432" s="1193">
        <v>100000</v>
      </c>
      <c r="L432" s="1193"/>
      <c r="M432" s="1197">
        <v>3.4000000000000002E-2</v>
      </c>
      <c r="N432" s="1193">
        <v>20</v>
      </c>
      <c r="O432" s="1200" t="s">
        <v>1716</v>
      </c>
      <c r="P432" s="1200" t="s">
        <v>1716</v>
      </c>
      <c r="Q432" s="1200" t="s">
        <v>1014</v>
      </c>
      <c r="R432" s="1287">
        <v>0</v>
      </c>
      <c r="S432" s="1229" cm="1">
        <f t="array" ref="S432">IF(C432&gt;'Courbe des taux'!$D$50,ROUND( TREND('Courbe des taux'!$E$49:$E$50,'Courbe des taux'!$D$49:$D$50,Lignes_détenues!C432),5),ROUND(IF(C432&gt;365,interpoler(_mat2,taux2,C432),interpoler(_mat1,taux1,C432)),5))</f>
        <v>3.6510000000000001E-2</v>
      </c>
      <c r="T432" s="1201">
        <f t="shared" ref="T432" si="209">S432</f>
        <v>3.6510000000000001E-2</v>
      </c>
      <c r="U432" s="1201">
        <f>ROUND(IF(D432*366&gt;366,interpoler(_mat2,taux2,D432*366),interpoler(_mat1,taux1,D432*366)),5)</f>
        <v>2.2700000000000001E-2</v>
      </c>
      <c r="V432" s="1202" t="str">
        <f>+IF((AB432-$AF$1)&lt;=366,"M","A")</f>
        <v>A</v>
      </c>
      <c r="W432" s="1202" t="s">
        <v>287</v>
      </c>
      <c r="X432" s="1212">
        <f>+prix_atp(AF$1,AA432,Z432,AB432,M432,K432,W432,V432,P432,Q432,N432,D432,Y432)</f>
        <v>99294.360367719957</v>
      </c>
      <c r="Y432" s="1202">
        <v>1</v>
      </c>
      <c r="Z432" s="35">
        <v>45890</v>
      </c>
      <c r="AA432" s="1198">
        <v>45810</v>
      </c>
      <c r="AB432" s="1198">
        <v>53195</v>
      </c>
      <c r="AC432" s="35"/>
      <c r="AD432" s="2"/>
    </row>
    <row r="433" spans="1:30" ht="15" hidden="1" x14ac:dyDescent="0.25">
      <c r="A433" s="1191">
        <v>201918</v>
      </c>
      <c r="B433" s="1192">
        <f>X433</f>
        <v>100996.11427601161</v>
      </c>
      <c r="C433" s="1193">
        <f>(AB433-$AF$1)</f>
        <v>508</v>
      </c>
      <c r="D433" s="1194">
        <f t="shared" si="207"/>
        <v>2.5749999999999999E-2</v>
      </c>
      <c r="E433" s="1195">
        <f>duration_titre($AF$1,AA433,AB433,M433,K433,W433,V433,P433,Q433,N433,D433)</f>
        <v>1.369707533603375</v>
      </c>
      <c r="F433" s="1195">
        <f>+E433/(1+D433)</f>
        <v>1.335322967198026</v>
      </c>
      <c r="G433" s="1195">
        <f>convexite_titre($AF$1,AA433,AB433,M433,K433,W433,V433,P433,Q433,N433,D433)</f>
        <v>3.1054048901005182</v>
      </c>
      <c r="H433" s="1196">
        <f>+ROUND(coupon_courru($AF$1,AA433,AB433,M433,K433,W433,P433,Q433,N433,V433,"V"),4)</f>
        <v>1368.4931999999999</v>
      </c>
      <c r="I433" s="1199">
        <f>+IF(Z433=1,B433,D433*100)</f>
        <v>2.5749999999999997</v>
      </c>
      <c r="J433" s="1193" t="s">
        <v>3236</v>
      </c>
      <c r="K433" s="1193">
        <v>100000</v>
      </c>
      <c r="L433" s="1193"/>
      <c r="M433" s="1197">
        <v>2.2499999999999999E-2</v>
      </c>
      <c r="N433" s="1193">
        <v>2</v>
      </c>
      <c r="O433" s="1200" t="s">
        <v>1716</v>
      </c>
      <c r="P433" s="1200" t="s">
        <v>1716</v>
      </c>
      <c r="Q433" s="1200" t="s">
        <v>1014</v>
      </c>
      <c r="R433" s="1287">
        <v>0</v>
      </c>
      <c r="S433" s="1229" cm="1">
        <f t="array" ref="S433">IF(C433&gt;'Courbe des taux'!$D$50,ROUND( TREND('Courbe des taux'!$E$49:$E$50,'Courbe des taux'!$D$49:$D$50,Lignes_détenues!C433),5),ROUND(IF(C433&gt;365,interpoler(_mat2,taux2,C433),interpoler(_mat1,taux1,C433)),5))</f>
        <v>2.5749999999999999E-2</v>
      </c>
      <c r="T433" s="1201">
        <f t="shared" ref="T433" si="210">S433</f>
        <v>2.5749999999999999E-2</v>
      </c>
      <c r="U433" s="1201">
        <f>ROUND(IF(D433*366&gt;366,interpoler(_mat2,taux2,D433*366),interpoler(_mat1,taux1,D433*366)),5)</f>
        <v>2.2700000000000001E-2</v>
      </c>
      <c r="V433" s="1202" t="str">
        <f>+IF((AB433-$AF$1)&lt;=366,"M","A")</f>
        <v>A</v>
      </c>
      <c r="W433" s="1202" t="s">
        <v>287</v>
      </c>
      <c r="X433" s="1212">
        <f>+prix_atp(AF$1,AA433,Z433,AB433,M433,K433,W433,V433,P433,Q433,N433,D433,Y433)</f>
        <v>100996.11427601161</v>
      </c>
      <c r="Y433" s="1202">
        <v>1</v>
      </c>
      <c r="Z433" s="35">
        <v>45885</v>
      </c>
      <c r="AA433" s="1198">
        <v>45873</v>
      </c>
      <c r="AB433" s="1198">
        <v>46615</v>
      </c>
      <c r="AC433" s="35"/>
      <c r="AD433" s="2"/>
    </row>
    <row r="434" spans="1:30" ht="15" hidden="1" x14ac:dyDescent="0.25">
      <c r="A434" s="1191">
        <v>141180</v>
      </c>
      <c r="B434" s="1192">
        <f t="shared" ref="B434:B437" si="211">X434</f>
        <v>0</v>
      </c>
      <c r="C434" s="1193">
        <f>(AB434-$AF$1)</f>
        <v>-8</v>
      </c>
      <c r="D434" s="1194">
        <f t="shared" si="207"/>
        <v>2.3699999999999999E-2</v>
      </c>
      <c r="E434" s="1195">
        <f>duration_titre($AF$1,AA434,AB434,M434,K434,W434,V434,P434,Q434,N434,D434)</f>
        <v>0</v>
      </c>
      <c r="F434" s="1195">
        <f>+E434/(1+D434)</f>
        <v>0</v>
      </c>
      <c r="G434" s="1195">
        <f>convexite_titre($AF$1,AA434,AB434,M434,K434,W434,V434,P434,Q434,N434,D434)</f>
        <v>0</v>
      </c>
      <c r="H434" s="1196">
        <f>+ROUND(coupon_courru($AF$1,AA434,AB434,M434,K434,W434,P434,Q434,N434,V434,"V"),4)</f>
        <v>1212.75</v>
      </c>
      <c r="I434" s="1199">
        <f>+IF(Z434=1,B434,D434*100)</f>
        <v>2.37</v>
      </c>
      <c r="J434" s="1193" t="s">
        <v>3237</v>
      </c>
      <c r="K434" s="1193">
        <v>100000</v>
      </c>
      <c r="L434" s="1193"/>
      <c r="M434" s="1197">
        <v>2.3099999999999999E-2</v>
      </c>
      <c r="N434" s="1193">
        <v>26</v>
      </c>
      <c r="O434" s="1200" t="s">
        <v>369</v>
      </c>
      <c r="P434" s="1200" t="s">
        <v>369</v>
      </c>
      <c r="Q434" s="1200" t="s">
        <v>1014</v>
      </c>
      <c r="R434" s="1287">
        <v>1E-3</v>
      </c>
      <c r="S434" s="1229" cm="1">
        <f t="array" ref="S434">IF(C434&gt;'Courbe des taux'!$D$50,ROUND( TREND('Courbe des taux'!$E$49:$E$50,'Courbe des taux'!$D$49:$D$50,Lignes_détenues!C434),5),ROUND(IF(C434&gt;365,interpoler(_mat2,taux2,C434),interpoler(_mat1,taux1,C434)),5))</f>
        <v>2.2700000000000001E-2</v>
      </c>
      <c r="T434" s="1201">
        <f t="shared" ref="T434" si="212">S434</f>
        <v>2.2700000000000001E-2</v>
      </c>
      <c r="U434" s="1201">
        <f>ROUND(IF(D434*366&gt;366,interpoler(_mat2,taux2,D434*366),interpoler(_mat1,taux1,D434*366)),5)</f>
        <v>2.2700000000000001E-2</v>
      </c>
      <c r="V434" s="1202" t="str">
        <f>+IF((AB434-$AF$1)&lt;=366,"M","A")</f>
        <v>M</v>
      </c>
      <c r="W434" s="1202" t="s">
        <v>287</v>
      </c>
      <c r="X434" s="1212">
        <f>+prix_atp(AF$1,AA434,Z434,AB434,M434,K434,W434,V434,P434,Q434,N434,D434,Y434)</f>
        <v>0</v>
      </c>
      <c r="Y434" s="1202">
        <v>1</v>
      </c>
      <c r="Z434" s="35">
        <v>45918</v>
      </c>
      <c r="AA434" s="1198">
        <v>45918</v>
      </c>
      <c r="AB434" s="1198">
        <v>46099</v>
      </c>
      <c r="AC434" s="35"/>
      <c r="AD434" s="2"/>
    </row>
    <row r="435" spans="1:30" ht="15" hidden="1" x14ac:dyDescent="0.25">
      <c r="A435" s="1191">
        <v>153110</v>
      </c>
      <c r="B435" s="1192">
        <f t="shared" si="211"/>
        <v>101233.53619855437</v>
      </c>
      <c r="C435" s="1193">
        <f>(AB435-$AF$1)</f>
        <v>161</v>
      </c>
      <c r="D435" s="1194">
        <f t="shared" si="207"/>
        <v>2.6009999999999998E-2</v>
      </c>
      <c r="E435" s="1195">
        <f>duration_titre($AF$1,AA435,AB435,M435,K435,W435,V435,P435,Q435,N435,D435)</f>
        <v>0.44109589041095892</v>
      </c>
      <c r="F435" s="1195">
        <f>+E435/(1+D435)</f>
        <v>0.42991383164974889</v>
      </c>
      <c r="G435" s="1195">
        <f>convexite_titre($AF$1,AA435,AB435,M435,K435,W435,V435,P435,Q435,N435,D435)</f>
        <v>0.60384114776784037</v>
      </c>
      <c r="H435" s="1196">
        <f>+ROUND(coupon_courru($AF$1,AA435,AB435,M435,K435,W435,P435,Q435,N435,V435,"V"),4)</f>
        <v>1302</v>
      </c>
      <c r="I435" s="1199">
        <f>+IF(Z435=1,B435,D435*100)</f>
        <v>2.601</v>
      </c>
      <c r="J435" s="1193" t="s">
        <v>3238</v>
      </c>
      <c r="K435" s="1193">
        <v>100000</v>
      </c>
      <c r="L435" s="1193"/>
      <c r="M435" s="1197">
        <v>2.4799999999999999E-2</v>
      </c>
      <c r="N435" s="1193">
        <v>52</v>
      </c>
      <c r="O435" s="1200" t="s">
        <v>369</v>
      </c>
      <c r="P435" s="1200" t="s">
        <v>369</v>
      </c>
      <c r="Q435" s="1200" t="s">
        <v>1014</v>
      </c>
      <c r="R435" s="1287">
        <v>2.5000000000000001E-3</v>
      </c>
      <c r="S435" s="1229" cm="1">
        <f t="array" ref="S435">IF(C435&gt;'Courbe des taux'!$D$50,ROUND( TREND('Courbe des taux'!$E$49:$E$50,'Courbe des taux'!$D$49:$D$50,Lignes_détenues!C435),5),ROUND(IF(C435&gt;365,interpoler(_mat2,taux2,C435),interpoler(_mat1,taux1,C435)),5))</f>
        <v>2.351E-2</v>
      </c>
      <c r="T435" s="1201">
        <f t="shared" ref="T435" si="213">S435</f>
        <v>2.351E-2</v>
      </c>
      <c r="U435" s="1201">
        <f>ROUND(IF(D435*366&gt;366,interpoler(_mat2,taux2,D435*366),interpoler(_mat1,taux1,D435*366)),5)</f>
        <v>2.2700000000000001E-2</v>
      </c>
      <c r="V435" s="1202" t="str">
        <f>+IF((AB435-$AF$1)&lt;=366,"M","A")</f>
        <v>M</v>
      </c>
      <c r="W435" s="1202" t="s">
        <v>287</v>
      </c>
      <c r="X435" s="1212">
        <f>+prix_atp(AF$1,AA435,Z435,AB435,M435,K435,W435,V435,P435,Q435,N435,D435,Y435)</f>
        <v>101233.53619855437</v>
      </c>
      <c r="Y435" s="1202">
        <v>1</v>
      </c>
      <c r="Z435" s="35">
        <v>45918</v>
      </c>
      <c r="AA435" s="1198">
        <v>45918</v>
      </c>
      <c r="AB435" s="1198">
        <v>46268</v>
      </c>
      <c r="AC435" s="35"/>
      <c r="AD435" s="2"/>
    </row>
    <row r="436" spans="1:30" ht="15" hidden="1" x14ac:dyDescent="0.25">
      <c r="A436" s="1191">
        <v>153111</v>
      </c>
      <c r="B436" s="1192">
        <f t="shared" si="211"/>
        <v>0</v>
      </c>
      <c r="C436" s="1193">
        <f>(AB436-$AF$1)</f>
        <v>-21</v>
      </c>
      <c r="D436" s="1194">
        <f t="shared" si="207"/>
        <v>2.47E-2</v>
      </c>
      <c r="E436" s="1195">
        <f>duration_titre($AF$1,AA436,AB436,M436,K436,W436,V436,P436,Q436,N436,D436)</f>
        <v>0</v>
      </c>
      <c r="F436" s="1195">
        <f>+E436/(1+D436)</f>
        <v>0</v>
      </c>
      <c r="G436" s="1195">
        <f>convexite_titre($AF$1,AA436,AB436,M436,K436,W436,V436,P436,Q436,N436,D436)</f>
        <v>0</v>
      </c>
      <c r="H436" s="1196">
        <f>+ROUND(coupon_courru($AF$1,AA436,AB436,M436,K436,W436,P436,Q436,N436,V436,"V"),4)</f>
        <v>1265.25</v>
      </c>
      <c r="I436" s="1199">
        <f>+IF(Z436=1,B436,D436*100)</f>
        <v>2.4699999999999998</v>
      </c>
      <c r="J436" s="1193" t="s">
        <v>3239</v>
      </c>
      <c r="K436" s="1193">
        <v>100000</v>
      </c>
      <c r="L436" s="1193"/>
      <c r="M436" s="1197">
        <v>2.41E-2</v>
      </c>
      <c r="N436" s="1193">
        <v>26</v>
      </c>
      <c r="O436" s="1200" t="s">
        <v>369</v>
      </c>
      <c r="P436" s="1200" t="s">
        <v>369</v>
      </c>
      <c r="Q436" s="1200" t="s">
        <v>1014</v>
      </c>
      <c r="R436" s="1287">
        <v>2E-3</v>
      </c>
      <c r="S436" s="1229" cm="1">
        <f t="array" ref="S436">IF(C436&gt;'Courbe des taux'!$D$50,ROUND( TREND('Courbe des taux'!$E$49:$E$50,'Courbe des taux'!$D$49:$D$50,Lignes_détenues!C436),5),ROUND(IF(C436&gt;365,interpoler(_mat2,taux2,C436),interpoler(_mat1,taux1,C436)),5))</f>
        <v>2.2700000000000001E-2</v>
      </c>
      <c r="T436" s="1201">
        <f t="shared" ref="T436" si="214">S436</f>
        <v>2.2700000000000001E-2</v>
      </c>
      <c r="U436" s="1201">
        <f>ROUND(IF(D436*366&gt;366,interpoler(_mat2,taux2,D436*366),interpoler(_mat1,taux1,D436*366)),5)</f>
        <v>2.2700000000000001E-2</v>
      </c>
      <c r="V436" s="1202" t="str">
        <f>+IF((AB436-$AF$1)&lt;=366,"M","A")</f>
        <v>M</v>
      </c>
      <c r="W436" s="1202" t="s">
        <v>287</v>
      </c>
      <c r="X436" s="1212">
        <f>+prix_atp(AF$1,AA436,Z436,AB436,M436,K436,W436,V436,P436,Q436,N436,D436,Y436)</f>
        <v>0</v>
      </c>
      <c r="Y436" s="1202">
        <v>1</v>
      </c>
      <c r="Z436" s="35">
        <v>45918</v>
      </c>
      <c r="AA436" s="1198">
        <v>45918</v>
      </c>
      <c r="AB436" s="1198">
        <v>46086</v>
      </c>
      <c r="AC436" s="35"/>
      <c r="AD436" s="2"/>
    </row>
    <row r="437" spans="1:30" ht="15" hidden="1" x14ac:dyDescent="0.25">
      <c r="A437" s="1191">
        <v>201906</v>
      </c>
      <c r="B437" s="1192">
        <f t="shared" si="211"/>
        <v>101506.60814773718</v>
      </c>
      <c r="C437" s="1193">
        <f>(AB437-$AF$1)</f>
        <v>144</v>
      </c>
      <c r="D437" s="1194">
        <f t="shared" si="207"/>
        <v>2.3400000000000001E-2</v>
      </c>
      <c r="E437" s="1195">
        <f>duration_titre($AF$1,AA437,AB437,M437,K437,W437,V437,P437,Q437,N437,D437)</f>
        <v>0.39452054794520547</v>
      </c>
      <c r="F437" s="1195">
        <f>+E437/(1+D437)</f>
        <v>0.38549985142193222</v>
      </c>
      <c r="G437" s="1195">
        <f>convexite_titre($AF$1,AA437,AB437,M437,K437,W437,V437,P437,Q437,N437,D437)</f>
        <v>0.52529554820960334</v>
      </c>
      <c r="H437" s="1196">
        <f>+ROUND(coupon_courru($AF$1,AA437,AB437,M437,K437,W437,P437,Q437,N437,V437,"V"),4)</f>
        <v>1650.8333</v>
      </c>
      <c r="I437" s="1199">
        <f>+IF(Z437=1,B437,D437*100)</f>
        <v>2.34</v>
      </c>
      <c r="J437" s="1193" t="s">
        <v>3240</v>
      </c>
      <c r="K437" s="1193">
        <v>100000</v>
      </c>
      <c r="L437" s="1193"/>
      <c r="M437" s="1197">
        <v>2.1000000000000001E-2</v>
      </c>
      <c r="N437" s="1193">
        <v>52</v>
      </c>
      <c r="O437" s="1200" t="s">
        <v>369</v>
      </c>
      <c r="P437" s="1200" t="s">
        <v>1716</v>
      </c>
      <c r="Q437" s="1200" t="s">
        <v>1014</v>
      </c>
      <c r="R437" s="1287"/>
      <c r="S437" s="1229" cm="1">
        <f t="array" ref="S437">IF(C437&gt;'Courbe des taux'!$D$50,ROUND( TREND('Courbe des taux'!$E$49:$E$50,'Courbe des taux'!$D$49:$D$50,Lignes_détenues!C437),5),ROUND(IF(C437&gt;365,interpoler(_mat2,taux2,C437),interpoler(_mat1,taux1,C437)),5))</f>
        <v>2.3400000000000001E-2</v>
      </c>
      <c r="T437" s="1201">
        <f t="shared" ref="T437" si="215">S437</f>
        <v>2.3400000000000001E-2</v>
      </c>
      <c r="U437" s="1201">
        <f>ROUND(IF(D437*366&gt;366,interpoler(_mat2,taux2,D437*366),interpoler(_mat1,taux1,D437*366)),5)</f>
        <v>2.2700000000000001E-2</v>
      </c>
      <c r="V437" s="1202" t="str">
        <f>+IF((AB437-$AF$1)&lt;=366,"M","A")</f>
        <v>M</v>
      </c>
      <c r="W437" s="1202" t="s">
        <v>287</v>
      </c>
      <c r="X437" s="1212">
        <f>+prix_atp(AF$1,AA437,Z437,AB437,M437,K437,W437,V437,P437,Q437,N437,D437,Y437)</f>
        <v>101506.60814773718</v>
      </c>
      <c r="Y437" s="1202">
        <v>1</v>
      </c>
      <c r="Z437" s="35">
        <v>45886</v>
      </c>
      <c r="AA437" s="1198">
        <v>45824</v>
      </c>
      <c r="AB437" s="1198">
        <v>46251</v>
      </c>
      <c r="AC437" s="35"/>
      <c r="AD437" s="2"/>
    </row>
    <row r="438" spans="1:30" ht="15" hidden="1" x14ac:dyDescent="0.25">
      <c r="A438" s="1191">
        <v>101008</v>
      </c>
      <c r="B438" s="1192">
        <f t="shared" ref="B438:B440" si="216">X438</f>
        <v>100887.2763863026</v>
      </c>
      <c r="C438" s="1193">
        <f>(AB438-$AF$1)</f>
        <v>545</v>
      </c>
      <c r="D438" s="1194">
        <f t="shared" ref="D438:D440" si="217">ROUND(T438+R438,5)</f>
        <v>3.041E-2</v>
      </c>
      <c r="E438" s="1195">
        <f>duration_titre($AF$1,AA438,AB438,M438,K438,W438,V438,P438,Q438,N438,D438)</f>
        <v>1.4666829381673763</v>
      </c>
      <c r="F438" s="1195">
        <f t="shared" ref="F438:F440" si="218">+E438/(1+D438)</f>
        <v>1.4233974225477006</v>
      </c>
      <c r="G438" s="1195">
        <f>convexite_titre($AF$1,AA438,AB438,M438,K438,W438,V438,P438,Q438,N438,D438)</f>
        <v>3.4317183318400422</v>
      </c>
      <c r="H438" s="1196">
        <f>+ROUND(coupon_courru($AF$1,AA438,AB438,M438,K438,W438,P438,Q438,N438,V438,"V"),4)</f>
        <v>1373.5616</v>
      </c>
      <c r="I438" s="1199">
        <f>+IF(Z438=1,B438,D438*100)</f>
        <v>3.0409999999999999</v>
      </c>
      <c r="J438" s="1193"/>
      <c r="K438" s="1193">
        <v>100000</v>
      </c>
      <c r="L438" s="1193"/>
      <c r="M438" s="1197">
        <v>2.7099999999999999E-2</v>
      </c>
      <c r="N438" s="1193">
        <v>2</v>
      </c>
      <c r="O438" s="1200" t="s">
        <v>1716</v>
      </c>
      <c r="P438" s="1200" t="s">
        <v>1716</v>
      </c>
      <c r="Q438" s="1200" t="s">
        <v>1014</v>
      </c>
      <c r="R438" s="1287">
        <v>4.4999999999999997E-3</v>
      </c>
      <c r="S438" s="1229" cm="1">
        <f t="array" ref="S438">IF(C438&gt;'Courbe des taux'!$D$50,ROUND( TREND('Courbe des taux'!$E$49:$E$50,'Courbe des taux'!$D$49:$D$50,Lignes_détenues!C438),5),ROUND(IF(C438&gt;365,interpoler(_mat2,taux2,C438),interpoler(_mat1,taux1,C438)),5))</f>
        <v>2.5909999999999999E-2</v>
      </c>
      <c r="T438" s="1201">
        <f t="shared" ref="T438:T440" si="219">S438</f>
        <v>2.5909999999999999E-2</v>
      </c>
      <c r="U438" s="1201">
        <f>ROUND(IF(D438*366&gt;366,interpoler(_mat2,taux2,D438*366),interpoler(_mat1,taux1,D438*366)),5)</f>
        <v>2.2700000000000001E-2</v>
      </c>
      <c r="V438" s="1202" t="str">
        <f>+IF((AB438-$AF$1)&lt;=366,"M","A")</f>
        <v>A</v>
      </c>
      <c r="W438" s="1202" t="s">
        <v>287</v>
      </c>
      <c r="X438" s="1212">
        <f>+prix_titre(AF$1,AA438,AB438,M438,K438,W438,V438,P438,Q438,N438,D438,Y438)</f>
        <v>100887.2763863026</v>
      </c>
      <c r="Y438" s="1202">
        <v>1</v>
      </c>
      <c r="Z438" s="35"/>
      <c r="AA438" s="1198">
        <v>45922</v>
      </c>
      <c r="AB438" s="1198">
        <v>46652</v>
      </c>
      <c r="AC438" s="35"/>
      <c r="AD438" s="2"/>
    </row>
    <row r="439" spans="1:30" ht="15" hidden="1" x14ac:dyDescent="0.25">
      <c r="A439" s="1191">
        <v>101009</v>
      </c>
      <c r="B439" s="1192">
        <f t="shared" si="216"/>
        <v>100391.80697252178</v>
      </c>
      <c r="C439" s="1193">
        <f>(AB439-$AF$1)</f>
        <v>911</v>
      </c>
      <c r="D439" s="1194">
        <f t="shared" si="217"/>
        <v>3.243E-2</v>
      </c>
      <c r="E439" s="1195">
        <f>duration_titre($AF$1,AA439,AB439,M439,K439,W439,V439,P439,Q439,N439,D439)</f>
        <v>2.4139407925167373</v>
      </c>
      <c r="F439" s="1195">
        <f t="shared" si="218"/>
        <v>2.338115700354249</v>
      </c>
      <c r="G439" s="1195">
        <f>convexite_titre($AF$1,AA439,AB439,M439,K439,W439,V439,P439,Q439,N439,D439)</f>
        <v>7.8540237749736903</v>
      </c>
      <c r="H439" s="1196">
        <f>+ROUND(coupon_courru($AF$1,AA439,AB439,M439,K439,W439,P439,Q439,N439,V439,"V"),4)</f>
        <v>1424.2465999999999</v>
      </c>
      <c r="I439" s="1199">
        <f>+IF(Z439=1,B439,D439*100)</f>
        <v>3.2429999999999999</v>
      </c>
      <c r="J439" s="1193"/>
      <c r="K439" s="1193">
        <v>100000</v>
      </c>
      <c r="L439" s="1193"/>
      <c r="M439" s="1197">
        <v>2.81E-2</v>
      </c>
      <c r="N439" s="1193">
        <v>3</v>
      </c>
      <c r="O439" s="1200" t="s">
        <v>1716</v>
      </c>
      <c r="P439" s="1200" t="s">
        <v>1716</v>
      </c>
      <c r="Q439" s="1200" t="s">
        <v>1014</v>
      </c>
      <c r="R439" s="1287">
        <v>5.0000000000000001E-3</v>
      </c>
      <c r="S439" s="1229" cm="1">
        <f t="array" ref="S439">IF(C439&gt;'Courbe des taux'!$D$50,ROUND( TREND('Courbe des taux'!$E$49:$E$50,'Courbe des taux'!$D$49:$D$50,Lignes_détenues!C439),5),ROUND(IF(C439&gt;365,interpoler(_mat2,taux2,C439),interpoler(_mat1,taux1,C439)),5))</f>
        <v>2.743E-2</v>
      </c>
      <c r="T439" s="1201">
        <f t="shared" si="219"/>
        <v>2.743E-2</v>
      </c>
      <c r="U439" s="1201">
        <f>ROUND(IF(D439*366&gt;366,interpoler(_mat2,taux2,D439*366),interpoler(_mat1,taux1,D439*366)),5)</f>
        <v>2.2700000000000001E-2</v>
      </c>
      <c r="V439" s="1202" t="str">
        <f>+IF((AB439-$AF$1)&lt;=366,"M","A")</f>
        <v>A</v>
      </c>
      <c r="W439" s="1202" t="s">
        <v>287</v>
      </c>
      <c r="X439" s="1212">
        <f>+prix_titre(AF$1,AA439,AB439,M439,K439,W439,V439,P439,Q439,N439,D439,Y439)</f>
        <v>100391.80697252178</v>
      </c>
      <c r="Y439" s="1202">
        <v>1</v>
      </c>
      <c r="Z439" s="35"/>
      <c r="AA439" s="1198">
        <v>45922</v>
      </c>
      <c r="AB439" s="1198">
        <v>47018</v>
      </c>
      <c r="AC439" s="35"/>
      <c r="AD439" s="2"/>
    </row>
    <row r="440" spans="1:30" ht="15" hidden="1" x14ac:dyDescent="0.25">
      <c r="A440" s="1191">
        <v>201923</v>
      </c>
      <c r="B440" s="1192">
        <f t="shared" si="216"/>
        <v>0</v>
      </c>
      <c r="C440" s="1193">
        <f>(AB440-$AF$1)</f>
        <v>-108</v>
      </c>
      <c r="D440" s="1194">
        <f t="shared" si="217"/>
        <v>2.2700000000000001E-2</v>
      </c>
      <c r="E440" s="1195">
        <f>duration_titre($AF$1,AA440,AB440,M440,K440,W440,V440,P440,Q440,N440,D440)</f>
        <v>0</v>
      </c>
      <c r="F440" s="1195">
        <f t="shared" si="218"/>
        <v>0</v>
      </c>
      <c r="G440" s="1195">
        <f>convexite_titre($AF$1,AA440,AB440,M440,K440,W440,V440,P440,Q440,N440,D440)</f>
        <v>0</v>
      </c>
      <c r="H440" s="1196">
        <f>+ROUND(coupon_courru($AF$1,AA440,AB440,M440,K440,W440,P440,Q440,N440,V440,"V"),4)</f>
        <v>923.13890000000004</v>
      </c>
      <c r="I440" s="1199">
        <f>+IF(Z440=1,B440,D440*100)</f>
        <v>2.27</v>
      </c>
      <c r="J440" s="1193"/>
      <c r="K440" s="1193">
        <v>100000</v>
      </c>
      <c r="L440" s="1193"/>
      <c r="M440" s="1197">
        <v>1.67E-2</v>
      </c>
      <c r="N440" s="1193">
        <v>13</v>
      </c>
      <c r="O440" s="1200" t="s">
        <v>369</v>
      </c>
      <c r="P440" s="1200" t="s">
        <v>1525</v>
      </c>
      <c r="Q440" s="1200" t="s">
        <v>1014</v>
      </c>
      <c r="R440" s="1287">
        <v>0</v>
      </c>
      <c r="S440" s="1229" cm="1">
        <f t="array" ref="S440">IF(C440&gt;'Courbe des taux'!$D$50,ROUND( TREND('Courbe des taux'!$E$49:$E$50,'Courbe des taux'!$D$49:$D$50,Lignes_détenues!C440),5),ROUND(IF(C440&gt;365,interpoler(_mat2,taux2,C440),interpoler(_mat1,taux1,C440)),5))</f>
        <v>2.2700000000000001E-2</v>
      </c>
      <c r="T440" s="1201">
        <f t="shared" si="219"/>
        <v>2.2700000000000001E-2</v>
      </c>
      <c r="U440" s="1201">
        <f>ROUND(IF(D440*366&gt;366,interpoler(_mat2,taux2,D440*366),interpoler(_mat1,taux1,D440*366)),5)</f>
        <v>2.2700000000000001E-2</v>
      </c>
      <c r="V440" s="1202" t="str">
        <f>+IF((AB440-$AF$1)&lt;=366,"M","A")</f>
        <v>M</v>
      </c>
      <c r="W440" s="1202" t="s">
        <v>287</v>
      </c>
      <c r="X440" s="1212">
        <f>+prix_atp(AF$1,AA440,Z440,AB440,M440,K440,W440,V440,P440,Q440,N440,D440,Y440)</f>
        <v>0</v>
      </c>
      <c r="Y440" s="1202">
        <v>1</v>
      </c>
      <c r="Z440" s="35">
        <v>45890</v>
      </c>
      <c r="AA440" s="1198">
        <v>45908</v>
      </c>
      <c r="AB440" s="1198">
        <v>45999</v>
      </c>
      <c r="AC440" s="35"/>
      <c r="AD440" s="2"/>
    </row>
    <row r="441" spans="1:30" ht="15" hidden="1" x14ac:dyDescent="0.25">
      <c r="A441" s="1191">
        <v>101010</v>
      </c>
      <c r="B441" s="1192">
        <f>X441</f>
        <v>100792.15737212918</v>
      </c>
      <c r="C441" s="1193">
        <f>(AB441-$AF$1)</f>
        <v>545</v>
      </c>
      <c r="D441" s="1194">
        <f t="shared" ref="D441" si="220">ROUND(T441+R441,5)</f>
        <v>2.972E-2</v>
      </c>
      <c r="E441" s="1195">
        <f>duration_titre($AF$1,AA441,AB441,M441,K441,W441,V441,P441,Q441,N441,D441)</f>
        <v>1.4676271213733083</v>
      </c>
      <c r="F441" s="1195">
        <f t="shared" ref="F441" si="221">+E441/(1+D441)</f>
        <v>1.4252681518988739</v>
      </c>
      <c r="G441" s="1195">
        <f>convexite_titre($AF$1,AA441,AB441,M441,K441,W441,V441,P441,Q441,N441,D441)</f>
        <v>3.4389781628935538</v>
      </c>
      <c r="H441" s="1196">
        <f>+ROUND(coupon_courru($AF$1,AA441,AB441,M441,K441,W441,P441,Q441,N441,V441,"V"),4)</f>
        <v>1322.8767</v>
      </c>
      <c r="I441" s="1199">
        <f>+IF(Z441=1,B441,D441*100)</f>
        <v>2.972</v>
      </c>
      <c r="J441" s="1193"/>
      <c r="K441" s="1193">
        <v>100000</v>
      </c>
      <c r="L441" s="1193"/>
      <c r="M441" s="1197">
        <v>2.6100000000000002E-2</v>
      </c>
      <c r="N441" s="1193">
        <v>2</v>
      </c>
      <c r="O441" s="1200" t="s">
        <v>1716</v>
      </c>
      <c r="P441" s="1200" t="s">
        <v>1716</v>
      </c>
      <c r="Q441" s="1200" t="s">
        <v>1014</v>
      </c>
      <c r="R441" s="1287">
        <v>3.81E-3</v>
      </c>
      <c r="S441" s="1229" cm="1">
        <f t="array" ref="S441">IF(C441&gt;'Courbe des taux'!$D$50,ROUND( TREND('Courbe des taux'!$E$49:$E$50,'Courbe des taux'!$D$49:$D$50,Lignes_détenues!C441),5),ROUND(IF(C441&gt;365,interpoler(_mat2,taux2,C441),interpoler(_mat1,taux1,C441)),5))</f>
        <v>2.5909999999999999E-2</v>
      </c>
      <c r="T441" s="1201">
        <f t="shared" ref="T441" si="222">S441</f>
        <v>2.5909999999999999E-2</v>
      </c>
      <c r="U441" s="1201">
        <f>ROUND(IF(D442*366&gt;366,interpoler(_mat2,taux2,D442*366),interpoler(_mat1,taux1,D442*366)),5)</f>
        <v>2.2700000000000001E-2</v>
      </c>
      <c r="V441" s="1202" t="str">
        <f>+IF((AB441-$AF$1)&lt;=366,"M","A")</f>
        <v>A</v>
      </c>
      <c r="W441" s="1202" t="s">
        <v>287</v>
      </c>
      <c r="X441" s="1212">
        <f>+prix_atp(AF$1,AA441,Z441,AB441,M441,K441,W441,V441,P441,Q441,N441,D441,Y441)</f>
        <v>100792.15737212918</v>
      </c>
      <c r="Y441" s="1202">
        <v>1</v>
      </c>
      <c r="Z441" s="35"/>
      <c r="AA441" s="1198">
        <v>45922</v>
      </c>
      <c r="AB441" s="1198">
        <v>46652</v>
      </c>
      <c r="AC441" s="35"/>
      <c r="AD441" s="2"/>
    </row>
    <row r="442" spans="1:30" ht="15" hidden="1" x14ac:dyDescent="0.25">
      <c r="A442" s="1191">
        <v>201926</v>
      </c>
      <c r="B442" s="1192">
        <f>X442</f>
        <v>100398.42081446075</v>
      </c>
      <c r="C442" s="1193">
        <f>(AB442-$AF$1)</f>
        <v>662</v>
      </c>
      <c r="D442" s="1194">
        <f t="shared" ref="D442" si="223">ROUND(T442+R442,5)</f>
        <v>2.639E-2</v>
      </c>
      <c r="E442" s="1195">
        <f>duration_titre($AF$1,AA442,AB442,M442,K442,W442,V442,P442,Q442,N442,D442)</f>
        <v>1.7916118737386901</v>
      </c>
      <c r="F442" s="1195">
        <f>+E442/(1+D442)</f>
        <v>1.7455468912778673</v>
      </c>
      <c r="G442" s="1195">
        <f>convexite_titre($AF$1,AA442,AB442,M442,K442,W442,V442,P442,Q442,N442,D442)</f>
        <v>4.7681027865400214</v>
      </c>
      <c r="H442" s="1196">
        <f>+ROUND(coupon_courru($AF$1,AA442,AB442,M442,K442,W442,P442,Q442,N442,V442,"V"),4)</f>
        <v>419.17809999999997</v>
      </c>
      <c r="I442" s="1199">
        <f>+IF(Z442=1,B442,D442*100)</f>
        <v>2.6390000000000002</v>
      </c>
      <c r="J442" s="1193" t="s">
        <v>3242</v>
      </c>
      <c r="K442" s="1193">
        <v>100000</v>
      </c>
      <c r="L442" s="1193"/>
      <c r="M442" s="1197">
        <v>2.2499999999999999E-2</v>
      </c>
      <c r="N442" s="1193">
        <v>2</v>
      </c>
      <c r="O442" s="1200" t="s">
        <v>1716</v>
      </c>
      <c r="P442" s="1200" t="s">
        <v>1716</v>
      </c>
      <c r="Q442" s="1200" t="s">
        <v>1014</v>
      </c>
      <c r="R442" s="1287">
        <v>0</v>
      </c>
      <c r="S442" s="1229" cm="1">
        <f t="array" ref="S442">IF(C442&gt;'Courbe des taux'!$D$50,ROUND( TREND('Courbe des taux'!$E$49:$E$50,'Courbe des taux'!$D$49:$D$50,Lignes_détenues!C442),5),ROUND(IF(C442&gt;365,interpoler(_mat2,taux2,C442),interpoler(_mat1,taux1,C442)),5))</f>
        <v>2.639E-2</v>
      </c>
      <c r="T442" s="1201">
        <f t="shared" ref="T442" si="224">S442</f>
        <v>2.639E-2</v>
      </c>
      <c r="U442" s="1201">
        <f>ROUND(IF(D442*366&gt;366,interpoler(_mat2,taux2,D442*366),interpoler(_mat1,taux1,D442*366)),5)</f>
        <v>2.2700000000000001E-2</v>
      </c>
      <c r="V442" s="1202" t="str">
        <f>+IF((AB442-$AF$1)&lt;=366,"M","A")</f>
        <v>A</v>
      </c>
      <c r="W442" s="1202" t="s">
        <v>287</v>
      </c>
      <c r="X442" s="1212">
        <f>+prix_atp(AF$1,AA442,Z442,AB442,M442,K442,W442,V442,P442,Q442,N442,D442,Y442)</f>
        <v>100398.42081446075</v>
      </c>
      <c r="Y442" s="1202">
        <v>1</v>
      </c>
      <c r="Z442" s="35">
        <v>46039</v>
      </c>
      <c r="AA442" s="1198">
        <v>45929</v>
      </c>
      <c r="AB442" s="1198">
        <v>46769</v>
      </c>
      <c r="AC442" s="35"/>
      <c r="AD442" s="2"/>
    </row>
    <row r="443" spans="1:30" ht="15" hidden="1" x14ac:dyDescent="0.25">
      <c r="A443" s="1191">
        <v>101012</v>
      </c>
      <c r="B443" s="1192">
        <f t="shared" ref="B443:B444" si="225">X443</f>
        <v>100323.66128708333</v>
      </c>
      <c r="C443" s="1193">
        <f>(AB443-$AF$1)</f>
        <v>925</v>
      </c>
      <c r="D443" s="1194">
        <f t="shared" ref="D443:D444" si="226">ROUND(T443+R443,5)</f>
        <v>3.1480000000000001E-2</v>
      </c>
      <c r="E443" s="1195">
        <f>duration_titre($AF$1,AA443,AB443,M443,K443,W443,V443,P443,Q443,N443,D443)</f>
        <v>2.4540273099350962</v>
      </c>
      <c r="F443" s="1195">
        <f t="shared" ref="F443:F444" si="227">+E443/(1+D443)</f>
        <v>2.3791322274160396</v>
      </c>
      <c r="G443" s="1195">
        <f>convexite_titre($AF$1,AA443,AB443,M443,K443,W443,V443,P443,Q443,N443,D443)</f>
        <v>8.0871077452558175</v>
      </c>
      <c r="H443" s="1196">
        <f>+ROUND(coupon_courru($AF$1,AA443,AB443,M443,K443,W443,P443,Q443,N443,V443,"V"),4)</f>
        <v>1288.3561999999999</v>
      </c>
      <c r="I443" s="1199">
        <f>+IF(Z443=1,B443,D443*100)</f>
        <v>3.1480000000000001</v>
      </c>
      <c r="J443" s="1193" t="s">
        <v>3243</v>
      </c>
      <c r="K443" s="1193">
        <v>100000</v>
      </c>
      <c r="L443" s="1193"/>
      <c r="M443" s="1197">
        <v>2.75E-2</v>
      </c>
      <c r="N443" s="1193">
        <v>3</v>
      </c>
      <c r="O443" s="1200" t="s">
        <v>1716</v>
      </c>
      <c r="P443" s="1200" t="s">
        <v>1716</v>
      </c>
      <c r="Q443" s="1200" t="s">
        <v>1014</v>
      </c>
      <c r="R443" s="1287">
        <v>3.9899999999999996E-3</v>
      </c>
      <c r="S443" s="1229" cm="1">
        <f t="array" ref="S443">IF(C443&gt;'Courbe des taux'!$D$50,ROUND( TREND('Courbe des taux'!$E$49:$E$50,'Courbe des taux'!$D$49:$D$50,Lignes_détenues!C443),5),ROUND(IF(C443&gt;365,interpoler(_mat2,taux2,C443),interpoler(_mat1,taux1,C443)),5))</f>
        <v>2.7490000000000001E-2</v>
      </c>
      <c r="T443" s="1201">
        <f t="shared" ref="T443:T444" si="228">S443</f>
        <v>2.7490000000000001E-2</v>
      </c>
      <c r="U443" s="1201">
        <f>ROUND(IF(D443*366&gt;366,interpoler(_mat2,taux2,D443*366),interpoler(_mat1,taux1,D443*366)),5)</f>
        <v>2.2700000000000001E-2</v>
      </c>
      <c r="V443" s="1202" t="str">
        <f>+IF((AB443-$AF$1)&lt;=366,"M","A")</f>
        <v>A</v>
      </c>
      <c r="W443" s="1202" t="s">
        <v>287</v>
      </c>
      <c r="X443" s="1212">
        <f>+prix_titre(AF$1,AA443,AB443,M443,K443,W443,V443,P443,Q443,N443,D443,Y443)</f>
        <v>100323.66128708333</v>
      </c>
      <c r="Y443" s="1202">
        <v>1</v>
      </c>
      <c r="Z443" s="35"/>
      <c r="AA443" s="1198">
        <v>45936</v>
      </c>
      <c r="AB443" s="1198">
        <v>47032</v>
      </c>
      <c r="AC443" s="35"/>
      <c r="AD443" s="2"/>
    </row>
    <row r="444" spans="1:30" ht="15" hidden="1" x14ac:dyDescent="0.25">
      <c r="A444" s="1191">
        <v>101011</v>
      </c>
      <c r="B444" s="1192">
        <f t="shared" si="225"/>
        <v>99714.882148415287</v>
      </c>
      <c r="C444" s="1193">
        <f>(AB444-$AF$1)</f>
        <v>1290</v>
      </c>
      <c r="D444" s="1194">
        <f t="shared" si="226"/>
        <v>3.3520000000000001E-2</v>
      </c>
      <c r="E444" s="1195">
        <f>duration_titre($AF$1,AA444,AB444,M444,K444,W444,V444,P444,Q444,N444,D444)</f>
        <v>3.3686083334450192</v>
      </c>
      <c r="F444" s="1195">
        <f t="shared" si="227"/>
        <v>3.259354761828527</v>
      </c>
      <c r="G444" s="1195">
        <f>convexite_titre($AF$1,AA444,AB444,M444,K444,W444,V444,P444,Q444,N444,D444)</f>
        <v>14.116379441317839</v>
      </c>
      <c r="H444" s="1196">
        <f>+ROUND(coupon_courru($AF$1,AA444,AB444,M444,K444,W444,P444,Q444,N444,V444,"V"),4)</f>
        <v>1339.8904</v>
      </c>
      <c r="I444" s="1199">
        <f>+IF(Z444=1,B444,D444*100)</f>
        <v>3.3520000000000003</v>
      </c>
      <c r="J444" s="1193" t="s">
        <v>3244</v>
      </c>
      <c r="K444" s="1193">
        <v>100000</v>
      </c>
      <c r="L444" s="1193"/>
      <c r="M444" s="1197">
        <v>2.86E-2</v>
      </c>
      <c r="N444" s="1193">
        <v>4</v>
      </c>
      <c r="O444" s="1200" t="s">
        <v>1716</v>
      </c>
      <c r="P444" s="1200" t="s">
        <v>1716</v>
      </c>
      <c r="Q444" s="1200" t="s">
        <v>1014</v>
      </c>
      <c r="R444" s="1287">
        <v>4.5100000000000001E-3</v>
      </c>
      <c r="S444" s="1229" cm="1">
        <f t="array" ref="S444">IF(C444&gt;'Courbe des taux'!$D$50,ROUND( TREND('Courbe des taux'!$E$49:$E$50,'Courbe des taux'!$D$49:$D$50,Lignes_détenues!C444),5),ROUND(IF(C444&gt;365,interpoler(_mat2,taux2,C444),interpoler(_mat1,taux1,C444)),5))</f>
        <v>2.9010000000000001E-2</v>
      </c>
      <c r="T444" s="1201">
        <f t="shared" si="228"/>
        <v>2.9010000000000001E-2</v>
      </c>
      <c r="U444" s="1201">
        <f>ROUND(IF(D444*366&gt;366,interpoler(_mat2,taux2,D444*366),interpoler(_mat1,taux1,D444*366)),5)</f>
        <v>2.2700000000000001E-2</v>
      </c>
      <c r="V444" s="1202" t="str">
        <f>+IF((AB444-$AF$1)&lt;=366,"M","A")</f>
        <v>A</v>
      </c>
      <c r="W444" s="1202" t="s">
        <v>287</v>
      </c>
      <c r="X444" s="1212">
        <f>+prix_titre(AF$1,AA444,AB444,M444,K444,W444,V444,P444,Q444,N444,D444,Y444)</f>
        <v>99714.882148415287</v>
      </c>
      <c r="Y444" s="1202">
        <v>1</v>
      </c>
      <c r="Z444" s="35"/>
      <c r="AA444" s="1198">
        <v>45814</v>
      </c>
      <c r="AB444" s="1198">
        <v>47397</v>
      </c>
      <c r="AC444" s="35"/>
      <c r="AD444" s="2"/>
    </row>
    <row r="445" spans="1:30" ht="15" hidden="1" x14ac:dyDescent="0.25">
      <c r="A445" s="1191">
        <v>101013</v>
      </c>
      <c r="B445" s="1192">
        <f>X445</f>
        <v>99083.114167934094</v>
      </c>
      <c r="C445" s="1193">
        <f>(AB445-$AF$1)</f>
        <v>1659</v>
      </c>
      <c r="D445" s="1194">
        <f>ROUND(T445+R445,5)</f>
        <v>3.5290000000000002E-2</v>
      </c>
      <c r="E445" s="1195">
        <f>duration_titre($AF$1,AA445,AB445,M445,K445,W445,V445,P445,Q445,N445,D445)</f>
        <v>4.2597671160026236</v>
      </c>
      <c r="F445" s="1195">
        <f t="shared" ref="F445" si="229">+E445/(1+D445)</f>
        <v>4.114564147246301</v>
      </c>
      <c r="G445" s="1195">
        <f>convexite_titre($AF$1,AA445,AB445,M445,K445,W445,V445,P445,Q445,N445,D445)</f>
        <v>21.636604734305017</v>
      </c>
      <c r="H445" s="1196">
        <f>+ROUND(coupon_courru($AF$1,AA445,AB445,M445,K445,W445,P445,Q445,N445,V445,"V"),4)</f>
        <v>1363.4521</v>
      </c>
      <c r="I445" s="1199">
        <f>+IF(Z445=1,B445,D445*100)</f>
        <v>3.5290000000000004</v>
      </c>
      <c r="J445" s="1193"/>
      <c r="K445" s="1193">
        <v>100000</v>
      </c>
      <c r="L445" s="1193"/>
      <c r="M445" s="1197">
        <v>2.98E-2</v>
      </c>
      <c r="N445" s="1193">
        <f>Marché!I2747</f>
        <v>5</v>
      </c>
      <c r="O445" s="1200" t="s">
        <v>1716</v>
      </c>
      <c r="P445" s="1200" t="s">
        <v>1716</v>
      </c>
      <c r="Q445" s="1200" t="s">
        <v>1014</v>
      </c>
      <c r="R445" s="1287">
        <v>5.0000000000000001E-3</v>
      </c>
      <c r="S445" s="1229" cm="1">
        <f t="array" ref="S445">IF(C445&gt;'Courbe des taux'!$D$50,ROUND( TREND('Courbe des taux'!$E$49:$E$50,'Courbe des taux'!$D$49:$D$50,Lignes_détenues!C445),5),ROUND(IF(C445&gt;365,interpoler(_mat2,taux2,C445),interpoler(_mat1,taux1,C445)),5))</f>
        <v>3.0290000000000001E-2</v>
      </c>
      <c r="T445" s="1201">
        <f t="shared" ref="T445" si="230">S445</f>
        <v>3.0290000000000001E-2</v>
      </c>
      <c r="U445" s="1201">
        <f>ROUND(IF(D445*365&gt;366,interpoler(_mat2,taux2,D445*365),interpoler(_mat1,taux1,D445*365)),5)</f>
        <v>2.2700000000000001E-2</v>
      </c>
      <c r="V445" s="1202" t="str">
        <f>+IF((AB445-$AF$1)&lt;=366,"M","A")</f>
        <v>A</v>
      </c>
      <c r="W445" s="1202" t="s">
        <v>287</v>
      </c>
      <c r="X445" s="1212">
        <f>+prix_titre(AF$1,AA445,AB445,M445,K445,W445,V445,P445,Q445,N445,D445,Y445)</f>
        <v>99083.114167934094</v>
      </c>
      <c r="Y445" s="1202">
        <v>1</v>
      </c>
      <c r="Z445" s="35"/>
      <c r="AA445" s="1198">
        <f>Marché!G2747</f>
        <v>45940</v>
      </c>
      <c r="AB445" s="1198">
        <f>Marché!H2747</f>
        <v>47766</v>
      </c>
      <c r="AC445" s="35"/>
      <c r="AD445" s="2"/>
    </row>
    <row r="446" spans="1:30" ht="15" hidden="1" x14ac:dyDescent="0.25">
      <c r="A446" s="1191">
        <v>153119</v>
      </c>
      <c r="B446" s="1192">
        <f>X446</f>
        <v>100960.7340679269</v>
      </c>
      <c r="C446" s="1193">
        <f>(AB446-$AF$1)</f>
        <v>204</v>
      </c>
      <c r="D446" s="1194">
        <f>ROUND(T446+R446,5)</f>
        <v>2.58E-2</v>
      </c>
      <c r="E446" s="1195">
        <f>duration_titre($AF$1,AA446,AB446,M446,K446,W446,V446,P446,Q446,N446,D446)</f>
        <v>0.55890410958904113</v>
      </c>
      <c r="F446" s="1195">
        <f t="shared" ref="F446" si="231">+E446/(1+D446)</f>
        <v>0.5448470555557039</v>
      </c>
      <c r="G446" s="1195">
        <f>convexite_titre($AF$1,AA446,AB446,M446,K446,W446,V446,P446,Q446,N446,D446)</f>
        <v>0.8280018658639845</v>
      </c>
      <c r="H446" s="1196">
        <f>+ROUND(coupon_courru($AF$1,AA446,AB446,M446,K446,W446,P446,Q446,N446,V446,"V"),4)</f>
        <v>1071.1111000000001</v>
      </c>
      <c r="I446" s="1199">
        <f>+IF(Z446=1,B446,D446*100)</f>
        <v>2.58</v>
      </c>
      <c r="J446" s="1193"/>
      <c r="K446" s="1193">
        <v>100000</v>
      </c>
      <c r="L446" s="1193"/>
      <c r="M446" s="1197">
        <v>2.41E-2</v>
      </c>
      <c r="N446" s="1193">
        <v>52</v>
      </c>
      <c r="O446" s="1200" t="s">
        <v>1716</v>
      </c>
      <c r="P446" s="1200" t="s">
        <v>1716</v>
      </c>
      <c r="Q446" s="1200" t="s">
        <v>1014</v>
      </c>
      <c r="R446" s="1287">
        <v>2E-3</v>
      </c>
      <c r="S446" s="1229" cm="1">
        <f t="array" ref="S446">IF(C446&gt;'Courbe des taux'!$D$50,ROUND( TREND('Courbe des taux'!$E$49:$E$50,'Courbe des taux'!$D$49:$D$50,Lignes_détenues!C446),5),ROUND(IF(C446&gt;365,interpoler(_mat2,taux2,C446),interpoler(_mat1,taux1,C446)),5))</f>
        <v>2.3800000000000002E-2</v>
      </c>
      <c r="T446" s="1201">
        <f t="shared" ref="T446" si="232">S446</f>
        <v>2.3800000000000002E-2</v>
      </c>
      <c r="U446" s="1201">
        <f>ROUND(IF(D446*365&gt;366,interpoler(_mat2,taux2,D446*365),interpoler(_mat1,taux1,D446*365)),5)</f>
        <v>2.2700000000000001E-2</v>
      </c>
      <c r="V446" s="1202" t="str">
        <f>+IF((AB446-$AF$1)&lt;=366,"M","A")</f>
        <v>M</v>
      </c>
      <c r="W446" s="1202" t="s">
        <v>287</v>
      </c>
      <c r="X446" s="1212">
        <f>+prix_atp(AF$1,AA446,Z446,AB446,M446,K446,W446,V446,P446,Q446,N446,D446,Y446)</f>
        <v>100960.7340679269</v>
      </c>
      <c r="Y446" s="1202">
        <v>1</v>
      </c>
      <c r="Z446" s="35">
        <v>46312</v>
      </c>
      <c r="AA446" s="1198">
        <v>45947</v>
      </c>
      <c r="AB446" s="1198">
        <v>46311</v>
      </c>
      <c r="AC446" s="35"/>
      <c r="AD446" s="2"/>
    </row>
    <row r="447" spans="1:30" ht="15" hidden="1" x14ac:dyDescent="0.25">
      <c r="A447" s="1191">
        <v>101015</v>
      </c>
      <c r="B447" s="1192">
        <f t="shared" ref="B447:B448" si="233">X447</f>
        <v>99067.774319867938</v>
      </c>
      <c r="C447" s="1193">
        <f>(AB447-$AF$1)</f>
        <v>1665</v>
      </c>
      <c r="D447" s="1194">
        <f t="shared" ref="D447:D448" si="234">ROUND(T447+R447,5)</f>
        <v>3.6310000000000002E-2</v>
      </c>
      <c r="E447" s="1195">
        <f>duration_titre($AF$1,AA447,AB447,M447,K447,W447,V447,P447,Q447,N447,D447)</f>
        <v>4.2671911998558913</v>
      </c>
      <c r="F447" s="1195">
        <f t="shared" ref="F447:F448" si="235">+E447/(1+D447)</f>
        <v>4.1176783007554603</v>
      </c>
      <c r="G447" s="1195">
        <f>convexite_titre($AF$1,AA447,AB447,M447,K447,W447,V447,P447,Q447,N447,D447)</f>
        <v>21.680778148798826</v>
      </c>
      <c r="H447" s="1196">
        <f>+ROUND(coupon_courru($AF$1,AA447,AB447,M447,K447,W447,P447,Q447,N447,V447,"V"),4)</f>
        <v>1358.5753</v>
      </c>
      <c r="I447" s="1199">
        <f>+IF(Z447=1,B447,D447*100)</f>
        <v>3.6310000000000002</v>
      </c>
      <c r="J447" s="1193"/>
      <c r="K447" s="1193">
        <v>100000</v>
      </c>
      <c r="L447" s="1193"/>
      <c r="M447" s="1197">
        <v>3.0800000000000001E-2</v>
      </c>
      <c r="N447" s="1193">
        <v>53</v>
      </c>
      <c r="O447" s="1200" t="s">
        <v>1716</v>
      </c>
      <c r="P447" s="1200" t="s">
        <v>1716</v>
      </c>
      <c r="Q447" s="1200" t="s">
        <v>1014</v>
      </c>
      <c r="R447" s="1287">
        <v>6.0000000000000001E-3</v>
      </c>
      <c r="S447" s="1229" cm="1">
        <f t="array" ref="S447">IF(C447&gt;'Courbe des taux'!$D$50,ROUND( TREND('Courbe des taux'!$E$49:$E$50,'Courbe des taux'!$D$49:$D$50,Lignes_détenues!C447),5),ROUND(IF(C447&gt;365,interpoler(_mat2,taux2,C447),interpoler(_mat1,taux1,C447)),5))</f>
        <v>3.031E-2</v>
      </c>
      <c r="T447" s="1201">
        <f t="shared" ref="T447:T448" si="236">S447</f>
        <v>3.031E-2</v>
      </c>
      <c r="U447" s="1201">
        <f>ROUND(IF(D447*365&gt;366,interpoler(_mat2,taux2,D447*365),interpoler(_mat1,taux1,D447*365)),5)</f>
        <v>2.2700000000000001E-2</v>
      </c>
      <c r="V447" s="1202" t="str">
        <f>+IF((AB447-$AF$1)&lt;=366,"M","A")</f>
        <v>A</v>
      </c>
      <c r="W447" s="1202" t="s">
        <v>287</v>
      </c>
      <c r="X447" s="1212">
        <f>+prix_titre(AF$1,AA447,AB447,M447,K447,W447,V447,P447,Q447,N447,D447,Y447)</f>
        <v>99067.774319867938</v>
      </c>
      <c r="Y447" s="1202">
        <v>1</v>
      </c>
      <c r="Z447" s="2"/>
      <c r="AA447" s="1198">
        <v>45946</v>
      </c>
      <c r="AB447" s="1198">
        <v>47772</v>
      </c>
      <c r="AC447" s="35"/>
      <c r="AD447" s="2"/>
    </row>
    <row r="448" spans="1:30" ht="15" hidden="1" x14ac:dyDescent="0.25">
      <c r="A448" s="1191">
        <v>153118</v>
      </c>
      <c r="B448" s="1192">
        <f t="shared" si="233"/>
        <v>100173.12497171458</v>
      </c>
      <c r="C448" s="1193">
        <f>(AB448-$AF$1)</f>
        <v>936</v>
      </c>
      <c r="D448" s="1194">
        <f t="shared" si="234"/>
        <v>3.0530000000000002E-2</v>
      </c>
      <c r="E448" s="1195">
        <f>duration_titre($AF$1,AA448,AB448,M448,K448,W448,V448,P448,Q448,N448,D448)</f>
        <v>2.4869742980469161</v>
      </c>
      <c r="F448" s="1195">
        <f t="shared" si="235"/>
        <v>2.4132963601708988</v>
      </c>
      <c r="G448" s="1195">
        <f>convexite_titre($AF$1,AA448,AB448,M448,K448,W448,V448,P448,Q448,N448,D448)</f>
        <v>8.2823048884132149</v>
      </c>
      <c r="H448" s="1196">
        <f>+ROUND(coupon_courru($AF$1,AA448,AB448,M448,K448,W448,P448,Q448,N448,V448,"V"),4)</f>
        <v>1161.6438000000001</v>
      </c>
      <c r="I448" s="1199">
        <f>+IF(Z448=1,B448,D448*100)</f>
        <v>3.0529999999999999</v>
      </c>
      <c r="J448" s="1193"/>
      <c r="K448" s="1193">
        <v>100000</v>
      </c>
      <c r="L448" s="1193"/>
      <c r="M448" s="1197">
        <v>2.6499999999999999E-2</v>
      </c>
      <c r="N448" s="1193">
        <v>3</v>
      </c>
      <c r="O448" s="1200" t="s">
        <v>1716</v>
      </c>
      <c r="P448" s="1200" t="s">
        <v>1716</v>
      </c>
      <c r="Q448" s="1200" t="s">
        <v>1014</v>
      </c>
      <c r="R448" s="1287">
        <v>3.0000000000000001E-3</v>
      </c>
      <c r="S448" s="1229" cm="1">
        <f t="array" ref="S448">IF(C448&gt;'Courbe des taux'!$D$50,ROUND( TREND('Courbe des taux'!$E$49:$E$50,'Courbe des taux'!$D$49:$D$50,Lignes_détenues!C448),5),ROUND(IF(C448&gt;365,interpoler(_mat2,taux2,C448),interpoler(_mat1,taux1,C448)),5))</f>
        <v>2.7529999999999999E-2</v>
      </c>
      <c r="T448" s="1201">
        <f t="shared" si="236"/>
        <v>2.7529999999999999E-2</v>
      </c>
      <c r="U448" s="1201">
        <f>ROUND(IF(D448*365&gt;366,interpoler(_mat2,taux2,D448*365),interpoler(_mat1,taux1,D448*365)),5)</f>
        <v>2.2700000000000001E-2</v>
      </c>
      <c r="V448" s="1202" t="str">
        <f>+IF((AB448-$AF$1)&lt;=366,"M","A")</f>
        <v>A</v>
      </c>
      <c r="W448" s="1202" t="s">
        <v>287</v>
      </c>
      <c r="X448" s="1212">
        <f>+prix_atp(AF$1,AA448,Z448,AB448,M448,K448,W448,V448,P448,Q448,N448,D448,Y448)</f>
        <v>100173.12497171458</v>
      </c>
      <c r="Y448" s="1202">
        <v>1</v>
      </c>
      <c r="Z448" s="2"/>
      <c r="AA448" s="1198">
        <v>45947</v>
      </c>
      <c r="AB448" s="1198">
        <v>47043</v>
      </c>
      <c r="AC448" s="35"/>
      <c r="AD448" s="2"/>
    </row>
    <row r="449" spans="1:34" ht="15" hidden="1" x14ac:dyDescent="0.25">
      <c r="A449" s="1191">
        <v>201919</v>
      </c>
      <c r="B449" s="1192">
        <f t="shared" ref="B449" si="237">X449</f>
        <v>98262.16593197544</v>
      </c>
      <c r="C449" s="1193">
        <f>(AB449-$AF$1)</f>
        <v>1845</v>
      </c>
      <c r="D449" s="1194">
        <f t="shared" ref="D449" si="238">ROUND(T449+R449,5)</f>
        <v>3.0800000000000001E-2</v>
      </c>
      <c r="E449" s="1195">
        <f>duration_titre($AF$1,AA449,AB449,M449,K449,W449,V449,P449,Q449,N449,D449)</f>
        <v>4.7062084445044405</v>
      </c>
      <c r="F449" s="1195">
        <f t="shared" ref="F449" si="239">+E449/(1+D449)</f>
        <v>4.5655883241214985</v>
      </c>
      <c r="G449" s="1195">
        <f>convexite_titre($AF$1,AA449,AB449,M449,K449,W449,V449,P449,Q449,N449,D449)</f>
        <v>26.378287706814806</v>
      </c>
      <c r="H449" s="1196">
        <f>+ROUND(coupon_courru($AF$1,AA449,AB449,M449,K449,W449,P449,Q449,N449,V449,"V"),4)</f>
        <v>2275.0684999999999</v>
      </c>
      <c r="I449" s="1199">
        <f>+IF(Z449=1,B449,D449*100)</f>
        <v>3.08</v>
      </c>
      <c r="J449" s="1193"/>
      <c r="K449" s="1193">
        <v>100000</v>
      </c>
      <c r="L449" s="1193"/>
      <c r="M449" s="1197">
        <v>2.4E-2</v>
      </c>
      <c r="N449" s="1193">
        <v>5</v>
      </c>
      <c r="O449" s="1200" t="s">
        <v>1716</v>
      </c>
      <c r="P449" s="1200" t="s">
        <v>1716</v>
      </c>
      <c r="Q449" s="1200" t="s">
        <v>1014</v>
      </c>
      <c r="R449" s="1287">
        <v>0</v>
      </c>
      <c r="S449" s="1229" cm="1">
        <f t="array" ref="S449">IF(C449&gt;'Courbe des taux'!$D$50,ROUND( TREND('Courbe des taux'!$E$49:$E$50,'Courbe des taux'!$D$49:$D$50,Lignes_détenues!C449),5),ROUND(IF(C449&gt;365,interpoler(_mat2,taux2,C449),interpoler(_mat1,taux1,C449)),5))</f>
        <v>3.0800000000000001E-2</v>
      </c>
      <c r="T449" s="1201">
        <f t="shared" ref="T449" si="240">S449</f>
        <v>3.0800000000000001E-2</v>
      </c>
      <c r="U449" s="1201">
        <f>ROUND(IF(D449*365&gt;366,interpoler(_mat2,taux2,D449*365),interpoler(_mat1,taux1,D449*365)),5)</f>
        <v>2.2700000000000001E-2</v>
      </c>
      <c r="V449" s="1202" t="str">
        <f>+IF((AB449-$AF$1)&lt;=366,"M","A")</f>
        <v>A</v>
      </c>
      <c r="W449" s="1202" t="s">
        <v>287</v>
      </c>
      <c r="X449" s="1212">
        <f>+prix_atp(AF$1,AA449,Z449,AB449,M449,K449,W449,V449,P449,Q449,N449,D449,Y449)</f>
        <v>98262.16593197544</v>
      </c>
      <c r="Y449" s="1202">
        <v>1</v>
      </c>
      <c r="Z449" s="35">
        <v>46126</v>
      </c>
      <c r="AA449" s="1198">
        <v>45887</v>
      </c>
      <c r="AB449" s="1198">
        <v>47952</v>
      </c>
      <c r="AC449" s="35"/>
      <c r="AD449" s="1324"/>
      <c r="AF449" s="1325"/>
      <c r="AG449" s="1325"/>
    </row>
    <row r="450" spans="1:34" ht="15" hidden="1" x14ac:dyDescent="0.25">
      <c r="A450" s="1191">
        <v>153125</v>
      </c>
      <c r="B450" s="1192">
        <f t="shared" ref="B450" si="241">X450</f>
        <v>99502.938067716503</v>
      </c>
      <c r="C450" s="1193">
        <f>(AB450-$AF$1)</f>
        <v>1672</v>
      </c>
      <c r="D450" s="1194">
        <f t="shared" ref="D450:D451" si="242">ROUND(T450+R450,5)</f>
        <v>3.3640000000000003E-2</v>
      </c>
      <c r="E450" s="1195">
        <f>duration_titre($AF$1,AA450,AB450,M450,K450,W450,V450,P450,Q450,N450,D450)</f>
        <v>4.299104377441223</v>
      </c>
      <c r="F450" s="1195">
        <f t="shared" ref="F450" si="243">+E450/(1+D450)</f>
        <v>4.1591892510363593</v>
      </c>
      <c r="G450" s="1195">
        <f>convexite_titre($AF$1,AA450,AB450,M450,K450,W450,V450,P450,Q450,N450,D450)</f>
        <v>22.04866721484958</v>
      </c>
      <c r="H450" s="1196">
        <f>+ROUND(coupon_courru($AF$1,AA450,AB450,M450,K450,W450,P450,Q450,N450,V450,"V"),4)</f>
        <v>1244.6575</v>
      </c>
      <c r="I450" s="1199">
        <f>+IF(Z450=1,B450,D450*100)</f>
        <v>3.3640000000000003</v>
      </c>
      <c r="J450" s="1193"/>
      <c r="K450" s="1193">
        <v>100000</v>
      </c>
      <c r="L450" s="1193"/>
      <c r="M450" s="1197">
        <v>2.9499999999999998E-2</v>
      </c>
      <c r="N450" s="1193">
        <v>5</v>
      </c>
      <c r="O450" s="1200" t="s">
        <v>1716</v>
      </c>
      <c r="P450" s="1200" t="s">
        <v>1716</v>
      </c>
      <c r="Q450" s="1200" t="s">
        <v>1014</v>
      </c>
      <c r="R450" s="1287">
        <v>3.32E-3</v>
      </c>
      <c r="S450" s="1229" cm="1">
        <f t="array" ref="S450">IF(C450&gt;'Courbe des taux'!$D$50,ROUND( TREND('Courbe des taux'!$E$49:$E$50,'Courbe des taux'!$D$49:$D$50,Lignes_détenues!C450),5),ROUND(IF(C450&gt;365,interpoler(_mat2,taux2,C450),interpoler(_mat1,taux1,C450)),5))</f>
        <v>3.032E-2</v>
      </c>
      <c r="T450" s="1201">
        <f t="shared" ref="T450" si="244">S450</f>
        <v>3.032E-2</v>
      </c>
      <c r="U450" s="1201">
        <f>ROUND(IF(D450*365&gt;366,interpoler(_mat2,taux2,D450*365),interpoler(_mat1,taux1,D450*365)),5)</f>
        <v>2.2700000000000001E-2</v>
      </c>
      <c r="V450" s="1202" t="str">
        <f>+IF((AB450-$AF$1)&lt;=366,"M","A")</f>
        <v>A</v>
      </c>
      <c r="W450" s="1202" t="s">
        <v>287</v>
      </c>
      <c r="X450" s="1212">
        <f>+prix_titre(AF$1,AA450,AB450,M450,K450,W450,V450,P450,Q450,N450,D450,Y450)</f>
        <v>99502.938067716503</v>
      </c>
      <c r="Y450" s="1202">
        <v>1</v>
      </c>
      <c r="Z450" s="35"/>
      <c r="AA450" s="1198">
        <v>45953</v>
      </c>
      <c r="AB450" s="1198">
        <v>47779</v>
      </c>
      <c r="AC450" s="35"/>
      <c r="AD450" s="1324"/>
      <c r="AF450" s="1325"/>
      <c r="AG450" s="1325"/>
    </row>
    <row r="451" spans="1:34" ht="15" hidden="1" x14ac:dyDescent="0.25">
      <c r="A451" s="1191">
        <v>9735</v>
      </c>
      <c r="B451" s="1192">
        <f t="shared" ref="B451" si="245">X451</f>
        <v>97915.660584593687</v>
      </c>
      <c r="C451" s="1193">
        <f>(AB451-$AF$1)</f>
        <v>3502</v>
      </c>
      <c r="D451" s="1194">
        <f t="shared" si="242"/>
        <v>0.04</v>
      </c>
      <c r="E451" s="1195">
        <f>duration_titre($AF$1,AA451,AB451,R451,K451,W451,V451,P451,Q451,N451,D451)</f>
        <v>9.2203914791493826</v>
      </c>
      <c r="F451" s="1195">
        <f t="shared" ref="F451" si="246">+E451/(1+D451)</f>
        <v>8.8657610376436367</v>
      </c>
      <c r="G451" s="1195">
        <f>convexite_titre($AF$1,AA451,AB451,R451,K451,W451,V451,P451,Q451,N451,D451)</f>
        <v>89.253807219163392</v>
      </c>
      <c r="H451" s="1196">
        <f>+ROUND(coupon_courru($AF$1,AA451,AB451,R451,K451,W451,P451,Q451,N451,V451,"V"),4)</f>
        <v>287.6712</v>
      </c>
      <c r="I451" s="1199">
        <f>+IF(Z451=1,B451,D451*100)</f>
        <v>4</v>
      </c>
      <c r="J451" s="1193"/>
      <c r="K451" s="1193">
        <v>100000</v>
      </c>
      <c r="L451" s="1193"/>
      <c r="M451" s="1197">
        <v>3.5499999999999997E-2</v>
      </c>
      <c r="N451" s="1193">
        <v>10</v>
      </c>
      <c r="O451" s="1200" t="s">
        <v>1716</v>
      </c>
      <c r="P451" s="1200" t="s">
        <v>1716</v>
      </c>
      <c r="Q451" s="1200" t="s">
        <v>1014</v>
      </c>
      <c r="R451" s="1197">
        <v>7.0000000000000001E-3</v>
      </c>
      <c r="S451" s="1229" cm="1">
        <f t="array" ref="S451">IF(C451&gt;'Courbe des taux'!$D$50,ROUND( TREND('Courbe des taux'!$E$49:$E$50,'Courbe des taux'!$D$49:$D$50,Lignes_détenues!C451),5),ROUND(IF(C451&gt;365,interpoler(_mat2,taux2,C451),interpoler(_mat1,taux1,C451)),5))</f>
        <v>3.3000000000000002E-2</v>
      </c>
      <c r="T451" s="1201">
        <f t="shared" ref="T451" si="247">S451</f>
        <v>3.3000000000000002E-2</v>
      </c>
      <c r="U451" s="1201">
        <f>ROUND(IF(D451*365&gt;366,interpoler(_mat2,taux2,D451*365),interpoler(_mat1,taux1,D451*365)),5)</f>
        <v>2.2700000000000001E-2</v>
      </c>
      <c r="V451" s="1202" t="str">
        <f>+IF((AB451-$AF$1)&lt;=366,"M","A")</f>
        <v>A</v>
      </c>
      <c r="W451" s="1202" t="s">
        <v>287</v>
      </c>
      <c r="X451" s="1212">
        <f>+prix_titre(AF$1,AA451,AB451,M451,K451,W451,V451,P451,Q451,N451,D451,Y451)</f>
        <v>97915.660584593687</v>
      </c>
      <c r="Y451" s="1202">
        <v>1</v>
      </c>
      <c r="Z451" s="35">
        <v>45957</v>
      </c>
      <c r="AA451" s="1198">
        <v>45957</v>
      </c>
      <c r="AB451" s="1198">
        <v>49609</v>
      </c>
      <c r="AC451" s="35"/>
      <c r="AD451" s="2"/>
    </row>
    <row r="452" spans="1:34" ht="15" hidden="1" x14ac:dyDescent="0.25">
      <c r="A452" s="1191">
        <v>5172</v>
      </c>
      <c r="B452" s="1192">
        <f t="shared" ref="B452" si="248">X452</f>
        <v>100811.71889407968</v>
      </c>
      <c r="C452" s="1193">
        <f>(AB452-$AF$1)</f>
        <v>584</v>
      </c>
      <c r="D452" s="1194">
        <f t="shared" ref="D452" si="249">ROUND(T452+R452,5)</f>
        <v>3.107E-2</v>
      </c>
      <c r="E452" s="1195">
        <f>duration_titre($AF$1,AA452,AB452,R452,K452,W452,V452,P452,Q452,N452,D452)</f>
        <v>1.5948964780516186</v>
      </c>
      <c r="F452" s="1195">
        <f t="shared" ref="F452" si="250">+E452/(1+D452)</f>
        <v>1.5468362749877493</v>
      </c>
      <c r="G452" s="1195">
        <f>convexite_titre($AF$1,AA452,AB452,R452,K452,W452,V452,P452,Q452,N452,D452)</f>
        <v>3.8977028472704656</v>
      </c>
      <c r="H452" s="1196">
        <f>+ROUND(coupon_courru($AF$1,AA452,AB452,R452,K452,W452,P452,Q452,N452,V452,"V"),4)</f>
        <v>200</v>
      </c>
      <c r="I452" s="1199">
        <f>+IF(Z452=1,B452,D452*100)</f>
        <v>3.1070000000000002</v>
      </c>
      <c r="J452" s="1193" t="s">
        <v>3246</v>
      </c>
      <c r="K452" s="1193">
        <v>100000</v>
      </c>
      <c r="L452" s="1193"/>
      <c r="M452" s="1197">
        <v>2.8899999999999999E-2</v>
      </c>
      <c r="N452" s="1193">
        <v>2</v>
      </c>
      <c r="O452" s="1200" t="s">
        <v>1716</v>
      </c>
      <c r="P452" s="1200" t="s">
        <v>1716</v>
      </c>
      <c r="Q452" s="1200" t="s">
        <v>1014</v>
      </c>
      <c r="R452" s="1197">
        <v>5.0000000000000001E-3</v>
      </c>
      <c r="S452" s="1229" cm="1">
        <f t="array" ref="S452">IF(C452&gt;'Courbe des taux'!$D$50,ROUND( TREND('Courbe des taux'!$E$49:$E$50,'Courbe des taux'!$D$49:$D$50,Lignes_détenues!C452),5),ROUND(IF(C452&gt;365,interpoler(_mat2,taux2,C452),interpoler(_mat1,taux1,C452)),5))</f>
        <v>2.6069999999999999E-2</v>
      </c>
      <c r="T452" s="1201">
        <f t="shared" ref="T452" si="251">S452</f>
        <v>2.6069999999999999E-2</v>
      </c>
      <c r="U452" s="1201">
        <f>ROUND(IF(D452*365&gt;366,interpoler(_mat2,taux2,D452*365),interpoler(_mat1,taux1,D452*365)),5)</f>
        <v>2.2700000000000001E-2</v>
      </c>
      <c r="V452" s="1202" t="str">
        <f>+IF((AB452-$AF$1)&lt;=366,"M","A")</f>
        <v>A</v>
      </c>
      <c r="W452" s="1202" t="s">
        <v>287</v>
      </c>
      <c r="X452" s="1212">
        <f>+prix_titre(AF$1,AA452,AB452,M452,K452,W452,V452,P452,Q452,N452,D452,Y452)</f>
        <v>100811.71889407968</v>
      </c>
      <c r="Y452" s="1202">
        <v>1</v>
      </c>
      <c r="Z452" s="35"/>
      <c r="AA452" s="1198">
        <v>45961</v>
      </c>
      <c r="AB452" s="1198">
        <v>46691</v>
      </c>
      <c r="AC452" s="35"/>
      <c r="AD452" s="2"/>
      <c r="AF452" s="1325"/>
      <c r="AG452" s="1325"/>
    </row>
    <row r="453" spans="1:34" ht="15" hidden="1" x14ac:dyDescent="0.25">
      <c r="A453" s="1191">
        <v>101018</v>
      </c>
      <c r="B453" s="1192">
        <f t="shared" ref="B453:B454" si="252">X453</f>
        <v>99398.224628236931</v>
      </c>
      <c r="C453" s="1193">
        <f>(AB453-$AF$1)</f>
        <v>1690</v>
      </c>
      <c r="D453" s="1194">
        <f t="shared" ref="D453" si="253">ROUND(T453+R453,5)</f>
        <v>3.5369999999999999E-2</v>
      </c>
      <c r="E453" s="1195">
        <f>duration_titre($AF$1,AA453,AB453,R453,K453,W453,V453,P453,Q453,N453,D453)</f>
        <v>4.5760255808307262</v>
      </c>
      <c r="F453" s="1195">
        <f t="shared" ref="F453" si="254">+E453/(1+D453)</f>
        <v>4.4197007647804423</v>
      </c>
      <c r="G453" s="1195">
        <f>convexite_titre($AF$1,AA453,AB453,R453,K453,W453,V453,P453,Q453,N453,D453)</f>
        <v>23.953022055574518</v>
      </c>
      <c r="H453" s="1196">
        <f>+ROUND(coupon_courru($AF$1,AA453,AB453,R453,K453,W453,P453,Q453,N453,V453,"V"),4)</f>
        <v>186.3014</v>
      </c>
      <c r="I453" s="1199">
        <f>+IF(Z453=1,B453,D453*100)</f>
        <v>3.5369999999999999</v>
      </c>
      <c r="J453" s="1193"/>
      <c r="K453" s="1193">
        <v>100000</v>
      </c>
      <c r="L453" s="1193"/>
      <c r="M453" s="1197">
        <v>3.1199999999999999E-2</v>
      </c>
      <c r="N453" s="1193">
        <v>5</v>
      </c>
      <c r="O453" s="1200" t="s">
        <v>1716</v>
      </c>
      <c r="P453" s="1200" t="s">
        <v>1716</v>
      </c>
      <c r="Q453" s="1200" t="s">
        <v>1014</v>
      </c>
      <c r="R453" s="1197">
        <v>5.0000000000000001E-3</v>
      </c>
      <c r="S453" s="1229" cm="1">
        <f t="array" ref="S453">IF(C453&gt;'Courbe des taux'!$D$50,ROUND( TREND('Courbe des taux'!$E$49:$E$50,'Courbe des taux'!$D$49:$D$50,Lignes_détenues!C453),5),ROUND(IF(C453&gt;365,interpoler(_mat2,taux2,C453),interpoler(_mat1,taux1,C453)),5))</f>
        <v>3.0370000000000001E-2</v>
      </c>
      <c r="T453" s="1201">
        <f t="shared" ref="T453" si="255">S453</f>
        <v>3.0370000000000001E-2</v>
      </c>
      <c r="U453" s="1201">
        <f>ROUND(IF(D453*365&gt;366,interpoler(_mat2,taux2,D453*365),interpoler(_mat1,taux1,D453*365)),5)</f>
        <v>2.2700000000000001E-2</v>
      </c>
      <c r="V453" s="1202" t="str">
        <f>+IF((AB453-$AF$1)&lt;=366,"M","A")</f>
        <v>A</v>
      </c>
      <c r="W453" s="1202" t="s">
        <v>287</v>
      </c>
      <c r="X453" s="1212">
        <f>+prix_titre(AF$1,AA453,AB453,M453,K453,W453,V453,P453,Q453,N453,D453,Y453)</f>
        <v>99398.224628236931</v>
      </c>
      <c r="Y453" s="1202">
        <v>1</v>
      </c>
      <c r="Z453" s="35"/>
      <c r="AA453" s="1198">
        <v>45971</v>
      </c>
      <c r="AB453" s="1198">
        <v>47797</v>
      </c>
      <c r="AC453" s="35"/>
      <c r="AD453" s="2"/>
    </row>
    <row r="454" spans="1:34" ht="15" hidden="1" x14ac:dyDescent="0.25">
      <c r="A454" s="1191">
        <v>9744</v>
      </c>
      <c r="B454" s="1192">
        <f t="shared" si="252"/>
        <v>100643.63529999999</v>
      </c>
      <c r="C454" s="1193">
        <f>(AB454-$AF$1)</f>
        <v>-46107</v>
      </c>
      <c r="D454" s="1194">
        <f t="shared" ref="D454" si="256">ROUND(T454+R454,5)</f>
        <v>2.2700000000000001E-2</v>
      </c>
      <c r="E454" s="1195">
        <f>duration_titre($AF$1,AA454,AB454,R454,K454,W454,V454,P454,Q454,N454,D454)</f>
        <v>0</v>
      </c>
      <c r="F454" s="1195">
        <f t="shared" ref="F454" si="257">+E454/(1+D454)</f>
        <v>0</v>
      </c>
      <c r="G454" s="1195">
        <f>convexite_titre($AF$1,AA454,AB454,R454,K454,W454,V454,P454,Q454,N454,D454)</f>
        <v>0</v>
      </c>
      <c r="H454" s="1196">
        <f>+ROUND(coupon_courru($AF$1,AA454,AB454,R454,K454,W454,P454,Q454,N454,V454,"V"),4)</f>
        <v>0</v>
      </c>
      <c r="I454" s="1199">
        <f>+IF(Z454=1,B454,D454*100)</f>
        <v>2.27</v>
      </c>
      <c r="J454" s="1193"/>
      <c r="K454" s="1193">
        <v>100000</v>
      </c>
      <c r="L454" s="1193"/>
      <c r="M454" s="1197"/>
      <c r="N454" s="1193"/>
      <c r="O454" s="1200"/>
      <c r="P454" s="1200" t="s">
        <v>1716</v>
      </c>
      <c r="Q454" s="1200" t="s">
        <v>1014</v>
      </c>
      <c r="R454" s="1197"/>
      <c r="S454" s="1229" cm="1">
        <f t="array" ref="S454">IF(C454&gt;'Courbe des taux'!$D$50,ROUND( TREND('Courbe des taux'!$E$49:$E$50,'Courbe des taux'!$D$49:$D$50,Lignes_détenues!C454),5),ROUND(IF(C454&gt;365,interpoler(_mat2,taux2,C454),interpoler(_mat1,taux1,C454)),5))</f>
        <v>2.2700000000000001E-2</v>
      </c>
      <c r="T454" s="1201">
        <f t="shared" ref="T454" si="258">S454</f>
        <v>2.2700000000000001E-2</v>
      </c>
      <c r="U454" s="1201">
        <f>ROUND(IF(D454*365&gt;366,interpoler(_mat2,taux2,D454*365),interpoler(_mat1,taux1,D454*365)),5)</f>
        <v>2.2700000000000001E-2</v>
      </c>
      <c r="V454" s="1202" t="str">
        <f>+IF((AB454-$AF$1)&lt;=366,"M","A")</f>
        <v>M</v>
      </c>
      <c r="W454" s="1202" t="s">
        <v>287</v>
      </c>
      <c r="X454" s="1212">
        <f>Ammortissable!C1071</f>
        <v>100643.63529999999</v>
      </c>
      <c r="Y454" s="1202">
        <v>1</v>
      </c>
      <c r="Z454" s="35"/>
      <c r="AA454" s="1198"/>
      <c r="AB454" s="1198"/>
      <c r="AC454" s="35"/>
      <c r="AD454" s="2"/>
    </row>
    <row r="455" spans="1:34" ht="15" hidden="1" x14ac:dyDescent="0.25">
      <c r="A455" s="1191">
        <v>9393</v>
      </c>
      <c r="B455" s="1192">
        <f t="shared" ref="B455" si="259">X455</f>
        <v>102756.89617224353</v>
      </c>
      <c r="C455" s="1193">
        <f>(AB455-$AF$1)</f>
        <v>93</v>
      </c>
      <c r="D455" s="1194">
        <f t="shared" ref="D455" si="260">ROUND(T455+R455,5)</f>
        <v>2.6110000000000001E-2</v>
      </c>
      <c r="E455" s="1195">
        <f>duration_titre($AF$1,AA455,AB455,R455,K455,W455,V455,P455,Q455,N455,D455)</f>
        <v>0.25479452054794521</v>
      </c>
      <c r="F455" s="1195">
        <f t="shared" ref="F455" si="261">+E455/(1+D455)</f>
        <v>0.24831111727587218</v>
      </c>
      <c r="G455" s="1195">
        <f>convexite_titre($AF$1,AA455,AB455,R455,K455,W455,V455,P455,Q455,N455,D455)</f>
        <v>0.30365109915009358</v>
      </c>
      <c r="H455" s="1196">
        <f>+ROUND(coupon_courru($AF$1,AA455,AB455,R455,K455,W455,P455,Q455,N455,V455,"V"),4)</f>
        <v>231.0137</v>
      </c>
      <c r="I455" s="1199">
        <f>+IF(Z455=1,B455,D455*100)</f>
        <v>2.6110000000000002</v>
      </c>
      <c r="J455" s="1193"/>
      <c r="K455" s="1193">
        <v>100000</v>
      </c>
      <c r="L455" s="1193"/>
      <c r="M455" s="1197">
        <v>3.4500000000000003E-2</v>
      </c>
      <c r="N455" s="1193">
        <v>7</v>
      </c>
      <c r="O455" s="1200" t="s">
        <v>1716</v>
      </c>
      <c r="P455" s="1200" t="s">
        <v>1716</v>
      </c>
      <c r="Q455" s="1200" t="s">
        <v>1014</v>
      </c>
      <c r="R455" s="1197">
        <v>3.0999999999999999E-3</v>
      </c>
      <c r="S455" s="1229" cm="1">
        <f t="array" ref="S455">IF(C455&gt;'Courbe des taux'!$D$50,ROUND( TREND('Courbe des taux'!$E$49:$E$50,'Courbe des taux'!$D$49:$D$50,Lignes_détenues!C455),5),ROUND(IF(C455&gt;365,interpoler(_mat2,taux2,C455),interpoler(_mat1,taux1,C455)),5))</f>
        <v>2.3009999999999999E-2</v>
      </c>
      <c r="T455" s="1201">
        <f t="shared" ref="T455" si="262">S455</f>
        <v>2.3009999999999999E-2</v>
      </c>
      <c r="U455" s="1201">
        <f>ROUND(IF(D455*365&gt;366,interpoler(_mat2,taux2,D455*365),interpoler(_mat1,taux1,D455*365)),5)</f>
        <v>2.2700000000000001E-2</v>
      </c>
      <c r="V455" s="1202" t="str">
        <f>+IF((AB455-$AF$1)&lt;=366,"M","A")</f>
        <v>M</v>
      </c>
      <c r="W455" s="1202" t="s">
        <v>287</v>
      </c>
      <c r="X455" s="1212">
        <f>+prix_titre(AF$1,AA455,AB455,M455,K455,W455,V455,P455,Q455,N455,D455,Y455)</f>
        <v>102756.89617224353</v>
      </c>
      <c r="Y455" s="1202">
        <v>1</v>
      </c>
      <c r="Z455" s="35"/>
      <c r="AA455" s="1198">
        <v>43643</v>
      </c>
      <c r="AB455" s="1198">
        <v>46200</v>
      </c>
      <c r="AC455" s="35"/>
      <c r="AD455" s="2"/>
    </row>
    <row r="456" spans="1:34" ht="15" hidden="1" x14ac:dyDescent="0.25">
      <c r="A456" s="1191">
        <v>9743</v>
      </c>
      <c r="B456" s="1192">
        <f t="shared" ref="B456" si="263">X456</f>
        <v>98792.824821033573</v>
      </c>
      <c r="C456" s="1193">
        <f>(AB456-$AF$1)</f>
        <v>2428</v>
      </c>
      <c r="D456" s="1194">
        <f t="shared" ref="D456" si="264">ROUND(T456+R456,5)</f>
        <v>4.2560000000000001E-2</v>
      </c>
      <c r="E456" s="1195">
        <f>duration_titre($AF$1,AA456,AB456,R456,K456,W456,V456,P456,Q456,N456,D456)</f>
        <v>6.3968174597442795</v>
      </c>
      <c r="F456" s="1195">
        <f t="shared" ref="F456" si="265">+E456/(1+D456)</f>
        <v>6.1356827997854131</v>
      </c>
      <c r="G456" s="1195">
        <f>convexite_titre($AF$1,AA456,AB456,R456,K456,W456,V456,P456,Q456,N456,D456)</f>
        <v>44.51173441023996</v>
      </c>
      <c r="H456" s="1196">
        <f>+ROUND(coupon_courru($AF$1,AA456,AB456,R456,K456,W456,P456,Q456,N456,V456,"V"),4)</f>
        <v>388.76710000000003</v>
      </c>
      <c r="I456" s="1199">
        <f>+IF(Z456=1,B456,D456*100)</f>
        <v>4.2560000000000002</v>
      </c>
      <c r="J456" s="1193"/>
      <c r="K456" s="1193">
        <v>100000</v>
      </c>
      <c r="L456" s="1193"/>
      <c r="M456" s="1197">
        <v>3.8100000000000002E-2</v>
      </c>
      <c r="N456" s="1193">
        <v>8</v>
      </c>
      <c r="O456" s="1200" t="s">
        <v>1716</v>
      </c>
      <c r="P456" s="1200" t="s">
        <v>1716</v>
      </c>
      <c r="Q456" s="1200" t="s">
        <v>1014</v>
      </c>
      <c r="R456" s="1197">
        <v>1.0999999999999999E-2</v>
      </c>
      <c r="S456" s="1229" cm="1">
        <f t="array" ref="S456">IF(C456&gt;'Courbe des taux'!$D$50,ROUND( TREND('Courbe des taux'!$E$49:$E$50,'Courbe des taux'!$D$49:$D$50,Lignes_détenues!C456),5),ROUND(IF(C456&gt;365,interpoler(_mat2,taux2,C456),interpoler(_mat1,taux1,C456)),5))</f>
        <v>3.1559999999999998E-2</v>
      </c>
      <c r="T456" s="1201">
        <f t="shared" ref="T456" si="266">S456</f>
        <v>3.1559999999999998E-2</v>
      </c>
      <c r="U456" s="1201">
        <f>ROUND(IF(D456*365&gt;366,interpoler(_mat2,taux2,D456*365),interpoler(_mat1,taux1,D456*365)),5)</f>
        <v>2.2700000000000001E-2</v>
      </c>
      <c r="V456" s="1202" t="str">
        <f>+IF((AB456-$AF$1)&lt;=366,"M","A")</f>
        <v>A</v>
      </c>
      <c r="W456" s="1202" t="s">
        <v>287</v>
      </c>
      <c r="X456" s="1212">
        <f>+prix_titre(AF$1,AA456,AB456,M456,K456,W456,V456,P456,Q456,N456,D456,Y456)</f>
        <v>98792.824821033573</v>
      </c>
      <c r="Y456" s="1202">
        <v>1</v>
      </c>
      <c r="Z456" s="35"/>
      <c r="AA456" s="1198">
        <v>45978</v>
      </c>
      <c r="AB456" s="1198">
        <v>48535</v>
      </c>
      <c r="AC456" s="35"/>
      <c r="AD456" s="2"/>
    </row>
    <row r="457" spans="1:34" ht="15" hidden="1" x14ac:dyDescent="0.25">
      <c r="A457" s="1191">
        <v>153132</v>
      </c>
      <c r="B457" s="1192">
        <f t="shared" ref="B457:B458" si="267">X457</f>
        <v>100703.34547564448</v>
      </c>
      <c r="C457" s="1193">
        <f>(AB457-$AF$1)</f>
        <v>245</v>
      </c>
      <c r="D457" s="1194">
        <f t="shared" ref="D457:D458" si="268">ROUND(T457+R457,5)</f>
        <v>2.6870000000000002E-2</v>
      </c>
      <c r="E457" s="1195">
        <f>duration_titre($AF$1,AA457,AB457,R457,K457,W457,V457,P457,Q457,N457,D457)</f>
        <v>0.67123287671232879</v>
      </c>
      <c r="F457" s="1195">
        <f t="shared" ref="F457:F458" si="269">+E457/(1+D457)</f>
        <v>0.65366879615952245</v>
      </c>
      <c r="G457" s="1195">
        <f>convexite_titre($AF$1,AA457,AB457,R457,K457,W457,V457,P457,Q457,N457,D457)</f>
        <v>1.0638472081400407</v>
      </c>
      <c r="H457" s="1196">
        <f>+ROUND(coupon_courru($AF$1,AA457,AB457,R457,K457,W457,P457,Q457,N457,V457,"V"),4)</f>
        <v>93.333299999999994</v>
      </c>
      <c r="I457" s="1199">
        <f>+IF(Z457=1,B457,D457*100)</f>
        <v>2.6870000000000003</v>
      </c>
      <c r="J457" s="1193"/>
      <c r="K457" s="1193">
        <v>100000</v>
      </c>
      <c r="L457" s="1193"/>
      <c r="M457" s="1197">
        <v>2.5100000000000001E-2</v>
      </c>
      <c r="N457" s="1193">
        <v>52</v>
      </c>
      <c r="O457" s="1200" t="s">
        <v>369</v>
      </c>
      <c r="P457" s="1200" t="s">
        <v>1716</v>
      </c>
      <c r="Q457" s="1200" t="s">
        <v>1014</v>
      </c>
      <c r="R457" s="1380">
        <v>2.8E-3</v>
      </c>
      <c r="S457" s="1229" cm="1">
        <f t="array" ref="S457">IF(C457&gt;'Courbe des taux'!$D$50,ROUND( TREND('Courbe des taux'!$E$49:$E$50,'Courbe des taux'!$D$49:$D$50,Lignes_détenues!C457),5),ROUND(IF(C457&gt;365,interpoler(_mat2,taux2,C457),interpoler(_mat1,taux1,C457)),5))</f>
        <v>2.4070000000000001E-2</v>
      </c>
      <c r="T457" s="1201">
        <f t="shared" ref="T457:T458" si="270">S457</f>
        <v>2.4070000000000001E-2</v>
      </c>
      <c r="U457" s="1201">
        <f>ROUND(IF(D457*365&gt;366,interpoler(_mat2,taux2,D457*365),interpoler(_mat1,taux1,D457*365)),5)</f>
        <v>2.2700000000000001E-2</v>
      </c>
      <c r="V457" s="1202" t="str">
        <f>+IF((AB457-$AF$1)&lt;=366,"M","A")</f>
        <v>M</v>
      </c>
      <c r="W457" s="1202" t="s">
        <v>287</v>
      </c>
      <c r="X457" s="1212">
        <f>+prix_titre(AF$1,AA457,AB457,M457,K457,W457,V457,P457,Q457,N457,D457,Y457)</f>
        <v>100703.34547564448</v>
      </c>
      <c r="Y457" s="1202">
        <v>1</v>
      </c>
      <c r="Z457" s="35"/>
      <c r="AA457" s="1198">
        <v>45987</v>
      </c>
      <c r="AB457" s="1198">
        <v>46352</v>
      </c>
      <c r="AC457" s="35"/>
      <c r="AD457" s="2"/>
    </row>
    <row r="458" spans="1:34" ht="15" hidden="1" x14ac:dyDescent="0.25">
      <c r="A458" s="1191">
        <v>153131</v>
      </c>
      <c r="B458" s="1192">
        <f t="shared" si="267"/>
        <v>100057.58966355656</v>
      </c>
      <c r="C458" s="1193">
        <f>(AB458-$AF$1)</f>
        <v>976</v>
      </c>
      <c r="D458" s="1194">
        <f t="shared" si="268"/>
        <v>3.0700000000000002E-2</v>
      </c>
      <c r="E458" s="1195">
        <f>duration_titre($AF$1,AA458,AB458,R458,K458,W458,V458,P458,Q458,N458,D458)</f>
        <v>2.6645756593595662</v>
      </c>
      <c r="F458" s="1195">
        <f t="shared" si="269"/>
        <v>2.5852097209271041</v>
      </c>
      <c r="G458" s="1195">
        <f>convexite_titre($AF$1,AA458,AB458,R458,K458,W458,V458,P458,Q458,N458,D458)</f>
        <v>9.2062571221512552</v>
      </c>
      <c r="H458" s="1196">
        <f>+ROUND(coupon_courru($AF$1,AA458,AB458,R458,K458,W458,P458,Q458,N458,V458,"V"),4)</f>
        <v>98.630099999999999</v>
      </c>
      <c r="I458" s="1199">
        <f>+IF(Z458=1,B458,D458*100)</f>
        <v>3.0700000000000003</v>
      </c>
      <c r="J458" s="1193"/>
      <c r="K458" s="1193">
        <v>100000</v>
      </c>
      <c r="L458" s="1193"/>
      <c r="M458" s="1197">
        <v>2.7400000000000001E-2</v>
      </c>
      <c r="N458" s="1193">
        <v>3</v>
      </c>
      <c r="O458" s="1200" t="s">
        <v>1716</v>
      </c>
      <c r="P458" s="1200" t="s">
        <v>1716</v>
      </c>
      <c r="Q458" s="1200" t="s">
        <v>1014</v>
      </c>
      <c r="R458" s="1197">
        <v>3.0000000000000001E-3</v>
      </c>
      <c r="S458" s="1229" cm="1">
        <f t="array" ref="S458">IF(C458&gt;'Courbe des taux'!$D$50,ROUND( TREND('Courbe des taux'!$E$49:$E$50,'Courbe des taux'!$D$49:$D$50,Lignes_détenues!C458),5),ROUND(IF(C458&gt;365,interpoler(_mat2,taux2,C458),interpoler(_mat1,taux1,C458)),5))</f>
        <v>2.7699999999999999E-2</v>
      </c>
      <c r="T458" s="1201">
        <f t="shared" si="270"/>
        <v>2.7699999999999999E-2</v>
      </c>
      <c r="U458" s="1201">
        <f>ROUND(IF(D458*365&gt;366,interpoler(_mat2,taux2,D458*365),interpoler(_mat1,taux1,D458*365)),5)</f>
        <v>2.2700000000000001E-2</v>
      </c>
      <c r="V458" s="1202" t="str">
        <f>+IF((AB458-$AF$1)&lt;=366,"M","A")</f>
        <v>A</v>
      </c>
      <c r="W458" s="1202" t="s">
        <v>287</v>
      </c>
      <c r="X458" s="1212">
        <f>+prix_titre(AF$1,AA458,AB458,M458,K458,W458,V458,P458,Q458,N458,D458,Y458)</f>
        <v>100057.58966355656</v>
      </c>
      <c r="Y458" s="1202">
        <v>1</v>
      </c>
      <c r="Z458" s="35"/>
      <c r="AA458" s="1198">
        <v>45987</v>
      </c>
      <c r="AB458" s="1198">
        <v>47083</v>
      </c>
      <c r="AC458" s="35"/>
      <c r="AD458" s="2"/>
    </row>
    <row r="459" spans="1:34" ht="15" hidden="1" x14ac:dyDescent="0.25">
      <c r="A459" s="1191">
        <v>201929</v>
      </c>
      <c r="B459" s="1192">
        <f t="shared" ref="B459" si="271">X459</f>
        <v>100315.01486169668</v>
      </c>
      <c r="C459" s="1193">
        <f>(AB459-$AF$1)</f>
        <v>781</v>
      </c>
      <c r="D459" s="1194">
        <f t="shared" ref="D459" si="272">ROUND(T459+R459,5)</f>
        <v>2.6890000000000001E-2</v>
      </c>
      <c r="E459" s="1195">
        <f>duration_titre($AF$1,AA459,AB459,R459,K459,W459,V459,P459,Q459,N459,D459)</f>
        <v>2.1397260273972605</v>
      </c>
      <c r="F459" s="1195">
        <f t="shared" ref="F459" si="273">+E459/(1+D459)</f>
        <v>2.0836954565700907</v>
      </c>
      <c r="G459" s="1195">
        <f>convexite_titre($AF$1,AA459,AB459,R459,K459,W459,V459,P459,Q459,N459,D459)</f>
        <v>6.3709188502785414</v>
      </c>
      <c r="H459" s="1196">
        <f>+ROUND(coupon_courru($AF$1,AA459,AB459,R459,K459,W459,P459,Q459,N459,V459,"V"),4)</f>
        <v>0</v>
      </c>
      <c r="I459" s="1199">
        <f>+IF(Z459=1,B459,D459*100)</f>
        <v>2.6890000000000001</v>
      </c>
      <c r="J459" s="1193"/>
      <c r="K459" s="1193">
        <v>100000</v>
      </c>
      <c r="L459" s="1193"/>
      <c r="M459" s="1197">
        <v>2.4E-2</v>
      </c>
      <c r="N459" s="1193">
        <v>2</v>
      </c>
      <c r="O459" s="1200" t="s">
        <v>1716</v>
      </c>
      <c r="P459" s="1200" t="s">
        <v>1716</v>
      </c>
      <c r="Q459" s="1200" t="s">
        <v>1014</v>
      </c>
      <c r="R459" s="1197">
        <v>0</v>
      </c>
      <c r="S459" s="1229" cm="1">
        <f t="array" ref="S459">IF(C459&gt;'Courbe des taux'!$D$50,ROUND( TREND('Courbe des taux'!$E$49:$E$50,'Courbe des taux'!$D$49:$D$50,Lignes_détenues!C459),5),ROUND(IF(C459&gt;365,interpoler(_mat2,taux2,C459),interpoler(_mat1,taux1,C459)),5))</f>
        <v>2.6890000000000001E-2</v>
      </c>
      <c r="T459" s="1201">
        <f t="shared" ref="T459" si="274">S459</f>
        <v>2.6890000000000001E-2</v>
      </c>
      <c r="U459" s="1201">
        <f>ROUND(IF(D459*365&gt;366,interpoler(_mat2,taux2,D459*365),interpoler(_mat1,taux1,D459*365)),5)</f>
        <v>2.2700000000000001E-2</v>
      </c>
      <c r="V459" s="1202" t="str">
        <f>+IF((AB459-$AF$1)&lt;=366,"M","A")</f>
        <v>A</v>
      </c>
      <c r="W459" s="1202" t="s">
        <v>287</v>
      </c>
      <c r="X459" s="1212">
        <f>+prix_atp(AF$1,AA459,Z459,AB459,M459,K459,W459,V459,P459,Q459,N459,D459,Y459)</f>
        <v>100315.01486169668</v>
      </c>
      <c r="Y459" s="1202">
        <v>1</v>
      </c>
      <c r="Z459" s="35">
        <v>46157</v>
      </c>
      <c r="AA459" s="1198">
        <v>45964</v>
      </c>
      <c r="AB459" s="1198">
        <v>46888</v>
      </c>
      <c r="AC459" s="35"/>
      <c r="AD459" s="2"/>
    </row>
    <row r="460" spans="1:34" ht="15" hidden="1" x14ac:dyDescent="0.25">
      <c r="A460" s="1191">
        <v>9747</v>
      </c>
      <c r="B460" s="1192">
        <f t="shared" ref="B460:B461" si="275">X460</f>
        <v>100773.39711008465</v>
      </c>
      <c r="C460" s="1193">
        <f>(AB460-$AF$1)</f>
        <v>247</v>
      </c>
      <c r="D460" s="1194">
        <f t="shared" ref="D460" si="276">ROUND(T460+R460,5)</f>
        <v>2.9579999999999999E-2</v>
      </c>
      <c r="E460" s="1195">
        <f>duration_titre($AF$1,AA460,AB460,R460,K460,W460,V460,P460,Q460,N460,D460)</f>
        <v>0.67671232876712328</v>
      </c>
      <c r="F460" s="1195">
        <f t="shared" ref="F460" si="277">+E460/(1+D460)</f>
        <v>0.65727027406041616</v>
      </c>
      <c r="G460" s="1195">
        <f>convexite_titre($AF$1,AA460,AB460,R460,K460,W460,V460,P460,Q460,N460,D460)</f>
        <v>1.0703910058948756</v>
      </c>
      <c r="H460" s="1196">
        <f>+ROUND(coupon_courru($AF$1,AA460,AB460,R460,K460,W460,P460,Q460,N460,V460,"V"),4)</f>
        <v>180.27780000000001</v>
      </c>
      <c r="I460" s="1199">
        <f>+IF(Z460=1,B460,D460*100)</f>
        <v>2.9579999999999997</v>
      </c>
      <c r="J460" s="1193"/>
      <c r="K460" s="1193">
        <v>100000</v>
      </c>
      <c r="L460" s="1193"/>
      <c r="M460" s="1197">
        <v>2.7799999999999998E-2</v>
      </c>
      <c r="N460" s="1193">
        <v>52</v>
      </c>
      <c r="O460" s="1200" t="s">
        <v>1716</v>
      </c>
      <c r="P460" s="1200" t="s">
        <v>1716</v>
      </c>
      <c r="Q460" s="1200" t="s">
        <v>1014</v>
      </c>
      <c r="R460" s="1197">
        <v>5.4999999999999997E-3</v>
      </c>
      <c r="S460" s="1229" cm="1">
        <f t="array" ref="S460">IF(C460&gt;'Courbe des taux'!$D$50,ROUND( TREND('Courbe des taux'!$E$49:$E$50,'Courbe des taux'!$D$49:$D$50,Lignes_détenues!C460),5),ROUND(IF(C460&gt;365,interpoler(_mat2,taux2,C460),interpoler(_mat1,taux1,C460)),5))</f>
        <v>2.4080000000000001E-2</v>
      </c>
      <c r="T460" s="1201">
        <f t="shared" ref="T460" si="278">S460</f>
        <v>2.4080000000000001E-2</v>
      </c>
      <c r="U460" s="1201">
        <f>ROUND(IF(D460*365&gt;366,interpoler(_mat2,taux2,D460*365),interpoler(_mat1,taux1,D460*365)),5)</f>
        <v>2.2700000000000001E-2</v>
      </c>
      <c r="V460" s="1202" t="str">
        <f>+IF((AB460-$AF$1)&lt;=366,"M","A")</f>
        <v>M</v>
      </c>
      <c r="W460" s="1202" t="s">
        <v>287</v>
      </c>
      <c r="X460" s="1212">
        <f>+prix_titre(AF$1,AA460,AB460,M460,K460,W460,V460,P460,Q460,N460,D460,Y460)</f>
        <v>100773.39711008465</v>
      </c>
      <c r="Y460" s="1202">
        <v>1</v>
      </c>
      <c r="Z460" s="2"/>
      <c r="AA460" s="1198">
        <v>45989</v>
      </c>
      <c r="AB460" s="1198">
        <v>46354</v>
      </c>
      <c r="AC460" s="35"/>
      <c r="AD460" s="2"/>
    </row>
    <row r="461" spans="1:34" ht="15" hidden="1" x14ac:dyDescent="0.25">
      <c r="A461" s="1191">
        <v>5174</v>
      </c>
      <c r="B461" s="1192">
        <f t="shared" si="275"/>
        <v>90118.524652092427</v>
      </c>
      <c r="C461" s="1193">
        <f>(AB461-$AF$1)</f>
        <v>1707</v>
      </c>
      <c r="D461" s="1194">
        <f t="shared" ref="D461" si="279">ROUND(T461+R461,5)</f>
        <v>3.6220000000000002E-2</v>
      </c>
      <c r="E461" s="1195">
        <f>duration_titre($AF$1,AA461,AB461,R461,K461,W461,V461,P461,Q461,N461,D461)</f>
        <v>4.6140516883885816</v>
      </c>
      <c r="F461" s="1195">
        <f t="shared" ref="F461" si="280">+E461/(1+D461)</f>
        <v>4.4527722765325723</v>
      </c>
      <c r="G461" s="1195">
        <f>convexite_titre($AF$1,AA461,AB461,R461,K461,W461,V461,P461,Q461,N461,D461)</f>
        <v>24.297910269602106</v>
      </c>
      <c r="H461" s="1196">
        <f>+ROUND(coupon_courru($AF$1,AA461,AB461,R461,K461,W461,P461,Q461,N461,V461,"V"),4)</f>
        <v>189.0959</v>
      </c>
      <c r="I461" s="1199">
        <f>+IF(Z461=1,B461,D461*100)</f>
        <v>3.6220000000000003</v>
      </c>
      <c r="J461" s="1193"/>
      <c r="K461" s="1193">
        <v>100000</v>
      </c>
      <c r="L461" s="1193"/>
      <c r="M461" s="1197">
        <v>2.9399999999999999E-2</v>
      </c>
      <c r="N461" s="1193">
        <v>5</v>
      </c>
      <c r="O461" s="1200" t="s">
        <v>1716</v>
      </c>
      <c r="P461" s="1200" t="s">
        <v>1525</v>
      </c>
      <c r="Q461" s="1200" t="s">
        <v>1014</v>
      </c>
      <c r="R461" s="1197">
        <v>5.7999999999999996E-3</v>
      </c>
      <c r="S461" s="1229" cm="1">
        <f t="array" ref="S461">IF(C461&gt;'Courbe des taux'!$D$50,ROUND( TREND('Courbe des taux'!$E$49:$E$50,'Courbe des taux'!$D$49:$D$50,Lignes_détenues!C461),5),ROUND(IF(C461&gt;365,interpoler(_mat2,taux2,C461),interpoler(_mat1,taux1,C461)),5))</f>
        <v>3.0419999999999999E-2</v>
      </c>
      <c r="T461" s="1201">
        <f t="shared" ref="T461" si="281">S461</f>
        <v>3.0419999999999999E-2</v>
      </c>
      <c r="U461" s="1201">
        <f>ROUND(IF(D461*365&gt;366,interpoler(_mat2,taux2,D461*365),interpoler(_mat1,taux1,D461*365)),5)</f>
        <v>2.2700000000000001E-2</v>
      </c>
      <c r="V461" s="1202" t="str">
        <f>+IF((AB461-$AF$1)&lt;=366,"M","A")</f>
        <v>A</v>
      </c>
      <c r="W461" s="1202" t="s">
        <v>287</v>
      </c>
      <c r="X461" s="1212">
        <f>'Echéanciers des Parts'!IV3</f>
        <v>90118.524652092427</v>
      </c>
      <c r="Y461" s="1202">
        <v>1</v>
      </c>
      <c r="Z461" s="2"/>
      <c r="AA461" s="1198">
        <v>45988</v>
      </c>
      <c r="AB461" s="1198">
        <v>47814</v>
      </c>
      <c r="AC461" s="35"/>
      <c r="AD461" s="2"/>
    </row>
    <row r="462" spans="1:34" ht="15" hidden="1" x14ac:dyDescent="0.25">
      <c r="A462" s="1191">
        <v>101020</v>
      </c>
      <c r="B462" s="1192">
        <f t="shared" ref="B462" si="282">X462</f>
        <v>99902.674362787846</v>
      </c>
      <c r="C462" s="1193">
        <f>(AB462-$AF$1)</f>
        <v>1346</v>
      </c>
      <c r="D462" s="1194">
        <f t="shared" ref="D462" si="283">ROUND(T462+R462,5)</f>
        <v>3.3239999999999999E-2</v>
      </c>
      <c r="E462" s="1195">
        <f>duration_titre($AF$1,AA462,AB462,R462,K462,W462,V462,P462,Q462,N462,D462)</f>
        <v>3.6621639354066726</v>
      </c>
      <c r="F462" s="1195">
        <f t="shared" ref="F462" si="284">+E462/(1+D462)</f>
        <v>3.5443497497257876</v>
      </c>
      <c r="G462" s="1195">
        <f>convexite_titre($AF$1,AA462,AB462,R462,K462,W462,V462,P462,Q462,N462,D462)</f>
        <v>16.048370273814374</v>
      </c>
      <c r="H462" s="1196">
        <f>+ROUND(coupon_courru($AF$1,AA462,AB462,R462,K462,W462,P462,Q462,N462,V462,"V"),4)</f>
        <v>126.0274</v>
      </c>
      <c r="I462" s="1199">
        <f>+IF(Z462=1,B462,D462*100)</f>
        <v>3.3239999999999998</v>
      </c>
      <c r="J462" s="1193"/>
      <c r="K462" s="1193">
        <v>100000</v>
      </c>
      <c r="L462" s="1193"/>
      <c r="M462" s="1197">
        <v>3.0200000000000001E-2</v>
      </c>
      <c r="N462" s="1193">
        <v>4</v>
      </c>
      <c r="O462" s="1200" t="s">
        <v>1716</v>
      </c>
      <c r="P462" s="1200" t="s">
        <v>1716</v>
      </c>
      <c r="Q462" s="1200" t="s">
        <v>1014</v>
      </c>
      <c r="R462" s="1197">
        <v>4.0000000000000001E-3</v>
      </c>
      <c r="S462" s="1229" cm="1">
        <f t="array" ref="S462">IF(C462&gt;'Courbe des taux'!$D$50,ROUND( TREND('Courbe des taux'!$E$49:$E$50,'Courbe des taux'!$D$49:$D$50,Lignes_détenues!C462),5),ROUND(IF(C462&gt;365,interpoler(_mat2,taux2,C462),interpoler(_mat1,taux1,C462)),5))</f>
        <v>2.9239999999999999E-2</v>
      </c>
      <c r="T462" s="1201">
        <f t="shared" ref="T462" si="285">S462</f>
        <v>2.9239999999999999E-2</v>
      </c>
      <c r="U462" s="1201">
        <f>ROUND(IF(D462*365&gt;366,interpoler(_mat2,taux2,D462*365),interpoler(_mat1,taux1,D462*365)),5)</f>
        <v>2.2700000000000001E-2</v>
      </c>
      <c r="V462" s="1202" t="str">
        <f>+IF((AB462-$AF$1)&lt;=366,"M","A")</f>
        <v>A</v>
      </c>
      <c r="W462" s="1202" t="s">
        <v>287</v>
      </c>
      <c r="X462" s="1212">
        <f>+prix_titre(AF$1,AA462,AB462,M462,K462,W462,V462,P462,Q462,N462,D462,Y462)</f>
        <v>99902.674362787846</v>
      </c>
      <c r="Y462" s="1202">
        <v>1</v>
      </c>
      <c r="Z462" s="332"/>
      <c r="AA462" s="1198">
        <v>45992</v>
      </c>
      <c r="AB462" s="1198">
        <v>47453</v>
      </c>
      <c r="AC462" s="35"/>
      <c r="AD462" s="332"/>
      <c r="AE462" s="332"/>
      <c r="AF462" s="332"/>
      <c r="AG462" s="332"/>
      <c r="AH462" s="332"/>
    </row>
    <row r="463" spans="1:34" ht="15" hidden="1" x14ac:dyDescent="0.25">
      <c r="A463" s="1191">
        <v>9500</v>
      </c>
      <c r="B463" s="1192">
        <f t="shared" ref="B463" si="286">X463</f>
        <v>98542.876399999994</v>
      </c>
      <c r="C463" s="1193">
        <f>(AB463-$AF$1)</f>
        <v>9169</v>
      </c>
      <c r="D463" s="1194">
        <f t="shared" ref="D463" si="287">ROUND(T463+R463,5)</f>
        <v>3.9039999999999998E-2</v>
      </c>
      <c r="E463" s="1195">
        <f>duration_titre($AF$1,AA463,AB463,R463,K463,W463,V463,P463,Q463,N463,D463)</f>
        <v>25.12054794520548</v>
      </c>
      <c r="F463" s="1195">
        <f t="shared" ref="F463" si="288">+E463/(1+D463)</f>
        <v>24.176689968822647</v>
      </c>
      <c r="G463" s="1195">
        <f>convexite_titre($AF$1,AA463,AB463,R463,K463,W463,V463,P463,Q463,N463,D463)</f>
        <v>607.78063355308791</v>
      </c>
      <c r="H463" s="1196">
        <f>+ROUND(coupon_courru($AF$1,AA463,AB463,R463,K463,W463,P463,Q463,N463,V463,"V"),4)</f>
        <v>0</v>
      </c>
      <c r="I463" s="1199">
        <f>+IF(Z463=1,B463,D463*100)</f>
        <v>3.9039999999999999</v>
      </c>
      <c r="J463" s="1193"/>
      <c r="K463" s="1193">
        <v>100000</v>
      </c>
      <c r="L463" s="1193"/>
      <c r="M463" s="1197">
        <v>3.5900000000000001E-2</v>
      </c>
      <c r="N463" s="1193">
        <v>30</v>
      </c>
      <c r="O463" s="1200" t="s">
        <v>1716</v>
      </c>
      <c r="P463" s="1200" t="s">
        <v>1716</v>
      </c>
      <c r="Q463" s="1200" t="s">
        <v>1014</v>
      </c>
      <c r="R463" s="1197"/>
      <c r="S463" s="1229" cm="1">
        <f t="array" ref="S463">IF(C463&gt;'Courbe des taux'!$D$50,ROUND( TREND('Courbe des taux'!$E$49:$E$50,'Courbe des taux'!$D$49:$D$50,Lignes_détenues!C463),5),ROUND(IF(C463&gt;365,interpoler(_mat2,taux2,C463),interpoler(_mat1,taux1,C463)),5))</f>
        <v>3.9039999999999998E-2</v>
      </c>
      <c r="T463" s="1201">
        <f t="shared" ref="T463" si="289">S463</f>
        <v>3.9039999999999998E-2</v>
      </c>
      <c r="U463" s="1201">
        <f>ROUND(IF(D463*365&gt;366,interpoler(_mat2,taux2,D463*365),interpoler(_mat1,taux1,D463*365)),5)</f>
        <v>2.2700000000000001E-2</v>
      </c>
      <c r="V463" s="1202" t="str">
        <f>+IF((AB463-$AF$1)&lt;=366,"M","A")</f>
        <v>A</v>
      </c>
      <c r="W463" s="1202" t="s">
        <v>287</v>
      </c>
      <c r="X463" s="1212">
        <f>Ammortissable!C1091</f>
        <v>98542.876399999994</v>
      </c>
      <c r="Y463" s="1202">
        <v>1</v>
      </c>
      <c r="Z463" s="2"/>
      <c r="AA463" s="1198">
        <v>44319</v>
      </c>
      <c r="AB463" s="1198">
        <v>55276</v>
      </c>
      <c r="AC463" s="35"/>
      <c r="AD463" s="2"/>
    </row>
    <row r="464" spans="1:34" ht="15" hidden="1" x14ac:dyDescent="0.25">
      <c r="A464" s="1191">
        <v>101021</v>
      </c>
      <c r="B464" s="1192">
        <f t="shared" ref="B464" si="290">X464</f>
        <v>100594.51089051864</v>
      </c>
      <c r="C464" s="1193">
        <f>(AB464-$AF$1)</f>
        <v>622</v>
      </c>
      <c r="D464" s="1194">
        <f t="shared" ref="D464" si="291">ROUND(T464+R464,5)</f>
        <v>2.9729999999999999E-2</v>
      </c>
      <c r="E464" s="1195">
        <f>duration_titre($AF$1,AA464,AB464,R464,K464,W464,V464,P464,Q464,N464,D464)</f>
        <v>1.7005309568410698</v>
      </c>
      <c r="F464" s="1195">
        <f t="shared" ref="F464" si="292">+E464/(1+D464)</f>
        <v>1.6514338291018711</v>
      </c>
      <c r="G464" s="1195">
        <f>convexite_titre($AF$1,AA464,AB464,R464,K464,W464,V464,P464,Q464,N464,D464)</f>
        <v>4.3343508036103975</v>
      </c>
      <c r="H464" s="1196">
        <f>+ROUND(coupon_courru($AF$1,AA464,AB464,R464,K464,W464,P464,Q464,N464,V464,"V"),4)</f>
        <v>103.5616</v>
      </c>
      <c r="I464" s="1199">
        <f>+IF(Z464=1,B464,D464*100)</f>
        <v>2.9729999999999999</v>
      </c>
      <c r="J464" s="1193" t="s">
        <v>3248</v>
      </c>
      <c r="K464" s="1193">
        <v>100000</v>
      </c>
      <c r="L464" s="1193"/>
      <c r="M464" s="1197">
        <v>2.8299999999999999E-2</v>
      </c>
      <c r="N464" s="1193">
        <v>2</v>
      </c>
      <c r="O464" s="1200" t="s">
        <v>1716</v>
      </c>
      <c r="P464" s="1200" t="s">
        <v>1716</v>
      </c>
      <c r="Q464" s="1200" t="s">
        <v>1014</v>
      </c>
      <c r="R464" s="1197">
        <v>3.5000000000000001E-3</v>
      </c>
      <c r="S464" s="1229" cm="1">
        <f t="array" ref="S464">IF(C464&gt;'Courbe des taux'!$D$50,ROUND( TREND('Courbe des taux'!$E$49:$E$50,'Courbe des taux'!$D$49:$D$50,Lignes_détenues!C464),5),ROUND(IF(C464&gt;365,interpoler(_mat2,taux2,C464),interpoler(_mat1,taux1,C464)),5))</f>
        <v>2.623E-2</v>
      </c>
      <c r="T464" s="1201">
        <f t="shared" ref="T464" si="293">S464</f>
        <v>2.623E-2</v>
      </c>
      <c r="U464" s="1201">
        <f>ROUND(IF(D464*365&gt;366,interpoler(_mat2,taux2,D464*365),interpoler(_mat1,taux1,D464*365)),5)</f>
        <v>2.2700000000000001E-2</v>
      </c>
      <c r="V464" s="1202" t="str">
        <f>+IF((AB464-$AF$1)&lt;=366,"M","A")</f>
        <v>A</v>
      </c>
      <c r="W464" s="1202" t="s">
        <v>287</v>
      </c>
      <c r="X464" s="1212">
        <f>+prix_titre(AF$1,AA464,AB464,M464,K464,W464,V464,P464,Q464,N464,D464,Y464)</f>
        <v>100594.51089051864</v>
      </c>
      <c r="Y464" s="1202">
        <v>1</v>
      </c>
      <c r="Z464" s="2"/>
      <c r="AA464" s="1198">
        <v>45999</v>
      </c>
      <c r="AB464" s="1198">
        <v>46729</v>
      </c>
      <c r="AC464" s="35"/>
      <c r="AD464" s="2"/>
    </row>
    <row r="465" spans="1:31" s="342" customFormat="1" ht="15" hidden="1" x14ac:dyDescent="0.25">
      <c r="A465" s="1336">
        <v>9748</v>
      </c>
      <c r="B465" s="1209">
        <f t="shared" ref="B465" si="294">X465</f>
        <v>101.55060702210467</v>
      </c>
      <c r="C465" s="1337">
        <f>(AB465-$AF$1)</f>
        <v>806</v>
      </c>
      <c r="D465" s="1338">
        <f t="shared" ref="D465" si="295">ROUND(T465+R465,5)</f>
        <v>3.8989999999999997E-2</v>
      </c>
      <c r="E465" s="1339">
        <f>duration_titre($AF$1,AA465,AB465,R465,K465,W465,V465,P465,Q465,N465,D465)</f>
        <v>2.1711566626528307</v>
      </c>
      <c r="F465" s="1339">
        <f t="shared" ref="F465" si="296">+E465/(1+D465)</f>
        <v>2.0896800379722911</v>
      </c>
      <c r="G465" s="1339">
        <f>convexite_titre($AF$1,AA465,AB465,R465,K465,W465,V465,P465,Q465,N465,D465)</f>
        <v>6.4343465911784889</v>
      </c>
      <c r="H465" s="1340">
        <f>+ROUND(coupon_courru($AF$1,AA465,AB465,R465,K465,W465,P465,Q465,N465,V465,"V"),4)</f>
        <v>0.95340000000000003</v>
      </c>
      <c r="I465" s="1341">
        <f>+IF(Z465=1,B465,D465*100)</f>
        <v>3.8989999999999996</v>
      </c>
      <c r="J465" s="1337"/>
      <c r="K465" s="1337">
        <v>100</v>
      </c>
      <c r="L465" s="1337"/>
      <c r="M465" s="1342">
        <v>3.5900000000000001E-2</v>
      </c>
      <c r="N465" s="1337">
        <v>2.4</v>
      </c>
      <c r="O465" s="1344" t="s">
        <v>1716</v>
      </c>
      <c r="P465" s="1344" t="s">
        <v>1716</v>
      </c>
      <c r="Q465" s="1344" t="s">
        <v>1014</v>
      </c>
      <c r="R465" s="1342">
        <v>1.2E-2</v>
      </c>
      <c r="S465" s="1346" cm="1">
        <f t="array" ref="S465">IF(C465&gt;'Courbe des taux'!$D$50,ROUND( TREND('Courbe des taux'!$E$49:$E$50,'Courbe des taux'!$D$49:$D$50,Lignes_détenues!C465),5),ROUND(IF(C465&gt;365,interpoler(_mat2,taux2,C465),interpoler(_mat1,taux1,C465)),5))</f>
        <v>2.699E-2</v>
      </c>
      <c r="T465" s="1346">
        <f t="shared" ref="T465" si="297">S465</f>
        <v>2.699E-2</v>
      </c>
      <c r="U465" s="1346">
        <f>ROUND(IF(D465*365&gt;366,interpoler(_mat2,taux2,D465*365),interpoler(_mat1,taux1,D465*365)),5)</f>
        <v>2.2700000000000001E-2</v>
      </c>
      <c r="V465" s="1347" t="str">
        <f>+IF((AB465-$AF$1)&lt;=366,"M","A")</f>
        <v>A</v>
      </c>
      <c r="W465" s="1347" t="s">
        <v>287</v>
      </c>
      <c r="X465" s="1348">
        <f>[8]Pricer!$K$10</f>
        <v>101.55060702210467</v>
      </c>
      <c r="Y465" s="1347">
        <v>1</v>
      </c>
      <c r="AA465" s="1343">
        <v>46000</v>
      </c>
      <c r="AB465" s="1343">
        <v>46913</v>
      </c>
      <c r="AC465" s="35"/>
    </row>
    <row r="466" spans="1:31" ht="15" hidden="1" x14ac:dyDescent="0.25">
      <c r="A466" s="1191">
        <v>201933</v>
      </c>
      <c r="B466" s="1192">
        <f t="shared" ref="B466" si="298">X466</f>
        <v>100709.96660925023</v>
      </c>
      <c r="C466" s="1193">
        <f>(AB466-$AF$1)</f>
        <v>67</v>
      </c>
      <c r="D466" s="1194">
        <f t="shared" ref="D466" si="299">ROUND(T466+R466,5)</f>
        <v>2.281E-2</v>
      </c>
      <c r="E466" s="1195">
        <f>duration_titre($AF$1,AA466,AB466,R466,K466,W466,V466,P466,Q466,N466,D466)</f>
        <v>0.18356164383561643</v>
      </c>
      <c r="F466" s="1195">
        <f t="shared" ref="F466" si="300">+E466/(1+D466)</f>
        <v>0.17946797922939395</v>
      </c>
      <c r="G466" s="1195">
        <f>convexite_titre($AF$1,AA466,AB466,R466,K466,W466,V466,P466,Q466,N466,D466)</f>
        <v>0.20767436426374186</v>
      </c>
      <c r="H466" s="1196">
        <f>+ROUND(coupon_courru($AF$1,AA466,AB466,R466,K466,W466,P466,Q466,N466,V466,"V"),4)</f>
        <v>0</v>
      </c>
      <c r="I466" s="1199">
        <f>+IF(Z466=1,B466,D466*100)</f>
        <v>2.2810000000000001</v>
      </c>
      <c r="J466" s="1193"/>
      <c r="K466" s="1193">
        <v>100000</v>
      </c>
      <c r="L466" s="1193"/>
      <c r="M466" s="1197">
        <v>2.2499999999999999E-2</v>
      </c>
      <c r="N466" s="1193">
        <v>26</v>
      </c>
      <c r="O466" s="1200" t="s">
        <v>369</v>
      </c>
      <c r="P466" s="1200" t="s">
        <v>369</v>
      </c>
      <c r="Q466" s="1200" t="s">
        <v>1014</v>
      </c>
      <c r="R466" s="1197">
        <v>0</v>
      </c>
      <c r="S466" s="1229" cm="1">
        <f t="array" ref="S466">IF(C466&gt;'Courbe des taux'!$D$50,ROUND( TREND('Courbe des taux'!$E$49:$E$50,'Courbe des taux'!$D$49:$D$50,Lignes_détenues!C466),5),ROUND(IF(C466&gt;365,interpoler(_mat2,taux2,C466),interpoler(_mat1,taux1,C466)),5))</f>
        <v>2.281E-2</v>
      </c>
      <c r="T466" s="1201">
        <f t="shared" ref="T466" si="301">S466</f>
        <v>2.281E-2</v>
      </c>
      <c r="U466" s="1201">
        <f>ROUND(IF(D466*365&gt;366,interpoler(_mat2,taux2,D466*365),interpoler(_mat1,taux1,D466*365)),5)</f>
        <v>2.2700000000000001E-2</v>
      </c>
      <c r="V466" s="1202" t="str">
        <f>+IF((AB466-$AF$1)&lt;=366,"M","A")</f>
        <v>M</v>
      </c>
      <c r="W466" s="1202" t="s">
        <v>287</v>
      </c>
      <c r="X466" s="1212">
        <f>+prix_atp(AF$1,AA466,Z466,AB466,M466,K466,W466,V466,P466,Q466,N466,D466,Y466)</f>
        <v>100709.96660925023</v>
      </c>
      <c r="Y466" s="1202">
        <v>1</v>
      </c>
      <c r="Z466" s="35">
        <v>45992</v>
      </c>
      <c r="AA466" s="1198">
        <v>45992</v>
      </c>
      <c r="AB466" s="1198">
        <v>46174</v>
      </c>
      <c r="AC466" s="35"/>
      <c r="AD466" s="2"/>
    </row>
    <row r="467" spans="1:31" ht="15" hidden="1" x14ac:dyDescent="0.25">
      <c r="A467" s="1191">
        <v>201935</v>
      </c>
      <c r="B467" s="1192">
        <f t="shared" ref="B467" si="302">X467</f>
        <v>100101.41885414012</v>
      </c>
      <c r="C467" s="1193">
        <f>(AB467-$AF$1)</f>
        <v>844</v>
      </c>
      <c r="D467" s="1194">
        <f t="shared" ref="D467" si="303">ROUND(T467+R467,5)</f>
        <v>2.7150000000000001E-2</v>
      </c>
      <c r="E467" s="1195">
        <f>duration_titre($AF$1,AA467,AB467,R467,K467,W467,V467,P467,Q467,N467,D467)</f>
        <v>2.3123287671232875</v>
      </c>
      <c r="F467" s="1195">
        <f t="shared" ref="F467" si="304">+E467/(1+D467)</f>
        <v>2.2512084575021052</v>
      </c>
      <c r="G467" s="1195">
        <f>convexite_titre($AF$1,AA467,AB467,R467,K467,W467,V467,P467,Q467,N467,D467)</f>
        <v>7.2596432211220039</v>
      </c>
      <c r="H467" s="1196">
        <f>+ROUND(coupon_courru($AF$1,AA467,AB467,R467,K467,W467,P467,Q467,N467,V467,"V"),4)</f>
        <v>0</v>
      </c>
      <c r="I467" s="1199">
        <f>+IF(Z467=1,B467,D467*100)</f>
        <v>2.7149999999999999</v>
      </c>
      <c r="J467" s="1193"/>
      <c r="K467" s="1193">
        <v>100000</v>
      </c>
      <c r="L467" s="1193"/>
      <c r="M467" s="1197">
        <v>2.4500000000000001E-2</v>
      </c>
      <c r="N467" s="1193">
        <v>2</v>
      </c>
      <c r="O467" s="1200" t="s">
        <v>1716</v>
      </c>
      <c r="P467" s="1200" t="s">
        <v>1716</v>
      </c>
      <c r="Q467" s="1200" t="s">
        <v>1014</v>
      </c>
      <c r="R467" s="1197">
        <v>0</v>
      </c>
      <c r="S467" s="1229" cm="1">
        <f t="array" ref="S467">IF(C467&gt;'Courbe des taux'!$D$50,ROUND( TREND('Courbe des taux'!$E$49:$E$50,'Courbe des taux'!$D$49:$D$50,Lignes_détenues!C467),5),ROUND(IF(C467&gt;365,interpoler(_mat2,taux2,C467),interpoler(_mat1,taux1,C467)),5))</f>
        <v>2.7150000000000001E-2</v>
      </c>
      <c r="T467" s="1201">
        <f t="shared" ref="T467" si="305">S467</f>
        <v>2.7150000000000001E-2</v>
      </c>
      <c r="U467" s="1201">
        <f>ROUND(IF(D467*365&gt;366,interpoler(_mat2,taux2,D467*365),interpoler(_mat1,taux1,D467*365)),5)</f>
        <v>2.2700000000000001E-2</v>
      </c>
      <c r="V467" s="1202" t="str">
        <f>+IF((AB467-$AF$1)&lt;=366,"M","A")</f>
        <v>A</v>
      </c>
      <c r="W467" s="1202" t="s">
        <v>287</v>
      </c>
      <c r="X467" s="1212">
        <f>+prix_atp(AF$1,AA467,Z467,AB467,M467,K467,W467,V467,P467,Q467,N467,D467,Y467)</f>
        <v>100101.41885414012</v>
      </c>
      <c r="Y467" s="1202">
        <v>1</v>
      </c>
      <c r="Z467" s="35">
        <v>46220</v>
      </c>
      <c r="AA467" s="1198">
        <v>45999</v>
      </c>
      <c r="AB467" s="1198">
        <v>46951</v>
      </c>
      <c r="AC467" s="35"/>
      <c r="AD467" s="2"/>
      <c r="AE467" s="35"/>
    </row>
    <row r="468" spans="1:31" ht="15" hidden="1" x14ac:dyDescent="0.25">
      <c r="A468" s="1191">
        <v>9646</v>
      </c>
      <c r="B468" s="1192">
        <f t="shared" ref="B468" si="306">X468</f>
        <v>103812.52416499687</v>
      </c>
      <c r="C468" s="1193">
        <f>(AB468-$AF$1)</f>
        <v>6840</v>
      </c>
      <c r="D468" s="1194">
        <f t="shared" ref="D468" si="307">ROUND(T468+R468,5)</f>
        <v>4.2349999999999999E-2</v>
      </c>
      <c r="E468" s="1195">
        <f>duration_titre($AF$1,AA468,AB468,R468,K468,W468,V468,P468,Q468,N468,D468)</f>
        <v>17.252158624262478</v>
      </c>
      <c r="F468" s="1195">
        <f t="shared" ref="F468" si="308">+E468/(1+D468)</f>
        <v>16.551214682460287</v>
      </c>
      <c r="G468" s="1195">
        <f>convexite_titre($AF$1,AA468,AB468,R468,K468,W468,V468,P468,Q468,N468,D468)</f>
        <v>305.6998708726282</v>
      </c>
      <c r="H468" s="1196">
        <f>+ROUND(coupon_courru($AF$1,AA468,AB468,R468,K468,W468,P468,Q468,N468,V468,"V"),4)</f>
        <v>164.3836</v>
      </c>
      <c r="I468" s="1199">
        <f>+IF(Z468=1,B468,D468*100)</f>
        <v>4.2349999999999994</v>
      </c>
      <c r="J468" s="1193"/>
      <c r="K468" s="1193">
        <v>100000</v>
      </c>
      <c r="L468" s="1193"/>
      <c r="M468" s="1197">
        <v>4.4400000000000002E-2</v>
      </c>
      <c r="N468" s="1193">
        <v>3</v>
      </c>
      <c r="O468" s="1200" t="s">
        <v>1716</v>
      </c>
      <c r="P468" s="1200" t="s">
        <v>1716</v>
      </c>
      <c r="Q468" s="1200" t="s">
        <v>1014</v>
      </c>
      <c r="R468" s="1197">
        <v>6.0000000000000001E-3</v>
      </c>
      <c r="S468" s="1229" cm="1">
        <f t="array" ref="S468">IF(C468&gt;'Courbe des taux'!$D$50,ROUND( TREND('Courbe des taux'!$E$49:$E$50,'Courbe des taux'!$D$49:$D$50,Lignes_détenues!C468),5),ROUND(IF(C468&gt;365,interpoler(_mat2,taux2,C468),interpoler(_mat1,taux1,C468)),5))</f>
        <v>3.635E-2</v>
      </c>
      <c r="T468" s="1201">
        <f t="shared" ref="T468" si="309">S468</f>
        <v>3.635E-2</v>
      </c>
      <c r="U468" s="1201">
        <f>ROUND(IF(D468*365&gt;366,interpoler(_mat2,taux2,D468*365),interpoler(_mat1,taux1,D468*365)),5)</f>
        <v>2.2700000000000001E-2</v>
      </c>
      <c r="V468" s="1202" t="str">
        <f>+IF((AB468-$AF$1)&lt;=366,"M","A")</f>
        <v>A</v>
      </c>
      <c r="W468" s="1202" t="s">
        <v>287</v>
      </c>
      <c r="X468" s="1212">
        <f>+prix_titre(AF$1,AA468,AB468,M468,K468,W468,V468,P468,Q468,N468,D468,Y468)</f>
        <v>103812.52416499687</v>
      </c>
      <c r="Y468" s="1202">
        <v>1</v>
      </c>
      <c r="Z468" s="35"/>
      <c r="AA468" s="1198">
        <v>45642</v>
      </c>
      <c r="AB468" s="1198">
        <v>52947</v>
      </c>
      <c r="AC468" s="35"/>
      <c r="AD468" s="2"/>
    </row>
    <row r="469" spans="1:31" ht="15" hidden="1" x14ac:dyDescent="0.25">
      <c r="A469" s="1191">
        <v>9754</v>
      </c>
      <c r="B469" s="1192">
        <f t="shared" ref="B469" si="310">X469</f>
        <v>101024.413450723</v>
      </c>
      <c r="C469" s="1193">
        <f>(AB469-$AF$1)</f>
        <v>261</v>
      </c>
      <c r="D469" s="1194">
        <f t="shared" ref="D469" si="311">ROUND(T469+R469,5)</f>
        <v>3.9170000000000003E-2</v>
      </c>
      <c r="E469" s="1195">
        <f>duration_titre($AF$1,AA469,AB469,R469,K469,W469,V469,P469,Q469,N469,D469)</f>
        <v>0.71506849315068488</v>
      </c>
      <c r="F469" s="1195">
        <f t="shared" ref="F469" si="312">+E469/(1+D469)</f>
        <v>0.68811502752262377</v>
      </c>
      <c r="G469" s="1195">
        <f>convexite_titre($AF$1,AA469,AB469,R469,K469,W469,V469,P469,Q469,N469,D469)</f>
        <v>1.1356798246365545</v>
      </c>
      <c r="H469" s="1196">
        <f>+ROUND(coupon_courru($AF$1,AA469,AB469,R469,K469,W469,P469,Q469,N469,V469,"V"),4)</f>
        <v>433.33330000000001</v>
      </c>
      <c r="I469" s="1199">
        <f>+IF(Z469=1,B469,D469*100)</f>
        <v>3.9170000000000003</v>
      </c>
      <c r="J469" s="1193"/>
      <c r="K469" s="1193">
        <v>100000</v>
      </c>
      <c r="L469" s="1193"/>
      <c r="M469" s="1197">
        <v>3.8399999999999997E-2</v>
      </c>
      <c r="N469" s="1193">
        <v>52</v>
      </c>
      <c r="O469" s="1200" t="s">
        <v>1716</v>
      </c>
      <c r="P469" s="1200" t="s">
        <v>1716</v>
      </c>
      <c r="Q469" s="1200" t="s">
        <v>1014</v>
      </c>
      <c r="R469" s="1197">
        <v>1.4999999999999999E-2</v>
      </c>
      <c r="S469" s="1229" cm="1">
        <f t="array" ref="S469">IF(C469&gt;'Courbe des taux'!$D$50,ROUND( TREND('Courbe des taux'!$E$49:$E$50,'Courbe des taux'!$D$49:$D$50,Lignes_détenues!C469),5),ROUND(IF(C469&gt;365,interpoler(_mat2,taux2,C469),interpoler(_mat1,taux1,C469)),5))</f>
        <v>2.4170000000000001E-2</v>
      </c>
      <c r="T469" s="1201">
        <f t="shared" ref="T469" si="313">S469</f>
        <v>2.4170000000000001E-2</v>
      </c>
      <c r="U469" s="1201">
        <f>ROUND(IF(D469*365&gt;366,interpoler(_mat2,taux2,D469*365),interpoler(_mat1,taux1,D469*365)),5)</f>
        <v>2.2700000000000001E-2</v>
      </c>
      <c r="V469" s="1202" t="str">
        <f>+IF((AB469-$AF$1)&lt;=366,"M","A")</f>
        <v>M</v>
      </c>
      <c r="W469" s="1202" t="s">
        <v>287</v>
      </c>
      <c r="X469" s="1212">
        <f>+prix_titre(AF$1,AA469,AB469,M469,K469,W469,V469,P469,Q469,N469,D469,Y469)</f>
        <v>101024.413450723</v>
      </c>
      <c r="Y469" s="1202">
        <v>1</v>
      </c>
      <c r="Z469" s="2"/>
      <c r="AA469" s="1198">
        <v>46003</v>
      </c>
      <c r="AB469" s="1198">
        <v>46368</v>
      </c>
      <c r="AC469" s="35"/>
      <c r="AD469" s="2"/>
    </row>
    <row r="470" spans="1:31" ht="15" hidden="1" x14ac:dyDescent="0.25">
      <c r="A470" s="1191">
        <v>9753</v>
      </c>
      <c r="B470" s="1192">
        <f t="shared" ref="B470" si="314">X470</f>
        <v>97503.677396923391</v>
      </c>
      <c r="C470" s="1193">
        <f>(AB470-$AF$1)</f>
        <v>10856</v>
      </c>
      <c r="D470" s="1194">
        <f t="shared" ref="D470" si="315">ROUND(T470+R470,5)</f>
        <v>4.8090000000000001E-2</v>
      </c>
      <c r="E470" s="1195">
        <f>duration_titre($AF$1,AA470,AB470,R470,K470,W470,V470,P470,Q470,N470,D470)</f>
        <v>24.177884111186572</v>
      </c>
      <c r="F470" s="1195">
        <f t="shared" ref="F470" si="316">+E470/(1+D470)</f>
        <v>23.068519030986433</v>
      </c>
      <c r="G470" s="1195">
        <f>convexite_titre($AF$1,AA470,AB470,R470,K470,W470,V470,P470,Q470,N470,D470)</f>
        <v>636.01050186412942</v>
      </c>
      <c r="H470" s="1196">
        <f>+ROUND(coupon_courru($AF$1,AA470,AB470,R470,K470,W470,P470,Q470,N470,V470,"V"),4)</f>
        <v>193.6986</v>
      </c>
      <c r="I470" s="1199">
        <f>+IF(Z470=1,B470,D470*100)</f>
        <v>4.8090000000000002</v>
      </c>
      <c r="J470" s="1193" t="s">
        <v>3252</v>
      </c>
      <c r="K470" s="1193">
        <v>100000</v>
      </c>
      <c r="L470" s="1193"/>
      <c r="M470" s="1197">
        <v>4.5699999999999998E-2</v>
      </c>
      <c r="N470" s="1193">
        <v>30</v>
      </c>
      <c r="O470" s="1200" t="s">
        <v>1716</v>
      </c>
      <c r="P470" s="1200" t="s">
        <v>1716</v>
      </c>
      <c r="Q470" s="1200" t="s">
        <v>1014</v>
      </c>
      <c r="R470" s="1197">
        <v>7.0000000000000001E-3</v>
      </c>
      <c r="S470" s="1229" cm="1">
        <f t="array" ref="S470">IF(C470&gt;'Courbe des taux'!$D$50,ROUND( TREND('Courbe des taux'!$E$49:$E$50,'Courbe des taux'!$D$49:$D$50,Lignes_détenues!C470),5),ROUND(IF(C470&gt;365,interpoler(_mat2,taux2,C470),interpoler(_mat1,taux1,C470)),5))</f>
        <v>4.1090000000000002E-2</v>
      </c>
      <c r="T470" s="1201">
        <f t="shared" ref="T470" si="317">S470</f>
        <v>4.1090000000000002E-2</v>
      </c>
      <c r="U470" s="1201">
        <f>ROUND(IF(D470*365&gt;366,interpoler(_mat2,taux2,D470*365),interpoler(_mat1,taux1,D470*365)),5)</f>
        <v>2.2700000000000001E-2</v>
      </c>
      <c r="V470" s="1202" t="str">
        <f>+IF((AB470-$AF$1)&lt;=366,"M","A")</f>
        <v>A</v>
      </c>
      <c r="W470" s="1202" t="s">
        <v>287</v>
      </c>
      <c r="X470" s="1212">
        <f>+prix_titre(AF$1,AA470,AB470,M470,K470,W470,V470,P470,Q470,N470,D470,Y470)</f>
        <v>97503.677396923391</v>
      </c>
      <c r="Y470" s="1202">
        <v>1</v>
      </c>
      <c r="Z470" s="2"/>
      <c r="AA470" s="1198">
        <v>46006</v>
      </c>
      <c r="AB470" s="1198">
        <v>56963</v>
      </c>
      <c r="AC470" s="35"/>
      <c r="AD470" s="2"/>
    </row>
    <row r="471" spans="1:31" ht="15" hidden="1" x14ac:dyDescent="0.25">
      <c r="A471" s="1191">
        <v>9750</v>
      </c>
      <c r="B471" s="1192">
        <f t="shared" ref="B471" si="318">X471</f>
        <v>100589.86514884219</v>
      </c>
      <c r="C471" s="1193">
        <f>(AB471-$AF$1)</f>
        <v>264</v>
      </c>
      <c r="D471" s="1194">
        <f t="shared" ref="D471" si="319">ROUND(T471+R471,5)</f>
        <v>2.7189999999999999E-2</v>
      </c>
      <c r="E471" s="1195">
        <f>duration_titre($AF$1,AA471,AB471,R471,K471,W471,V471,P471,Q471,N471,D471)</f>
        <v>0.72328767123287674</v>
      </c>
      <c r="F471" s="1195">
        <f t="shared" ref="F471" si="320">+E471/(1+D471)</f>
        <v>0.70414204892266929</v>
      </c>
      <c r="G471" s="1195">
        <f>convexite_titre($AF$1,AA471,AB471,R471,K471,W471,V471,P471,Q471,N471,D471)</f>
        <v>1.1813192415279483</v>
      </c>
      <c r="H471" s="1196">
        <f>+ROUND(coupon_courru($AF$1,AA471,AB471,R471,K471,W471,P471,Q471,N471,V471,"V"),4)</f>
        <v>84.166700000000006</v>
      </c>
      <c r="I471" s="1199">
        <f>+IF(Z471=1,B471,D471*100)</f>
        <v>2.7189999999999999</v>
      </c>
      <c r="J471" s="1193" t="s">
        <v>3253</v>
      </c>
      <c r="K471" s="1193">
        <v>100000</v>
      </c>
      <c r="L471" s="1193"/>
      <c r="M471" s="1197">
        <v>2.5600000000000001E-2</v>
      </c>
      <c r="N471" s="1193">
        <v>52</v>
      </c>
      <c r="O471" s="1200" t="s">
        <v>369</v>
      </c>
      <c r="P471" s="1200" t="s">
        <v>1716</v>
      </c>
      <c r="Q471" s="1200" t="s">
        <v>1014</v>
      </c>
      <c r="R471" s="1197">
        <v>3.0000000000000001E-3</v>
      </c>
      <c r="S471" s="1229" cm="1">
        <f t="array" ref="S471">IF(C471&gt;'Courbe des taux'!$D$50,ROUND( TREND('Courbe des taux'!$E$49:$E$50,'Courbe des taux'!$D$49:$D$50,Lignes_détenues!C471),5),ROUND(IF(C471&gt;365,interpoler(_mat2,taux2,C471),interpoler(_mat1,taux1,C471)),5))</f>
        <v>2.419E-2</v>
      </c>
      <c r="T471" s="1201">
        <f t="shared" ref="T471" si="321">S471</f>
        <v>2.419E-2</v>
      </c>
      <c r="U471" s="1201">
        <f>ROUND(IF(D471*365&gt;366,interpoler(_mat2,taux2,D471*365),interpoler(_mat1,taux1,D471*365)),5)</f>
        <v>2.2700000000000001E-2</v>
      </c>
      <c r="V471" s="1202" t="str">
        <f>+IF((AB471-$AF$1)&lt;=366,"M","A")</f>
        <v>M</v>
      </c>
      <c r="W471" s="1202" t="s">
        <v>287</v>
      </c>
      <c r="X471" s="1212">
        <f>+prix_titre(AF$1,AA471,AB471,M471,K471,W471,V471,P471,Q471,N471,D471,Y471)</f>
        <v>100589.86514884219</v>
      </c>
      <c r="Y471" s="1202">
        <v>1</v>
      </c>
      <c r="Z471" s="2"/>
      <c r="AA471" s="1198">
        <v>46006</v>
      </c>
      <c r="AB471" s="1198">
        <v>46371</v>
      </c>
      <c r="AC471" s="35"/>
      <c r="AD471" s="2"/>
    </row>
    <row r="472" spans="1:31" ht="15" hidden="1" x14ac:dyDescent="0.25">
      <c r="A472" s="1191">
        <v>9752</v>
      </c>
      <c r="B472" s="1192">
        <f t="shared" ref="B472" si="322">X472</f>
        <v>97737.440319692047</v>
      </c>
      <c r="C472" s="1193">
        <f>(AB472-$AF$1)</f>
        <v>7204</v>
      </c>
      <c r="D472" s="1194">
        <f t="shared" ref="D472" si="323">ROUND(T472+R472,5)</f>
        <v>4.265E-2</v>
      </c>
      <c r="E472" s="1195">
        <f>duration_titre($AF$1,AA472,AB472,R472,K472,W472,V472,P472,Q472,N472,D472)</f>
        <v>18.04809629806422</v>
      </c>
      <c r="F472" s="1195">
        <f t="shared" ref="F472" si="324">+E472/(1+D472)</f>
        <v>17.309831964766911</v>
      </c>
      <c r="G472" s="1195">
        <f>convexite_titre($AF$1,AA472,AB472,R472,K472,W472,V472,P472,Q472,N472,D472)</f>
        <v>335.10499332572499</v>
      </c>
      <c r="H472" s="1196">
        <f>+ROUND(coupon_courru($AF$1,AA472,AB472,R472,K472,W472,P472,Q472,N472,V472,"V"),4)</f>
        <v>166.0274</v>
      </c>
      <c r="I472" s="1199">
        <f>+IF(Z472=1,B472,D472*100)</f>
        <v>4.2649999999999997</v>
      </c>
      <c r="J472" s="1193"/>
      <c r="K472" s="1193">
        <v>100000</v>
      </c>
      <c r="L472" s="1193"/>
      <c r="M472" s="1197">
        <v>4.0099999999999997E-2</v>
      </c>
      <c r="N472" s="1193">
        <v>20</v>
      </c>
      <c r="O472" s="1200" t="s">
        <v>1716</v>
      </c>
      <c r="P472" s="1200" t="s">
        <v>1716</v>
      </c>
      <c r="Q472" s="1200" t="s">
        <v>1014</v>
      </c>
      <c r="R472" s="1197">
        <v>6.0000000000000001E-3</v>
      </c>
      <c r="S472" s="1229" cm="1">
        <f t="array" ref="S472">IF(C472&gt;'Courbe des taux'!$D$50,ROUND( TREND('Courbe des taux'!$E$49:$E$50,'Courbe des taux'!$D$49:$D$50,Lignes_détenues!C472),5),ROUND(IF(C472&gt;365,interpoler(_mat2,taux2,C472),interpoler(_mat1,taux1,C472)),5))</f>
        <v>3.6650000000000002E-2</v>
      </c>
      <c r="T472" s="1201">
        <f t="shared" ref="T472" si="325">S472</f>
        <v>3.6650000000000002E-2</v>
      </c>
      <c r="U472" s="1201">
        <f>ROUND(IF(D472*365&gt;366,interpoler(_mat2,taux2,D472*365),interpoler(_mat1,taux1,D472*365)),5)</f>
        <v>2.2700000000000001E-2</v>
      </c>
      <c r="V472" s="1202" t="str">
        <f>+IF((AB472-$AF$1)&lt;=366,"M","A")</f>
        <v>A</v>
      </c>
      <c r="W472" s="1202" t="s">
        <v>287</v>
      </c>
      <c r="X472" s="1212">
        <f>+prix_titre(AF$1,AA472,AB472,M472,K472,W472,V472,P472,Q472,N472,D472,Y472)</f>
        <v>97737.440319692047</v>
      </c>
      <c r="Y472" s="1202">
        <v>1</v>
      </c>
      <c r="Z472" s="2"/>
      <c r="AA472" s="1198">
        <v>46006</v>
      </c>
      <c r="AB472" s="1198">
        <v>53311</v>
      </c>
      <c r="AC472" s="35"/>
      <c r="AD472" s="2"/>
    </row>
    <row r="473" spans="1:31" ht="15" hidden="1" x14ac:dyDescent="0.25">
      <c r="A473" s="1191">
        <v>101022</v>
      </c>
      <c r="B473" s="1192">
        <f t="shared" ref="B473" si="326">X473</f>
        <v>100292.03527709741</v>
      </c>
      <c r="C473" s="1193">
        <f>(AB473-$AF$1)</f>
        <v>995</v>
      </c>
      <c r="D473" s="1194">
        <f t="shared" ref="D473" si="327">ROUND(T473+R473,5)</f>
        <v>3.2280000000000003E-2</v>
      </c>
      <c r="E473" s="1195">
        <f>duration_titre($AF$1,AA473,AB473,R473,K473,W473,V473,P473,Q473,N473,D473)</f>
        <v>2.711960721204381</v>
      </c>
      <c r="F473" s="1195">
        <f t="shared" ref="F473" si="328">+E473/(1+D473)</f>
        <v>2.6271561215991599</v>
      </c>
      <c r="G473" s="1195">
        <f>convexite_titre($AF$1,AA473,AB473,R473,K473,W473,V473,P473,Q473,N473,D473)</f>
        <v>9.4688930465011527</v>
      </c>
      <c r="H473" s="1196">
        <f>+ROUND(coupon_courru($AF$1,AA473,AB473,R473,K473,W473,P473,Q473,N473,V473,"V"),4)</f>
        <v>124.5205</v>
      </c>
      <c r="I473" s="1199">
        <f>+IF(Z473=1,B473,D473*100)</f>
        <v>3.2280000000000002</v>
      </c>
      <c r="J473" s="1193"/>
      <c r="K473" s="1193">
        <v>100000</v>
      </c>
      <c r="L473" s="1193"/>
      <c r="M473" s="1197">
        <v>3.0200000000000001E-2</v>
      </c>
      <c r="N473" s="1193">
        <v>3</v>
      </c>
      <c r="O473" s="1200" t="s">
        <v>1716</v>
      </c>
      <c r="P473" s="1200" t="s">
        <v>1716</v>
      </c>
      <c r="Q473" s="1200" t="s">
        <v>1014</v>
      </c>
      <c r="R473" s="1197">
        <v>4.4999999999999997E-3</v>
      </c>
      <c r="S473" s="1229" cm="1">
        <f t="array" ref="S473">IF(C473&gt;'Courbe des taux'!$D$50,ROUND( TREND('Courbe des taux'!$E$49:$E$50,'Courbe des taux'!$D$49:$D$50,Lignes_détenues!C473),5),ROUND(IF(C473&gt;365,interpoler(_mat2,taux2,C473),interpoler(_mat1,taux1,C473)),5))</f>
        <v>2.7779999999999999E-2</v>
      </c>
      <c r="T473" s="1201">
        <f t="shared" ref="T473" si="329">S473</f>
        <v>2.7779999999999999E-2</v>
      </c>
      <c r="U473" s="1201">
        <f>ROUND(IF(D473*365&gt;366,interpoler(_mat2,taux2,D473*365),interpoler(_mat1,taux1,D473*365)),5)</f>
        <v>2.2700000000000001E-2</v>
      </c>
      <c r="V473" s="1202" t="str">
        <f>+IF((AB473-$AF$1)&lt;=366,"M","A")</f>
        <v>A</v>
      </c>
      <c r="W473" s="1202" t="s">
        <v>287</v>
      </c>
      <c r="X473" s="1212">
        <f>+prix_titre(AF$1,AA473,AB473,M473,K473,W473,V473,P473,Q473,N473,D473,Y473)</f>
        <v>100292.03527709741</v>
      </c>
      <c r="Y473" s="1202">
        <v>1</v>
      </c>
      <c r="Z473" s="2"/>
      <c r="AA473" s="1198">
        <v>46006</v>
      </c>
      <c r="AB473" s="1198">
        <v>47102</v>
      </c>
      <c r="AC473" s="35"/>
      <c r="AD473" s="2"/>
    </row>
    <row r="474" spans="1:31" s="342" customFormat="1" ht="15" hidden="1" x14ac:dyDescent="0.25">
      <c r="A474" s="1336">
        <v>9755</v>
      </c>
      <c r="B474" s="1209">
        <f t="shared" ref="B474:B475" si="330">X474</f>
        <v>100064.84601590017</v>
      </c>
      <c r="C474" s="1337">
        <f>(AB474-$AF$1)</f>
        <v>83</v>
      </c>
      <c r="D474" s="1338">
        <f t="shared" ref="D474:D475" si="331">ROUND(T474+R474,5)</f>
        <v>2.743E-2</v>
      </c>
      <c r="E474" s="1339">
        <f>duration_titre($AF$1,AA474,AB474,R474,K474,W474,V474,P474,Q474,N474,D474)</f>
        <v>0.22739726027397261</v>
      </c>
      <c r="F474" s="1339">
        <f t="shared" ref="F474:F475" si="332">+E474/(1+D474)</f>
        <v>0.22132628040253116</v>
      </c>
      <c r="G474" s="1339">
        <f>convexite_titre($AF$1,AA474,AB474,R474,K474,W474,V474,P474,Q474,N474,D474)</f>
        <v>0.2644027040213891</v>
      </c>
      <c r="H474" s="1340">
        <f>+ROUND(coupon_courru($AF$1,AA474,AB474,R474,K474,W474,P474,Q474,N474,V474,"V"),4)</f>
        <v>11.25</v>
      </c>
      <c r="I474" s="1341">
        <f>+IF(Z474=1,B474,D474*100)</f>
        <v>2.7429999999999999</v>
      </c>
      <c r="J474" s="1337"/>
      <c r="K474" s="1337">
        <v>100000</v>
      </c>
      <c r="L474" s="1337"/>
      <c r="M474" s="1342">
        <v>2.7300000000000001E-2</v>
      </c>
      <c r="N474" s="1337">
        <v>13</v>
      </c>
      <c r="O474" s="1344" t="s">
        <v>1716</v>
      </c>
      <c r="P474" s="1344" t="s">
        <v>1525</v>
      </c>
      <c r="Q474" s="1344" t="s">
        <v>1014</v>
      </c>
      <c r="R474" s="1342">
        <v>4.4999999999999997E-3</v>
      </c>
      <c r="S474" s="1346" cm="1">
        <f t="array" ref="S474">IF(C474&gt;'Courbe des taux'!$D$50,ROUND( TREND('Courbe des taux'!$E$49:$E$50,'Courbe des taux'!$D$49:$D$50,Lignes_détenues!C474),5),ROUND(IF(C474&gt;365,interpoler(_mat2,taux2,C474),interpoler(_mat1,taux1,C474)),5))</f>
        <v>2.2929999999999999E-2</v>
      </c>
      <c r="T474" s="1346">
        <f t="shared" ref="T474:T475" si="333">S474</f>
        <v>2.2929999999999999E-2</v>
      </c>
      <c r="U474" s="1346">
        <f>ROUND(IF(D474*365&gt;366,interpoler(_mat2,taux2,D474*365),interpoler(_mat1,taux1,D474*365)),5)</f>
        <v>2.2700000000000001E-2</v>
      </c>
      <c r="V474" s="1347" t="str">
        <f>+IF((AB474-$AF$1)&lt;=366,"M","A")</f>
        <v>M</v>
      </c>
      <c r="W474" s="1347" t="s">
        <v>287</v>
      </c>
      <c r="X474" s="1348">
        <f>+prix_titre(AF$1,AA474,AB474,M474,K474,W474,V474,P474,Q474,N474,D474,Y474)</f>
        <v>100064.84601590017</v>
      </c>
      <c r="Y474" s="1347">
        <v>1</v>
      </c>
      <c r="AA474" s="1343">
        <v>46098</v>
      </c>
      <c r="AB474" s="1343">
        <v>46190</v>
      </c>
      <c r="AC474" s="1374">
        <f>(AA474-AB474)/360*M474*K474</f>
        <v>-697.66666666666663</v>
      </c>
    </row>
    <row r="475" spans="1:31" ht="15" hidden="1" x14ac:dyDescent="0.25">
      <c r="A475" s="1191">
        <v>9756</v>
      </c>
      <c r="B475" s="1192">
        <f t="shared" si="330"/>
        <v>100067.30936324624</v>
      </c>
      <c r="C475" s="1193">
        <f>(AB475-$AF$1)</f>
        <v>83</v>
      </c>
      <c r="D475" s="1194">
        <f t="shared" si="331"/>
        <v>2.843E-2</v>
      </c>
      <c r="E475" s="1195">
        <f>duration_titre($AF$1,AA475,AB475,R475,K475,W475,V475,P475,Q475,N475,D475)</f>
        <v>0.22739726027397261</v>
      </c>
      <c r="F475" s="1195">
        <f t="shared" si="332"/>
        <v>0.22111107248327316</v>
      </c>
      <c r="G475" s="1195">
        <f>convexite_titre($AF$1,AA475,AB475,R475,K475,W475,V475,P475,Q475,N475,D475)</f>
        <v>0.26388876693815744</v>
      </c>
      <c r="H475" s="1196">
        <f>+ROUND(coupon_courru($AF$1,AA475,AB475,R475,K475,W475,P475,Q475,N475,V475,"V"),4)</f>
        <v>13.75</v>
      </c>
      <c r="I475" s="1199">
        <f>+IF(Z475=1,B475,D475*100)</f>
        <v>2.843</v>
      </c>
      <c r="J475" s="1193"/>
      <c r="K475" s="1193">
        <v>100000</v>
      </c>
      <c r="L475" s="1193"/>
      <c r="M475" s="1197">
        <v>2.8299999999999999E-2</v>
      </c>
      <c r="N475" s="1193">
        <v>13</v>
      </c>
      <c r="O475" s="1200" t="s">
        <v>1716</v>
      </c>
      <c r="P475" s="1200" t="s">
        <v>1525</v>
      </c>
      <c r="Q475" s="1200" t="s">
        <v>1014</v>
      </c>
      <c r="R475" s="1197">
        <v>5.4999999999999997E-3</v>
      </c>
      <c r="S475" s="1229" cm="1">
        <f t="array" ref="S475">IF(C475&gt;'Courbe des taux'!$D$50,ROUND( TREND('Courbe des taux'!$E$49:$E$50,'Courbe des taux'!$D$49:$D$50,Lignes_détenues!C475),5),ROUND(IF(C475&gt;365,interpoler(_mat2,taux2,C475),interpoler(_mat1,taux1,C475)),5))</f>
        <v>2.2929999999999999E-2</v>
      </c>
      <c r="T475" s="1201">
        <f t="shared" si="333"/>
        <v>2.2929999999999999E-2</v>
      </c>
      <c r="U475" s="1201">
        <f>ROUND(IF(D475*365&gt;366,interpoler(_mat2,taux2,D475*365),interpoler(_mat1,taux1,D475*365)),5)</f>
        <v>2.2700000000000001E-2</v>
      </c>
      <c r="V475" s="1202" t="str">
        <f>+IF((AB475-$AF$1)&lt;=366,"M","A")</f>
        <v>M</v>
      </c>
      <c r="W475" s="1202" t="s">
        <v>287</v>
      </c>
      <c r="X475" s="1212">
        <f>+prix_titre(AF$1,AA475,AB475,M475,K475,W475,V475,P475,Q475,N475,D475,Y475)</f>
        <v>100067.30936324624</v>
      </c>
      <c r="Y475" s="1202">
        <v>1</v>
      </c>
      <c r="Z475" s="2"/>
      <c r="AA475" s="1343">
        <v>46098</v>
      </c>
      <c r="AB475" s="1343">
        <v>46190</v>
      </c>
      <c r="AC475" s="1374">
        <f>(AA475-AB475)/360*M475*K475</f>
        <v>-723.22222222222217</v>
      </c>
      <c r="AD475" s="2"/>
    </row>
    <row r="476" spans="1:31" ht="15" hidden="1" x14ac:dyDescent="0.25">
      <c r="A476" s="1191">
        <v>9757</v>
      </c>
      <c r="B476" s="1192">
        <f t="shared" ref="B476" si="334">X476</f>
        <v>100069.7815149755</v>
      </c>
      <c r="C476" s="1193">
        <f>(AB476-$AF$1)</f>
        <v>83</v>
      </c>
      <c r="D476" s="1194">
        <f t="shared" ref="D476" si="335">ROUND(T476+R476,5)</f>
        <v>2.9430000000000001E-2</v>
      </c>
      <c r="E476" s="1195">
        <f>duration_titre($AF$1,AA476,AB476,R476,K476,W476,V476,P476,Q476,N476,D476)</f>
        <v>0.22739726027397261</v>
      </c>
      <c r="F476" s="1195">
        <f t="shared" ref="F476" si="336">+E476/(1+D476)</f>
        <v>0.2208962826748517</v>
      </c>
      <c r="G476" s="1195">
        <f>convexite_titre($AF$1,AA476,AB476,R476,K476,W476,V476,P476,Q476,N476,D476)</f>
        <v>0.26337632686031881</v>
      </c>
      <c r="H476" s="1196">
        <f>+ROUND(coupon_courru($AF$1,AA476,AB476,R476,K476,W476,P476,Q476,N476,V476,"V"),4)</f>
        <v>16.25</v>
      </c>
      <c r="I476" s="1199">
        <f>+IF(Z476=1,B476,D476*100)</f>
        <v>2.9430000000000001</v>
      </c>
      <c r="J476" s="1193"/>
      <c r="K476" s="1193">
        <v>100000</v>
      </c>
      <c r="L476" s="1193"/>
      <c r="M476" s="1197">
        <v>2.93E-2</v>
      </c>
      <c r="N476" s="1193">
        <v>13</v>
      </c>
      <c r="O476" s="1200" t="s">
        <v>1716</v>
      </c>
      <c r="P476" s="1200" t="s">
        <v>1525</v>
      </c>
      <c r="Q476" s="1200" t="s">
        <v>1014</v>
      </c>
      <c r="R476" s="1197">
        <v>6.4999999999999997E-3</v>
      </c>
      <c r="S476" s="1229" cm="1">
        <f t="array" ref="S476">IF(C476&gt;'Courbe des taux'!$D$50,ROUND( TREND('Courbe des taux'!$E$49:$E$50,'Courbe des taux'!$D$49:$D$50,Lignes_détenues!C476),5),ROUND(IF(C476&gt;365,interpoler(_mat2,taux2,C476),interpoler(_mat1,taux1,C476)),5))</f>
        <v>2.2929999999999999E-2</v>
      </c>
      <c r="T476" s="1201">
        <f t="shared" ref="T476" si="337">S476</f>
        <v>2.2929999999999999E-2</v>
      </c>
      <c r="U476" s="1201">
        <f>ROUND(IF(D476*365&gt;366,interpoler(_mat2,taux2,D476*365),interpoler(_mat1,taux1,D476*365)),5)</f>
        <v>2.2700000000000001E-2</v>
      </c>
      <c r="V476" s="1202" t="str">
        <f>+IF((AB476-$AF$1)&lt;=366,"M","A")</f>
        <v>M</v>
      </c>
      <c r="W476" s="1202" t="s">
        <v>287</v>
      </c>
      <c r="X476" s="1212">
        <f>+prix_titre(AF$1,AA476,AB476,M476,K476,W476,V476,P476,Q476,N476,D476,Y476)</f>
        <v>100069.7815149755</v>
      </c>
      <c r="Y476" s="1202">
        <v>1</v>
      </c>
      <c r="Z476" s="2"/>
      <c r="AA476" s="1343">
        <v>46098</v>
      </c>
      <c r="AB476" s="1343">
        <v>46190</v>
      </c>
      <c r="AC476" s="1374">
        <f>(AA476-AB476)/360*M476*K476</f>
        <v>-748.77777777777771</v>
      </c>
      <c r="AD476" s="2"/>
    </row>
    <row r="477" spans="1:31" s="1598" customFormat="1" ht="15" hidden="1" x14ac:dyDescent="0.25">
      <c r="A477" s="1583">
        <v>9758</v>
      </c>
      <c r="B477" s="1584">
        <f t="shared" ref="B477" si="338">X477</f>
        <v>100635.73536000001</v>
      </c>
      <c r="C477" s="1585">
        <f>(AB477-$AF$1)</f>
        <v>313</v>
      </c>
      <c r="D477" s="1586">
        <f t="shared" ref="D477" si="339">ROUND(T477+R477,5)</f>
        <v>2.9510000000000002E-2</v>
      </c>
      <c r="E477" s="1587">
        <f>duration_titre($AF$1,AA477,AB477,R477,K477,W477,V477,P477,Q477,N477,D477)</f>
        <v>0.8575342465753425</v>
      </c>
      <c r="F477" s="1587">
        <f t="shared" ref="F477" si="340">+E477/(1+D477)</f>
        <v>0.83295378051242097</v>
      </c>
      <c r="G477" s="1587">
        <f>convexite_titre($AF$1,AA477,AB477,R477,K477,W477,V477,P477,Q477,N477,D477)</f>
        <v>1.5028898923917431</v>
      </c>
      <c r="H477" s="1588">
        <f>+ROUND(coupon_courru($AF$1,AA477,AB477,R477,K477,W477,P477,Q477,N477,V477,"V"),4)</f>
        <v>71.232900000000001</v>
      </c>
      <c r="I477" s="1589">
        <f>+IF(Z477=1,B477,D477*100)</f>
        <v>2.9510000000000001</v>
      </c>
      <c r="J477" s="1585"/>
      <c r="K477" s="1585">
        <v>100000</v>
      </c>
      <c r="L477" s="1585"/>
      <c r="M477" s="1590">
        <v>2.81E-2</v>
      </c>
      <c r="N477" s="1585">
        <v>15</v>
      </c>
      <c r="O477" s="1592" t="s">
        <v>1716</v>
      </c>
      <c r="P477" s="1592" t="s">
        <v>1525</v>
      </c>
      <c r="Q477" s="1592" t="s">
        <v>1014</v>
      </c>
      <c r="R477" s="1590">
        <v>5.0000000000000001E-3</v>
      </c>
      <c r="S477" s="1594" cm="1">
        <f t="array" ref="S477">IF(C477&gt;'Courbe des taux'!$D$50,ROUND( TREND('Courbe des taux'!$E$49:$E$50,'Courbe des taux'!$D$49:$D$50,Lignes_détenues!C477),5),ROUND(IF(C477&gt;365,interpoler(_mat2,taux2,C477),interpoler(_mat1,taux1,C477)),5))</f>
        <v>2.4510000000000001E-2</v>
      </c>
      <c r="T477" s="1594">
        <f t="shared" ref="T477" si="341">S477</f>
        <v>2.4510000000000001E-2</v>
      </c>
      <c r="U477" s="1594">
        <f>ROUND(IF(D477*365&gt;366,interpoler(_mat2,taux2,D477*365),interpoler(_mat1,taux1,D477*365)),5)</f>
        <v>2.2700000000000001E-2</v>
      </c>
      <c r="V477" s="1595" t="str">
        <f>+IF((AB477-$AF$1)&lt;=366,"M","A")</f>
        <v>M</v>
      </c>
      <c r="W477" s="1595" t="s">
        <v>287</v>
      </c>
      <c r="X477" s="1596">
        <f>Ammortissable!C1111</f>
        <v>100635.73536000001</v>
      </c>
      <c r="Y477" s="1595">
        <v>1</v>
      </c>
      <c r="AA477" s="1591">
        <v>46010</v>
      </c>
      <c r="AB477" s="1591">
        <v>46420</v>
      </c>
      <c r="AC477" s="1597"/>
    </row>
    <row r="478" spans="1:31" ht="15" hidden="1" x14ac:dyDescent="0.25">
      <c r="A478" s="1191">
        <v>201519</v>
      </c>
      <c r="B478" s="1192">
        <f t="shared" ref="B478" si="342">X478</f>
        <v>0</v>
      </c>
      <c r="C478" s="1193">
        <f>(AB478-$AF$1)</f>
        <v>-52</v>
      </c>
      <c r="D478" s="1194">
        <f t="shared" ref="D478" si="343">ROUND(T478+R478,5)</f>
        <v>2.2700000000000001E-2</v>
      </c>
      <c r="E478" s="1195">
        <f>duration_titre($AF$1,AA478,AB478,R478,K478,W478,V478,P478,Q478,N478,D478)</f>
        <v>0</v>
      </c>
      <c r="F478" s="1195">
        <f t="shared" ref="F478" si="344">+E478/(1+D478)</f>
        <v>0</v>
      </c>
      <c r="G478" s="1195">
        <f>convexite_titre($AF$1,AA478,AB478,R478,K478,W478,V478,P478,Q478,N478,D478)</f>
        <v>0</v>
      </c>
      <c r="H478" s="1196">
        <f>+ROUND(coupon_courru($AF$1,AA478,AB478,R478,K478,W478,P478,Q478,N478,V478,"V"),4)</f>
        <v>0</v>
      </c>
      <c r="I478" s="1199">
        <f>+IF(Z478=1,B478,D478*100)</f>
        <v>2.27</v>
      </c>
      <c r="J478" s="1193"/>
      <c r="K478" s="1193">
        <v>100000</v>
      </c>
      <c r="L478" s="1193"/>
      <c r="M478" s="1197">
        <v>1.9900000000000001E-2</v>
      </c>
      <c r="N478" s="1193">
        <v>26</v>
      </c>
      <c r="O478" s="1200" t="s">
        <v>1716</v>
      </c>
      <c r="P478" s="1200" t="s">
        <v>1525</v>
      </c>
      <c r="Q478" s="1200" t="s">
        <v>1014</v>
      </c>
      <c r="R478" s="1197">
        <v>0</v>
      </c>
      <c r="S478" s="1229" cm="1">
        <f t="array" ref="S478">IF(C478&gt;'Courbe des taux'!$D$50,ROUND( TREND('Courbe des taux'!$E$49:$E$50,'Courbe des taux'!$D$49:$D$50,Lignes_détenues!C478),5),ROUND(IF(C478&gt;365,interpoler(_mat2,taux2,C478),interpoler(_mat1,taux1,C478)),5))</f>
        <v>2.2700000000000001E-2</v>
      </c>
      <c r="T478" s="1201">
        <f t="shared" ref="T478" si="345">S478</f>
        <v>2.2700000000000001E-2</v>
      </c>
      <c r="U478" s="1201">
        <f>ROUND(IF(D478*365&gt;366,interpoler(_mat2,taux2,D478*365),interpoler(_mat1,taux1,D478*365)),5)</f>
        <v>2.2700000000000001E-2</v>
      </c>
      <c r="V478" s="1202" t="str">
        <f>+IF((AB478-$AF$1)&lt;=366,"M","A")</f>
        <v>M</v>
      </c>
      <c r="W478" s="1202" t="s">
        <v>287</v>
      </c>
      <c r="X478" s="1212">
        <f>+prix_titre(AF$1,AA478,AB478,M478,K478,W478,V478,P478,Q478,N478,D478,Y478)</f>
        <v>0</v>
      </c>
      <c r="Y478" s="1202">
        <v>1</v>
      </c>
      <c r="Z478" s="2"/>
      <c r="AA478" s="1198">
        <v>45873</v>
      </c>
      <c r="AB478" s="1198">
        <v>46055</v>
      </c>
      <c r="AC478" s="35"/>
      <c r="AD478" s="2"/>
    </row>
    <row r="479" spans="1:31" ht="15" hidden="1" x14ac:dyDescent="0.25">
      <c r="A479" s="1191">
        <v>5158</v>
      </c>
      <c r="B479" s="1192">
        <f t="shared" ref="B479" si="346">X479</f>
        <v>100844.59698392346</v>
      </c>
      <c r="C479" s="1193">
        <f>(AB479-$AF$1)</f>
        <v>-52</v>
      </c>
      <c r="D479" s="1194">
        <f t="shared" ref="D479" si="347">ROUND(T479+R479,5)</f>
        <v>1.0226999999999999</v>
      </c>
      <c r="E479" s="1195">
        <f>duration_titre($AF$1,AA479,AB479,R479,K479,W479,V479,P479,Q479,N479,D479)</f>
        <v>0</v>
      </c>
      <c r="F479" s="1195">
        <f t="shared" ref="F479" si="348">+E479/(1+D479)</f>
        <v>0</v>
      </c>
      <c r="G479" s="1195">
        <f>convexite_titre($AF$1,AA479,AB479,R479,K479,W479,V479,P479,Q479,N479,D479)</f>
        <v>0</v>
      </c>
      <c r="H479" s="1196">
        <f>+ROUND(coupon_courru($AF$1,AA479,AB479,R479,K479,W479,P479,Q479,N479,V479,"V"),4)</f>
        <v>14246.7178</v>
      </c>
      <c r="I479" s="1199">
        <f>+IF(Z479=1,B479,D479*100)</f>
        <v>102.27</v>
      </c>
      <c r="J479" s="1193"/>
      <c r="K479" s="1193">
        <v>100001</v>
      </c>
      <c r="L479" s="1193"/>
      <c r="M479" s="1197">
        <v>1.0199</v>
      </c>
      <c r="N479" s="1193">
        <v>27</v>
      </c>
      <c r="O479" s="1200" t="s">
        <v>1716</v>
      </c>
      <c r="P479" s="1200" t="s">
        <v>1525</v>
      </c>
      <c r="Q479" s="1200" t="s">
        <v>1014</v>
      </c>
      <c r="R479" s="1197">
        <v>1</v>
      </c>
      <c r="S479" s="1229" cm="1">
        <f t="array" ref="S479">IF(C479&gt;'Courbe des taux'!$D$50,ROUND( TREND('Courbe des taux'!$E$49:$E$50,'Courbe des taux'!$D$49:$D$50,Lignes_détenues!C479),5),ROUND(IF(C479&gt;365,interpoler(_mat2,taux2,C479),interpoler(_mat1,taux1,C479)),5))</f>
        <v>2.2700000000000001E-2</v>
      </c>
      <c r="T479" s="1201">
        <f t="shared" ref="T479" si="349">S479</f>
        <v>2.2700000000000001E-2</v>
      </c>
      <c r="U479" s="1201">
        <f>ROUND(IF(D479*365&gt;366,interpoler(_mat2,taux2,D479*365),interpoler(_mat1,taux1,D479*365)),5)</f>
        <v>2.5180000000000001E-2</v>
      </c>
      <c r="V479" s="1202" t="str">
        <f>+IF((AB479-$AF$1)&lt;=366,"M","A")</f>
        <v>M</v>
      </c>
      <c r="W479" s="1202" t="s">
        <v>287</v>
      </c>
      <c r="X479" s="1212">
        <f>'Echeancier de parts 2'!DW3</f>
        <v>100844.59698392346</v>
      </c>
      <c r="Y479" s="1202">
        <v>1</v>
      </c>
      <c r="Z479" s="2"/>
      <c r="AA479" s="1198">
        <v>45873</v>
      </c>
      <c r="AB479" s="1198">
        <v>46055</v>
      </c>
      <c r="AC479" s="35"/>
      <c r="AD479" s="2"/>
    </row>
    <row r="480" spans="1:31" ht="15" hidden="1" x14ac:dyDescent="0.25">
      <c r="A480" s="1191">
        <v>201915</v>
      </c>
      <c r="B480" s="1192">
        <f t="shared" ref="B480" si="350">X480</f>
        <v>0</v>
      </c>
      <c r="C480" s="1193">
        <f>(AB480-$AF$1)</f>
        <v>-52</v>
      </c>
      <c r="D480" s="1194">
        <f t="shared" ref="D480" si="351">ROUND(T480+R480,5)</f>
        <v>2.2700000000000001E-2</v>
      </c>
      <c r="E480" s="1195">
        <f>duration_titre($AF$1,AA480,AB480,R480,K480,W480,V480,P480,Q480,N480,D480)</f>
        <v>0</v>
      </c>
      <c r="F480" s="1195">
        <f t="shared" ref="F480" si="352">+E480/(1+D480)</f>
        <v>0</v>
      </c>
      <c r="G480" s="1195">
        <f>convexite_titre($AF$1,AA480,AB480,R480,K480,W480,V480,P480,Q480,N480,D480)</f>
        <v>0</v>
      </c>
      <c r="H480" s="1196">
        <f>+ROUND(coupon_courru($AF$1,AA480,AB480,R480,K480,W480,P480,Q480,N480,V480,"V"),4)</f>
        <v>0</v>
      </c>
      <c r="I480" s="1199">
        <f>+IF(Z480=1,B480,D480*100)</f>
        <v>2.27</v>
      </c>
      <c r="J480" s="1193"/>
      <c r="K480" s="1193">
        <v>100000</v>
      </c>
      <c r="L480" s="1193"/>
      <c r="M480" s="1197">
        <v>1.9900000000000001E-2</v>
      </c>
      <c r="N480" s="1193">
        <v>26</v>
      </c>
      <c r="O480" s="1200" t="s">
        <v>1716</v>
      </c>
      <c r="P480" s="1200" t="s">
        <v>1716</v>
      </c>
      <c r="Q480" s="1200" t="s">
        <v>1014</v>
      </c>
      <c r="R480" s="1197">
        <v>0</v>
      </c>
      <c r="S480" s="1229" cm="1">
        <f t="array" ref="S480">IF(C480&gt;'Courbe des taux'!$D$50,ROUND( TREND('Courbe des taux'!$E$49:$E$50,'Courbe des taux'!$D$49:$D$50,Lignes_détenues!C480),5),ROUND(IF(C480&gt;365,interpoler(_mat2,taux2,C480),interpoler(_mat1,taux1,C480)),5))</f>
        <v>2.2700000000000001E-2</v>
      </c>
      <c r="T480" s="1201">
        <f t="shared" ref="T480" si="353">S480</f>
        <v>2.2700000000000001E-2</v>
      </c>
      <c r="U480" s="1201">
        <f>ROUND(IF(D480*365&gt;366,interpoler(_mat2,taux2,D480*365),interpoler(_mat1,taux1,D480*365)),5)</f>
        <v>2.2700000000000001E-2</v>
      </c>
      <c r="V480" s="1202" t="str">
        <f>+IF((AB480-$AF$1)&lt;=366,"M","A")</f>
        <v>M</v>
      </c>
      <c r="W480" s="1202" t="s">
        <v>287</v>
      </c>
      <c r="X480" s="1212">
        <f>+prix_atp(AF$1,AA480,Z480,AB480,M480,K480,W480,V480,P480,Q480,N480,D480,Y480)</f>
        <v>0</v>
      </c>
      <c r="Y480" s="1202">
        <v>1</v>
      </c>
      <c r="Z480" s="35">
        <v>45873</v>
      </c>
      <c r="AA480" s="1198">
        <v>45873</v>
      </c>
      <c r="AB480" s="1198">
        <v>46055</v>
      </c>
      <c r="AC480" s="2"/>
      <c r="AD480" s="2"/>
    </row>
    <row r="481" spans="1:30" ht="15" hidden="1" x14ac:dyDescent="0.25">
      <c r="A481" s="1191">
        <v>153146</v>
      </c>
      <c r="B481" s="1192">
        <f t="shared" ref="B481" si="354">X481</f>
        <v>100560.56824347655</v>
      </c>
      <c r="C481" s="1193">
        <f>(AB481-$AF$1)</f>
        <v>189</v>
      </c>
      <c r="D481" s="1194">
        <f t="shared" ref="D481" si="355">ROUND(T481+R481,5)</f>
        <v>2.5999999999999999E-2</v>
      </c>
      <c r="E481" s="1195">
        <f>duration_titre($AF$1,AA481,AB481,R481,K481,W481,V481,P481,Q481,N481,D481)</f>
        <v>0.51780821917808217</v>
      </c>
      <c r="F481" s="1195">
        <f t="shared" ref="F481" si="356">+E481/(1+D481)</f>
        <v>0.50468637346791634</v>
      </c>
      <c r="G481" s="1195">
        <f>convexite_titre($AF$1,AA481,AB481,R481,K481,W481,V481,P481,Q481,N481,D481)</f>
        <v>0.74660538572785839</v>
      </c>
      <c r="H481" s="1196">
        <f>+ROUND(coupon_courru($AF$1,AA481,AB481,R481,K481,W481,P481,Q481,N481,V481,"V"),4)</f>
        <v>54.305599999999998</v>
      </c>
      <c r="I481" s="1199">
        <f>+IF(Z481=1,B481,D481*100)</f>
        <v>2.6</v>
      </c>
      <c r="J481" s="1193"/>
      <c r="K481" s="1193">
        <v>100000</v>
      </c>
      <c r="L481" s="1193"/>
      <c r="M481" s="1197">
        <v>2.5399999999999999E-2</v>
      </c>
      <c r="N481" s="1193">
        <v>26</v>
      </c>
      <c r="O481" s="1200" t="s">
        <v>369</v>
      </c>
      <c r="P481" s="1200" t="s">
        <v>1716</v>
      </c>
      <c r="Q481" s="1200" t="s">
        <v>1014</v>
      </c>
      <c r="R481" s="1197">
        <v>2.3E-3</v>
      </c>
      <c r="S481" s="1229" cm="1">
        <f t="array" ref="S481">IF(C481&gt;'Courbe des taux'!$D$50,ROUND( TREND('Courbe des taux'!$E$49:$E$50,'Courbe des taux'!$D$49:$D$50,Lignes_détenues!C481),5),ROUND(IF(C481&gt;365,interpoler(_mat2,taux2,C481),interpoler(_mat1,taux1,C481)),5))</f>
        <v>2.3699999999999999E-2</v>
      </c>
      <c r="T481" s="1201">
        <f t="shared" ref="T481" si="357">S481</f>
        <v>2.3699999999999999E-2</v>
      </c>
      <c r="U481" s="1201">
        <f>ROUND(IF(D481*365&gt;366,interpoler(_mat2,taux2,D481*365),interpoler(_mat1,taux1,D481*365)),5)</f>
        <v>2.2700000000000001E-2</v>
      </c>
      <c r="V481" s="1202" t="str">
        <f>+IF((AB481-$AF$1)&lt;=366,"M","A")</f>
        <v>M</v>
      </c>
      <c r="W481" s="1202" t="s">
        <v>287</v>
      </c>
      <c r="X481" s="1212">
        <f>+prix_atp(AF$1,AA481,Z481,AB481,M481,K481,W481,V481,P481,Q481,N481,D481,Y481)</f>
        <v>100560.56824347655</v>
      </c>
      <c r="Y481" s="1202">
        <v>1</v>
      </c>
      <c r="Z481" s="35">
        <v>46004</v>
      </c>
      <c r="AA481" s="1198">
        <v>46022</v>
      </c>
      <c r="AB481" s="1198">
        <v>46296</v>
      </c>
      <c r="AC481" s="2"/>
      <c r="AD481" s="2"/>
    </row>
    <row r="482" spans="1:30" ht="15" hidden="1" x14ac:dyDescent="0.25">
      <c r="A482" s="1191">
        <v>153145</v>
      </c>
      <c r="B482" s="1192">
        <f>X482</f>
        <v>100520.53528669076</v>
      </c>
      <c r="C482" s="1193">
        <f>(AB482-$AF$1)</f>
        <v>280</v>
      </c>
      <c r="D482" s="1194">
        <f>ROUND(T482+R482,5)</f>
        <v>2.6800000000000001E-2</v>
      </c>
      <c r="E482" s="1195">
        <f>duration_titre($AF$1,AA482,AB482,R482,K482,W482,V482,P482,Q482,N482,D482)</f>
        <v>0.76712328767123283</v>
      </c>
      <c r="F482" s="1195">
        <f>+E482/(1+D482)</f>
        <v>0.7471009813705034</v>
      </c>
      <c r="G482" s="1195">
        <f>convexite_titre($AF$1,AA482,AB482,R482,K482,W482,V482,P482,Q482,N482,D482)</f>
        <v>1.2857611437688434</v>
      </c>
      <c r="H482" s="1196">
        <f>+ROUND(coupon_courru($AF$1,AA482,AB482,R482,K482,W482,P482,Q482,N482,V482,"V"),4)</f>
        <v>59.027799999999999</v>
      </c>
      <c r="I482" s="1199">
        <f>+IF(Z482=1,B482,D482*100)</f>
        <v>2.68</v>
      </c>
      <c r="J482" s="1193"/>
      <c r="K482" s="1193">
        <v>100000</v>
      </c>
      <c r="L482" s="1193"/>
      <c r="M482" s="1197">
        <v>2.58E-2</v>
      </c>
      <c r="N482" s="1193">
        <v>52</v>
      </c>
      <c r="O482" s="1200" t="s">
        <v>1716</v>
      </c>
      <c r="P482" s="1200" t="s">
        <v>1716</v>
      </c>
      <c r="Q482" s="1200" t="s">
        <v>1014</v>
      </c>
      <c r="R482" s="1197">
        <v>2.5000000000000001E-3</v>
      </c>
      <c r="S482" s="1229" cm="1">
        <f t="array" ref="S482">IF(C482&gt;'Courbe des taux'!$D$50,ROUND( TREND('Courbe des taux'!$E$49:$E$50,'Courbe des taux'!$D$49:$D$50,Lignes_détenues!C482),5),ROUND(IF(C482&gt;365,interpoler(_mat2,taux2,C482),interpoler(_mat1,taux1,C482)),5))</f>
        <v>2.4299999999999999E-2</v>
      </c>
      <c r="T482" s="1201">
        <f>S482</f>
        <v>2.4299999999999999E-2</v>
      </c>
      <c r="U482" s="1201">
        <f>ROUND(IF(D482*365&gt;366,interpoler(_mat2,taux2,D482*365),interpoler(_mat1,taux1,D482*365)),5)</f>
        <v>2.2700000000000001E-2</v>
      </c>
      <c r="V482" s="1202" t="str">
        <f>+IF((AB482-$AF$1)&lt;=366,"M","A")</f>
        <v>M</v>
      </c>
      <c r="W482" s="1202" t="s">
        <v>287</v>
      </c>
      <c r="X482" s="1212">
        <f>+prix_atp(AF$1,AA482,Z482,AB482,M482,K482,W482,V482,P482,Q482,N482,D482,Y482)</f>
        <v>100520.53528669076</v>
      </c>
      <c r="Y482" s="1202">
        <v>1</v>
      </c>
      <c r="Z482" s="35"/>
      <c r="AA482" s="1198">
        <v>46022</v>
      </c>
      <c r="AB482" s="1198">
        <v>46387</v>
      </c>
      <c r="AC482" s="2"/>
      <c r="AD482" s="2"/>
    </row>
    <row r="483" spans="1:30" ht="15" hidden="1" x14ac:dyDescent="0.25">
      <c r="A483" s="1191">
        <v>9764</v>
      </c>
      <c r="B483" s="1192">
        <f>X483</f>
        <v>100893.51779250492</v>
      </c>
      <c r="C483" s="1193">
        <f>(AB483-$AF$1)</f>
        <v>280</v>
      </c>
      <c r="D483" s="1194">
        <f>ROUND(T483+R483,5)</f>
        <v>4.4299999999999999E-2</v>
      </c>
      <c r="E483" s="1195">
        <f>duration_titre($AF$1,AA483,AB483,R483,K483,W483,V483,P483,Q483,N483,D483)</f>
        <v>0.76712328767123283</v>
      </c>
      <c r="F483" s="1195">
        <f>+E483/(1+D483)</f>
        <v>0.73458133455063945</v>
      </c>
      <c r="G483" s="1195">
        <f>convexite_titre($AF$1,AA483,AB483,R483,K483,W483,V483,P483,Q483,N483,D483)</f>
        <v>1.2430295728938503</v>
      </c>
      <c r="H483" s="1196">
        <f>+ROUND(coupon_courru($AF$1,AA483,AB483,R483,K483,W483,P483,Q483,N483,V483,"V"),4)</f>
        <v>472.22219999999999</v>
      </c>
      <c r="I483" s="1199">
        <f>+IF(Z483=1,B483,D483*100)</f>
        <v>4.43</v>
      </c>
      <c r="J483" s="1193"/>
      <c r="K483" s="1193">
        <v>100000</v>
      </c>
      <c r="L483" s="1193"/>
      <c r="M483" s="1197">
        <v>4.3099999999999999E-2</v>
      </c>
      <c r="N483" s="1193">
        <v>52</v>
      </c>
      <c r="O483" s="1200" t="s">
        <v>1716</v>
      </c>
      <c r="P483" s="1200" t="s">
        <v>1716</v>
      </c>
      <c r="Q483" s="1200" t="s">
        <v>1014</v>
      </c>
      <c r="R483" s="1197">
        <v>0.02</v>
      </c>
      <c r="S483" s="1229" cm="1">
        <f t="array" ref="S483">IF(C483&gt;'Courbe des taux'!$D$50,ROUND( TREND('Courbe des taux'!$E$49:$E$50,'Courbe des taux'!$D$49:$D$50,Lignes_détenues!C483),5),ROUND(IF(C483&gt;365,interpoler(_mat2,taux2,C483),interpoler(_mat1,taux1,C483)),5))</f>
        <v>2.4299999999999999E-2</v>
      </c>
      <c r="T483" s="1201">
        <f>S483</f>
        <v>2.4299999999999999E-2</v>
      </c>
      <c r="U483" s="1201">
        <f>ROUND(IF(D483*365&gt;366,interpoler(_mat2,taux2,D483*365),interpoler(_mat1,taux1,D483*365)),5)</f>
        <v>2.2700000000000001E-2</v>
      </c>
      <c r="V483" s="1202" t="str">
        <f>+IF((AB483-$AF$1)&lt;=366,"M","A")</f>
        <v>M</v>
      </c>
      <c r="W483" s="1202" t="s">
        <v>287</v>
      </c>
      <c r="X483" s="1212">
        <f>+prix_titre(AF$1,AA483,AB483,M483,K483,W483,V483,P483,Q483,N483,D483,Y483)</f>
        <v>100893.51779250492</v>
      </c>
      <c r="Y483" s="1202">
        <v>1</v>
      </c>
      <c r="Z483" s="35"/>
      <c r="AA483" s="1198">
        <v>46022</v>
      </c>
      <c r="AB483" s="1198">
        <v>46387</v>
      </c>
      <c r="AC483" s="2"/>
      <c r="AD483" s="2"/>
    </row>
    <row r="484" spans="1:30" ht="15" hidden="1" x14ac:dyDescent="0.25">
      <c r="A484" s="1191">
        <v>101023</v>
      </c>
      <c r="B484" s="1192">
        <f>X484</f>
        <v>99320.481180572155</v>
      </c>
      <c r="C484" s="1193">
        <f>(AB484-$AF$1)</f>
        <v>1381</v>
      </c>
      <c r="D484" s="1194">
        <f>ROUND(T484+R484,5)</f>
        <v>3.3160000000000002E-2</v>
      </c>
      <c r="E484" s="1195">
        <f>duration_titre($AF$1,AA484,AB484,R484,K484,W484,V484,P484,Q484,N484,D484)</f>
        <v>3.7594396539684483</v>
      </c>
      <c r="F484" s="1195">
        <f>+E484/(1+D484)</f>
        <v>3.6387777826943046</v>
      </c>
      <c r="G484" s="1195">
        <f>convexite_titre($AF$1,AA484,AB484,R484,K484,W484,V484,P484,Q484,N484,D484)</f>
        <v>16.815339042021616</v>
      </c>
      <c r="H484" s="1196">
        <f>+ROUND(coupon_courru($AF$1,AA484,AB484,R484,K484,W484,P484,Q484,N484,V484,"V"),4)</f>
        <v>82.849299999999999</v>
      </c>
      <c r="I484" s="1199">
        <f>+IF(Z484=1,B484,D484*100)</f>
        <v>3.3160000000000003</v>
      </c>
      <c r="J484" s="1193" t="s">
        <v>3258</v>
      </c>
      <c r="K484" s="1193">
        <v>100000</v>
      </c>
      <c r="L484" s="1193"/>
      <c r="M484" s="1197">
        <v>2.9399999999999999E-2</v>
      </c>
      <c r="N484" s="1193">
        <v>4</v>
      </c>
      <c r="O484" s="1200" t="s">
        <v>1716</v>
      </c>
      <c r="P484" s="1200" t="s">
        <v>1716</v>
      </c>
      <c r="Q484" s="1200" t="s">
        <v>1014</v>
      </c>
      <c r="R484" s="1197">
        <v>3.7799999999999999E-3</v>
      </c>
      <c r="S484" s="1229" cm="1">
        <f t="array" ref="S484">IF(C484&gt;'Courbe des taux'!$D$50,ROUND( TREND('Courbe des taux'!$E$49:$E$50,'Courbe des taux'!$D$49:$D$50,Lignes_détenues!C484),5),ROUND(IF(C484&gt;365,interpoler(_mat2,taux2,C484),interpoler(_mat1,taux1,C484)),5))</f>
        <v>2.938E-2</v>
      </c>
      <c r="T484" s="1201">
        <f>S484</f>
        <v>2.938E-2</v>
      </c>
      <c r="U484" s="1201">
        <f>ROUND(IF(D484*365&gt;366,interpoler(_mat2,taux2,D484*365),interpoler(_mat1,taux1,D484*365)),5)</f>
        <v>2.2700000000000001E-2</v>
      </c>
      <c r="V484" s="1202" t="str">
        <f>+IF((AB484-$AF$1)&lt;=366,"M","A")</f>
        <v>A</v>
      </c>
      <c r="W484" s="1202" t="s">
        <v>287</v>
      </c>
      <c r="X484" s="1212">
        <f>+prix_titre(AF$1,AA484,AB484,M484,K484,W484,V484,P484,Q484,N484,D484,Y484)</f>
        <v>99320.481180572155</v>
      </c>
      <c r="Y484" s="1202">
        <v>1</v>
      </c>
      <c r="Z484" s="35"/>
      <c r="AA484" s="1198">
        <v>46027</v>
      </c>
      <c r="AB484" s="1198">
        <v>47488</v>
      </c>
      <c r="AC484" s="2"/>
      <c r="AD484" s="2"/>
    </row>
    <row r="485" spans="1:30" ht="15" hidden="1" x14ac:dyDescent="0.25">
      <c r="A485" s="1191">
        <v>9765</v>
      </c>
      <c r="B485" s="1192">
        <f>X485</f>
        <v>97645.122201797043</v>
      </c>
      <c r="C485" s="1193">
        <f>(AB485-$AF$1)</f>
        <v>3587</v>
      </c>
      <c r="D485" s="1194">
        <f>ROUND(T485+R485,5)</f>
        <v>3.7130000000000003E-2</v>
      </c>
      <c r="E485" s="1195">
        <f>duration_titre($AF$1,AA485,AB485,R485,K485,W485,V485,P485,Q485,N485,D485)</f>
        <v>9.6100768152620528</v>
      </c>
      <c r="F485" s="1195">
        <f>+E485/(1+D485)</f>
        <v>9.2660291528179215</v>
      </c>
      <c r="G485" s="1195">
        <f>convexite_titre($AF$1,AA485,AB485,R485,K485,W485,V485,P485,Q485,N485,D485)</f>
        <v>96.065223777895397</v>
      </c>
      <c r="H485" s="1196">
        <f>+ROUND(coupon_courru($AF$1,AA485,AB485,R485,K485,W485,P485,Q485,N485,V485,"V"),4)</f>
        <v>71.232900000000001</v>
      </c>
      <c r="I485" s="1199">
        <f>+IF(Z485=1,B485,D485*100)</f>
        <v>3.7130000000000005</v>
      </c>
      <c r="J485" s="1193" t="s">
        <v>3258</v>
      </c>
      <c r="K485" s="1193">
        <v>100000</v>
      </c>
      <c r="L485" s="1193"/>
      <c r="M485" s="1197">
        <v>3.3500000000000002E-2</v>
      </c>
      <c r="N485" s="1193">
        <v>10</v>
      </c>
      <c r="O485" s="1200" t="s">
        <v>1716</v>
      </c>
      <c r="P485" s="1200" t="s">
        <v>1716</v>
      </c>
      <c r="Q485" s="1200" t="s">
        <v>1014</v>
      </c>
      <c r="R485" s="1197">
        <v>4.0000000000000001E-3</v>
      </c>
      <c r="S485" s="1229" cm="1">
        <f t="array" ref="S485">IF(C485&gt;'Courbe des taux'!$D$50,ROUND( TREND('Courbe des taux'!$E$49:$E$50,'Courbe des taux'!$D$49:$D$50,Lignes_détenues!C485),5),ROUND(IF(C485&gt;365,interpoler(_mat2,taux2,C485),interpoler(_mat1,taux1,C485)),5))</f>
        <v>3.313E-2</v>
      </c>
      <c r="T485" s="1201">
        <f>S485</f>
        <v>3.313E-2</v>
      </c>
      <c r="U485" s="1201">
        <f>ROUND(IF(D485*365&gt;366,interpoler(_mat2,taux2,D485*365),interpoler(_mat1,taux1,D485*365)),5)</f>
        <v>2.2700000000000001E-2</v>
      </c>
      <c r="V485" s="1202" t="str">
        <f>+IF((AB485-$AF$1)&lt;=366,"M","A")</f>
        <v>A</v>
      </c>
      <c r="W485" s="1202" t="s">
        <v>287</v>
      </c>
      <c r="X485" s="1212">
        <f>+prix_titre(AF$1,AA485,AB485,M485,K485,W485,V485,P485,Q485,N485,D485,Y485)</f>
        <v>97645.122201797043</v>
      </c>
      <c r="Y485" s="1202">
        <v>1</v>
      </c>
      <c r="Z485" s="35"/>
      <c r="AA485" s="1198">
        <v>46042</v>
      </c>
      <c r="AB485" s="1198">
        <v>49694</v>
      </c>
      <c r="AC485" s="2"/>
      <c r="AD485" s="2"/>
    </row>
    <row r="486" spans="1:30" ht="15" hidden="1" x14ac:dyDescent="0.25">
      <c r="A486" s="1191">
        <v>201939</v>
      </c>
      <c r="B486" s="1192">
        <f>X486</f>
        <v>99919.7475153329</v>
      </c>
      <c r="C486" s="1193">
        <f>(AB486-$AF$1)</f>
        <v>907</v>
      </c>
      <c r="D486" s="1194">
        <f>ROUND(T486+R486,5)</f>
        <v>2.741E-2</v>
      </c>
      <c r="E486" s="1195">
        <f>duration_titre($AF$1,AA486,AB486,R486,K486,W486,V486,P486,Q486,N486,D486)</f>
        <v>2.484931506849315</v>
      </c>
      <c r="F486" s="1195">
        <f>+E486/(1+D486)</f>
        <v>2.4186366755718898</v>
      </c>
      <c r="G486" s="1195">
        <f>convexite_titre($AF$1,AA486,AB486,R486,K486,W486,V486,P486,Q486,N486,D486)</f>
        <v>8.2039138750077996</v>
      </c>
      <c r="H486" s="1196">
        <f>+ROUND(coupon_courru($AF$1,AA486,AB486,R486,K486,W486,P486,Q486,N486,V486,"V"),4)</f>
        <v>0</v>
      </c>
      <c r="I486" s="1199">
        <f>+IF(Z486=1,B486,D486*100)</f>
        <v>2.7410000000000001</v>
      </c>
      <c r="J486" s="1193"/>
      <c r="K486" s="1193">
        <v>100000</v>
      </c>
      <c r="L486" s="1193"/>
      <c r="M486" s="1197">
        <v>2.5499999999999998E-2</v>
      </c>
      <c r="N486" s="1193">
        <v>2</v>
      </c>
      <c r="O486" s="1200" t="s">
        <v>1716</v>
      </c>
      <c r="P486" s="1200" t="s">
        <v>1716</v>
      </c>
      <c r="Q486" s="1200" t="s">
        <v>1014</v>
      </c>
      <c r="R486" s="1197">
        <v>0</v>
      </c>
      <c r="S486" s="1229" cm="1">
        <f t="array" ref="S486">IF(C486&gt;'Courbe des taux'!$D$50,ROUND( TREND('Courbe des taux'!$E$49:$E$50,'Courbe des taux'!$D$49:$D$50,Lignes_détenues!C486),5),ROUND(IF(C486&gt;365,interpoler(_mat2,taux2,C486),interpoler(_mat1,taux1,C486)),5))</f>
        <v>2.741E-2</v>
      </c>
      <c r="T486" s="1201">
        <f>S486</f>
        <v>2.741E-2</v>
      </c>
      <c r="U486" s="1201">
        <f>ROUND(IF(D486*365&gt;366,interpoler(_mat2,taux2,D486*365),interpoler(_mat1,taux1,D486*365)),5)</f>
        <v>2.2700000000000001E-2</v>
      </c>
      <c r="V486" s="1202" t="str">
        <f>+IF((AB486-$AF$1)&lt;=366,"M","A")</f>
        <v>A</v>
      </c>
      <c r="W486" s="1202" t="s">
        <v>287</v>
      </c>
      <c r="X486" s="1212">
        <f>+prix_atp(AF$1,AA486,Z486,AB486,M486,K486,W486,V486,P486,Q486,N486,D486,Y486)</f>
        <v>99919.7475153329</v>
      </c>
      <c r="Y486" s="1202">
        <v>1</v>
      </c>
      <c r="Z486" s="35">
        <v>46283</v>
      </c>
      <c r="AA486" s="1198">
        <v>46048</v>
      </c>
      <c r="AB486" s="1198">
        <v>47014</v>
      </c>
      <c r="AC486" s="2"/>
      <c r="AD486" s="2"/>
    </row>
    <row r="487" spans="1:30" ht="15" hidden="1" x14ac:dyDescent="0.25">
      <c r="A487" s="1191">
        <v>201938</v>
      </c>
      <c r="B487" s="1192">
        <f t="shared" ref="B487:B488" si="358">X487</f>
        <v>97866.882697245004</v>
      </c>
      <c r="C487" s="1193">
        <f>(AB487-$AF$1)</f>
        <v>2034</v>
      </c>
      <c r="D487" s="1194">
        <f t="shared" ref="D487:D488" si="359">ROUND(T487+R487,5)</f>
        <v>3.1050000000000001E-2</v>
      </c>
      <c r="E487" s="1195">
        <f>duration_titre($AF$1,AA487,AB487,R487,K487,W487,V487,P487,Q487,N487,D487)</f>
        <v>5.5726027397260278</v>
      </c>
      <c r="F487" s="1195">
        <f t="shared" ref="F487:F488" si="360">+E487/(1+D487)</f>
        <v>5.4047841906076597</v>
      </c>
      <c r="G487" s="1195">
        <f>convexite_titre($AF$1,AA487,AB487,R487,K487,W487,V487,P487,Q487,N487,D487)</f>
        <v>34.453711632622884</v>
      </c>
      <c r="H487" s="1196">
        <f>+ROUND(coupon_courru($AF$1,AA487,AB487,R487,K487,W487,P487,Q487,N487,V487,"V"),4)</f>
        <v>0</v>
      </c>
      <c r="I487" s="1199">
        <f>+IF(Z487=1,B487,D487*100)</f>
        <v>3.105</v>
      </c>
      <c r="J487" s="1193"/>
      <c r="K487" s="1193">
        <v>100000</v>
      </c>
      <c r="L487" s="1193"/>
      <c r="M487" s="1197">
        <v>2.5999999999999999E-2</v>
      </c>
      <c r="N487" s="1193">
        <v>5</v>
      </c>
      <c r="O487" s="1200" t="s">
        <v>1716</v>
      </c>
      <c r="P487" s="1200" t="s">
        <v>1716</v>
      </c>
      <c r="Q487" s="1200" t="s">
        <v>1014</v>
      </c>
      <c r="R487" s="1197">
        <v>0</v>
      </c>
      <c r="S487" s="1229" cm="1">
        <f t="array" ref="S487">IF(C487&gt;'Courbe des taux'!$D$50,ROUND( TREND('Courbe des taux'!$E$49:$E$50,'Courbe des taux'!$D$49:$D$50,Lignes_détenues!C487),5),ROUND(IF(C487&gt;365,interpoler(_mat2,taux2,C487),interpoler(_mat1,taux1,C487)),5))</f>
        <v>3.1050000000000001E-2</v>
      </c>
      <c r="T487" s="1201">
        <f t="shared" ref="T487:T488" si="361">S487</f>
        <v>3.1050000000000001E-2</v>
      </c>
      <c r="U487" s="1201">
        <f>ROUND(IF(D487*365&gt;366,interpoler(_mat2,taux2,D487*365),interpoler(_mat1,taux1,D487*365)),5)</f>
        <v>2.2700000000000001E-2</v>
      </c>
      <c r="V487" s="1202" t="str">
        <f>+IF((AB487-$AF$1)&lt;=366,"M","A")</f>
        <v>A</v>
      </c>
      <c r="W487" s="1202" t="s">
        <v>287</v>
      </c>
      <c r="X487" s="1212">
        <f>+prix_atp(AF$1,AA487,Z487,AB487,M487,K487,W487,V487,P487,Q487,N487,D487,Y487)</f>
        <v>97866.882697245004</v>
      </c>
      <c r="Y487" s="1202">
        <v>1</v>
      </c>
      <c r="Z487" s="35">
        <v>46315</v>
      </c>
      <c r="AA487" s="1198">
        <v>46041</v>
      </c>
      <c r="AB487" s="1198">
        <v>48141</v>
      </c>
      <c r="AC487" s="2"/>
      <c r="AD487" s="2"/>
    </row>
    <row r="488" spans="1:30" ht="15" hidden="1" x14ac:dyDescent="0.25">
      <c r="A488" s="1191">
        <v>141184</v>
      </c>
      <c r="B488" s="1192">
        <f t="shared" si="358"/>
        <v>100376.56537832487</v>
      </c>
      <c r="C488" s="1193">
        <f>(AB488-$AF$1)</f>
        <v>125</v>
      </c>
      <c r="D488" s="1194">
        <f t="shared" si="359"/>
        <v>2.4250000000000001E-2</v>
      </c>
      <c r="E488" s="1195">
        <f>duration_titre($AF$1,AA488,AB488,R488,K488,W488,V488,P488,Q488,N488,D488)</f>
        <v>0.34246575342465752</v>
      </c>
      <c r="F488" s="1195">
        <f t="shared" si="360"/>
        <v>0.3343575820597095</v>
      </c>
      <c r="G488" s="1195">
        <f>convexite_titre($AF$1,AA488,AB488,R488,K488,W488,V488,P488,Q488,N488,D488)</f>
        <v>0.43823637130879634</v>
      </c>
      <c r="H488" s="1196">
        <f>+ROUND(coupon_courru($AF$1,AA488,AB488,R488,K488,W488,P488,Q488,N488,V488,"V"),4)</f>
        <v>15.5556</v>
      </c>
      <c r="I488" s="1199">
        <f>+IF(Z488=1,B488,D488*100)</f>
        <v>2.4250000000000003</v>
      </c>
      <c r="J488" s="1193"/>
      <c r="K488" s="1193">
        <v>100000</v>
      </c>
      <c r="L488" s="1193"/>
      <c r="M488" s="1197">
        <v>2.4299999999999999E-2</v>
      </c>
      <c r="N488" s="1193">
        <v>26</v>
      </c>
      <c r="O488" s="1200" t="s">
        <v>369</v>
      </c>
      <c r="P488" s="1200" t="s">
        <v>369</v>
      </c>
      <c r="Q488" s="1200" t="s">
        <v>1014</v>
      </c>
      <c r="R488" s="1197">
        <v>1E-3</v>
      </c>
      <c r="S488" s="1229" cm="1">
        <f t="array" ref="S488">IF(C488&gt;'Courbe des taux'!$D$50,ROUND( TREND('Courbe des taux'!$E$49:$E$50,'Courbe des taux'!$D$49:$D$50,Lignes_détenues!C488),5),ROUND(IF(C488&gt;365,interpoler(_mat2,taux2,C488),interpoler(_mat1,taux1,C488)),5))</f>
        <v>2.325E-2</v>
      </c>
      <c r="T488" s="1201">
        <f t="shared" si="361"/>
        <v>2.325E-2</v>
      </c>
      <c r="U488" s="1201">
        <f>ROUND(IF(D488*365&gt;366,interpoler(_mat2,taux2,D488*365),interpoler(_mat1,taux1,D488*365)),5)</f>
        <v>2.2700000000000001E-2</v>
      </c>
      <c r="V488" s="1202" t="str">
        <f>+IF((AB488-$AF$1)&lt;=366,"M","A")</f>
        <v>M</v>
      </c>
      <c r="W488" s="1202" t="s">
        <v>287</v>
      </c>
      <c r="X488" s="1212">
        <f>+prix_atp(AF$1,AA488,Z488,AB488,M488,K488,W488,V488,P488,Q488,N488,D488,Y488)</f>
        <v>100376.56537832487</v>
      </c>
      <c r="Y488" s="1202">
        <v>1</v>
      </c>
      <c r="Z488" s="35">
        <v>46051</v>
      </c>
      <c r="AA488" s="1198">
        <v>46051</v>
      </c>
      <c r="AB488" s="1198">
        <v>46232</v>
      </c>
      <c r="AC488" s="2"/>
      <c r="AD488" s="2"/>
    </row>
    <row r="489" spans="1:30" ht="15" hidden="1" x14ac:dyDescent="0.25">
      <c r="A489" s="1191">
        <v>9670</v>
      </c>
      <c r="B489" s="1192">
        <f t="shared" ref="B489" si="362">X489</f>
        <v>101888.39670000003</v>
      </c>
      <c r="C489" s="1193">
        <f>(AB489-$AF$1)</f>
        <v>125</v>
      </c>
      <c r="D489" s="1194">
        <f t="shared" ref="D489" si="363">ROUND(T489+R489,5)</f>
        <v>2.9250000000000002E-2</v>
      </c>
      <c r="E489" s="1195">
        <f>duration_titre($AF$1,AA489,AB489,R489,K489,W489,V489,P489,Q489,N489,D489)</f>
        <v>0.34246575342465752</v>
      </c>
      <c r="F489" s="1195">
        <f t="shared" ref="F489" si="364">+E489/(1+D489)</f>
        <v>0.33273330427462472</v>
      </c>
      <c r="G489" s="1195">
        <f>convexite_titre($AF$1,AA489,AB489,R489,K489,W489,V489,P489,Q489,N489,D489)</f>
        <v>0.43398889095215931</v>
      </c>
      <c r="H489" s="1196">
        <f>+ROUND(coupon_courru($AF$1,AA489,AB489,R489,K489,W489,P489,Q489,N489,V489,"V"),4)</f>
        <v>394.52050000000003</v>
      </c>
      <c r="I489" s="1199">
        <f>+IF(Z489=1,B489,D489*100)</f>
        <v>2.9250000000000003</v>
      </c>
      <c r="J489" s="1193"/>
      <c r="K489" s="1193">
        <v>100000</v>
      </c>
      <c r="L489" s="1193"/>
      <c r="M489" s="1197">
        <v>4.4699999999999997E-2</v>
      </c>
      <c r="N489" s="1193">
        <v>27</v>
      </c>
      <c r="O489" s="1200" t="s">
        <v>369</v>
      </c>
      <c r="P489" s="1200" t="s">
        <v>369</v>
      </c>
      <c r="Q489" s="1200" t="s">
        <v>1014</v>
      </c>
      <c r="R489" s="1197">
        <v>6.0000000000000001E-3</v>
      </c>
      <c r="S489" s="1229" cm="1">
        <f t="array" ref="S489">IF(C489&gt;'Courbe des taux'!$D$50,ROUND( TREND('Courbe des taux'!$E$49:$E$50,'Courbe des taux'!$D$49:$D$50,Lignes_détenues!C489),5),ROUND(IF(C489&gt;365,interpoler(_mat2,taux2,C489),interpoler(_mat1,taux1,C489)),5))</f>
        <v>2.325E-2</v>
      </c>
      <c r="T489" s="1201">
        <f t="shared" ref="T489" si="365">S489</f>
        <v>2.325E-2</v>
      </c>
      <c r="U489" s="1201">
        <f>ROUND(IF(D489*365&gt;366,interpoler(_mat2,taux2,D489*365),interpoler(_mat1,taux1,D489*365)),5)</f>
        <v>2.2700000000000001E-2</v>
      </c>
      <c r="V489" s="1202" t="str">
        <f>+IF((AB489-$AF$1)&lt;=366,"M","A")</f>
        <v>M</v>
      </c>
      <c r="W489" s="1202" t="s">
        <v>287</v>
      </c>
      <c r="X489" s="1212">
        <f>'Echéanciers des Parts'!KS3</f>
        <v>101888.39670000003</v>
      </c>
      <c r="Y489" s="1202">
        <v>1</v>
      </c>
      <c r="Z489" s="35"/>
      <c r="AA489" s="1198">
        <v>45698</v>
      </c>
      <c r="AB489" s="1198">
        <v>46232</v>
      </c>
      <c r="AC489" s="2"/>
      <c r="AD489" s="2"/>
    </row>
    <row r="490" spans="1:30" ht="15" hidden="1" x14ac:dyDescent="0.25">
      <c r="A490" s="1191">
        <v>201937</v>
      </c>
      <c r="B490" s="1192">
        <f t="shared" ref="B490" si="366">X490</f>
        <v>100455.91744565942</v>
      </c>
      <c r="C490" s="1193">
        <f>(AB490-$AF$1)</f>
        <v>101</v>
      </c>
      <c r="D490" s="1194">
        <f t="shared" ref="D490" si="367">ROUND(T490+R490,5)</f>
        <v>2.307E-2</v>
      </c>
      <c r="E490" s="1195">
        <f>duration_titre($AF$1,AA490,AB490,R490,K490,W490,V490,P490,Q490,N490,D490)</f>
        <v>0.27671232876712326</v>
      </c>
      <c r="F490" s="1195">
        <f t="shared" ref="F490" si="368">+E490/(1+D490)</f>
        <v>0.27047252755639722</v>
      </c>
      <c r="G490" s="1195">
        <f>convexite_titre($AF$1,AA490,AB490,R490,K490,W490,V490,P490,Q490,N490,D490)</f>
        <v>0.33752882063207584</v>
      </c>
      <c r="H490" s="1196">
        <f>+ROUND(coupon_courru($AF$1,AA490,AB490,R490,K490,W490,P490,Q490,N490,V490,"V"),4)</f>
        <v>0</v>
      </c>
      <c r="I490" s="1199">
        <f>+IF(Z490=1,B490,D490*100)</f>
        <v>2.3069999999999999</v>
      </c>
      <c r="J490" s="1193"/>
      <c r="K490" s="1193">
        <v>100000</v>
      </c>
      <c r="L490" s="1193"/>
      <c r="M490" s="1197">
        <v>2.1999999999999999E-2</v>
      </c>
      <c r="N490" s="1193">
        <v>26</v>
      </c>
      <c r="O490" s="1200" t="s">
        <v>369</v>
      </c>
      <c r="P490" s="1200" t="s">
        <v>369</v>
      </c>
      <c r="Q490" s="1200" t="s">
        <v>1014</v>
      </c>
      <c r="R490" s="1197">
        <v>0</v>
      </c>
      <c r="S490" s="1229" cm="1">
        <f t="array" ref="S490">IF(C490&gt;'Courbe des taux'!$D$50,ROUND( TREND('Courbe des taux'!$E$49:$E$50,'Courbe des taux'!$D$49:$D$50,Lignes_détenues!C490),5),ROUND(IF(C490&gt;365,interpoler(_mat2,taux2,C490),interpoler(_mat1,taux1,C490)),5))</f>
        <v>2.307E-2</v>
      </c>
      <c r="T490" s="1201">
        <f t="shared" ref="T490" si="369">S490</f>
        <v>2.307E-2</v>
      </c>
      <c r="U490" s="1201">
        <f>ROUND(IF(D490*365&gt;366,interpoler(_mat2,taux2,D490*365),interpoler(_mat1,taux1,D490*365)),5)</f>
        <v>2.2700000000000001E-2</v>
      </c>
      <c r="V490" s="1202" t="str">
        <f>+IF((AB490-$AF$1)&lt;=366,"M","A")</f>
        <v>M</v>
      </c>
      <c r="W490" s="1202" t="s">
        <v>287</v>
      </c>
      <c r="X490" s="1212">
        <f>+prix_atp(AF$1,AA490,Z490,AB490,M490,K490,W490,V490,P490,Q490,N490,D490,Y490)</f>
        <v>100455.91744565942</v>
      </c>
      <c r="Y490" s="1202">
        <v>1</v>
      </c>
      <c r="Z490" s="35">
        <v>46027</v>
      </c>
      <c r="AA490" s="1198">
        <v>46027</v>
      </c>
      <c r="AB490" s="1198">
        <v>46208</v>
      </c>
      <c r="AC490" s="2"/>
      <c r="AD490" s="2"/>
    </row>
    <row r="491" spans="1:30" ht="15" hidden="1" x14ac:dyDescent="0.25">
      <c r="A491" s="1191">
        <v>101029</v>
      </c>
      <c r="B491" s="1192">
        <f t="shared" ref="B491" si="370">X491</f>
        <v>100268.40985860923</v>
      </c>
      <c r="C491" s="1193">
        <f>(AB491-$AF$1)</f>
        <v>696</v>
      </c>
      <c r="D491" s="1194">
        <f t="shared" ref="D491" si="371">ROUND(T491+R491,5)</f>
        <v>3.0040000000000001E-2</v>
      </c>
      <c r="E491" s="1195">
        <f>duration_titre($AF$1,AA491,AB491,R491,K491,W491,V491,P491,Q491,N491,D491)</f>
        <v>1.9032696093785788</v>
      </c>
      <c r="F491" s="1195">
        <f t="shared" ref="F491" si="372">+E491/(1+D491)</f>
        <v>1.8477628144330109</v>
      </c>
      <c r="G491" s="1195">
        <f>convexite_titre($AF$1,AA491,AB491,R491,K491,W491,V491,P491,Q491,N491,D491)</f>
        <v>5.2114641095096497</v>
      </c>
      <c r="H491" s="1196">
        <f>+ROUND(coupon_courru($AF$1,AA491,AB491,R491,K491,W491,P491,Q491,N491,V491,"V"),4)</f>
        <v>32.602699999999999</v>
      </c>
      <c r="I491" s="1199">
        <f>+IF(Z491=1,B491,D491*100)</f>
        <v>3.004</v>
      </c>
      <c r="J491" s="1193"/>
      <c r="K491" s="1193">
        <v>100000</v>
      </c>
      <c r="L491" s="1193"/>
      <c r="M491" s="1197">
        <v>0.03</v>
      </c>
      <c r="N491" s="1193">
        <v>27</v>
      </c>
      <c r="O491" s="1200" t="s">
        <v>369</v>
      </c>
      <c r="P491" s="1200" t="s">
        <v>369</v>
      </c>
      <c r="Q491" s="1200" t="s">
        <v>1014</v>
      </c>
      <c r="R491" s="1197">
        <v>3.5000000000000001E-3</v>
      </c>
      <c r="S491" s="1229" cm="1">
        <f t="array" ref="S491">IF(C491&gt;'Courbe des taux'!$D$50,ROUND( TREND('Courbe des taux'!$E$49:$E$50,'Courbe des taux'!$D$49:$D$50,Lignes_détenues!C491),5),ROUND(IF(C491&gt;365,interpoler(_mat2,taux2,C491),interpoler(_mat1,taux1,C491)),5))</f>
        <v>2.6540000000000001E-2</v>
      </c>
      <c r="T491" s="1201">
        <f t="shared" ref="T491" si="373">S491</f>
        <v>2.6540000000000001E-2</v>
      </c>
      <c r="U491" s="1201">
        <f>ROUND(IF(D491*365&gt;366,interpoler(_mat2,taux2,D491*365),interpoler(_mat1,taux1,D491*365)),5)</f>
        <v>2.2700000000000001E-2</v>
      </c>
      <c r="V491" s="1202" t="str">
        <f>+IF((AB491-$AF$1)&lt;=366,"M","A")</f>
        <v>A</v>
      </c>
      <c r="W491" s="1202" t="s">
        <v>287</v>
      </c>
      <c r="X491" s="1212">
        <f>+prix_titre(AF$1,AA491,AB491,M491,K491,W491,V491,P491,Q491,N491,D491,Y491)</f>
        <v>100268.40985860923</v>
      </c>
      <c r="Y491" s="1202">
        <v>1</v>
      </c>
      <c r="Z491" s="2"/>
      <c r="AA491" s="1198">
        <v>46073</v>
      </c>
      <c r="AB491" s="1198">
        <v>46803</v>
      </c>
      <c r="AC491" s="2"/>
      <c r="AD491" s="2"/>
    </row>
    <row r="492" spans="1:30" ht="15" hidden="1" x14ac:dyDescent="0.25">
      <c r="A492" s="1191">
        <v>201940</v>
      </c>
      <c r="B492" s="1192">
        <f t="shared" ref="B492" si="374">X492</f>
        <v>100194.66680578969</v>
      </c>
      <c r="C492" s="1193">
        <f>(AB492-$AF$1)</f>
        <v>326</v>
      </c>
      <c r="D492" s="1194">
        <f t="shared" ref="D492" si="375">ROUND(T492+R492,5)</f>
        <v>2.46E-2</v>
      </c>
      <c r="E492" s="1195">
        <f>duration_titre($AF$1,AA492,AB492,R492,K492,W492,V492,P492,Q492,N492,D492)</f>
        <v>0.89315068493150684</v>
      </c>
      <c r="F492" s="1195">
        <f t="shared" ref="F492" si="376">+E492/(1+D492)</f>
        <v>0.87170670010882967</v>
      </c>
      <c r="G492" s="1195">
        <f>convexite_titre($AF$1,AA492,AB492,R492,K492,W492,V492,P492,Q492,N492,D492)</f>
        <v>1.610650142856153</v>
      </c>
      <c r="H492" s="1196">
        <f>+ROUND(coupon_courru($AF$1,AA492,AB492,R492,K492,W492,P492,Q492,N492,V492,"V"),4)</f>
        <v>0</v>
      </c>
      <c r="I492" s="1199">
        <f>+IF(Z492=1,B492,D492*100)</f>
        <v>2.46</v>
      </c>
      <c r="J492" s="1193"/>
      <c r="K492" s="1193">
        <v>100000</v>
      </c>
      <c r="L492" s="1193"/>
      <c r="M492" s="1197">
        <v>2.4E-2</v>
      </c>
      <c r="N492" s="1193">
        <v>52</v>
      </c>
      <c r="O492" s="1200" t="s">
        <v>369</v>
      </c>
      <c r="P492" s="1200" t="s">
        <v>369</v>
      </c>
      <c r="Q492" s="1200" t="s">
        <v>1014</v>
      </c>
      <c r="R492" s="1197">
        <v>0</v>
      </c>
      <c r="S492" s="1229" cm="1">
        <f t="array" ref="S492">IF(C492&gt;'Courbe des taux'!$D$50,ROUND( TREND('Courbe des taux'!$E$49:$E$50,'Courbe des taux'!$D$49:$D$50,Lignes_détenues!C492),5),ROUND(IF(C492&gt;365,interpoler(_mat2,taux2,C492),interpoler(_mat1,taux1,C492)),5))</f>
        <v>2.46E-2</v>
      </c>
      <c r="T492" s="1201">
        <f t="shared" ref="T492" si="377">S492</f>
        <v>2.46E-2</v>
      </c>
      <c r="U492" s="1201">
        <f>ROUND(IF(D492*365&gt;366,interpoler(_mat2,taux2,D492*365),interpoler(_mat1,taux1,D492*365)),5)</f>
        <v>2.2700000000000001E-2</v>
      </c>
      <c r="V492" s="1202" t="str">
        <f>+IF((AB492-$AF$1)&lt;=366,"M","A")</f>
        <v>M</v>
      </c>
      <c r="W492" s="1202" t="s">
        <v>287</v>
      </c>
      <c r="X492" s="1212">
        <f>+prix_atp(AF$1,AA492,Z492,AB492,M492,K492,W492,V492,P492,Q492,N492,D492,Y492)</f>
        <v>100194.66680578969</v>
      </c>
      <c r="Y492" s="1202">
        <v>1</v>
      </c>
      <c r="Z492" s="35">
        <v>46069</v>
      </c>
      <c r="AA492" s="1198">
        <v>46069</v>
      </c>
      <c r="AB492" s="1198">
        <v>46433</v>
      </c>
      <c r="AC492" s="2"/>
      <c r="AD492" s="2"/>
    </row>
    <row r="493" spans="1:30" s="1512" customFormat="1" ht="15" hidden="1" x14ac:dyDescent="0.25">
      <c r="A493" s="1497">
        <v>153159</v>
      </c>
      <c r="B493" s="1498">
        <f t="shared" ref="B493" si="378">X493</f>
        <v>99894.06354566892</v>
      </c>
      <c r="C493" s="1499">
        <f>(AB493-$AF$1)</f>
        <v>704</v>
      </c>
      <c r="D493" s="1500">
        <f t="shared" ref="D493" si="379">ROUND(T493+R493,5)</f>
        <v>2.947E-2</v>
      </c>
      <c r="E493" s="1501">
        <f>duration_titre($AF$1,AA493,AB493,R493,K493,W493,V493,P493,Q493,N493,D493)</f>
        <v>1.9257991283122833</v>
      </c>
      <c r="F493" s="1501">
        <f t="shared" ref="F493" si="380">+E493/(1+D493)</f>
        <v>1.8706704695739391</v>
      </c>
      <c r="G493" s="1501">
        <f>convexite_titre($AF$1,AA493,AB493,R493,K493,W493,V493,P493,Q493,N493,D493)</f>
        <v>5.3193201399128816</v>
      </c>
      <c r="H493" s="1502">
        <f>+ROUND(coupon_courru($AF$1,AA493,AB493,R493,K493,W493,P493,Q493,N493,V493,"V"),4)</f>
        <v>20.657499999999999</v>
      </c>
      <c r="I493" s="1503">
        <f>+IF(Z493=1,B493,D493*100)</f>
        <v>2.9470000000000001</v>
      </c>
      <c r="J493" s="1499"/>
      <c r="K493" s="1499">
        <v>100000</v>
      </c>
      <c r="L493" s="1499"/>
      <c r="M493" s="1616">
        <v>2.7799999999999998E-2</v>
      </c>
      <c r="N493" s="1499">
        <v>2</v>
      </c>
      <c r="O493" s="1506" t="s">
        <v>1716</v>
      </c>
      <c r="P493" s="1506" t="s">
        <v>1716</v>
      </c>
      <c r="Q493" s="1506" t="s">
        <v>1014</v>
      </c>
      <c r="R493" s="1616">
        <v>2.8999999999999998E-3</v>
      </c>
      <c r="S493" s="1508" cm="1">
        <f t="array" ref="S493">IF(C493&gt;'Courbe des taux'!$D$50,ROUND( TREND('Courbe des taux'!$E$49:$E$50,'Courbe des taux'!$D$49:$D$50,Lignes_détenues!C493),5),ROUND(IF(C493&gt;365,interpoler(_mat2,taux2,C493),interpoler(_mat1,taux1,C493)),5))</f>
        <v>2.657E-2</v>
      </c>
      <c r="T493" s="1508">
        <f t="shared" ref="T493" si="381">S493</f>
        <v>2.657E-2</v>
      </c>
      <c r="U493" s="1508">
        <f>ROUND(IF(D493*365&gt;366,interpoler(_mat2,taux2,D493*365),interpoler(_mat1,taux1,D493*365)),5)</f>
        <v>2.2700000000000001E-2</v>
      </c>
      <c r="V493" s="1509" t="str">
        <f>+IF((AB493-$AF$1)&lt;=366,"M","A")</f>
        <v>A</v>
      </c>
      <c r="W493" s="1509" t="s">
        <v>287</v>
      </c>
      <c r="X493" s="1212">
        <f>+prix_atp(AF$1,AA493,Z493,AB493,M493,K493,W493,V493,P493,Q493,N493,D493,Y493)</f>
        <v>99894.06354566892</v>
      </c>
      <c r="Y493" s="1509">
        <v>1</v>
      </c>
      <c r="Z493" s="1511">
        <v>46080</v>
      </c>
      <c r="AA493" s="1505">
        <v>46080</v>
      </c>
      <c r="AB493" s="1505">
        <v>46811</v>
      </c>
    </row>
    <row r="494" spans="1:30" ht="15" hidden="1" x14ac:dyDescent="0.25">
      <c r="A494" s="1191">
        <v>153155</v>
      </c>
      <c r="B494" s="1192">
        <f t="shared" ref="B494" si="382">X494</f>
        <v>100055.47184949873</v>
      </c>
      <c r="C494" s="1193">
        <f>(AB494-$AF$1)</f>
        <v>341</v>
      </c>
      <c r="D494" s="1194">
        <f t="shared" ref="D494" si="383">ROUND(T494+R494,5)</f>
        <v>2.7179999999999999E-2</v>
      </c>
      <c r="E494" s="1195">
        <f>duration_titre($AF$1,AA494,AB494,R494,K494,W494,V494,P494,Q494,N494,D494)</f>
        <v>0.9342465753424658</v>
      </c>
      <c r="F494" s="1195">
        <f t="shared" ref="F494" si="384">+E494/(1+D494)</f>
        <v>0.90952566769452858</v>
      </c>
      <c r="G494" s="1195">
        <f>convexite_titre($AF$1,AA494,AB494,R494,K494,W494,V494,P494,Q494,N494,D494)</f>
        <v>1.7126958351255004</v>
      </c>
      <c r="H494" s="1196">
        <f>+ROUND(coupon_courru($AF$1,AA494,AB494,R494,K494,W494,P494,Q494,N494,V494,"V"),4)</f>
        <v>18.75</v>
      </c>
      <c r="I494" s="1199">
        <f>+IF(Z494=1,B494,D494*100)</f>
        <v>2.718</v>
      </c>
      <c r="J494" s="1193"/>
      <c r="K494" s="1193">
        <v>100000</v>
      </c>
      <c r="L494" s="1193"/>
      <c r="M494" s="1197">
        <v>2.6100000000000002E-2</v>
      </c>
      <c r="N494" s="1193">
        <v>52</v>
      </c>
      <c r="O494" s="1200" t="s">
        <v>369</v>
      </c>
      <c r="P494" s="1200" t="s">
        <v>369</v>
      </c>
      <c r="Q494" s="1200" t="s">
        <v>1014</v>
      </c>
      <c r="R494" s="1197">
        <v>2.5000000000000001E-3</v>
      </c>
      <c r="S494" s="1229" cm="1">
        <f t="array" ref="S494">IF(C494&gt;'Courbe des taux'!$D$50,ROUND( TREND('Courbe des taux'!$E$49:$E$50,'Courbe des taux'!$D$49:$D$50,Lignes_détenues!C494),5),ROUND(IF(C494&gt;365,interpoler(_mat2,taux2,C494),interpoler(_mat1,taux1,C494)),5))</f>
        <v>2.4680000000000001E-2</v>
      </c>
      <c r="T494" s="1201">
        <f t="shared" ref="T494" si="385">S494</f>
        <v>2.4680000000000001E-2</v>
      </c>
      <c r="U494" s="1201">
        <f>ROUND(IF(D494*365&gt;366,interpoler(_mat2,taux2,D494*365),interpoler(_mat1,taux1,D494*365)),5)</f>
        <v>2.2700000000000001E-2</v>
      </c>
      <c r="V494" s="1202" t="str">
        <f>+IF((AB494-$AF$1)&lt;=366,"M","A")</f>
        <v>M</v>
      </c>
      <c r="W494" s="1202" t="s">
        <v>287</v>
      </c>
      <c r="X494" s="1212">
        <f>+prix_atp(AF$1,AA494,Z494,AB494,M494,K494,W494,V494,P494,Q494,N494,D494,Y494)</f>
        <v>100055.47184949873</v>
      </c>
      <c r="Y494" s="1202">
        <v>1</v>
      </c>
      <c r="Z494" s="35">
        <v>46083</v>
      </c>
      <c r="AA494" s="1198">
        <v>46080</v>
      </c>
      <c r="AB494" s="1198">
        <v>46448</v>
      </c>
      <c r="AC494" s="2"/>
      <c r="AD494" s="2"/>
    </row>
    <row r="495" spans="1:30" ht="15" hidden="1" x14ac:dyDescent="0.25">
      <c r="A495" s="1191">
        <v>153154</v>
      </c>
      <c r="B495" s="1192">
        <f t="shared" ref="B495:B496" si="386">X495</f>
        <v>100158.46528473073</v>
      </c>
      <c r="C495" s="1193">
        <f>(AB495-$AF$1)</f>
        <v>159</v>
      </c>
      <c r="D495" s="1194">
        <f t="shared" ref="D495:D496" si="387">ROUND(T495+R495,5)</f>
        <v>2.5499999999999998E-2</v>
      </c>
      <c r="E495" s="1195">
        <f>duration_titre($AF$1,AA495,AB495,R495,K495,W495,V495,P495,Q495,N495,D495)</f>
        <v>0.43561643835616437</v>
      </c>
      <c r="F495" s="1195">
        <f t="shared" ref="F495:F496" si="388">+E495/(1+D495)</f>
        <v>0.42478443525710807</v>
      </c>
      <c r="G495" s="1195">
        <f>convexite_titre($AF$1,AA495,AB495,R495,K495,W495,V495,P495,Q495,N495,D495)</f>
        <v>0.59466359630711274</v>
      </c>
      <c r="H495" s="1196">
        <f>+ROUND(coupon_courru($AF$1,AA495,AB495,R495,K495,W495,P495,Q495,N495,V495,"V"),4)</f>
        <v>15</v>
      </c>
      <c r="I495" s="1199">
        <f>+IF(Z495=1,B495,D495*100)</f>
        <v>2.5499999999999998</v>
      </c>
      <c r="J495" s="1193"/>
      <c r="K495" s="1193">
        <v>100000</v>
      </c>
      <c r="L495" s="1193"/>
      <c r="M495" s="1197">
        <v>2.4899999999999999E-2</v>
      </c>
      <c r="N495" s="1193">
        <v>52</v>
      </c>
      <c r="O495" s="1200" t="s">
        <v>369</v>
      </c>
      <c r="P495" s="1200" t="s">
        <v>369</v>
      </c>
      <c r="Q495" s="1200" t="s">
        <v>1014</v>
      </c>
      <c r="R495" s="1197">
        <v>2E-3</v>
      </c>
      <c r="S495" s="1229" cm="1">
        <f t="array" ref="S495">IF(C495&gt;'Courbe des taux'!$D$50,ROUND( TREND('Courbe des taux'!$E$49:$E$50,'Courbe des taux'!$D$49:$D$50,Lignes_détenues!C495),5),ROUND(IF(C495&gt;365,interpoler(_mat2,taux2,C495),interpoler(_mat1,taux1,C495)),5))</f>
        <v>2.35E-2</v>
      </c>
      <c r="T495" s="1201">
        <f t="shared" ref="T495:T496" si="389">S495</f>
        <v>2.35E-2</v>
      </c>
      <c r="U495" s="1201">
        <f>ROUND(IF(D495*365&gt;366,interpoler(_mat2,taux2,D495*365),interpoler(_mat1,taux1,D495*365)),5)</f>
        <v>2.2700000000000001E-2</v>
      </c>
      <c r="V495" s="1202" t="str">
        <f>+IF((AB495-$AF$1)&lt;=366,"M","A")</f>
        <v>M</v>
      </c>
      <c r="W495" s="1202" t="s">
        <v>287</v>
      </c>
      <c r="X495" s="1212">
        <f>+prix_atp(AF$1,AA495,Z495,AB495,M495,K495,W495,V495,P495,Q495,N495,D495,Y495)</f>
        <v>100158.46528473073</v>
      </c>
      <c r="Y495" s="1202">
        <v>1</v>
      </c>
      <c r="Z495" s="2"/>
      <c r="AA495" s="1198">
        <v>46080</v>
      </c>
      <c r="AB495" s="1198">
        <v>46266</v>
      </c>
      <c r="AC495" s="2"/>
      <c r="AD495" s="2"/>
    </row>
    <row r="496" spans="1:30" ht="15" hidden="1" x14ac:dyDescent="0.25">
      <c r="A496" s="1191">
        <v>153158</v>
      </c>
      <c r="B496" s="1192">
        <f t="shared" si="386"/>
        <v>100042.64333393615</v>
      </c>
      <c r="C496" s="1193">
        <f>(AB496-$AF$1)</f>
        <v>337</v>
      </c>
      <c r="D496" s="1194">
        <f t="shared" si="387"/>
        <v>2.6859999999999998E-2</v>
      </c>
      <c r="E496" s="1195">
        <f>duration_titre($AF$1,AA496,AB496,R496,K496,W496,V496,P496,Q496,N496,D496)</f>
        <v>0.92328767123287669</v>
      </c>
      <c r="F496" s="1195">
        <f t="shared" si="388"/>
        <v>0.89913685529953125</v>
      </c>
      <c r="G496" s="1195">
        <f>convexite_titre($AF$1,AA496,AB496,R496,K496,W496,V496,P496,Q496,N496,D496)</f>
        <v>1.6840648467645902</v>
      </c>
      <c r="H496" s="1196">
        <f>+ROUND(coupon_courru($AF$1,AA496,AB496,R496,K496,W496,P496,Q496,N496,V496,"V"),4)</f>
        <v>16.5</v>
      </c>
      <c r="I496" s="1199">
        <f>+IF(Z496=1,B496,D496*100)</f>
        <v>2.6859999999999999</v>
      </c>
      <c r="J496" s="1193"/>
      <c r="K496" s="1193">
        <v>100000</v>
      </c>
      <c r="L496" s="1193"/>
      <c r="M496" s="1197">
        <v>2.53E-2</v>
      </c>
      <c r="N496" s="1193">
        <v>52</v>
      </c>
      <c r="O496" s="1200" t="s">
        <v>369</v>
      </c>
      <c r="P496" s="1200" t="s">
        <v>1716</v>
      </c>
      <c r="Q496" s="1200" t="s">
        <v>1014</v>
      </c>
      <c r="R496" s="1197">
        <v>2.2000000000000001E-3</v>
      </c>
      <c r="S496" s="1229" cm="1">
        <f t="array" ref="S496">IF(C496&gt;'Courbe des taux'!$D$50,ROUND( TREND('Courbe des taux'!$E$49:$E$50,'Courbe des taux'!$D$49:$D$50,Lignes_détenues!C496),5),ROUND(IF(C496&gt;365,interpoler(_mat2,taux2,C496),interpoler(_mat1,taux1,C496)),5))</f>
        <v>2.4660000000000001E-2</v>
      </c>
      <c r="T496" s="1201">
        <f t="shared" si="389"/>
        <v>2.4660000000000001E-2</v>
      </c>
      <c r="U496" s="1201">
        <f>ROUND(IF(D496*365&gt;366,interpoler(_mat2,taux2,D496*365),interpoler(_mat1,taux1,D496*365)),5)</f>
        <v>2.2700000000000001E-2</v>
      </c>
      <c r="V496" s="1202" t="str">
        <f>+IF((AB496-$AF$1)&lt;=366,"M","A")</f>
        <v>M</v>
      </c>
      <c r="W496" s="1202" t="s">
        <v>287</v>
      </c>
      <c r="X496" s="1212">
        <f>+prix_atp(AF$1,AA496,Z496,AB496,M496,K496,W496,V496,P496,Q496,N496,D496,Y496)</f>
        <v>100042.64333393615</v>
      </c>
      <c r="Y496" s="1202">
        <v>1</v>
      </c>
      <c r="Z496" s="35">
        <v>46080</v>
      </c>
      <c r="AA496" s="1198">
        <v>46080</v>
      </c>
      <c r="AB496" s="1198">
        <v>46444</v>
      </c>
      <c r="AC496" s="2"/>
      <c r="AD496" s="2"/>
    </row>
    <row r="497" spans="1:30" ht="15" hidden="1" x14ac:dyDescent="0.25">
      <c r="A497" s="1191">
        <v>101030</v>
      </c>
      <c r="B497" s="1192">
        <f t="shared" ref="B497" si="390">X497</f>
        <v>99696.147585130835</v>
      </c>
      <c r="C497" s="1193">
        <f>(AB497-$AF$1)</f>
        <v>1072</v>
      </c>
      <c r="D497" s="1194">
        <f t="shared" ref="D497" si="391">ROUND(T497+R497,5)</f>
        <v>3.1600000000000003E-2</v>
      </c>
      <c r="E497" s="1195">
        <f>duration_titre($AF$1,AA497,AB497,R497,K497,W497,V497,P497,Q497,N497,D497)</f>
        <v>2.9260341442856568</v>
      </c>
      <c r="F497" s="1195">
        <f t="shared" ref="F497" si="392">+E497/(1+D497)</f>
        <v>2.8364037846894692</v>
      </c>
      <c r="G497" s="1195">
        <f>convexite_titre($AF$1,AA497,AB497,R497,K497,W497,V497,P497,Q497,N497,D497)</f>
        <v>10.811838202272584</v>
      </c>
      <c r="H497" s="1196">
        <f>+ROUND(coupon_courru($AF$1,AA497,AB497,R497,K497,W497,P497,Q497,N497,V497,"V"),4)</f>
        <v>23.0137</v>
      </c>
      <c r="I497" s="1199">
        <f>+IF(Z497=1,B497,D497*100)</f>
        <v>3.16</v>
      </c>
      <c r="J497" s="1193"/>
      <c r="K497" s="1193">
        <v>100000</v>
      </c>
      <c r="L497" s="1193"/>
      <c r="M497" s="1197">
        <v>2.98E-2</v>
      </c>
      <c r="N497" s="1193">
        <v>3</v>
      </c>
      <c r="O497" s="1200" t="s">
        <v>1716</v>
      </c>
      <c r="P497" s="1200" t="s">
        <v>1716</v>
      </c>
      <c r="Q497" s="1200" t="s">
        <v>1014</v>
      </c>
      <c r="R497" s="1197">
        <v>3.5000000000000001E-3</v>
      </c>
      <c r="S497" s="1229" cm="1">
        <f t="array" ref="S497">IF(C497&gt;'Courbe des taux'!$D$50,ROUND( TREND('Courbe des taux'!$E$49:$E$50,'Courbe des taux'!$D$49:$D$50,Lignes_détenues!C497),5),ROUND(IF(C497&gt;365,interpoler(_mat2,taux2,C497),interpoler(_mat1,taux1,C497)),5))</f>
        <v>2.81E-2</v>
      </c>
      <c r="T497" s="1201">
        <f t="shared" ref="T497" si="393">S497</f>
        <v>2.81E-2</v>
      </c>
      <c r="U497" s="1201">
        <f>ROUND(IF(D497*365&gt;366,interpoler(_mat2,taux2,D497*365),interpoler(_mat1,taux1,D497*365)),5)</f>
        <v>2.2700000000000001E-2</v>
      </c>
      <c r="V497" s="1202" t="str">
        <f>+IF((AB497-$AF$1)&lt;=366,"M","A")</f>
        <v>A</v>
      </c>
      <c r="W497" s="1202" t="s">
        <v>287</v>
      </c>
      <c r="X497" s="1212">
        <f>+prix_titre(AF$1,AA497,AB497,M497,K497,W497,V497,P497,Q497,N497,D497,Y497)</f>
        <v>99696.147585130835</v>
      </c>
      <c r="Y497" s="1202">
        <v>1</v>
      </c>
      <c r="Z497" s="35">
        <v>46081</v>
      </c>
      <c r="AA497" s="1198">
        <v>46083</v>
      </c>
      <c r="AB497" s="1198">
        <v>47179</v>
      </c>
      <c r="AC497" s="2"/>
      <c r="AD497" s="2"/>
    </row>
    <row r="498" spans="1:30" ht="15" hidden="1" x14ac:dyDescent="0.25">
      <c r="A498" s="1191">
        <v>101032</v>
      </c>
      <c r="B498" s="1192">
        <f t="shared" ref="B498" si="394">X498</f>
        <v>99618.859420788896</v>
      </c>
      <c r="C498" s="1193">
        <f>(AB498-$AF$1)</f>
        <v>1072</v>
      </c>
      <c r="D498" s="1194">
        <f t="shared" ref="D498" si="395">ROUND(T498+R498,5)</f>
        <v>3.2599999999999997E-2</v>
      </c>
      <c r="E498" s="1195">
        <f>duration_titre($AF$1,AA498,AB498,R498,K498,W498,V498,P498,Q498,N498,D498)</f>
        <v>2.9229253307188525</v>
      </c>
      <c r="F498" s="1195">
        <f t="shared" ref="F498" si="396">+E498/(1+D498)</f>
        <v>2.8306462625594158</v>
      </c>
      <c r="G498" s="1195">
        <f>convexite_titre($AF$1,AA498,AB498,R498,K498,W498,V498,P498,Q498,N498,D498)</f>
        <v>10.775754023444888</v>
      </c>
      <c r="H498" s="1196">
        <f>+ROUND(coupon_courru($AF$1,AA498,AB498,R498,K498,W498,P498,Q498,N498,V498,"V"),4)</f>
        <v>29.588999999999999</v>
      </c>
      <c r="I498" s="1199">
        <f>+IF(Z498=1,B498,D498*100)</f>
        <v>3.26</v>
      </c>
      <c r="J498" s="1193"/>
      <c r="K498" s="1193">
        <v>100000</v>
      </c>
      <c r="L498" s="1193"/>
      <c r="M498" s="1197">
        <v>3.0499999999999999E-2</v>
      </c>
      <c r="N498" s="1193">
        <v>3</v>
      </c>
      <c r="O498" s="1200" t="s">
        <v>1716</v>
      </c>
      <c r="P498" s="1200" t="s">
        <v>1716</v>
      </c>
      <c r="Q498" s="1200" t="s">
        <v>1014</v>
      </c>
      <c r="R498" s="1197">
        <v>4.4999999999999997E-3</v>
      </c>
      <c r="S498" s="1229" cm="1">
        <f t="array" ref="S498">IF(C498&gt;'Courbe des taux'!$D$50,ROUND( TREND('Courbe des taux'!$E$49:$E$50,'Courbe des taux'!$D$49:$D$50,Lignes_détenues!C498),5),ROUND(IF(C498&gt;365,interpoler(_mat2,taux2,C498),interpoler(_mat1,taux1,C498)),5))</f>
        <v>2.81E-2</v>
      </c>
      <c r="T498" s="1201">
        <f t="shared" ref="T498" si="397">S498</f>
        <v>2.81E-2</v>
      </c>
      <c r="U498" s="1201">
        <f>ROUND(IF(D498*365&gt;366,interpoler(_mat2,taux2,D498*365),interpoler(_mat1,taux1,D498*365)),5)</f>
        <v>2.2700000000000001E-2</v>
      </c>
      <c r="V498" s="1202" t="str">
        <f>+IF((AB498-$AF$1)&lt;=366,"M","A")</f>
        <v>A</v>
      </c>
      <c r="W498" s="1202" t="s">
        <v>287</v>
      </c>
      <c r="X498" s="1212">
        <f>+prix_titre(AF$1,AA498,AB498,M498,K498,W498,V498,P498,Q498,N498,D498,Y498)</f>
        <v>99618.859420788896</v>
      </c>
      <c r="Y498" s="1202">
        <v>1</v>
      </c>
      <c r="Z498" s="2"/>
      <c r="AA498" s="1198">
        <v>46083</v>
      </c>
      <c r="AB498" s="1198">
        <v>47179</v>
      </c>
      <c r="AC498" s="2"/>
      <c r="AD498" s="2"/>
    </row>
    <row r="499" spans="1:30" ht="15" hidden="1" x14ac:dyDescent="0.25">
      <c r="A499" s="1191">
        <v>101031</v>
      </c>
      <c r="B499" s="1192">
        <f t="shared" ref="B499" si="398">X499</f>
        <v>99869.585504022005</v>
      </c>
      <c r="C499" s="1193">
        <f>(AB499-$AF$1)</f>
        <v>707</v>
      </c>
      <c r="D499" s="1194">
        <f t="shared" ref="D499" si="399">ROUND(T499+R499,5)</f>
        <v>2.9579999999999999E-2</v>
      </c>
      <c r="E499" s="1195">
        <f>duration_titre($AF$1,AA499,AB499,R499,K499,W499,V499,P499,Q499,N499,D499)</f>
        <v>1.9339075978831917</v>
      </c>
      <c r="F499" s="1195">
        <f t="shared" ref="F499" si="400">+E499/(1+D499)</f>
        <v>1.878346119663544</v>
      </c>
      <c r="G499" s="1195">
        <f>convexite_titre($AF$1,AA499,AB499,R499,K499,W499,V499,P499,Q499,N499,D499)</f>
        <v>5.3554684338707395</v>
      </c>
      <c r="H499" s="1196">
        <f>+ROUND(coupon_courru($AF$1,AA499,AB499,R499,K499,W499,P499,Q499,N499,V499,"V"),4)</f>
        <v>19.725999999999999</v>
      </c>
      <c r="I499" s="1199">
        <f>+IF(Z499=1,B499,D499*100)</f>
        <v>2.9579999999999997</v>
      </c>
      <c r="J499" s="1193"/>
      <c r="K499" s="1193">
        <v>100000</v>
      </c>
      <c r="L499" s="1193"/>
      <c r="M499" s="1197">
        <v>2.7900000000000001E-2</v>
      </c>
      <c r="N499" s="1193">
        <v>2</v>
      </c>
      <c r="O499" s="1200" t="s">
        <v>1716</v>
      </c>
      <c r="P499" s="1200" t="s">
        <v>1716</v>
      </c>
      <c r="Q499" s="1200" t="s">
        <v>1014</v>
      </c>
      <c r="R499" s="1197">
        <v>3.0000000000000001E-3</v>
      </c>
      <c r="S499" s="1229" cm="1">
        <f t="array" ref="S499">IF(C499&gt;'Courbe des taux'!$D$50,ROUND( TREND('Courbe des taux'!$E$49:$E$50,'Courbe des taux'!$D$49:$D$50,Lignes_détenues!C499),5),ROUND(IF(C499&gt;365,interpoler(_mat2,taux2,C499),interpoler(_mat1,taux1,C499)),5))</f>
        <v>2.6579999999999999E-2</v>
      </c>
      <c r="T499" s="1201">
        <f t="shared" ref="T499" si="401">S499</f>
        <v>2.6579999999999999E-2</v>
      </c>
      <c r="U499" s="1201">
        <f>ROUND(IF(D499*365&gt;366,interpoler(_mat2,taux2,D499*365),interpoler(_mat1,taux1,D499*365)),5)</f>
        <v>2.2700000000000001E-2</v>
      </c>
      <c r="V499" s="1202" t="str">
        <f>+IF((AB499-$AF$1)&lt;=366,"M","A")</f>
        <v>A</v>
      </c>
      <c r="W499" s="1202" t="s">
        <v>287</v>
      </c>
      <c r="X499" s="1212">
        <f>+prix_titre(AF$1,AA499,AB499,M499,K499,W499,V499,P499,Q499,N499,D499,Y499)</f>
        <v>99869.585504022005</v>
      </c>
      <c r="Y499" s="1202">
        <v>1</v>
      </c>
      <c r="Z499" s="2"/>
      <c r="AA499" s="1198">
        <v>46083</v>
      </c>
      <c r="AB499" s="1198">
        <v>46814</v>
      </c>
      <c r="AC499" s="2"/>
      <c r="AD499" s="2"/>
    </row>
    <row r="500" spans="1:30" ht="15" hidden="1" x14ac:dyDescent="0.25">
      <c r="A500" s="1191">
        <v>201941</v>
      </c>
      <c r="B500" s="1192">
        <f t="shared" ref="B500" si="402">X500</f>
        <v>99557.937875246629</v>
      </c>
      <c r="C500" s="1193">
        <f>(AB500-$AF$1)</f>
        <v>935</v>
      </c>
      <c r="D500" s="1194">
        <f t="shared" ref="D500" si="403">ROUND(T500+R500,5)</f>
        <v>2.7529999999999999E-2</v>
      </c>
      <c r="E500" s="1195">
        <f>duration_titre($AF$1,AA500,AB500,R500,K500,W500,V500,P500,Q500,N500,D500)</f>
        <v>2.5616438356164384</v>
      </c>
      <c r="F500" s="1195">
        <f t="shared" ref="F500" si="404">+E500/(1+D500)</f>
        <v>2.4930112362816055</v>
      </c>
      <c r="G500" s="1195">
        <f>convexite_titre($AF$1,AA500,AB500,R500,K500,W500,V500,P500,Q500,N500,D500)</f>
        <v>8.6413224935767285</v>
      </c>
      <c r="H500" s="1196">
        <f>+ROUND(coupon_courru($AF$1,AA500,AB500,R500,K500,W500,P500,Q500,N500,V500,"V"),4)</f>
        <v>0</v>
      </c>
      <c r="I500" s="1199">
        <f>+IF(Z500=1,B500,D500*100)</f>
        <v>2.7530000000000001</v>
      </c>
      <c r="J500" s="1193"/>
      <c r="K500" s="1193">
        <v>100000</v>
      </c>
      <c r="L500" s="1193"/>
      <c r="M500" s="1197">
        <v>2.5000000000000001E-2</v>
      </c>
      <c r="N500" s="1193">
        <v>2.5</v>
      </c>
      <c r="O500" s="1200" t="s">
        <v>1716</v>
      </c>
      <c r="P500" s="1200" t="s">
        <v>1716</v>
      </c>
      <c r="Q500" s="1200" t="s">
        <v>1014</v>
      </c>
      <c r="R500" s="1197">
        <v>0</v>
      </c>
      <c r="S500" s="1229" cm="1">
        <f t="array" ref="S500">IF(C500&gt;'Courbe des taux'!$D$50,ROUND( TREND('Courbe des taux'!$E$49:$E$50,'Courbe des taux'!$D$49:$D$50,Lignes_détenues!C500),5),ROUND(IF(C500&gt;365,interpoler(_mat2,taux2,C500),interpoler(_mat1,taux1,C500)),5))</f>
        <v>2.7529999999999999E-2</v>
      </c>
      <c r="T500" s="1201">
        <f t="shared" ref="T500" si="405">S500</f>
        <v>2.7529999999999999E-2</v>
      </c>
      <c r="U500" s="1201">
        <f>ROUND(IF(D500*365&gt;366,interpoler(_mat2,taux2,D500*365),interpoler(_mat1,taux1,D500*365)),5)</f>
        <v>2.2700000000000001E-2</v>
      </c>
      <c r="V500" s="1202" t="str">
        <f>+IF((AB500-$AF$1)&lt;=366,"M","A")</f>
        <v>A</v>
      </c>
      <c r="W500" s="1202" t="s">
        <v>287</v>
      </c>
      <c r="X500" s="1212">
        <f>+prix_atp(AF$1,AA500,Z500,AB500,M500,K500,W500,V500,P500,Q500,N500,D500,Y500)</f>
        <v>99557.937875246629</v>
      </c>
      <c r="Y500" s="1202">
        <v>1</v>
      </c>
      <c r="Z500" s="35">
        <v>46311</v>
      </c>
      <c r="AA500" s="1198">
        <v>46076</v>
      </c>
      <c r="AB500" s="1198">
        <v>47042</v>
      </c>
      <c r="AC500" s="2"/>
      <c r="AD500" s="2"/>
    </row>
    <row r="501" spans="1:30" ht="15" hidden="1" x14ac:dyDescent="0.25">
      <c r="A501" s="1191">
        <v>141187</v>
      </c>
      <c r="B501" s="1192">
        <f t="shared" ref="B501" si="406">X501</f>
        <v>100053.53039057633</v>
      </c>
      <c r="C501" s="1193">
        <f>(AB501-$AF$1)</f>
        <v>176</v>
      </c>
      <c r="D501" s="1194">
        <f t="shared" ref="D501" si="407">ROUND(T501+R501,5)</f>
        <v>2.461E-2</v>
      </c>
      <c r="E501" s="1195">
        <f>duration_titre($AF$1,AA501,AB501,R501,K501,W501,V501,P501,Q501,N501,D501)</f>
        <v>0.48219178082191783</v>
      </c>
      <c r="F501" s="1195">
        <f t="shared" ref="F501" si="408">+E501/(1+D501)</f>
        <v>0.47061006707129327</v>
      </c>
      <c r="G501" s="1195">
        <f>convexite_titre($AF$1,AA501,AB501,R501,K501,W501,V501,P501,Q501,N501,D501)</f>
        <v>0.68078036851594503</v>
      </c>
      <c r="H501" s="1196">
        <f>+ROUND(coupon_courru($AF$1,AA501,AB501,R501,K501,W501,P501,Q501,N501,V501,"V"),4)</f>
        <v>2.2222</v>
      </c>
      <c r="I501" s="1199">
        <f>+IF(Z501=1,B501,D501*100)</f>
        <v>2.4609999999999999</v>
      </c>
      <c r="J501" s="1193"/>
      <c r="K501" s="1193">
        <v>100000</v>
      </c>
      <c r="L501" s="1193"/>
      <c r="M501" s="1197">
        <v>2.46E-2</v>
      </c>
      <c r="N501" s="1193">
        <v>52</v>
      </c>
      <c r="O501" s="1200" t="s">
        <v>1716</v>
      </c>
      <c r="P501" s="1200" t="s">
        <v>369</v>
      </c>
      <c r="Q501" s="1200" t="s">
        <v>1014</v>
      </c>
      <c r="R501" s="1197">
        <v>1E-3</v>
      </c>
      <c r="S501" s="1229" cm="1">
        <f t="array" ref="S501">IF(C501&gt;'Courbe des taux'!$D$50,ROUND( TREND('Courbe des taux'!$E$49:$E$50,'Courbe des taux'!$D$49:$D$50,Lignes_détenues!C501),5),ROUND(IF(C501&gt;365,interpoler(_mat2,taux2,C501),interpoler(_mat1,taux1,C501)),5))</f>
        <v>2.3609999999999999E-2</v>
      </c>
      <c r="T501" s="1201">
        <f t="shared" ref="T501" si="409">S501</f>
        <v>2.3609999999999999E-2</v>
      </c>
      <c r="U501" s="1201">
        <f>ROUND(IF(D501*365&gt;366,interpoler(_mat2,taux2,D501*365),interpoler(_mat1,taux1,D501*365)),5)</f>
        <v>2.2700000000000001E-2</v>
      </c>
      <c r="V501" s="1202" t="str">
        <f>+IF((AB501-$AF$1)&lt;=366,"M","A")</f>
        <v>M</v>
      </c>
      <c r="W501" s="1202" t="s">
        <v>287</v>
      </c>
      <c r="X501" s="1212">
        <f>+prix_titre(AF$1,AA501,AB501,M501,K501,W501,V501,P501,Q501,N501,D501,Y501)</f>
        <v>100053.53039057633</v>
      </c>
      <c r="Y501" s="1202">
        <v>1</v>
      </c>
      <c r="Z501" s="35"/>
      <c r="AA501" s="1198">
        <v>46099</v>
      </c>
      <c r="AB501" s="1198">
        <v>46283</v>
      </c>
      <c r="AC501" s="2"/>
      <c r="AD501" s="2"/>
    </row>
    <row r="502" spans="1:30" ht="15" hidden="1" x14ac:dyDescent="0.25">
      <c r="A502" s="1191">
        <v>5106</v>
      </c>
      <c r="B502" s="1192" t="e">
        <f t="shared" ref="B502:B503" si="410">X502</f>
        <v>#REF!</v>
      </c>
      <c r="C502" s="1193">
        <f>(AB502-$AF$1)</f>
        <v>176</v>
      </c>
      <c r="D502" s="1194">
        <f t="shared" ref="D502:D503" si="411">ROUND(T502+R502,5)</f>
        <v>1.02461</v>
      </c>
      <c r="E502" s="1195">
        <f>duration_titre($AF$1,AA502,AB502,R502,K502,W502,V502,P502,Q502,N502,D502)</f>
        <v>0.48219178082191783</v>
      </c>
      <c r="F502" s="1195">
        <f t="shared" ref="F502:F503" si="412">+E502/(1+D502)</f>
        <v>0.23816526680294864</v>
      </c>
      <c r="G502" s="1195">
        <f>convexite_titre($AF$1,AA502,AB502,R502,K502,W502,V502,P502,Q502,N502,D502)</f>
        <v>0.17435782740013614</v>
      </c>
      <c r="H502" s="1196">
        <f>+ROUND(coupon_courru($AF$1,AA502,AB502,R502,K502,W502,P502,Q502,N502,V502,"V"),4)</f>
        <v>51833.121099999997</v>
      </c>
      <c r="I502" s="1199">
        <f>+IF(Z502=1,B502,D502*100)</f>
        <v>102.461</v>
      </c>
      <c r="J502" s="1193"/>
      <c r="K502" s="1193">
        <v>100001</v>
      </c>
      <c r="L502" s="1193"/>
      <c r="M502" s="1197">
        <v>1.0246</v>
      </c>
      <c r="N502" s="1193">
        <v>53</v>
      </c>
      <c r="O502" s="1200" t="s">
        <v>1716</v>
      </c>
      <c r="P502" s="1200" t="s">
        <v>369</v>
      </c>
      <c r="Q502" s="1200" t="s">
        <v>1014</v>
      </c>
      <c r="R502" s="1197">
        <v>1.0009999999999999</v>
      </c>
      <c r="S502" s="1229" cm="1">
        <f t="array" ref="S502">IF(C502&gt;'Courbe des taux'!$D$50,ROUND( TREND('Courbe des taux'!$E$49:$E$50,'Courbe des taux'!$D$49:$D$50,Lignes_détenues!C502),5),ROUND(IF(C502&gt;365,interpoler(_mat2,taux2,C502),interpoler(_mat1,taux1,C502)),5))</f>
        <v>2.3609999999999999E-2</v>
      </c>
      <c r="T502" s="1201">
        <f t="shared" ref="T502:T503" si="413">S502</f>
        <v>2.3609999999999999E-2</v>
      </c>
      <c r="U502" s="1201">
        <f t="shared" ref="U502:U503" si="414">ROUND(IF(D502*365&gt;366,interpoler(_mat2,taux2,D502*365),interpoler(_mat1,taux1,D502*365)),5)</f>
        <v>2.5180000000000001E-2</v>
      </c>
      <c r="V502" s="1202" t="str">
        <f>+IF((AB502-$AF$1)&lt;=366,"M","A")</f>
        <v>M</v>
      </c>
      <c r="W502" s="1202" t="s">
        <v>287</v>
      </c>
      <c r="X502" s="1212" t="e">
        <f>'Echeancier de parts 2'!#REF!</f>
        <v>#REF!</v>
      </c>
      <c r="Y502" s="1202">
        <v>2</v>
      </c>
      <c r="Z502" s="35"/>
      <c r="AA502" s="1198">
        <v>46099</v>
      </c>
      <c r="AB502" s="1198">
        <v>46283</v>
      </c>
      <c r="AC502" s="2"/>
      <c r="AD502" s="2"/>
    </row>
    <row r="503" spans="1:30" ht="15" hidden="1" x14ac:dyDescent="0.25">
      <c r="A503" s="1191">
        <v>5107</v>
      </c>
      <c r="B503" s="1192" t="e">
        <f t="shared" si="410"/>
        <v>#REF!</v>
      </c>
      <c r="C503" s="1193">
        <f>(AB503-$AF$1)</f>
        <v>176</v>
      </c>
      <c r="D503" s="1194">
        <f t="shared" si="411"/>
        <v>2.02461</v>
      </c>
      <c r="E503" s="1195">
        <f>duration_titre($AF$1,AA503,AB503,R503,K503,W503,V503,P503,Q503,N503,D503)</f>
        <v>0.48219178082191783</v>
      </c>
      <c r="F503" s="1195">
        <f t="shared" si="412"/>
        <v>0.15942279527671926</v>
      </c>
      <c r="G503" s="1195">
        <f>convexite_titre($AF$1,AA503,AB503,R503,K503,W503,V503,P503,Q503,N503,D503)</f>
        <v>7.8124173640505237E-2</v>
      </c>
      <c r="H503" s="1196">
        <f>+ROUND(coupon_courru($AF$1,AA503,AB503,R503,K503,W503,P503,Q503,N503,V503,"V"),4)</f>
        <v>103615.4969</v>
      </c>
      <c r="I503" s="1199">
        <f>+IF(Z503=1,B503,D503*100)</f>
        <v>202.46100000000001</v>
      </c>
      <c r="J503" s="1193"/>
      <c r="K503" s="1193">
        <v>100002</v>
      </c>
      <c r="L503" s="1193"/>
      <c r="M503" s="1197">
        <v>2.0246</v>
      </c>
      <c r="N503" s="1193">
        <v>54</v>
      </c>
      <c r="O503" s="1200" t="s">
        <v>1716</v>
      </c>
      <c r="P503" s="1200" t="s">
        <v>369</v>
      </c>
      <c r="Q503" s="1200" t="s">
        <v>1014</v>
      </c>
      <c r="R503" s="1197">
        <v>2.0009999999999999</v>
      </c>
      <c r="S503" s="1229" cm="1">
        <f t="array" ref="S503">IF(C503&gt;'Courbe des taux'!$D$50,ROUND( TREND('Courbe des taux'!$E$49:$E$50,'Courbe des taux'!$D$49:$D$50,Lignes_détenues!C503),5),ROUND(IF(C503&gt;365,interpoler(_mat2,taux2,C503),interpoler(_mat1,taux1,C503)),5))</f>
        <v>2.3609999999999999E-2</v>
      </c>
      <c r="T503" s="1201">
        <f t="shared" si="413"/>
        <v>2.3609999999999999E-2</v>
      </c>
      <c r="U503" s="1201">
        <f t="shared" si="414"/>
        <v>2.6710000000000001E-2</v>
      </c>
      <c r="V503" s="1202" t="str">
        <f>+IF((AB503-$AF$1)&lt;=366,"M","A")</f>
        <v>M</v>
      </c>
      <c r="W503" s="1202" t="s">
        <v>287</v>
      </c>
      <c r="X503" s="1212" t="e">
        <f>'Echeancier de parts 2'!#REF!</f>
        <v>#REF!</v>
      </c>
      <c r="Y503" s="1202">
        <v>3</v>
      </c>
      <c r="Z503" s="35"/>
      <c r="AA503" s="1198">
        <v>46099</v>
      </c>
      <c r="AB503" s="1198">
        <v>46283</v>
      </c>
      <c r="AC503" s="2"/>
      <c r="AD503" s="2"/>
    </row>
    <row r="504" spans="1:30" ht="12.75" hidden="1" x14ac:dyDescent="0.2">
      <c r="A504" s="2"/>
      <c r="B504" s="2"/>
      <c r="C504" s="2"/>
      <c r="D504" s="2"/>
      <c r="H504" s="2"/>
      <c r="J504" s="2"/>
      <c r="K504" s="2"/>
      <c r="L504" s="2"/>
      <c r="M504" s="35">
        <v>46446</v>
      </c>
      <c r="N504" s="2" t="e">
        <f>(AA504-AF1)/(AA504-#REF!)</f>
        <v>#REF!</v>
      </c>
      <c r="O504" s="1325" t="e">
        <f>AB504/((1+M493)*N504)</f>
        <v>#REF!</v>
      </c>
      <c r="P504" s="1325" t="e">
        <f>AB504/((1+AA493)*N504)</f>
        <v>#REF!</v>
      </c>
      <c r="X504" s="2"/>
      <c r="Z504" s="2"/>
      <c r="AA504" s="35">
        <v>46445</v>
      </c>
      <c r="AB504" s="1617" t="e">
        <f>K493*M493*(AA504-AA493)/(AA504-#REF!)</f>
        <v>#REF!</v>
      </c>
      <c r="AC504" s="2"/>
      <c r="AD504" s="2"/>
    </row>
    <row r="505" spans="1:30" ht="12.75" hidden="1" x14ac:dyDescent="0.2">
      <c r="A505" s="2"/>
      <c r="B505" s="2"/>
      <c r="C505" s="2"/>
      <c r="D505" s="2"/>
      <c r="H505" s="2"/>
      <c r="J505" s="2"/>
      <c r="K505" s="2"/>
      <c r="L505" s="2"/>
      <c r="M505" s="2"/>
      <c r="N505" s="1618">
        <f>(AA505-AF1)/(AA505-M504)</f>
        <v>1.9287671232876713</v>
      </c>
      <c r="O505" s="1325">
        <f>AB505/(1+M493)^N505</f>
        <v>97485.42097055215</v>
      </c>
      <c r="X505" s="2"/>
      <c r="Z505" s="2"/>
      <c r="AA505" s="35">
        <f>AB493</f>
        <v>46811</v>
      </c>
      <c r="AB505" s="1617">
        <f>K493*(1+M493)</f>
        <v>102780</v>
      </c>
      <c r="AC505" s="2"/>
      <c r="AD505" s="2"/>
    </row>
    <row r="506" spans="1:30" ht="12.75" hidden="1" x14ac:dyDescent="0.2">
      <c r="A506" s="2"/>
      <c r="B506" s="2"/>
      <c r="C506" s="2"/>
      <c r="D506" s="2"/>
      <c r="H506" s="2"/>
      <c r="J506" s="2"/>
      <c r="K506" s="2"/>
      <c r="L506" s="2"/>
      <c r="M506" s="2"/>
      <c r="N506" s="2"/>
      <c r="O506" s="1325" t="e">
        <f>SUM(O504:O505)</f>
        <v>#REF!</v>
      </c>
      <c r="X506" s="2"/>
      <c r="Z506" s="2"/>
      <c r="AA506" s="2"/>
      <c r="AB506" s="2"/>
      <c r="AC506" s="2"/>
      <c r="AD506" s="2"/>
    </row>
    <row r="507" spans="1:30" ht="12.75" x14ac:dyDescent="0.2">
      <c r="A507" s="2"/>
      <c r="B507" s="2"/>
      <c r="C507" s="2"/>
      <c r="D507" s="2"/>
      <c r="H507" s="2"/>
      <c r="J507" s="2"/>
      <c r="K507" s="2"/>
      <c r="L507" s="2"/>
      <c r="M507" s="2"/>
      <c r="N507" s="2"/>
      <c r="X507" s="2"/>
      <c r="Z507" s="2"/>
      <c r="AA507" s="2"/>
      <c r="AB507" s="2"/>
      <c r="AC507" s="2"/>
      <c r="AD507" s="2"/>
    </row>
    <row r="508" spans="1:30" ht="12.75" x14ac:dyDescent="0.2">
      <c r="A508" s="2"/>
      <c r="B508" s="2"/>
      <c r="C508" s="2"/>
      <c r="D508" s="2"/>
      <c r="H508" s="2"/>
      <c r="J508" s="2"/>
      <c r="K508" s="2"/>
      <c r="L508" s="2"/>
      <c r="M508" s="2"/>
      <c r="N508" s="2"/>
      <c r="X508" s="2"/>
      <c r="Z508" s="2"/>
      <c r="AA508" s="2"/>
      <c r="AB508" s="2"/>
      <c r="AC508" s="2"/>
      <c r="AD508" s="2"/>
    </row>
    <row r="509" spans="1:30" ht="12.75" x14ac:dyDescent="0.2">
      <c r="A509" s="2"/>
      <c r="B509" s="2"/>
      <c r="C509" s="2"/>
      <c r="D509" s="2"/>
      <c r="H509" s="2"/>
      <c r="J509" s="2"/>
      <c r="K509" s="2"/>
      <c r="L509" s="2"/>
      <c r="M509" s="2"/>
      <c r="N509" s="2"/>
      <c r="X509" s="2"/>
      <c r="Z509" s="2"/>
      <c r="AA509" s="2"/>
      <c r="AB509" s="2"/>
      <c r="AC509" s="2"/>
      <c r="AD509" s="2"/>
    </row>
    <row r="510" spans="1:30" ht="12.75" x14ac:dyDescent="0.2">
      <c r="A510" s="2"/>
      <c r="B510" s="2"/>
      <c r="C510" s="2"/>
      <c r="D510" s="2"/>
      <c r="H510" s="2"/>
      <c r="J510" s="2"/>
      <c r="K510" s="2"/>
      <c r="L510" s="2"/>
      <c r="M510" s="2"/>
      <c r="N510" s="2"/>
      <c r="R510" s="1621" t="e">
        <f>R511-1</f>
        <v>#REF!</v>
      </c>
      <c r="X510" s="2"/>
      <c r="Z510" s="2"/>
      <c r="AA510" s="2"/>
      <c r="AB510" s="2"/>
      <c r="AC510" s="2"/>
      <c r="AD510" s="2"/>
    </row>
    <row r="511" spans="1:30" ht="12.75" x14ac:dyDescent="0.2">
      <c r="A511" s="2"/>
      <c r="B511" s="2"/>
      <c r="C511" s="2"/>
      <c r="D511" s="2"/>
      <c r="H511" s="2"/>
      <c r="J511" s="2"/>
      <c r="K511" s="2"/>
      <c r="L511" s="2"/>
      <c r="M511" s="2"/>
      <c r="N511" s="2"/>
      <c r="R511" s="1620" t="e">
        <f>AB504/Q512</f>
        <v>#REF!</v>
      </c>
      <c r="S511" s="1325" t="e">
        <f>R511-1</f>
        <v>#REF!</v>
      </c>
      <c r="X511" s="2"/>
      <c r="Z511" s="2"/>
      <c r="AA511" s="2"/>
      <c r="AB511" s="2"/>
      <c r="AC511" s="2"/>
      <c r="AD511" s="2"/>
    </row>
    <row r="512" spans="1:30" ht="12.75" x14ac:dyDescent="0.2">
      <c r="A512" s="2"/>
      <c r="B512" s="2"/>
      <c r="C512" s="2"/>
      <c r="D512" s="2"/>
      <c r="H512" s="2"/>
      <c r="J512" s="2"/>
      <c r="K512" s="2"/>
      <c r="L512" s="2"/>
      <c r="M512" s="2"/>
      <c r="N512" s="1292">
        <v>1</v>
      </c>
      <c r="O512" s="1292">
        <v>365</v>
      </c>
      <c r="P512" s="1292" t="s">
        <v>3260</v>
      </c>
      <c r="Q512" s="1292">
        <v>2706.2545631540502</v>
      </c>
      <c r="R512" s="1619" t="e">
        <f>((1+M493)*N504)</f>
        <v>#REF!</v>
      </c>
      <c r="X512" s="2"/>
      <c r="Z512" s="2"/>
      <c r="AA512" s="2"/>
      <c r="AB512" s="2"/>
      <c r="AC512" s="2"/>
      <c r="AD512" s="2"/>
    </row>
    <row r="513" spans="18:18" s="2" customFormat="1" ht="12.75" x14ac:dyDescent="0.2">
      <c r="R513" s="1288"/>
    </row>
    <row r="514" spans="18:18" s="2" customFormat="1" ht="12.75" x14ac:dyDescent="0.2">
      <c r="R514" s="1288"/>
    </row>
    <row r="515" spans="18:18" s="2" customFormat="1" ht="12.75" x14ac:dyDescent="0.2">
      <c r="R515" s="1288"/>
    </row>
    <row r="516" spans="18:18" s="2" customFormat="1" ht="12.75" x14ac:dyDescent="0.2">
      <c r="R516" s="1288"/>
    </row>
    <row r="517" spans="18:18" s="2" customFormat="1" ht="12.75" x14ac:dyDescent="0.2">
      <c r="R517" s="1288"/>
    </row>
    <row r="518" spans="18:18" s="2" customFormat="1" ht="12.75" x14ac:dyDescent="0.2">
      <c r="R518" s="1288"/>
    </row>
    <row r="519" spans="18:18" s="2" customFormat="1" ht="12.75" x14ac:dyDescent="0.2">
      <c r="R519" s="1288"/>
    </row>
    <row r="520" spans="18:18" s="2" customFormat="1" ht="12.75" x14ac:dyDescent="0.2">
      <c r="R520" s="1288"/>
    </row>
    <row r="521" spans="18:18" s="2" customFormat="1" ht="12.75" x14ac:dyDescent="0.2">
      <c r="R521" s="1288"/>
    </row>
    <row r="522" spans="18:18" s="2" customFormat="1" ht="12.75" x14ac:dyDescent="0.2">
      <c r="R522" s="1288"/>
    </row>
    <row r="523" spans="18:18" s="2" customFormat="1" ht="12.75" x14ac:dyDescent="0.2">
      <c r="R523" s="1288"/>
    </row>
    <row r="524" spans="18:18" s="2" customFormat="1" ht="12.75" x14ac:dyDescent="0.2">
      <c r="R524" s="1288"/>
    </row>
    <row r="525" spans="18:18" s="2" customFormat="1" ht="12.75" x14ac:dyDescent="0.2">
      <c r="R525" s="1288"/>
    </row>
    <row r="526" spans="18:18" s="2" customFormat="1" ht="12.75" x14ac:dyDescent="0.2">
      <c r="R526" s="1288"/>
    </row>
    <row r="527" spans="18:18" s="2" customFormat="1" ht="12.75" x14ac:dyDescent="0.2">
      <c r="R527" s="1288"/>
    </row>
    <row r="528" spans="18:18" s="2" customFormat="1" ht="12.75" x14ac:dyDescent="0.2">
      <c r="R528" s="1288"/>
    </row>
    <row r="529" spans="18:18" s="2" customFormat="1" ht="12.75" x14ac:dyDescent="0.2">
      <c r="R529" s="1288"/>
    </row>
    <row r="530" spans="18:18" s="2" customFormat="1" ht="12.75" x14ac:dyDescent="0.2">
      <c r="R530" s="1288"/>
    </row>
    <row r="531" spans="18:18" s="2" customFormat="1" ht="12.75" x14ac:dyDescent="0.2">
      <c r="R531" s="1288"/>
    </row>
    <row r="532" spans="18:18" s="2" customFormat="1" ht="12.75" x14ac:dyDescent="0.2">
      <c r="R532" s="1288"/>
    </row>
    <row r="533" spans="18:18" s="2" customFormat="1" ht="12.75" x14ac:dyDescent="0.2">
      <c r="R533" s="1288"/>
    </row>
    <row r="534" spans="18:18" s="2" customFormat="1" ht="12.75" x14ac:dyDescent="0.2">
      <c r="R534" s="1288"/>
    </row>
    <row r="535" spans="18:18" s="2" customFormat="1" ht="12.75" x14ac:dyDescent="0.2">
      <c r="R535" s="1288"/>
    </row>
    <row r="536" spans="18:18" s="2" customFormat="1" ht="12.75" x14ac:dyDescent="0.2">
      <c r="R536" s="1288"/>
    </row>
    <row r="537" spans="18:18" s="2" customFormat="1" ht="12.75" x14ac:dyDescent="0.2">
      <c r="R537" s="1288"/>
    </row>
    <row r="538" spans="18:18" s="2" customFormat="1" ht="12.75" x14ac:dyDescent="0.2">
      <c r="R538" s="1288"/>
    </row>
    <row r="539" spans="18:18" s="2" customFormat="1" ht="12.75" x14ac:dyDescent="0.2">
      <c r="R539" s="1288"/>
    </row>
    <row r="540" spans="18:18" s="2" customFormat="1" ht="12.75" x14ac:dyDescent="0.2">
      <c r="R540" s="1288"/>
    </row>
    <row r="541" spans="18:18" s="2" customFormat="1" ht="12.75" x14ac:dyDescent="0.2">
      <c r="R541" s="1288"/>
    </row>
    <row r="542" spans="18:18" s="2" customFormat="1" ht="12.75" x14ac:dyDescent="0.2">
      <c r="R542" s="1288"/>
    </row>
    <row r="543" spans="18:18" s="2" customFormat="1" ht="12.75" x14ac:dyDescent="0.2">
      <c r="R543" s="1288"/>
    </row>
    <row r="544" spans="18:18" s="2" customFormat="1" ht="12.75" x14ac:dyDescent="0.2">
      <c r="R544" s="1288"/>
    </row>
    <row r="545" spans="18:18" s="2" customFormat="1" ht="12.75" x14ac:dyDescent="0.2">
      <c r="R545" s="1288"/>
    </row>
    <row r="546" spans="18:18" s="2" customFormat="1" ht="12.75" x14ac:dyDescent="0.2">
      <c r="R546" s="1288"/>
    </row>
    <row r="547" spans="18:18" s="2" customFormat="1" ht="12.75" x14ac:dyDescent="0.2">
      <c r="R547" s="1288"/>
    </row>
    <row r="548" spans="18:18" s="2" customFormat="1" ht="12.75" x14ac:dyDescent="0.2">
      <c r="R548" s="1288"/>
    </row>
    <row r="549" spans="18:18" s="2" customFormat="1" ht="12.75" x14ac:dyDescent="0.2">
      <c r="R549" s="1288"/>
    </row>
    <row r="550" spans="18:18" s="2" customFormat="1" ht="12.75" x14ac:dyDescent="0.2">
      <c r="R550" s="1288"/>
    </row>
    <row r="551" spans="18:18" s="2" customFormat="1" ht="12.75" x14ac:dyDescent="0.2">
      <c r="R551" s="1288"/>
    </row>
    <row r="552" spans="18:18" s="2" customFormat="1" ht="12.75" x14ac:dyDescent="0.2">
      <c r="R552" s="1288"/>
    </row>
    <row r="553" spans="18:18" s="2" customFormat="1" ht="12.75" x14ac:dyDescent="0.2">
      <c r="R553" s="1288"/>
    </row>
    <row r="554" spans="18:18" s="2" customFormat="1" ht="12.75" x14ac:dyDescent="0.2">
      <c r="R554" s="1288"/>
    </row>
    <row r="555" spans="18:18" s="2" customFormat="1" ht="12.75" x14ac:dyDescent="0.2">
      <c r="R555" s="1288"/>
    </row>
    <row r="556" spans="18:18" s="2" customFormat="1" ht="12.75" x14ac:dyDescent="0.2">
      <c r="R556" s="1288"/>
    </row>
    <row r="557" spans="18:18" s="2" customFormat="1" ht="12.75" x14ac:dyDescent="0.2">
      <c r="R557" s="1288"/>
    </row>
    <row r="558" spans="18:18" s="2" customFormat="1" ht="12.75" x14ac:dyDescent="0.2">
      <c r="R558" s="1288"/>
    </row>
    <row r="559" spans="18:18" s="2" customFormat="1" ht="12.75" x14ac:dyDescent="0.2">
      <c r="R559" s="1288"/>
    </row>
    <row r="560" spans="18:18" s="2" customFormat="1" ht="12.75" x14ac:dyDescent="0.2">
      <c r="R560" s="1288"/>
    </row>
    <row r="561" spans="18:18" s="2" customFormat="1" ht="12.75" x14ac:dyDescent="0.2">
      <c r="R561" s="1288"/>
    </row>
    <row r="562" spans="18:18" s="2" customFormat="1" ht="12.75" x14ac:dyDescent="0.2">
      <c r="R562" s="1288"/>
    </row>
    <row r="563" spans="18:18" s="2" customFormat="1" ht="12.75" x14ac:dyDescent="0.2">
      <c r="R563" s="1288"/>
    </row>
    <row r="564" spans="18:18" s="2" customFormat="1" ht="12.75" x14ac:dyDescent="0.2">
      <c r="R564" s="1288"/>
    </row>
    <row r="565" spans="18:18" s="2" customFormat="1" ht="12.75" x14ac:dyDescent="0.2">
      <c r="R565" s="1288"/>
    </row>
    <row r="566" spans="18:18" s="2" customFormat="1" ht="12.75" x14ac:dyDescent="0.2">
      <c r="R566" s="1288"/>
    </row>
    <row r="567" spans="18:18" s="2" customFormat="1" ht="12.75" x14ac:dyDescent="0.2">
      <c r="R567" s="1288"/>
    </row>
    <row r="568" spans="18:18" s="2" customFormat="1" ht="12.75" x14ac:dyDescent="0.2">
      <c r="R568" s="1288"/>
    </row>
    <row r="569" spans="18:18" s="2" customFormat="1" ht="12.75" x14ac:dyDescent="0.2">
      <c r="R569" s="1288"/>
    </row>
    <row r="570" spans="18:18" s="2" customFormat="1" ht="12.75" x14ac:dyDescent="0.2">
      <c r="R570" s="1288"/>
    </row>
    <row r="571" spans="18:18" s="2" customFormat="1" ht="12.75" x14ac:dyDescent="0.2">
      <c r="R571" s="1288"/>
    </row>
    <row r="572" spans="18:18" s="2" customFormat="1" ht="12.75" x14ac:dyDescent="0.2">
      <c r="R572" s="1288"/>
    </row>
    <row r="573" spans="18:18" s="2" customFormat="1" ht="12.75" x14ac:dyDescent="0.2">
      <c r="R573" s="1288"/>
    </row>
    <row r="574" spans="18:18" s="2" customFormat="1" ht="12.75" x14ac:dyDescent="0.2">
      <c r="R574" s="1288"/>
    </row>
    <row r="575" spans="18:18" s="2" customFormat="1" ht="12.75" x14ac:dyDescent="0.2">
      <c r="R575" s="1288"/>
    </row>
    <row r="576" spans="18:18" s="2" customFormat="1" ht="12.75" x14ac:dyDescent="0.2">
      <c r="R576" s="1288"/>
    </row>
    <row r="577" spans="18:18" s="2" customFormat="1" ht="12.75" x14ac:dyDescent="0.2">
      <c r="R577" s="1288"/>
    </row>
    <row r="578" spans="18:18" s="2" customFormat="1" ht="12.75" x14ac:dyDescent="0.2">
      <c r="R578" s="1288"/>
    </row>
    <row r="579" spans="18:18" s="2" customFormat="1" ht="12.75" x14ac:dyDescent="0.2">
      <c r="R579" s="1288"/>
    </row>
    <row r="580" spans="18:18" s="2" customFormat="1" ht="12.75" x14ac:dyDescent="0.2">
      <c r="R580" s="1288"/>
    </row>
    <row r="581" spans="18:18" s="2" customFormat="1" ht="12.75" x14ac:dyDescent="0.2">
      <c r="R581" s="1288"/>
    </row>
    <row r="582" spans="18:18" s="2" customFormat="1" ht="12.75" x14ac:dyDescent="0.2">
      <c r="R582" s="1288"/>
    </row>
    <row r="583" spans="18:18" s="2" customFormat="1" ht="12.75" x14ac:dyDescent="0.2">
      <c r="R583" s="1288"/>
    </row>
    <row r="584" spans="18:18" s="2" customFormat="1" ht="12.75" x14ac:dyDescent="0.2">
      <c r="R584" s="1288"/>
    </row>
    <row r="585" spans="18:18" s="2" customFormat="1" ht="12.75" x14ac:dyDescent="0.2">
      <c r="R585" s="1288"/>
    </row>
    <row r="586" spans="18:18" s="2" customFormat="1" ht="12.75" x14ac:dyDescent="0.2">
      <c r="R586" s="1288"/>
    </row>
    <row r="587" spans="18:18" s="2" customFormat="1" ht="12.75" x14ac:dyDescent="0.2">
      <c r="R587" s="1288"/>
    </row>
    <row r="588" spans="18:18" s="2" customFormat="1" ht="12.75" x14ac:dyDescent="0.2">
      <c r="R588" s="1288"/>
    </row>
    <row r="589" spans="18:18" s="2" customFormat="1" ht="12.75" x14ac:dyDescent="0.2">
      <c r="R589" s="1288"/>
    </row>
    <row r="590" spans="18:18" s="2" customFormat="1" ht="12.75" x14ac:dyDescent="0.2">
      <c r="R590" s="1288"/>
    </row>
    <row r="591" spans="18:18" s="2" customFormat="1" ht="12.75" x14ac:dyDescent="0.2">
      <c r="R591" s="1288"/>
    </row>
    <row r="592" spans="18:18" s="2" customFormat="1" ht="12.75" x14ac:dyDescent="0.2">
      <c r="R592" s="1288"/>
    </row>
    <row r="593" spans="18:18" s="2" customFormat="1" ht="12.75" x14ac:dyDescent="0.2">
      <c r="R593" s="1288"/>
    </row>
    <row r="594" spans="18:18" s="2" customFormat="1" ht="12.75" x14ac:dyDescent="0.2">
      <c r="R594" s="1288"/>
    </row>
    <row r="595" spans="18:18" s="2" customFormat="1" ht="12.75" x14ac:dyDescent="0.2">
      <c r="R595" s="1288"/>
    </row>
    <row r="596" spans="18:18" s="2" customFormat="1" ht="12.75" x14ac:dyDescent="0.2">
      <c r="R596" s="1288"/>
    </row>
    <row r="597" spans="18:18" s="2" customFormat="1" ht="12.75" x14ac:dyDescent="0.2">
      <c r="R597" s="1288"/>
    </row>
    <row r="598" spans="18:18" s="2" customFormat="1" ht="12.75" x14ac:dyDescent="0.2">
      <c r="R598" s="1288"/>
    </row>
    <row r="599" spans="18:18" s="2" customFormat="1" ht="12.75" x14ac:dyDescent="0.2">
      <c r="R599" s="1288"/>
    </row>
    <row r="600" spans="18:18" s="2" customFormat="1" ht="12.75" x14ac:dyDescent="0.2">
      <c r="R600" s="1288"/>
    </row>
    <row r="601" spans="18:18" s="2" customFormat="1" ht="12.75" x14ac:dyDescent="0.2">
      <c r="R601" s="1288"/>
    </row>
    <row r="602" spans="18:18" s="2" customFormat="1" ht="12.75" x14ac:dyDescent="0.2">
      <c r="R602" s="1288"/>
    </row>
    <row r="603" spans="18:18" s="2" customFormat="1" ht="12.75" x14ac:dyDescent="0.2">
      <c r="R603" s="1288"/>
    </row>
    <row r="604" spans="18:18" s="2" customFormat="1" ht="12.75" x14ac:dyDescent="0.2">
      <c r="R604" s="1288"/>
    </row>
    <row r="605" spans="18:18" s="2" customFormat="1" ht="12.75" x14ac:dyDescent="0.2">
      <c r="R605" s="1288"/>
    </row>
    <row r="606" spans="18:18" s="2" customFormat="1" ht="12.75" x14ac:dyDescent="0.2">
      <c r="R606" s="1288"/>
    </row>
    <row r="607" spans="18:18" s="2" customFormat="1" ht="12.75" x14ac:dyDescent="0.2">
      <c r="R607" s="1288"/>
    </row>
    <row r="608" spans="18:18" s="2" customFormat="1" ht="12.75" x14ac:dyDescent="0.2">
      <c r="R608" s="1288"/>
    </row>
    <row r="609" spans="18:18" s="2" customFormat="1" ht="12.75" x14ac:dyDescent="0.2">
      <c r="R609" s="1288"/>
    </row>
    <row r="610" spans="18:18" s="2" customFormat="1" ht="12.75" x14ac:dyDescent="0.2">
      <c r="R610" s="1288"/>
    </row>
    <row r="611" spans="18:18" s="2" customFormat="1" ht="12.75" x14ac:dyDescent="0.2">
      <c r="R611" s="1288"/>
    </row>
    <row r="612" spans="18:18" s="2" customFormat="1" ht="12.75" x14ac:dyDescent="0.2">
      <c r="R612" s="1288"/>
    </row>
    <row r="613" spans="18:18" s="2" customFormat="1" ht="12.75" x14ac:dyDescent="0.2">
      <c r="R613" s="1288"/>
    </row>
    <row r="614" spans="18:18" s="2" customFormat="1" ht="12.75" x14ac:dyDescent="0.2">
      <c r="R614" s="1288"/>
    </row>
    <row r="615" spans="18:18" s="2" customFormat="1" ht="12.75" x14ac:dyDescent="0.2">
      <c r="R615" s="1288"/>
    </row>
    <row r="616" spans="18:18" s="2" customFormat="1" ht="12.75" x14ac:dyDescent="0.2">
      <c r="R616" s="1288"/>
    </row>
    <row r="617" spans="18:18" s="2" customFormat="1" ht="12.75" x14ac:dyDescent="0.2">
      <c r="R617" s="1288"/>
    </row>
    <row r="618" spans="18:18" s="2" customFormat="1" ht="12.75" x14ac:dyDescent="0.2">
      <c r="R618" s="1288"/>
    </row>
    <row r="619" spans="18:18" s="2" customFormat="1" ht="12.75" x14ac:dyDescent="0.2">
      <c r="R619" s="1288"/>
    </row>
    <row r="620" spans="18:18" s="2" customFormat="1" ht="12.75" x14ac:dyDescent="0.2">
      <c r="R620" s="1288"/>
    </row>
    <row r="621" spans="18:18" s="2" customFormat="1" ht="12.75" x14ac:dyDescent="0.2">
      <c r="R621" s="1288"/>
    </row>
    <row r="622" spans="18:18" s="2" customFormat="1" ht="12.75" x14ac:dyDescent="0.2">
      <c r="R622" s="1288"/>
    </row>
    <row r="623" spans="18:18" s="2" customFormat="1" ht="12.75" x14ac:dyDescent="0.2">
      <c r="R623" s="1288"/>
    </row>
    <row r="624" spans="18:18" s="2" customFormat="1" ht="12.75" x14ac:dyDescent="0.2">
      <c r="R624" s="1288"/>
    </row>
    <row r="625" spans="18:18" s="2" customFormat="1" ht="12.75" x14ac:dyDescent="0.2">
      <c r="R625" s="1288"/>
    </row>
    <row r="626" spans="18:18" s="2" customFormat="1" ht="12.75" x14ac:dyDescent="0.2">
      <c r="R626" s="1288"/>
    </row>
    <row r="627" spans="18:18" s="2" customFormat="1" ht="12.75" x14ac:dyDescent="0.2">
      <c r="R627" s="1288"/>
    </row>
    <row r="628" spans="18:18" s="2" customFormat="1" ht="12.75" x14ac:dyDescent="0.2">
      <c r="R628" s="1288"/>
    </row>
    <row r="629" spans="18:18" s="2" customFormat="1" ht="12.75" x14ac:dyDescent="0.2">
      <c r="R629" s="1288"/>
    </row>
    <row r="630" spans="18:18" s="2" customFormat="1" ht="12.75" x14ac:dyDescent="0.2">
      <c r="R630" s="1288"/>
    </row>
    <row r="631" spans="18:18" s="2" customFormat="1" ht="12.75" x14ac:dyDescent="0.2">
      <c r="R631" s="1288"/>
    </row>
    <row r="632" spans="18:18" s="2" customFormat="1" ht="12.75" x14ac:dyDescent="0.2">
      <c r="R632" s="1288"/>
    </row>
    <row r="633" spans="18:18" s="2" customFormat="1" ht="12.75" x14ac:dyDescent="0.2">
      <c r="R633" s="1288"/>
    </row>
    <row r="634" spans="18:18" s="2" customFormat="1" ht="12.75" x14ac:dyDescent="0.2">
      <c r="R634" s="1288"/>
    </row>
    <row r="635" spans="18:18" s="2" customFormat="1" ht="12.75" x14ac:dyDescent="0.2">
      <c r="R635" s="1288"/>
    </row>
    <row r="636" spans="18:18" s="2" customFormat="1" ht="12.75" x14ac:dyDescent="0.2">
      <c r="R636" s="1288"/>
    </row>
    <row r="637" spans="18:18" s="2" customFormat="1" ht="12.75" x14ac:dyDescent="0.2">
      <c r="R637" s="1288"/>
    </row>
    <row r="638" spans="18:18" s="2" customFormat="1" ht="12.75" x14ac:dyDescent="0.2">
      <c r="R638" s="1288"/>
    </row>
    <row r="639" spans="18:18" s="2" customFormat="1" ht="12.75" x14ac:dyDescent="0.2">
      <c r="R639" s="1288"/>
    </row>
    <row r="640" spans="18:18" s="2" customFormat="1" ht="12.75" x14ac:dyDescent="0.2">
      <c r="R640" s="1288"/>
    </row>
    <row r="641" spans="6:18" s="2" customFormat="1" ht="12.75" x14ac:dyDescent="0.2">
      <c r="R641" s="1288"/>
    </row>
    <row r="642" spans="6:18" s="2" customFormat="1" ht="12.75" x14ac:dyDescent="0.2">
      <c r="R642" s="1288"/>
    </row>
    <row r="643" spans="6:18" s="2" customFormat="1" ht="12.75" x14ac:dyDescent="0.2">
      <c r="R643" s="1288"/>
    </row>
    <row r="644" spans="6:18" s="2" customFormat="1" ht="12.75" x14ac:dyDescent="0.2">
      <c r="R644" s="1288"/>
    </row>
    <row r="645" spans="6:18" s="2" customFormat="1" ht="12.75" x14ac:dyDescent="0.2">
      <c r="R645" s="1288"/>
    </row>
    <row r="646" spans="6:18" s="2" customFormat="1" ht="12.75" x14ac:dyDescent="0.2">
      <c r="F646" s="37"/>
      <c r="G646" s="35"/>
      <c r="R646" s="1288"/>
    </row>
    <row r="647" spans="6:18" s="2" customFormat="1" ht="12.75" x14ac:dyDescent="0.2">
      <c r="H647" s="35"/>
      <c r="R647" s="1288"/>
    </row>
    <row r="648" spans="6:18" s="2" customFormat="1" ht="12.75" x14ac:dyDescent="0.2">
      <c r="R648" s="1288"/>
    </row>
    <row r="649" spans="6:18" s="2" customFormat="1" ht="12.75" x14ac:dyDescent="0.2">
      <c r="R649" s="1288"/>
    </row>
    <row r="650" spans="6:18" s="2" customFormat="1" ht="12.75" x14ac:dyDescent="0.2">
      <c r="R650" s="1288"/>
    </row>
    <row r="651" spans="6:18" s="2" customFormat="1" ht="12.75" x14ac:dyDescent="0.2">
      <c r="R651" s="1288"/>
    </row>
    <row r="652" spans="6:18" s="2" customFormat="1" ht="12.75" x14ac:dyDescent="0.2">
      <c r="R652" s="1288"/>
    </row>
    <row r="653" spans="6:18" s="2" customFormat="1" ht="12.75" x14ac:dyDescent="0.2">
      <c r="R653" s="1288"/>
    </row>
    <row r="654" spans="6:18" s="2" customFormat="1" ht="12.75" x14ac:dyDescent="0.2">
      <c r="R654" s="1288"/>
    </row>
    <row r="655" spans="6:18" s="2" customFormat="1" ht="12.75" x14ac:dyDescent="0.2">
      <c r="R655" s="1288"/>
    </row>
    <row r="656" spans="6:18" s="2" customFormat="1" ht="12.75" x14ac:dyDescent="0.2">
      <c r="R656" s="1288"/>
    </row>
    <row r="657" spans="18:18" s="2" customFormat="1" ht="12.75" x14ac:dyDescent="0.2">
      <c r="R657" s="1288"/>
    </row>
    <row r="658" spans="18:18" s="2" customFormat="1" ht="12.75" x14ac:dyDescent="0.2">
      <c r="R658" s="1288"/>
    </row>
    <row r="659" spans="18:18" s="2" customFormat="1" ht="12.75" x14ac:dyDescent="0.2">
      <c r="R659" s="1288"/>
    </row>
    <row r="660" spans="18:18" s="2" customFormat="1" ht="12.75" x14ac:dyDescent="0.2">
      <c r="R660" s="1288"/>
    </row>
    <row r="661" spans="18:18" s="2" customFormat="1" ht="12.75" x14ac:dyDescent="0.2">
      <c r="R661" s="1288"/>
    </row>
    <row r="662" spans="18:18" s="2" customFormat="1" ht="12.75" x14ac:dyDescent="0.2">
      <c r="R662" s="1288"/>
    </row>
    <row r="663" spans="18:18" s="2" customFormat="1" ht="12.75" x14ac:dyDescent="0.2">
      <c r="R663" s="1288"/>
    </row>
    <row r="664" spans="18:18" s="2" customFormat="1" ht="12.75" x14ac:dyDescent="0.2">
      <c r="R664" s="1288"/>
    </row>
    <row r="665" spans="18:18" s="2" customFormat="1" ht="12.75" x14ac:dyDescent="0.2">
      <c r="R665" s="1288"/>
    </row>
    <row r="666" spans="18:18" s="2" customFormat="1" ht="12.75" x14ac:dyDescent="0.2">
      <c r="R666" s="1288"/>
    </row>
    <row r="667" spans="18:18" s="2" customFormat="1" ht="12.75" x14ac:dyDescent="0.2">
      <c r="R667" s="1288"/>
    </row>
    <row r="668" spans="18:18" s="2" customFormat="1" ht="12.75" x14ac:dyDescent="0.2">
      <c r="R668" s="1288"/>
    </row>
    <row r="669" spans="18:18" s="2" customFormat="1" ht="12.75" x14ac:dyDescent="0.2">
      <c r="R669" s="1288"/>
    </row>
    <row r="670" spans="18:18" s="2" customFormat="1" ht="12.75" x14ac:dyDescent="0.2">
      <c r="R670" s="1288"/>
    </row>
    <row r="671" spans="18:18" s="2" customFormat="1" ht="12.75" x14ac:dyDescent="0.2">
      <c r="R671" s="1288"/>
    </row>
    <row r="672" spans="18:18" s="2" customFormat="1" ht="12.75" x14ac:dyDescent="0.2">
      <c r="R672" s="1288"/>
    </row>
    <row r="673" spans="18:18" s="2" customFormat="1" ht="12.75" x14ac:dyDescent="0.2">
      <c r="R673" s="1288"/>
    </row>
    <row r="674" spans="18:18" s="2" customFormat="1" ht="12.75" x14ac:dyDescent="0.2">
      <c r="R674" s="1288"/>
    </row>
    <row r="675" spans="18:18" s="2" customFormat="1" ht="12.75" x14ac:dyDescent="0.2">
      <c r="R675" s="1288"/>
    </row>
    <row r="676" spans="18:18" s="2" customFormat="1" ht="12.75" x14ac:dyDescent="0.2">
      <c r="R676" s="1288"/>
    </row>
    <row r="677" spans="18:18" s="2" customFormat="1" ht="12.75" x14ac:dyDescent="0.2">
      <c r="R677" s="1288"/>
    </row>
    <row r="678" spans="18:18" s="2" customFormat="1" ht="12.75" x14ac:dyDescent="0.2">
      <c r="R678" s="1288"/>
    </row>
    <row r="679" spans="18:18" s="2" customFormat="1" ht="12.75" x14ac:dyDescent="0.2">
      <c r="R679" s="1288"/>
    </row>
    <row r="680" spans="18:18" s="2" customFormat="1" ht="12.75" x14ac:dyDescent="0.2">
      <c r="R680" s="1288"/>
    </row>
    <row r="681" spans="18:18" s="2" customFormat="1" ht="12.75" x14ac:dyDescent="0.2">
      <c r="R681" s="1288"/>
    </row>
    <row r="682" spans="18:18" s="2" customFormat="1" ht="12.75" x14ac:dyDescent="0.2">
      <c r="R682" s="1288"/>
    </row>
    <row r="683" spans="18:18" s="2" customFormat="1" ht="12.75" x14ac:dyDescent="0.2">
      <c r="R683" s="1288"/>
    </row>
    <row r="684" spans="18:18" s="2" customFormat="1" ht="12.75" x14ac:dyDescent="0.2">
      <c r="R684" s="1288"/>
    </row>
    <row r="685" spans="18:18" s="2" customFormat="1" ht="12.75" x14ac:dyDescent="0.2">
      <c r="R685" s="1288"/>
    </row>
    <row r="686" spans="18:18" s="2" customFormat="1" ht="12.75" x14ac:dyDescent="0.2">
      <c r="R686" s="1288"/>
    </row>
    <row r="687" spans="18:18" s="2" customFormat="1" ht="12.75" x14ac:dyDescent="0.2">
      <c r="R687" s="1288"/>
    </row>
    <row r="688" spans="18:18" s="2" customFormat="1" ht="12.75" x14ac:dyDescent="0.2">
      <c r="R688" s="1288"/>
    </row>
    <row r="689" spans="18:18" s="2" customFormat="1" ht="12.75" x14ac:dyDescent="0.2">
      <c r="R689" s="1288"/>
    </row>
    <row r="690" spans="18:18" s="2" customFormat="1" ht="12.75" x14ac:dyDescent="0.2">
      <c r="R690" s="1288"/>
    </row>
    <row r="691" spans="18:18" s="2" customFormat="1" ht="12.75" x14ac:dyDescent="0.2">
      <c r="R691" s="1288"/>
    </row>
    <row r="692" spans="18:18" s="2" customFormat="1" ht="12.75" x14ac:dyDescent="0.2">
      <c r="R692" s="1288"/>
    </row>
    <row r="693" spans="18:18" s="2" customFormat="1" ht="12.75" x14ac:dyDescent="0.2">
      <c r="R693" s="1288"/>
    </row>
    <row r="694" spans="18:18" s="2" customFormat="1" ht="12.75" x14ac:dyDescent="0.2">
      <c r="R694" s="1288"/>
    </row>
    <row r="695" spans="18:18" s="2" customFormat="1" ht="12.75" x14ac:dyDescent="0.2">
      <c r="R695" s="1288"/>
    </row>
    <row r="696" spans="18:18" s="2" customFormat="1" ht="12.75" x14ac:dyDescent="0.2">
      <c r="R696" s="1288"/>
    </row>
    <row r="697" spans="18:18" s="2" customFormat="1" ht="12.75" x14ac:dyDescent="0.2">
      <c r="R697" s="1288"/>
    </row>
    <row r="698" spans="18:18" s="2" customFormat="1" ht="12.75" x14ac:dyDescent="0.2">
      <c r="R698" s="1288"/>
    </row>
    <row r="699" spans="18:18" s="2" customFormat="1" ht="12.75" x14ac:dyDescent="0.2">
      <c r="R699" s="1288"/>
    </row>
    <row r="700" spans="18:18" s="2" customFormat="1" ht="12.75" x14ac:dyDescent="0.2">
      <c r="R700" s="1288"/>
    </row>
    <row r="701" spans="18:18" s="2" customFormat="1" ht="12.75" x14ac:dyDescent="0.2">
      <c r="R701" s="1288"/>
    </row>
    <row r="702" spans="18:18" s="2" customFormat="1" ht="12.75" x14ac:dyDescent="0.2">
      <c r="R702" s="1288"/>
    </row>
    <row r="703" spans="18:18" s="2" customFormat="1" ht="12.75" x14ac:dyDescent="0.2">
      <c r="R703" s="1288"/>
    </row>
    <row r="704" spans="18:18" s="2" customFormat="1" ht="12.75" x14ac:dyDescent="0.2">
      <c r="R704" s="1288"/>
    </row>
    <row r="705" spans="18:18" s="2" customFormat="1" ht="12.75" x14ac:dyDescent="0.2">
      <c r="R705" s="1288"/>
    </row>
    <row r="706" spans="18:18" s="2" customFormat="1" ht="12.75" x14ac:dyDescent="0.2">
      <c r="R706" s="1288"/>
    </row>
    <row r="707" spans="18:18" s="2" customFormat="1" ht="12.75" x14ac:dyDescent="0.2">
      <c r="R707" s="1288"/>
    </row>
    <row r="708" spans="18:18" s="2" customFormat="1" ht="12.75" x14ac:dyDescent="0.2">
      <c r="R708" s="1288"/>
    </row>
    <row r="709" spans="18:18" s="2" customFormat="1" ht="12.75" x14ac:dyDescent="0.2">
      <c r="R709" s="1288"/>
    </row>
    <row r="710" spans="18:18" s="2" customFormat="1" ht="12.75" x14ac:dyDescent="0.2">
      <c r="R710" s="1288"/>
    </row>
    <row r="711" spans="18:18" s="2" customFormat="1" ht="12.75" x14ac:dyDescent="0.2">
      <c r="R711" s="1288"/>
    </row>
    <row r="712" spans="18:18" s="2" customFormat="1" ht="12.75" x14ac:dyDescent="0.2">
      <c r="R712" s="1288"/>
    </row>
    <row r="713" spans="18:18" s="2" customFormat="1" ht="12.75" x14ac:dyDescent="0.2">
      <c r="R713" s="1288"/>
    </row>
    <row r="714" spans="18:18" s="2" customFormat="1" ht="12.75" x14ac:dyDescent="0.2">
      <c r="R714" s="1288"/>
    </row>
    <row r="715" spans="18:18" s="2" customFormat="1" ht="12.75" x14ac:dyDescent="0.2">
      <c r="R715" s="1288"/>
    </row>
    <row r="716" spans="18:18" s="2" customFormat="1" ht="12.75" x14ac:dyDescent="0.2">
      <c r="R716" s="1288"/>
    </row>
    <row r="717" spans="18:18" s="2" customFormat="1" ht="12.75" x14ac:dyDescent="0.2">
      <c r="R717" s="1288"/>
    </row>
    <row r="718" spans="18:18" s="2" customFormat="1" ht="12.75" x14ac:dyDescent="0.2">
      <c r="R718" s="1288"/>
    </row>
    <row r="719" spans="18:18" s="2" customFormat="1" ht="12.75" x14ac:dyDescent="0.2">
      <c r="R719" s="1288"/>
    </row>
    <row r="720" spans="18:18" s="2" customFormat="1" ht="12.75" x14ac:dyDescent="0.2">
      <c r="R720" s="1288"/>
    </row>
    <row r="721" spans="18:18" s="2" customFormat="1" ht="12.75" x14ac:dyDescent="0.2">
      <c r="R721" s="1288"/>
    </row>
    <row r="722" spans="18:18" s="2" customFormat="1" ht="12.75" x14ac:dyDescent="0.2">
      <c r="R722" s="1288"/>
    </row>
    <row r="723" spans="18:18" s="2" customFormat="1" ht="12.75" x14ac:dyDescent="0.2">
      <c r="R723" s="1288"/>
    </row>
    <row r="724" spans="18:18" s="2" customFormat="1" ht="12.75" x14ac:dyDescent="0.2">
      <c r="R724" s="1288"/>
    </row>
    <row r="725" spans="18:18" s="2" customFormat="1" ht="12.75" x14ac:dyDescent="0.2">
      <c r="R725" s="1288"/>
    </row>
    <row r="726" spans="18:18" s="2" customFormat="1" ht="12.75" x14ac:dyDescent="0.2">
      <c r="R726" s="1288"/>
    </row>
    <row r="727" spans="18:18" s="2" customFormat="1" ht="12.75" x14ac:dyDescent="0.2">
      <c r="R727" s="1288"/>
    </row>
    <row r="728" spans="18:18" s="2" customFormat="1" ht="12.75" x14ac:dyDescent="0.2">
      <c r="R728" s="1288"/>
    </row>
    <row r="729" spans="18:18" s="2" customFormat="1" ht="12.75" x14ac:dyDescent="0.2">
      <c r="R729" s="1288"/>
    </row>
    <row r="730" spans="18:18" s="2" customFormat="1" ht="12.75" x14ac:dyDescent="0.2">
      <c r="R730" s="1288"/>
    </row>
    <row r="731" spans="18:18" s="2" customFormat="1" ht="12.75" x14ac:dyDescent="0.2">
      <c r="R731" s="1288"/>
    </row>
    <row r="732" spans="18:18" s="2" customFormat="1" ht="12.75" x14ac:dyDescent="0.2">
      <c r="R732" s="1288"/>
    </row>
    <row r="733" spans="18:18" s="2" customFormat="1" ht="12.75" x14ac:dyDescent="0.2">
      <c r="R733" s="1288"/>
    </row>
    <row r="734" spans="18:18" s="2" customFormat="1" ht="12.75" x14ac:dyDescent="0.2">
      <c r="R734" s="1288"/>
    </row>
    <row r="735" spans="18:18" s="2" customFormat="1" ht="12.75" x14ac:dyDescent="0.2">
      <c r="R735" s="1288"/>
    </row>
    <row r="736" spans="18:18" s="2" customFormat="1" ht="12.75" x14ac:dyDescent="0.2">
      <c r="R736" s="1288"/>
    </row>
    <row r="737" spans="18:18" s="2" customFormat="1" ht="12.75" x14ac:dyDescent="0.2">
      <c r="R737" s="1288"/>
    </row>
    <row r="738" spans="18:18" s="2" customFormat="1" ht="12.75" x14ac:dyDescent="0.2">
      <c r="R738" s="1288"/>
    </row>
    <row r="739" spans="18:18" s="2" customFormat="1" ht="12.75" x14ac:dyDescent="0.2">
      <c r="R739" s="1288"/>
    </row>
    <row r="740" spans="18:18" s="2" customFormat="1" ht="12.75" x14ac:dyDescent="0.2">
      <c r="R740" s="1288"/>
    </row>
    <row r="741" spans="18:18" s="2" customFormat="1" ht="12.75" x14ac:dyDescent="0.2">
      <c r="R741" s="1288"/>
    </row>
    <row r="742" spans="18:18" s="2" customFormat="1" ht="12.75" x14ac:dyDescent="0.2">
      <c r="R742" s="1288"/>
    </row>
    <row r="743" spans="18:18" s="2" customFormat="1" ht="12.75" x14ac:dyDescent="0.2">
      <c r="R743" s="1288"/>
    </row>
    <row r="744" spans="18:18" s="2" customFormat="1" ht="12.75" x14ac:dyDescent="0.2">
      <c r="R744" s="1288"/>
    </row>
    <row r="745" spans="18:18" s="2" customFormat="1" ht="12.75" x14ac:dyDescent="0.2">
      <c r="R745" s="1288"/>
    </row>
    <row r="746" spans="18:18" s="2" customFormat="1" ht="12.75" x14ac:dyDescent="0.2">
      <c r="R746" s="1288"/>
    </row>
    <row r="747" spans="18:18" s="2" customFormat="1" ht="12.75" x14ac:dyDescent="0.2">
      <c r="R747" s="1288"/>
    </row>
    <row r="748" spans="18:18" s="2" customFormat="1" ht="12.75" x14ac:dyDescent="0.2">
      <c r="R748" s="1288"/>
    </row>
    <row r="749" spans="18:18" s="2" customFormat="1" ht="12.75" x14ac:dyDescent="0.2">
      <c r="R749" s="1288"/>
    </row>
    <row r="750" spans="18:18" s="2" customFormat="1" ht="12.75" x14ac:dyDescent="0.2">
      <c r="R750" s="1288"/>
    </row>
    <row r="751" spans="18:18" s="2" customFormat="1" ht="12.75" x14ac:dyDescent="0.2">
      <c r="R751" s="1288"/>
    </row>
    <row r="752" spans="18:18" s="2" customFormat="1" ht="12.75" x14ac:dyDescent="0.2">
      <c r="R752" s="1288"/>
    </row>
    <row r="753" spans="18:18" s="2" customFormat="1" ht="12.75" x14ac:dyDescent="0.2">
      <c r="R753" s="1288"/>
    </row>
    <row r="754" spans="18:18" s="2" customFormat="1" ht="12.75" x14ac:dyDescent="0.2">
      <c r="R754" s="1288"/>
    </row>
    <row r="755" spans="18:18" s="2" customFormat="1" ht="12.75" x14ac:dyDescent="0.2">
      <c r="R755" s="1288"/>
    </row>
    <row r="756" spans="18:18" s="2" customFormat="1" ht="12.75" x14ac:dyDescent="0.2">
      <c r="R756" s="1288"/>
    </row>
    <row r="757" spans="18:18" s="2" customFormat="1" ht="12.75" x14ac:dyDescent="0.2">
      <c r="R757" s="1288"/>
    </row>
    <row r="758" spans="18:18" s="2" customFormat="1" ht="12.75" x14ac:dyDescent="0.2">
      <c r="R758" s="1288"/>
    </row>
    <row r="759" spans="18:18" s="2" customFormat="1" ht="12.75" x14ac:dyDescent="0.2">
      <c r="R759" s="1288"/>
    </row>
    <row r="760" spans="18:18" s="2" customFormat="1" ht="12.75" x14ac:dyDescent="0.2">
      <c r="R760" s="1288"/>
    </row>
    <row r="761" spans="18:18" s="2" customFormat="1" ht="12.75" x14ac:dyDescent="0.2">
      <c r="R761" s="1288"/>
    </row>
    <row r="762" spans="18:18" s="2" customFormat="1" ht="12.75" x14ac:dyDescent="0.2">
      <c r="R762" s="1288"/>
    </row>
    <row r="763" spans="18:18" s="2" customFormat="1" ht="12.75" x14ac:dyDescent="0.2">
      <c r="R763" s="1288"/>
    </row>
    <row r="764" spans="18:18" s="2" customFormat="1" ht="12.75" x14ac:dyDescent="0.2">
      <c r="R764" s="1288"/>
    </row>
    <row r="765" spans="18:18" s="2" customFormat="1" ht="12.75" x14ac:dyDescent="0.2">
      <c r="R765" s="1288"/>
    </row>
    <row r="766" spans="18:18" s="2" customFormat="1" ht="12.75" x14ac:dyDescent="0.2">
      <c r="R766" s="1288"/>
    </row>
    <row r="767" spans="18:18" s="2" customFormat="1" ht="12.75" x14ac:dyDescent="0.2">
      <c r="R767" s="1288"/>
    </row>
    <row r="768" spans="18:18" s="2" customFormat="1" ht="12.75" x14ac:dyDescent="0.2">
      <c r="R768" s="1288"/>
    </row>
    <row r="769" spans="18:18" s="2" customFormat="1" ht="12.75" x14ac:dyDescent="0.2">
      <c r="R769" s="1288"/>
    </row>
    <row r="770" spans="18:18" s="2" customFormat="1" ht="12.75" x14ac:dyDescent="0.2">
      <c r="R770" s="1288"/>
    </row>
    <row r="771" spans="18:18" s="2" customFormat="1" ht="12.75" x14ac:dyDescent="0.2">
      <c r="R771" s="1288"/>
    </row>
    <row r="772" spans="18:18" s="2" customFormat="1" ht="12.75" x14ac:dyDescent="0.2">
      <c r="R772" s="1288"/>
    </row>
    <row r="773" spans="18:18" s="2" customFormat="1" ht="12.75" x14ac:dyDescent="0.2">
      <c r="R773" s="1288"/>
    </row>
    <row r="774" spans="18:18" s="2" customFormat="1" ht="12.75" x14ac:dyDescent="0.2">
      <c r="R774" s="1288"/>
    </row>
    <row r="775" spans="18:18" s="2" customFormat="1" ht="12.75" x14ac:dyDescent="0.2">
      <c r="R775" s="1288"/>
    </row>
    <row r="776" spans="18:18" s="2" customFormat="1" ht="12.75" x14ac:dyDescent="0.2">
      <c r="R776" s="1288"/>
    </row>
    <row r="777" spans="18:18" s="2" customFormat="1" ht="12.75" x14ac:dyDescent="0.2">
      <c r="R777" s="1288"/>
    </row>
    <row r="778" spans="18:18" s="2" customFormat="1" ht="12.75" x14ac:dyDescent="0.2">
      <c r="R778" s="1288"/>
    </row>
    <row r="779" spans="18:18" s="2" customFormat="1" ht="12.75" x14ac:dyDescent="0.2">
      <c r="R779" s="1288"/>
    </row>
    <row r="780" spans="18:18" s="2" customFormat="1" ht="12.75" x14ac:dyDescent="0.2">
      <c r="R780" s="1288"/>
    </row>
    <row r="781" spans="18:18" s="2" customFormat="1" ht="12.75" x14ac:dyDescent="0.2">
      <c r="R781" s="1288"/>
    </row>
    <row r="782" spans="18:18" s="2" customFormat="1" ht="12.75" x14ac:dyDescent="0.2">
      <c r="R782" s="1288"/>
    </row>
    <row r="783" spans="18:18" s="2" customFormat="1" ht="12.75" x14ac:dyDescent="0.2">
      <c r="R783" s="1288"/>
    </row>
    <row r="784" spans="18:18" s="2" customFormat="1" ht="12.75" x14ac:dyDescent="0.2">
      <c r="R784" s="1288"/>
    </row>
    <row r="785" spans="18:18" s="2" customFormat="1" ht="12.75" x14ac:dyDescent="0.2">
      <c r="R785" s="1288"/>
    </row>
    <row r="786" spans="18:18" s="2" customFormat="1" ht="12.75" x14ac:dyDescent="0.2">
      <c r="R786" s="1288"/>
    </row>
    <row r="787" spans="18:18" s="2" customFormat="1" ht="12.75" x14ac:dyDescent="0.2">
      <c r="R787" s="1288"/>
    </row>
    <row r="788" spans="18:18" s="2" customFormat="1" ht="12.75" x14ac:dyDescent="0.2">
      <c r="R788" s="1288"/>
    </row>
    <row r="789" spans="18:18" s="2" customFormat="1" ht="12.75" x14ac:dyDescent="0.2">
      <c r="R789" s="1288"/>
    </row>
    <row r="790" spans="18:18" s="2" customFormat="1" ht="12.75" x14ac:dyDescent="0.2">
      <c r="R790" s="1288"/>
    </row>
    <row r="791" spans="18:18" s="2" customFormat="1" ht="12.75" x14ac:dyDescent="0.2">
      <c r="R791" s="1288"/>
    </row>
    <row r="792" spans="18:18" s="2" customFormat="1" ht="12.75" x14ac:dyDescent="0.2">
      <c r="R792" s="1288"/>
    </row>
    <row r="793" spans="18:18" s="2" customFormat="1" ht="12.75" x14ac:dyDescent="0.2">
      <c r="R793" s="1288"/>
    </row>
    <row r="794" spans="18:18" s="2" customFormat="1" ht="12.75" x14ac:dyDescent="0.2">
      <c r="R794" s="1288"/>
    </row>
    <row r="795" spans="18:18" s="2" customFormat="1" ht="12.75" x14ac:dyDescent="0.2">
      <c r="R795" s="1288"/>
    </row>
    <row r="796" spans="18:18" s="2" customFormat="1" ht="12.75" x14ac:dyDescent="0.2">
      <c r="R796" s="1288"/>
    </row>
    <row r="797" spans="18:18" s="2" customFormat="1" ht="12.75" x14ac:dyDescent="0.2">
      <c r="R797" s="1288"/>
    </row>
    <row r="798" spans="18:18" s="2" customFormat="1" ht="12.75" x14ac:dyDescent="0.2">
      <c r="R798" s="1288"/>
    </row>
    <row r="799" spans="18:18" s="2" customFormat="1" ht="12.75" x14ac:dyDescent="0.2">
      <c r="R799" s="1288"/>
    </row>
    <row r="800" spans="18:18" s="2" customFormat="1" ht="12.75" x14ac:dyDescent="0.2">
      <c r="R800" s="1288"/>
    </row>
    <row r="801" spans="18:18" s="2" customFormat="1" ht="12.75" x14ac:dyDescent="0.2">
      <c r="R801" s="1288"/>
    </row>
    <row r="802" spans="18:18" s="2" customFormat="1" ht="12.75" x14ac:dyDescent="0.2">
      <c r="R802" s="1288"/>
    </row>
    <row r="803" spans="18:18" s="2" customFormat="1" ht="12.75" x14ac:dyDescent="0.2">
      <c r="R803" s="1288"/>
    </row>
    <row r="804" spans="18:18" s="2" customFormat="1" ht="12.75" x14ac:dyDescent="0.2">
      <c r="R804" s="1288"/>
    </row>
    <row r="805" spans="18:18" s="2" customFormat="1" ht="12.75" x14ac:dyDescent="0.2">
      <c r="R805" s="1288"/>
    </row>
    <row r="806" spans="18:18" s="2" customFormat="1" ht="12.75" x14ac:dyDescent="0.2">
      <c r="R806" s="1288"/>
    </row>
    <row r="807" spans="18:18" s="2" customFormat="1" ht="12.75" x14ac:dyDescent="0.2">
      <c r="R807" s="1288"/>
    </row>
    <row r="808" spans="18:18" s="2" customFormat="1" ht="12.75" x14ac:dyDescent="0.2">
      <c r="R808" s="1288"/>
    </row>
    <row r="809" spans="18:18" s="2" customFormat="1" ht="12.75" x14ac:dyDescent="0.2">
      <c r="R809" s="1288"/>
    </row>
    <row r="810" spans="18:18" s="2" customFormat="1" ht="12.75" x14ac:dyDescent="0.2">
      <c r="R810" s="1288"/>
    </row>
    <row r="811" spans="18:18" s="2" customFormat="1" ht="12.75" x14ac:dyDescent="0.2">
      <c r="R811" s="1288"/>
    </row>
    <row r="812" spans="18:18" s="2" customFormat="1" ht="12.75" x14ac:dyDescent="0.2">
      <c r="R812" s="1288"/>
    </row>
    <row r="813" spans="18:18" s="2" customFormat="1" ht="12.75" x14ac:dyDescent="0.2">
      <c r="R813" s="1288"/>
    </row>
    <row r="814" spans="18:18" s="2" customFormat="1" ht="12.75" x14ac:dyDescent="0.2">
      <c r="R814" s="1288"/>
    </row>
    <row r="815" spans="18:18" s="2" customFormat="1" ht="12.75" x14ac:dyDescent="0.2">
      <c r="R815" s="1288"/>
    </row>
    <row r="816" spans="18:18" s="2" customFormat="1" ht="12.75" x14ac:dyDescent="0.2">
      <c r="R816" s="1288"/>
    </row>
    <row r="817" spans="18:18" s="2" customFormat="1" ht="12.75" x14ac:dyDescent="0.2">
      <c r="R817" s="1288"/>
    </row>
    <row r="818" spans="18:18" s="2" customFormat="1" ht="12.75" x14ac:dyDescent="0.2">
      <c r="R818" s="1288"/>
    </row>
    <row r="819" spans="18:18" s="2" customFormat="1" ht="12.75" x14ac:dyDescent="0.2">
      <c r="R819" s="1288"/>
    </row>
    <row r="820" spans="18:18" s="2" customFormat="1" ht="12.75" x14ac:dyDescent="0.2">
      <c r="R820" s="1288"/>
    </row>
    <row r="821" spans="18:18" s="2" customFormat="1" ht="12.75" x14ac:dyDescent="0.2">
      <c r="R821" s="1288"/>
    </row>
    <row r="822" spans="18:18" s="2" customFormat="1" ht="12.75" x14ac:dyDescent="0.2">
      <c r="R822" s="1288"/>
    </row>
    <row r="823" spans="18:18" s="2" customFormat="1" ht="12.75" x14ac:dyDescent="0.2">
      <c r="R823" s="1288"/>
    </row>
    <row r="824" spans="18:18" s="2" customFormat="1" ht="12.75" x14ac:dyDescent="0.2">
      <c r="R824" s="1288"/>
    </row>
    <row r="825" spans="18:18" s="2" customFormat="1" ht="12.75" x14ac:dyDescent="0.2">
      <c r="R825" s="1288"/>
    </row>
    <row r="826" spans="18:18" s="2" customFormat="1" ht="12.75" x14ac:dyDescent="0.2">
      <c r="R826" s="1288"/>
    </row>
    <row r="827" spans="18:18" s="2" customFormat="1" ht="12.75" x14ac:dyDescent="0.2">
      <c r="R827" s="1288"/>
    </row>
    <row r="828" spans="18:18" s="2" customFormat="1" ht="12.75" x14ac:dyDescent="0.2">
      <c r="R828" s="1288"/>
    </row>
    <row r="829" spans="18:18" s="2" customFormat="1" ht="12.75" x14ac:dyDescent="0.2">
      <c r="R829" s="1288"/>
    </row>
    <row r="830" spans="18:18" s="2" customFormat="1" ht="12.75" x14ac:dyDescent="0.2">
      <c r="R830" s="1288"/>
    </row>
    <row r="831" spans="18:18" s="2" customFormat="1" ht="12.75" x14ac:dyDescent="0.2">
      <c r="R831" s="1288"/>
    </row>
    <row r="832" spans="18:18" s="2" customFormat="1" ht="12.75" x14ac:dyDescent="0.2">
      <c r="R832" s="1288"/>
    </row>
    <row r="833" spans="18:18" s="2" customFormat="1" ht="12.75" x14ac:dyDescent="0.2">
      <c r="R833" s="1288"/>
    </row>
    <row r="834" spans="18:18" s="2" customFormat="1" ht="12.75" x14ac:dyDescent="0.2">
      <c r="R834" s="1288"/>
    </row>
    <row r="835" spans="18:18" s="2" customFormat="1" ht="12.75" x14ac:dyDescent="0.2">
      <c r="R835" s="1288"/>
    </row>
    <row r="836" spans="18:18" s="2" customFormat="1" ht="12.75" x14ac:dyDescent="0.2">
      <c r="R836" s="1288"/>
    </row>
    <row r="837" spans="18:18" s="2" customFormat="1" ht="12.75" x14ac:dyDescent="0.2">
      <c r="R837" s="1288"/>
    </row>
    <row r="838" spans="18:18" s="2" customFormat="1" ht="12.75" x14ac:dyDescent="0.2">
      <c r="R838" s="1288"/>
    </row>
    <row r="839" spans="18:18" s="2" customFormat="1" ht="12.75" x14ac:dyDescent="0.2">
      <c r="R839" s="1288"/>
    </row>
    <row r="840" spans="18:18" s="2" customFormat="1" ht="12.75" x14ac:dyDescent="0.2">
      <c r="R840" s="1288"/>
    </row>
    <row r="841" spans="18:18" s="2" customFormat="1" ht="12.75" x14ac:dyDescent="0.2">
      <c r="R841" s="1288"/>
    </row>
    <row r="842" spans="18:18" s="2" customFormat="1" ht="12.75" x14ac:dyDescent="0.2">
      <c r="R842" s="1288"/>
    </row>
    <row r="843" spans="18:18" s="2" customFormat="1" ht="12.75" x14ac:dyDescent="0.2">
      <c r="R843" s="1288"/>
    </row>
    <row r="844" spans="18:18" s="2" customFormat="1" ht="12.75" x14ac:dyDescent="0.2">
      <c r="R844" s="1288"/>
    </row>
    <row r="845" spans="18:18" s="2" customFormat="1" ht="12.75" x14ac:dyDescent="0.2">
      <c r="R845" s="1288"/>
    </row>
    <row r="846" spans="18:18" s="2" customFormat="1" ht="12.75" x14ac:dyDescent="0.2">
      <c r="R846" s="1288"/>
    </row>
    <row r="847" spans="18:18" s="2" customFormat="1" ht="12.75" x14ac:dyDescent="0.2">
      <c r="R847" s="1288"/>
    </row>
    <row r="848" spans="18:18" s="2" customFormat="1" ht="12.75" x14ac:dyDescent="0.2">
      <c r="R848" s="1288"/>
    </row>
    <row r="849" spans="18:18" s="2" customFormat="1" ht="12.75" x14ac:dyDescent="0.2">
      <c r="R849" s="1288"/>
    </row>
    <row r="850" spans="18:18" s="2" customFormat="1" ht="12.75" x14ac:dyDescent="0.2">
      <c r="R850" s="1288"/>
    </row>
    <row r="851" spans="18:18" s="2" customFormat="1" ht="12.75" x14ac:dyDescent="0.2">
      <c r="R851" s="1288"/>
    </row>
    <row r="852" spans="18:18" s="2" customFormat="1" ht="12.75" x14ac:dyDescent="0.2">
      <c r="R852" s="1288"/>
    </row>
    <row r="853" spans="18:18" s="2" customFormat="1" ht="12.75" x14ac:dyDescent="0.2">
      <c r="R853" s="1288"/>
    </row>
    <row r="854" spans="18:18" s="2" customFormat="1" ht="12.75" x14ac:dyDescent="0.2">
      <c r="R854" s="1288"/>
    </row>
    <row r="855" spans="18:18" s="2" customFormat="1" ht="12.75" x14ac:dyDescent="0.2">
      <c r="R855" s="1288"/>
    </row>
    <row r="856" spans="18:18" s="2" customFormat="1" ht="12.75" x14ac:dyDescent="0.2">
      <c r="R856" s="1288"/>
    </row>
    <row r="857" spans="18:18" s="2" customFormat="1" ht="12.75" x14ac:dyDescent="0.2">
      <c r="R857" s="1288"/>
    </row>
    <row r="858" spans="18:18" s="2" customFormat="1" ht="12.75" x14ac:dyDescent="0.2">
      <c r="R858" s="1288"/>
    </row>
    <row r="859" spans="18:18" s="2" customFormat="1" ht="12.75" x14ac:dyDescent="0.2">
      <c r="R859" s="1288"/>
    </row>
    <row r="860" spans="18:18" s="2" customFormat="1" ht="12.75" x14ac:dyDescent="0.2">
      <c r="R860" s="1288"/>
    </row>
    <row r="861" spans="18:18" s="2" customFormat="1" ht="12.75" x14ac:dyDescent="0.2">
      <c r="R861" s="1288"/>
    </row>
    <row r="862" spans="18:18" s="2" customFormat="1" ht="12.75" x14ac:dyDescent="0.2">
      <c r="R862" s="1288"/>
    </row>
    <row r="863" spans="18:18" s="2" customFormat="1" ht="12.75" x14ac:dyDescent="0.2">
      <c r="R863" s="1288"/>
    </row>
    <row r="864" spans="18:18" s="2" customFormat="1" ht="12.75" x14ac:dyDescent="0.2">
      <c r="R864" s="1288"/>
    </row>
    <row r="865" spans="18:18" s="2" customFormat="1" ht="12.75" x14ac:dyDescent="0.2">
      <c r="R865" s="1288"/>
    </row>
    <row r="866" spans="18:18" s="2" customFormat="1" ht="12.75" x14ac:dyDescent="0.2">
      <c r="R866" s="1288"/>
    </row>
    <row r="867" spans="18:18" s="2" customFormat="1" ht="12.75" x14ac:dyDescent="0.2">
      <c r="R867" s="1288"/>
    </row>
    <row r="868" spans="18:18" s="2" customFormat="1" ht="12.75" x14ac:dyDescent="0.2">
      <c r="R868" s="1288"/>
    </row>
    <row r="869" spans="18:18" s="2" customFormat="1" ht="12.75" x14ac:dyDescent="0.2">
      <c r="R869" s="1288"/>
    </row>
    <row r="870" spans="18:18" s="2" customFormat="1" ht="12.75" x14ac:dyDescent="0.2">
      <c r="R870" s="1288"/>
    </row>
    <row r="871" spans="18:18" s="2" customFormat="1" ht="12.75" x14ac:dyDescent="0.2">
      <c r="R871" s="1288"/>
    </row>
    <row r="872" spans="18:18" s="2" customFormat="1" ht="12.75" x14ac:dyDescent="0.2">
      <c r="R872" s="1288"/>
    </row>
    <row r="873" spans="18:18" s="2" customFormat="1" ht="12.75" x14ac:dyDescent="0.2">
      <c r="R873" s="1288"/>
    </row>
    <row r="874" spans="18:18" s="2" customFormat="1" ht="12.75" x14ac:dyDescent="0.2">
      <c r="R874" s="1288"/>
    </row>
    <row r="875" spans="18:18" s="2" customFormat="1" ht="12.75" x14ac:dyDescent="0.2">
      <c r="R875" s="1288"/>
    </row>
    <row r="876" spans="18:18" s="2" customFormat="1" ht="12.75" x14ac:dyDescent="0.2">
      <c r="R876" s="1288"/>
    </row>
    <row r="877" spans="18:18" s="2" customFormat="1" ht="12.75" x14ac:dyDescent="0.2">
      <c r="R877" s="1288"/>
    </row>
    <row r="878" spans="18:18" s="2" customFormat="1" ht="12.75" x14ac:dyDescent="0.2">
      <c r="R878" s="1288"/>
    </row>
    <row r="879" spans="18:18" s="2" customFormat="1" ht="12.75" x14ac:dyDescent="0.2">
      <c r="R879" s="1288"/>
    </row>
    <row r="880" spans="18:18" s="2" customFormat="1" ht="12.75" x14ac:dyDescent="0.2">
      <c r="R880" s="1288"/>
    </row>
    <row r="881" spans="18:18" s="2" customFormat="1" ht="12.75" x14ac:dyDescent="0.2">
      <c r="R881" s="1288"/>
    </row>
    <row r="882" spans="18:18" s="2" customFormat="1" ht="12.75" x14ac:dyDescent="0.2">
      <c r="R882" s="1288"/>
    </row>
    <row r="883" spans="18:18" s="2" customFormat="1" ht="12.75" x14ac:dyDescent="0.2">
      <c r="R883" s="1288"/>
    </row>
    <row r="884" spans="18:18" s="2" customFormat="1" ht="12.75" x14ac:dyDescent="0.2">
      <c r="R884" s="1288"/>
    </row>
    <row r="885" spans="18:18" s="2" customFormat="1" ht="12.75" x14ac:dyDescent="0.2">
      <c r="R885" s="1288"/>
    </row>
    <row r="886" spans="18:18" s="2" customFormat="1" ht="12.75" x14ac:dyDescent="0.2">
      <c r="R886" s="1288"/>
    </row>
    <row r="887" spans="18:18" s="2" customFormat="1" ht="12.75" x14ac:dyDescent="0.2">
      <c r="R887" s="1288"/>
    </row>
    <row r="888" spans="18:18" s="2" customFormat="1" ht="12.75" x14ac:dyDescent="0.2">
      <c r="R888" s="1288"/>
    </row>
    <row r="889" spans="18:18" s="2" customFormat="1" ht="12.75" x14ac:dyDescent="0.2">
      <c r="R889" s="1288"/>
    </row>
    <row r="890" spans="18:18" s="2" customFormat="1" ht="12.75" x14ac:dyDescent="0.2">
      <c r="R890" s="1288"/>
    </row>
    <row r="891" spans="18:18" s="2" customFormat="1" ht="12.75" x14ac:dyDescent="0.2">
      <c r="R891" s="1288"/>
    </row>
    <row r="892" spans="18:18" s="2" customFormat="1" ht="12.75" x14ac:dyDescent="0.2">
      <c r="R892" s="1288"/>
    </row>
    <row r="893" spans="18:18" s="2" customFormat="1" ht="12.75" x14ac:dyDescent="0.2">
      <c r="R893" s="1288"/>
    </row>
    <row r="894" spans="18:18" s="2" customFormat="1" ht="12.75" x14ac:dyDescent="0.2">
      <c r="R894" s="1288"/>
    </row>
    <row r="895" spans="18:18" s="2" customFormat="1" ht="12.75" x14ac:dyDescent="0.2">
      <c r="R895" s="1288"/>
    </row>
    <row r="896" spans="18:18" s="2" customFormat="1" ht="12.75" x14ac:dyDescent="0.2">
      <c r="R896" s="1288"/>
    </row>
    <row r="897" spans="18:18" s="2" customFormat="1" ht="12.75" x14ac:dyDescent="0.2">
      <c r="R897" s="1288"/>
    </row>
    <row r="898" spans="18:18" s="2" customFormat="1" ht="12.75" x14ac:dyDescent="0.2">
      <c r="R898" s="1288"/>
    </row>
    <row r="899" spans="18:18" s="2" customFormat="1" ht="12.75" x14ac:dyDescent="0.2">
      <c r="R899" s="1288"/>
    </row>
    <row r="900" spans="18:18" s="2" customFormat="1" ht="12.75" x14ac:dyDescent="0.2">
      <c r="R900" s="1288"/>
    </row>
    <row r="901" spans="18:18" s="2" customFormat="1" ht="12.75" x14ac:dyDescent="0.2">
      <c r="R901" s="1288"/>
    </row>
    <row r="902" spans="18:18" s="2" customFormat="1" ht="12.75" x14ac:dyDescent="0.2">
      <c r="R902" s="1288"/>
    </row>
    <row r="903" spans="18:18" s="2" customFormat="1" ht="12.75" x14ac:dyDescent="0.2">
      <c r="R903" s="1288"/>
    </row>
    <row r="904" spans="18:18" s="2" customFormat="1" ht="12.75" x14ac:dyDescent="0.2">
      <c r="R904" s="1288"/>
    </row>
    <row r="905" spans="18:18" s="2" customFormat="1" ht="12.75" x14ac:dyDescent="0.2">
      <c r="R905" s="1288"/>
    </row>
    <row r="906" spans="18:18" s="2" customFormat="1" ht="12.75" x14ac:dyDescent="0.2">
      <c r="R906" s="1288"/>
    </row>
    <row r="907" spans="18:18" s="2" customFormat="1" ht="12.75" x14ac:dyDescent="0.2">
      <c r="R907" s="1288"/>
    </row>
    <row r="908" spans="18:18" s="2" customFormat="1" ht="12.75" x14ac:dyDescent="0.2">
      <c r="R908" s="1288"/>
    </row>
    <row r="909" spans="18:18" s="2" customFormat="1" ht="12.75" x14ac:dyDescent="0.2">
      <c r="R909" s="1288"/>
    </row>
    <row r="910" spans="18:18" s="2" customFormat="1" ht="12.75" x14ac:dyDescent="0.2">
      <c r="R910" s="1288"/>
    </row>
    <row r="911" spans="18:18" s="2" customFormat="1" ht="12.75" x14ac:dyDescent="0.2">
      <c r="R911" s="1288"/>
    </row>
    <row r="912" spans="18:18" s="2" customFormat="1" ht="12.75" x14ac:dyDescent="0.2">
      <c r="R912" s="1288"/>
    </row>
    <row r="913" spans="18:18" s="2" customFormat="1" ht="12.75" x14ac:dyDescent="0.2">
      <c r="R913" s="1288"/>
    </row>
    <row r="914" spans="18:18" s="2" customFormat="1" ht="12.75" x14ac:dyDescent="0.2">
      <c r="R914" s="1288"/>
    </row>
    <row r="915" spans="18:18" s="2" customFormat="1" ht="12.75" x14ac:dyDescent="0.2">
      <c r="R915" s="1288"/>
    </row>
    <row r="916" spans="18:18" s="2" customFormat="1" ht="12.75" x14ac:dyDescent="0.2">
      <c r="R916" s="1288"/>
    </row>
    <row r="917" spans="18:18" s="2" customFormat="1" ht="12.75" x14ac:dyDescent="0.2">
      <c r="R917" s="1288"/>
    </row>
    <row r="918" spans="18:18" s="2" customFormat="1" ht="12.75" x14ac:dyDescent="0.2">
      <c r="R918" s="1288"/>
    </row>
    <row r="919" spans="18:18" s="2" customFormat="1" ht="12.75" x14ac:dyDescent="0.2">
      <c r="R919" s="1288"/>
    </row>
    <row r="920" spans="18:18" s="2" customFormat="1" ht="12.75" x14ac:dyDescent="0.2">
      <c r="R920" s="1288"/>
    </row>
    <row r="921" spans="18:18" s="2" customFormat="1" ht="12.75" x14ac:dyDescent="0.2">
      <c r="R921" s="1288"/>
    </row>
    <row r="922" spans="18:18" s="2" customFormat="1" ht="12.75" x14ac:dyDescent="0.2">
      <c r="R922" s="1288"/>
    </row>
    <row r="923" spans="18:18" s="2" customFormat="1" ht="12.75" x14ac:dyDescent="0.2">
      <c r="R923" s="1288"/>
    </row>
    <row r="924" spans="18:18" s="2" customFormat="1" ht="12.75" x14ac:dyDescent="0.2">
      <c r="R924" s="1288"/>
    </row>
    <row r="925" spans="18:18" s="2" customFormat="1" ht="12.75" x14ac:dyDescent="0.2">
      <c r="R925" s="1288"/>
    </row>
    <row r="926" spans="18:18" s="2" customFormat="1" ht="12.75" x14ac:dyDescent="0.2">
      <c r="R926" s="1288"/>
    </row>
    <row r="927" spans="18:18" s="2" customFormat="1" ht="12.75" x14ac:dyDescent="0.2">
      <c r="R927" s="1288"/>
    </row>
    <row r="928" spans="18:18" s="2" customFormat="1" ht="12.75" x14ac:dyDescent="0.2">
      <c r="R928" s="1288"/>
    </row>
    <row r="929" spans="18:18" s="2" customFormat="1" ht="12.75" x14ac:dyDescent="0.2">
      <c r="R929" s="1288"/>
    </row>
    <row r="930" spans="18:18" s="2" customFormat="1" ht="12.75" x14ac:dyDescent="0.2">
      <c r="R930" s="1288"/>
    </row>
    <row r="931" spans="18:18" s="2" customFormat="1" ht="12.75" x14ac:dyDescent="0.2">
      <c r="R931" s="1288"/>
    </row>
    <row r="932" spans="18:18" s="2" customFormat="1" ht="12.75" x14ac:dyDescent="0.2">
      <c r="R932" s="1288"/>
    </row>
    <row r="933" spans="18:18" s="2" customFormat="1" ht="12.75" x14ac:dyDescent="0.2">
      <c r="R933" s="1288"/>
    </row>
    <row r="934" spans="18:18" s="2" customFormat="1" ht="12.75" x14ac:dyDescent="0.2">
      <c r="R934" s="1288"/>
    </row>
    <row r="935" spans="18:18" s="2" customFormat="1" ht="12.75" x14ac:dyDescent="0.2">
      <c r="R935" s="1288"/>
    </row>
    <row r="936" spans="18:18" s="2" customFormat="1" ht="12.75" x14ac:dyDescent="0.2">
      <c r="R936" s="1288"/>
    </row>
    <row r="937" spans="18:18" s="2" customFormat="1" ht="12.75" x14ac:dyDescent="0.2">
      <c r="R937" s="1288"/>
    </row>
    <row r="938" spans="18:18" s="2" customFormat="1" ht="12.75" x14ac:dyDescent="0.2">
      <c r="R938" s="1288"/>
    </row>
    <row r="939" spans="18:18" s="2" customFormat="1" ht="12.75" x14ac:dyDescent="0.2">
      <c r="R939" s="1288"/>
    </row>
    <row r="940" spans="18:18" s="2" customFormat="1" ht="12.75" x14ac:dyDescent="0.2">
      <c r="R940" s="1288"/>
    </row>
    <row r="941" spans="18:18" s="2" customFormat="1" ht="12.75" x14ac:dyDescent="0.2">
      <c r="R941" s="1288"/>
    </row>
    <row r="942" spans="18:18" s="2" customFormat="1" ht="12.75" x14ac:dyDescent="0.2">
      <c r="R942" s="1288"/>
    </row>
    <row r="943" spans="18:18" s="2" customFormat="1" ht="12.75" x14ac:dyDescent="0.2">
      <c r="R943" s="1288"/>
    </row>
    <row r="944" spans="18:18" s="2" customFormat="1" ht="12.75" x14ac:dyDescent="0.2">
      <c r="R944" s="1288"/>
    </row>
    <row r="945" spans="18:18" s="2" customFormat="1" ht="12.75" x14ac:dyDescent="0.2">
      <c r="R945" s="1288"/>
    </row>
    <row r="946" spans="18:18" s="2" customFormat="1" ht="12.75" x14ac:dyDescent="0.2">
      <c r="R946" s="1288"/>
    </row>
    <row r="947" spans="18:18" s="2" customFormat="1" ht="12.75" x14ac:dyDescent="0.2">
      <c r="R947" s="1288"/>
    </row>
    <row r="948" spans="18:18" s="2" customFormat="1" ht="12.75" x14ac:dyDescent="0.2">
      <c r="R948" s="1288"/>
    </row>
    <row r="949" spans="18:18" s="2" customFormat="1" ht="12.75" x14ac:dyDescent="0.2">
      <c r="R949" s="1288"/>
    </row>
    <row r="950" spans="18:18" s="2" customFormat="1" ht="12.75" x14ac:dyDescent="0.2">
      <c r="R950" s="1288"/>
    </row>
    <row r="951" spans="18:18" s="2" customFormat="1" ht="12.75" x14ac:dyDescent="0.2">
      <c r="R951" s="1288"/>
    </row>
    <row r="952" spans="18:18" s="2" customFormat="1" ht="12.75" x14ac:dyDescent="0.2">
      <c r="R952" s="1288"/>
    </row>
    <row r="953" spans="18:18" s="2" customFormat="1" ht="12.75" x14ac:dyDescent="0.2">
      <c r="R953" s="1288"/>
    </row>
    <row r="954" spans="18:18" s="2" customFormat="1" ht="12.75" x14ac:dyDescent="0.2">
      <c r="R954" s="1288"/>
    </row>
    <row r="955" spans="18:18" s="2" customFormat="1" ht="12.75" x14ac:dyDescent="0.2">
      <c r="R955" s="1288"/>
    </row>
    <row r="956" spans="18:18" s="2" customFormat="1" ht="12.75" x14ac:dyDescent="0.2">
      <c r="R956" s="1288"/>
    </row>
    <row r="957" spans="18:18" s="2" customFormat="1" ht="12.75" x14ac:dyDescent="0.2">
      <c r="R957" s="1288"/>
    </row>
    <row r="958" spans="18:18" s="2" customFormat="1" ht="12.75" x14ac:dyDescent="0.2">
      <c r="R958" s="1288"/>
    </row>
    <row r="959" spans="18:18" s="2" customFormat="1" ht="12.75" x14ac:dyDescent="0.2">
      <c r="R959" s="1288"/>
    </row>
    <row r="960" spans="18:18" s="2" customFormat="1" ht="12.75" x14ac:dyDescent="0.2">
      <c r="R960" s="1288"/>
    </row>
    <row r="961" spans="18:18" s="2" customFormat="1" ht="12.75" x14ac:dyDescent="0.2">
      <c r="R961" s="1288"/>
    </row>
    <row r="962" spans="18:18" s="2" customFormat="1" ht="12.75" x14ac:dyDescent="0.2">
      <c r="R962" s="1288"/>
    </row>
    <row r="963" spans="18:18" s="2" customFormat="1" ht="12.75" x14ac:dyDescent="0.2">
      <c r="R963" s="1288"/>
    </row>
    <row r="964" spans="18:18" s="2" customFormat="1" ht="12.75" x14ac:dyDescent="0.2">
      <c r="R964" s="1288"/>
    </row>
    <row r="965" spans="18:18" s="2" customFormat="1" ht="12.75" x14ac:dyDescent="0.2">
      <c r="R965" s="1288"/>
    </row>
    <row r="966" spans="18:18" s="2" customFormat="1" ht="12.75" x14ac:dyDescent="0.2">
      <c r="R966" s="1288"/>
    </row>
    <row r="967" spans="18:18" s="2" customFormat="1" ht="12.75" x14ac:dyDescent="0.2">
      <c r="R967" s="1288"/>
    </row>
    <row r="968" spans="18:18" s="2" customFormat="1" ht="12.75" x14ac:dyDescent="0.2">
      <c r="R968" s="1288"/>
    </row>
    <row r="969" spans="18:18" s="2" customFormat="1" ht="12.75" x14ac:dyDescent="0.2">
      <c r="R969" s="1288"/>
    </row>
    <row r="970" spans="18:18" s="2" customFormat="1" ht="12.75" x14ac:dyDescent="0.2">
      <c r="R970" s="1288"/>
    </row>
    <row r="971" spans="18:18" s="2" customFormat="1" ht="12.75" x14ac:dyDescent="0.2">
      <c r="R971" s="1288"/>
    </row>
    <row r="972" spans="18:18" s="2" customFormat="1" ht="12.75" x14ac:dyDescent="0.2">
      <c r="R972" s="1288"/>
    </row>
    <row r="973" spans="18:18" s="2" customFormat="1" ht="12.75" x14ac:dyDescent="0.2">
      <c r="R973" s="1288"/>
    </row>
    <row r="974" spans="18:18" s="2" customFormat="1" ht="12.75" x14ac:dyDescent="0.2">
      <c r="R974" s="1288"/>
    </row>
    <row r="975" spans="18:18" s="2" customFormat="1" ht="12.75" x14ac:dyDescent="0.2">
      <c r="R975" s="1288"/>
    </row>
    <row r="976" spans="18:18" s="2" customFormat="1" ht="12.75" x14ac:dyDescent="0.2">
      <c r="R976" s="1288"/>
    </row>
    <row r="977" spans="18:18" s="2" customFormat="1" ht="12.75" x14ac:dyDescent="0.2">
      <c r="R977" s="1288"/>
    </row>
    <row r="978" spans="18:18" s="2" customFormat="1" ht="12.75" x14ac:dyDescent="0.2">
      <c r="R978" s="1288"/>
    </row>
    <row r="979" spans="18:18" s="2" customFormat="1" ht="12.75" x14ac:dyDescent="0.2">
      <c r="R979" s="1288"/>
    </row>
    <row r="980" spans="18:18" s="2" customFormat="1" ht="12.75" x14ac:dyDescent="0.2">
      <c r="R980" s="1288"/>
    </row>
    <row r="981" spans="18:18" s="2" customFormat="1" ht="12.75" x14ac:dyDescent="0.2">
      <c r="R981" s="1288"/>
    </row>
    <row r="982" spans="18:18" s="2" customFormat="1" ht="12.75" x14ac:dyDescent="0.2">
      <c r="R982" s="1288"/>
    </row>
    <row r="983" spans="18:18" s="2" customFormat="1" ht="12.75" x14ac:dyDescent="0.2">
      <c r="R983" s="1288"/>
    </row>
    <row r="984" spans="18:18" s="2" customFormat="1" ht="12.75" x14ac:dyDescent="0.2">
      <c r="R984" s="1288"/>
    </row>
    <row r="985" spans="18:18" s="2" customFormat="1" ht="12.75" x14ac:dyDescent="0.2">
      <c r="R985" s="1288"/>
    </row>
    <row r="986" spans="18:18" s="2" customFormat="1" ht="12.75" x14ac:dyDescent="0.2">
      <c r="R986" s="1288"/>
    </row>
    <row r="987" spans="18:18" s="2" customFormat="1" ht="12.75" x14ac:dyDescent="0.2">
      <c r="R987" s="1288"/>
    </row>
    <row r="988" spans="18:18" s="2" customFormat="1" ht="12.75" x14ac:dyDescent="0.2">
      <c r="R988" s="1288"/>
    </row>
    <row r="989" spans="18:18" s="2" customFormat="1" ht="12.75" x14ac:dyDescent="0.2">
      <c r="R989" s="1288"/>
    </row>
    <row r="990" spans="18:18" s="2" customFormat="1" ht="12.75" x14ac:dyDescent="0.2">
      <c r="R990" s="1288"/>
    </row>
    <row r="991" spans="18:18" s="2" customFormat="1" ht="12.75" x14ac:dyDescent="0.2">
      <c r="R991" s="1288"/>
    </row>
    <row r="992" spans="18:18" s="2" customFormat="1" ht="12.75" x14ac:dyDescent="0.2">
      <c r="R992" s="1288"/>
    </row>
    <row r="993" spans="18:18" s="2" customFormat="1" ht="12.75" x14ac:dyDescent="0.2">
      <c r="R993" s="1288"/>
    </row>
    <row r="994" spans="18:18" s="2" customFormat="1" ht="12.75" x14ac:dyDescent="0.2">
      <c r="R994" s="1288"/>
    </row>
    <row r="995" spans="18:18" s="2" customFormat="1" ht="12.75" x14ac:dyDescent="0.2">
      <c r="R995" s="1288"/>
    </row>
    <row r="996" spans="18:18" s="2" customFormat="1" ht="12.75" x14ac:dyDescent="0.2">
      <c r="R996" s="1288"/>
    </row>
    <row r="997" spans="18:18" s="2" customFormat="1" ht="12.75" x14ac:dyDescent="0.2">
      <c r="R997" s="1288"/>
    </row>
    <row r="998" spans="18:18" s="2" customFormat="1" ht="12.75" x14ac:dyDescent="0.2">
      <c r="R998" s="1288"/>
    </row>
    <row r="999" spans="18:18" s="2" customFormat="1" ht="12.75" x14ac:dyDescent="0.2">
      <c r="R999" s="1288"/>
    </row>
    <row r="1000" spans="18:18" s="2" customFormat="1" ht="12.75" x14ac:dyDescent="0.2">
      <c r="R1000" s="1288"/>
    </row>
    <row r="1001" spans="18:18" s="2" customFormat="1" ht="12.75" x14ac:dyDescent="0.2">
      <c r="R1001" s="1288"/>
    </row>
    <row r="1002" spans="18:18" s="2" customFormat="1" ht="12.75" x14ac:dyDescent="0.2">
      <c r="R1002" s="1288"/>
    </row>
    <row r="1003" spans="18:18" s="2" customFormat="1" ht="12.75" x14ac:dyDescent="0.2">
      <c r="R1003" s="1288"/>
    </row>
    <row r="1004" spans="18:18" s="2" customFormat="1" ht="12.75" x14ac:dyDescent="0.2">
      <c r="R1004" s="1288"/>
    </row>
    <row r="1005" spans="18:18" s="2" customFormat="1" ht="12.75" x14ac:dyDescent="0.2">
      <c r="R1005" s="1288"/>
    </row>
    <row r="1006" spans="18:18" s="2" customFormat="1" ht="12.75" x14ac:dyDescent="0.2">
      <c r="R1006" s="1288"/>
    </row>
    <row r="1007" spans="18:18" s="2" customFormat="1" ht="12.75" x14ac:dyDescent="0.2">
      <c r="R1007" s="1288"/>
    </row>
    <row r="1008" spans="18:18" s="2" customFormat="1" ht="12.75" x14ac:dyDescent="0.2">
      <c r="R1008" s="1288"/>
    </row>
    <row r="1009" spans="18:18" s="2" customFormat="1" ht="12.75" x14ac:dyDescent="0.2">
      <c r="R1009" s="1288"/>
    </row>
    <row r="1010" spans="18:18" s="2" customFormat="1" ht="12.75" x14ac:dyDescent="0.2">
      <c r="R1010" s="1288"/>
    </row>
    <row r="1011" spans="18:18" s="2" customFormat="1" ht="12.75" x14ac:dyDescent="0.2">
      <c r="R1011" s="1288"/>
    </row>
    <row r="1012" spans="18:18" s="2" customFormat="1" ht="12.75" x14ac:dyDescent="0.2">
      <c r="R1012" s="1288"/>
    </row>
    <row r="1013" spans="18:18" s="2" customFormat="1" ht="12.75" x14ac:dyDescent="0.2">
      <c r="R1013" s="1288"/>
    </row>
    <row r="1014" spans="18:18" s="2" customFormat="1" ht="12.75" x14ac:dyDescent="0.2">
      <c r="R1014" s="1288"/>
    </row>
    <row r="1015" spans="18:18" s="2" customFormat="1" ht="12.75" x14ac:dyDescent="0.2">
      <c r="R1015" s="1288"/>
    </row>
    <row r="1016" spans="18:18" s="2" customFormat="1" ht="12.75" x14ac:dyDescent="0.2">
      <c r="R1016" s="1288"/>
    </row>
    <row r="1017" spans="18:18" s="2" customFormat="1" ht="12.75" x14ac:dyDescent="0.2">
      <c r="R1017" s="1288"/>
    </row>
    <row r="1018" spans="18:18" s="2" customFormat="1" ht="12.75" x14ac:dyDescent="0.2">
      <c r="R1018" s="1288"/>
    </row>
    <row r="1019" spans="18:18" s="2" customFormat="1" ht="12.75" x14ac:dyDescent="0.2">
      <c r="R1019" s="1288"/>
    </row>
    <row r="1020" spans="18:18" s="2" customFormat="1" ht="12.75" x14ac:dyDescent="0.2">
      <c r="R1020" s="1288"/>
    </row>
    <row r="1021" spans="18:18" s="2" customFormat="1" ht="12.75" x14ac:dyDescent="0.2">
      <c r="R1021" s="1288"/>
    </row>
    <row r="1022" spans="18:18" s="2" customFormat="1" ht="12.75" x14ac:dyDescent="0.2">
      <c r="R1022" s="1288"/>
    </row>
    <row r="1023" spans="18:18" s="2" customFormat="1" ht="12.75" x14ac:dyDescent="0.2">
      <c r="R1023" s="1288"/>
    </row>
    <row r="1024" spans="18:18" s="2" customFormat="1" ht="12.75" x14ac:dyDescent="0.2">
      <c r="R1024" s="1288"/>
    </row>
    <row r="1025" spans="18:18" s="2" customFormat="1" ht="12.75" x14ac:dyDescent="0.2">
      <c r="R1025" s="1288"/>
    </row>
    <row r="1026" spans="18:18" s="2" customFormat="1" ht="12.75" x14ac:dyDescent="0.2">
      <c r="R1026" s="1288"/>
    </row>
    <row r="1027" spans="18:18" s="2" customFormat="1" ht="12.75" x14ac:dyDescent="0.2">
      <c r="R1027" s="1288"/>
    </row>
    <row r="1028" spans="18:18" s="2" customFormat="1" ht="12.75" x14ac:dyDescent="0.2">
      <c r="R1028" s="1288"/>
    </row>
    <row r="1029" spans="18:18" s="2" customFormat="1" ht="12.75" x14ac:dyDescent="0.2">
      <c r="R1029" s="1288"/>
    </row>
    <row r="1030" spans="18:18" s="2" customFormat="1" ht="12.75" x14ac:dyDescent="0.2">
      <c r="R1030" s="1288"/>
    </row>
    <row r="1031" spans="18:18" s="2" customFormat="1" ht="12.75" x14ac:dyDescent="0.2">
      <c r="R1031" s="1288"/>
    </row>
    <row r="1032" spans="18:18" s="2" customFormat="1" ht="12.75" x14ac:dyDescent="0.2">
      <c r="R1032" s="1288"/>
    </row>
    <row r="1033" spans="18:18" s="2" customFormat="1" ht="12.75" x14ac:dyDescent="0.2">
      <c r="R1033" s="1288"/>
    </row>
    <row r="1034" spans="18:18" s="2" customFormat="1" ht="12.75" x14ac:dyDescent="0.2">
      <c r="R1034" s="1288"/>
    </row>
    <row r="1035" spans="18:18" s="2" customFormat="1" ht="12.75" x14ac:dyDescent="0.2">
      <c r="R1035" s="1288"/>
    </row>
    <row r="1036" spans="18:18" s="2" customFormat="1" ht="12.75" x14ac:dyDescent="0.2">
      <c r="R1036" s="1288"/>
    </row>
    <row r="1037" spans="18:18" s="2" customFormat="1" ht="12.75" x14ac:dyDescent="0.2">
      <c r="R1037" s="1288"/>
    </row>
    <row r="1038" spans="18:18" s="2" customFormat="1" ht="12.75" x14ac:dyDescent="0.2">
      <c r="R1038" s="1288"/>
    </row>
    <row r="1039" spans="18:18" s="2" customFormat="1" ht="12.75" x14ac:dyDescent="0.2">
      <c r="R1039" s="1288"/>
    </row>
    <row r="1040" spans="18:18" s="2" customFormat="1" ht="12.75" x14ac:dyDescent="0.2">
      <c r="R1040" s="1288"/>
    </row>
    <row r="1041" spans="18:18" s="2" customFormat="1" ht="12.75" x14ac:dyDescent="0.2">
      <c r="R1041" s="1288"/>
    </row>
    <row r="1042" spans="18:18" s="2" customFormat="1" ht="12.75" x14ac:dyDescent="0.2">
      <c r="R1042" s="1288"/>
    </row>
    <row r="1043" spans="18:18" s="2" customFormat="1" ht="12.75" x14ac:dyDescent="0.2">
      <c r="R1043" s="1288"/>
    </row>
    <row r="1044" spans="18:18" s="2" customFormat="1" ht="12.75" x14ac:dyDescent="0.2">
      <c r="R1044" s="1288"/>
    </row>
    <row r="1045" spans="18:18" s="2" customFormat="1" ht="12.75" x14ac:dyDescent="0.2">
      <c r="R1045" s="1288"/>
    </row>
    <row r="1046" spans="18:18" s="2" customFormat="1" ht="12.75" x14ac:dyDescent="0.2">
      <c r="R1046" s="1288"/>
    </row>
    <row r="1047" spans="18:18" s="2" customFormat="1" ht="12.75" x14ac:dyDescent="0.2">
      <c r="R1047" s="1288"/>
    </row>
    <row r="1048" spans="18:18" s="2" customFormat="1" ht="12.75" x14ac:dyDescent="0.2">
      <c r="R1048" s="1288"/>
    </row>
    <row r="1049" spans="18:18" s="2" customFormat="1" ht="12.75" x14ac:dyDescent="0.2">
      <c r="R1049" s="1288"/>
    </row>
    <row r="1050" spans="18:18" s="2" customFormat="1" ht="12.75" x14ac:dyDescent="0.2">
      <c r="R1050" s="1288"/>
    </row>
    <row r="1051" spans="18:18" s="2" customFormat="1" ht="12.75" x14ac:dyDescent="0.2">
      <c r="R1051" s="1288"/>
    </row>
    <row r="1052" spans="18:18" s="2" customFormat="1" ht="12.75" x14ac:dyDescent="0.2">
      <c r="R1052" s="1288"/>
    </row>
    <row r="1053" spans="18:18" s="2" customFormat="1" ht="12.75" x14ac:dyDescent="0.2">
      <c r="R1053" s="1288"/>
    </row>
    <row r="1054" spans="18:18" s="2" customFormat="1" ht="12.75" x14ac:dyDescent="0.2">
      <c r="R1054" s="1288"/>
    </row>
    <row r="1055" spans="18:18" s="2" customFormat="1" ht="12.75" x14ac:dyDescent="0.2">
      <c r="R1055" s="1288"/>
    </row>
    <row r="1056" spans="18:18" s="2" customFormat="1" ht="12.75" x14ac:dyDescent="0.2">
      <c r="R1056" s="1288"/>
    </row>
    <row r="1057" spans="18:18" s="2" customFormat="1" ht="12.75" x14ac:dyDescent="0.2">
      <c r="R1057" s="1288"/>
    </row>
    <row r="1058" spans="18:18" s="2" customFormat="1" ht="12.75" x14ac:dyDescent="0.2">
      <c r="R1058" s="1288"/>
    </row>
    <row r="1059" spans="18:18" s="2" customFormat="1" ht="12.75" x14ac:dyDescent="0.2">
      <c r="R1059" s="1288"/>
    </row>
    <row r="1060" spans="18:18" s="2" customFormat="1" ht="12.75" x14ac:dyDescent="0.2">
      <c r="R1060" s="1288"/>
    </row>
    <row r="1061" spans="18:18" s="2" customFormat="1" ht="12.75" x14ac:dyDescent="0.2">
      <c r="R1061" s="1288"/>
    </row>
    <row r="1062" spans="18:18" s="2" customFormat="1" ht="12.75" x14ac:dyDescent="0.2">
      <c r="R1062" s="1288"/>
    </row>
    <row r="1063" spans="18:18" s="2" customFormat="1" ht="12.75" x14ac:dyDescent="0.2">
      <c r="R1063" s="1288"/>
    </row>
    <row r="1064" spans="18:18" s="2" customFormat="1" ht="12.75" x14ac:dyDescent="0.2">
      <c r="R1064" s="1288"/>
    </row>
    <row r="1065" spans="18:18" s="2" customFormat="1" ht="12.75" x14ac:dyDescent="0.2">
      <c r="R1065" s="1288"/>
    </row>
    <row r="1066" spans="18:18" s="2" customFormat="1" ht="12.75" x14ac:dyDescent="0.2">
      <c r="R1066" s="1288"/>
    </row>
    <row r="1067" spans="18:18" s="2" customFormat="1" ht="12.75" x14ac:dyDescent="0.2">
      <c r="R1067" s="1288"/>
    </row>
    <row r="1068" spans="18:18" s="2" customFormat="1" ht="12.75" x14ac:dyDescent="0.2">
      <c r="R1068" s="1288"/>
    </row>
    <row r="1069" spans="18:18" s="2" customFormat="1" ht="12.75" x14ac:dyDescent="0.2">
      <c r="R1069" s="1288"/>
    </row>
    <row r="1070" spans="18:18" s="2" customFormat="1" ht="12.75" x14ac:dyDescent="0.2">
      <c r="R1070" s="1288"/>
    </row>
    <row r="1071" spans="18:18" s="2" customFormat="1" ht="12.75" x14ac:dyDescent="0.2">
      <c r="R1071" s="1288"/>
    </row>
    <row r="1072" spans="18:18" s="2" customFormat="1" ht="12.75" x14ac:dyDescent="0.2">
      <c r="R1072" s="1288"/>
    </row>
    <row r="1073" spans="18:18" s="2" customFormat="1" ht="12.75" x14ac:dyDescent="0.2">
      <c r="R1073" s="1288"/>
    </row>
    <row r="1074" spans="18:18" s="2" customFormat="1" ht="12.75" x14ac:dyDescent="0.2">
      <c r="R1074" s="1288"/>
    </row>
    <row r="1075" spans="18:18" s="2" customFormat="1" ht="12.75" x14ac:dyDescent="0.2">
      <c r="R1075" s="1288"/>
    </row>
    <row r="1076" spans="18:18" s="2" customFormat="1" ht="12.75" x14ac:dyDescent="0.2">
      <c r="R1076" s="1288"/>
    </row>
    <row r="1077" spans="18:18" s="2" customFormat="1" ht="12.75" x14ac:dyDescent="0.2">
      <c r="R1077" s="1288"/>
    </row>
    <row r="1078" spans="18:18" s="2" customFormat="1" ht="12.75" x14ac:dyDescent="0.2">
      <c r="R1078" s="1288"/>
    </row>
    <row r="1079" spans="18:18" s="2" customFormat="1" ht="12.75" x14ac:dyDescent="0.2">
      <c r="R1079" s="1288"/>
    </row>
    <row r="1080" spans="18:18" s="2" customFormat="1" ht="12.75" x14ac:dyDescent="0.2">
      <c r="R1080" s="1288"/>
    </row>
    <row r="1081" spans="18:18" s="2" customFormat="1" ht="12.75" x14ac:dyDescent="0.2">
      <c r="R1081" s="1288"/>
    </row>
    <row r="1082" spans="18:18" s="2" customFormat="1" ht="12.75" x14ac:dyDescent="0.2">
      <c r="R1082" s="1288"/>
    </row>
    <row r="1083" spans="18:18" s="2" customFormat="1" ht="12.75" x14ac:dyDescent="0.2">
      <c r="R1083" s="1288"/>
    </row>
    <row r="1084" spans="18:18" s="2" customFormat="1" ht="12.75" x14ac:dyDescent="0.2">
      <c r="R1084" s="1288"/>
    </row>
    <row r="1085" spans="18:18" s="2" customFormat="1" ht="12.75" x14ac:dyDescent="0.2">
      <c r="R1085" s="1288"/>
    </row>
    <row r="1086" spans="18:18" s="2" customFormat="1" ht="12.75" x14ac:dyDescent="0.2">
      <c r="R1086" s="1288"/>
    </row>
    <row r="1087" spans="18:18" s="2" customFormat="1" ht="12.75" x14ac:dyDescent="0.2">
      <c r="R1087" s="1288"/>
    </row>
    <row r="1088" spans="18:18" s="2" customFormat="1" ht="12.75" x14ac:dyDescent="0.2">
      <c r="R1088" s="1288"/>
    </row>
    <row r="1089" spans="18:18" s="2" customFormat="1" ht="12.75" x14ac:dyDescent="0.2">
      <c r="R1089" s="1288"/>
    </row>
    <row r="1090" spans="18:18" s="2" customFormat="1" ht="12.75" x14ac:dyDescent="0.2">
      <c r="R1090" s="1288"/>
    </row>
    <row r="1091" spans="18:18" s="2" customFormat="1" ht="12.75" x14ac:dyDescent="0.2">
      <c r="R1091" s="1288"/>
    </row>
    <row r="1092" spans="18:18" s="2" customFormat="1" ht="12.75" x14ac:dyDescent="0.2">
      <c r="R1092" s="1288"/>
    </row>
    <row r="1093" spans="18:18" s="2" customFormat="1" ht="12.75" x14ac:dyDescent="0.2">
      <c r="R1093" s="1288"/>
    </row>
    <row r="1094" spans="18:18" s="2" customFormat="1" ht="12.75" x14ac:dyDescent="0.2">
      <c r="R1094" s="1288"/>
    </row>
    <row r="1095" spans="18:18" s="2" customFormat="1" ht="12.75" x14ac:dyDescent="0.2">
      <c r="R1095" s="1288"/>
    </row>
    <row r="1096" spans="18:18" s="2" customFormat="1" ht="12.75" x14ac:dyDescent="0.2">
      <c r="R1096" s="1288"/>
    </row>
    <row r="1097" spans="18:18" s="2" customFormat="1" ht="12.75" x14ac:dyDescent="0.2">
      <c r="R1097" s="1288"/>
    </row>
    <row r="1098" spans="18:18" s="2" customFormat="1" ht="12.75" x14ac:dyDescent="0.2">
      <c r="R1098" s="1288"/>
    </row>
    <row r="1099" spans="18:18" s="2" customFormat="1" ht="12.75" x14ac:dyDescent="0.2">
      <c r="R1099" s="1288"/>
    </row>
    <row r="1100" spans="18:18" s="2" customFormat="1" ht="12.75" x14ac:dyDescent="0.2">
      <c r="R1100" s="1288"/>
    </row>
    <row r="1101" spans="18:18" s="2" customFormat="1" ht="12.75" x14ac:dyDescent="0.2">
      <c r="R1101" s="1288"/>
    </row>
    <row r="1102" spans="18:18" s="2" customFormat="1" ht="12.75" x14ac:dyDescent="0.2">
      <c r="R1102" s="1288"/>
    </row>
    <row r="1103" spans="18:18" s="2" customFormat="1" ht="12.75" x14ac:dyDescent="0.2">
      <c r="R1103" s="1288"/>
    </row>
    <row r="1104" spans="18:18" s="2" customFormat="1" ht="12.75" x14ac:dyDescent="0.2">
      <c r="R1104" s="1288"/>
    </row>
    <row r="1105" spans="18:18" s="2" customFormat="1" ht="12.75" x14ac:dyDescent="0.2">
      <c r="R1105" s="1288"/>
    </row>
    <row r="1106" spans="18:18" s="2" customFormat="1" ht="12.75" x14ac:dyDescent="0.2">
      <c r="R1106" s="1288"/>
    </row>
    <row r="1107" spans="18:18" s="2" customFormat="1" ht="12.75" x14ac:dyDescent="0.2">
      <c r="R1107" s="1288"/>
    </row>
    <row r="1108" spans="18:18" s="2" customFormat="1" ht="12.75" x14ac:dyDescent="0.2">
      <c r="R1108" s="1288"/>
    </row>
    <row r="1109" spans="18:18" s="2" customFormat="1" ht="12.75" x14ac:dyDescent="0.2">
      <c r="R1109" s="1288"/>
    </row>
    <row r="1110" spans="18:18" s="2" customFormat="1" ht="12.75" x14ac:dyDescent="0.2">
      <c r="R1110" s="1288"/>
    </row>
    <row r="1111" spans="18:18" s="2" customFormat="1" ht="12.75" x14ac:dyDescent="0.2">
      <c r="R1111" s="1288"/>
    </row>
    <row r="1112" spans="18:18" s="2" customFormat="1" ht="12.75" x14ac:dyDescent="0.2">
      <c r="R1112" s="1288"/>
    </row>
    <row r="1113" spans="18:18" s="2" customFormat="1" ht="12.75" x14ac:dyDescent="0.2">
      <c r="R1113" s="1288"/>
    </row>
    <row r="1114" spans="18:18" s="2" customFormat="1" ht="12.75" x14ac:dyDescent="0.2">
      <c r="R1114" s="1288"/>
    </row>
    <row r="1115" spans="18:18" s="2" customFormat="1" ht="12.75" x14ac:dyDescent="0.2">
      <c r="R1115" s="1288"/>
    </row>
    <row r="1116" spans="18:18" s="2" customFormat="1" ht="12.75" x14ac:dyDescent="0.2">
      <c r="R1116" s="1288"/>
    </row>
    <row r="1117" spans="18:18" s="2" customFormat="1" ht="12.75" x14ac:dyDescent="0.2">
      <c r="R1117" s="1288"/>
    </row>
    <row r="1118" spans="18:18" s="2" customFormat="1" ht="12.75" x14ac:dyDescent="0.2">
      <c r="R1118" s="1288"/>
    </row>
    <row r="1119" spans="18:18" s="2" customFormat="1" ht="12.75" x14ac:dyDescent="0.2">
      <c r="R1119" s="1288"/>
    </row>
    <row r="1120" spans="18:18" s="2" customFormat="1" ht="12.75" x14ac:dyDescent="0.2">
      <c r="R1120" s="1288"/>
    </row>
    <row r="1121" spans="18:18" s="2" customFormat="1" ht="12.75" x14ac:dyDescent="0.2">
      <c r="R1121" s="1288"/>
    </row>
    <row r="1122" spans="18:18" s="2" customFormat="1" ht="12.75" x14ac:dyDescent="0.2">
      <c r="R1122" s="1288"/>
    </row>
    <row r="1123" spans="18:18" s="2" customFormat="1" ht="12.75" x14ac:dyDescent="0.2">
      <c r="R1123" s="1288"/>
    </row>
    <row r="1124" spans="18:18" s="2" customFormat="1" ht="12.75" x14ac:dyDescent="0.2">
      <c r="R1124" s="1288"/>
    </row>
    <row r="1125" spans="18:18" s="2" customFormat="1" ht="12.75" x14ac:dyDescent="0.2">
      <c r="R1125" s="1288"/>
    </row>
    <row r="1126" spans="18:18" s="2" customFormat="1" ht="12.75" x14ac:dyDescent="0.2">
      <c r="R1126" s="1288"/>
    </row>
    <row r="1127" spans="18:18" s="2" customFormat="1" ht="12.75" x14ac:dyDescent="0.2">
      <c r="R1127" s="1288"/>
    </row>
    <row r="1128" spans="18:18" s="2" customFormat="1" ht="12.75" x14ac:dyDescent="0.2">
      <c r="R1128" s="1288"/>
    </row>
    <row r="1129" spans="18:18" s="2" customFormat="1" ht="12.75" x14ac:dyDescent="0.2">
      <c r="R1129" s="1288"/>
    </row>
    <row r="1130" spans="18:18" s="2" customFormat="1" ht="12.75" x14ac:dyDescent="0.2">
      <c r="R1130" s="1288"/>
    </row>
    <row r="1131" spans="18:18" s="2" customFormat="1" ht="12.75" x14ac:dyDescent="0.2">
      <c r="R1131" s="1288"/>
    </row>
    <row r="1132" spans="18:18" s="2" customFormat="1" ht="12.75" x14ac:dyDescent="0.2">
      <c r="R1132" s="1288"/>
    </row>
    <row r="1133" spans="18:18" s="2" customFormat="1" ht="12.75" x14ac:dyDescent="0.2">
      <c r="R1133" s="1288"/>
    </row>
    <row r="1134" spans="18:18" s="2" customFormat="1" ht="12.75" x14ac:dyDescent="0.2">
      <c r="R1134" s="1288"/>
    </row>
    <row r="1135" spans="18:18" s="2" customFormat="1" ht="12.75" x14ac:dyDescent="0.2">
      <c r="R1135" s="1288"/>
    </row>
    <row r="1136" spans="18:18" s="2" customFormat="1" ht="12.75" x14ac:dyDescent="0.2">
      <c r="R1136" s="1288"/>
    </row>
    <row r="1137" spans="18:18" s="2" customFormat="1" ht="12.75" x14ac:dyDescent="0.2">
      <c r="R1137" s="1288"/>
    </row>
    <row r="1138" spans="18:18" s="2" customFormat="1" ht="12.75" x14ac:dyDescent="0.2">
      <c r="R1138" s="1288"/>
    </row>
    <row r="1139" spans="18:18" s="2" customFormat="1" ht="12.75" x14ac:dyDescent="0.2">
      <c r="R1139" s="1288"/>
    </row>
    <row r="1140" spans="18:18" s="2" customFormat="1" ht="12.75" x14ac:dyDescent="0.2">
      <c r="R1140" s="1288"/>
    </row>
    <row r="1141" spans="18:18" s="2" customFormat="1" ht="12.75" x14ac:dyDescent="0.2">
      <c r="R1141" s="1288"/>
    </row>
    <row r="1142" spans="18:18" s="2" customFormat="1" ht="12.75" x14ac:dyDescent="0.2">
      <c r="R1142" s="1288"/>
    </row>
    <row r="1143" spans="18:18" s="2" customFormat="1" ht="12.75" x14ac:dyDescent="0.2">
      <c r="R1143" s="1288"/>
    </row>
    <row r="1144" spans="18:18" s="2" customFormat="1" ht="12.75" x14ac:dyDescent="0.2">
      <c r="R1144" s="1288"/>
    </row>
    <row r="1145" spans="18:18" s="2" customFormat="1" ht="12.75" x14ac:dyDescent="0.2">
      <c r="R1145" s="1288"/>
    </row>
    <row r="1146" spans="18:18" s="2" customFormat="1" ht="12.75" x14ac:dyDescent="0.2">
      <c r="R1146" s="1288"/>
    </row>
    <row r="1147" spans="18:18" s="2" customFormat="1" ht="12.75" x14ac:dyDescent="0.2">
      <c r="R1147" s="1288"/>
    </row>
    <row r="1148" spans="18:18" s="2" customFormat="1" ht="12.75" x14ac:dyDescent="0.2">
      <c r="R1148" s="1288"/>
    </row>
    <row r="1149" spans="18:18" s="2" customFormat="1" ht="12.75" x14ac:dyDescent="0.2">
      <c r="R1149" s="1288"/>
    </row>
    <row r="1150" spans="18:18" s="2" customFormat="1" ht="12.75" x14ac:dyDescent="0.2">
      <c r="R1150" s="1288"/>
    </row>
    <row r="1151" spans="18:18" s="2" customFormat="1" ht="12.75" x14ac:dyDescent="0.2">
      <c r="R1151" s="1288"/>
    </row>
    <row r="1152" spans="18:18" s="2" customFormat="1" ht="12.75" x14ac:dyDescent="0.2">
      <c r="R1152" s="1288"/>
    </row>
    <row r="1153" spans="18:18" s="2" customFormat="1" ht="12.75" x14ac:dyDescent="0.2">
      <c r="R1153" s="1288"/>
    </row>
    <row r="1154" spans="18:18" s="2" customFormat="1" ht="12.75" x14ac:dyDescent="0.2">
      <c r="R1154" s="1288"/>
    </row>
    <row r="1155" spans="18:18" s="2" customFormat="1" ht="12.75" x14ac:dyDescent="0.2">
      <c r="R1155" s="1288"/>
    </row>
    <row r="1156" spans="18:18" s="2" customFormat="1" ht="12.75" x14ac:dyDescent="0.2">
      <c r="R1156" s="1288"/>
    </row>
    <row r="1157" spans="18:18" s="2" customFormat="1" ht="12.75" x14ac:dyDescent="0.2">
      <c r="R1157" s="1288"/>
    </row>
    <row r="1158" spans="18:18" s="2" customFormat="1" ht="12.75" x14ac:dyDescent="0.2">
      <c r="R1158" s="1288"/>
    </row>
    <row r="1159" spans="18:18" s="2" customFormat="1" ht="12.75" x14ac:dyDescent="0.2">
      <c r="R1159" s="1288"/>
    </row>
    <row r="1160" spans="18:18" s="2" customFormat="1" ht="12.75" x14ac:dyDescent="0.2">
      <c r="R1160" s="1288"/>
    </row>
    <row r="1161" spans="18:18" s="2" customFormat="1" ht="12.75" x14ac:dyDescent="0.2">
      <c r="R1161" s="1288"/>
    </row>
    <row r="1162" spans="18:18" s="2" customFormat="1" ht="12.75" x14ac:dyDescent="0.2">
      <c r="R1162" s="1288"/>
    </row>
    <row r="1163" spans="18:18" s="2" customFormat="1" ht="12.75" x14ac:dyDescent="0.2">
      <c r="R1163" s="1288"/>
    </row>
    <row r="1164" spans="18:18" s="2" customFormat="1" ht="12.75" x14ac:dyDescent="0.2">
      <c r="R1164" s="1288"/>
    </row>
    <row r="1165" spans="18:18" s="2" customFormat="1" ht="12.75" x14ac:dyDescent="0.2">
      <c r="R1165" s="1288"/>
    </row>
    <row r="1166" spans="18:18" s="2" customFormat="1" ht="12.75" x14ac:dyDescent="0.2">
      <c r="R1166" s="1288"/>
    </row>
    <row r="1167" spans="18:18" s="2" customFormat="1" ht="12.75" x14ac:dyDescent="0.2">
      <c r="R1167" s="1288"/>
    </row>
    <row r="1168" spans="18:18" s="2" customFormat="1" ht="12.75" x14ac:dyDescent="0.2">
      <c r="R1168" s="1288"/>
    </row>
    <row r="1169" spans="18:18" s="2" customFormat="1" ht="12.75" x14ac:dyDescent="0.2">
      <c r="R1169" s="1288"/>
    </row>
    <row r="1170" spans="18:18" s="2" customFormat="1" ht="12.75" x14ac:dyDescent="0.2">
      <c r="R1170" s="1288"/>
    </row>
    <row r="1171" spans="18:18" s="2" customFormat="1" ht="12.75" x14ac:dyDescent="0.2">
      <c r="R1171" s="1288"/>
    </row>
    <row r="1172" spans="18:18" s="2" customFormat="1" ht="12.75" x14ac:dyDescent="0.2">
      <c r="R1172" s="1288"/>
    </row>
    <row r="1173" spans="18:18" s="2" customFormat="1" ht="12.75" x14ac:dyDescent="0.2">
      <c r="R1173" s="1288"/>
    </row>
    <row r="1174" spans="18:18" s="2" customFormat="1" ht="12.75" x14ac:dyDescent="0.2">
      <c r="R1174" s="1288"/>
    </row>
    <row r="1175" spans="18:18" s="2" customFormat="1" ht="12.75" x14ac:dyDescent="0.2">
      <c r="R1175" s="1288"/>
    </row>
    <row r="1176" spans="18:18" s="2" customFormat="1" ht="12.75" x14ac:dyDescent="0.2">
      <c r="R1176" s="1288"/>
    </row>
    <row r="1177" spans="18:18" s="2" customFormat="1" ht="12.75" x14ac:dyDescent="0.2">
      <c r="R1177" s="1288"/>
    </row>
    <row r="1178" spans="18:18" s="2" customFormat="1" ht="12.75" x14ac:dyDescent="0.2">
      <c r="R1178" s="1288"/>
    </row>
    <row r="1179" spans="18:18" s="2" customFormat="1" ht="12.75" x14ac:dyDescent="0.2">
      <c r="R1179" s="1288"/>
    </row>
    <row r="1180" spans="18:18" s="2" customFormat="1" ht="12.75" x14ac:dyDescent="0.2">
      <c r="R1180" s="1288"/>
    </row>
    <row r="1181" spans="18:18" s="2" customFormat="1" ht="12.75" x14ac:dyDescent="0.2">
      <c r="R1181" s="1288"/>
    </row>
    <row r="1182" spans="18:18" s="2" customFormat="1" ht="12.75" x14ac:dyDescent="0.2">
      <c r="R1182" s="1288"/>
    </row>
    <row r="1183" spans="18:18" s="2" customFormat="1" ht="12.75" x14ac:dyDescent="0.2">
      <c r="R1183" s="1288"/>
    </row>
    <row r="1184" spans="18:18" s="2" customFormat="1" ht="12.75" x14ac:dyDescent="0.2">
      <c r="R1184" s="1288"/>
    </row>
    <row r="1185" spans="18:18" s="2" customFormat="1" ht="12.75" x14ac:dyDescent="0.2">
      <c r="R1185" s="1288"/>
    </row>
    <row r="1186" spans="18:18" s="2" customFormat="1" ht="12.75" x14ac:dyDescent="0.2">
      <c r="R1186" s="1288"/>
    </row>
    <row r="1187" spans="18:18" s="2" customFormat="1" ht="12.75" x14ac:dyDescent="0.2">
      <c r="R1187" s="1288"/>
    </row>
    <row r="1188" spans="18:18" s="2" customFormat="1" ht="12.75" x14ac:dyDescent="0.2">
      <c r="R1188" s="1288"/>
    </row>
    <row r="1189" spans="18:18" s="2" customFormat="1" ht="12.75" x14ac:dyDescent="0.2">
      <c r="R1189" s="1288"/>
    </row>
    <row r="1190" spans="18:18" s="2" customFormat="1" ht="12.75" x14ac:dyDescent="0.2">
      <c r="R1190" s="1288"/>
    </row>
    <row r="1191" spans="18:18" s="2" customFormat="1" ht="12.75" x14ac:dyDescent="0.2">
      <c r="R1191" s="1288"/>
    </row>
    <row r="1192" spans="18:18" s="2" customFormat="1" ht="12.75" x14ac:dyDescent="0.2">
      <c r="R1192" s="1288"/>
    </row>
    <row r="1193" spans="18:18" s="2" customFormat="1" ht="12.75" x14ac:dyDescent="0.2">
      <c r="R1193" s="1288"/>
    </row>
    <row r="1194" spans="18:18" s="2" customFormat="1" ht="12.75" x14ac:dyDescent="0.2">
      <c r="R1194" s="1288"/>
    </row>
    <row r="1195" spans="18:18" s="2" customFormat="1" ht="12.75" x14ac:dyDescent="0.2">
      <c r="R1195" s="1288"/>
    </row>
    <row r="1196" spans="18:18" s="2" customFormat="1" ht="12.75" x14ac:dyDescent="0.2">
      <c r="R1196" s="1288"/>
    </row>
    <row r="1197" spans="18:18" s="2" customFormat="1" ht="12.75" x14ac:dyDescent="0.2">
      <c r="R1197" s="1288"/>
    </row>
    <row r="1198" spans="18:18" s="2" customFormat="1" ht="12.75" x14ac:dyDescent="0.2">
      <c r="R1198" s="1288"/>
    </row>
    <row r="1199" spans="18:18" s="2" customFormat="1" ht="12.75" x14ac:dyDescent="0.2">
      <c r="R1199" s="1288"/>
    </row>
    <row r="1200" spans="18:18" s="2" customFormat="1" ht="12.75" x14ac:dyDescent="0.2">
      <c r="R1200" s="1288"/>
    </row>
    <row r="1201" spans="18:18" s="2" customFormat="1" ht="12.75" x14ac:dyDescent="0.2">
      <c r="R1201" s="1288"/>
    </row>
    <row r="1202" spans="18:18" s="2" customFormat="1" ht="12.75" x14ac:dyDescent="0.2">
      <c r="R1202" s="1288"/>
    </row>
    <row r="1203" spans="18:18" s="2" customFormat="1" ht="12.75" x14ac:dyDescent="0.2">
      <c r="R1203" s="1288"/>
    </row>
    <row r="1204" spans="18:18" s="2" customFormat="1" ht="12.75" x14ac:dyDescent="0.2">
      <c r="R1204" s="1288"/>
    </row>
    <row r="1205" spans="18:18" s="2" customFormat="1" ht="12.75" x14ac:dyDescent="0.2">
      <c r="R1205" s="1288"/>
    </row>
    <row r="1206" spans="18:18" s="2" customFormat="1" ht="12.75" x14ac:dyDescent="0.2">
      <c r="R1206" s="1288"/>
    </row>
    <row r="1207" spans="18:18" s="2" customFormat="1" ht="12.75" x14ac:dyDescent="0.2">
      <c r="R1207" s="1288"/>
    </row>
    <row r="1208" spans="18:18" s="2" customFormat="1" ht="12.75" x14ac:dyDescent="0.2">
      <c r="R1208" s="1288"/>
    </row>
    <row r="1209" spans="18:18" s="2" customFormat="1" ht="12.75" x14ac:dyDescent="0.2">
      <c r="R1209" s="1288"/>
    </row>
    <row r="1210" spans="18:18" s="2" customFormat="1" ht="12.75" x14ac:dyDescent="0.2">
      <c r="R1210" s="1288"/>
    </row>
    <row r="1211" spans="18:18" s="2" customFormat="1" ht="12.75" x14ac:dyDescent="0.2">
      <c r="R1211" s="1288"/>
    </row>
    <row r="1212" spans="18:18" s="2" customFormat="1" ht="12.75" x14ac:dyDescent="0.2">
      <c r="R1212" s="1288"/>
    </row>
    <row r="1213" spans="18:18" s="2" customFormat="1" ht="12.75" x14ac:dyDescent="0.2">
      <c r="R1213" s="1288"/>
    </row>
    <row r="1214" spans="18:18" s="2" customFormat="1" ht="12.75" x14ac:dyDescent="0.2">
      <c r="R1214" s="1288"/>
    </row>
    <row r="1215" spans="18:18" s="2" customFormat="1" ht="12.75" x14ac:dyDescent="0.2">
      <c r="R1215" s="1288"/>
    </row>
    <row r="1216" spans="18:18" s="2" customFormat="1" ht="12.75" x14ac:dyDescent="0.2">
      <c r="R1216" s="1288"/>
    </row>
    <row r="1217" spans="18:18" s="2" customFormat="1" ht="12.75" x14ac:dyDescent="0.2">
      <c r="R1217" s="1288"/>
    </row>
    <row r="1218" spans="18:18" s="2" customFormat="1" ht="12.75" x14ac:dyDescent="0.2">
      <c r="R1218" s="1288"/>
    </row>
    <row r="1219" spans="18:18" s="2" customFormat="1" ht="12.75" x14ac:dyDescent="0.2">
      <c r="R1219" s="1288"/>
    </row>
    <row r="1220" spans="18:18" s="2" customFormat="1" ht="12.75" x14ac:dyDescent="0.2">
      <c r="R1220" s="1288"/>
    </row>
    <row r="1221" spans="18:18" s="2" customFormat="1" ht="12.75" x14ac:dyDescent="0.2">
      <c r="R1221" s="1288"/>
    </row>
    <row r="1222" spans="18:18" s="2" customFormat="1" ht="12.75" x14ac:dyDescent="0.2">
      <c r="R1222" s="1288"/>
    </row>
    <row r="1223" spans="18:18" s="2" customFormat="1" ht="12.75" x14ac:dyDescent="0.2">
      <c r="R1223" s="1288"/>
    </row>
    <row r="1224" spans="18:18" s="2" customFormat="1" ht="12.75" x14ac:dyDescent="0.2">
      <c r="R1224" s="1288"/>
    </row>
    <row r="1225" spans="18:18" s="2" customFormat="1" ht="12.75" x14ac:dyDescent="0.2">
      <c r="R1225" s="1288"/>
    </row>
    <row r="1226" spans="18:18" s="2" customFormat="1" ht="12.75" x14ac:dyDescent="0.2">
      <c r="R1226" s="1288"/>
    </row>
    <row r="1227" spans="18:18" s="2" customFormat="1" ht="12.75" x14ac:dyDescent="0.2">
      <c r="R1227" s="1288"/>
    </row>
    <row r="1228" spans="18:18" s="2" customFormat="1" ht="12.75" x14ac:dyDescent="0.2">
      <c r="R1228" s="1288"/>
    </row>
    <row r="1229" spans="18:18" s="2" customFormat="1" ht="12.75" x14ac:dyDescent="0.2">
      <c r="R1229" s="1288"/>
    </row>
    <row r="1230" spans="18:18" s="2" customFormat="1" ht="12.75" x14ac:dyDescent="0.2">
      <c r="R1230" s="1288"/>
    </row>
    <row r="1231" spans="18:18" s="2" customFormat="1" ht="12.75" x14ac:dyDescent="0.2">
      <c r="R1231" s="1288"/>
    </row>
    <row r="1232" spans="18:18" s="2" customFormat="1" ht="12.75" x14ac:dyDescent="0.2">
      <c r="R1232" s="1288"/>
    </row>
    <row r="1233" spans="18:18" s="2" customFormat="1" ht="12.75" x14ac:dyDescent="0.2">
      <c r="R1233" s="1288"/>
    </row>
    <row r="1234" spans="18:18" s="2" customFormat="1" ht="12.75" x14ac:dyDescent="0.2">
      <c r="R1234" s="1288"/>
    </row>
    <row r="1235" spans="18:18" s="2" customFormat="1" ht="12.75" x14ac:dyDescent="0.2">
      <c r="R1235" s="1288"/>
    </row>
    <row r="1236" spans="18:18" s="2" customFormat="1" ht="12.75" x14ac:dyDescent="0.2">
      <c r="R1236" s="1288"/>
    </row>
    <row r="1237" spans="18:18" s="2" customFormat="1" ht="12.75" x14ac:dyDescent="0.2">
      <c r="R1237" s="1288"/>
    </row>
    <row r="1238" spans="18:18" s="2" customFormat="1" ht="12.75" x14ac:dyDescent="0.2">
      <c r="R1238" s="1288"/>
    </row>
    <row r="1239" spans="18:18" s="2" customFormat="1" ht="12.75" x14ac:dyDescent="0.2">
      <c r="R1239" s="1288"/>
    </row>
    <row r="1240" spans="18:18" s="2" customFormat="1" ht="12.75" x14ac:dyDescent="0.2">
      <c r="R1240" s="1288"/>
    </row>
    <row r="1241" spans="18:18" s="2" customFormat="1" ht="12.75" x14ac:dyDescent="0.2">
      <c r="R1241" s="1288"/>
    </row>
    <row r="1242" spans="18:18" s="2" customFormat="1" ht="12.75" x14ac:dyDescent="0.2">
      <c r="R1242" s="1288"/>
    </row>
    <row r="1243" spans="18:18" s="2" customFormat="1" ht="12.75" x14ac:dyDescent="0.2">
      <c r="R1243" s="1288"/>
    </row>
    <row r="1244" spans="18:18" s="2" customFormat="1" ht="12.75" x14ac:dyDescent="0.2">
      <c r="R1244" s="1288"/>
    </row>
    <row r="1245" spans="18:18" s="2" customFormat="1" ht="12.75" x14ac:dyDescent="0.2">
      <c r="R1245" s="1288"/>
    </row>
    <row r="1246" spans="18:18" s="2" customFormat="1" ht="12.75" x14ac:dyDescent="0.2">
      <c r="R1246" s="1288"/>
    </row>
    <row r="1247" spans="18:18" s="2" customFormat="1" ht="12.75" x14ac:dyDescent="0.2">
      <c r="R1247" s="1288"/>
    </row>
    <row r="1248" spans="18:18" s="2" customFormat="1" ht="12.75" x14ac:dyDescent="0.2">
      <c r="R1248" s="1288"/>
    </row>
    <row r="1249" spans="18:18" s="2" customFormat="1" ht="12.75" x14ac:dyDescent="0.2">
      <c r="R1249" s="1288"/>
    </row>
    <row r="1250" spans="18:18" s="2" customFormat="1" ht="12.75" x14ac:dyDescent="0.2">
      <c r="R1250" s="1288"/>
    </row>
    <row r="1251" spans="18:18" s="2" customFormat="1" ht="12.75" x14ac:dyDescent="0.2">
      <c r="R1251" s="1288"/>
    </row>
    <row r="1252" spans="18:18" s="2" customFormat="1" ht="12.75" x14ac:dyDescent="0.2">
      <c r="R1252" s="1288"/>
    </row>
    <row r="1253" spans="18:18" s="2" customFormat="1" ht="12.75" x14ac:dyDescent="0.2">
      <c r="R1253" s="1288"/>
    </row>
    <row r="1254" spans="18:18" s="2" customFormat="1" ht="12.75" x14ac:dyDescent="0.2">
      <c r="R1254" s="1288"/>
    </row>
    <row r="1255" spans="18:18" s="2" customFormat="1" ht="12.75" x14ac:dyDescent="0.2">
      <c r="R1255" s="1288"/>
    </row>
    <row r="1256" spans="18:18" s="2" customFormat="1" ht="12.75" x14ac:dyDescent="0.2">
      <c r="R1256" s="1288"/>
    </row>
    <row r="1257" spans="18:18" s="2" customFormat="1" ht="12.75" x14ac:dyDescent="0.2">
      <c r="R1257" s="1288"/>
    </row>
    <row r="1258" spans="18:18" s="2" customFormat="1" ht="12.75" x14ac:dyDescent="0.2">
      <c r="R1258" s="1288"/>
    </row>
    <row r="1259" spans="18:18" s="2" customFormat="1" ht="12.75" x14ac:dyDescent="0.2">
      <c r="R1259" s="1288"/>
    </row>
    <row r="1260" spans="18:18" s="2" customFormat="1" ht="12.75" x14ac:dyDescent="0.2">
      <c r="R1260" s="1288"/>
    </row>
    <row r="1261" spans="18:18" s="2" customFormat="1" ht="12.75" x14ac:dyDescent="0.2">
      <c r="R1261" s="1288"/>
    </row>
    <row r="1262" spans="18:18" s="2" customFormat="1" ht="12.75" x14ac:dyDescent="0.2">
      <c r="R1262" s="1288"/>
    </row>
    <row r="1263" spans="18:18" s="2" customFormat="1" ht="12.75" x14ac:dyDescent="0.2">
      <c r="R1263" s="1288"/>
    </row>
    <row r="1264" spans="18:18" s="2" customFormat="1" ht="12.75" x14ac:dyDescent="0.2">
      <c r="R1264" s="1288"/>
    </row>
    <row r="1265" spans="18:18" s="2" customFormat="1" ht="12.75" x14ac:dyDescent="0.2">
      <c r="R1265" s="1288"/>
    </row>
    <row r="1266" spans="18:18" s="2" customFormat="1" ht="12.75" x14ac:dyDescent="0.2">
      <c r="R1266" s="1288"/>
    </row>
    <row r="1267" spans="18:18" s="2" customFormat="1" ht="12.75" x14ac:dyDescent="0.2">
      <c r="R1267" s="1288"/>
    </row>
    <row r="1268" spans="18:18" s="2" customFormat="1" ht="12.75" x14ac:dyDescent="0.2">
      <c r="R1268" s="1288"/>
    </row>
    <row r="1269" spans="18:18" s="2" customFormat="1" ht="12.75" x14ac:dyDescent="0.2">
      <c r="R1269" s="1288"/>
    </row>
    <row r="1270" spans="18:18" s="2" customFormat="1" ht="12.75" x14ac:dyDescent="0.2">
      <c r="R1270" s="1288"/>
    </row>
    <row r="1271" spans="18:18" s="2" customFormat="1" ht="12.75" x14ac:dyDescent="0.2">
      <c r="R1271" s="1288"/>
    </row>
    <row r="1272" spans="18:18" s="2" customFormat="1" ht="12.75" x14ac:dyDescent="0.2">
      <c r="R1272" s="1288"/>
    </row>
    <row r="1273" spans="18:18" s="2" customFormat="1" ht="12.75" x14ac:dyDescent="0.2">
      <c r="R1273" s="1288"/>
    </row>
    <row r="1274" spans="18:18" s="2" customFormat="1" ht="12.75" x14ac:dyDescent="0.2">
      <c r="R1274" s="1288"/>
    </row>
    <row r="1275" spans="18:18" s="2" customFormat="1" ht="12.75" x14ac:dyDescent="0.2">
      <c r="R1275" s="1288"/>
    </row>
    <row r="1276" spans="18:18" s="2" customFormat="1" ht="12.75" x14ac:dyDescent="0.2">
      <c r="R1276" s="1288"/>
    </row>
    <row r="1277" spans="18:18" s="2" customFormat="1" ht="12.75" x14ac:dyDescent="0.2">
      <c r="R1277" s="1288"/>
    </row>
    <row r="1278" spans="18:18" s="2" customFormat="1" ht="12.75" x14ac:dyDescent="0.2">
      <c r="R1278" s="1288"/>
    </row>
    <row r="1279" spans="18:18" s="2" customFormat="1" ht="12.75" x14ac:dyDescent="0.2">
      <c r="R1279" s="1288"/>
    </row>
    <row r="1280" spans="18:18" s="2" customFormat="1" ht="12.75" x14ac:dyDescent="0.2">
      <c r="R1280" s="1288"/>
    </row>
    <row r="1281" spans="18:18" s="2" customFormat="1" ht="12.75" x14ac:dyDescent="0.2">
      <c r="R1281" s="1288"/>
    </row>
    <row r="1282" spans="18:18" s="2" customFormat="1" ht="12.75" x14ac:dyDescent="0.2">
      <c r="R1282" s="1288"/>
    </row>
    <row r="1283" spans="18:18" s="2" customFormat="1" ht="12.75" x14ac:dyDescent="0.2">
      <c r="R1283" s="1288"/>
    </row>
    <row r="1284" spans="18:18" s="2" customFormat="1" ht="12.75" x14ac:dyDescent="0.2">
      <c r="R1284" s="1288"/>
    </row>
    <row r="1285" spans="18:18" s="2" customFormat="1" ht="12.75" x14ac:dyDescent="0.2">
      <c r="R1285" s="1288"/>
    </row>
    <row r="1286" spans="18:18" s="2" customFormat="1" ht="12.75" x14ac:dyDescent="0.2">
      <c r="R1286" s="1288"/>
    </row>
    <row r="1287" spans="18:18" s="2" customFormat="1" ht="12.75" x14ac:dyDescent="0.2">
      <c r="R1287" s="1288"/>
    </row>
    <row r="1288" spans="18:18" s="2" customFormat="1" ht="12.75" x14ac:dyDescent="0.2">
      <c r="R1288" s="1288"/>
    </row>
    <row r="1289" spans="18:18" s="2" customFormat="1" ht="12.75" x14ac:dyDescent="0.2">
      <c r="R1289" s="1288"/>
    </row>
    <row r="1290" spans="18:18" s="2" customFormat="1" ht="12.75" x14ac:dyDescent="0.2">
      <c r="R1290" s="1288"/>
    </row>
    <row r="1291" spans="18:18" s="2" customFormat="1" ht="12.75" x14ac:dyDescent="0.2">
      <c r="R1291" s="1288"/>
    </row>
    <row r="1292" spans="18:18" s="2" customFormat="1" ht="12.75" x14ac:dyDescent="0.2">
      <c r="R1292" s="1288"/>
    </row>
    <row r="1293" spans="18:18" s="2" customFormat="1" ht="12.75" x14ac:dyDescent="0.2">
      <c r="R1293" s="1288"/>
    </row>
    <row r="1294" spans="18:18" s="2" customFormat="1" ht="12.75" x14ac:dyDescent="0.2">
      <c r="R1294" s="1288"/>
    </row>
    <row r="1295" spans="18:18" s="2" customFormat="1" ht="12.75" x14ac:dyDescent="0.2">
      <c r="R1295" s="1288"/>
    </row>
    <row r="1296" spans="18:18" s="2" customFormat="1" ht="12.75" x14ac:dyDescent="0.2">
      <c r="R1296" s="1288"/>
    </row>
    <row r="1297" spans="18:18" s="2" customFormat="1" ht="12.75" x14ac:dyDescent="0.2">
      <c r="R1297" s="1288"/>
    </row>
    <row r="1298" spans="18:18" s="2" customFormat="1" ht="12.75" x14ac:dyDescent="0.2">
      <c r="R1298" s="1288"/>
    </row>
    <row r="1299" spans="18:18" s="2" customFormat="1" ht="12.75" x14ac:dyDescent="0.2">
      <c r="R1299" s="1288"/>
    </row>
    <row r="1300" spans="18:18" s="2" customFormat="1" ht="12.75" x14ac:dyDescent="0.2">
      <c r="R1300" s="1288"/>
    </row>
    <row r="1301" spans="18:18" s="2" customFormat="1" ht="12.75" x14ac:dyDescent="0.2">
      <c r="R1301" s="1288"/>
    </row>
    <row r="1302" spans="18:18" s="2" customFormat="1" ht="12.75" x14ac:dyDescent="0.2">
      <c r="R1302" s="1288"/>
    </row>
    <row r="1303" spans="18:18" s="2" customFormat="1" ht="12.75" x14ac:dyDescent="0.2">
      <c r="R1303" s="1288"/>
    </row>
    <row r="1304" spans="18:18" s="2" customFormat="1" ht="12.75" x14ac:dyDescent="0.2">
      <c r="R1304" s="1288"/>
    </row>
    <row r="1305" spans="18:18" s="2" customFormat="1" ht="12.75" x14ac:dyDescent="0.2">
      <c r="R1305" s="1288"/>
    </row>
    <row r="1306" spans="18:18" s="2" customFormat="1" ht="12.75" x14ac:dyDescent="0.2">
      <c r="R1306" s="1288"/>
    </row>
    <row r="1307" spans="18:18" s="2" customFormat="1" ht="12.75" x14ac:dyDescent="0.2">
      <c r="R1307" s="1288"/>
    </row>
    <row r="1308" spans="18:18" s="2" customFormat="1" ht="12.75" x14ac:dyDescent="0.2">
      <c r="R1308" s="1288"/>
    </row>
    <row r="1309" spans="18:18" s="2" customFormat="1" ht="12.75" x14ac:dyDescent="0.2">
      <c r="R1309" s="1288"/>
    </row>
    <row r="1310" spans="18:18" s="2" customFormat="1" ht="12.75" x14ac:dyDescent="0.2">
      <c r="R1310" s="1288"/>
    </row>
    <row r="1311" spans="18:18" s="2" customFormat="1" ht="12.75" x14ac:dyDescent="0.2">
      <c r="R1311" s="1288"/>
    </row>
    <row r="1312" spans="18:18" s="2" customFormat="1" ht="12.75" x14ac:dyDescent="0.2">
      <c r="R1312" s="1288"/>
    </row>
    <row r="1313" spans="18:18" s="2" customFormat="1" ht="12.75" x14ac:dyDescent="0.2">
      <c r="R1313" s="1288"/>
    </row>
    <row r="1314" spans="18:18" s="2" customFormat="1" ht="12.75" x14ac:dyDescent="0.2">
      <c r="R1314" s="1288"/>
    </row>
    <row r="1315" spans="18:18" s="2" customFormat="1" ht="12.75" x14ac:dyDescent="0.2">
      <c r="R1315" s="1288"/>
    </row>
    <row r="1316" spans="18:18" s="2" customFormat="1" ht="12.75" x14ac:dyDescent="0.2">
      <c r="R1316" s="1288"/>
    </row>
    <row r="1317" spans="18:18" s="2" customFormat="1" ht="12.75" x14ac:dyDescent="0.2">
      <c r="R1317" s="1288"/>
    </row>
    <row r="1318" spans="18:18" s="2" customFormat="1" ht="12.75" x14ac:dyDescent="0.2">
      <c r="R1318" s="1288"/>
    </row>
    <row r="1319" spans="18:18" s="2" customFormat="1" ht="12.75" x14ac:dyDescent="0.2">
      <c r="R1319" s="1288"/>
    </row>
    <row r="1320" spans="18:18" s="2" customFormat="1" ht="12.75" x14ac:dyDescent="0.2">
      <c r="R1320" s="1288"/>
    </row>
    <row r="1321" spans="18:18" s="2" customFormat="1" ht="12.75" x14ac:dyDescent="0.2">
      <c r="R1321" s="1288"/>
    </row>
    <row r="1322" spans="18:18" s="2" customFormat="1" ht="12.75" x14ac:dyDescent="0.2">
      <c r="R1322" s="1288"/>
    </row>
    <row r="1323" spans="18:18" s="2" customFormat="1" ht="12.75" x14ac:dyDescent="0.2">
      <c r="R1323" s="1288"/>
    </row>
    <row r="1324" spans="18:18" s="2" customFormat="1" ht="12.75" x14ac:dyDescent="0.2">
      <c r="R1324" s="1288"/>
    </row>
    <row r="1325" spans="18:18" s="2" customFormat="1" ht="12.75" x14ac:dyDescent="0.2">
      <c r="R1325" s="1288"/>
    </row>
    <row r="1326" spans="18:18" s="2" customFormat="1" ht="12.75" x14ac:dyDescent="0.2">
      <c r="R1326" s="1288"/>
    </row>
    <row r="1327" spans="18:18" s="2" customFormat="1" ht="12.75" x14ac:dyDescent="0.2">
      <c r="R1327" s="1288"/>
    </row>
    <row r="1328" spans="18:18" s="2" customFormat="1" ht="12.75" x14ac:dyDescent="0.2">
      <c r="R1328" s="1288"/>
    </row>
    <row r="1329" spans="18:18" s="2" customFormat="1" ht="12.75" x14ac:dyDescent="0.2">
      <c r="R1329" s="1288"/>
    </row>
    <row r="1330" spans="18:18" s="2" customFormat="1" ht="12.75" x14ac:dyDescent="0.2">
      <c r="R1330" s="1288"/>
    </row>
    <row r="1331" spans="18:18" s="2" customFormat="1" ht="12.75" x14ac:dyDescent="0.2">
      <c r="R1331" s="1288"/>
    </row>
    <row r="1332" spans="18:18" s="2" customFormat="1" ht="12.75" x14ac:dyDescent="0.2">
      <c r="R1332" s="1288"/>
    </row>
    <row r="1333" spans="18:18" s="2" customFormat="1" ht="12.75" x14ac:dyDescent="0.2">
      <c r="R1333" s="1288"/>
    </row>
    <row r="1334" spans="18:18" s="2" customFormat="1" ht="12.75" x14ac:dyDescent="0.2">
      <c r="R1334" s="1288"/>
    </row>
    <row r="1335" spans="18:18" s="2" customFormat="1" ht="12.75" x14ac:dyDescent="0.2">
      <c r="R1335" s="1288"/>
    </row>
    <row r="1336" spans="18:18" s="2" customFormat="1" ht="12.75" x14ac:dyDescent="0.2">
      <c r="R1336" s="1288"/>
    </row>
    <row r="1337" spans="18:18" s="2" customFormat="1" ht="12.75" x14ac:dyDescent="0.2">
      <c r="R1337" s="1288"/>
    </row>
    <row r="1338" spans="18:18" s="2" customFormat="1" ht="12.75" x14ac:dyDescent="0.2">
      <c r="R1338" s="1288"/>
    </row>
    <row r="1339" spans="18:18" s="2" customFormat="1" ht="12.75" x14ac:dyDescent="0.2">
      <c r="R1339" s="1288"/>
    </row>
    <row r="1340" spans="18:18" s="2" customFormat="1" ht="12.75" x14ac:dyDescent="0.2">
      <c r="R1340" s="1288"/>
    </row>
    <row r="1341" spans="18:18" s="2" customFormat="1" ht="12.75" x14ac:dyDescent="0.2">
      <c r="R1341" s="1288"/>
    </row>
    <row r="1342" spans="18:18" s="2" customFormat="1" ht="12.75" x14ac:dyDescent="0.2">
      <c r="R1342" s="1288"/>
    </row>
    <row r="1343" spans="18:18" s="2" customFormat="1" ht="12.75" x14ac:dyDescent="0.2">
      <c r="R1343" s="1288"/>
    </row>
    <row r="1344" spans="18:18" s="2" customFormat="1" ht="12.75" x14ac:dyDescent="0.2">
      <c r="R1344" s="1288"/>
    </row>
    <row r="1345" spans="18:18" s="2" customFormat="1" ht="12.75" x14ac:dyDescent="0.2">
      <c r="R1345" s="1288"/>
    </row>
    <row r="1346" spans="18:18" s="2" customFormat="1" ht="12.75" x14ac:dyDescent="0.2">
      <c r="R1346" s="1288"/>
    </row>
    <row r="1347" spans="18:18" s="2" customFormat="1" ht="12.75" x14ac:dyDescent="0.2">
      <c r="R1347" s="1288"/>
    </row>
    <row r="1348" spans="18:18" s="2" customFormat="1" ht="12.75" x14ac:dyDescent="0.2">
      <c r="R1348" s="1288"/>
    </row>
    <row r="1349" spans="18:18" s="2" customFormat="1" ht="12.75" x14ac:dyDescent="0.2">
      <c r="R1349" s="1288"/>
    </row>
    <row r="1350" spans="18:18" s="2" customFormat="1" ht="12.75" x14ac:dyDescent="0.2">
      <c r="R1350" s="1288"/>
    </row>
    <row r="1351" spans="18:18" s="2" customFormat="1" ht="12.75" x14ac:dyDescent="0.2">
      <c r="R1351" s="1288"/>
    </row>
    <row r="1352" spans="18:18" s="2" customFormat="1" ht="12.75" x14ac:dyDescent="0.2">
      <c r="R1352" s="1288"/>
    </row>
    <row r="1353" spans="18:18" s="2" customFormat="1" ht="12.75" x14ac:dyDescent="0.2">
      <c r="R1353" s="1288"/>
    </row>
    <row r="1354" spans="18:18" s="2" customFormat="1" ht="12.75" x14ac:dyDescent="0.2">
      <c r="R1354" s="1288"/>
    </row>
    <row r="1355" spans="18:18" s="2" customFormat="1" ht="12.75" x14ac:dyDescent="0.2">
      <c r="R1355" s="1288"/>
    </row>
    <row r="1356" spans="18:18" s="2" customFormat="1" ht="12.75" x14ac:dyDescent="0.2">
      <c r="R1356" s="1288"/>
    </row>
    <row r="1357" spans="18:18" s="2" customFormat="1" ht="12.75" x14ac:dyDescent="0.2">
      <c r="R1357" s="1288"/>
    </row>
    <row r="1358" spans="18:18" s="2" customFormat="1" ht="12.75" x14ac:dyDescent="0.2">
      <c r="R1358" s="1288"/>
    </row>
    <row r="1359" spans="18:18" s="2" customFormat="1" ht="12.75" x14ac:dyDescent="0.2">
      <c r="R1359" s="1288"/>
    </row>
    <row r="1360" spans="18:18" s="2" customFormat="1" ht="12.75" x14ac:dyDescent="0.2">
      <c r="R1360" s="1288"/>
    </row>
    <row r="1361" spans="18:18" s="2" customFormat="1" ht="12.75" x14ac:dyDescent="0.2">
      <c r="R1361" s="1288"/>
    </row>
    <row r="1362" spans="18:18" s="2" customFormat="1" ht="12.75" x14ac:dyDescent="0.2">
      <c r="R1362" s="1288"/>
    </row>
    <row r="1363" spans="18:18" s="2" customFormat="1" ht="12.75" x14ac:dyDescent="0.2">
      <c r="R1363" s="1288"/>
    </row>
    <row r="1364" spans="18:18" s="2" customFormat="1" ht="12.75" x14ac:dyDescent="0.2">
      <c r="R1364" s="1288"/>
    </row>
    <row r="1365" spans="18:18" s="2" customFormat="1" ht="12.75" x14ac:dyDescent="0.2">
      <c r="R1365" s="1288"/>
    </row>
    <row r="1366" spans="18:18" s="2" customFormat="1" ht="12.75" x14ac:dyDescent="0.2">
      <c r="R1366" s="1288"/>
    </row>
    <row r="1367" spans="18:18" s="2" customFormat="1" ht="12.75" x14ac:dyDescent="0.2">
      <c r="R1367" s="1288"/>
    </row>
    <row r="1368" spans="18:18" s="2" customFormat="1" ht="12.75" x14ac:dyDescent="0.2">
      <c r="R1368" s="1288"/>
    </row>
    <row r="1369" spans="18:18" s="2" customFormat="1" ht="12.75" x14ac:dyDescent="0.2">
      <c r="R1369" s="1288"/>
    </row>
    <row r="1370" spans="18:18" s="2" customFormat="1" ht="12.75" x14ac:dyDescent="0.2">
      <c r="R1370" s="1288"/>
    </row>
    <row r="1371" spans="18:18" s="2" customFormat="1" ht="12.75" x14ac:dyDescent="0.2">
      <c r="R1371" s="1288"/>
    </row>
    <row r="1372" spans="18:18" s="2" customFormat="1" ht="12.75" x14ac:dyDescent="0.2">
      <c r="R1372" s="1288"/>
    </row>
    <row r="1373" spans="18:18" s="2" customFormat="1" ht="12.75" x14ac:dyDescent="0.2">
      <c r="R1373" s="1288"/>
    </row>
    <row r="1374" spans="18:18" s="2" customFormat="1" ht="12.75" x14ac:dyDescent="0.2">
      <c r="R1374" s="1288"/>
    </row>
    <row r="1375" spans="18:18" s="2" customFormat="1" ht="12.75" x14ac:dyDescent="0.2">
      <c r="R1375" s="1288"/>
    </row>
    <row r="1376" spans="18:18" s="2" customFormat="1" ht="12.75" x14ac:dyDescent="0.2">
      <c r="R1376" s="1288"/>
    </row>
    <row r="1377" spans="18:18" s="2" customFormat="1" ht="12.75" x14ac:dyDescent="0.2">
      <c r="R1377" s="1288"/>
    </row>
    <row r="1378" spans="18:18" s="2" customFormat="1" ht="12.75" x14ac:dyDescent="0.2">
      <c r="R1378" s="1288"/>
    </row>
    <row r="1379" spans="18:18" s="2" customFormat="1" ht="12.75" x14ac:dyDescent="0.2">
      <c r="R1379" s="1288"/>
    </row>
    <row r="1380" spans="18:18" s="2" customFormat="1" ht="12.75" x14ac:dyDescent="0.2">
      <c r="R1380" s="1288"/>
    </row>
    <row r="1381" spans="18:18" s="2" customFormat="1" ht="12.75" x14ac:dyDescent="0.2">
      <c r="R1381" s="1288"/>
    </row>
    <row r="1382" spans="18:18" s="2" customFormat="1" ht="12.75" x14ac:dyDescent="0.2">
      <c r="R1382" s="1288"/>
    </row>
    <row r="1383" spans="18:18" s="2" customFormat="1" ht="12.75" x14ac:dyDescent="0.2">
      <c r="R1383" s="1288"/>
    </row>
    <row r="1384" spans="18:18" s="2" customFormat="1" ht="12.75" x14ac:dyDescent="0.2">
      <c r="R1384" s="1288"/>
    </row>
    <row r="1385" spans="18:18" s="2" customFormat="1" ht="12.75" x14ac:dyDescent="0.2">
      <c r="R1385" s="1288"/>
    </row>
    <row r="1386" spans="18:18" s="2" customFormat="1" ht="12.75" x14ac:dyDescent="0.2">
      <c r="R1386" s="1288"/>
    </row>
    <row r="1387" spans="18:18" s="2" customFormat="1" ht="12.75" x14ac:dyDescent="0.2">
      <c r="R1387" s="1288"/>
    </row>
    <row r="1388" spans="18:18" s="2" customFormat="1" ht="12.75" x14ac:dyDescent="0.2">
      <c r="R1388" s="1288"/>
    </row>
    <row r="1389" spans="18:18" s="2" customFormat="1" ht="12.75" x14ac:dyDescent="0.2">
      <c r="R1389" s="1288"/>
    </row>
    <row r="1390" spans="18:18" s="2" customFormat="1" ht="12.75" x14ac:dyDescent="0.2">
      <c r="R1390" s="1288"/>
    </row>
    <row r="1391" spans="18:18" s="2" customFormat="1" ht="12.75" x14ac:dyDescent="0.2">
      <c r="R1391" s="1288"/>
    </row>
    <row r="1392" spans="18:18" s="2" customFormat="1" ht="12.75" x14ac:dyDescent="0.2">
      <c r="R1392" s="1288"/>
    </row>
    <row r="1393" spans="18:18" s="2" customFormat="1" ht="12.75" x14ac:dyDescent="0.2">
      <c r="R1393" s="1288"/>
    </row>
    <row r="1394" spans="18:18" s="2" customFormat="1" ht="12.75" x14ac:dyDescent="0.2">
      <c r="R1394" s="1288"/>
    </row>
    <row r="1395" spans="18:18" s="2" customFormat="1" ht="12.75" x14ac:dyDescent="0.2">
      <c r="R1395" s="1288"/>
    </row>
    <row r="1396" spans="18:18" s="2" customFormat="1" ht="12.75" x14ac:dyDescent="0.2">
      <c r="R1396" s="1288"/>
    </row>
    <row r="1397" spans="18:18" s="2" customFormat="1" ht="12.75" x14ac:dyDescent="0.2">
      <c r="R1397" s="1288"/>
    </row>
    <row r="1398" spans="18:18" s="2" customFormat="1" ht="12.75" x14ac:dyDescent="0.2">
      <c r="R1398" s="1288"/>
    </row>
    <row r="1399" spans="18:18" s="2" customFormat="1" ht="12.75" x14ac:dyDescent="0.2">
      <c r="R1399" s="1288"/>
    </row>
    <row r="1400" spans="18:18" s="2" customFormat="1" ht="12.75" x14ac:dyDescent="0.2">
      <c r="R1400" s="1288"/>
    </row>
    <row r="1401" spans="18:18" s="2" customFormat="1" ht="12.75" x14ac:dyDescent="0.2">
      <c r="R1401" s="1288"/>
    </row>
    <row r="1402" spans="18:18" s="2" customFormat="1" ht="12.75" x14ac:dyDescent="0.2">
      <c r="R1402" s="1288"/>
    </row>
    <row r="1403" spans="18:18" s="2" customFormat="1" ht="12.75" x14ac:dyDescent="0.2">
      <c r="R1403" s="1288"/>
    </row>
    <row r="1404" spans="18:18" s="2" customFormat="1" ht="12.75" x14ac:dyDescent="0.2">
      <c r="R1404" s="1288"/>
    </row>
    <row r="1405" spans="18:18" s="2" customFormat="1" ht="12.75" x14ac:dyDescent="0.2">
      <c r="R1405" s="1288"/>
    </row>
    <row r="1406" spans="18:18" s="2" customFormat="1" ht="12.75" x14ac:dyDescent="0.2">
      <c r="R1406" s="1288"/>
    </row>
    <row r="1407" spans="18:18" s="2" customFormat="1" ht="12.75" x14ac:dyDescent="0.2">
      <c r="R1407" s="1288"/>
    </row>
    <row r="1408" spans="18:18" s="2" customFormat="1" ht="12.75" x14ac:dyDescent="0.2">
      <c r="R1408" s="1288"/>
    </row>
    <row r="1409" spans="18:18" s="2" customFormat="1" ht="12.75" x14ac:dyDescent="0.2">
      <c r="R1409" s="1288"/>
    </row>
    <row r="1410" spans="18:18" s="2" customFormat="1" ht="12.75" x14ac:dyDescent="0.2">
      <c r="R1410" s="1288"/>
    </row>
    <row r="1411" spans="18:18" s="2" customFormat="1" ht="12.75" x14ac:dyDescent="0.2">
      <c r="R1411" s="1288"/>
    </row>
    <row r="1412" spans="18:18" s="2" customFormat="1" ht="12.75" x14ac:dyDescent="0.2">
      <c r="R1412" s="1288"/>
    </row>
    <row r="1413" spans="18:18" s="2" customFormat="1" ht="12.75" x14ac:dyDescent="0.2">
      <c r="R1413" s="1288"/>
    </row>
    <row r="1414" spans="18:18" s="2" customFormat="1" ht="12.75" x14ac:dyDescent="0.2">
      <c r="R1414" s="1288"/>
    </row>
    <row r="1415" spans="18:18" s="2" customFormat="1" ht="12.75" x14ac:dyDescent="0.2">
      <c r="R1415" s="1288"/>
    </row>
    <row r="1416" spans="18:18" s="2" customFormat="1" ht="12.75" x14ac:dyDescent="0.2">
      <c r="R1416" s="1288"/>
    </row>
    <row r="1417" spans="18:18" s="2" customFormat="1" ht="12.75" x14ac:dyDescent="0.2">
      <c r="R1417" s="1288"/>
    </row>
    <row r="1418" spans="18:18" s="2" customFormat="1" ht="12.75" x14ac:dyDescent="0.2">
      <c r="R1418" s="1288"/>
    </row>
    <row r="1419" spans="18:18" s="2" customFormat="1" ht="12.75" x14ac:dyDescent="0.2">
      <c r="R1419" s="1288"/>
    </row>
    <row r="1420" spans="18:18" s="2" customFormat="1" ht="12.75" x14ac:dyDescent="0.2">
      <c r="R1420" s="1288"/>
    </row>
    <row r="1421" spans="18:18" s="2" customFormat="1" ht="12.75" x14ac:dyDescent="0.2">
      <c r="R1421" s="1288"/>
    </row>
    <row r="1422" spans="18:18" s="2" customFormat="1" ht="12.75" x14ac:dyDescent="0.2">
      <c r="R1422" s="1288"/>
    </row>
    <row r="1423" spans="18:18" s="2" customFormat="1" ht="12.75" x14ac:dyDescent="0.2">
      <c r="R1423" s="1288"/>
    </row>
    <row r="1424" spans="18:18" s="2" customFormat="1" ht="12.75" x14ac:dyDescent="0.2">
      <c r="R1424" s="1288"/>
    </row>
    <row r="1425" spans="18:18" s="2" customFormat="1" ht="12.75" x14ac:dyDescent="0.2">
      <c r="R1425" s="1288"/>
    </row>
    <row r="1426" spans="18:18" s="2" customFormat="1" ht="12.75" x14ac:dyDescent="0.2">
      <c r="R1426" s="1288"/>
    </row>
    <row r="1427" spans="18:18" s="2" customFormat="1" ht="12.75" x14ac:dyDescent="0.2">
      <c r="R1427" s="1288"/>
    </row>
    <row r="1428" spans="18:18" s="2" customFormat="1" ht="12.75" x14ac:dyDescent="0.2">
      <c r="R1428" s="1288"/>
    </row>
    <row r="1429" spans="18:18" s="2" customFormat="1" ht="12.75" x14ac:dyDescent="0.2">
      <c r="R1429" s="1288"/>
    </row>
    <row r="1430" spans="18:18" s="2" customFormat="1" ht="12.75" x14ac:dyDescent="0.2">
      <c r="R1430" s="1288"/>
    </row>
    <row r="1431" spans="18:18" s="2" customFormat="1" ht="12.75" x14ac:dyDescent="0.2">
      <c r="R1431" s="1288"/>
    </row>
    <row r="1432" spans="18:18" s="2" customFormat="1" ht="12.75" x14ac:dyDescent="0.2">
      <c r="R1432" s="1288"/>
    </row>
    <row r="1433" spans="18:18" s="2" customFormat="1" ht="12.75" x14ac:dyDescent="0.2">
      <c r="R1433" s="1288"/>
    </row>
    <row r="1434" spans="18:18" s="2" customFormat="1" ht="12.75" x14ac:dyDescent="0.2">
      <c r="R1434" s="1288"/>
    </row>
    <row r="1435" spans="18:18" s="2" customFormat="1" ht="12.75" x14ac:dyDescent="0.2">
      <c r="R1435" s="1288"/>
    </row>
    <row r="1436" spans="18:18" s="2" customFormat="1" ht="12.75" x14ac:dyDescent="0.2">
      <c r="R1436" s="1288"/>
    </row>
    <row r="1437" spans="18:18" s="2" customFormat="1" ht="12.75" x14ac:dyDescent="0.2">
      <c r="R1437" s="1288"/>
    </row>
    <row r="1438" spans="18:18" s="2" customFormat="1" ht="12.75" x14ac:dyDescent="0.2">
      <c r="R1438" s="1288"/>
    </row>
    <row r="1439" spans="18:18" s="2" customFormat="1" ht="12.75" x14ac:dyDescent="0.2">
      <c r="R1439" s="1288"/>
    </row>
    <row r="1440" spans="18:18" s="2" customFormat="1" ht="12.75" x14ac:dyDescent="0.2">
      <c r="R1440" s="1288"/>
    </row>
    <row r="1441" spans="18:18" s="2" customFormat="1" ht="12.75" x14ac:dyDescent="0.2">
      <c r="R1441" s="1288"/>
    </row>
    <row r="1442" spans="18:18" s="2" customFormat="1" ht="12.75" x14ac:dyDescent="0.2">
      <c r="R1442" s="1288"/>
    </row>
    <row r="1443" spans="18:18" s="2" customFormat="1" ht="12.75" x14ac:dyDescent="0.2">
      <c r="R1443" s="1288"/>
    </row>
    <row r="1444" spans="18:18" s="2" customFormat="1" ht="12.75" x14ac:dyDescent="0.2">
      <c r="R1444" s="1288"/>
    </row>
    <row r="1445" spans="18:18" s="2" customFormat="1" ht="12.75" x14ac:dyDescent="0.2">
      <c r="R1445" s="1288"/>
    </row>
    <row r="1446" spans="18:18" s="2" customFormat="1" ht="12.75" x14ac:dyDescent="0.2">
      <c r="R1446" s="1288"/>
    </row>
    <row r="1447" spans="18:18" s="2" customFormat="1" ht="12.75" x14ac:dyDescent="0.2">
      <c r="R1447" s="1288"/>
    </row>
    <row r="1448" spans="18:18" s="2" customFormat="1" ht="12.75" x14ac:dyDescent="0.2">
      <c r="R1448" s="1288"/>
    </row>
    <row r="1449" spans="18:18" s="2" customFormat="1" ht="12.75" x14ac:dyDescent="0.2">
      <c r="R1449" s="1288"/>
    </row>
    <row r="1450" spans="18:18" s="2" customFormat="1" ht="12.75" x14ac:dyDescent="0.2">
      <c r="R1450" s="1288"/>
    </row>
    <row r="1451" spans="18:18" s="2" customFormat="1" ht="12.75" x14ac:dyDescent="0.2">
      <c r="R1451" s="1288"/>
    </row>
    <row r="1452" spans="18:18" s="2" customFormat="1" ht="12.75" x14ac:dyDescent="0.2">
      <c r="R1452" s="1288"/>
    </row>
    <row r="1453" spans="18:18" s="2" customFormat="1" ht="12.75" x14ac:dyDescent="0.2">
      <c r="R1453" s="1288"/>
    </row>
    <row r="1454" spans="18:18" s="2" customFormat="1" ht="12.75" x14ac:dyDescent="0.2">
      <c r="R1454" s="1288"/>
    </row>
    <row r="1455" spans="18:18" s="2" customFormat="1" ht="12.75" x14ac:dyDescent="0.2">
      <c r="R1455" s="1288"/>
    </row>
    <row r="1456" spans="18:18" s="2" customFormat="1" ht="12.75" x14ac:dyDescent="0.2">
      <c r="R1456" s="1288"/>
    </row>
    <row r="1457" spans="18:18" s="2" customFormat="1" ht="12.75" x14ac:dyDescent="0.2">
      <c r="R1457" s="1288"/>
    </row>
    <row r="1458" spans="18:18" s="2" customFormat="1" ht="12.75" x14ac:dyDescent="0.2">
      <c r="R1458" s="1288"/>
    </row>
    <row r="1459" spans="18:18" s="2" customFormat="1" ht="12.75" x14ac:dyDescent="0.2">
      <c r="R1459" s="1288"/>
    </row>
    <row r="1460" spans="18:18" s="2" customFormat="1" ht="12.75" x14ac:dyDescent="0.2">
      <c r="R1460" s="1288"/>
    </row>
    <row r="1461" spans="18:18" s="2" customFormat="1" ht="12.75" x14ac:dyDescent="0.2">
      <c r="R1461" s="1288"/>
    </row>
    <row r="1462" spans="18:18" s="2" customFormat="1" ht="12.75" x14ac:dyDescent="0.2">
      <c r="R1462" s="1288"/>
    </row>
    <row r="1463" spans="18:18" s="2" customFormat="1" ht="12.75" x14ac:dyDescent="0.2">
      <c r="R1463" s="1288"/>
    </row>
    <row r="1464" spans="18:18" s="2" customFormat="1" ht="12.75" x14ac:dyDescent="0.2">
      <c r="R1464" s="1288"/>
    </row>
    <row r="1465" spans="18:18" s="2" customFormat="1" ht="12.75" x14ac:dyDescent="0.2">
      <c r="R1465" s="1288"/>
    </row>
    <row r="1466" spans="18:18" s="2" customFormat="1" ht="12.75" x14ac:dyDescent="0.2">
      <c r="R1466" s="1288"/>
    </row>
    <row r="1467" spans="18:18" s="2" customFormat="1" ht="12.75" x14ac:dyDescent="0.2">
      <c r="R1467" s="1288"/>
    </row>
    <row r="1468" spans="18:18" s="2" customFormat="1" ht="12.75" x14ac:dyDescent="0.2">
      <c r="R1468" s="1288"/>
    </row>
    <row r="1469" spans="18:18" s="2" customFormat="1" ht="12.75" x14ac:dyDescent="0.2">
      <c r="R1469" s="1288"/>
    </row>
    <row r="1470" spans="18:18" s="2" customFormat="1" ht="12.75" x14ac:dyDescent="0.2">
      <c r="R1470" s="1288"/>
    </row>
    <row r="1471" spans="18:18" s="2" customFormat="1" ht="12.75" x14ac:dyDescent="0.2">
      <c r="R1471" s="1288"/>
    </row>
    <row r="1472" spans="18:18" s="2" customFormat="1" ht="12.75" x14ac:dyDescent="0.2">
      <c r="R1472" s="1288"/>
    </row>
    <row r="1473" spans="18:18" s="2" customFormat="1" ht="12.75" x14ac:dyDescent="0.2">
      <c r="R1473" s="1288"/>
    </row>
    <row r="1474" spans="18:18" s="2" customFormat="1" ht="12.75" x14ac:dyDescent="0.2">
      <c r="R1474" s="1288"/>
    </row>
    <row r="1475" spans="18:18" s="2" customFormat="1" ht="12.75" x14ac:dyDescent="0.2">
      <c r="R1475" s="1288"/>
    </row>
    <row r="1476" spans="18:18" s="2" customFormat="1" ht="12.75" x14ac:dyDescent="0.2">
      <c r="R1476" s="1288"/>
    </row>
    <row r="1477" spans="18:18" s="2" customFormat="1" ht="12.75" x14ac:dyDescent="0.2">
      <c r="R1477" s="1288"/>
    </row>
    <row r="1478" spans="18:18" s="2" customFormat="1" ht="12.75" x14ac:dyDescent="0.2">
      <c r="R1478" s="1288"/>
    </row>
    <row r="1479" spans="18:18" s="2" customFormat="1" ht="12.75" x14ac:dyDescent="0.2">
      <c r="R1479" s="1288"/>
    </row>
    <row r="1480" spans="18:18" s="2" customFormat="1" ht="12.75" x14ac:dyDescent="0.2">
      <c r="R1480" s="1288"/>
    </row>
    <row r="1481" spans="18:18" s="2" customFormat="1" ht="12.75" x14ac:dyDescent="0.2">
      <c r="R1481" s="1288"/>
    </row>
    <row r="1482" spans="18:18" s="2" customFormat="1" ht="12.75" x14ac:dyDescent="0.2">
      <c r="R1482" s="1288"/>
    </row>
    <row r="1483" spans="18:18" s="2" customFormat="1" ht="12.75" x14ac:dyDescent="0.2">
      <c r="R1483" s="1288"/>
    </row>
    <row r="1484" spans="18:18" s="2" customFormat="1" ht="12.75" x14ac:dyDescent="0.2">
      <c r="R1484" s="1288"/>
    </row>
    <row r="1485" spans="18:18" s="2" customFormat="1" ht="12.75" x14ac:dyDescent="0.2">
      <c r="R1485" s="1288"/>
    </row>
    <row r="1486" spans="18:18" s="2" customFormat="1" ht="12.75" x14ac:dyDescent="0.2">
      <c r="R1486" s="1288"/>
    </row>
    <row r="1487" spans="18:18" s="2" customFormat="1" ht="12.75" x14ac:dyDescent="0.2">
      <c r="R1487" s="1288"/>
    </row>
    <row r="1488" spans="18:18" s="2" customFormat="1" ht="12.75" x14ac:dyDescent="0.2">
      <c r="R1488" s="1288"/>
    </row>
    <row r="1489" spans="18:18" s="2" customFormat="1" ht="12.75" x14ac:dyDescent="0.2">
      <c r="R1489" s="1288"/>
    </row>
    <row r="1490" spans="18:18" s="2" customFormat="1" ht="12.75" x14ac:dyDescent="0.2">
      <c r="R1490" s="1288"/>
    </row>
    <row r="1491" spans="18:18" s="2" customFormat="1" ht="12.75" x14ac:dyDescent="0.2">
      <c r="R1491" s="1288"/>
    </row>
    <row r="1492" spans="18:18" s="2" customFormat="1" ht="12.75" x14ac:dyDescent="0.2">
      <c r="R1492" s="1288"/>
    </row>
    <row r="1493" spans="18:18" s="2" customFormat="1" ht="12.75" x14ac:dyDescent="0.2">
      <c r="R1493" s="1288"/>
    </row>
    <row r="1494" spans="18:18" s="2" customFormat="1" ht="12.75" x14ac:dyDescent="0.2">
      <c r="R1494" s="1288"/>
    </row>
    <row r="1495" spans="18:18" s="2" customFormat="1" ht="12.75" x14ac:dyDescent="0.2">
      <c r="R1495" s="1288"/>
    </row>
    <row r="1496" spans="18:18" s="2" customFormat="1" ht="12.75" x14ac:dyDescent="0.2">
      <c r="R1496" s="1288"/>
    </row>
    <row r="1497" spans="18:18" s="2" customFormat="1" ht="12.75" x14ac:dyDescent="0.2">
      <c r="R1497" s="1288"/>
    </row>
    <row r="1498" spans="18:18" s="2" customFormat="1" ht="12.75" x14ac:dyDescent="0.2">
      <c r="R1498" s="1288"/>
    </row>
    <row r="1499" spans="18:18" s="2" customFormat="1" ht="12.75" x14ac:dyDescent="0.2">
      <c r="R1499" s="1288"/>
    </row>
    <row r="1500" spans="18:18" s="2" customFormat="1" ht="12.75" x14ac:dyDescent="0.2">
      <c r="R1500" s="1288"/>
    </row>
    <row r="1501" spans="18:18" s="2" customFormat="1" ht="12.75" x14ac:dyDescent="0.2">
      <c r="R1501" s="1288"/>
    </row>
    <row r="1502" spans="18:18" s="2" customFormat="1" ht="12.75" x14ac:dyDescent="0.2">
      <c r="R1502" s="1288"/>
    </row>
    <row r="1503" spans="18:18" s="2" customFormat="1" ht="12.75" x14ac:dyDescent="0.2">
      <c r="R1503" s="1288"/>
    </row>
    <row r="1504" spans="18:18" s="2" customFormat="1" ht="12.75" x14ac:dyDescent="0.2">
      <c r="R1504" s="1288"/>
    </row>
    <row r="1505" spans="18:18" s="2" customFormat="1" ht="12.75" x14ac:dyDescent="0.2">
      <c r="R1505" s="1288"/>
    </row>
    <row r="1506" spans="18:18" s="2" customFormat="1" ht="12.75" x14ac:dyDescent="0.2">
      <c r="R1506" s="1288"/>
    </row>
    <row r="1507" spans="18:18" s="2" customFormat="1" ht="12.75" x14ac:dyDescent="0.2">
      <c r="R1507" s="1288"/>
    </row>
    <row r="1508" spans="18:18" s="2" customFormat="1" ht="12.75" x14ac:dyDescent="0.2">
      <c r="R1508" s="1288"/>
    </row>
    <row r="1509" spans="18:18" s="2" customFormat="1" ht="12.75" x14ac:dyDescent="0.2">
      <c r="R1509" s="1288"/>
    </row>
    <row r="1510" spans="18:18" s="2" customFormat="1" ht="12.75" x14ac:dyDescent="0.2">
      <c r="R1510" s="1288"/>
    </row>
    <row r="1511" spans="18:18" s="2" customFormat="1" ht="12.75" x14ac:dyDescent="0.2">
      <c r="R1511" s="1288"/>
    </row>
    <row r="1512" spans="18:18" s="2" customFormat="1" ht="12.75" x14ac:dyDescent="0.2">
      <c r="R1512" s="1288"/>
    </row>
    <row r="1513" spans="18:18" s="2" customFormat="1" ht="12.75" x14ac:dyDescent="0.2">
      <c r="R1513" s="1288"/>
    </row>
    <row r="1514" spans="18:18" s="2" customFormat="1" ht="12.75" x14ac:dyDescent="0.2">
      <c r="R1514" s="1288"/>
    </row>
    <row r="1515" spans="18:18" s="2" customFormat="1" ht="12.75" x14ac:dyDescent="0.2">
      <c r="R1515" s="1288"/>
    </row>
    <row r="1516" spans="18:18" s="2" customFormat="1" ht="12.75" x14ac:dyDescent="0.2">
      <c r="R1516" s="1288"/>
    </row>
    <row r="1517" spans="18:18" s="2" customFormat="1" ht="12.75" x14ac:dyDescent="0.2">
      <c r="R1517" s="1288"/>
    </row>
    <row r="1518" spans="18:18" s="2" customFormat="1" ht="12.75" x14ac:dyDescent="0.2">
      <c r="R1518" s="1288"/>
    </row>
    <row r="1519" spans="18:18" s="2" customFormat="1" ht="12.75" x14ac:dyDescent="0.2">
      <c r="R1519" s="1288"/>
    </row>
    <row r="1520" spans="18:18" s="2" customFormat="1" ht="12.75" x14ac:dyDescent="0.2">
      <c r="R1520" s="1288"/>
    </row>
    <row r="1521" spans="18:18" s="2" customFormat="1" ht="12.75" x14ac:dyDescent="0.2">
      <c r="R1521" s="1288"/>
    </row>
    <row r="1522" spans="18:18" s="2" customFormat="1" ht="12.75" x14ac:dyDescent="0.2">
      <c r="R1522" s="1288"/>
    </row>
    <row r="1523" spans="18:18" s="2" customFormat="1" ht="12.75" x14ac:dyDescent="0.2">
      <c r="R1523" s="1288"/>
    </row>
    <row r="1524" spans="18:18" s="2" customFormat="1" ht="12.75" x14ac:dyDescent="0.2">
      <c r="R1524" s="1288"/>
    </row>
    <row r="1525" spans="18:18" s="2" customFormat="1" ht="12.75" x14ac:dyDescent="0.2">
      <c r="R1525" s="1288"/>
    </row>
    <row r="1526" spans="18:18" s="2" customFormat="1" ht="12.75" x14ac:dyDescent="0.2">
      <c r="R1526" s="1288"/>
    </row>
    <row r="1527" spans="18:18" s="2" customFormat="1" ht="12.75" x14ac:dyDescent="0.2">
      <c r="R1527" s="1288"/>
    </row>
    <row r="1528" spans="18:18" s="2" customFormat="1" ht="12.75" x14ac:dyDescent="0.2">
      <c r="R1528" s="1288"/>
    </row>
    <row r="1529" spans="18:18" s="2" customFormat="1" ht="12.75" x14ac:dyDescent="0.2">
      <c r="R1529" s="1288"/>
    </row>
    <row r="1530" spans="18:18" s="2" customFormat="1" ht="12.75" x14ac:dyDescent="0.2">
      <c r="R1530" s="1288"/>
    </row>
    <row r="1531" spans="18:18" s="2" customFormat="1" ht="12.75" x14ac:dyDescent="0.2">
      <c r="R1531" s="1288"/>
    </row>
    <row r="1532" spans="18:18" s="2" customFormat="1" ht="12.75" x14ac:dyDescent="0.2">
      <c r="R1532" s="1288"/>
    </row>
    <row r="1533" spans="18:18" s="2" customFormat="1" ht="12.75" x14ac:dyDescent="0.2">
      <c r="R1533" s="1288"/>
    </row>
    <row r="1534" spans="18:18" s="2" customFormat="1" ht="12.75" x14ac:dyDescent="0.2">
      <c r="R1534" s="1288"/>
    </row>
    <row r="1535" spans="18:18" s="2" customFormat="1" ht="12.75" x14ac:dyDescent="0.2">
      <c r="R1535" s="1288"/>
    </row>
    <row r="1536" spans="18:18" s="2" customFormat="1" ht="12.75" x14ac:dyDescent="0.2">
      <c r="R1536" s="1288"/>
    </row>
    <row r="1537" spans="18:18" s="2" customFormat="1" ht="12.75" x14ac:dyDescent="0.2">
      <c r="R1537" s="1288"/>
    </row>
    <row r="1538" spans="18:18" s="2" customFormat="1" ht="12.75" x14ac:dyDescent="0.2">
      <c r="R1538" s="1288"/>
    </row>
    <row r="1539" spans="18:18" s="2" customFormat="1" ht="12.75" x14ac:dyDescent="0.2">
      <c r="R1539" s="1288"/>
    </row>
    <row r="1540" spans="18:18" s="2" customFormat="1" ht="12.75" x14ac:dyDescent="0.2">
      <c r="R1540" s="1288"/>
    </row>
    <row r="1541" spans="18:18" s="2" customFormat="1" ht="12.75" x14ac:dyDescent="0.2">
      <c r="R1541" s="1288"/>
    </row>
    <row r="1542" spans="18:18" s="2" customFormat="1" ht="12.75" x14ac:dyDescent="0.2">
      <c r="R1542" s="1288"/>
    </row>
    <row r="1543" spans="18:18" s="2" customFormat="1" ht="12.75" x14ac:dyDescent="0.2">
      <c r="R1543" s="1288"/>
    </row>
    <row r="1544" spans="18:18" s="2" customFormat="1" ht="12.75" x14ac:dyDescent="0.2">
      <c r="R1544" s="1288"/>
    </row>
    <row r="1545" spans="18:18" s="2" customFormat="1" ht="12.75" x14ac:dyDescent="0.2">
      <c r="R1545" s="1288"/>
    </row>
    <row r="1546" spans="18:18" s="2" customFormat="1" ht="12.75" x14ac:dyDescent="0.2">
      <c r="R1546" s="1288"/>
    </row>
    <row r="1547" spans="18:18" s="2" customFormat="1" ht="12.75" x14ac:dyDescent="0.2">
      <c r="R1547" s="1288"/>
    </row>
    <row r="1548" spans="18:18" s="2" customFormat="1" ht="12.75" x14ac:dyDescent="0.2">
      <c r="R1548" s="1288"/>
    </row>
    <row r="1549" spans="18:18" s="2" customFormat="1" ht="12.75" x14ac:dyDescent="0.2">
      <c r="R1549" s="1288"/>
    </row>
    <row r="1550" spans="18:18" s="2" customFormat="1" ht="12.75" x14ac:dyDescent="0.2">
      <c r="R1550" s="1288"/>
    </row>
    <row r="1551" spans="18:18" s="2" customFormat="1" ht="12.75" x14ac:dyDescent="0.2">
      <c r="R1551" s="1288"/>
    </row>
    <row r="1552" spans="18:18" s="2" customFormat="1" ht="12.75" x14ac:dyDescent="0.2">
      <c r="R1552" s="1288"/>
    </row>
    <row r="1553" spans="18:18" s="2" customFormat="1" ht="12.75" x14ac:dyDescent="0.2">
      <c r="R1553" s="1288"/>
    </row>
    <row r="1554" spans="18:18" s="2" customFormat="1" ht="12.75" x14ac:dyDescent="0.2">
      <c r="R1554" s="1288"/>
    </row>
    <row r="1555" spans="18:18" s="2" customFormat="1" ht="12.75" x14ac:dyDescent="0.2">
      <c r="R1555" s="1288"/>
    </row>
    <row r="1556" spans="18:18" s="2" customFormat="1" ht="12.75" x14ac:dyDescent="0.2">
      <c r="R1556" s="1288"/>
    </row>
    <row r="1557" spans="18:18" s="2" customFormat="1" ht="12.75" x14ac:dyDescent="0.2">
      <c r="R1557" s="1288"/>
    </row>
    <row r="1558" spans="18:18" s="2" customFormat="1" ht="12.75" x14ac:dyDescent="0.2">
      <c r="R1558" s="1288"/>
    </row>
    <row r="1559" spans="18:18" s="2" customFormat="1" ht="12.75" x14ac:dyDescent="0.2">
      <c r="R1559" s="1288"/>
    </row>
    <row r="1560" spans="18:18" s="2" customFormat="1" ht="12.75" x14ac:dyDescent="0.2">
      <c r="R1560" s="1288"/>
    </row>
    <row r="1561" spans="18:18" s="2" customFormat="1" ht="12.75" x14ac:dyDescent="0.2">
      <c r="R1561" s="1288"/>
    </row>
    <row r="1562" spans="18:18" s="2" customFormat="1" ht="12.75" x14ac:dyDescent="0.2">
      <c r="R1562" s="1288"/>
    </row>
    <row r="1563" spans="18:18" s="2" customFormat="1" ht="12.75" x14ac:dyDescent="0.2">
      <c r="R1563" s="1288"/>
    </row>
    <row r="1564" spans="18:18" s="2" customFormat="1" ht="12.75" x14ac:dyDescent="0.2">
      <c r="R1564" s="1288"/>
    </row>
    <row r="1565" spans="18:18" s="2" customFormat="1" ht="12.75" x14ac:dyDescent="0.2">
      <c r="R1565" s="1288"/>
    </row>
    <row r="1566" spans="18:18" s="2" customFormat="1" ht="12.75" x14ac:dyDescent="0.2">
      <c r="R1566" s="1288"/>
    </row>
    <row r="1567" spans="18:18" s="2" customFormat="1" ht="12.75" x14ac:dyDescent="0.2">
      <c r="R1567" s="1288"/>
    </row>
    <row r="1568" spans="18:18" s="2" customFormat="1" ht="12.75" x14ac:dyDescent="0.2">
      <c r="R1568" s="1288"/>
    </row>
    <row r="1569" spans="18:18" s="2" customFormat="1" ht="12.75" x14ac:dyDescent="0.2">
      <c r="R1569" s="1288"/>
    </row>
    <row r="1570" spans="18:18" s="2" customFormat="1" ht="12.75" x14ac:dyDescent="0.2">
      <c r="R1570" s="1288"/>
    </row>
    <row r="1571" spans="18:18" s="2" customFormat="1" ht="12.75" x14ac:dyDescent="0.2">
      <c r="R1571" s="1288"/>
    </row>
    <row r="1572" spans="18:18" s="2" customFormat="1" ht="12.75" x14ac:dyDescent="0.2">
      <c r="R1572" s="1288"/>
    </row>
    <row r="1573" spans="18:18" s="2" customFormat="1" ht="12.75" x14ac:dyDescent="0.2">
      <c r="R1573" s="1288"/>
    </row>
    <row r="1574" spans="18:18" s="2" customFormat="1" ht="12.75" x14ac:dyDescent="0.2">
      <c r="R1574" s="1288"/>
    </row>
    <row r="1575" spans="18:18" s="2" customFormat="1" ht="12.75" x14ac:dyDescent="0.2">
      <c r="R1575" s="1288"/>
    </row>
    <row r="1576" spans="18:18" s="2" customFormat="1" ht="12.75" x14ac:dyDescent="0.2">
      <c r="R1576" s="1288"/>
    </row>
    <row r="1577" spans="18:18" s="2" customFormat="1" ht="12.75" x14ac:dyDescent="0.2">
      <c r="R1577" s="1288"/>
    </row>
    <row r="1578" spans="18:18" s="2" customFormat="1" ht="12.75" x14ac:dyDescent="0.2">
      <c r="R1578" s="1288"/>
    </row>
    <row r="1579" spans="18:18" s="2" customFormat="1" ht="12.75" x14ac:dyDescent="0.2">
      <c r="R1579" s="1288"/>
    </row>
    <row r="1580" spans="18:18" s="2" customFormat="1" ht="12.75" x14ac:dyDescent="0.2">
      <c r="R1580" s="1288"/>
    </row>
    <row r="1581" spans="18:18" s="2" customFormat="1" ht="12.75" x14ac:dyDescent="0.2">
      <c r="R1581" s="1288"/>
    </row>
    <row r="1582" spans="18:18" s="2" customFormat="1" ht="12.75" x14ac:dyDescent="0.2">
      <c r="R1582" s="1288"/>
    </row>
    <row r="1583" spans="18:18" s="2" customFormat="1" ht="12.75" x14ac:dyDescent="0.2">
      <c r="R1583" s="1288"/>
    </row>
    <row r="1584" spans="18:18" s="2" customFormat="1" ht="12.75" x14ac:dyDescent="0.2">
      <c r="R1584" s="1288"/>
    </row>
    <row r="1585" spans="18:18" s="2" customFormat="1" ht="12.75" x14ac:dyDescent="0.2">
      <c r="R1585" s="1288"/>
    </row>
    <row r="1586" spans="18:18" s="2" customFormat="1" ht="12.75" x14ac:dyDescent="0.2">
      <c r="R1586" s="1288"/>
    </row>
    <row r="1587" spans="18:18" s="2" customFormat="1" ht="12.75" x14ac:dyDescent="0.2">
      <c r="R1587" s="1288"/>
    </row>
    <row r="1588" spans="18:18" s="2" customFormat="1" ht="12.75" x14ac:dyDescent="0.2">
      <c r="R1588" s="1288"/>
    </row>
    <row r="1589" spans="18:18" s="2" customFormat="1" ht="12.75" x14ac:dyDescent="0.2">
      <c r="R1589" s="1288"/>
    </row>
    <row r="1590" spans="18:18" s="2" customFormat="1" ht="12.75" x14ac:dyDescent="0.2">
      <c r="R1590" s="1288"/>
    </row>
    <row r="1591" spans="18:18" s="2" customFormat="1" ht="12.75" x14ac:dyDescent="0.2">
      <c r="R1591" s="1288"/>
    </row>
    <row r="1592" spans="18:18" s="2" customFormat="1" ht="12.75" x14ac:dyDescent="0.2">
      <c r="R1592" s="1288"/>
    </row>
    <row r="1593" spans="18:18" s="2" customFormat="1" ht="12.75" x14ac:dyDescent="0.2">
      <c r="R1593" s="1288"/>
    </row>
    <row r="1594" spans="18:18" s="2" customFormat="1" ht="12.75" x14ac:dyDescent="0.2">
      <c r="R1594" s="1288"/>
    </row>
    <row r="1595" spans="18:18" s="2" customFormat="1" ht="12.75" x14ac:dyDescent="0.2">
      <c r="R1595" s="1288"/>
    </row>
    <row r="1596" spans="18:18" s="2" customFormat="1" ht="12.75" x14ac:dyDescent="0.2">
      <c r="R1596" s="1288"/>
    </row>
    <row r="1597" spans="18:18" s="2" customFormat="1" ht="12.75" x14ac:dyDescent="0.2">
      <c r="R1597" s="1288"/>
    </row>
    <row r="1598" spans="18:18" s="2" customFormat="1" ht="12.75" x14ac:dyDescent="0.2">
      <c r="R1598" s="1288"/>
    </row>
    <row r="1599" spans="18:18" s="2" customFormat="1" ht="12.75" x14ac:dyDescent="0.2">
      <c r="R1599" s="1288"/>
    </row>
    <row r="1600" spans="18:18" s="2" customFormat="1" ht="12.75" x14ac:dyDescent="0.2">
      <c r="R1600" s="1288"/>
    </row>
    <row r="1601" spans="18:18" s="2" customFormat="1" ht="12.75" x14ac:dyDescent="0.2">
      <c r="R1601" s="1288"/>
    </row>
    <row r="1602" spans="18:18" s="2" customFormat="1" ht="12.75" x14ac:dyDescent="0.2">
      <c r="R1602" s="1288"/>
    </row>
    <row r="1603" spans="18:18" s="2" customFormat="1" ht="12.75" x14ac:dyDescent="0.2">
      <c r="R1603" s="1288"/>
    </row>
    <row r="1604" spans="18:18" s="2" customFormat="1" ht="12.75" x14ac:dyDescent="0.2">
      <c r="R1604" s="1288"/>
    </row>
    <row r="1605" spans="18:18" s="2" customFormat="1" ht="12.75" x14ac:dyDescent="0.2">
      <c r="R1605" s="1288"/>
    </row>
    <row r="1606" spans="18:18" s="2" customFormat="1" ht="12.75" x14ac:dyDescent="0.2">
      <c r="R1606" s="1288"/>
    </row>
    <row r="1607" spans="18:18" s="2" customFormat="1" ht="12.75" x14ac:dyDescent="0.2">
      <c r="R1607" s="1288"/>
    </row>
    <row r="1608" spans="18:18" s="2" customFormat="1" ht="12.75" x14ac:dyDescent="0.2">
      <c r="R1608" s="1288"/>
    </row>
    <row r="1609" spans="18:18" s="2" customFormat="1" ht="12.75" x14ac:dyDescent="0.2">
      <c r="R1609" s="1288"/>
    </row>
    <row r="1610" spans="18:18" s="2" customFormat="1" ht="12.75" x14ac:dyDescent="0.2">
      <c r="R1610" s="1288"/>
    </row>
    <row r="1611" spans="18:18" s="2" customFormat="1" ht="12.75" x14ac:dyDescent="0.2">
      <c r="R1611" s="1288"/>
    </row>
    <row r="1612" spans="18:18" s="2" customFormat="1" ht="12.75" x14ac:dyDescent="0.2">
      <c r="R1612" s="1288"/>
    </row>
    <row r="1613" spans="18:18" s="2" customFormat="1" ht="12.75" x14ac:dyDescent="0.2">
      <c r="R1613" s="1288"/>
    </row>
    <row r="1614" spans="18:18" s="2" customFormat="1" ht="12.75" x14ac:dyDescent="0.2">
      <c r="R1614" s="1288"/>
    </row>
    <row r="1615" spans="18:18" s="2" customFormat="1" ht="12.75" x14ac:dyDescent="0.2">
      <c r="R1615" s="1288"/>
    </row>
    <row r="1616" spans="18:18" s="2" customFormat="1" ht="12.75" x14ac:dyDescent="0.2">
      <c r="R1616" s="1288"/>
    </row>
    <row r="1617" spans="18:18" s="2" customFormat="1" ht="12.75" x14ac:dyDescent="0.2">
      <c r="R1617" s="1288"/>
    </row>
    <row r="1618" spans="18:18" s="2" customFormat="1" ht="12.75" x14ac:dyDescent="0.2">
      <c r="R1618" s="1288"/>
    </row>
    <row r="1619" spans="18:18" s="2" customFormat="1" ht="12.75" x14ac:dyDescent="0.2">
      <c r="R1619" s="1288"/>
    </row>
    <row r="1620" spans="18:18" s="2" customFormat="1" ht="12.75" x14ac:dyDescent="0.2">
      <c r="R1620" s="1288"/>
    </row>
    <row r="1621" spans="18:18" s="2" customFormat="1" ht="12.75" x14ac:dyDescent="0.2">
      <c r="R1621" s="1288"/>
    </row>
    <row r="1622" spans="18:18" s="2" customFormat="1" ht="12.75" x14ac:dyDescent="0.2">
      <c r="R1622" s="1288"/>
    </row>
    <row r="1623" spans="18:18" s="2" customFormat="1" ht="12.75" x14ac:dyDescent="0.2">
      <c r="R1623" s="1288"/>
    </row>
    <row r="1624" spans="18:18" s="2" customFormat="1" ht="12.75" x14ac:dyDescent="0.2">
      <c r="R1624" s="1288"/>
    </row>
    <row r="1625" spans="18:18" s="2" customFormat="1" ht="12.75" x14ac:dyDescent="0.2">
      <c r="R1625" s="1288"/>
    </row>
    <row r="1626" spans="18:18" s="2" customFormat="1" ht="12.75" x14ac:dyDescent="0.2">
      <c r="R1626" s="1288"/>
    </row>
    <row r="1627" spans="18:18" s="2" customFormat="1" ht="12.75" x14ac:dyDescent="0.2">
      <c r="R1627" s="1288"/>
    </row>
    <row r="1628" spans="18:18" s="2" customFormat="1" ht="12.75" x14ac:dyDescent="0.2">
      <c r="R1628" s="1288"/>
    </row>
    <row r="1629" spans="18:18" s="2" customFormat="1" ht="12.75" x14ac:dyDescent="0.2">
      <c r="R1629" s="1288"/>
    </row>
    <row r="1630" spans="18:18" s="2" customFormat="1" ht="12.75" x14ac:dyDescent="0.2">
      <c r="R1630" s="1288"/>
    </row>
    <row r="1631" spans="18:18" s="2" customFormat="1" ht="12.75" x14ac:dyDescent="0.2">
      <c r="R1631" s="1288"/>
    </row>
    <row r="1632" spans="18:18" s="2" customFormat="1" ht="12.75" x14ac:dyDescent="0.2">
      <c r="R1632" s="1288"/>
    </row>
    <row r="1633" spans="18:18" s="2" customFormat="1" ht="12.75" x14ac:dyDescent="0.2">
      <c r="R1633" s="1288"/>
    </row>
    <row r="1634" spans="18:18" s="2" customFormat="1" ht="12.75" x14ac:dyDescent="0.2">
      <c r="R1634" s="1288"/>
    </row>
    <row r="1635" spans="18:18" s="2" customFormat="1" ht="12.75" x14ac:dyDescent="0.2">
      <c r="R1635" s="1288"/>
    </row>
    <row r="1636" spans="18:18" s="2" customFormat="1" ht="12.75" x14ac:dyDescent="0.2">
      <c r="R1636" s="1288"/>
    </row>
    <row r="1637" spans="18:18" s="2" customFormat="1" ht="12.75" x14ac:dyDescent="0.2">
      <c r="R1637" s="1288"/>
    </row>
    <row r="1638" spans="18:18" s="2" customFormat="1" ht="12.75" x14ac:dyDescent="0.2">
      <c r="R1638" s="1288"/>
    </row>
    <row r="1639" spans="18:18" s="2" customFormat="1" ht="12.75" x14ac:dyDescent="0.2">
      <c r="R1639" s="1288"/>
    </row>
    <row r="1640" spans="18:18" s="2" customFormat="1" ht="12.75" x14ac:dyDescent="0.2">
      <c r="R1640" s="1288"/>
    </row>
    <row r="1641" spans="18:18" s="2" customFormat="1" ht="12.75" x14ac:dyDescent="0.2">
      <c r="R1641" s="1288"/>
    </row>
    <row r="1642" spans="18:18" s="2" customFormat="1" ht="12.75" x14ac:dyDescent="0.2">
      <c r="R1642" s="1288"/>
    </row>
    <row r="1643" spans="18:18" s="2" customFormat="1" ht="12.75" x14ac:dyDescent="0.2">
      <c r="R1643" s="1288"/>
    </row>
    <row r="1644" spans="18:18" s="2" customFormat="1" ht="12.75" x14ac:dyDescent="0.2">
      <c r="R1644" s="1288"/>
    </row>
    <row r="1645" spans="18:18" s="2" customFormat="1" ht="12.75" x14ac:dyDescent="0.2">
      <c r="R1645" s="1288"/>
    </row>
    <row r="1646" spans="18:18" s="2" customFormat="1" ht="12.75" x14ac:dyDescent="0.2">
      <c r="R1646" s="1288"/>
    </row>
    <row r="1647" spans="18:18" s="2" customFormat="1" ht="12.75" x14ac:dyDescent="0.2">
      <c r="R1647" s="1288"/>
    </row>
    <row r="1648" spans="18:18" s="2" customFormat="1" ht="12.75" x14ac:dyDescent="0.2">
      <c r="R1648" s="1288"/>
    </row>
    <row r="1649" spans="18:18" s="2" customFormat="1" ht="12.75" x14ac:dyDescent="0.2">
      <c r="R1649" s="1288"/>
    </row>
    <row r="1650" spans="18:18" s="2" customFormat="1" ht="12.75" x14ac:dyDescent="0.2">
      <c r="R1650" s="1288"/>
    </row>
    <row r="1651" spans="18:18" s="2" customFormat="1" ht="12.75" x14ac:dyDescent="0.2">
      <c r="R1651" s="1288"/>
    </row>
    <row r="1652" spans="18:18" s="2" customFormat="1" ht="12.75" x14ac:dyDescent="0.2">
      <c r="R1652" s="1288"/>
    </row>
    <row r="1653" spans="18:18" s="2" customFormat="1" ht="12.75" x14ac:dyDescent="0.2">
      <c r="R1653" s="1288"/>
    </row>
    <row r="1654" spans="18:18" s="2" customFormat="1" ht="12.75" x14ac:dyDescent="0.2">
      <c r="R1654" s="1288"/>
    </row>
    <row r="1655" spans="18:18" s="2" customFormat="1" ht="12.75" x14ac:dyDescent="0.2">
      <c r="R1655" s="1288"/>
    </row>
    <row r="1656" spans="18:18" s="2" customFormat="1" ht="12.75" x14ac:dyDescent="0.2">
      <c r="R1656" s="1288"/>
    </row>
    <row r="1657" spans="18:18" s="2" customFormat="1" ht="12.75" x14ac:dyDescent="0.2">
      <c r="R1657" s="1288"/>
    </row>
    <row r="1658" spans="18:18" s="2" customFormat="1" ht="12.75" x14ac:dyDescent="0.2">
      <c r="R1658" s="1288"/>
    </row>
    <row r="1659" spans="18:18" s="2" customFormat="1" ht="12.75" x14ac:dyDescent="0.2">
      <c r="R1659" s="1288"/>
    </row>
    <row r="1660" spans="18:18" s="2" customFormat="1" ht="12.75" x14ac:dyDescent="0.2">
      <c r="R1660" s="1288"/>
    </row>
    <row r="1661" spans="18:18" s="2" customFormat="1" ht="12.75" x14ac:dyDescent="0.2">
      <c r="R1661" s="1288"/>
    </row>
    <row r="1662" spans="18:18" s="2" customFormat="1" ht="12.75" x14ac:dyDescent="0.2">
      <c r="R1662" s="1288"/>
    </row>
    <row r="1663" spans="18:18" s="2" customFormat="1" ht="12.75" x14ac:dyDescent="0.2">
      <c r="R1663" s="1288"/>
    </row>
    <row r="1664" spans="18:18" s="2" customFormat="1" ht="12.75" x14ac:dyDescent="0.2">
      <c r="R1664" s="1288"/>
    </row>
    <row r="1665" spans="18:18" s="2" customFormat="1" ht="12.75" x14ac:dyDescent="0.2">
      <c r="R1665" s="1288"/>
    </row>
    <row r="1666" spans="18:18" s="2" customFormat="1" ht="12.75" x14ac:dyDescent="0.2">
      <c r="R1666" s="1288"/>
    </row>
    <row r="1667" spans="18:18" s="2" customFormat="1" ht="12.75" x14ac:dyDescent="0.2">
      <c r="R1667" s="1288"/>
    </row>
    <row r="1668" spans="18:18" s="2" customFormat="1" ht="12.75" x14ac:dyDescent="0.2">
      <c r="R1668" s="1288"/>
    </row>
    <row r="1669" spans="18:18" s="2" customFormat="1" ht="12.75" x14ac:dyDescent="0.2">
      <c r="R1669" s="1288"/>
    </row>
    <row r="1670" spans="18:18" s="2" customFormat="1" ht="12.75" x14ac:dyDescent="0.2">
      <c r="R1670" s="1288"/>
    </row>
    <row r="1671" spans="18:18" s="2" customFormat="1" ht="12.75" x14ac:dyDescent="0.2">
      <c r="R1671" s="1288"/>
    </row>
    <row r="1672" spans="18:18" s="2" customFormat="1" ht="12.75" x14ac:dyDescent="0.2">
      <c r="R1672" s="1288"/>
    </row>
    <row r="1673" spans="18:18" s="2" customFormat="1" ht="12.75" x14ac:dyDescent="0.2">
      <c r="R1673" s="1288"/>
    </row>
    <row r="1674" spans="18:18" s="2" customFormat="1" ht="12.75" x14ac:dyDescent="0.2">
      <c r="R1674" s="1288"/>
    </row>
    <row r="1675" spans="18:18" s="2" customFormat="1" ht="12.75" x14ac:dyDescent="0.2">
      <c r="R1675" s="1288"/>
    </row>
    <row r="1676" spans="18:18" s="2" customFormat="1" ht="12.75" x14ac:dyDescent="0.2">
      <c r="R1676" s="1288"/>
    </row>
    <row r="1677" spans="18:18" s="2" customFormat="1" ht="12.75" x14ac:dyDescent="0.2">
      <c r="R1677" s="1288"/>
    </row>
    <row r="1678" spans="18:18" s="2" customFormat="1" ht="12.75" x14ac:dyDescent="0.2">
      <c r="R1678" s="1288"/>
    </row>
    <row r="1679" spans="18:18" s="2" customFormat="1" ht="12.75" x14ac:dyDescent="0.2">
      <c r="R1679" s="1288"/>
    </row>
    <row r="1680" spans="18:18" s="2" customFormat="1" ht="12.75" x14ac:dyDescent="0.2">
      <c r="R1680" s="1288"/>
    </row>
    <row r="1681" spans="18:18" s="2" customFormat="1" ht="12.75" x14ac:dyDescent="0.2">
      <c r="R1681" s="1288"/>
    </row>
    <row r="1682" spans="18:18" s="2" customFormat="1" ht="12.75" x14ac:dyDescent="0.2">
      <c r="R1682" s="1288"/>
    </row>
    <row r="1683" spans="18:18" s="2" customFormat="1" ht="12.75" x14ac:dyDescent="0.2">
      <c r="R1683" s="1288"/>
    </row>
    <row r="1684" spans="18:18" s="2" customFormat="1" ht="12.75" x14ac:dyDescent="0.2">
      <c r="R1684" s="1288"/>
    </row>
    <row r="1685" spans="18:18" s="2" customFormat="1" ht="12.75" x14ac:dyDescent="0.2">
      <c r="R1685" s="1288"/>
    </row>
    <row r="1686" spans="18:18" s="2" customFormat="1" ht="12.75" x14ac:dyDescent="0.2">
      <c r="R1686" s="1288"/>
    </row>
    <row r="1687" spans="18:18" s="2" customFormat="1" ht="12.75" x14ac:dyDescent="0.2">
      <c r="R1687" s="1288"/>
    </row>
    <row r="1688" spans="18:18" s="2" customFormat="1" ht="12.75" x14ac:dyDescent="0.2">
      <c r="R1688" s="1288"/>
    </row>
    <row r="1689" spans="18:18" s="2" customFormat="1" ht="12.75" x14ac:dyDescent="0.2">
      <c r="R1689" s="1288"/>
    </row>
    <row r="1690" spans="18:18" s="2" customFormat="1" ht="12.75" x14ac:dyDescent="0.2">
      <c r="R1690" s="1288"/>
    </row>
    <row r="1691" spans="18:18" s="2" customFormat="1" ht="12.75" x14ac:dyDescent="0.2">
      <c r="R1691" s="1288"/>
    </row>
    <row r="1692" spans="18:18" s="2" customFormat="1" ht="12.75" x14ac:dyDescent="0.2">
      <c r="R1692" s="1288"/>
    </row>
    <row r="1693" spans="18:18" s="2" customFormat="1" ht="12.75" x14ac:dyDescent="0.2">
      <c r="R1693" s="1288"/>
    </row>
    <row r="1694" spans="18:18" s="2" customFormat="1" ht="12.75" x14ac:dyDescent="0.2">
      <c r="R1694" s="1288"/>
    </row>
    <row r="1695" spans="18:18" s="2" customFormat="1" ht="12.75" x14ac:dyDescent="0.2">
      <c r="R1695" s="1288"/>
    </row>
    <row r="1696" spans="18:18" s="2" customFormat="1" ht="12.75" x14ac:dyDescent="0.2">
      <c r="R1696" s="1288"/>
    </row>
    <row r="1697" spans="18:18" s="2" customFormat="1" ht="12.75" x14ac:dyDescent="0.2">
      <c r="R1697" s="1288"/>
    </row>
    <row r="1698" spans="18:18" s="2" customFormat="1" ht="12.75" x14ac:dyDescent="0.2">
      <c r="R1698" s="1288"/>
    </row>
    <row r="1699" spans="18:18" s="2" customFormat="1" ht="12.75" x14ac:dyDescent="0.2">
      <c r="R1699" s="1288"/>
    </row>
    <row r="1700" spans="18:18" s="2" customFormat="1" ht="12.75" x14ac:dyDescent="0.2">
      <c r="R1700" s="1288"/>
    </row>
    <row r="1701" spans="18:18" s="2" customFormat="1" ht="12.75" x14ac:dyDescent="0.2">
      <c r="R1701" s="1288"/>
    </row>
    <row r="1702" spans="18:18" s="2" customFormat="1" ht="12.75" x14ac:dyDescent="0.2">
      <c r="R1702" s="1288"/>
    </row>
    <row r="1703" spans="18:18" s="2" customFormat="1" ht="12.75" x14ac:dyDescent="0.2">
      <c r="R1703" s="1288"/>
    </row>
    <row r="1704" spans="18:18" s="2" customFormat="1" ht="12.75" x14ac:dyDescent="0.2">
      <c r="R1704" s="1288"/>
    </row>
    <row r="1705" spans="18:18" s="2" customFormat="1" ht="12.75" x14ac:dyDescent="0.2">
      <c r="R1705" s="1288"/>
    </row>
    <row r="1706" spans="18:18" s="2" customFormat="1" ht="12.75" x14ac:dyDescent="0.2">
      <c r="R1706" s="1288"/>
    </row>
    <row r="1707" spans="18:18" s="2" customFormat="1" ht="12.75" x14ac:dyDescent="0.2">
      <c r="R1707" s="1288"/>
    </row>
    <row r="1708" spans="18:18" s="2" customFormat="1" ht="12.75" x14ac:dyDescent="0.2">
      <c r="R1708" s="1288"/>
    </row>
    <row r="1709" spans="18:18" s="2" customFormat="1" ht="12.75" x14ac:dyDescent="0.2">
      <c r="R1709" s="1288"/>
    </row>
    <row r="1710" spans="18:18" s="2" customFormat="1" ht="12.75" x14ac:dyDescent="0.2">
      <c r="R1710" s="1288"/>
    </row>
    <row r="1711" spans="18:18" s="2" customFormat="1" ht="12.75" x14ac:dyDescent="0.2">
      <c r="R1711" s="1288"/>
    </row>
    <row r="1712" spans="18:18" s="2" customFormat="1" ht="12.75" x14ac:dyDescent="0.2">
      <c r="R1712" s="1288"/>
    </row>
    <row r="1713" spans="18:18" s="2" customFormat="1" ht="12.75" x14ac:dyDescent="0.2">
      <c r="R1713" s="1288"/>
    </row>
    <row r="1714" spans="18:18" s="2" customFormat="1" ht="12.75" x14ac:dyDescent="0.2">
      <c r="R1714" s="1288"/>
    </row>
    <row r="1715" spans="18:18" s="2" customFormat="1" ht="12.75" x14ac:dyDescent="0.2">
      <c r="R1715" s="1288"/>
    </row>
    <row r="1716" spans="18:18" s="2" customFormat="1" ht="12.75" x14ac:dyDescent="0.2">
      <c r="R1716" s="1288"/>
    </row>
    <row r="1717" spans="18:18" s="2" customFormat="1" ht="12.75" x14ac:dyDescent="0.2">
      <c r="R1717" s="1288"/>
    </row>
    <row r="1718" spans="18:18" s="2" customFormat="1" ht="12.75" x14ac:dyDescent="0.2">
      <c r="R1718" s="1288"/>
    </row>
    <row r="1719" spans="18:18" s="2" customFormat="1" ht="12.75" x14ac:dyDescent="0.2">
      <c r="R1719" s="1288"/>
    </row>
    <row r="1720" spans="18:18" s="2" customFormat="1" ht="12.75" x14ac:dyDescent="0.2">
      <c r="R1720" s="1288"/>
    </row>
    <row r="1721" spans="18:18" s="2" customFormat="1" ht="12.75" x14ac:dyDescent="0.2">
      <c r="R1721" s="1288"/>
    </row>
    <row r="1722" spans="18:18" s="2" customFormat="1" ht="12.75" x14ac:dyDescent="0.2">
      <c r="R1722" s="1288"/>
    </row>
    <row r="1723" spans="18:18" s="2" customFormat="1" ht="12.75" x14ac:dyDescent="0.2">
      <c r="R1723" s="1288"/>
    </row>
    <row r="1724" spans="18:18" s="2" customFormat="1" ht="12.75" x14ac:dyDescent="0.2">
      <c r="R1724" s="1288"/>
    </row>
    <row r="1725" spans="18:18" s="2" customFormat="1" ht="12.75" x14ac:dyDescent="0.2">
      <c r="R1725" s="1288"/>
    </row>
    <row r="1726" spans="18:18" s="2" customFormat="1" ht="12.75" x14ac:dyDescent="0.2">
      <c r="R1726" s="1288"/>
    </row>
    <row r="1727" spans="18:18" s="2" customFormat="1" ht="12.75" x14ac:dyDescent="0.2">
      <c r="R1727" s="1288"/>
    </row>
    <row r="1728" spans="18:18" s="2" customFormat="1" ht="12.75" x14ac:dyDescent="0.2">
      <c r="R1728" s="1288"/>
    </row>
    <row r="1729" spans="18:18" s="2" customFormat="1" ht="12.75" x14ac:dyDescent="0.2">
      <c r="R1729" s="1288"/>
    </row>
    <row r="1730" spans="18:18" s="2" customFormat="1" ht="12.75" x14ac:dyDescent="0.2">
      <c r="R1730" s="1288"/>
    </row>
    <row r="1731" spans="18:18" s="2" customFormat="1" ht="12.75" x14ac:dyDescent="0.2">
      <c r="R1731" s="1288"/>
    </row>
    <row r="1732" spans="18:18" s="2" customFormat="1" ht="12.75" x14ac:dyDescent="0.2">
      <c r="R1732" s="1288"/>
    </row>
    <row r="1733" spans="18:18" s="2" customFormat="1" ht="12.75" x14ac:dyDescent="0.2">
      <c r="R1733" s="1288"/>
    </row>
    <row r="1734" spans="18:18" s="2" customFormat="1" ht="12.75" x14ac:dyDescent="0.2">
      <c r="R1734" s="1288"/>
    </row>
    <row r="1735" spans="18:18" s="2" customFormat="1" ht="12.75" x14ac:dyDescent="0.2">
      <c r="R1735" s="1288"/>
    </row>
    <row r="1736" spans="18:18" s="2" customFormat="1" ht="12.75" x14ac:dyDescent="0.2">
      <c r="R1736" s="1288"/>
    </row>
    <row r="1737" spans="18:18" s="2" customFormat="1" ht="12.75" x14ac:dyDescent="0.2">
      <c r="R1737" s="1288"/>
    </row>
    <row r="1738" spans="18:18" s="2" customFormat="1" ht="12.75" x14ac:dyDescent="0.2">
      <c r="R1738" s="1288"/>
    </row>
    <row r="1739" spans="18:18" s="2" customFormat="1" ht="12.75" x14ac:dyDescent="0.2">
      <c r="R1739" s="1288"/>
    </row>
    <row r="1740" spans="18:18" s="2" customFormat="1" ht="12.75" x14ac:dyDescent="0.2">
      <c r="R1740" s="1288"/>
    </row>
    <row r="1741" spans="18:18" s="2" customFormat="1" ht="12.75" x14ac:dyDescent="0.2">
      <c r="R1741" s="1288"/>
    </row>
    <row r="1742" spans="18:18" s="2" customFormat="1" ht="12.75" x14ac:dyDescent="0.2">
      <c r="R1742" s="1288"/>
    </row>
    <row r="1743" spans="18:18" s="2" customFormat="1" ht="12.75" x14ac:dyDescent="0.2">
      <c r="R1743" s="1288"/>
    </row>
    <row r="1744" spans="18:18" s="2" customFormat="1" ht="12.75" x14ac:dyDescent="0.2">
      <c r="R1744" s="1288"/>
    </row>
    <row r="1745" spans="18:18" s="2" customFormat="1" ht="12.75" x14ac:dyDescent="0.2">
      <c r="R1745" s="1288"/>
    </row>
    <row r="1746" spans="18:18" s="2" customFormat="1" ht="12.75" x14ac:dyDescent="0.2">
      <c r="R1746" s="1288"/>
    </row>
    <row r="1747" spans="18:18" s="2" customFormat="1" ht="12.75" x14ac:dyDescent="0.2">
      <c r="R1747" s="1288"/>
    </row>
    <row r="1748" spans="18:18" s="2" customFormat="1" ht="12.75" x14ac:dyDescent="0.2">
      <c r="R1748" s="1288"/>
    </row>
    <row r="1749" spans="18:18" s="2" customFormat="1" ht="12.75" x14ac:dyDescent="0.2">
      <c r="R1749" s="1288"/>
    </row>
    <row r="1750" spans="18:18" s="2" customFormat="1" ht="12.75" x14ac:dyDescent="0.2">
      <c r="R1750" s="1288"/>
    </row>
    <row r="1751" spans="18:18" s="2" customFormat="1" ht="12.75" x14ac:dyDescent="0.2">
      <c r="R1751" s="1288"/>
    </row>
    <row r="1752" spans="18:18" s="2" customFormat="1" ht="12.75" x14ac:dyDescent="0.2">
      <c r="R1752" s="1288"/>
    </row>
    <row r="1753" spans="18:18" s="2" customFormat="1" ht="12.75" x14ac:dyDescent="0.2">
      <c r="R1753" s="1288"/>
    </row>
    <row r="1754" spans="18:18" s="2" customFormat="1" ht="12.75" x14ac:dyDescent="0.2">
      <c r="R1754" s="1288"/>
    </row>
    <row r="1755" spans="18:18" s="2" customFormat="1" ht="12.75" x14ac:dyDescent="0.2">
      <c r="R1755" s="1288"/>
    </row>
    <row r="1756" spans="18:18" s="2" customFormat="1" ht="12.75" x14ac:dyDescent="0.2">
      <c r="R1756" s="1288"/>
    </row>
    <row r="1757" spans="18:18" s="2" customFormat="1" ht="12.75" x14ac:dyDescent="0.2">
      <c r="R1757" s="1288"/>
    </row>
    <row r="1758" spans="18:18" s="2" customFormat="1" ht="12.75" x14ac:dyDescent="0.2">
      <c r="R1758" s="1288"/>
    </row>
    <row r="1759" spans="18:18" s="2" customFormat="1" ht="12.75" x14ac:dyDescent="0.2">
      <c r="R1759" s="1288"/>
    </row>
    <row r="1760" spans="18:18" s="2" customFormat="1" ht="12.75" x14ac:dyDescent="0.2">
      <c r="R1760" s="1288"/>
    </row>
    <row r="1761" spans="18:18" s="2" customFormat="1" ht="12.75" x14ac:dyDescent="0.2">
      <c r="R1761" s="1288"/>
    </row>
    <row r="1762" spans="18:18" s="2" customFormat="1" ht="12.75" x14ac:dyDescent="0.2">
      <c r="R1762" s="1288"/>
    </row>
    <row r="1763" spans="18:18" s="2" customFormat="1" ht="12.75" x14ac:dyDescent="0.2">
      <c r="R1763" s="1288"/>
    </row>
    <row r="1764" spans="18:18" s="2" customFormat="1" ht="12.75" x14ac:dyDescent="0.2">
      <c r="R1764" s="1288"/>
    </row>
    <row r="1765" spans="18:18" s="2" customFormat="1" ht="12.75" x14ac:dyDescent="0.2">
      <c r="R1765" s="1288"/>
    </row>
    <row r="1766" spans="18:18" s="2" customFormat="1" ht="12.75" x14ac:dyDescent="0.2">
      <c r="R1766" s="1288"/>
    </row>
    <row r="1767" spans="18:18" s="2" customFormat="1" ht="12.75" x14ac:dyDescent="0.2">
      <c r="R1767" s="1288"/>
    </row>
    <row r="1768" spans="18:18" s="2" customFormat="1" ht="12.75" x14ac:dyDescent="0.2">
      <c r="R1768" s="1288"/>
    </row>
    <row r="1769" spans="18:18" s="2" customFormat="1" ht="12.75" x14ac:dyDescent="0.2">
      <c r="R1769" s="1288"/>
    </row>
    <row r="1770" spans="18:18" s="2" customFormat="1" ht="12.75" x14ac:dyDescent="0.2">
      <c r="R1770" s="1288"/>
    </row>
    <row r="1771" spans="18:18" s="2" customFormat="1" ht="12.75" x14ac:dyDescent="0.2">
      <c r="R1771" s="1288"/>
    </row>
    <row r="1772" spans="18:18" s="2" customFormat="1" ht="12.75" x14ac:dyDescent="0.2">
      <c r="R1772" s="1288"/>
    </row>
    <row r="1773" spans="18:18" s="2" customFormat="1" ht="12.75" x14ac:dyDescent="0.2">
      <c r="R1773" s="1288"/>
    </row>
    <row r="1774" spans="18:18" s="2" customFormat="1" ht="12.75" x14ac:dyDescent="0.2">
      <c r="R1774" s="1288"/>
    </row>
    <row r="1775" spans="18:18" s="2" customFormat="1" ht="12.75" x14ac:dyDescent="0.2">
      <c r="R1775" s="1288"/>
    </row>
    <row r="1776" spans="18:18" s="2" customFormat="1" ht="12.75" x14ac:dyDescent="0.2">
      <c r="R1776" s="1288"/>
    </row>
    <row r="1777" spans="18:18" s="2" customFormat="1" ht="12.75" x14ac:dyDescent="0.2">
      <c r="R1777" s="1288"/>
    </row>
    <row r="1778" spans="18:18" s="2" customFormat="1" ht="12.75" x14ac:dyDescent="0.2">
      <c r="R1778" s="1288"/>
    </row>
    <row r="1779" spans="18:18" s="2" customFormat="1" ht="12.75" x14ac:dyDescent="0.2">
      <c r="R1779" s="1288"/>
    </row>
    <row r="1780" spans="18:18" s="2" customFormat="1" ht="12.75" x14ac:dyDescent="0.2">
      <c r="R1780" s="1288"/>
    </row>
    <row r="1781" spans="18:18" s="2" customFormat="1" ht="12.75" x14ac:dyDescent="0.2">
      <c r="R1781" s="1288"/>
    </row>
    <row r="1782" spans="18:18" s="2" customFormat="1" ht="12.75" x14ac:dyDescent="0.2">
      <c r="R1782" s="1288"/>
    </row>
    <row r="1783" spans="18:18" s="2" customFormat="1" ht="12.75" x14ac:dyDescent="0.2">
      <c r="R1783" s="1288"/>
    </row>
    <row r="1784" spans="18:18" s="2" customFormat="1" ht="12.75" x14ac:dyDescent="0.2">
      <c r="R1784" s="1288"/>
    </row>
    <row r="1785" spans="18:18" s="2" customFormat="1" ht="12.75" x14ac:dyDescent="0.2">
      <c r="R1785" s="1288"/>
    </row>
    <row r="1786" spans="18:18" s="2" customFormat="1" ht="12.75" x14ac:dyDescent="0.2">
      <c r="R1786" s="1288"/>
    </row>
    <row r="1787" spans="18:18" s="2" customFormat="1" ht="12.75" x14ac:dyDescent="0.2">
      <c r="R1787" s="1288"/>
    </row>
    <row r="1788" spans="18:18" s="2" customFormat="1" ht="12.75" x14ac:dyDescent="0.2">
      <c r="R1788" s="1288"/>
    </row>
    <row r="1789" spans="18:18" s="2" customFormat="1" ht="12.75" x14ac:dyDescent="0.2">
      <c r="R1789" s="1288"/>
    </row>
    <row r="1790" spans="18:18" s="2" customFormat="1" ht="12.75" x14ac:dyDescent="0.2">
      <c r="R1790" s="1288"/>
    </row>
    <row r="1791" spans="18:18" s="2" customFormat="1" ht="12.75" x14ac:dyDescent="0.2">
      <c r="R1791" s="1288"/>
    </row>
    <row r="1792" spans="18:18" s="2" customFormat="1" ht="12.75" x14ac:dyDescent="0.2">
      <c r="R1792" s="1288"/>
    </row>
    <row r="1793" spans="18:18" s="2" customFormat="1" ht="12.75" x14ac:dyDescent="0.2">
      <c r="R1793" s="1288"/>
    </row>
    <row r="1794" spans="18:18" s="2" customFormat="1" ht="12.75" x14ac:dyDescent="0.2">
      <c r="R1794" s="1288"/>
    </row>
    <row r="1795" spans="18:18" s="2" customFormat="1" ht="12.75" x14ac:dyDescent="0.2">
      <c r="R1795" s="1288"/>
    </row>
    <row r="1796" spans="18:18" s="2" customFormat="1" ht="12.75" x14ac:dyDescent="0.2">
      <c r="R1796" s="1288"/>
    </row>
    <row r="1797" spans="18:18" s="2" customFormat="1" ht="12.75" x14ac:dyDescent="0.2">
      <c r="R1797" s="1288"/>
    </row>
    <row r="1798" spans="18:18" s="2" customFormat="1" ht="12.75" x14ac:dyDescent="0.2">
      <c r="R1798" s="1288"/>
    </row>
    <row r="1799" spans="18:18" s="2" customFormat="1" ht="12.75" x14ac:dyDescent="0.2">
      <c r="R1799" s="1288"/>
    </row>
    <row r="1800" spans="18:18" s="2" customFormat="1" ht="12.75" x14ac:dyDescent="0.2">
      <c r="R1800" s="1288"/>
    </row>
    <row r="1801" spans="18:18" s="2" customFormat="1" ht="12.75" x14ac:dyDescent="0.2">
      <c r="R1801" s="1288"/>
    </row>
    <row r="1802" spans="18:18" s="2" customFormat="1" ht="12.75" x14ac:dyDescent="0.2">
      <c r="R1802" s="1288"/>
    </row>
    <row r="1803" spans="18:18" s="2" customFormat="1" ht="12.75" x14ac:dyDescent="0.2">
      <c r="R1803" s="1288"/>
    </row>
    <row r="1804" spans="18:18" s="2" customFormat="1" ht="12.75" x14ac:dyDescent="0.2">
      <c r="R1804" s="1288"/>
    </row>
    <row r="1805" spans="18:18" s="2" customFormat="1" ht="12.75" x14ac:dyDescent="0.2">
      <c r="R1805" s="1288"/>
    </row>
    <row r="1806" spans="18:18" s="2" customFormat="1" ht="12.75" x14ac:dyDescent="0.2">
      <c r="R1806" s="1288"/>
    </row>
    <row r="1807" spans="18:18" s="2" customFormat="1" ht="12.75" x14ac:dyDescent="0.2">
      <c r="R1807" s="1288"/>
    </row>
    <row r="1808" spans="18:18" s="2" customFormat="1" ht="12.75" x14ac:dyDescent="0.2">
      <c r="R1808" s="1288"/>
    </row>
    <row r="1809" spans="18:18" s="2" customFormat="1" ht="12.75" x14ac:dyDescent="0.2">
      <c r="R1809" s="1288"/>
    </row>
    <row r="1810" spans="18:18" s="2" customFormat="1" ht="12.75" x14ac:dyDescent="0.2">
      <c r="R1810" s="1288"/>
    </row>
    <row r="1811" spans="18:18" s="2" customFormat="1" ht="12.75" x14ac:dyDescent="0.2">
      <c r="R1811" s="1288"/>
    </row>
    <row r="1812" spans="18:18" s="2" customFormat="1" ht="12.75" x14ac:dyDescent="0.2">
      <c r="R1812" s="1288"/>
    </row>
    <row r="1813" spans="18:18" s="2" customFormat="1" ht="12.75" x14ac:dyDescent="0.2">
      <c r="R1813" s="1288"/>
    </row>
    <row r="1814" spans="18:18" s="2" customFormat="1" ht="12.75" x14ac:dyDescent="0.2">
      <c r="R1814" s="1288"/>
    </row>
    <row r="1815" spans="18:18" s="2" customFormat="1" ht="12.75" x14ac:dyDescent="0.2">
      <c r="R1815" s="1288"/>
    </row>
    <row r="1816" spans="18:18" s="2" customFormat="1" ht="12.75" x14ac:dyDescent="0.2">
      <c r="R1816" s="1288"/>
    </row>
    <row r="1817" spans="18:18" s="2" customFormat="1" ht="12.75" x14ac:dyDescent="0.2">
      <c r="R1817" s="1288"/>
    </row>
    <row r="1818" spans="18:18" s="2" customFormat="1" ht="12.75" x14ac:dyDescent="0.2">
      <c r="R1818" s="1288"/>
    </row>
    <row r="1819" spans="18:18" s="2" customFormat="1" ht="12.75" x14ac:dyDescent="0.2">
      <c r="R1819" s="1288"/>
    </row>
    <row r="1820" spans="18:18" s="2" customFormat="1" ht="12.75" x14ac:dyDescent="0.2">
      <c r="R1820" s="1288"/>
    </row>
    <row r="1821" spans="18:18" s="2" customFormat="1" ht="12.75" x14ac:dyDescent="0.2">
      <c r="R1821" s="1288"/>
    </row>
    <row r="1822" spans="18:18" s="2" customFormat="1" ht="12.75" x14ac:dyDescent="0.2">
      <c r="R1822" s="1288"/>
    </row>
    <row r="1823" spans="18:18" s="2" customFormat="1" ht="12.75" x14ac:dyDescent="0.2">
      <c r="R1823" s="1288"/>
    </row>
    <row r="1824" spans="18:18" s="2" customFormat="1" ht="12.75" x14ac:dyDescent="0.2">
      <c r="R1824" s="1288"/>
    </row>
    <row r="1825" spans="18:18" s="2" customFormat="1" ht="12.75" x14ac:dyDescent="0.2">
      <c r="R1825" s="1288"/>
    </row>
    <row r="1826" spans="18:18" s="2" customFormat="1" ht="12.75" x14ac:dyDescent="0.2">
      <c r="R1826" s="1288"/>
    </row>
    <row r="1827" spans="18:18" s="2" customFormat="1" ht="12.75" x14ac:dyDescent="0.2">
      <c r="R1827" s="1288"/>
    </row>
    <row r="1828" spans="18:18" s="2" customFormat="1" ht="12.75" x14ac:dyDescent="0.2">
      <c r="R1828" s="1288"/>
    </row>
    <row r="1829" spans="18:18" s="2" customFormat="1" ht="12.75" x14ac:dyDescent="0.2">
      <c r="R1829" s="1288"/>
    </row>
    <row r="1830" spans="18:18" s="2" customFormat="1" ht="12.75" x14ac:dyDescent="0.2">
      <c r="R1830" s="1288"/>
    </row>
    <row r="1831" spans="18:18" s="2" customFormat="1" ht="12.75" x14ac:dyDescent="0.2">
      <c r="R1831" s="1288"/>
    </row>
    <row r="1832" spans="18:18" s="2" customFormat="1" ht="12.75" x14ac:dyDescent="0.2">
      <c r="R1832" s="1288"/>
    </row>
    <row r="1833" spans="18:18" s="2" customFormat="1" ht="12.75" x14ac:dyDescent="0.2">
      <c r="R1833" s="1288"/>
    </row>
    <row r="1834" spans="18:18" s="2" customFormat="1" ht="12.75" x14ac:dyDescent="0.2">
      <c r="R1834" s="1288"/>
    </row>
    <row r="1835" spans="18:18" s="2" customFormat="1" ht="12.75" x14ac:dyDescent="0.2">
      <c r="R1835" s="1288"/>
    </row>
    <row r="1836" spans="18:18" s="2" customFormat="1" ht="12.75" x14ac:dyDescent="0.2">
      <c r="R1836" s="1288"/>
    </row>
    <row r="1837" spans="18:18" s="2" customFormat="1" ht="12.75" x14ac:dyDescent="0.2">
      <c r="R1837" s="1288"/>
    </row>
    <row r="1838" spans="18:18" s="2" customFormat="1" ht="12.75" x14ac:dyDescent="0.2">
      <c r="R1838" s="1288"/>
    </row>
    <row r="1839" spans="18:18" s="2" customFormat="1" ht="12.75" x14ac:dyDescent="0.2">
      <c r="R1839" s="1288"/>
    </row>
    <row r="1840" spans="18:18" s="2" customFormat="1" ht="12.75" x14ac:dyDescent="0.2">
      <c r="R1840" s="1288"/>
    </row>
    <row r="1841" spans="18:18" s="2" customFormat="1" ht="12.75" x14ac:dyDescent="0.2">
      <c r="R1841" s="1288"/>
    </row>
    <row r="1842" spans="18:18" s="2" customFormat="1" ht="12.75" x14ac:dyDescent="0.2">
      <c r="R1842" s="1288"/>
    </row>
    <row r="1843" spans="18:18" s="2" customFormat="1" ht="12.75" x14ac:dyDescent="0.2">
      <c r="R1843" s="1288"/>
    </row>
    <row r="1844" spans="18:18" s="2" customFormat="1" ht="12.75" x14ac:dyDescent="0.2">
      <c r="R1844" s="1288"/>
    </row>
    <row r="1845" spans="18:18" s="2" customFormat="1" ht="12.75" x14ac:dyDescent="0.2">
      <c r="R1845" s="1288"/>
    </row>
    <row r="1846" spans="18:18" s="2" customFormat="1" ht="12.75" x14ac:dyDescent="0.2">
      <c r="R1846" s="1288"/>
    </row>
    <row r="1847" spans="18:18" s="2" customFormat="1" ht="12.75" x14ac:dyDescent="0.2">
      <c r="R1847" s="1288"/>
    </row>
    <row r="1848" spans="18:18" s="2" customFormat="1" ht="12.75" x14ac:dyDescent="0.2">
      <c r="R1848" s="1288"/>
    </row>
    <row r="1849" spans="18:18" s="2" customFormat="1" ht="12.75" x14ac:dyDescent="0.2">
      <c r="R1849" s="1288"/>
    </row>
    <row r="1850" spans="18:18" s="2" customFormat="1" ht="12.75" x14ac:dyDescent="0.2">
      <c r="R1850" s="1288"/>
    </row>
    <row r="1851" spans="18:18" s="2" customFormat="1" ht="12.75" x14ac:dyDescent="0.2">
      <c r="R1851" s="1288"/>
    </row>
    <row r="1852" spans="18:18" s="2" customFormat="1" ht="12.75" x14ac:dyDescent="0.2">
      <c r="R1852" s="1288"/>
    </row>
    <row r="1853" spans="18:18" s="2" customFormat="1" ht="12.75" x14ac:dyDescent="0.2">
      <c r="R1853" s="1288"/>
    </row>
    <row r="1854" spans="18:18" s="2" customFormat="1" ht="12.75" x14ac:dyDescent="0.2">
      <c r="R1854" s="1288"/>
    </row>
    <row r="1855" spans="18:18" s="2" customFormat="1" ht="12.75" x14ac:dyDescent="0.2">
      <c r="R1855" s="1288"/>
    </row>
    <row r="1856" spans="18:18" s="2" customFormat="1" ht="12.75" x14ac:dyDescent="0.2">
      <c r="R1856" s="1288"/>
    </row>
    <row r="1857" spans="18:18" s="2" customFormat="1" ht="12.75" x14ac:dyDescent="0.2">
      <c r="R1857" s="1288"/>
    </row>
    <row r="1858" spans="18:18" s="2" customFormat="1" ht="12.75" x14ac:dyDescent="0.2">
      <c r="R1858" s="1288"/>
    </row>
    <row r="1859" spans="18:18" s="2" customFormat="1" ht="12.75" x14ac:dyDescent="0.2">
      <c r="R1859" s="1288"/>
    </row>
    <row r="1860" spans="18:18" s="2" customFormat="1" ht="12.75" x14ac:dyDescent="0.2">
      <c r="R1860" s="1288"/>
    </row>
    <row r="1861" spans="18:18" s="2" customFormat="1" ht="12.75" x14ac:dyDescent="0.2">
      <c r="R1861" s="1288"/>
    </row>
    <row r="1862" spans="18:18" s="2" customFormat="1" ht="12.75" x14ac:dyDescent="0.2">
      <c r="R1862" s="1288"/>
    </row>
    <row r="1863" spans="18:18" s="2" customFormat="1" ht="12.75" x14ac:dyDescent="0.2">
      <c r="R1863" s="1288"/>
    </row>
    <row r="1864" spans="18:18" s="2" customFormat="1" ht="12.75" x14ac:dyDescent="0.2">
      <c r="R1864" s="1288"/>
    </row>
    <row r="1865" spans="18:18" s="2" customFormat="1" ht="12.75" x14ac:dyDescent="0.2">
      <c r="R1865" s="1288"/>
    </row>
    <row r="1866" spans="18:18" s="2" customFormat="1" ht="12.75" x14ac:dyDescent="0.2">
      <c r="R1866" s="1288"/>
    </row>
    <row r="1867" spans="18:18" s="2" customFormat="1" ht="12.75" x14ac:dyDescent="0.2">
      <c r="R1867" s="1288"/>
    </row>
    <row r="1868" spans="18:18" s="2" customFormat="1" ht="12.75" x14ac:dyDescent="0.2">
      <c r="R1868" s="1288"/>
    </row>
    <row r="1869" spans="18:18" s="2" customFormat="1" ht="12.75" x14ac:dyDescent="0.2">
      <c r="R1869" s="1288"/>
    </row>
    <row r="1870" spans="18:18" s="2" customFormat="1" ht="12.75" x14ac:dyDescent="0.2">
      <c r="R1870" s="1288"/>
    </row>
    <row r="1871" spans="18:18" s="2" customFormat="1" ht="12.75" x14ac:dyDescent="0.2">
      <c r="R1871" s="1288"/>
    </row>
    <row r="1872" spans="18:18" s="2" customFormat="1" ht="12.75" x14ac:dyDescent="0.2">
      <c r="R1872" s="1288"/>
    </row>
    <row r="1873" spans="18:18" s="2" customFormat="1" ht="12.75" x14ac:dyDescent="0.2">
      <c r="R1873" s="1288"/>
    </row>
    <row r="1874" spans="18:18" s="2" customFormat="1" ht="12.75" x14ac:dyDescent="0.2">
      <c r="R1874" s="1288"/>
    </row>
    <row r="1875" spans="18:18" s="2" customFormat="1" ht="12.75" x14ac:dyDescent="0.2">
      <c r="R1875" s="1288"/>
    </row>
    <row r="1876" spans="18:18" s="2" customFormat="1" ht="12.75" x14ac:dyDescent="0.2">
      <c r="R1876" s="1288"/>
    </row>
    <row r="1877" spans="18:18" s="2" customFormat="1" ht="12.75" x14ac:dyDescent="0.2">
      <c r="R1877" s="1288"/>
    </row>
    <row r="1878" spans="18:18" s="2" customFormat="1" ht="12.75" x14ac:dyDescent="0.2">
      <c r="R1878" s="1288"/>
    </row>
    <row r="1879" spans="18:18" s="2" customFormat="1" ht="12.75" x14ac:dyDescent="0.2">
      <c r="R1879" s="1288"/>
    </row>
    <row r="1880" spans="18:18" s="2" customFormat="1" ht="12.75" x14ac:dyDescent="0.2">
      <c r="R1880" s="1288"/>
    </row>
    <row r="1881" spans="18:18" s="2" customFormat="1" ht="12.75" x14ac:dyDescent="0.2">
      <c r="R1881" s="1288"/>
    </row>
    <row r="1882" spans="18:18" s="2" customFormat="1" ht="12.75" x14ac:dyDescent="0.2">
      <c r="R1882" s="1288"/>
    </row>
    <row r="1883" spans="18:18" s="2" customFormat="1" ht="12.75" x14ac:dyDescent="0.2">
      <c r="R1883" s="1288"/>
    </row>
    <row r="1884" spans="18:18" s="2" customFormat="1" ht="12.75" x14ac:dyDescent="0.2">
      <c r="R1884" s="1288"/>
    </row>
    <row r="1885" spans="18:18" s="2" customFormat="1" ht="12.75" x14ac:dyDescent="0.2">
      <c r="R1885" s="1288"/>
    </row>
    <row r="1886" spans="18:18" s="2" customFormat="1" ht="12.75" x14ac:dyDescent="0.2">
      <c r="R1886" s="1288"/>
    </row>
    <row r="1887" spans="18:18" s="2" customFormat="1" ht="12.75" x14ac:dyDescent="0.2">
      <c r="R1887" s="1288"/>
    </row>
    <row r="1888" spans="18:18" s="2" customFormat="1" ht="12.75" x14ac:dyDescent="0.2">
      <c r="R1888" s="1288"/>
    </row>
    <row r="1889" spans="18:18" s="2" customFormat="1" ht="12.75" x14ac:dyDescent="0.2">
      <c r="R1889" s="1288"/>
    </row>
    <row r="1890" spans="18:18" s="2" customFormat="1" ht="12.75" x14ac:dyDescent="0.2">
      <c r="R1890" s="1288"/>
    </row>
    <row r="1891" spans="18:18" s="2" customFormat="1" ht="12.75" x14ac:dyDescent="0.2">
      <c r="R1891" s="1288"/>
    </row>
    <row r="1892" spans="18:18" s="2" customFormat="1" ht="12.75" x14ac:dyDescent="0.2">
      <c r="R1892" s="1288"/>
    </row>
    <row r="1893" spans="18:18" s="2" customFormat="1" ht="12.75" x14ac:dyDescent="0.2">
      <c r="R1893" s="1288"/>
    </row>
    <row r="1894" spans="18:18" s="2" customFormat="1" ht="12.75" x14ac:dyDescent="0.2">
      <c r="R1894" s="1288"/>
    </row>
    <row r="1895" spans="18:18" s="2" customFormat="1" ht="12.75" x14ac:dyDescent="0.2">
      <c r="R1895" s="1288"/>
    </row>
    <row r="1896" spans="18:18" s="2" customFormat="1" ht="12.75" x14ac:dyDescent="0.2">
      <c r="R1896" s="1288"/>
    </row>
    <row r="1897" spans="18:18" s="2" customFormat="1" ht="12.75" x14ac:dyDescent="0.2">
      <c r="R1897" s="1288"/>
    </row>
    <row r="1898" spans="18:18" s="2" customFormat="1" ht="12.75" x14ac:dyDescent="0.2">
      <c r="R1898" s="1288"/>
    </row>
    <row r="1899" spans="18:18" s="2" customFormat="1" ht="12.75" x14ac:dyDescent="0.2">
      <c r="R1899" s="1288"/>
    </row>
    <row r="1900" spans="18:18" s="2" customFormat="1" ht="12.75" x14ac:dyDescent="0.2">
      <c r="R1900" s="1288"/>
    </row>
    <row r="1901" spans="18:18" s="2" customFormat="1" ht="12.75" x14ac:dyDescent="0.2">
      <c r="R1901" s="1288"/>
    </row>
    <row r="1902" spans="18:18" s="2" customFormat="1" ht="12.75" x14ac:dyDescent="0.2">
      <c r="R1902" s="1288"/>
    </row>
    <row r="1903" spans="18:18" s="2" customFormat="1" ht="12.75" x14ac:dyDescent="0.2">
      <c r="R1903" s="1288"/>
    </row>
    <row r="1904" spans="18:18" s="2" customFormat="1" ht="12.75" x14ac:dyDescent="0.2">
      <c r="R1904" s="1288"/>
    </row>
    <row r="1905" spans="18:18" s="2" customFormat="1" ht="12.75" x14ac:dyDescent="0.2">
      <c r="R1905" s="1288"/>
    </row>
    <row r="1906" spans="18:18" s="2" customFormat="1" ht="12.75" x14ac:dyDescent="0.2">
      <c r="R1906" s="1288"/>
    </row>
    <row r="1907" spans="18:18" s="2" customFormat="1" ht="12.75" x14ac:dyDescent="0.2">
      <c r="R1907" s="1288"/>
    </row>
    <row r="1908" spans="18:18" s="2" customFormat="1" ht="12.75" x14ac:dyDescent="0.2">
      <c r="R1908" s="1288"/>
    </row>
    <row r="1909" spans="18:18" s="2" customFormat="1" ht="12.75" x14ac:dyDescent="0.2">
      <c r="R1909" s="1288"/>
    </row>
    <row r="1910" spans="18:18" s="2" customFormat="1" ht="12.75" x14ac:dyDescent="0.2">
      <c r="R1910" s="1288"/>
    </row>
    <row r="1911" spans="18:18" s="2" customFormat="1" ht="12.75" x14ac:dyDescent="0.2">
      <c r="R1911" s="1288"/>
    </row>
    <row r="1912" spans="18:18" s="2" customFormat="1" ht="12.75" x14ac:dyDescent="0.2">
      <c r="R1912" s="1288"/>
    </row>
    <row r="1913" spans="18:18" s="2" customFormat="1" ht="12.75" x14ac:dyDescent="0.2">
      <c r="R1913" s="1288"/>
    </row>
    <row r="1914" spans="18:18" s="2" customFormat="1" ht="12.75" x14ac:dyDescent="0.2">
      <c r="R1914" s="1288"/>
    </row>
    <row r="1915" spans="18:18" s="2" customFormat="1" ht="12.75" x14ac:dyDescent="0.2">
      <c r="R1915" s="1288"/>
    </row>
    <row r="1916" spans="18:18" s="2" customFormat="1" ht="12.75" x14ac:dyDescent="0.2">
      <c r="R1916" s="1288"/>
    </row>
    <row r="1917" spans="18:18" s="2" customFormat="1" ht="12.75" x14ac:dyDescent="0.2">
      <c r="R1917" s="1288"/>
    </row>
    <row r="1918" spans="18:18" s="2" customFormat="1" ht="12.75" x14ac:dyDescent="0.2">
      <c r="R1918" s="1288"/>
    </row>
    <row r="1919" spans="18:18" s="2" customFormat="1" ht="12.75" x14ac:dyDescent="0.2">
      <c r="R1919" s="1288"/>
    </row>
    <row r="1920" spans="18:18" s="2" customFormat="1" ht="12.75" x14ac:dyDescent="0.2">
      <c r="R1920" s="1288"/>
    </row>
    <row r="1921" spans="18:18" s="2" customFormat="1" ht="12.75" x14ac:dyDescent="0.2">
      <c r="R1921" s="1288"/>
    </row>
    <row r="1922" spans="18:18" s="2" customFormat="1" ht="12.75" x14ac:dyDescent="0.2">
      <c r="R1922" s="1288"/>
    </row>
    <row r="1923" spans="18:18" s="2" customFormat="1" ht="12.75" x14ac:dyDescent="0.2">
      <c r="R1923" s="1288"/>
    </row>
    <row r="1924" spans="18:18" s="2" customFormat="1" ht="12.75" x14ac:dyDescent="0.2">
      <c r="R1924" s="1288"/>
    </row>
    <row r="1925" spans="18:18" s="2" customFormat="1" ht="12.75" x14ac:dyDescent="0.2">
      <c r="R1925" s="1288"/>
    </row>
    <row r="1926" spans="18:18" s="2" customFormat="1" ht="12.75" x14ac:dyDescent="0.2">
      <c r="R1926" s="1288"/>
    </row>
    <row r="1927" spans="18:18" s="2" customFormat="1" ht="12.75" x14ac:dyDescent="0.2">
      <c r="R1927" s="1288"/>
    </row>
    <row r="1928" spans="18:18" s="2" customFormat="1" ht="12.75" x14ac:dyDescent="0.2">
      <c r="R1928" s="1288"/>
    </row>
    <row r="1929" spans="18:18" s="2" customFormat="1" ht="12.75" x14ac:dyDescent="0.2">
      <c r="R1929" s="1288"/>
    </row>
    <row r="1930" spans="18:18" s="2" customFormat="1" ht="12.75" x14ac:dyDescent="0.2">
      <c r="R1930" s="1288"/>
    </row>
    <row r="1931" spans="18:18" s="2" customFormat="1" ht="12.75" x14ac:dyDescent="0.2">
      <c r="R1931" s="1288"/>
    </row>
    <row r="1932" spans="18:18" s="2" customFormat="1" ht="12.75" x14ac:dyDescent="0.2">
      <c r="R1932" s="1288"/>
    </row>
    <row r="1933" spans="18:18" s="2" customFormat="1" ht="12.75" x14ac:dyDescent="0.2">
      <c r="R1933" s="1288"/>
    </row>
    <row r="1934" spans="18:18" s="2" customFormat="1" ht="12.75" x14ac:dyDescent="0.2">
      <c r="R1934" s="1288"/>
    </row>
    <row r="1935" spans="18:18" s="2" customFormat="1" ht="12.75" x14ac:dyDescent="0.2">
      <c r="R1935" s="1288"/>
    </row>
    <row r="1936" spans="18:18" s="2" customFormat="1" ht="12.75" x14ac:dyDescent="0.2">
      <c r="R1936" s="1288"/>
    </row>
    <row r="1937" spans="18:18" s="2" customFormat="1" ht="12.75" x14ac:dyDescent="0.2">
      <c r="R1937" s="1288"/>
    </row>
    <row r="1938" spans="18:18" s="2" customFormat="1" ht="12.75" x14ac:dyDescent="0.2">
      <c r="R1938" s="1288"/>
    </row>
    <row r="1939" spans="18:18" s="2" customFormat="1" ht="12.75" x14ac:dyDescent="0.2">
      <c r="R1939" s="1288"/>
    </row>
    <row r="1940" spans="18:18" s="2" customFormat="1" ht="12.75" x14ac:dyDescent="0.2">
      <c r="R1940" s="1288"/>
    </row>
    <row r="1941" spans="18:18" s="2" customFormat="1" ht="12.75" x14ac:dyDescent="0.2">
      <c r="R1941" s="1288"/>
    </row>
    <row r="1942" spans="18:18" s="2" customFormat="1" ht="12.75" x14ac:dyDescent="0.2">
      <c r="R1942" s="1288"/>
    </row>
    <row r="1943" spans="18:18" s="2" customFormat="1" ht="12.75" x14ac:dyDescent="0.2">
      <c r="R1943" s="1288"/>
    </row>
    <row r="1944" spans="18:18" s="2" customFormat="1" ht="12.75" x14ac:dyDescent="0.2">
      <c r="R1944" s="1288"/>
    </row>
    <row r="1945" spans="18:18" s="2" customFormat="1" ht="12.75" x14ac:dyDescent="0.2">
      <c r="R1945" s="1288"/>
    </row>
    <row r="1946" spans="18:18" s="2" customFormat="1" ht="12.75" x14ac:dyDescent="0.2">
      <c r="R1946" s="1288"/>
    </row>
    <row r="1947" spans="18:18" s="2" customFormat="1" ht="12.75" x14ac:dyDescent="0.2">
      <c r="R1947" s="1288"/>
    </row>
    <row r="1948" spans="18:18" s="2" customFormat="1" ht="12.75" x14ac:dyDescent="0.2">
      <c r="R1948" s="1288"/>
    </row>
    <row r="1949" spans="18:18" s="2" customFormat="1" ht="12.75" x14ac:dyDescent="0.2">
      <c r="R1949" s="1288"/>
    </row>
    <row r="1950" spans="18:18" s="2" customFormat="1" ht="12.75" x14ac:dyDescent="0.2">
      <c r="R1950" s="1288"/>
    </row>
    <row r="1951" spans="18:18" s="2" customFormat="1" ht="12.75" x14ac:dyDescent="0.2">
      <c r="R1951" s="1288"/>
    </row>
    <row r="1952" spans="18:18" s="2" customFormat="1" ht="12.75" x14ac:dyDescent="0.2">
      <c r="R1952" s="1288"/>
    </row>
    <row r="1953" spans="18:18" s="2" customFormat="1" ht="12.75" x14ac:dyDescent="0.2">
      <c r="R1953" s="1288"/>
    </row>
    <row r="1954" spans="18:18" s="2" customFormat="1" ht="12.75" x14ac:dyDescent="0.2">
      <c r="R1954" s="1288"/>
    </row>
    <row r="1955" spans="18:18" s="2" customFormat="1" ht="12.75" x14ac:dyDescent="0.2">
      <c r="R1955" s="1288"/>
    </row>
    <row r="1956" spans="18:18" s="2" customFormat="1" ht="12.75" x14ac:dyDescent="0.2">
      <c r="R1956" s="1288"/>
    </row>
    <row r="1957" spans="18:18" s="2" customFormat="1" ht="12.75" x14ac:dyDescent="0.2">
      <c r="R1957" s="1288"/>
    </row>
    <row r="1958" spans="18:18" s="2" customFormat="1" ht="12.75" x14ac:dyDescent="0.2">
      <c r="R1958" s="1288"/>
    </row>
    <row r="1959" spans="18:18" s="2" customFormat="1" ht="12.75" x14ac:dyDescent="0.2">
      <c r="R1959" s="1288"/>
    </row>
    <row r="1960" spans="18:18" s="2" customFormat="1" ht="12.75" x14ac:dyDescent="0.2">
      <c r="R1960" s="1288"/>
    </row>
    <row r="1961" spans="18:18" s="2" customFormat="1" ht="12.75" x14ac:dyDescent="0.2">
      <c r="R1961" s="1288"/>
    </row>
    <row r="1962" spans="18:18" s="2" customFormat="1" ht="12.75" x14ac:dyDescent="0.2">
      <c r="R1962" s="1288"/>
    </row>
    <row r="1963" spans="18:18" s="2" customFormat="1" ht="12.75" x14ac:dyDescent="0.2">
      <c r="R1963" s="1288"/>
    </row>
    <row r="1964" spans="18:18" s="2" customFormat="1" ht="12.75" x14ac:dyDescent="0.2">
      <c r="R1964" s="1288"/>
    </row>
    <row r="1965" spans="18:18" s="2" customFormat="1" ht="12.75" x14ac:dyDescent="0.2">
      <c r="R1965" s="1288"/>
    </row>
    <row r="1966" spans="18:18" s="2" customFormat="1" ht="12.75" x14ac:dyDescent="0.2">
      <c r="R1966" s="1288"/>
    </row>
    <row r="1967" spans="18:18" s="2" customFormat="1" ht="12.75" x14ac:dyDescent="0.2">
      <c r="R1967" s="1288"/>
    </row>
    <row r="1968" spans="18:18" s="2" customFormat="1" ht="12.75" x14ac:dyDescent="0.2">
      <c r="R1968" s="1288"/>
    </row>
    <row r="1969" spans="18:18" s="2" customFormat="1" ht="12.75" x14ac:dyDescent="0.2">
      <c r="R1969" s="1288"/>
    </row>
    <row r="1970" spans="18:18" s="2" customFormat="1" ht="12.75" x14ac:dyDescent="0.2">
      <c r="R1970" s="1288"/>
    </row>
    <row r="1971" spans="18:18" s="2" customFormat="1" ht="12.75" x14ac:dyDescent="0.2">
      <c r="R1971" s="1288"/>
    </row>
    <row r="1972" spans="18:18" s="2" customFormat="1" ht="12.75" x14ac:dyDescent="0.2">
      <c r="R1972" s="1288"/>
    </row>
    <row r="1973" spans="18:18" s="2" customFormat="1" ht="12.75" x14ac:dyDescent="0.2">
      <c r="R1973" s="1288"/>
    </row>
    <row r="1974" spans="18:18" s="2" customFormat="1" ht="12.75" x14ac:dyDescent="0.2">
      <c r="R1974" s="1288"/>
    </row>
    <row r="1975" spans="18:18" s="2" customFormat="1" ht="12.75" x14ac:dyDescent="0.2">
      <c r="R1975" s="1288"/>
    </row>
    <row r="1976" spans="18:18" s="2" customFormat="1" ht="12.75" x14ac:dyDescent="0.2">
      <c r="R1976" s="1288"/>
    </row>
    <row r="1977" spans="18:18" s="2" customFormat="1" ht="12.75" x14ac:dyDescent="0.2">
      <c r="R1977" s="1288"/>
    </row>
    <row r="1978" spans="18:18" s="2" customFormat="1" ht="12.75" x14ac:dyDescent="0.2">
      <c r="R1978" s="1288"/>
    </row>
    <row r="1979" spans="18:18" s="2" customFormat="1" ht="12.75" x14ac:dyDescent="0.2">
      <c r="R1979" s="1288"/>
    </row>
    <row r="1980" spans="18:18" s="2" customFormat="1" ht="12.75" x14ac:dyDescent="0.2">
      <c r="R1980" s="1288"/>
    </row>
    <row r="1981" spans="18:18" s="2" customFormat="1" ht="12.75" x14ac:dyDescent="0.2">
      <c r="R1981" s="1288"/>
    </row>
    <row r="1982" spans="18:18" s="2" customFormat="1" ht="12.75" x14ac:dyDescent="0.2">
      <c r="R1982" s="1288"/>
    </row>
    <row r="1983" spans="18:18" s="2" customFormat="1" ht="12.75" x14ac:dyDescent="0.2">
      <c r="R1983" s="1288"/>
    </row>
    <row r="1984" spans="18:18" s="2" customFormat="1" ht="12.75" x14ac:dyDescent="0.2">
      <c r="R1984" s="1288"/>
    </row>
    <row r="1985" spans="18:18" s="2" customFormat="1" ht="12.75" x14ac:dyDescent="0.2">
      <c r="R1985" s="1288"/>
    </row>
    <row r="1986" spans="18:18" s="2" customFormat="1" ht="12.75" x14ac:dyDescent="0.2">
      <c r="R1986" s="1288"/>
    </row>
    <row r="1987" spans="18:18" s="2" customFormat="1" ht="12.75" x14ac:dyDescent="0.2">
      <c r="R1987" s="1288"/>
    </row>
    <row r="1988" spans="18:18" s="2" customFormat="1" ht="12.75" x14ac:dyDescent="0.2">
      <c r="R1988" s="1288"/>
    </row>
    <row r="1989" spans="18:18" s="2" customFormat="1" ht="12.75" x14ac:dyDescent="0.2">
      <c r="R1989" s="1288"/>
    </row>
    <row r="1990" spans="18:18" s="2" customFormat="1" ht="12.75" x14ac:dyDescent="0.2">
      <c r="R1990" s="1288"/>
    </row>
    <row r="1991" spans="18:18" s="2" customFormat="1" ht="12.75" x14ac:dyDescent="0.2">
      <c r="R1991" s="1288"/>
    </row>
    <row r="1992" spans="18:18" s="2" customFormat="1" ht="12.75" x14ac:dyDescent="0.2">
      <c r="R1992" s="1288"/>
    </row>
    <row r="1993" spans="18:18" s="2" customFormat="1" ht="12.75" x14ac:dyDescent="0.2">
      <c r="R1993" s="1288"/>
    </row>
    <row r="1994" spans="18:18" s="2" customFormat="1" ht="12.75" x14ac:dyDescent="0.2">
      <c r="R1994" s="1288"/>
    </row>
    <row r="1995" spans="18:18" s="2" customFormat="1" ht="12.75" x14ac:dyDescent="0.2">
      <c r="R1995" s="1288"/>
    </row>
    <row r="1996" spans="18:18" s="2" customFormat="1" ht="12.75" x14ac:dyDescent="0.2">
      <c r="R1996" s="1288"/>
    </row>
    <row r="1997" spans="18:18" s="2" customFormat="1" ht="12.75" x14ac:dyDescent="0.2">
      <c r="R1997" s="1288"/>
    </row>
    <row r="1998" spans="18:18" s="2" customFormat="1" ht="12.75" x14ac:dyDescent="0.2">
      <c r="R1998" s="1288"/>
    </row>
    <row r="1999" spans="18:18" s="2" customFormat="1" ht="12.75" x14ac:dyDescent="0.2">
      <c r="R1999" s="1288"/>
    </row>
    <row r="2000" spans="18:18" s="2" customFormat="1" ht="12.75" x14ac:dyDescent="0.2">
      <c r="R2000" s="1288"/>
    </row>
    <row r="2001" spans="18:18" s="2" customFormat="1" ht="12.75" x14ac:dyDescent="0.2">
      <c r="R2001" s="1288"/>
    </row>
    <row r="2002" spans="18:18" s="2" customFormat="1" ht="12.75" x14ac:dyDescent="0.2">
      <c r="R2002" s="1288"/>
    </row>
    <row r="2003" spans="18:18" s="2" customFormat="1" ht="12.75" x14ac:dyDescent="0.2">
      <c r="R2003" s="1288"/>
    </row>
    <row r="2004" spans="18:18" s="2" customFormat="1" ht="12.75" x14ac:dyDescent="0.2">
      <c r="R2004" s="1288"/>
    </row>
    <row r="2005" spans="18:18" s="2" customFormat="1" ht="12.75" x14ac:dyDescent="0.2">
      <c r="R2005" s="1288"/>
    </row>
    <row r="2006" spans="18:18" s="2" customFormat="1" ht="12.75" x14ac:dyDescent="0.2">
      <c r="R2006" s="1288"/>
    </row>
    <row r="2007" spans="18:18" s="2" customFormat="1" ht="12.75" x14ac:dyDescent="0.2">
      <c r="R2007" s="1288"/>
    </row>
    <row r="2008" spans="18:18" s="2" customFormat="1" ht="12.75" x14ac:dyDescent="0.2">
      <c r="R2008" s="1288"/>
    </row>
    <row r="2009" spans="18:18" s="2" customFormat="1" ht="12.75" x14ac:dyDescent="0.2">
      <c r="R2009" s="1288"/>
    </row>
    <row r="2010" spans="18:18" s="2" customFormat="1" ht="12.75" x14ac:dyDescent="0.2">
      <c r="R2010" s="1288"/>
    </row>
    <row r="2011" spans="18:18" s="2" customFormat="1" ht="12.75" x14ac:dyDescent="0.2">
      <c r="R2011" s="1288"/>
    </row>
    <row r="2012" spans="18:18" s="2" customFormat="1" ht="12.75" x14ac:dyDescent="0.2">
      <c r="R2012" s="1288"/>
    </row>
    <row r="2013" spans="18:18" s="2" customFormat="1" ht="12.75" x14ac:dyDescent="0.2">
      <c r="R2013" s="1288"/>
    </row>
    <row r="2014" spans="18:18" s="2" customFormat="1" ht="12.75" x14ac:dyDescent="0.2">
      <c r="R2014" s="1288"/>
    </row>
    <row r="2015" spans="18:18" s="2" customFormat="1" ht="12.75" x14ac:dyDescent="0.2">
      <c r="R2015" s="1288"/>
    </row>
    <row r="2016" spans="18:18" s="2" customFormat="1" ht="12.75" x14ac:dyDescent="0.2">
      <c r="R2016" s="1288"/>
    </row>
    <row r="2017" spans="18:18" s="2" customFormat="1" ht="12.75" x14ac:dyDescent="0.2">
      <c r="R2017" s="1288"/>
    </row>
    <row r="2018" spans="18:18" s="2" customFormat="1" ht="12.75" x14ac:dyDescent="0.2">
      <c r="R2018" s="1288"/>
    </row>
    <row r="2019" spans="18:18" s="2" customFormat="1" ht="12.75" x14ac:dyDescent="0.2">
      <c r="R2019" s="1288"/>
    </row>
    <row r="2020" spans="18:18" s="2" customFormat="1" ht="12.75" x14ac:dyDescent="0.2">
      <c r="R2020" s="1288"/>
    </row>
    <row r="2021" spans="18:18" s="2" customFormat="1" ht="12.75" x14ac:dyDescent="0.2">
      <c r="R2021" s="1288"/>
    </row>
    <row r="2022" spans="18:18" s="2" customFormat="1" ht="12.75" x14ac:dyDescent="0.2">
      <c r="R2022" s="1288"/>
    </row>
    <row r="2023" spans="18:18" s="2" customFormat="1" ht="12.75" x14ac:dyDescent="0.2">
      <c r="R2023" s="1288"/>
    </row>
    <row r="2024" spans="18:18" s="2" customFormat="1" ht="12.75" x14ac:dyDescent="0.2">
      <c r="R2024" s="1288"/>
    </row>
    <row r="2025" spans="18:18" s="2" customFormat="1" ht="12.75" x14ac:dyDescent="0.2">
      <c r="R2025" s="1288"/>
    </row>
    <row r="2026" spans="18:18" s="2" customFormat="1" ht="12.75" x14ac:dyDescent="0.2">
      <c r="R2026" s="1288"/>
    </row>
    <row r="2027" spans="18:18" s="2" customFormat="1" ht="12.75" x14ac:dyDescent="0.2">
      <c r="R2027" s="1288"/>
    </row>
    <row r="2028" spans="18:18" s="2" customFormat="1" ht="12.75" x14ac:dyDescent="0.2">
      <c r="R2028" s="1288"/>
    </row>
    <row r="2029" spans="18:18" s="2" customFormat="1" ht="12.75" x14ac:dyDescent="0.2">
      <c r="R2029" s="1288"/>
    </row>
    <row r="2030" spans="18:18" s="2" customFormat="1" ht="12.75" x14ac:dyDescent="0.2">
      <c r="R2030" s="1288"/>
    </row>
    <row r="2031" spans="18:18" s="2" customFormat="1" ht="12.75" x14ac:dyDescent="0.2">
      <c r="R2031" s="1288"/>
    </row>
    <row r="2032" spans="18:18" s="2" customFormat="1" ht="12.75" x14ac:dyDescent="0.2">
      <c r="R2032" s="1288"/>
    </row>
    <row r="2033" spans="18:18" s="2" customFormat="1" ht="12.75" x14ac:dyDescent="0.2">
      <c r="R2033" s="1288"/>
    </row>
    <row r="2034" spans="18:18" s="2" customFormat="1" ht="12.75" x14ac:dyDescent="0.2">
      <c r="R2034" s="1288"/>
    </row>
    <row r="2035" spans="18:18" s="2" customFormat="1" ht="12.75" x14ac:dyDescent="0.2">
      <c r="R2035" s="1288"/>
    </row>
    <row r="2036" spans="18:18" s="2" customFormat="1" ht="12.75" x14ac:dyDescent="0.2">
      <c r="R2036" s="1288"/>
    </row>
    <row r="2037" spans="18:18" s="2" customFormat="1" ht="12.75" x14ac:dyDescent="0.2">
      <c r="R2037" s="1288"/>
    </row>
    <row r="2038" spans="18:18" s="2" customFormat="1" ht="12.75" x14ac:dyDescent="0.2">
      <c r="R2038" s="1288"/>
    </row>
    <row r="2039" spans="18:18" s="2" customFormat="1" ht="12.75" x14ac:dyDescent="0.2">
      <c r="R2039" s="1288"/>
    </row>
    <row r="2040" spans="18:18" s="2" customFormat="1" ht="12.75" x14ac:dyDescent="0.2">
      <c r="R2040" s="1288"/>
    </row>
    <row r="2041" spans="18:18" s="2" customFormat="1" ht="12.75" x14ac:dyDescent="0.2">
      <c r="R2041" s="1288"/>
    </row>
    <row r="2042" spans="18:18" s="2" customFormat="1" ht="12.75" x14ac:dyDescent="0.2">
      <c r="R2042" s="1288"/>
    </row>
    <row r="2043" spans="18:18" s="2" customFormat="1" ht="12.75" x14ac:dyDescent="0.2">
      <c r="R2043" s="1288"/>
    </row>
    <row r="2044" spans="18:18" s="2" customFormat="1" ht="12.75" x14ac:dyDescent="0.2">
      <c r="R2044" s="1288"/>
    </row>
    <row r="2045" spans="18:18" s="2" customFormat="1" ht="12.75" x14ac:dyDescent="0.2">
      <c r="R2045" s="1288"/>
    </row>
    <row r="2046" spans="18:18" s="2" customFormat="1" ht="12.75" x14ac:dyDescent="0.2">
      <c r="R2046" s="1288"/>
    </row>
    <row r="2047" spans="18:18" s="2" customFormat="1" ht="12.75" x14ac:dyDescent="0.2">
      <c r="R2047" s="1288"/>
    </row>
    <row r="2048" spans="18:18" s="2" customFormat="1" ht="12.75" x14ac:dyDescent="0.2">
      <c r="R2048" s="1288"/>
    </row>
    <row r="2049" spans="18:18" s="2" customFormat="1" ht="12.75" x14ac:dyDescent="0.2">
      <c r="R2049" s="1288"/>
    </row>
    <row r="2050" spans="18:18" s="2" customFormat="1" ht="12.75" x14ac:dyDescent="0.2">
      <c r="R2050" s="1288"/>
    </row>
    <row r="2051" spans="18:18" s="2" customFormat="1" ht="12.75" x14ac:dyDescent="0.2">
      <c r="R2051" s="1288"/>
    </row>
    <row r="2052" spans="18:18" s="2" customFormat="1" ht="12.75" x14ac:dyDescent="0.2">
      <c r="R2052" s="1288"/>
    </row>
    <row r="2053" spans="18:18" s="2" customFormat="1" ht="12.75" x14ac:dyDescent="0.2">
      <c r="R2053" s="1288"/>
    </row>
    <row r="2054" spans="18:18" s="2" customFormat="1" ht="12.75" x14ac:dyDescent="0.2">
      <c r="R2054" s="1288"/>
    </row>
    <row r="2055" spans="18:18" s="2" customFormat="1" ht="12.75" x14ac:dyDescent="0.2">
      <c r="R2055" s="1288"/>
    </row>
    <row r="2056" spans="18:18" s="2" customFormat="1" ht="12.75" x14ac:dyDescent="0.2">
      <c r="R2056" s="1288"/>
    </row>
    <row r="2057" spans="18:18" s="2" customFormat="1" ht="12.75" x14ac:dyDescent="0.2">
      <c r="R2057" s="1288"/>
    </row>
    <row r="2058" spans="18:18" s="2" customFormat="1" ht="12.75" x14ac:dyDescent="0.2">
      <c r="R2058" s="1288"/>
    </row>
    <row r="2059" spans="18:18" s="2" customFormat="1" ht="12.75" x14ac:dyDescent="0.2">
      <c r="R2059" s="1288"/>
    </row>
    <row r="2060" spans="18:18" s="2" customFormat="1" ht="12.75" x14ac:dyDescent="0.2">
      <c r="R2060" s="1288"/>
    </row>
    <row r="2061" spans="18:18" s="2" customFormat="1" ht="12.75" x14ac:dyDescent="0.2">
      <c r="R2061" s="1288"/>
    </row>
    <row r="2062" spans="18:18" s="2" customFormat="1" ht="12.75" x14ac:dyDescent="0.2">
      <c r="R2062" s="1288"/>
    </row>
    <row r="2063" spans="18:18" s="2" customFormat="1" ht="12.75" x14ac:dyDescent="0.2">
      <c r="R2063" s="1288"/>
    </row>
    <row r="2064" spans="18:18" s="2" customFormat="1" ht="12.75" x14ac:dyDescent="0.2">
      <c r="R2064" s="1288"/>
    </row>
    <row r="2065" spans="18:18" s="2" customFormat="1" ht="12.75" x14ac:dyDescent="0.2">
      <c r="R2065" s="1288"/>
    </row>
    <row r="2066" spans="18:18" s="2" customFormat="1" ht="12.75" x14ac:dyDescent="0.2">
      <c r="R2066" s="1288"/>
    </row>
    <row r="2067" spans="18:18" s="2" customFormat="1" ht="12.75" x14ac:dyDescent="0.2">
      <c r="R2067" s="1288"/>
    </row>
    <row r="2068" spans="18:18" s="2" customFormat="1" ht="12.75" x14ac:dyDescent="0.2">
      <c r="R2068" s="1288"/>
    </row>
    <row r="2069" spans="18:18" s="2" customFormat="1" ht="12.75" x14ac:dyDescent="0.2">
      <c r="R2069" s="1288"/>
    </row>
    <row r="2070" spans="18:18" s="2" customFormat="1" ht="12.75" x14ac:dyDescent="0.2">
      <c r="R2070" s="1288"/>
    </row>
    <row r="2071" spans="18:18" s="2" customFormat="1" ht="12.75" x14ac:dyDescent="0.2">
      <c r="R2071" s="1288"/>
    </row>
    <row r="2072" spans="18:18" s="2" customFormat="1" ht="12.75" x14ac:dyDescent="0.2">
      <c r="R2072" s="1288"/>
    </row>
    <row r="2073" spans="18:18" s="2" customFormat="1" ht="12.75" x14ac:dyDescent="0.2">
      <c r="R2073" s="1288"/>
    </row>
    <row r="2074" spans="18:18" s="2" customFormat="1" ht="12.75" x14ac:dyDescent="0.2">
      <c r="R2074" s="1288"/>
    </row>
    <row r="2075" spans="18:18" s="2" customFormat="1" ht="12.75" x14ac:dyDescent="0.2">
      <c r="R2075" s="1288"/>
    </row>
    <row r="2076" spans="18:18" s="2" customFormat="1" ht="12.75" x14ac:dyDescent="0.2">
      <c r="R2076" s="1288"/>
    </row>
    <row r="2077" spans="18:18" s="2" customFormat="1" ht="12.75" x14ac:dyDescent="0.2">
      <c r="R2077" s="1288"/>
    </row>
    <row r="2078" spans="18:18" s="2" customFormat="1" ht="12.75" x14ac:dyDescent="0.2">
      <c r="R2078" s="1288"/>
    </row>
    <row r="2079" spans="18:18" s="2" customFormat="1" ht="12.75" x14ac:dyDescent="0.2">
      <c r="R2079" s="1288"/>
    </row>
    <row r="2080" spans="18:18" s="2" customFormat="1" ht="12.75" x14ac:dyDescent="0.2">
      <c r="R2080" s="1288"/>
    </row>
    <row r="2081" spans="18:18" s="2" customFormat="1" ht="12.75" x14ac:dyDescent="0.2">
      <c r="R2081" s="1288"/>
    </row>
    <row r="2082" spans="18:18" s="2" customFormat="1" ht="12.75" x14ac:dyDescent="0.2">
      <c r="R2082" s="1288"/>
    </row>
    <row r="2083" spans="18:18" s="2" customFormat="1" ht="12.75" x14ac:dyDescent="0.2">
      <c r="R2083" s="1288"/>
    </row>
    <row r="2084" spans="18:18" s="2" customFormat="1" ht="12.75" x14ac:dyDescent="0.2">
      <c r="R2084" s="1288"/>
    </row>
    <row r="2085" spans="18:18" s="2" customFormat="1" ht="12.75" x14ac:dyDescent="0.2">
      <c r="R2085" s="1288"/>
    </row>
    <row r="2086" spans="18:18" s="2" customFormat="1" ht="12.75" x14ac:dyDescent="0.2">
      <c r="R2086" s="1288"/>
    </row>
    <row r="2087" spans="18:18" s="2" customFormat="1" ht="12.75" x14ac:dyDescent="0.2">
      <c r="R2087" s="1288"/>
    </row>
    <row r="2088" spans="18:18" s="2" customFormat="1" ht="12.75" x14ac:dyDescent="0.2">
      <c r="R2088" s="1288"/>
    </row>
    <row r="2089" spans="18:18" s="2" customFormat="1" ht="12.75" x14ac:dyDescent="0.2">
      <c r="R2089" s="1288"/>
    </row>
    <row r="2090" spans="18:18" s="2" customFormat="1" ht="12.75" x14ac:dyDescent="0.2">
      <c r="R2090" s="1288"/>
    </row>
    <row r="2091" spans="18:18" s="2" customFormat="1" ht="12.75" x14ac:dyDescent="0.2">
      <c r="R2091" s="1288"/>
    </row>
    <row r="2092" spans="18:18" s="2" customFormat="1" ht="12.75" x14ac:dyDescent="0.2">
      <c r="R2092" s="1288"/>
    </row>
    <row r="2093" spans="18:18" s="2" customFormat="1" ht="12.75" x14ac:dyDescent="0.2">
      <c r="R2093" s="1288"/>
    </row>
    <row r="2094" spans="18:18" s="2" customFormat="1" ht="12.75" x14ac:dyDescent="0.2">
      <c r="R2094" s="1288"/>
    </row>
    <row r="2095" spans="18:18" s="2" customFormat="1" ht="12.75" x14ac:dyDescent="0.2">
      <c r="R2095" s="1288"/>
    </row>
    <row r="2096" spans="18:18" s="2" customFormat="1" ht="12.75" x14ac:dyDescent="0.2">
      <c r="R2096" s="1288"/>
    </row>
    <row r="2097" spans="18:18" s="2" customFormat="1" ht="12.75" x14ac:dyDescent="0.2">
      <c r="R2097" s="1288"/>
    </row>
    <row r="2098" spans="18:18" s="2" customFormat="1" ht="12.75" x14ac:dyDescent="0.2">
      <c r="R2098" s="1288"/>
    </row>
    <row r="2099" spans="18:18" s="2" customFormat="1" ht="12.75" x14ac:dyDescent="0.2">
      <c r="R2099" s="1288"/>
    </row>
    <row r="2100" spans="18:18" s="2" customFormat="1" ht="12.75" x14ac:dyDescent="0.2">
      <c r="R2100" s="1288"/>
    </row>
    <row r="2101" spans="18:18" s="2" customFormat="1" ht="12.75" x14ac:dyDescent="0.2">
      <c r="R2101" s="1288"/>
    </row>
    <row r="2102" spans="18:18" s="2" customFormat="1" ht="12.75" x14ac:dyDescent="0.2">
      <c r="R2102" s="1288"/>
    </row>
    <row r="2103" spans="18:18" s="2" customFormat="1" ht="12.75" x14ac:dyDescent="0.2">
      <c r="R2103" s="1288"/>
    </row>
    <row r="2104" spans="18:18" s="2" customFormat="1" ht="12.75" x14ac:dyDescent="0.2">
      <c r="R2104" s="1288"/>
    </row>
    <row r="2105" spans="18:18" s="2" customFormat="1" ht="12.75" x14ac:dyDescent="0.2">
      <c r="R2105" s="1288"/>
    </row>
    <row r="2106" spans="18:18" s="2" customFormat="1" ht="12.75" x14ac:dyDescent="0.2">
      <c r="R2106" s="1288"/>
    </row>
    <row r="2107" spans="18:18" s="2" customFormat="1" ht="12.75" x14ac:dyDescent="0.2">
      <c r="R2107" s="1288"/>
    </row>
    <row r="2108" spans="18:18" s="2" customFormat="1" ht="12.75" x14ac:dyDescent="0.2">
      <c r="R2108" s="1288"/>
    </row>
    <row r="2109" spans="18:18" s="2" customFormat="1" ht="12.75" x14ac:dyDescent="0.2">
      <c r="R2109" s="1288"/>
    </row>
    <row r="2110" spans="18:18" s="2" customFormat="1" ht="12.75" x14ac:dyDescent="0.2">
      <c r="R2110" s="1288"/>
    </row>
    <row r="2111" spans="18:18" s="2" customFormat="1" ht="12.75" x14ac:dyDescent="0.2">
      <c r="R2111" s="1288"/>
    </row>
    <row r="2112" spans="18:18" s="2" customFormat="1" ht="12.75" x14ac:dyDescent="0.2">
      <c r="R2112" s="1288"/>
    </row>
    <row r="2113" spans="18:18" s="2" customFormat="1" ht="12.75" x14ac:dyDescent="0.2">
      <c r="R2113" s="1288"/>
    </row>
    <row r="2114" spans="18:18" s="2" customFormat="1" ht="12.75" x14ac:dyDescent="0.2">
      <c r="R2114" s="1288"/>
    </row>
    <row r="2115" spans="18:18" s="2" customFormat="1" ht="12.75" x14ac:dyDescent="0.2">
      <c r="R2115" s="1288"/>
    </row>
    <row r="2116" spans="18:18" s="2" customFormat="1" ht="12.75" x14ac:dyDescent="0.2">
      <c r="R2116" s="1288"/>
    </row>
    <row r="2117" spans="18:18" s="2" customFormat="1" ht="12.75" x14ac:dyDescent="0.2">
      <c r="R2117" s="1288"/>
    </row>
    <row r="2118" spans="18:18" s="2" customFormat="1" ht="12.75" x14ac:dyDescent="0.2">
      <c r="R2118" s="1288"/>
    </row>
    <row r="2119" spans="18:18" s="2" customFormat="1" ht="12.75" x14ac:dyDescent="0.2">
      <c r="R2119" s="1288"/>
    </row>
    <row r="2120" spans="18:18" s="2" customFormat="1" ht="12.75" x14ac:dyDescent="0.2">
      <c r="R2120" s="1288"/>
    </row>
    <row r="2121" spans="18:18" s="2" customFormat="1" ht="12.75" x14ac:dyDescent="0.2">
      <c r="R2121" s="1288"/>
    </row>
    <row r="2122" spans="18:18" s="2" customFormat="1" ht="12.75" x14ac:dyDescent="0.2">
      <c r="R2122" s="1288"/>
    </row>
    <row r="2123" spans="18:18" s="2" customFormat="1" ht="12.75" x14ac:dyDescent="0.2">
      <c r="R2123" s="1288"/>
    </row>
    <row r="2124" spans="18:18" s="2" customFormat="1" ht="12.75" x14ac:dyDescent="0.2">
      <c r="R2124" s="1288"/>
    </row>
    <row r="2125" spans="18:18" s="2" customFormat="1" ht="12.75" x14ac:dyDescent="0.2">
      <c r="R2125" s="1288"/>
    </row>
    <row r="2126" spans="18:18" s="2" customFormat="1" ht="12.75" x14ac:dyDescent="0.2">
      <c r="R2126" s="1288"/>
    </row>
    <row r="2127" spans="18:18" s="2" customFormat="1" ht="12.75" x14ac:dyDescent="0.2">
      <c r="R2127" s="1288"/>
    </row>
    <row r="2128" spans="18:18" s="2" customFormat="1" ht="12.75" x14ac:dyDescent="0.2">
      <c r="R2128" s="1288"/>
    </row>
    <row r="2129" spans="18:18" s="2" customFormat="1" ht="12.75" x14ac:dyDescent="0.2">
      <c r="R2129" s="1288"/>
    </row>
    <row r="2130" spans="18:18" s="2" customFormat="1" ht="12.75" x14ac:dyDescent="0.2">
      <c r="R2130" s="1288"/>
    </row>
    <row r="2131" spans="18:18" s="2" customFormat="1" ht="12.75" x14ac:dyDescent="0.2">
      <c r="R2131" s="1288"/>
    </row>
    <row r="2132" spans="18:18" s="2" customFormat="1" ht="12.75" x14ac:dyDescent="0.2">
      <c r="R2132" s="1288"/>
    </row>
    <row r="2133" spans="18:18" s="2" customFormat="1" ht="12.75" x14ac:dyDescent="0.2">
      <c r="R2133" s="1288"/>
    </row>
    <row r="2134" spans="18:18" s="2" customFormat="1" ht="12.75" x14ac:dyDescent="0.2">
      <c r="R2134" s="1288"/>
    </row>
    <row r="2135" spans="18:18" s="2" customFormat="1" ht="12.75" x14ac:dyDescent="0.2">
      <c r="R2135" s="1288"/>
    </row>
    <row r="2136" spans="18:18" s="2" customFormat="1" ht="12.75" x14ac:dyDescent="0.2">
      <c r="R2136" s="1288"/>
    </row>
    <row r="2137" spans="18:18" s="2" customFormat="1" ht="12.75" x14ac:dyDescent="0.2">
      <c r="R2137" s="1288"/>
    </row>
    <row r="2138" spans="18:18" s="2" customFormat="1" ht="12.75" x14ac:dyDescent="0.2">
      <c r="R2138" s="1288"/>
    </row>
    <row r="2139" spans="18:18" s="2" customFormat="1" ht="12.75" x14ac:dyDescent="0.2">
      <c r="R2139" s="1288"/>
    </row>
    <row r="2140" spans="18:18" s="2" customFormat="1" ht="12.75" x14ac:dyDescent="0.2">
      <c r="R2140" s="1288"/>
    </row>
    <row r="2141" spans="18:18" s="2" customFormat="1" ht="12.75" x14ac:dyDescent="0.2">
      <c r="R2141" s="1288"/>
    </row>
    <row r="2142" spans="18:18" s="2" customFormat="1" ht="12.75" x14ac:dyDescent="0.2">
      <c r="R2142" s="1288"/>
    </row>
    <row r="2143" spans="18:18" s="2" customFormat="1" ht="12.75" x14ac:dyDescent="0.2">
      <c r="R2143" s="1288"/>
    </row>
    <row r="2144" spans="18:18" s="2" customFormat="1" ht="12.75" x14ac:dyDescent="0.2">
      <c r="R2144" s="1288"/>
    </row>
    <row r="2145" spans="18:18" s="2" customFormat="1" ht="12.75" x14ac:dyDescent="0.2">
      <c r="R2145" s="1288"/>
    </row>
    <row r="2146" spans="18:18" s="2" customFormat="1" ht="12.75" x14ac:dyDescent="0.2">
      <c r="R2146" s="1288"/>
    </row>
    <row r="2147" spans="18:18" s="2" customFormat="1" ht="12.75" x14ac:dyDescent="0.2">
      <c r="R2147" s="1288"/>
    </row>
    <row r="2148" spans="18:18" s="2" customFormat="1" ht="12.75" x14ac:dyDescent="0.2">
      <c r="R2148" s="1288"/>
    </row>
    <row r="2149" spans="18:18" s="2" customFormat="1" ht="12.75" x14ac:dyDescent="0.2">
      <c r="R2149" s="1288"/>
    </row>
    <row r="2150" spans="18:18" s="2" customFormat="1" ht="12.75" x14ac:dyDescent="0.2">
      <c r="R2150" s="1288"/>
    </row>
    <row r="2151" spans="18:18" s="2" customFormat="1" ht="12.75" x14ac:dyDescent="0.2">
      <c r="R2151" s="1288"/>
    </row>
    <row r="2152" spans="18:18" s="2" customFormat="1" ht="12.75" x14ac:dyDescent="0.2">
      <c r="R2152" s="1288"/>
    </row>
    <row r="2153" spans="18:18" s="2" customFormat="1" ht="12.75" x14ac:dyDescent="0.2">
      <c r="R2153" s="1288"/>
    </row>
    <row r="2154" spans="18:18" s="2" customFormat="1" ht="12.75" x14ac:dyDescent="0.2">
      <c r="R2154" s="1288"/>
    </row>
    <row r="2155" spans="18:18" s="2" customFormat="1" ht="12.75" x14ac:dyDescent="0.2">
      <c r="R2155" s="1288"/>
    </row>
    <row r="2156" spans="18:18" s="2" customFormat="1" ht="12.75" x14ac:dyDescent="0.2">
      <c r="R2156" s="1288"/>
    </row>
    <row r="2157" spans="18:18" s="2" customFormat="1" ht="12.75" x14ac:dyDescent="0.2">
      <c r="R2157" s="1288"/>
    </row>
    <row r="2158" spans="18:18" s="2" customFormat="1" ht="12.75" x14ac:dyDescent="0.2">
      <c r="R2158" s="1288"/>
    </row>
    <row r="2159" spans="18:18" s="2" customFormat="1" ht="12.75" x14ac:dyDescent="0.2">
      <c r="R2159" s="1288"/>
    </row>
    <row r="2160" spans="18:18" s="2" customFormat="1" ht="12.75" x14ac:dyDescent="0.2">
      <c r="R2160" s="1288"/>
    </row>
    <row r="2161" spans="18:18" s="2" customFormat="1" ht="12.75" x14ac:dyDescent="0.2">
      <c r="R2161" s="1288"/>
    </row>
    <row r="2162" spans="18:18" s="2" customFormat="1" ht="12.75" x14ac:dyDescent="0.2">
      <c r="R2162" s="1288"/>
    </row>
    <row r="2163" spans="18:18" s="2" customFormat="1" ht="12.75" x14ac:dyDescent="0.2">
      <c r="R2163" s="1288"/>
    </row>
    <row r="2164" spans="18:18" s="2" customFormat="1" ht="12.75" x14ac:dyDescent="0.2">
      <c r="R2164" s="1288"/>
    </row>
    <row r="2165" spans="18:18" s="2" customFormat="1" ht="12.75" x14ac:dyDescent="0.2">
      <c r="R2165" s="1288"/>
    </row>
    <row r="2166" spans="18:18" s="2" customFormat="1" ht="12.75" x14ac:dyDescent="0.2">
      <c r="R2166" s="1288"/>
    </row>
    <row r="2167" spans="18:18" s="2" customFormat="1" ht="12.75" x14ac:dyDescent="0.2">
      <c r="R2167" s="1288"/>
    </row>
    <row r="2168" spans="18:18" s="2" customFormat="1" ht="12.75" x14ac:dyDescent="0.2">
      <c r="R2168" s="1288"/>
    </row>
    <row r="2169" spans="18:18" s="2" customFormat="1" ht="12.75" x14ac:dyDescent="0.2">
      <c r="R2169" s="1288"/>
    </row>
    <row r="2170" spans="18:18" s="2" customFormat="1" ht="12.75" x14ac:dyDescent="0.2">
      <c r="R2170" s="1288"/>
    </row>
    <row r="2171" spans="18:18" s="2" customFormat="1" ht="12.75" x14ac:dyDescent="0.2">
      <c r="R2171" s="1288"/>
    </row>
    <row r="2172" spans="18:18" s="2" customFormat="1" ht="12.75" x14ac:dyDescent="0.2">
      <c r="R2172" s="1288"/>
    </row>
    <row r="2173" spans="18:18" s="2" customFormat="1" ht="12.75" x14ac:dyDescent="0.2">
      <c r="R2173" s="1288"/>
    </row>
    <row r="2174" spans="18:18" s="2" customFormat="1" ht="12.75" x14ac:dyDescent="0.2">
      <c r="R2174" s="1288"/>
    </row>
    <row r="2175" spans="18:18" s="2" customFormat="1" ht="12.75" x14ac:dyDescent="0.2">
      <c r="R2175" s="1288"/>
    </row>
    <row r="2176" spans="18:18" s="2" customFormat="1" ht="12.75" x14ac:dyDescent="0.2">
      <c r="R2176" s="1288"/>
    </row>
    <row r="2177" spans="18:18" s="2" customFormat="1" ht="12.75" x14ac:dyDescent="0.2">
      <c r="R2177" s="1288"/>
    </row>
    <row r="2178" spans="18:18" s="2" customFormat="1" ht="12.75" x14ac:dyDescent="0.2">
      <c r="R2178" s="1288"/>
    </row>
    <row r="2179" spans="18:18" s="2" customFormat="1" ht="12.75" x14ac:dyDescent="0.2">
      <c r="R2179" s="1288"/>
    </row>
    <row r="2180" spans="18:18" s="2" customFormat="1" ht="12.75" x14ac:dyDescent="0.2">
      <c r="R2180" s="1288"/>
    </row>
    <row r="2181" spans="18:18" s="2" customFormat="1" ht="12.75" x14ac:dyDescent="0.2">
      <c r="R2181" s="1288"/>
    </row>
    <row r="2182" spans="18:18" s="2" customFormat="1" ht="12.75" x14ac:dyDescent="0.2">
      <c r="R2182" s="1288"/>
    </row>
    <row r="2183" spans="18:18" s="2" customFormat="1" ht="12.75" x14ac:dyDescent="0.2">
      <c r="R2183" s="1288"/>
    </row>
    <row r="2184" spans="18:18" s="2" customFormat="1" ht="12.75" x14ac:dyDescent="0.2">
      <c r="R2184" s="1288"/>
    </row>
    <row r="2185" spans="18:18" s="2" customFormat="1" ht="12.75" x14ac:dyDescent="0.2">
      <c r="R2185" s="1288"/>
    </row>
    <row r="2186" spans="18:18" s="2" customFormat="1" ht="12.75" x14ac:dyDescent="0.2">
      <c r="R2186" s="1288"/>
    </row>
    <row r="2187" spans="18:18" s="2" customFormat="1" ht="12.75" x14ac:dyDescent="0.2">
      <c r="R2187" s="1288"/>
    </row>
    <row r="2188" spans="18:18" s="2" customFormat="1" ht="12.75" x14ac:dyDescent="0.2">
      <c r="R2188" s="1288"/>
    </row>
    <row r="2189" spans="18:18" s="2" customFormat="1" ht="12.75" x14ac:dyDescent="0.2">
      <c r="R2189" s="1288"/>
    </row>
    <row r="2190" spans="18:18" s="2" customFormat="1" ht="12.75" x14ac:dyDescent="0.2">
      <c r="R2190" s="1288"/>
    </row>
    <row r="2191" spans="18:18" s="2" customFormat="1" ht="12.75" x14ac:dyDescent="0.2">
      <c r="R2191" s="1288"/>
    </row>
    <row r="2192" spans="18:18" s="2" customFormat="1" ht="12.75" x14ac:dyDescent="0.2">
      <c r="R2192" s="1288"/>
    </row>
    <row r="2193" spans="18:18" s="2" customFormat="1" ht="12.75" x14ac:dyDescent="0.2">
      <c r="R2193" s="1288"/>
    </row>
    <row r="2194" spans="18:18" s="2" customFormat="1" ht="12.75" x14ac:dyDescent="0.2">
      <c r="R2194" s="1288"/>
    </row>
    <row r="2195" spans="18:18" s="2" customFormat="1" ht="12.75" x14ac:dyDescent="0.2">
      <c r="R2195" s="1288"/>
    </row>
    <row r="2196" spans="18:18" s="2" customFormat="1" ht="12.75" x14ac:dyDescent="0.2">
      <c r="R2196" s="1288"/>
    </row>
    <row r="2197" spans="18:18" s="2" customFormat="1" ht="12.75" x14ac:dyDescent="0.2">
      <c r="R2197" s="1288"/>
    </row>
    <row r="2198" spans="18:18" s="2" customFormat="1" ht="12.75" x14ac:dyDescent="0.2">
      <c r="R2198" s="1288"/>
    </row>
    <row r="2199" spans="18:18" s="2" customFormat="1" ht="12.75" x14ac:dyDescent="0.2">
      <c r="R2199" s="1288"/>
    </row>
    <row r="2200" spans="18:18" s="2" customFormat="1" ht="12.75" x14ac:dyDescent="0.2">
      <c r="R2200" s="1288"/>
    </row>
    <row r="2201" spans="18:18" s="2" customFormat="1" ht="12.75" x14ac:dyDescent="0.2">
      <c r="R2201" s="1288"/>
    </row>
    <row r="2202" spans="18:18" s="2" customFormat="1" ht="12.75" x14ac:dyDescent="0.2">
      <c r="R2202" s="1288"/>
    </row>
    <row r="2203" spans="18:18" s="2" customFormat="1" ht="12.75" x14ac:dyDescent="0.2">
      <c r="R2203" s="1288"/>
    </row>
    <row r="2204" spans="18:18" s="2" customFormat="1" ht="12.75" x14ac:dyDescent="0.2">
      <c r="R2204" s="1288"/>
    </row>
    <row r="2205" spans="18:18" s="2" customFormat="1" ht="12.75" x14ac:dyDescent="0.2">
      <c r="R2205" s="1288"/>
    </row>
    <row r="2206" spans="18:18" s="2" customFormat="1" ht="12.75" x14ac:dyDescent="0.2">
      <c r="R2206" s="1288"/>
    </row>
    <row r="2207" spans="18:18" s="2" customFormat="1" ht="12.75" x14ac:dyDescent="0.2">
      <c r="R2207" s="1288"/>
    </row>
    <row r="2208" spans="18:18" s="2" customFormat="1" ht="12.75" x14ac:dyDescent="0.2">
      <c r="R2208" s="1288"/>
    </row>
    <row r="2209" spans="18:18" s="2" customFormat="1" ht="12.75" x14ac:dyDescent="0.2">
      <c r="R2209" s="1288"/>
    </row>
    <row r="2210" spans="18:18" s="2" customFormat="1" ht="12.75" x14ac:dyDescent="0.2">
      <c r="R2210" s="1288"/>
    </row>
    <row r="2211" spans="18:18" s="2" customFormat="1" ht="12.75" x14ac:dyDescent="0.2">
      <c r="R2211" s="1288"/>
    </row>
    <row r="2212" spans="18:18" s="2" customFormat="1" ht="12.75" x14ac:dyDescent="0.2">
      <c r="R2212" s="1288"/>
    </row>
    <row r="2213" spans="18:18" s="2" customFormat="1" ht="12.75" x14ac:dyDescent="0.2">
      <c r="R2213" s="1288"/>
    </row>
    <row r="2214" spans="18:18" s="2" customFormat="1" ht="12.75" x14ac:dyDescent="0.2">
      <c r="R2214" s="1288"/>
    </row>
    <row r="2215" spans="18:18" s="2" customFormat="1" ht="12.75" x14ac:dyDescent="0.2">
      <c r="R2215" s="1288"/>
    </row>
    <row r="2216" spans="18:18" s="2" customFormat="1" ht="12.75" x14ac:dyDescent="0.2">
      <c r="R2216" s="1288"/>
    </row>
    <row r="2217" spans="18:18" s="2" customFormat="1" ht="12.75" x14ac:dyDescent="0.2">
      <c r="R2217" s="1288"/>
    </row>
    <row r="2218" spans="18:18" s="2" customFormat="1" ht="12.75" x14ac:dyDescent="0.2">
      <c r="R2218" s="1288"/>
    </row>
    <row r="2219" spans="18:18" s="2" customFormat="1" ht="12.75" x14ac:dyDescent="0.2">
      <c r="R2219" s="1288"/>
    </row>
    <row r="2220" spans="18:18" s="2" customFormat="1" ht="12.75" x14ac:dyDescent="0.2">
      <c r="R2220" s="1288"/>
    </row>
    <row r="2221" spans="18:18" s="2" customFormat="1" ht="12.75" x14ac:dyDescent="0.2">
      <c r="R2221" s="1288"/>
    </row>
    <row r="2222" spans="18:18" s="2" customFormat="1" ht="12.75" x14ac:dyDescent="0.2">
      <c r="R2222" s="1288"/>
    </row>
    <row r="2223" spans="18:18" s="2" customFormat="1" ht="12.75" x14ac:dyDescent="0.2">
      <c r="R2223" s="1288"/>
    </row>
    <row r="2224" spans="18:18" s="2" customFormat="1" ht="12.75" x14ac:dyDescent="0.2">
      <c r="R2224" s="1288"/>
    </row>
    <row r="2225" spans="18:18" s="2" customFormat="1" ht="12.75" x14ac:dyDescent="0.2">
      <c r="R2225" s="1288"/>
    </row>
    <row r="2226" spans="18:18" s="2" customFormat="1" ht="12.75" x14ac:dyDescent="0.2">
      <c r="R2226" s="1288"/>
    </row>
    <row r="2227" spans="18:18" s="2" customFormat="1" ht="12.75" x14ac:dyDescent="0.2">
      <c r="R2227" s="1288"/>
    </row>
    <row r="2228" spans="18:18" s="2" customFormat="1" ht="12.75" x14ac:dyDescent="0.2">
      <c r="R2228" s="1288"/>
    </row>
    <row r="2229" spans="18:18" s="2" customFormat="1" ht="12.75" x14ac:dyDescent="0.2">
      <c r="R2229" s="1288"/>
    </row>
    <row r="2230" spans="18:18" s="2" customFormat="1" ht="12.75" x14ac:dyDescent="0.2">
      <c r="R2230" s="1288"/>
    </row>
    <row r="2231" spans="18:18" s="2" customFormat="1" ht="12.75" x14ac:dyDescent="0.2">
      <c r="R2231" s="1288"/>
    </row>
    <row r="2232" spans="18:18" s="2" customFormat="1" ht="12.75" x14ac:dyDescent="0.2">
      <c r="R2232" s="1288"/>
    </row>
    <row r="2233" spans="18:18" s="2" customFormat="1" ht="12.75" x14ac:dyDescent="0.2">
      <c r="R2233" s="1288"/>
    </row>
    <row r="2234" spans="18:18" s="2" customFormat="1" ht="12.75" x14ac:dyDescent="0.2">
      <c r="R2234" s="1288"/>
    </row>
    <row r="2235" spans="18:18" s="2" customFormat="1" ht="12.75" x14ac:dyDescent="0.2">
      <c r="R2235" s="1288"/>
    </row>
    <row r="2236" spans="18:18" s="2" customFormat="1" ht="12.75" x14ac:dyDescent="0.2">
      <c r="R2236" s="1288"/>
    </row>
    <row r="2237" spans="18:18" s="2" customFormat="1" ht="12.75" x14ac:dyDescent="0.2">
      <c r="R2237" s="1288"/>
    </row>
    <row r="2238" spans="18:18" s="2" customFormat="1" ht="12.75" x14ac:dyDescent="0.2">
      <c r="R2238" s="1288"/>
    </row>
    <row r="2239" spans="18:18" s="2" customFormat="1" ht="12.75" x14ac:dyDescent="0.2">
      <c r="R2239" s="1288"/>
    </row>
    <row r="2240" spans="18:18" s="2" customFormat="1" ht="12.75" x14ac:dyDescent="0.2">
      <c r="R2240" s="1288"/>
    </row>
    <row r="2241" spans="18:18" s="2" customFormat="1" ht="12.75" x14ac:dyDescent="0.2">
      <c r="R2241" s="1288"/>
    </row>
    <row r="2242" spans="18:18" s="2" customFormat="1" ht="12.75" x14ac:dyDescent="0.2">
      <c r="R2242" s="1288"/>
    </row>
    <row r="2243" spans="18:18" s="2" customFormat="1" ht="12.75" x14ac:dyDescent="0.2">
      <c r="R2243" s="1288"/>
    </row>
    <row r="2244" spans="18:18" s="2" customFormat="1" ht="12.75" x14ac:dyDescent="0.2">
      <c r="R2244" s="1288"/>
    </row>
    <row r="2245" spans="18:18" s="2" customFormat="1" ht="12.75" x14ac:dyDescent="0.2">
      <c r="R2245" s="1288"/>
    </row>
    <row r="2246" spans="18:18" s="2" customFormat="1" ht="12.75" x14ac:dyDescent="0.2">
      <c r="R2246" s="1288"/>
    </row>
    <row r="2247" spans="18:18" s="2" customFormat="1" ht="12.75" x14ac:dyDescent="0.2">
      <c r="R2247" s="1288"/>
    </row>
    <row r="2248" spans="18:18" s="2" customFormat="1" ht="12.75" x14ac:dyDescent="0.2">
      <c r="R2248" s="1288"/>
    </row>
    <row r="2249" spans="18:18" s="2" customFormat="1" ht="12.75" x14ac:dyDescent="0.2">
      <c r="R2249" s="1288"/>
    </row>
    <row r="2250" spans="18:18" s="2" customFormat="1" ht="12.75" x14ac:dyDescent="0.2">
      <c r="R2250" s="1288"/>
    </row>
    <row r="2251" spans="18:18" s="2" customFormat="1" ht="12.75" x14ac:dyDescent="0.2">
      <c r="R2251" s="1288"/>
    </row>
    <row r="2252" spans="18:18" s="2" customFormat="1" ht="12.75" x14ac:dyDescent="0.2">
      <c r="R2252" s="1288"/>
    </row>
    <row r="2253" spans="18:18" s="2" customFormat="1" ht="12.75" x14ac:dyDescent="0.2">
      <c r="R2253" s="1288"/>
    </row>
    <row r="2254" spans="18:18" s="2" customFormat="1" ht="12.75" x14ac:dyDescent="0.2">
      <c r="R2254" s="1288"/>
    </row>
    <row r="2255" spans="18:18" s="2" customFormat="1" ht="12.75" x14ac:dyDescent="0.2">
      <c r="R2255" s="1288"/>
    </row>
    <row r="2256" spans="18:18" s="2" customFormat="1" ht="12.75" x14ac:dyDescent="0.2">
      <c r="R2256" s="1288"/>
    </row>
    <row r="2257" spans="18:18" s="2" customFormat="1" ht="12.75" x14ac:dyDescent="0.2">
      <c r="R2257" s="1288"/>
    </row>
    <row r="2258" spans="18:18" s="2" customFormat="1" ht="12.75" x14ac:dyDescent="0.2">
      <c r="R2258" s="1288"/>
    </row>
    <row r="2259" spans="18:18" s="2" customFormat="1" ht="12.75" x14ac:dyDescent="0.2">
      <c r="R2259" s="1288"/>
    </row>
    <row r="2260" spans="18:18" s="2" customFormat="1" ht="12.75" x14ac:dyDescent="0.2">
      <c r="R2260" s="1288"/>
    </row>
    <row r="2261" spans="18:18" s="2" customFormat="1" ht="12.75" x14ac:dyDescent="0.2">
      <c r="R2261" s="1288"/>
    </row>
    <row r="2262" spans="18:18" s="2" customFormat="1" ht="12.75" x14ac:dyDescent="0.2">
      <c r="R2262" s="1288"/>
    </row>
    <row r="2263" spans="18:18" s="2" customFormat="1" ht="12.75" x14ac:dyDescent="0.2">
      <c r="R2263" s="1288"/>
    </row>
    <row r="2264" spans="18:18" s="2" customFormat="1" ht="12.75" x14ac:dyDescent="0.2">
      <c r="R2264" s="1288"/>
    </row>
    <row r="2265" spans="18:18" s="2" customFormat="1" ht="12.75" x14ac:dyDescent="0.2">
      <c r="R2265" s="1288"/>
    </row>
    <row r="2266" spans="18:18" s="2" customFormat="1" ht="12.75" x14ac:dyDescent="0.2">
      <c r="R2266" s="1288"/>
    </row>
    <row r="2267" spans="18:18" s="2" customFormat="1" ht="12.75" x14ac:dyDescent="0.2">
      <c r="R2267" s="1288"/>
    </row>
    <row r="2268" spans="18:18" s="2" customFormat="1" ht="12.75" x14ac:dyDescent="0.2">
      <c r="R2268" s="1288"/>
    </row>
    <row r="2269" spans="18:18" s="2" customFormat="1" ht="12.75" x14ac:dyDescent="0.2">
      <c r="R2269" s="1288"/>
    </row>
    <row r="2270" spans="18:18" s="2" customFormat="1" ht="12.75" x14ac:dyDescent="0.2">
      <c r="R2270" s="1288"/>
    </row>
    <row r="2271" spans="18:18" s="2" customFormat="1" ht="12.75" x14ac:dyDescent="0.2">
      <c r="R2271" s="1288"/>
    </row>
    <row r="2272" spans="18:18" s="2" customFormat="1" ht="12.75" x14ac:dyDescent="0.2">
      <c r="R2272" s="1288"/>
    </row>
    <row r="2273" spans="18:18" s="2" customFormat="1" ht="12.75" x14ac:dyDescent="0.2">
      <c r="R2273" s="1288"/>
    </row>
    <row r="2274" spans="18:18" s="2" customFormat="1" ht="12.75" x14ac:dyDescent="0.2">
      <c r="R2274" s="1288"/>
    </row>
    <row r="2275" spans="18:18" s="2" customFormat="1" ht="12.75" x14ac:dyDescent="0.2">
      <c r="R2275" s="1288"/>
    </row>
    <row r="2276" spans="18:18" s="2" customFormat="1" ht="12.75" x14ac:dyDescent="0.2">
      <c r="R2276" s="1288"/>
    </row>
    <row r="2277" spans="18:18" s="2" customFormat="1" ht="12.75" x14ac:dyDescent="0.2">
      <c r="R2277" s="1288"/>
    </row>
    <row r="2278" spans="18:18" s="2" customFormat="1" ht="12.75" x14ac:dyDescent="0.2">
      <c r="R2278" s="1288"/>
    </row>
    <row r="2279" spans="18:18" s="2" customFormat="1" ht="12.75" x14ac:dyDescent="0.2">
      <c r="R2279" s="1288"/>
    </row>
    <row r="2280" spans="18:18" s="2" customFormat="1" ht="12.75" x14ac:dyDescent="0.2">
      <c r="R2280" s="1288"/>
    </row>
    <row r="2281" spans="18:18" s="2" customFormat="1" ht="12.75" x14ac:dyDescent="0.2">
      <c r="R2281" s="1288"/>
    </row>
    <row r="2282" spans="18:18" s="2" customFormat="1" ht="12.75" x14ac:dyDescent="0.2">
      <c r="R2282" s="1288"/>
    </row>
    <row r="2283" spans="18:18" s="2" customFormat="1" ht="12.75" x14ac:dyDescent="0.2">
      <c r="R2283" s="1288"/>
    </row>
    <row r="2284" spans="18:18" s="2" customFormat="1" ht="12.75" x14ac:dyDescent="0.2">
      <c r="R2284" s="1288"/>
    </row>
    <row r="2285" spans="18:18" s="2" customFormat="1" ht="12.75" x14ac:dyDescent="0.2">
      <c r="R2285" s="1288"/>
    </row>
    <row r="2286" spans="18:18" s="2" customFormat="1" ht="12.75" x14ac:dyDescent="0.2">
      <c r="R2286" s="1288"/>
    </row>
    <row r="2287" spans="18:18" s="2" customFormat="1" ht="12.75" x14ac:dyDescent="0.2">
      <c r="R2287" s="1288"/>
    </row>
    <row r="2288" spans="18:18" s="2" customFormat="1" ht="12.75" x14ac:dyDescent="0.2">
      <c r="R2288" s="1288"/>
    </row>
    <row r="2289" spans="18:18" s="2" customFormat="1" ht="12.75" x14ac:dyDescent="0.2">
      <c r="R2289" s="1288"/>
    </row>
    <row r="2290" spans="18:18" s="2" customFormat="1" ht="12.75" x14ac:dyDescent="0.2">
      <c r="R2290" s="1288"/>
    </row>
    <row r="2291" spans="18:18" s="2" customFormat="1" ht="12.75" x14ac:dyDescent="0.2">
      <c r="R2291" s="1288"/>
    </row>
    <row r="2292" spans="18:18" s="2" customFormat="1" ht="12.75" x14ac:dyDescent="0.2">
      <c r="R2292" s="1288"/>
    </row>
    <row r="2293" spans="18:18" s="2" customFormat="1" ht="12.75" x14ac:dyDescent="0.2">
      <c r="R2293" s="1288"/>
    </row>
    <row r="2294" spans="18:18" s="2" customFormat="1" ht="12.75" x14ac:dyDescent="0.2">
      <c r="R2294" s="1288"/>
    </row>
    <row r="2295" spans="18:18" s="2" customFormat="1" ht="12.75" x14ac:dyDescent="0.2">
      <c r="R2295" s="1288"/>
    </row>
    <row r="2296" spans="18:18" s="2" customFormat="1" ht="12.75" x14ac:dyDescent="0.2">
      <c r="R2296" s="1288"/>
    </row>
    <row r="2297" spans="18:18" s="2" customFormat="1" ht="12.75" x14ac:dyDescent="0.2">
      <c r="R2297" s="1288"/>
    </row>
    <row r="2298" spans="18:18" s="2" customFormat="1" ht="12.75" x14ac:dyDescent="0.2">
      <c r="R2298" s="1288"/>
    </row>
    <row r="2299" spans="18:18" s="2" customFormat="1" ht="12.75" x14ac:dyDescent="0.2">
      <c r="R2299" s="1288"/>
    </row>
    <row r="2300" spans="18:18" s="2" customFormat="1" ht="12.75" x14ac:dyDescent="0.2">
      <c r="R2300" s="1288"/>
    </row>
    <row r="2301" spans="18:18" s="2" customFormat="1" ht="12.75" x14ac:dyDescent="0.2">
      <c r="R2301" s="1288"/>
    </row>
    <row r="2302" spans="18:18" s="2" customFormat="1" ht="12.75" x14ac:dyDescent="0.2">
      <c r="R2302" s="1288"/>
    </row>
    <row r="2303" spans="18:18" s="2" customFormat="1" ht="12.75" x14ac:dyDescent="0.2">
      <c r="R2303" s="1288"/>
    </row>
    <row r="2304" spans="18:18" s="2" customFormat="1" ht="12.75" x14ac:dyDescent="0.2">
      <c r="R2304" s="1288"/>
    </row>
    <row r="2305" spans="18:18" s="2" customFormat="1" ht="12.75" x14ac:dyDescent="0.2">
      <c r="R2305" s="1288"/>
    </row>
    <row r="2306" spans="18:18" s="2" customFormat="1" ht="12.75" x14ac:dyDescent="0.2">
      <c r="R2306" s="1288"/>
    </row>
    <row r="2307" spans="18:18" s="2" customFormat="1" ht="12.75" x14ac:dyDescent="0.2">
      <c r="R2307" s="1288"/>
    </row>
    <row r="2308" spans="18:18" s="2" customFormat="1" ht="12.75" x14ac:dyDescent="0.2">
      <c r="R2308" s="1288"/>
    </row>
    <row r="2309" spans="18:18" s="2" customFormat="1" ht="12.75" x14ac:dyDescent="0.2">
      <c r="R2309" s="1288"/>
    </row>
    <row r="2310" spans="18:18" s="2" customFormat="1" ht="12.75" x14ac:dyDescent="0.2">
      <c r="R2310" s="1288"/>
    </row>
    <row r="2311" spans="18:18" s="2" customFormat="1" ht="12.75" x14ac:dyDescent="0.2">
      <c r="R2311" s="1288"/>
    </row>
    <row r="2312" spans="18:18" s="2" customFormat="1" ht="12.75" x14ac:dyDescent="0.2">
      <c r="R2312" s="1288"/>
    </row>
    <row r="2313" spans="18:18" s="2" customFormat="1" ht="12.75" x14ac:dyDescent="0.2">
      <c r="R2313" s="1288"/>
    </row>
    <row r="2314" spans="18:18" s="2" customFormat="1" ht="12.75" x14ac:dyDescent="0.2">
      <c r="R2314" s="1288"/>
    </row>
    <row r="2315" spans="18:18" s="2" customFormat="1" ht="12.75" x14ac:dyDescent="0.2">
      <c r="R2315" s="1288"/>
    </row>
    <row r="2316" spans="18:18" s="2" customFormat="1" ht="12.75" x14ac:dyDescent="0.2">
      <c r="R2316" s="1288"/>
    </row>
    <row r="2317" spans="18:18" s="2" customFormat="1" ht="12.75" x14ac:dyDescent="0.2">
      <c r="R2317" s="1288"/>
    </row>
    <row r="2318" spans="18:18" s="2" customFormat="1" ht="12.75" x14ac:dyDescent="0.2">
      <c r="R2318" s="1288"/>
    </row>
    <row r="2319" spans="18:18" s="2" customFormat="1" ht="12.75" x14ac:dyDescent="0.2">
      <c r="R2319" s="1288"/>
    </row>
    <row r="2320" spans="18:18" s="2" customFormat="1" ht="12.75" x14ac:dyDescent="0.2">
      <c r="R2320" s="1288"/>
    </row>
    <row r="2321" spans="18:18" s="2" customFormat="1" ht="12.75" x14ac:dyDescent="0.2">
      <c r="R2321" s="1288"/>
    </row>
    <row r="2322" spans="18:18" s="2" customFormat="1" ht="12.75" x14ac:dyDescent="0.2">
      <c r="R2322" s="1288"/>
    </row>
    <row r="2323" spans="18:18" s="2" customFormat="1" ht="12.75" x14ac:dyDescent="0.2">
      <c r="R2323" s="1288"/>
    </row>
    <row r="2324" spans="18:18" s="2" customFormat="1" ht="12.75" x14ac:dyDescent="0.2">
      <c r="R2324" s="1288"/>
    </row>
    <row r="2325" spans="18:18" s="2" customFormat="1" ht="12.75" x14ac:dyDescent="0.2">
      <c r="R2325" s="1288"/>
    </row>
    <row r="2326" spans="18:18" s="2" customFormat="1" ht="12.75" x14ac:dyDescent="0.2">
      <c r="R2326" s="1288"/>
    </row>
    <row r="2327" spans="18:18" s="2" customFormat="1" ht="12.75" x14ac:dyDescent="0.2">
      <c r="R2327" s="1288"/>
    </row>
    <row r="2328" spans="18:18" s="2" customFormat="1" ht="12.75" x14ac:dyDescent="0.2">
      <c r="R2328" s="1288"/>
    </row>
    <row r="2329" spans="18:18" s="2" customFormat="1" ht="12.75" x14ac:dyDescent="0.2">
      <c r="R2329" s="1288"/>
    </row>
    <row r="2330" spans="18:18" s="2" customFormat="1" ht="12.75" x14ac:dyDescent="0.2">
      <c r="R2330" s="1288"/>
    </row>
    <row r="2331" spans="18:18" s="2" customFormat="1" ht="12.75" x14ac:dyDescent="0.2">
      <c r="R2331" s="1288"/>
    </row>
    <row r="2332" spans="18:18" s="2" customFormat="1" ht="12.75" x14ac:dyDescent="0.2">
      <c r="R2332" s="1288"/>
    </row>
    <row r="2333" spans="18:18" s="2" customFormat="1" ht="12.75" x14ac:dyDescent="0.2">
      <c r="R2333" s="1288"/>
    </row>
    <row r="2334" spans="18:18" s="2" customFormat="1" ht="12.75" x14ac:dyDescent="0.2">
      <c r="R2334" s="1288"/>
    </row>
    <row r="2335" spans="18:18" s="2" customFormat="1" ht="12.75" x14ac:dyDescent="0.2">
      <c r="R2335" s="1288"/>
    </row>
    <row r="2336" spans="18:18" s="2" customFormat="1" ht="12.75" x14ac:dyDescent="0.2">
      <c r="R2336" s="1288"/>
    </row>
    <row r="2337" spans="18:18" s="2" customFormat="1" ht="12.75" x14ac:dyDescent="0.2">
      <c r="R2337" s="1288"/>
    </row>
    <row r="2338" spans="18:18" s="2" customFormat="1" ht="12.75" x14ac:dyDescent="0.2">
      <c r="R2338" s="1288"/>
    </row>
    <row r="2339" spans="18:18" s="2" customFormat="1" ht="12.75" x14ac:dyDescent="0.2">
      <c r="R2339" s="1288"/>
    </row>
    <row r="2340" spans="18:18" s="2" customFormat="1" ht="12.75" x14ac:dyDescent="0.2">
      <c r="R2340" s="1288"/>
    </row>
    <row r="2341" spans="18:18" s="2" customFormat="1" ht="12.75" x14ac:dyDescent="0.2">
      <c r="R2341" s="1288"/>
    </row>
    <row r="2342" spans="18:18" s="2" customFormat="1" ht="12.75" x14ac:dyDescent="0.2">
      <c r="R2342" s="1288"/>
    </row>
    <row r="2343" spans="18:18" s="2" customFormat="1" ht="12.75" x14ac:dyDescent="0.2">
      <c r="R2343" s="1288"/>
    </row>
    <row r="2344" spans="18:18" s="2" customFormat="1" ht="12.75" x14ac:dyDescent="0.2">
      <c r="R2344" s="1288"/>
    </row>
    <row r="2345" spans="18:18" s="2" customFormat="1" ht="12.75" x14ac:dyDescent="0.2">
      <c r="R2345" s="1288"/>
    </row>
    <row r="2346" spans="18:18" s="2" customFormat="1" ht="12.75" x14ac:dyDescent="0.2">
      <c r="R2346" s="1288"/>
    </row>
    <row r="2347" spans="18:18" s="2" customFormat="1" ht="12.75" x14ac:dyDescent="0.2">
      <c r="R2347" s="1288"/>
    </row>
    <row r="2348" spans="18:18" s="2" customFormat="1" ht="12.75" x14ac:dyDescent="0.2">
      <c r="R2348" s="1288"/>
    </row>
    <row r="2349" spans="18:18" s="2" customFormat="1" ht="12.75" x14ac:dyDescent="0.2">
      <c r="R2349" s="1288"/>
    </row>
    <row r="2350" spans="18:18" s="2" customFormat="1" ht="12.75" x14ac:dyDescent="0.2">
      <c r="R2350" s="1288"/>
    </row>
    <row r="2351" spans="18:18" s="2" customFormat="1" ht="12.75" x14ac:dyDescent="0.2">
      <c r="R2351" s="1288"/>
    </row>
    <row r="2352" spans="18:18" s="2" customFormat="1" ht="12.75" x14ac:dyDescent="0.2">
      <c r="R2352" s="1288"/>
    </row>
    <row r="2353" spans="18:18" s="2" customFormat="1" ht="12.75" x14ac:dyDescent="0.2">
      <c r="R2353" s="1288"/>
    </row>
    <row r="2354" spans="18:18" s="2" customFormat="1" ht="12.75" x14ac:dyDescent="0.2">
      <c r="R2354" s="1288"/>
    </row>
    <row r="2355" spans="18:18" s="2" customFormat="1" ht="12.75" x14ac:dyDescent="0.2">
      <c r="R2355" s="1288"/>
    </row>
    <row r="2356" spans="18:18" s="2" customFormat="1" ht="12.75" x14ac:dyDescent="0.2">
      <c r="R2356" s="1288"/>
    </row>
    <row r="2357" spans="18:18" s="2" customFormat="1" ht="12.75" x14ac:dyDescent="0.2">
      <c r="R2357" s="1288"/>
    </row>
    <row r="2358" spans="18:18" s="2" customFormat="1" ht="12.75" x14ac:dyDescent="0.2">
      <c r="R2358" s="1288"/>
    </row>
    <row r="2359" spans="18:18" s="2" customFormat="1" ht="12.75" x14ac:dyDescent="0.2">
      <c r="R2359" s="1288"/>
    </row>
    <row r="2360" spans="18:18" s="2" customFormat="1" ht="12.75" x14ac:dyDescent="0.2">
      <c r="R2360" s="1288"/>
    </row>
    <row r="2361" spans="18:18" s="2" customFormat="1" ht="12.75" x14ac:dyDescent="0.2">
      <c r="R2361" s="1288"/>
    </row>
    <row r="2362" spans="18:18" s="2" customFormat="1" ht="12.75" x14ac:dyDescent="0.2">
      <c r="R2362" s="1288"/>
    </row>
    <row r="2363" spans="18:18" s="2" customFormat="1" ht="12.75" x14ac:dyDescent="0.2">
      <c r="R2363" s="1288"/>
    </row>
    <row r="2364" spans="18:18" s="2" customFormat="1" ht="12.75" x14ac:dyDescent="0.2">
      <c r="R2364" s="1288"/>
    </row>
    <row r="2365" spans="18:18" s="2" customFormat="1" ht="12.75" x14ac:dyDescent="0.2">
      <c r="R2365" s="1288"/>
    </row>
    <row r="2366" spans="18:18" s="2" customFormat="1" ht="12.75" x14ac:dyDescent="0.2">
      <c r="R2366" s="1288"/>
    </row>
    <row r="2367" spans="18:18" s="2" customFormat="1" ht="12.75" x14ac:dyDescent="0.2">
      <c r="R2367" s="1288"/>
    </row>
    <row r="2368" spans="18:18" s="2" customFormat="1" ht="12.75" x14ac:dyDescent="0.2">
      <c r="R2368" s="1288"/>
    </row>
    <row r="2369" spans="18:18" s="2" customFormat="1" ht="12.75" x14ac:dyDescent="0.2">
      <c r="R2369" s="1288"/>
    </row>
    <row r="2370" spans="18:18" s="2" customFormat="1" ht="12.75" x14ac:dyDescent="0.2">
      <c r="R2370" s="1288"/>
    </row>
    <row r="2371" spans="18:18" s="2" customFormat="1" ht="12.75" x14ac:dyDescent="0.2">
      <c r="R2371" s="1288"/>
    </row>
    <row r="2372" spans="18:18" s="2" customFormat="1" ht="12.75" x14ac:dyDescent="0.2">
      <c r="R2372" s="1288"/>
    </row>
    <row r="2373" spans="18:18" s="2" customFormat="1" ht="12.75" x14ac:dyDescent="0.2">
      <c r="R2373" s="1288"/>
    </row>
    <row r="2374" spans="18:18" s="2" customFormat="1" ht="12.75" x14ac:dyDescent="0.2">
      <c r="R2374" s="1288"/>
    </row>
    <row r="2375" spans="18:18" s="2" customFormat="1" ht="12.75" x14ac:dyDescent="0.2">
      <c r="R2375" s="1288"/>
    </row>
    <row r="2376" spans="18:18" s="2" customFormat="1" ht="12.75" x14ac:dyDescent="0.2">
      <c r="R2376" s="1288"/>
    </row>
    <row r="2377" spans="18:18" s="2" customFormat="1" ht="12.75" x14ac:dyDescent="0.2">
      <c r="R2377" s="1288"/>
    </row>
    <row r="2378" spans="18:18" s="2" customFormat="1" ht="12.75" x14ac:dyDescent="0.2">
      <c r="R2378" s="1288"/>
    </row>
    <row r="2379" spans="18:18" s="2" customFormat="1" ht="12.75" x14ac:dyDescent="0.2">
      <c r="R2379" s="1288"/>
    </row>
    <row r="2380" spans="18:18" s="2" customFormat="1" ht="12.75" x14ac:dyDescent="0.2">
      <c r="R2380" s="1288"/>
    </row>
    <row r="2381" spans="18:18" s="2" customFormat="1" ht="12.75" x14ac:dyDescent="0.2">
      <c r="R2381" s="1288"/>
    </row>
    <row r="2382" spans="18:18" s="2" customFormat="1" ht="12.75" x14ac:dyDescent="0.2">
      <c r="R2382" s="1288"/>
    </row>
    <row r="2383" spans="18:18" s="2" customFormat="1" ht="12.75" x14ac:dyDescent="0.2">
      <c r="R2383" s="1288"/>
    </row>
    <row r="2384" spans="18:18" s="2" customFormat="1" ht="12.75" x14ac:dyDescent="0.2">
      <c r="R2384" s="1288"/>
    </row>
    <row r="2385" spans="18:18" s="2" customFormat="1" ht="12.75" x14ac:dyDescent="0.2">
      <c r="R2385" s="1288"/>
    </row>
    <row r="2386" spans="18:18" s="2" customFormat="1" ht="12.75" x14ac:dyDescent="0.2">
      <c r="R2386" s="1288"/>
    </row>
    <row r="2387" spans="18:18" s="2" customFormat="1" ht="12.75" x14ac:dyDescent="0.2">
      <c r="R2387" s="1288"/>
    </row>
    <row r="2388" spans="18:18" s="2" customFormat="1" ht="12.75" x14ac:dyDescent="0.2">
      <c r="R2388" s="1288"/>
    </row>
    <row r="2389" spans="18:18" s="2" customFormat="1" ht="12.75" x14ac:dyDescent="0.2">
      <c r="R2389" s="1288"/>
    </row>
    <row r="2390" spans="18:18" s="2" customFormat="1" ht="12.75" x14ac:dyDescent="0.2">
      <c r="R2390" s="1288"/>
    </row>
    <row r="2391" spans="18:18" s="2" customFormat="1" ht="12.75" x14ac:dyDescent="0.2">
      <c r="R2391" s="1288"/>
    </row>
    <row r="2392" spans="18:18" s="2" customFormat="1" ht="12.75" x14ac:dyDescent="0.2">
      <c r="R2392" s="1288"/>
    </row>
    <row r="2393" spans="18:18" s="2" customFormat="1" ht="12.75" x14ac:dyDescent="0.2">
      <c r="R2393" s="1288"/>
    </row>
    <row r="2394" spans="18:18" s="2" customFormat="1" ht="12.75" x14ac:dyDescent="0.2">
      <c r="R2394" s="1288"/>
    </row>
    <row r="2395" spans="18:18" s="2" customFormat="1" ht="12.75" x14ac:dyDescent="0.2">
      <c r="R2395" s="1288"/>
    </row>
    <row r="2396" spans="18:18" s="2" customFormat="1" ht="12.75" x14ac:dyDescent="0.2">
      <c r="R2396" s="1288"/>
    </row>
    <row r="2397" spans="18:18" s="2" customFormat="1" ht="12.75" x14ac:dyDescent="0.2">
      <c r="R2397" s="1288"/>
    </row>
    <row r="2398" spans="18:18" s="2" customFormat="1" ht="12.75" x14ac:dyDescent="0.2">
      <c r="R2398" s="1288"/>
    </row>
    <row r="2399" spans="18:18" s="2" customFormat="1" ht="12.75" x14ac:dyDescent="0.2">
      <c r="R2399" s="1288"/>
    </row>
    <row r="2400" spans="18:18" s="2" customFormat="1" ht="12.75" x14ac:dyDescent="0.2">
      <c r="R2400" s="1288"/>
    </row>
    <row r="2401" spans="18:18" s="2" customFormat="1" ht="12.75" x14ac:dyDescent="0.2">
      <c r="R2401" s="1288"/>
    </row>
    <row r="2402" spans="18:18" s="2" customFormat="1" ht="12.75" x14ac:dyDescent="0.2">
      <c r="R2402" s="1288"/>
    </row>
    <row r="2403" spans="18:18" s="2" customFormat="1" ht="12.75" x14ac:dyDescent="0.2">
      <c r="R2403" s="1288"/>
    </row>
    <row r="2404" spans="18:18" s="2" customFormat="1" ht="12.75" x14ac:dyDescent="0.2">
      <c r="R2404" s="1288"/>
    </row>
    <row r="2405" spans="18:18" s="2" customFormat="1" ht="12.75" x14ac:dyDescent="0.2">
      <c r="R2405" s="1288"/>
    </row>
    <row r="2406" spans="18:18" s="2" customFormat="1" ht="12.75" x14ac:dyDescent="0.2">
      <c r="R2406" s="1288"/>
    </row>
    <row r="2407" spans="18:18" s="2" customFormat="1" ht="12.75" x14ac:dyDescent="0.2">
      <c r="R2407" s="1288"/>
    </row>
    <row r="2408" spans="18:18" s="2" customFormat="1" ht="12.75" x14ac:dyDescent="0.2">
      <c r="R2408" s="1288"/>
    </row>
    <row r="2409" spans="18:18" s="2" customFormat="1" ht="12.75" x14ac:dyDescent="0.2">
      <c r="R2409" s="1288"/>
    </row>
    <row r="2410" spans="18:18" s="2" customFormat="1" ht="12.75" x14ac:dyDescent="0.2">
      <c r="R2410" s="1288"/>
    </row>
    <row r="2411" spans="18:18" s="2" customFormat="1" ht="12.75" x14ac:dyDescent="0.2">
      <c r="R2411" s="1288"/>
    </row>
    <row r="2412" spans="18:18" s="2" customFormat="1" ht="12.75" x14ac:dyDescent="0.2">
      <c r="R2412" s="1288"/>
    </row>
    <row r="2413" spans="18:18" s="2" customFormat="1" ht="12.75" x14ac:dyDescent="0.2">
      <c r="R2413" s="1288"/>
    </row>
    <row r="2414" spans="18:18" s="2" customFormat="1" ht="12.75" x14ac:dyDescent="0.2">
      <c r="R2414" s="1288"/>
    </row>
    <row r="2415" spans="18:18" s="2" customFormat="1" ht="12.75" x14ac:dyDescent="0.2">
      <c r="R2415" s="1288"/>
    </row>
    <row r="2416" spans="18:18" s="2" customFormat="1" ht="12.75" x14ac:dyDescent="0.2">
      <c r="R2416" s="1288"/>
    </row>
    <row r="2417" spans="18:18" s="2" customFormat="1" ht="12.75" x14ac:dyDescent="0.2">
      <c r="R2417" s="1288"/>
    </row>
    <row r="2418" spans="18:18" s="2" customFormat="1" ht="12.75" x14ac:dyDescent="0.2">
      <c r="R2418" s="1288"/>
    </row>
    <row r="2419" spans="18:18" s="2" customFormat="1" ht="12.75" x14ac:dyDescent="0.2">
      <c r="R2419" s="1288"/>
    </row>
    <row r="2420" spans="18:18" s="2" customFormat="1" ht="12.75" x14ac:dyDescent="0.2">
      <c r="R2420" s="1288"/>
    </row>
    <row r="2421" spans="18:18" s="2" customFormat="1" ht="12.75" x14ac:dyDescent="0.2">
      <c r="R2421" s="1288"/>
    </row>
    <row r="2422" spans="18:18" s="2" customFormat="1" ht="12.75" x14ac:dyDescent="0.2">
      <c r="R2422" s="1288"/>
    </row>
    <row r="2423" spans="18:18" s="2" customFormat="1" ht="12.75" x14ac:dyDescent="0.2">
      <c r="R2423" s="1288"/>
    </row>
    <row r="2424" spans="18:18" s="2" customFormat="1" ht="12.75" x14ac:dyDescent="0.2">
      <c r="R2424" s="1288"/>
    </row>
    <row r="2425" spans="18:18" s="2" customFormat="1" ht="12.75" x14ac:dyDescent="0.2">
      <c r="R2425" s="1288"/>
    </row>
    <row r="2426" spans="18:18" s="2" customFormat="1" ht="12.75" x14ac:dyDescent="0.2">
      <c r="R2426" s="1288"/>
    </row>
    <row r="2427" spans="18:18" s="2" customFormat="1" ht="12.75" x14ac:dyDescent="0.2">
      <c r="R2427" s="1288"/>
    </row>
    <row r="2428" spans="18:18" s="2" customFormat="1" ht="12.75" x14ac:dyDescent="0.2">
      <c r="R2428" s="1288"/>
    </row>
    <row r="2429" spans="18:18" s="2" customFormat="1" ht="12.75" x14ac:dyDescent="0.2">
      <c r="R2429" s="1288"/>
    </row>
    <row r="2430" spans="18:18" s="2" customFormat="1" ht="12.75" x14ac:dyDescent="0.2">
      <c r="R2430" s="1288"/>
    </row>
    <row r="2431" spans="18:18" s="2" customFormat="1" ht="12.75" x14ac:dyDescent="0.2">
      <c r="R2431" s="1288"/>
    </row>
    <row r="2432" spans="18:18" s="2" customFormat="1" ht="12.75" x14ac:dyDescent="0.2">
      <c r="R2432" s="1288"/>
    </row>
    <row r="2433" spans="18:18" s="2" customFormat="1" ht="12.75" x14ac:dyDescent="0.2">
      <c r="R2433" s="1288"/>
    </row>
    <row r="2434" spans="18:18" s="2" customFormat="1" ht="12.75" x14ac:dyDescent="0.2">
      <c r="R2434" s="1288"/>
    </row>
    <row r="2435" spans="18:18" s="2" customFormat="1" ht="12.75" x14ac:dyDescent="0.2">
      <c r="R2435" s="1288"/>
    </row>
    <row r="2436" spans="18:18" s="2" customFormat="1" ht="12.75" x14ac:dyDescent="0.2">
      <c r="R2436" s="1288"/>
    </row>
    <row r="2437" spans="18:18" s="2" customFormat="1" ht="12.75" x14ac:dyDescent="0.2">
      <c r="R2437" s="1288"/>
    </row>
    <row r="2438" spans="18:18" s="2" customFormat="1" ht="12.75" x14ac:dyDescent="0.2">
      <c r="R2438" s="1288"/>
    </row>
    <row r="2439" spans="18:18" s="2" customFormat="1" ht="12.75" x14ac:dyDescent="0.2">
      <c r="R2439" s="1288"/>
    </row>
    <row r="2440" spans="18:18" s="2" customFormat="1" ht="12.75" x14ac:dyDescent="0.2">
      <c r="R2440" s="1288"/>
    </row>
    <row r="2441" spans="18:18" s="2" customFormat="1" ht="12.75" x14ac:dyDescent="0.2">
      <c r="R2441" s="1288"/>
    </row>
    <row r="2442" spans="18:18" s="2" customFormat="1" ht="12.75" x14ac:dyDescent="0.2">
      <c r="R2442" s="1288"/>
    </row>
    <row r="2443" spans="18:18" s="2" customFormat="1" ht="12.75" x14ac:dyDescent="0.2">
      <c r="R2443" s="1288"/>
    </row>
    <row r="2444" spans="18:18" s="2" customFormat="1" ht="12.75" x14ac:dyDescent="0.2">
      <c r="R2444" s="1288"/>
    </row>
    <row r="2445" spans="18:18" s="2" customFormat="1" ht="12.75" x14ac:dyDescent="0.2">
      <c r="R2445" s="1288"/>
    </row>
    <row r="2446" spans="18:18" s="2" customFormat="1" ht="12.75" x14ac:dyDescent="0.2">
      <c r="R2446" s="1288"/>
    </row>
    <row r="2447" spans="18:18" s="2" customFormat="1" ht="12.75" x14ac:dyDescent="0.2">
      <c r="R2447" s="1288"/>
    </row>
    <row r="2448" spans="18:18" s="2" customFormat="1" ht="12.75" x14ac:dyDescent="0.2">
      <c r="R2448" s="1288"/>
    </row>
    <row r="2449" spans="18:18" s="2" customFormat="1" ht="12.75" x14ac:dyDescent="0.2">
      <c r="R2449" s="1288"/>
    </row>
    <row r="2450" spans="18:18" s="2" customFormat="1" ht="12.75" x14ac:dyDescent="0.2">
      <c r="R2450" s="1288"/>
    </row>
    <row r="2451" spans="18:18" s="2" customFormat="1" ht="12.75" x14ac:dyDescent="0.2">
      <c r="R2451" s="1288"/>
    </row>
    <row r="2452" spans="18:18" s="2" customFormat="1" ht="12.75" x14ac:dyDescent="0.2">
      <c r="R2452" s="1288"/>
    </row>
    <row r="2453" spans="18:18" s="2" customFormat="1" ht="12.75" x14ac:dyDescent="0.2">
      <c r="R2453" s="1288"/>
    </row>
    <row r="2454" spans="18:18" s="2" customFormat="1" ht="12.75" x14ac:dyDescent="0.2">
      <c r="R2454" s="1288"/>
    </row>
    <row r="2455" spans="18:18" s="2" customFormat="1" ht="12.75" x14ac:dyDescent="0.2">
      <c r="R2455" s="1288"/>
    </row>
    <row r="2456" spans="18:18" s="2" customFormat="1" ht="12.75" x14ac:dyDescent="0.2">
      <c r="R2456" s="1288"/>
    </row>
    <row r="2457" spans="18:18" s="2" customFormat="1" ht="12.75" x14ac:dyDescent="0.2">
      <c r="R2457" s="1288"/>
    </row>
    <row r="2458" spans="18:18" s="2" customFormat="1" ht="12.75" x14ac:dyDescent="0.2">
      <c r="R2458" s="1288"/>
    </row>
    <row r="2459" spans="18:18" s="2" customFormat="1" ht="12.75" x14ac:dyDescent="0.2">
      <c r="R2459" s="1288"/>
    </row>
    <row r="2460" spans="18:18" s="2" customFormat="1" ht="12.75" x14ac:dyDescent="0.2">
      <c r="R2460" s="1288"/>
    </row>
    <row r="2461" spans="18:18" s="2" customFormat="1" ht="12.75" x14ac:dyDescent="0.2">
      <c r="R2461" s="1288"/>
    </row>
    <row r="2462" spans="18:18" s="2" customFormat="1" ht="12.75" x14ac:dyDescent="0.2">
      <c r="R2462" s="1288"/>
    </row>
    <row r="2463" spans="18:18" s="2" customFormat="1" ht="12.75" x14ac:dyDescent="0.2">
      <c r="R2463" s="1288"/>
    </row>
    <row r="2464" spans="18:18" s="2" customFormat="1" ht="12.75" x14ac:dyDescent="0.2">
      <c r="R2464" s="1288"/>
    </row>
    <row r="2465" spans="18:18" s="2" customFormat="1" ht="12.75" x14ac:dyDescent="0.2">
      <c r="R2465" s="1288"/>
    </row>
    <row r="2466" spans="18:18" s="2" customFormat="1" ht="12.75" x14ac:dyDescent="0.2">
      <c r="R2466" s="1288"/>
    </row>
    <row r="2467" spans="18:18" s="2" customFormat="1" ht="12.75" x14ac:dyDescent="0.2">
      <c r="R2467" s="1288"/>
    </row>
    <row r="2468" spans="18:18" s="2" customFormat="1" ht="12.75" x14ac:dyDescent="0.2">
      <c r="R2468" s="1288"/>
    </row>
    <row r="2469" spans="18:18" s="2" customFormat="1" ht="12.75" x14ac:dyDescent="0.2">
      <c r="R2469" s="1288"/>
    </row>
    <row r="2470" spans="18:18" s="2" customFormat="1" ht="12.75" x14ac:dyDescent="0.2">
      <c r="R2470" s="1288"/>
    </row>
    <row r="2471" spans="18:18" s="2" customFormat="1" ht="12.75" x14ac:dyDescent="0.2">
      <c r="R2471" s="1288"/>
    </row>
    <row r="2472" spans="18:18" s="2" customFormat="1" ht="12.75" x14ac:dyDescent="0.2">
      <c r="R2472" s="1288"/>
    </row>
    <row r="2473" spans="18:18" s="2" customFormat="1" ht="12.75" x14ac:dyDescent="0.2">
      <c r="R2473" s="1288"/>
    </row>
    <row r="2474" spans="18:18" s="2" customFormat="1" ht="12.75" x14ac:dyDescent="0.2">
      <c r="R2474" s="1288"/>
    </row>
    <row r="2475" spans="18:18" s="2" customFormat="1" ht="12.75" x14ac:dyDescent="0.2">
      <c r="R2475" s="1288"/>
    </row>
    <row r="2476" spans="18:18" s="2" customFormat="1" ht="12.75" x14ac:dyDescent="0.2">
      <c r="R2476" s="1288"/>
    </row>
    <row r="2477" spans="18:18" s="2" customFormat="1" ht="12.75" x14ac:dyDescent="0.2">
      <c r="R2477" s="1288"/>
    </row>
    <row r="2478" spans="18:18" s="2" customFormat="1" ht="12.75" x14ac:dyDescent="0.2">
      <c r="R2478" s="1288"/>
    </row>
    <row r="2479" spans="18:18" s="2" customFormat="1" ht="12.75" x14ac:dyDescent="0.2">
      <c r="R2479" s="1288"/>
    </row>
    <row r="2480" spans="18:18" s="2" customFormat="1" ht="12.75" x14ac:dyDescent="0.2">
      <c r="R2480" s="1288"/>
    </row>
    <row r="2481" spans="18:18" s="2" customFormat="1" ht="12.75" x14ac:dyDescent="0.2">
      <c r="R2481" s="1288"/>
    </row>
    <row r="2482" spans="18:18" s="2" customFormat="1" ht="12.75" x14ac:dyDescent="0.2">
      <c r="R2482" s="1288"/>
    </row>
    <row r="2483" spans="18:18" s="2" customFormat="1" ht="12.75" x14ac:dyDescent="0.2">
      <c r="R2483" s="1288"/>
    </row>
    <row r="2484" spans="18:18" s="2" customFormat="1" ht="12.75" x14ac:dyDescent="0.2">
      <c r="R2484" s="1288"/>
    </row>
    <row r="2485" spans="18:18" s="2" customFormat="1" ht="12.75" x14ac:dyDescent="0.2">
      <c r="R2485" s="1288"/>
    </row>
    <row r="2486" spans="18:18" s="2" customFormat="1" ht="12.75" x14ac:dyDescent="0.2">
      <c r="R2486" s="1288"/>
    </row>
    <row r="2487" spans="18:18" s="2" customFormat="1" ht="12.75" x14ac:dyDescent="0.2">
      <c r="R2487" s="1288"/>
    </row>
    <row r="2488" spans="18:18" s="2" customFormat="1" ht="12.75" x14ac:dyDescent="0.2">
      <c r="R2488" s="1288"/>
    </row>
    <row r="2489" spans="18:18" s="2" customFormat="1" ht="12.75" x14ac:dyDescent="0.2">
      <c r="R2489" s="1288"/>
    </row>
    <row r="2490" spans="18:18" s="2" customFormat="1" ht="12.75" x14ac:dyDescent="0.2">
      <c r="R2490" s="1288"/>
    </row>
    <row r="2491" spans="18:18" s="2" customFormat="1" ht="12.75" x14ac:dyDescent="0.2">
      <c r="R2491" s="1288"/>
    </row>
    <row r="2492" spans="18:18" s="2" customFormat="1" ht="12.75" x14ac:dyDescent="0.2">
      <c r="R2492" s="1288"/>
    </row>
    <row r="2493" spans="18:18" s="2" customFormat="1" ht="12.75" x14ac:dyDescent="0.2">
      <c r="R2493" s="1288"/>
    </row>
    <row r="2494" spans="18:18" s="2" customFormat="1" ht="12.75" x14ac:dyDescent="0.2">
      <c r="R2494" s="1288"/>
    </row>
    <row r="2495" spans="18:18" s="2" customFormat="1" ht="12.75" x14ac:dyDescent="0.2">
      <c r="R2495" s="1288"/>
    </row>
    <row r="2496" spans="18:18" s="2" customFormat="1" ht="12.75" x14ac:dyDescent="0.2">
      <c r="R2496" s="1288"/>
    </row>
    <row r="2497" spans="18:18" s="2" customFormat="1" ht="12.75" x14ac:dyDescent="0.2">
      <c r="R2497" s="1288"/>
    </row>
    <row r="2498" spans="18:18" s="2" customFormat="1" ht="12.75" x14ac:dyDescent="0.2">
      <c r="R2498" s="1288"/>
    </row>
    <row r="2499" spans="18:18" s="2" customFormat="1" ht="12.75" x14ac:dyDescent="0.2">
      <c r="R2499" s="1288"/>
    </row>
    <row r="2500" spans="18:18" s="2" customFormat="1" ht="12.75" x14ac:dyDescent="0.2">
      <c r="R2500" s="1288"/>
    </row>
    <row r="2501" spans="18:18" s="2" customFormat="1" ht="12.75" x14ac:dyDescent="0.2">
      <c r="R2501" s="1288"/>
    </row>
    <row r="2502" spans="18:18" s="2" customFormat="1" ht="12.75" x14ac:dyDescent="0.2">
      <c r="R2502" s="1288"/>
    </row>
    <row r="2503" spans="18:18" s="2" customFormat="1" ht="12.75" x14ac:dyDescent="0.2">
      <c r="R2503" s="1288"/>
    </row>
    <row r="2504" spans="18:18" s="2" customFormat="1" ht="12.75" x14ac:dyDescent="0.2">
      <c r="R2504" s="1288"/>
    </row>
    <row r="2505" spans="18:18" s="2" customFormat="1" ht="12.75" x14ac:dyDescent="0.2">
      <c r="R2505" s="1288"/>
    </row>
    <row r="2506" spans="18:18" s="2" customFormat="1" ht="12.75" x14ac:dyDescent="0.2">
      <c r="R2506" s="1288"/>
    </row>
    <row r="2507" spans="18:18" s="2" customFormat="1" ht="12.75" x14ac:dyDescent="0.2">
      <c r="R2507" s="1288"/>
    </row>
    <row r="2508" spans="18:18" s="2" customFormat="1" ht="12.75" x14ac:dyDescent="0.2">
      <c r="R2508" s="1288"/>
    </row>
    <row r="2509" spans="18:18" s="2" customFormat="1" ht="12.75" x14ac:dyDescent="0.2">
      <c r="R2509" s="1288"/>
    </row>
    <row r="2510" spans="18:18" s="2" customFormat="1" ht="12.75" x14ac:dyDescent="0.2">
      <c r="R2510" s="1288"/>
    </row>
    <row r="2511" spans="18:18" s="2" customFormat="1" ht="12.75" x14ac:dyDescent="0.2">
      <c r="R2511" s="1288"/>
    </row>
    <row r="2512" spans="18:18" s="2" customFormat="1" ht="12.75" x14ac:dyDescent="0.2">
      <c r="R2512" s="1288"/>
    </row>
    <row r="2513" spans="18:18" s="2" customFormat="1" ht="12.75" x14ac:dyDescent="0.2">
      <c r="R2513" s="1288"/>
    </row>
    <row r="2514" spans="18:18" s="2" customFormat="1" ht="12.75" x14ac:dyDescent="0.2">
      <c r="R2514" s="1288"/>
    </row>
    <row r="2515" spans="18:18" s="2" customFormat="1" ht="12.75" x14ac:dyDescent="0.2">
      <c r="R2515" s="1288"/>
    </row>
    <row r="2516" spans="18:18" s="2" customFormat="1" ht="12.75" x14ac:dyDescent="0.2">
      <c r="R2516" s="1288"/>
    </row>
    <row r="2517" spans="18:18" s="2" customFormat="1" ht="12.75" x14ac:dyDescent="0.2">
      <c r="R2517" s="1288"/>
    </row>
    <row r="2518" spans="18:18" s="2" customFormat="1" ht="12.75" x14ac:dyDescent="0.2">
      <c r="R2518" s="1288"/>
    </row>
    <row r="2519" spans="18:18" s="2" customFormat="1" ht="12.75" x14ac:dyDescent="0.2">
      <c r="R2519" s="1288"/>
    </row>
    <row r="2520" spans="18:18" s="2" customFormat="1" ht="12.75" x14ac:dyDescent="0.2">
      <c r="R2520" s="1288"/>
    </row>
    <row r="2521" spans="18:18" s="2" customFormat="1" ht="12.75" x14ac:dyDescent="0.2">
      <c r="R2521" s="1288"/>
    </row>
    <row r="2522" spans="18:18" s="2" customFormat="1" ht="12.75" x14ac:dyDescent="0.2">
      <c r="R2522" s="1288"/>
    </row>
    <row r="2523" spans="18:18" s="2" customFormat="1" ht="12.75" x14ac:dyDescent="0.2">
      <c r="R2523" s="1288"/>
    </row>
    <row r="2524" spans="18:18" s="2" customFormat="1" ht="12.75" x14ac:dyDescent="0.2">
      <c r="R2524" s="1288"/>
    </row>
    <row r="2525" spans="18:18" s="2" customFormat="1" ht="12.75" x14ac:dyDescent="0.2">
      <c r="R2525" s="1288"/>
    </row>
    <row r="2526" spans="18:18" s="2" customFormat="1" ht="12.75" x14ac:dyDescent="0.2">
      <c r="R2526" s="1288"/>
    </row>
    <row r="2527" spans="18:18" s="2" customFormat="1" ht="12.75" x14ac:dyDescent="0.2">
      <c r="R2527" s="1288"/>
    </row>
    <row r="2528" spans="18:18" s="2" customFormat="1" ht="12.75" x14ac:dyDescent="0.2">
      <c r="R2528" s="1288"/>
    </row>
    <row r="2529" spans="18:18" s="2" customFormat="1" ht="12.75" x14ac:dyDescent="0.2">
      <c r="R2529" s="1288"/>
    </row>
    <row r="2530" spans="18:18" s="2" customFormat="1" ht="12.75" x14ac:dyDescent="0.2">
      <c r="R2530" s="1288"/>
    </row>
    <row r="2531" spans="18:18" s="2" customFormat="1" ht="12.75" x14ac:dyDescent="0.2">
      <c r="R2531" s="1288"/>
    </row>
    <row r="2532" spans="18:18" s="2" customFormat="1" ht="12.75" x14ac:dyDescent="0.2">
      <c r="R2532" s="1288"/>
    </row>
    <row r="2533" spans="18:18" s="2" customFormat="1" ht="12.75" x14ac:dyDescent="0.2">
      <c r="R2533" s="1288"/>
    </row>
    <row r="2534" spans="18:18" s="2" customFormat="1" ht="12.75" x14ac:dyDescent="0.2">
      <c r="R2534" s="1288"/>
    </row>
    <row r="2535" spans="18:18" s="2" customFormat="1" ht="12.75" x14ac:dyDescent="0.2">
      <c r="R2535" s="1288"/>
    </row>
    <row r="2536" spans="18:18" s="2" customFormat="1" ht="12.75" x14ac:dyDescent="0.2">
      <c r="R2536" s="1288"/>
    </row>
    <row r="2537" spans="18:18" s="2" customFormat="1" ht="12.75" x14ac:dyDescent="0.2">
      <c r="R2537" s="1288"/>
    </row>
    <row r="2538" spans="18:18" s="2" customFormat="1" ht="12.75" x14ac:dyDescent="0.2">
      <c r="R2538" s="1288"/>
    </row>
    <row r="2539" spans="18:18" s="2" customFormat="1" ht="12.75" x14ac:dyDescent="0.2">
      <c r="R2539" s="1288"/>
    </row>
    <row r="2540" spans="18:18" s="2" customFormat="1" ht="12.75" x14ac:dyDescent="0.2">
      <c r="R2540" s="1288"/>
    </row>
    <row r="2541" spans="18:18" s="2" customFormat="1" ht="12.75" x14ac:dyDescent="0.2">
      <c r="R2541" s="1288"/>
    </row>
    <row r="2542" spans="18:18" s="2" customFormat="1" ht="12.75" x14ac:dyDescent="0.2">
      <c r="R2542" s="1288"/>
    </row>
    <row r="2543" spans="18:18" s="2" customFormat="1" ht="12.75" x14ac:dyDescent="0.2">
      <c r="R2543" s="1288"/>
    </row>
    <row r="2544" spans="18:18" s="2" customFormat="1" ht="12.75" x14ac:dyDescent="0.2">
      <c r="R2544" s="1288"/>
    </row>
    <row r="2545" spans="18:18" s="2" customFormat="1" ht="12.75" x14ac:dyDescent="0.2">
      <c r="R2545" s="1288"/>
    </row>
    <row r="2546" spans="18:18" s="2" customFormat="1" ht="12.75" x14ac:dyDescent="0.2">
      <c r="R2546" s="1288"/>
    </row>
    <row r="2547" spans="18:18" s="2" customFormat="1" ht="12.75" x14ac:dyDescent="0.2">
      <c r="R2547" s="1288"/>
    </row>
    <row r="2548" spans="18:18" s="2" customFormat="1" ht="12.75" x14ac:dyDescent="0.2">
      <c r="R2548" s="1288"/>
    </row>
    <row r="2549" spans="18:18" s="2" customFormat="1" ht="12.75" x14ac:dyDescent="0.2">
      <c r="R2549" s="1288"/>
    </row>
    <row r="2550" spans="18:18" s="2" customFormat="1" ht="12.75" x14ac:dyDescent="0.2">
      <c r="R2550" s="1288"/>
    </row>
    <row r="2551" spans="18:18" s="2" customFormat="1" ht="12.75" x14ac:dyDescent="0.2">
      <c r="R2551" s="1288"/>
    </row>
    <row r="2552" spans="18:18" s="2" customFormat="1" ht="12.75" x14ac:dyDescent="0.2">
      <c r="R2552" s="1288"/>
    </row>
    <row r="2553" spans="18:18" s="2" customFormat="1" ht="12.75" x14ac:dyDescent="0.2">
      <c r="R2553" s="1288"/>
    </row>
    <row r="2554" spans="18:18" s="2" customFormat="1" ht="12.75" x14ac:dyDescent="0.2">
      <c r="R2554" s="1288"/>
    </row>
    <row r="2555" spans="18:18" s="2" customFormat="1" ht="12.75" x14ac:dyDescent="0.2">
      <c r="R2555" s="1288"/>
    </row>
    <row r="2556" spans="18:18" s="2" customFormat="1" ht="12.75" x14ac:dyDescent="0.2">
      <c r="R2556" s="1288"/>
    </row>
    <row r="2557" spans="18:18" s="2" customFormat="1" ht="12.75" x14ac:dyDescent="0.2">
      <c r="R2557" s="1288"/>
    </row>
    <row r="2558" spans="18:18" s="2" customFormat="1" ht="12.75" x14ac:dyDescent="0.2">
      <c r="R2558" s="1288"/>
    </row>
    <row r="2559" spans="18:18" s="2" customFormat="1" ht="12.75" x14ac:dyDescent="0.2">
      <c r="R2559" s="1288"/>
    </row>
    <row r="2560" spans="18:18" s="2" customFormat="1" ht="12.75" x14ac:dyDescent="0.2">
      <c r="R2560" s="1288"/>
    </row>
    <row r="2561" spans="18:18" s="2" customFormat="1" ht="12.75" x14ac:dyDescent="0.2">
      <c r="R2561" s="1288"/>
    </row>
    <row r="2562" spans="18:18" s="2" customFormat="1" ht="12.75" x14ac:dyDescent="0.2">
      <c r="R2562" s="1288"/>
    </row>
    <row r="2563" spans="18:18" s="2" customFormat="1" ht="12.75" x14ac:dyDescent="0.2">
      <c r="R2563" s="1288"/>
    </row>
    <row r="2564" spans="18:18" s="2" customFormat="1" ht="12.75" x14ac:dyDescent="0.2">
      <c r="R2564" s="1288"/>
    </row>
    <row r="2565" spans="18:18" s="2" customFormat="1" ht="12.75" x14ac:dyDescent="0.2">
      <c r="R2565" s="1288"/>
    </row>
    <row r="2566" spans="18:18" s="2" customFormat="1" ht="12.75" x14ac:dyDescent="0.2">
      <c r="R2566" s="1288"/>
    </row>
    <row r="2567" spans="18:18" s="2" customFormat="1" ht="12.75" x14ac:dyDescent="0.2">
      <c r="R2567" s="1288"/>
    </row>
    <row r="2568" spans="18:18" s="2" customFormat="1" ht="12.75" x14ac:dyDescent="0.2">
      <c r="R2568" s="1288"/>
    </row>
    <row r="2569" spans="18:18" s="2" customFormat="1" ht="12.75" x14ac:dyDescent="0.2">
      <c r="R2569" s="1288"/>
    </row>
    <row r="2570" spans="18:18" s="2" customFormat="1" ht="12.75" x14ac:dyDescent="0.2">
      <c r="R2570" s="1288"/>
    </row>
    <row r="2571" spans="18:18" s="2" customFormat="1" ht="12.75" x14ac:dyDescent="0.2">
      <c r="R2571" s="1288"/>
    </row>
    <row r="2572" spans="18:18" s="2" customFormat="1" ht="12.75" x14ac:dyDescent="0.2">
      <c r="R2572" s="1288"/>
    </row>
    <row r="2573" spans="18:18" s="2" customFormat="1" ht="12.75" x14ac:dyDescent="0.2">
      <c r="R2573" s="1288"/>
    </row>
    <row r="2574" spans="18:18" s="2" customFormat="1" ht="12.75" x14ac:dyDescent="0.2">
      <c r="R2574" s="1288"/>
    </row>
    <row r="2575" spans="18:18" s="2" customFormat="1" ht="12.75" x14ac:dyDescent="0.2">
      <c r="R2575" s="1288"/>
    </row>
    <row r="2576" spans="18:18" s="2" customFormat="1" ht="12.75" x14ac:dyDescent="0.2">
      <c r="R2576" s="1288"/>
    </row>
    <row r="2577" spans="18:18" s="2" customFormat="1" ht="12.75" x14ac:dyDescent="0.2">
      <c r="R2577" s="1288"/>
    </row>
    <row r="2578" spans="18:18" s="2" customFormat="1" ht="12.75" x14ac:dyDescent="0.2">
      <c r="R2578" s="1288"/>
    </row>
    <row r="2579" spans="18:18" s="2" customFormat="1" ht="12.75" x14ac:dyDescent="0.2">
      <c r="R2579" s="1288"/>
    </row>
    <row r="2580" spans="18:18" s="2" customFormat="1" ht="12.75" x14ac:dyDescent="0.2">
      <c r="R2580" s="1288"/>
    </row>
    <row r="2581" spans="18:18" s="2" customFormat="1" ht="12.75" x14ac:dyDescent="0.2">
      <c r="R2581" s="1288"/>
    </row>
    <row r="2582" spans="18:18" s="2" customFormat="1" ht="12.75" x14ac:dyDescent="0.2">
      <c r="R2582" s="1288"/>
    </row>
    <row r="2583" spans="18:18" s="2" customFormat="1" ht="12.75" x14ac:dyDescent="0.2">
      <c r="R2583" s="1288"/>
    </row>
    <row r="2584" spans="18:18" s="2" customFormat="1" ht="12.75" x14ac:dyDescent="0.2">
      <c r="R2584" s="1288"/>
    </row>
    <row r="2585" spans="18:18" s="2" customFormat="1" ht="12.75" x14ac:dyDescent="0.2">
      <c r="R2585" s="1288"/>
    </row>
    <row r="2586" spans="18:18" s="2" customFormat="1" ht="12.75" x14ac:dyDescent="0.2">
      <c r="R2586" s="1288"/>
    </row>
    <row r="2587" spans="18:18" s="2" customFormat="1" ht="12.75" x14ac:dyDescent="0.2">
      <c r="R2587" s="1288"/>
    </row>
    <row r="2588" spans="18:18" s="2" customFormat="1" ht="12.75" x14ac:dyDescent="0.2">
      <c r="R2588" s="1288"/>
    </row>
    <row r="2589" spans="18:18" s="2" customFormat="1" ht="12.75" x14ac:dyDescent="0.2">
      <c r="R2589" s="1288"/>
    </row>
    <row r="2590" spans="18:18" s="2" customFormat="1" ht="12.75" x14ac:dyDescent="0.2">
      <c r="R2590" s="1288"/>
    </row>
    <row r="2591" spans="18:18" s="2" customFormat="1" ht="12.75" x14ac:dyDescent="0.2">
      <c r="R2591" s="1288"/>
    </row>
    <row r="2592" spans="18:18" s="2" customFormat="1" ht="12.75" x14ac:dyDescent="0.2">
      <c r="R2592" s="1288"/>
    </row>
    <row r="2593" spans="18:18" s="2" customFormat="1" ht="12.75" x14ac:dyDescent="0.2">
      <c r="R2593" s="1288"/>
    </row>
    <row r="2594" spans="18:18" s="2" customFormat="1" ht="12.75" x14ac:dyDescent="0.2">
      <c r="R2594" s="1288"/>
    </row>
    <row r="2595" spans="18:18" s="2" customFormat="1" ht="12.75" x14ac:dyDescent="0.2">
      <c r="R2595" s="1288"/>
    </row>
    <row r="2596" spans="18:18" s="2" customFormat="1" ht="12.75" x14ac:dyDescent="0.2">
      <c r="R2596" s="1288"/>
    </row>
    <row r="2597" spans="18:18" s="2" customFormat="1" ht="12.75" x14ac:dyDescent="0.2">
      <c r="R2597" s="1288"/>
    </row>
    <row r="2598" spans="18:18" s="2" customFormat="1" ht="12.75" x14ac:dyDescent="0.2">
      <c r="R2598" s="1288"/>
    </row>
    <row r="2599" spans="18:18" s="2" customFormat="1" ht="12.75" x14ac:dyDescent="0.2">
      <c r="R2599" s="1288"/>
    </row>
    <row r="2600" spans="18:18" s="2" customFormat="1" ht="12.75" x14ac:dyDescent="0.2">
      <c r="R2600" s="1288"/>
    </row>
    <row r="2601" spans="18:18" s="2" customFormat="1" ht="12.75" x14ac:dyDescent="0.2">
      <c r="R2601" s="1288"/>
    </row>
    <row r="2602" spans="18:18" s="2" customFormat="1" ht="12.75" x14ac:dyDescent="0.2">
      <c r="R2602" s="1288"/>
    </row>
    <row r="2603" spans="18:18" s="2" customFormat="1" ht="12.75" x14ac:dyDescent="0.2">
      <c r="R2603" s="1288"/>
    </row>
    <row r="2604" spans="18:18" s="2" customFormat="1" ht="12.75" x14ac:dyDescent="0.2">
      <c r="R2604" s="1288"/>
    </row>
    <row r="2605" spans="18:18" s="2" customFormat="1" ht="12.75" x14ac:dyDescent="0.2">
      <c r="R2605" s="1288"/>
    </row>
    <row r="2606" spans="18:18" s="2" customFormat="1" ht="12.75" x14ac:dyDescent="0.2">
      <c r="R2606" s="1288"/>
    </row>
    <row r="2607" spans="18:18" s="2" customFormat="1" ht="12.75" x14ac:dyDescent="0.2">
      <c r="R2607" s="1288"/>
    </row>
    <row r="2608" spans="18:18" s="2" customFormat="1" ht="12.75" x14ac:dyDescent="0.2">
      <c r="R2608" s="1288"/>
    </row>
    <row r="2609" spans="18:18" s="2" customFormat="1" ht="12.75" x14ac:dyDescent="0.2">
      <c r="R2609" s="1288"/>
    </row>
    <row r="2610" spans="18:18" s="2" customFormat="1" ht="12.75" x14ac:dyDescent="0.2">
      <c r="R2610" s="1288"/>
    </row>
    <row r="2611" spans="18:18" s="2" customFormat="1" ht="12.75" x14ac:dyDescent="0.2">
      <c r="R2611" s="1288"/>
    </row>
    <row r="2612" spans="18:18" s="2" customFormat="1" ht="12.75" x14ac:dyDescent="0.2">
      <c r="R2612" s="1288"/>
    </row>
    <row r="2613" spans="18:18" s="2" customFormat="1" ht="12.75" x14ac:dyDescent="0.2">
      <c r="R2613" s="1288"/>
    </row>
    <row r="2614" spans="18:18" s="2" customFormat="1" ht="12.75" x14ac:dyDescent="0.2">
      <c r="R2614" s="1288"/>
    </row>
    <row r="2615" spans="18:18" s="2" customFormat="1" ht="12.75" x14ac:dyDescent="0.2">
      <c r="R2615" s="1288"/>
    </row>
    <row r="2616" spans="18:18" s="2" customFormat="1" ht="12.75" x14ac:dyDescent="0.2">
      <c r="R2616" s="1288"/>
    </row>
    <row r="2617" spans="18:18" s="2" customFormat="1" ht="12.75" x14ac:dyDescent="0.2">
      <c r="R2617" s="1288"/>
    </row>
    <row r="2618" spans="18:18" s="2" customFormat="1" ht="12.75" x14ac:dyDescent="0.2">
      <c r="R2618" s="1288"/>
    </row>
    <row r="2619" spans="18:18" s="2" customFormat="1" ht="12.75" x14ac:dyDescent="0.2">
      <c r="R2619" s="1288"/>
    </row>
    <row r="2620" spans="18:18" s="2" customFormat="1" ht="12.75" x14ac:dyDescent="0.2">
      <c r="R2620" s="1288"/>
    </row>
    <row r="2621" spans="18:18" s="2" customFormat="1" ht="12.75" x14ac:dyDescent="0.2">
      <c r="R2621" s="1288"/>
    </row>
    <row r="2622" spans="18:18" s="2" customFormat="1" ht="12.75" x14ac:dyDescent="0.2">
      <c r="R2622" s="1288"/>
    </row>
    <row r="2623" spans="18:18" s="2" customFormat="1" ht="12.75" x14ac:dyDescent="0.2">
      <c r="R2623" s="1288"/>
    </row>
    <row r="2624" spans="18:18" s="2" customFormat="1" ht="12.75" x14ac:dyDescent="0.2">
      <c r="R2624" s="1288"/>
    </row>
    <row r="2625" spans="18:18" s="2" customFormat="1" ht="12.75" x14ac:dyDescent="0.2">
      <c r="R2625" s="1288"/>
    </row>
    <row r="2626" spans="18:18" s="2" customFormat="1" ht="12.75" x14ac:dyDescent="0.2">
      <c r="R2626" s="1288"/>
    </row>
    <row r="2627" spans="18:18" s="2" customFormat="1" ht="12.75" x14ac:dyDescent="0.2">
      <c r="R2627" s="1288"/>
    </row>
    <row r="2628" spans="18:18" s="2" customFormat="1" ht="12.75" x14ac:dyDescent="0.2">
      <c r="R2628" s="1288"/>
    </row>
    <row r="2629" spans="18:18" s="2" customFormat="1" ht="12.75" x14ac:dyDescent="0.2">
      <c r="R2629" s="1288"/>
    </row>
    <row r="2630" spans="18:18" s="2" customFormat="1" ht="12.75" x14ac:dyDescent="0.2">
      <c r="R2630" s="1288"/>
    </row>
    <row r="2631" spans="18:18" s="2" customFormat="1" ht="12.75" x14ac:dyDescent="0.2">
      <c r="R2631" s="1288"/>
    </row>
    <row r="2632" spans="18:18" s="2" customFormat="1" ht="12.75" x14ac:dyDescent="0.2">
      <c r="R2632" s="1288"/>
    </row>
    <row r="2633" spans="18:18" s="2" customFormat="1" ht="12.75" x14ac:dyDescent="0.2">
      <c r="R2633" s="1288"/>
    </row>
    <row r="2634" spans="18:18" s="2" customFormat="1" ht="12.75" x14ac:dyDescent="0.2">
      <c r="R2634" s="1288"/>
    </row>
    <row r="2635" spans="18:18" s="2" customFormat="1" ht="12.75" x14ac:dyDescent="0.2">
      <c r="R2635" s="1288"/>
    </row>
    <row r="2636" spans="18:18" s="2" customFormat="1" ht="12.75" x14ac:dyDescent="0.2">
      <c r="R2636" s="1288"/>
    </row>
    <row r="2637" spans="18:18" s="2" customFormat="1" ht="12.75" x14ac:dyDescent="0.2">
      <c r="R2637" s="1288"/>
    </row>
    <row r="2638" spans="18:18" s="2" customFormat="1" ht="12.75" x14ac:dyDescent="0.2">
      <c r="R2638" s="1288"/>
    </row>
    <row r="2639" spans="18:18" s="2" customFormat="1" ht="12.75" x14ac:dyDescent="0.2">
      <c r="R2639" s="1288"/>
    </row>
    <row r="2640" spans="18:18" s="2" customFormat="1" ht="12.75" x14ac:dyDescent="0.2">
      <c r="R2640" s="1288"/>
    </row>
    <row r="2641" spans="18:18" s="2" customFormat="1" ht="12.75" x14ac:dyDescent="0.2">
      <c r="R2641" s="1288"/>
    </row>
    <row r="2642" spans="18:18" s="2" customFormat="1" ht="12.75" x14ac:dyDescent="0.2">
      <c r="R2642" s="1288"/>
    </row>
    <row r="2643" spans="18:18" s="2" customFormat="1" ht="12.75" x14ac:dyDescent="0.2">
      <c r="R2643" s="1288"/>
    </row>
    <row r="2644" spans="18:18" s="2" customFormat="1" ht="12.75" x14ac:dyDescent="0.2">
      <c r="R2644" s="1288"/>
    </row>
    <row r="2645" spans="18:18" s="2" customFormat="1" ht="12.75" x14ac:dyDescent="0.2">
      <c r="R2645" s="1288"/>
    </row>
    <row r="2646" spans="18:18" s="2" customFormat="1" ht="12.75" x14ac:dyDescent="0.2">
      <c r="R2646" s="1288"/>
    </row>
    <row r="2647" spans="18:18" s="2" customFormat="1" ht="12.75" x14ac:dyDescent="0.2">
      <c r="R2647" s="1288"/>
    </row>
    <row r="2648" spans="18:18" s="2" customFormat="1" ht="12.75" x14ac:dyDescent="0.2">
      <c r="R2648" s="1288"/>
    </row>
    <row r="2649" spans="18:18" s="2" customFormat="1" ht="12.75" x14ac:dyDescent="0.2">
      <c r="R2649" s="1288"/>
    </row>
    <row r="2650" spans="18:18" s="2" customFormat="1" ht="12.75" x14ac:dyDescent="0.2">
      <c r="R2650" s="1288"/>
    </row>
    <row r="2651" spans="18:18" s="2" customFormat="1" ht="12.75" x14ac:dyDescent="0.2">
      <c r="R2651" s="1288"/>
    </row>
    <row r="2652" spans="18:18" s="2" customFormat="1" ht="12.75" x14ac:dyDescent="0.2">
      <c r="R2652" s="1288"/>
    </row>
    <row r="2653" spans="18:18" s="2" customFormat="1" ht="12.75" x14ac:dyDescent="0.2">
      <c r="R2653" s="1288"/>
    </row>
    <row r="2654" spans="18:18" s="2" customFormat="1" ht="12.75" x14ac:dyDescent="0.2">
      <c r="R2654" s="1288"/>
    </row>
    <row r="2655" spans="18:18" s="2" customFormat="1" ht="12.75" x14ac:dyDescent="0.2">
      <c r="R2655" s="1288"/>
    </row>
    <row r="2656" spans="18:18" s="2" customFormat="1" ht="12.75" x14ac:dyDescent="0.2">
      <c r="R2656" s="1288"/>
    </row>
    <row r="2657" spans="18:18" s="2" customFormat="1" ht="12.75" x14ac:dyDescent="0.2">
      <c r="R2657" s="1288"/>
    </row>
    <row r="2658" spans="18:18" s="2" customFormat="1" ht="12.75" x14ac:dyDescent="0.2">
      <c r="R2658" s="1288"/>
    </row>
    <row r="2659" spans="18:18" s="2" customFormat="1" ht="12.75" x14ac:dyDescent="0.2">
      <c r="R2659" s="1288"/>
    </row>
    <row r="2660" spans="18:18" s="2" customFormat="1" ht="12.75" x14ac:dyDescent="0.2">
      <c r="R2660" s="1288"/>
    </row>
    <row r="2661" spans="18:18" s="2" customFormat="1" ht="12.75" x14ac:dyDescent="0.2">
      <c r="R2661" s="1288"/>
    </row>
    <row r="2662" spans="18:18" s="2" customFormat="1" ht="12.75" x14ac:dyDescent="0.2">
      <c r="R2662" s="1288"/>
    </row>
    <row r="2663" spans="18:18" s="2" customFormat="1" ht="12.75" x14ac:dyDescent="0.2">
      <c r="R2663" s="1288"/>
    </row>
    <row r="2664" spans="18:18" s="2" customFormat="1" ht="12.75" x14ac:dyDescent="0.2">
      <c r="R2664" s="1288"/>
    </row>
    <row r="2665" spans="18:18" s="2" customFormat="1" ht="12.75" x14ac:dyDescent="0.2">
      <c r="R2665" s="1288"/>
    </row>
    <row r="2666" spans="18:18" s="2" customFormat="1" ht="12.75" x14ac:dyDescent="0.2">
      <c r="R2666" s="1288"/>
    </row>
    <row r="2667" spans="18:18" s="2" customFormat="1" ht="12.75" x14ac:dyDescent="0.2">
      <c r="R2667" s="1288"/>
    </row>
    <row r="2668" spans="18:18" s="2" customFormat="1" ht="12.75" x14ac:dyDescent="0.2">
      <c r="R2668" s="1288"/>
    </row>
    <row r="2669" spans="18:18" s="2" customFormat="1" ht="12.75" x14ac:dyDescent="0.2">
      <c r="R2669" s="1288"/>
    </row>
    <row r="2670" spans="18:18" s="2" customFormat="1" ht="12.75" x14ac:dyDescent="0.2">
      <c r="R2670" s="1288"/>
    </row>
    <row r="2671" spans="18:18" s="2" customFormat="1" ht="12.75" x14ac:dyDescent="0.2">
      <c r="R2671" s="1288"/>
    </row>
    <row r="2672" spans="18:18" s="2" customFormat="1" ht="12.75" x14ac:dyDescent="0.2">
      <c r="R2672" s="1288"/>
    </row>
    <row r="2673" spans="18:18" s="2" customFormat="1" ht="12.75" x14ac:dyDescent="0.2">
      <c r="R2673" s="1288"/>
    </row>
    <row r="2674" spans="18:18" s="2" customFormat="1" ht="12.75" x14ac:dyDescent="0.2">
      <c r="R2674" s="1288"/>
    </row>
    <row r="2675" spans="18:18" s="2" customFormat="1" ht="12.75" x14ac:dyDescent="0.2">
      <c r="R2675" s="1288"/>
    </row>
    <row r="2676" spans="18:18" s="2" customFormat="1" ht="12.75" x14ac:dyDescent="0.2">
      <c r="R2676" s="1288"/>
    </row>
    <row r="2677" spans="18:18" s="2" customFormat="1" ht="12.75" x14ac:dyDescent="0.2">
      <c r="R2677" s="1288"/>
    </row>
    <row r="2678" spans="18:18" s="2" customFormat="1" ht="12.75" x14ac:dyDescent="0.2">
      <c r="R2678" s="1288"/>
    </row>
    <row r="2679" spans="18:18" s="2" customFormat="1" ht="12.75" x14ac:dyDescent="0.2">
      <c r="R2679" s="1288"/>
    </row>
    <row r="2680" spans="18:18" s="2" customFormat="1" ht="12.75" x14ac:dyDescent="0.2">
      <c r="R2680" s="1288"/>
    </row>
    <row r="2681" spans="18:18" s="2" customFormat="1" ht="12.75" x14ac:dyDescent="0.2">
      <c r="R2681" s="1288"/>
    </row>
    <row r="2682" spans="18:18" s="2" customFormat="1" ht="12.75" x14ac:dyDescent="0.2">
      <c r="R2682" s="1288"/>
    </row>
    <row r="2683" spans="18:18" s="2" customFormat="1" ht="12.75" x14ac:dyDescent="0.2">
      <c r="R2683" s="1288"/>
    </row>
    <row r="2684" spans="18:18" s="2" customFormat="1" ht="12.75" x14ac:dyDescent="0.2">
      <c r="R2684" s="1288"/>
    </row>
    <row r="2685" spans="18:18" s="2" customFormat="1" ht="12.75" x14ac:dyDescent="0.2">
      <c r="R2685" s="1288"/>
    </row>
    <row r="2686" spans="18:18" s="2" customFormat="1" ht="12.75" x14ac:dyDescent="0.2">
      <c r="R2686" s="1288"/>
    </row>
    <row r="2687" spans="18:18" s="2" customFormat="1" ht="12.75" x14ac:dyDescent="0.2">
      <c r="R2687" s="1288"/>
    </row>
    <row r="2688" spans="18:18" s="2" customFormat="1" ht="12.75" x14ac:dyDescent="0.2">
      <c r="R2688" s="1288"/>
    </row>
    <row r="2689" spans="18:18" s="2" customFormat="1" ht="12.75" x14ac:dyDescent="0.2">
      <c r="R2689" s="1288"/>
    </row>
    <row r="2690" spans="18:18" s="2" customFormat="1" ht="12.75" x14ac:dyDescent="0.2">
      <c r="R2690" s="1288"/>
    </row>
    <row r="2691" spans="18:18" s="2" customFormat="1" ht="12.75" x14ac:dyDescent="0.2">
      <c r="R2691" s="1288"/>
    </row>
    <row r="2692" spans="18:18" s="2" customFormat="1" ht="12.75" x14ac:dyDescent="0.2">
      <c r="R2692" s="1288"/>
    </row>
    <row r="2693" spans="18:18" s="2" customFormat="1" ht="12.75" x14ac:dyDescent="0.2">
      <c r="R2693" s="1288"/>
    </row>
    <row r="2694" spans="18:18" s="2" customFormat="1" ht="12.75" x14ac:dyDescent="0.2">
      <c r="R2694" s="1288"/>
    </row>
    <row r="2695" spans="18:18" s="2" customFormat="1" ht="12.75" x14ac:dyDescent="0.2">
      <c r="R2695" s="1288"/>
    </row>
    <row r="2696" spans="18:18" s="2" customFormat="1" ht="12.75" x14ac:dyDescent="0.2">
      <c r="R2696" s="1288"/>
    </row>
    <row r="2697" spans="18:18" s="2" customFormat="1" ht="12.75" x14ac:dyDescent="0.2">
      <c r="R2697" s="1288"/>
    </row>
    <row r="2698" spans="18:18" s="2" customFormat="1" ht="12.75" x14ac:dyDescent="0.2">
      <c r="R2698" s="1288"/>
    </row>
    <row r="2699" spans="18:18" s="2" customFormat="1" ht="12.75" x14ac:dyDescent="0.2">
      <c r="R2699" s="1288"/>
    </row>
    <row r="2700" spans="18:18" s="2" customFormat="1" ht="12.75" x14ac:dyDescent="0.2">
      <c r="R2700" s="1288"/>
    </row>
    <row r="2701" spans="18:18" s="2" customFormat="1" ht="12.75" x14ac:dyDescent="0.2">
      <c r="R2701" s="1288"/>
    </row>
    <row r="2702" spans="18:18" s="2" customFormat="1" ht="12.75" x14ac:dyDescent="0.2">
      <c r="R2702" s="1288"/>
    </row>
    <row r="2703" spans="18:18" s="2" customFormat="1" ht="12.75" x14ac:dyDescent="0.2">
      <c r="R2703" s="1288"/>
    </row>
    <row r="2704" spans="18:18" s="2" customFormat="1" ht="12.75" x14ac:dyDescent="0.2">
      <c r="R2704" s="1288"/>
    </row>
    <row r="2705" spans="18:18" s="2" customFormat="1" ht="12.75" x14ac:dyDescent="0.2">
      <c r="R2705" s="1288"/>
    </row>
    <row r="2706" spans="18:18" s="2" customFormat="1" ht="12.75" x14ac:dyDescent="0.2">
      <c r="R2706" s="1288"/>
    </row>
    <row r="2707" spans="18:18" s="2" customFormat="1" ht="12.75" x14ac:dyDescent="0.2">
      <c r="R2707" s="1288"/>
    </row>
    <row r="2708" spans="18:18" s="2" customFormat="1" ht="12.75" x14ac:dyDescent="0.2">
      <c r="R2708" s="1288"/>
    </row>
    <row r="2709" spans="18:18" s="2" customFormat="1" ht="12.75" x14ac:dyDescent="0.2">
      <c r="R2709" s="1288"/>
    </row>
    <row r="2710" spans="18:18" s="2" customFormat="1" ht="12.75" x14ac:dyDescent="0.2">
      <c r="R2710" s="1288"/>
    </row>
    <row r="2711" spans="18:18" s="2" customFormat="1" ht="12.75" x14ac:dyDescent="0.2">
      <c r="R2711" s="1288"/>
    </row>
    <row r="2712" spans="18:18" s="2" customFormat="1" ht="12.75" x14ac:dyDescent="0.2">
      <c r="R2712" s="1288"/>
    </row>
    <row r="2713" spans="18:18" s="2" customFormat="1" ht="12.75" x14ac:dyDescent="0.2">
      <c r="R2713" s="1288"/>
    </row>
    <row r="2714" spans="18:18" s="2" customFormat="1" ht="12.75" x14ac:dyDescent="0.2">
      <c r="R2714" s="1288"/>
    </row>
    <row r="2715" spans="18:18" s="2" customFormat="1" ht="12.75" x14ac:dyDescent="0.2">
      <c r="R2715" s="1288"/>
    </row>
    <row r="2716" spans="18:18" s="2" customFormat="1" ht="12.75" x14ac:dyDescent="0.2">
      <c r="R2716" s="1288"/>
    </row>
    <row r="2717" spans="18:18" s="2" customFormat="1" ht="12.75" x14ac:dyDescent="0.2">
      <c r="R2717" s="1288"/>
    </row>
    <row r="2718" spans="18:18" s="2" customFormat="1" ht="12.75" x14ac:dyDescent="0.2">
      <c r="R2718" s="1288"/>
    </row>
    <row r="2719" spans="18:18" s="2" customFormat="1" ht="12.75" x14ac:dyDescent="0.2">
      <c r="R2719" s="1288"/>
    </row>
    <row r="2720" spans="18:18" s="2" customFormat="1" ht="12.75" x14ac:dyDescent="0.2">
      <c r="R2720" s="1288"/>
    </row>
    <row r="2721" spans="18:18" s="2" customFormat="1" ht="12.75" x14ac:dyDescent="0.2">
      <c r="R2721" s="1288"/>
    </row>
    <row r="2722" spans="18:18" s="2" customFormat="1" ht="12.75" x14ac:dyDescent="0.2">
      <c r="R2722" s="1288"/>
    </row>
    <row r="2723" spans="18:18" s="2" customFormat="1" ht="12.75" x14ac:dyDescent="0.2">
      <c r="R2723" s="1288"/>
    </row>
    <row r="2724" spans="18:18" s="2" customFormat="1" ht="12.75" x14ac:dyDescent="0.2">
      <c r="R2724" s="1288"/>
    </row>
    <row r="2725" spans="18:18" s="2" customFormat="1" ht="12.75" x14ac:dyDescent="0.2">
      <c r="R2725" s="1288"/>
    </row>
    <row r="2726" spans="18:18" s="2" customFormat="1" ht="12.75" x14ac:dyDescent="0.2">
      <c r="R2726" s="1288"/>
    </row>
    <row r="2727" spans="18:18" s="2" customFormat="1" ht="12.75" x14ac:dyDescent="0.2">
      <c r="R2727" s="1288"/>
    </row>
    <row r="2728" spans="18:18" s="2" customFormat="1" ht="12.75" x14ac:dyDescent="0.2">
      <c r="R2728" s="1288"/>
    </row>
    <row r="2729" spans="18:18" s="2" customFormat="1" ht="12.75" x14ac:dyDescent="0.2">
      <c r="R2729" s="1288"/>
    </row>
    <row r="2730" spans="18:18" s="2" customFormat="1" ht="12.75" x14ac:dyDescent="0.2">
      <c r="R2730" s="1288"/>
    </row>
    <row r="2731" spans="18:18" s="2" customFormat="1" ht="12.75" x14ac:dyDescent="0.2">
      <c r="R2731" s="1288"/>
    </row>
    <row r="2732" spans="18:18" s="2" customFormat="1" ht="12.75" x14ac:dyDescent="0.2">
      <c r="R2732" s="1288"/>
    </row>
    <row r="2733" spans="18:18" s="2" customFormat="1" ht="12.75" x14ac:dyDescent="0.2">
      <c r="R2733" s="1288"/>
    </row>
    <row r="2734" spans="18:18" s="2" customFormat="1" ht="12.75" x14ac:dyDescent="0.2">
      <c r="R2734" s="1288"/>
    </row>
    <row r="2735" spans="18:18" s="2" customFormat="1" ht="12.75" x14ac:dyDescent="0.2">
      <c r="R2735" s="1288"/>
    </row>
    <row r="2736" spans="18:18" s="2" customFormat="1" ht="12.75" x14ac:dyDescent="0.2">
      <c r="R2736" s="1288"/>
    </row>
    <row r="2737" spans="18:18" s="2" customFormat="1" ht="12.75" x14ac:dyDescent="0.2">
      <c r="R2737" s="1288"/>
    </row>
    <row r="2738" spans="18:18" s="2" customFormat="1" ht="12.75" x14ac:dyDescent="0.2">
      <c r="R2738" s="1288"/>
    </row>
    <row r="2739" spans="18:18" s="2" customFormat="1" ht="12.75" x14ac:dyDescent="0.2">
      <c r="R2739" s="1288"/>
    </row>
    <row r="2740" spans="18:18" s="2" customFormat="1" ht="12.75" x14ac:dyDescent="0.2">
      <c r="R2740" s="1288"/>
    </row>
    <row r="2741" spans="18:18" s="2" customFormat="1" ht="12.75" x14ac:dyDescent="0.2">
      <c r="R2741" s="1288"/>
    </row>
    <row r="2742" spans="18:18" s="2" customFormat="1" ht="12.75" x14ac:dyDescent="0.2">
      <c r="R2742" s="1288"/>
    </row>
    <row r="2743" spans="18:18" s="2" customFormat="1" ht="12.75" x14ac:dyDescent="0.2">
      <c r="R2743" s="1288"/>
    </row>
    <row r="2744" spans="18:18" s="2" customFormat="1" ht="12.75" x14ac:dyDescent="0.2">
      <c r="R2744" s="1288"/>
    </row>
    <row r="2745" spans="18:18" s="2" customFormat="1" ht="12.75" x14ac:dyDescent="0.2">
      <c r="R2745" s="1288"/>
    </row>
    <row r="2746" spans="18:18" s="2" customFormat="1" ht="12.75" x14ac:dyDescent="0.2">
      <c r="R2746" s="1288"/>
    </row>
    <row r="2747" spans="18:18" s="2" customFormat="1" ht="12.75" x14ac:dyDescent="0.2">
      <c r="R2747" s="1288"/>
    </row>
    <row r="2748" spans="18:18" s="2" customFormat="1" ht="12.75" x14ac:dyDescent="0.2">
      <c r="R2748" s="1288"/>
    </row>
    <row r="2749" spans="18:18" s="2" customFormat="1" ht="12.75" x14ac:dyDescent="0.2">
      <c r="R2749" s="1288"/>
    </row>
    <row r="2750" spans="18:18" s="2" customFormat="1" ht="12.75" x14ac:dyDescent="0.2">
      <c r="R2750" s="1288"/>
    </row>
    <row r="2751" spans="18:18" s="2" customFormat="1" ht="12.75" x14ac:dyDescent="0.2">
      <c r="R2751" s="1288"/>
    </row>
    <row r="2752" spans="18:18" s="2" customFormat="1" ht="12.75" x14ac:dyDescent="0.2">
      <c r="R2752" s="1288"/>
    </row>
    <row r="2753" spans="18:18" s="2" customFormat="1" ht="12.75" x14ac:dyDescent="0.2">
      <c r="R2753" s="1288"/>
    </row>
    <row r="2754" spans="18:18" s="2" customFormat="1" ht="12.75" x14ac:dyDescent="0.2">
      <c r="R2754" s="1288"/>
    </row>
    <row r="2755" spans="18:18" s="2" customFormat="1" ht="12.75" x14ac:dyDescent="0.2">
      <c r="R2755" s="1288"/>
    </row>
    <row r="2756" spans="18:18" s="2" customFormat="1" ht="12.75" x14ac:dyDescent="0.2">
      <c r="R2756" s="1288"/>
    </row>
    <row r="2757" spans="18:18" s="2" customFormat="1" ht="12.75" x14ac:dyDescent="0.2">
      <c r="R2757" s="1288"/>
    </row>
    <row r="2758" spans="18:18" s="2" customFormat="1" ht="12.75" x14ac:dyDescent="0.2">
      <c r="R2758" s="1288"/>
    </row>
    <row r="2759" spans="18:18" s="2" customFormat="1" ht="12.75" x14ac:dyDescent="0.2">
      <c r="R2759" s="1288"/>
    </row>
    <row r="2760" spans="18:18" s="2" customFormat="1" ht="12.75" x14ac:dyDescent="0.2">
      <c r="R2760" s="1288"/>
    </row>
    <row r="2761" spans="18:18" s="2" customFormat="1" ht="12.75" x14ac:dyDescent="0.2">
      <c r="R2761" s="1288"/>
    </row>
    <row r="2762" spans="18:18" s="2" customFormat="1" ht="12.75" x14ac:dyDescent="0.2">
      <c r="R2762" s="1288"/>
    </row>
    <row r="2763" spans="18:18" s="2" customFormat="1" ht="12.75" x14ac:dyDescent="0.2">
      <c r="R2763" s="1288"/>
    </row>
    <row r="2764" spans="18:18" s="2" customFormat="1" ht="12.75" x14ac:dyDescent="0.2">
      <c r="R2764" s="1288"/>
    </row>
    <row r="2765" spans="18:18" s="2" customFormat="1" ht="12.75" x14ac:dyDescent="0.2">
      <c r="R2765" s="1288"/>
    </row>
    <row r="2766" spans="18:18" s="2" customFormat="1" ht="12.75" x14ac:dyDescent="0.2">
      <c r="R2766" s="1288"/>
    </row>
    <row r="2767" spans="18:18" s="2" customFormat="1" ht="12.75" x14ac:dyDescent="0.2">
      <c r="R2767" s="1288"/>
    </row>
    <row r="2768" spans="18:18" s="2" customFormat="1" ht="12.75" x14ac:dyDescent="0.2">
      <c r="R2768" s="1288"/>
    </row>
    <row r="2769" spans="18:18" s="2" customFormat="1" ht="12.75" x14ac:dyDescent="0.2">
      <c r="R2769" s="1288"/>
    </row>
    <row r="2770" spans="18:18" s="2" customFormat="1" ht="12.75" x14ac:dyDescent="0.2">
      <c r="R2770" s="1288"/>
    </row>
    <row r="2771" spans="18:18" s="2" customFormat="1" ht="12.75" x14ac:dyDescent="0.2">
      <c r="R2771" s="1288"/>
    </row>
    <row r="2772" spans="18:18" s="2" customFormat="1" ht="12.75" x14ac:dyDescent="0.2">
      <c r="R2772" s="1288"/>
    </row>
    <row r="2773" spans="18:18" s="2" customFormat="1" ht="12.75" x14ac:dyDescent="0.2">
      <c r="R2773" s="1288"/>
    </row>
    <row r="2774" spans="18:18" s="2" customFormat="1" ht="12.75" x14ac:dyDescent="0.2">
      <c r="R2774" s="1288"/>
    </row>
    <row r="2775" spans="18:18" s="2" customFormat="1" ht="12.75" x14ac:dyDescent="0.2">
      <c r="R2775" s="1288"/>
    </row>
    <row r="2776" spans="18:18" s="2" customFormat="1" ht="12.75" x14ac:dyDescent="0.2">
      <c r="R2776" s="1288"/>
    </row>
    <row r="2777" spans="18:18" s="2" customFormat="1" ht="12.75" x14ac:dyDescent="0.2">
      <c r="R2777" s="1288"/>
    </row>
    <row r="2778" spans="18:18" s="2" customFormat="1" ht="12.75" x14ac:dyDescent="0.2">
      <c r="R2778" s="1288"/>
    </row>
    <row r="2779" spans="18:18" s="2" customFormat="1" ht="12.75" x14ac:dyDescent="0.2">
      <c r="R2779" s="1288"/>
    </row>
    <row r="2780" spans="18:18" s="2" customFormat="1" ht="12.75" x14ac:dyDescent="0.2">
      <c r="R2780" s="1288"/>
    </row>
    <row r="2781" spans="18:18" s="2" customFormat="1" ht="12.75" x14ac:dyDescent="0.2">
      <c r="R2781" s="1288"/>
    </row>
    <row r="2782" spans="18:18" s="2" customFormat="1" ht="12.75" x14ac:dyDescent="0.2">
      <c r="R2782" s="1288"/>
    </row>
    <row r="2783" spans="18:18" s="2" customFormat="1" ht="12.75" x14ac:dyDescent="0.2">
      <c r="R2783" s="1288"/>
    </row>
    <row r="2784" spans="18:18" s="2" customFormat="1" ht="12.75" x14ac:dyDescent="0.2">
      <c r="R2784" s="1288"/>
    </row>
    <row r="2785" spans="18:18" s="2" customFormat="1" ht="12.75" x14ac:dyDescent="0.2">
      <c r="R2785" s="1288"/>
    </row>
    <row r="2786" spans="18:18" s="2" customFormat="1" ht="12.75" x14ac:dyDescent="0.2">
      <c r="R2786" s="1288"/>
    </row>
    <row r="2787" spans="18:18" s="2" customFormat="1" ht="12.75" x14ac:dyDescent="0.2">
      <c r="R2787" s="1288"/>
    </row>
    <row r="2788" spans="18:18" s="2" customFormat="1" ht="12.75" x14ac:dyDescent="0.2">
      <c r="R2788" s="1288"/>
    </row>
    <row r="2789" spans="18:18" s="2" customFormat="1" ht="12.75" x14ac:dyDescent="0.2">
      <c r="R2789" s="1288"/>
    </row>
    <row r="2790" spans="18:18" s="2" customFormat="1" ht="12.75" x14ac:dyDescent="0.2">
      <c r="R2790" s="1288"/>
    </row>
    <row r="2791" spans="18:18" s="2" customFormat="1" ht="12.75" x14ac:dyDescent="0.2">
      <c r="R2791" s="1288"/>
    </row>
    <row r="2792" spans="18:18" s="2" customFormat="1" ht="12.75" x14ac:dyDescent="0.2">
      <c r="R2792" s="1288"/>
    </row>
    <row r="2793" spans="18:18" s="2" customFormat="1" ht="12.75" x14ac:dyDescent="0.2">
      <c r="R2793" s="1288"/>
    </row>
    <row r="2794" spans="18:18" s="2" customFormat="1" ht="12.75" x14ac:dyDescent="0.2">
      <c r="R2794" s="1288"/>
    </row>
    <row r="2795" spans="18:18" s="2" customFormat="1" ht="12.75" x14ac:dyDescent="0.2">
      <c r="R2795" s="1288"/>
    </row>
    <row r="2796" spans="18:18" s="2" customFormat="1" ht="12.75" x14ac:dyDescent="0.2">
      <c r="R2796" s="1288"/>
    </row>
    <row r="2797" spans="18:18" s="2" customFormat="1" ht="12.75" x14ac:dyDescent="0.2">
      <c r="R2797" s="1288"/>
    </row>
    <row r="2798" spans="18:18" s="2" customFormat="1" ht="12.75" x14ac:dyDescent="0.2">
      <c r="R2798" s="1288"/>
    </row>
    <row r="2799" spans="18:18" s="2" customFormat="1" ht="12.75" x14ac:dyDescent="0.2">
      <c r="R2799" s="1288"/>
    </row>
    <row r="2800" spans="18:18" s="2" customFormat="1" ht="12.75" x14ac:dyDescent="0.2">
      <c r="R2800" s="1288"/>
    </row>
    <row r="2801" spans="18:18" s="2" customFormat="1" ht="12.75" x14ac:dyDescent="0.2">
      <c r="R2801" s="1288"/>
    </row>
    <row r="2802" spans="18:18" s="2" customFormat="1" ht="12.75" x14ac:dyDescent="0.2">
      <c r="R2802" s="1288"/>
    </row>
    <row r="2803" spans="18:18" s="2" customFormat="1" ht="12.75" x14ac:dyDescent="0.2">
      <c r="R2803" s="1288"/>
    </row>
    <row r="2804" spans="18:18" s="2" customFormat="1" ht="12.75" x14ac:dyDescent="0.2">
      <c r="R2804" s="1288"/>
    </row>
    <row r="2805" spans="18:18" s="2" customFormat="1" ht="12.75" x14ac:dyDescent="0.2">
      <c r="R2805" s="1288"/>
    </row>
    <row r="2806" spans="18:18" s="2" customFormat="1" ht="12.75" x14ac:dyDescent="0.2">
      <c r="R2806" s="1288"/>
    </row>
    <row r="2807" spans="18:18" s="2" customFormat="1" ht="12.75" x14ac:dyDescent="0.2">
      <c r="R2807" s="1288"/>
    </row>
    <row r="2808" spans="18:18" s="2" customFormat="1" ht="12.75" x14ac:dyDescent="0.2">
      <c r="R2808" s="1288"/>
    </row>
    <row r="2809" spans="18:18" s="2" customFormat="1" ht="12.75" x14ac:dyDescent="0.2">
      <c r="R2809" s="1288"/>
    </row>
    <row r="2810" spans="18:18" s="2" customFormat="1" ht="12.75" x14ac:dyDescent="0.2">
      <c r="R2810" s="1288"/>
    </row>
    <row r="2811" spans="18:18" s="2" customFormat="1" ht="12.75" x14ac:dyDescent="0.2">
      <c r="R2811" s="1288"/>
    </row>
    <row r="2812" spans="18:18" s="2" customFormat="1" ht="12.75" x14ac:dyDescent="0.2">
      <c r="R2812" s="1288"/>
    </row>
    <row r="2813" spans="18:18" s="2" customFormat="1" ht="12.75" x14ac:dyDescent="0.2">
      <c r="R2813" s="1288"/>
    </row>
    <row r="2814" spans="18:18" s="2" customFormat="1" ht="12.75" x14ac:dyDescent="0.2">
      <c r="R2814" s="1288"/>
    </row>
    <row r="2815" spans="18:18" s="2" customFormat="1" ht="12.75" x14ac:dyDescent="0.2">
      <c r="R2815" s="1288"/>
    </row>
    <row r="2816" spans="18:18" s="2" customFormat="1" ht="12.75" x14ac:dyDescent="0.2">
      <c r="R2816" s="1288"/>
    </row>
    <row r="2817" spans="18:18" s="2" customFormat="1" ht="12.75" x14ac:dyDescent="0.2">
      <c r="R2817" s="1288"/>
    </row>
    <row r="2818" spans="18:18" s="2" customFormat="1" ht="12.75" x14ac:dyDescent="0.2">
      <c r="R2818" s="1288"/>
    </row>
    <row r="2819" spans="18:18" s="2" customFormat="1" ht="12.75" x14ac:dyDescent="0.2">
      <c r="R2819" s="1288"/>
    </row>
    <row r="2820" spans="18:18" s="2" customFormat="1" ht="12.75" x14ac:dyDescent="0.2">
      <c r="R2820" s="1288"/>
    </row>
    <row r="2821" spans="18:18" s="2" customFormat="1" ht="12.75" x14ac:dyDescent="0.2">
      <c r="R2821" s="1288"/>
    </row>
    <row r="2822" spans="18:18" s="2" customFormat="1" ht="12.75" x14ac:dyDescent="0.2">
      <c r="R2822" s="1288"/>
    </row>
    <row r="2823" spans="18:18" s="2" customFormat="1" ht="12.75" x14ac:dyDescent="0.2">
      <c r="R2823" s="1288"/>
    </row>
    <row r="2824" spans="18:18" s="2" customFormat="1" ht="12.75" x14ac:dyDescent="0.2">
      <c r="R2824" s="1288"/>
    </row>
    <row r="2825" spans="18:18" s="2" customFormat="1" ht="12.75" x14ac:dyDescent="0.2">
      <c r="R2825" s="1288"/>
    </row>
    <row r="2826" spans="18:18" s="2" customFormat="1" ht="12.75" x14ac:dyDescent="0.2">
      <c r="R2826" s="1288"/>
    </row>
    <row r="2827" spans="18:18" s="2" customFormat="1" ht="12.75" x14ac:dyDescent="0.2">
      <c r="R2827" s="1288"/>
    </row>
    <row r="2828" spans="18:18" s="2" customFormat="1" ht="12.75" x14ac:dyDescent="0.2">
      <c r="R2828" s="1288"/>
    </row>
    <row r="2829" spans="18:18" s="2" customFormat="1" ht="12.75" x14ac:dyDescent="0.2">
      <c r="R2829" s="1288"/>
    </row>
    <row r="2830" spans="18:18" s="2" customFormat="1" ht="12.75" x14ac:dyDescent="0.2">
      <c r="R2830" s="1288"/>
    </row>
    <row r="2831" spans="18:18" s="2" customFormat="1" ht="12.75" x14ac:dyDescent="0.2">
      <c r="R2831" s="1288"/>
    </row>
    <row r="2832" spans="18:18" s="2" customFormat="1" ht="12.75" x14ac:dyDescent="0.2">
      <c r="R2832" s="1288"/>
    </row>
    <row r="2833" spans="18:18" s="2" customFormat="1" ht="12.75" x14ac:dyDescent="0.2">
      <c r="R2833" s="1288"/>
    </row>
    <row r="2834" spans="18:18" s="2" customFormat="1" ht="12.75" x14ac:dyDescent="0.2">
      <c r="R2834" s="1288"/>
    </row>
    <row r="2835" spans="18:18" s="2" customFormat="1" ht="12.75" x14ac:dyDescent="0.2">
      <c r="R2835" s="1288"/>
    </row>
    <row r="2836" spans="18:18" s="2" customFormat="1" ht="12.75" x14ac:dyDescent="0.2">
      <c r="R2836" s="1288"/>
    </row>
    <row r="2837" spans="18:18" s="2" customFormat="1" ht="12.75" x14ac:dyDescent="0.2">
      <c r="R2837" s="1288"/>
    </row>
    <row r="2838" spans="18:18" s="2" customFormat="1" ht="12.75" x14ac:dyDescent="0.2">
      <c r="R2838" s="1288"/>
    </row>
    <row r="2839" spans="18:18" s="2" customFormat="1" ht="12.75" x14ac:dyDescent="0.2">
      <c r="R2839" s="1288"/>
    </row>
    <row r="2840" spans="18:18" s="2" customFormat="1" ht="12.75" x14ac:dyDescent="0.2">
      <c r="R2840" s="1288"/>
    </row>
    <row r="2841" spans="18:18" s="2" customFormat="1" ht="12.75" x14ac:dyDescent="0.2">
      <c r="R2841" s="1288"/>
    </row>
    <row r="2842" spans="18:18" s="2" customFormat="1" ht="12.75" x14ac:dyDescent="0.2">
      <c r="R2842" s="1288"/>
    </row>
    <row r="2843" spans="18:18" s="2" customFormat="1" ht="12.75" x14ac:dyDescent="0.2">
      <c r="R2843" s="1288"/>
    </row>
    <row r="2844" spans="18:18" s="2" customFormat="1" ht="12.75" x14ac:dyDescent="0.2">
      <c r="R2844" s="1288"/>
    </row>
    <row r="2845" spans="18:18" s="2" customFormat="1" ht="12.75" x14ac:dyDescent="0.2">
      <c r="R2845" s="1288"/>
    </row>
    <row r="2846" spans="18:18" s="2" customFormat="1" ht="12.75" x14ac:dyDescent="0.2">
      <c r="R2846" s="1288"/>
    </row>
    <row r="2847" spans="18:18" s="2" customFormat="1" ht="12.75" x14ac:dyDescent="0.2">
      <c r="R2847" s="1288"/>
    </row>
    <row r="2848" spans="18:18" s="2" customFormat="1" ht="12.75" x14ac:dyDescent="0.2">
      <c r="R2848" s="1288"/>
    </row>
    <row r="2849" spans="18:18" s="2" customFormat="1" ht="12.75" x14ac:dyDescent="0.2">
      <c r="R2849" s="1288"/>
    </row>
    <row r="2850" spans="18:18" s="2" customFormat="1" ht="12.75" x14ac:dyDescent="0.2">
      <c r="R2850" s="1288"/>
    </row>
    <row r="2851" spans="18:18" s="2" customFormat="1" ht="12.75" x14ac:dyDescent="0.2">
      <c r="R2851" s="1288"/>
    </row>
    <row r="2852" spans="18:18" s="2" customFormat="1" ht="12.75" x14ac:dyDescent="0.2">
      <c r="R2852" s="1288"/>
    </row>
    <row r="2853" spans="18:18" s="2" customFormat="1" ht="12.75" x14ac:dyDescent="0.2">
      <c r="R2853" s="1288"/>
    </row>
    <row r="2854" spans="18:18" s="2" customFormat="1" ht="12.75" x14ac:dyDescent="0.2">
      <c r="R2854" s="1288"/>
    </row>
    <row r="2855" spans="18:18" s="2" customFormat="1" ht="12.75" x14ac:dyDescent="0.2">
      <c r="R2855" s="1288"/>
    </row>
    <row r="2856" spans="18:18" s="2" customFormat="1" ht="12.75" x14ac:dyDescent="0.2">
      <c r="R2856" s="1288"/>
    </row>
    <row r="2857" spans="18:18" s="2" customFormat="1" ht="12.75" x14ac:dyDescent="0.2">
      <c r="R2857" s="1288"/>
    </row>
    <row r="2858" spans="18:18" s="2" customFormat="1" ht="12.75" x14ac:dyDescent="0.2">
      <c r="R2858" s="1288"/>
    </row>
    <row r="2859" spans="18:18" s="2" customFormat="1" ht="12.75" x14ac:dyDescent="0.2">
      <c r="R2859" s="1288"/>
    </row>
    <row r="2860" spans="18:18" s="2" customFormat="1" ht="12.75" x14ac:dyDescent="0.2">
      <c r="R2860" s="1288"/>
    </row>
    <row r="2861" spans="18:18" s="2" customFormat="1" ht="12.75" x14ac:dyDescent="0.2">
      <c r="R2861" s="1288"/>
    </row>
    <row r="2862" spans="18:18" s="2" customFormat="1" ht="12.75" x14ac:dyDescent="0.2">
      <c r="R2862" s="1288"/>
    </row>
    <row r="2863" spans="18:18" s="2" customFormat="1" ht="12.75" x14ac:dyDescent="0.2">
      <c r="R2863" s="1288"/>
    </row>
    <row r="2864" spans="18:18" s="2" customFormat="1" ht="12.75" x14ac:dyDescent="0.2">
      <c r="R2864" s="1288"/>
    </row>
    <row r="2865" spans="18:18" s="2" customFormat="1" ht="12.75" x14ac:dyDescent="0.2">
      <c r="R2865" s="1288"/>
    </row>
    <row r="2866" spans="18:18" s="2" customFormat="1" ht="12.75" x14ac:dyDescent="0.2">
      <c r="R2866" s="1288"/>
    </row>
    <row r="2867" spans="18:18" s="2" customFormat="1" ht="12.75" x14ac:dyDescent="0.2">
      <c r="R2867" s="1288"/>
    </row>
    <row r="2868" spans="18:18" s="2" customFormat="1" ht="12.75" x14ac:dyDescent="0.2">
      <c r="R2868" s="1288"/>
    </row>
    <row r="2869" spans="18:18" s="2" customFormat="1" ht="12.75" x14ac:dyDescent="0.2">
      <c r="R2869" s="1288"/>
    </row>
    <row r="2870" spans="18:18" s="2" customFormat="1" ht="12.75" x14ac:dyDescent="0.2">
      <c r="R2870" s="1288"/>
    </row>
    <row r="2871" spans="18:18" s="2" customFormat="1" ht="12.75" x14ac:dyDescent="0.2">
      <c r="R2871" s="1288"/>
    </row>
    <row r="2872" spans="18:18" s="2" customFormat="1" ht="12.75" x14ac:dyDescent="0.2">
      <c r="R2872" s="1288"/>
    </row>
    <row r="2873" spans="18:18" s="2" customFormat="1" ht="12.75" x14ac:dyDescent="0.2">
      <c r="R2873" s="1288"/>
    </row>
    <row r="2874" spans="18:18" s="2" customFormat="1" ht="12.75" x14ac:dyDescent="0.2">
      <c r="R2874" s="1288"/>
    </row>
    <row r="2875" spans="18:18" s="2" customFormat="1" ht="12.75" x14ac:dyDescent="0.2">
      <c r="R2875" s="1288"/>
    </row>
    <row r="2876" spans="18:18" s="2" customFormat="1" ht="12.75" x14ac:dyDescent="0.2">
      <c r="R2876" s="1288"/>
    </row>
    <row r="2877" spans="18:18" s="2" customFormat="1" ht="12.75" x14ac:dyDescent="0.2">
      <c r="R2877" s="1288"/>
    </row>
    <row r="2878" spans="18:18" s="2" customFormat="1" ht="12.75" x14ac:dyDescent="0.2">
      <c r="R2878" s="1288"/>
    </row>
    <row r="2879" spans="18:18" s="2" customFormat="1" ht="12.75" x14ac:dyDescent="0.2">
      <c r="R2879" s="1288"/>
    </row>
    <row r="2880" spans="18:18" s="2" customFormat="1" ht="12.75" x14ac:dyDescent="0.2">
      <c r="R2880" s="1288"/>
    </row>
    <row r="2881" spans="18:18" s="2" customFormat="1" ht="12.75" x14ac:dyDescent="0.2">
      <c r="R2881" s="1288"/>
    </row>
    <row r="2882" spans="18:18" s="2" customFormat="1" ht="12.75" x14ac:dyDescent="0.2">
      <c r="R2882" s="1288"/>
    </row>
    <row r="2883" spans="18:18" s="2" customFormat="1" ht="12.75" x14ac:dyDescent="0.2">
      <c r="R2883" s="1288"/>
    </row>
    <row r="2884" spans="18:18" s="2" customFormat="1" ht="12.75" x14ac:dyDescent="0.2">
      <c r="R2884" s="1288"/>
    </row>
    <row r="2885" spans="18:18" s="2" customFormat="1" ht="12.75" x14ac:dyDescent="0.2">
      <c r="R2885" s="1288"/>
    </row>
    <row r="2886" spans="18:18" s="2" customFormat="1" ht="12.75" x14ac:dyDescent="0.2">
      <c r="R2886" s="1288"/>
    </row>
    <row r="2887" spans="18:18" s="2" customFormat="1" ht="12.75" x14ac:dyDescent="0.2">
      <c r="R2887" s="1288"/>
    </row>
    <row r="2888" spans="18:18" s="2" customFormat="1" ht="12.75" x14ac:dyDescent="0.2">
      <c r="R2888" s="1288"/>
    </row>
    <row r="2889" spans="18:18" s="2" customFormat="1" ht="12.75" x14ac:dyDescent="0.2">
      <c r="R2889" s="1288"/>
    </row>
    <row r="2890" spans="18:18" s="2" customFormat="1" ht="12.75" x14ac:dyDescent="0.2">
      <c r="R2890" s="1288"/>
    </row>
    <row r="2891" spans="18:18" s="2" customFormat="1" ht="12.75" x14ac:dyDescent="0.2">
      <c r="R2891" s="1288"/>
    </row>
    <row r="2892" spans="18:18" s="2" customFormat="1" ht="12.75" x14ac:dyDescent="0.2">
      <c r="R2892" s="1288"/>
    </row>
    <row r="2893" spans="18:18" s="2" customFormat="1" ht="12.75" x14ac:dyDescent="0.2">
      <c r="R2893" s="1288"/>
    </row>
    <row r="2894" spans="18:18" s="2" customFormat="1" ht="12.75" x14ac:dyDescent="0.2">
      <c r="R2894" s="1288"/>
    </row>
    <row r="2895" spans="18:18" s="2" customFormat="1" ht="12.75" x14ac:dyDescent="0.2">
      <c r="R2895" s="1288"/>
    </row>
    <row r="2896" spans="18:18" s="2" customFormat="1" ht="12.75" x14ac:dyDescent="0.2">
      <c r="R2896" s="1288"/>
    </row>
    <row r="2897" spans="18:18" s="2" customFormat="1" ht="12.75" x14ac:dyDescent="0.2">
      <c r="R2897" s="1288"/>
    </row>
    <row r="2898" spans="18:18" s="2" customFormat="1" ht="12.75" x14ac:dyDescent="0.2">
      <c r="R2898" s="1288"/>
    </row>
    <row r="2899" spans="18:18" s="2" customFormat="1" ht="12.75" x14ac:dyDescent="0.2">
      <c r="R2899" s="1288"/>
    </row>
    <row r="2900" spans="18:18" s="2" customFormat="1" ht="12.75" x14ac:dyDescent="0.2">
      <c r="R2900" s="1288"/>
    </row>
    <row r="2901" spans="18:18" s="2" customFormat="1" ht="12.75" x14ac:dyDescent="0.2">
      <c r="R2901" s="1288"/>
    </row>
    <row r="2902" spans="18:18" s="2" customFormat="1" ht="12.75" x14ac:dyDescent="0.2">
      <c r="R2902" s="1288"/>
    </row>
    <row r="2903" spans="18:18" s="2" customFormat="1" ht="12.75" x14ac:dyDescent="0.2">
      <c r="R2903" s="1288"/>
    </row>
    <row r="2904" spans="18:18" s="2" customFormat="1" ht="12.75" x14ac:dyDescent="0.2">
      <c r="R2904" s="1288"/>
    </row>
    <row r="2905" spans="18:18" s="2" customFormat="1" ht="12.75" x14ac:dyDescent="0.2">
      <c r="R2905" s="1288"/>
    </row>
    <row r="2906" spans="18:18" s="2" customFormat="1" ht="12.75" x14ac:dyDescent="0.2">
      <c r="R2906" s="1288"/>
    </row>
    <row r="2907" spans="18:18" s="2" customFormat="1" ht="12.75" x14ac:dyDescent="0.2">
      <c r="R2907" s="1288"/>
    </row>
    <row r="2908" spans="18:18" s="2" customFormat="1" ht="12.75" x14ac:dyDescent="0.2">
      <c r="R2908" s="1288"/>
    </row>
    <row r="2909" spans="18:18" s="2" customFormat="1" ht="12.75" x14ac:dyDescent="0.2">
      <c r="R2909" s="1288"/>
    </row>
    <row r="2910" spans="18:18" s="2" customFormat="1" ht="12.75" x14ac:dyDescent="0.2">
      <c r="R2910" s="1288"/>
    </row>
    <row r="2911" spans="18:18" s="2" customFormat="1" ht="12.75" x14ac:dyDescent="0.2">
      <c r="R2911" s="1288"/>
    </row>
    <row r="2912" spans="18:18" s="2" customFormat="1" ht="12.75" x14ac:dyDescent="0.2">
      <c r="R2912" s="1288"/>
    </row>
    <row r="2913" spans="18:18" s="2" customFormat="1" ht="12.75" x14ac:dyDescent="0.2">
      <c r="R2913" s="1288"/>
    </row>
    <row r="2914" spans="18:18" s="2" customFormat="1" ht="12.75" x14ac:dyDescent="0.2">
      <c r="R2914" s="1288"/>
    </row>
    <row r="2915" spans="18:18" s="2" customFormat="1" ht="12.75" x14ac:dyDescent="0.2">
      <c r="R2915" s="1288"/>
    </row>
    <row r="2916" spans="18:18" s="2" customFormat="1" ht="12.75" x14ac:dyDescent="0.2">
      <c r="R2916" s="1288"/>
    </row>
    <row r="2917" spans="18:18" s="2" customFormat="1" ht="12.75" x14ac:dyDescent="0.2">
      <c r="R2917" s="1288"/>
    </row>
    <row r="2918" spans="18:18" s="2" customFormat="1" ht="12.75" x14ac:dyDescent="0.2">
      <c r="R2918" s="1288"/>
    </row>
    <row r="2919" spans="18:18" s="2" customFormat="1" ht="12.75" x14ac:dyDescent="0.2">
      <c r="R2919" s="1288"/>
    </row>
    <row r="2920" spans="18:18" s="2" customFormat="1" ht="12.75" x14ac:dyDescent="0.2">
      <c r="R2920" s="1288"/>
    </row>
    <row r="2921" spans="18:18" s="2" customFormat="1" ht="12.75" x14ac:dyDescent="0.2">
      <c r="R2921" s="1288"/>
    </row>
    <row r="2922" spans="18:18" s="2" customFormat="1" ht="12.75" x14ac:dyDescent="0.2">
      <c r="R2922" s="1288"/>
    </row>
    <row r="2923" spans="18:18" s="2" customFormat="1" ht="12.75" x14ac:dyDescent="0.2">
      <c r="R2923" s="1288"/>
    </row>
    <row r="2924" spans="18:18" s="2" customFormat="1" ht="12.75" x14ac:dyDescent="0.2">
      <c r="R2924" s="1288"/>
    </row>
    <row r="2925" spans="18:18" s="2" customFormat="1" ht="12.75" x14ac:dyDescent="0.2">
      <c r="R2925" s="1288"/>
    </row>
    <row r="2926" spans="18:18" s="2" customFormat="1" ht="12.75" x14ac:dyDescent="0.2">
      <c r="R2926" s="1288"/>
    </row>
    <row r="2927" spans="18:18" s="2" customFormat="1" ht="12.75" x14ac:dyDescent="0.2">
      <c r="R2927" s="1288"/>
    </row>
    <row r="2928" spans="18:18" s="2" customFormat="1" ht="12.75" x14ac:dyDescent="0.2">
      <c r="R2928" s="1288"/>
    </row>
    <row r="2929" spans="18:18" s="2" customFormat="1" ht="12.75" x14ac:dyDescent="0.2">
      <c r="R2929" s="1288"/>
    </row>
    <row r="2930" spans="18:18" s="2" customFormat="1" ht="12.75" x14ac:dyDescent="0.2">
      <c r="R2930" s="1288"/>
    </row>
    <row r="2931" spans="18:18" s="2" customFormat="1" ht="12.75" x14ac:dyDescent="0.2">
      <c r="R2931" s="1288"/>
    </row>
    <row r="2932" spans="18:18" s="2" customFormat="1" ht="12.75" x14ac:dyDescent="0.2">
      <c r="R2932" s="1288"/>
    </row>
    <row r="2933" spans="18:18" s="2" customFormat="1" ht="12.75" x14ac:dyDescent="0.2">
      <c r="R2933" s="1288"/>
    </row>
    <row r="2934" spans="18:18" s="2" customFormat="1" ht="12.75" x14ac:dyDescent="0.2">
      <c r="R2934" s="1288"/>
    </row>
    <row r="2935" spans="18:18" s="2" customFormat="1" ht="12.75" x14ac:dyDescent="0.2">
      <c r="R2935" s="1288"/>
    </row>
    <row r="2936" spans="18:18" s="2" customFormat="1" ht="12.75" x14ac:dyDescent="0.2">
      <c r="R2936" s="1288"/>
    </row>
    <row r="2937" spans="18:18" s="2" customFormat="1" ht="12.75" x14ac:dyDescent="0.2">
      <c r="R2937" s="1288"/>
    </row>
    <row r="2938" spans="18:18" s="2" customFormat="1" ht="12.75" x14ac:dyDescent="0.2">
      <c r="R2938" s="1288"/>
    </row>
    <row r="2939" spans="18:18" s="2" customFormat="1" ht="12.75" x14ac:dyDescent="0.2">
      <c r="R2939" s="1288"/>
    </row>
    <row r="2940" spans="18:18" s="2" customFormat="1" ht="12.75" x14ac:dyDescent="0.2">
      <c r="R2940" s="1288"/>
    </row>
    <row r="2941" spans="18:18" s="2" customFormat="1" ht="12.75" x14ac:dyDescent="0.2">
      <c r="R2941" s="1288"/>
    </row>
    <row r="2942" spans="18:18" s="2" customFormat="1" ht="12.75" x14ac:dyDescent="0.2">
      <c r="R2942" s="1288"/>
    </row>
    <row r="2943" spans="18:18" s="2" customFormat="1" ht="12.75" x14ac:dyDescent="0.2">
      <c r="R2943" s="1288"/>
    </row>
    <row r="2944" spans="18:18" s="2" customFormat="1" ht="12.75" x14ac:dyDescent="0.2">
      <c r="R2944" s="1288"/>
    </row>
    <row r="2945" spans="18:18" s="2" customFormat="1" ht="12.75" x14ac:dyDescent="0.2">
      <c r="R2945" s="1288"/>
    </row>
    <row r="2946" spans="18:18" s="2" customFormat="1" ht="12.75" x14ac:dyDescent="0.2">
      <c r="R2946" s="1288"/>
    </row>
    <row r="2947" spans="18:18" s="2" customFormat="1" ht="12.75" x14ac:dyDescent="0.2">
      <c r="R2947" s="1288"/>
    </row>
    <row r="2948" spans="18:18" s="2" customFormat="1" ht="12.75" x14ac:dyDescent="0.2">
      <c r="R2948" s="1288"/>
    </row>
    <row r="2949" spans="18:18" s="2" customFormat="1" ht="12.75" x14ac:dyDescent="0.2">
      <c r="R2949" s="1288"/>
    </row>
    <row r="2950" spans="18:18" s="2" customFormat="1" ht="12.75" x14ac:dyDescent="0.2">
      <c r="R2950" s="1288"/>
    </row>
    <row r="2951" spans="18:18" s="2" customFormat="1" ht="12.75" x14ac:dyDescent="0.2">
      <c r="R2951" s="1288"/>
    </row>
    <row r="2952" spans="18:18" s="2" customFormat="1" ht="12.75" x14ac:dyDescent="0.2">
      <c r="R2952" s="1288"/>
    </row>
    <row r="2953" spans="18:18" s="2" customFormat="1" ht="12.75" x14ac:dyDescent="0.2">
      <c r="R2953" s="1288"/>
    </row>
    <row r="2954" spans="18:18" s="2" customFormat="1" ht="12.75" x14ac:dyDescent="0.2">
      <c r="R2954" s="1288"/>
    </row>
    <row r="2955" spans="18:18" s="2" customFormat="1" ht="12.75" x14ac:dyDescent="0.2">
      <c r="R2955" s="1288"/>
    </row>
    <row r="2956" spans="18:18" s="2" customFormat="1" ht="12.75" x14ac:dyDescent="0.2">
      <c r="R2956" s="1288"/>
    </row>
    <row r="2957" spans="18:18" s="2" customFormat="1" ht="12.75" x14ac:dyDescent="0.2">
      <c r="R2957" s="1288"/>
    </row>
    <row r="2958" spans="18:18" s="2" customFormat="1" ht="12.75" x14ac:dyDescent="0.2">
      <c r="R2958" s="1288"/>
    </row>
    <row r="2959" spans="18:18" s="2" customFormat="1" ht="12.75" x14ac:dyDescent="0.2">
      <c r="R2959" s="1288"/>
    </row>
    <row r="2960" spans="18:18" s="2" customFormat="1" ht="12.75" x14ac:dyDescent="0.2">
      <c r="R2960" s="1288"/>
    </row>
    <row r="2961" spans="18:18" s="2" customFormat="1" ht="12.75" x14ac:dyDescent="0.2">
      <c r="R2961" s="1288"/>
    </row>
    <row r="2962" spans="18:18" s="2" customFormat="1" ht="12.75" x14ac:dyDescent="0.2">
      <c r="R2962" s="1288"/>
    </row>
    <row r="2963" spans="18:18" s="2" customFormat="1" ht="12.75" x14ac:dyDescent="0.2">
      <c r="R2963" s="1288"/>
    </row>
    <row r="2964" spans="18:18" s="2" customFormat="1" ht="12.75" x14ac:dyDescent="0.2">
      <c r="R2964" s="1288"/>
    </row>
    <row r="2965" spans="18:18" s="2" customFormat="1" ht="12.75" x14ac:dyDescent="0.2">
      <c r="R2965" s="1288"/>
    </row>
    <row r="2966" spans="18:18" s="2" customFormat="1" ht="12.75" x14ac:dyDescent="0.2">
      <c r="R2966" s="1288"/>
    </row>
    <row r="2967" spans="18:18" s="2" customFormat="1" ht="12.75" x14ac:dyDescent="0.2">
      <c r="R2967" s="1288"/>
    </row>
    <row r="2968" spans="18:18" s="2" customFormat="1" ht="12.75" x14ac:dyDescent="0.2">
      <c r="R2968" s="1288"/>
    </row>
    <row r="2969" spans="18:18" s="2" customFormat="1" ht="12.75" x14ac:dyDescent="0.2">
      <c r="R2969" s="1288"/>
    </row>
    <row r="2970" spans="18:18" s="2" customFormat="1" ht="12.75" x14ac:dyDescent="0.2">
      <c r="R2970" s="1288"/>
    </row>
    <row r="2971" spans="18:18" s="2" customFormat="1" ht="12.75" x14ac:dyDescent="0.2">
      <c r="R2971" s="1288"/>
    </row>
    <row r="2972" spans="18:18" s="2" customFormat="1" ht="12.75" x14ac:dyDescent="0.2">
      <c r="R2972" s="1288"/>
    </row>
    <row r="2973" spans="18:18" s="2" customFormat="1" ht="12.75" x14ac:dyDescent="0.2">
      <c r="R2973" s="1288"/>
    </row>
    <row r="2974" spans="18:18" s="2" customFormat="1" ht="12.75" x14ac:dyDescent="0.2">
      <c r="R2974" s="1288"/>
    </row>
    <row r="2975" spans="18:18" s="2" customFormat="1" ht="12.75" x14ac:dyDescent="0.2">
      <c r="R2975" s="1288"/>
    </row>
    <row r="2976" spans="18:18" s="2" customFormat="1" ht="12.75" x14ac:dyDescent="0.2">
      <c r="R2976" s="1288"/>
    </row>
    <row r="2977" spans="18:18" s="2" customFormat="1" ht="12.75" x14ac:dyDescent="0.2">
      <c r="R2977" s="1288"/>
    </row>
    <row r="2978" spans="18:18" s="2" customFormat="1" ht="12.75" x14ac:dyDescent="0.2">
      <c r="R2978" s="1288"/>
    </row>
    <row r="2979" spans="18:18" s="2" customFormat="1" ht="12.75" x14ac:dyDescent="0.2">
      <c r="R2979" s="1288"/>
    </row>
    <row r="2980" spans="18:18" s="2" customFormat="1" ht="12.75" x14ac:dyDescent="0.2">
      <c r="R2980" s="1288"/>
    </row>
    <row r="2981" spans="18:18" s="2" customFormat="1" ht="12.75" x14ac:dyDescent="0.2">
      <c r="R2981" s="1288"/>
    </row>
    <row r="2982" spans="18:18" s="2" customFormat="1" ht="12.75" x14ac:dyDescent="0.2">
      <c r="R2982" s="1288"/>
    </row>
    <row r="2983" spans="18:18" s="2" customFormat="1" ht="12.75" x14ac:dyDescent="0.2">
      <c r="R2983" s="1288"/>
    </row>
    <row r="2984" spans="18:18" s="2" customFormat="1" ht="12.75" x14ac:dyDescent="0.2">
      <c r="R2984" s="1288"/>
    </row>
    <row r="2985" spans="18:18" s="2" customFormat="1" ht="12.75" x14ac:dyDescent="0.2">
      <c r="R2985" s="1288"/>
    </row>
    <row r="2986" spans="18:18" s="2" customFormat="1" ht="12.75" x14ac:dyDescent="0.2">
      <c r="R2986" s="1288"/>
    </row>
    <row r="2987" spans="18:18" s="2" customFormat="1" ht="12.75" x14ac:dyDescent="0.2">
      <c r="R2987" s="1288"/>
    </row>
    <row r="2988" spans="18:18" s="2" customFormat="1" ht="12.75" x14ac:dyDescent="0.2">
      <c r="R2988" s="1288"/>
    </row>
    <row r="2989" spans="18:18" s="2" customFormat="1" ht="12.75" x14ac:dyDescent="0.2">
      <c r="R2989" s="1288"/>
    </row>
    <row r="2990" spans="18:18" s="2" customFormat="1" ht="12.75" x14ac:dyDescent="0.2">
      <c r="R2990" s="1288"/>
    </row>
    <row r="2991" spans="18:18" s="2" customFormat="1" ht="12.75" x14ac:dyDescent="0.2">
      <c r="R2991" s="1288"/>
    </row>
    <row r="2992" spans="18:18" s="2" customFormat="1" ht="12.75" x14ac:dyDescent="0.2">
      <c r="R2992" s="1288"/>
    </row>
    <row r="2993" spans="18:18" s="2" customFormat="1" ht="12.75" x14ac:dyDescent="0.2">
      <c r="R2993" s="1288"/>
    </row>
    <row r="2994" spans="18:18" s="2" customFormat="1" ht="12.75" x14ac:dyDescent="0.2">
      <c r="R2994" s="1288"/>
    </row>
    <row r="2995" spans="18:18" s="2" customFormat="1" ht="12.75" x14ac:dyDescent="0.2">
      <c r="R2995" s="1288"/>
    </row>
    <row r="2996" spans="18:18" s="2" customFormat="1" ht="12.75" x14ac:dyDescent="0.2">
      <c r="R2996" s="1288"/>
    </row>
    <row r="2997" spans="18:18" s="2" customFormat="1" ht="12.75" x14ac:dyDescent="0.2">
      <c r="R2997" s="1288"/>
    </row>
    <row r="2998" spans="18:18" s="2" customFormat="1" ht="12.75" x14ac:dyDescent="0.2">
      <c r="R2998" s="1288"/>
    </row>
    <row r="2999" spans="18:18" s="2" customFormat="1" ht="12.75" x14ac:dyDescent="0.2">
      <c r="R2999" s="1288"/>
    </row>
    <row r="3000" spans="18:18" s="2" customFormat="1" ht="12.75" x14ac:dyDescent="0.2">
      <c r="R3000" s="1288"/>
    </row>
    <row r="3001" spans="18:18" s="2" customFormat="1" ht="12.75" x14ac:dyDescent="0.2">
      <c r="R3001" s="1288"/>
    </row>
    <row r="3002" spans="18:18" s="2" customFormat="1" ht="12.75" x14ac:dyDescent="0.2">
      <c r="R3002" s="1288"/>
    </row>
    <row r="3003" spans="18:18" s="2" customFormat="1" ht="12.75" x14ac:dyDescent="0.2">
      <c r="R3003" s="1288"/>
    </row>
    <row r="3004" spans="18:18" s="2" customFormat="1" ht="12.75" x14ac:dyDescent="0.2">
      <c r="R3004" s="1288"/>
    </row>
    <row r="3005" spans="18:18" s="2" customFormat="1" ht="12.75" x14ac:dyDescent="0.2">
      <c r="R3005" s="1288"/>
    </row>
    <row r="3006" spans="18:18" s="2" customFormat="1" ht="12.75" x14ac:dyDescent="0.2">
      <c r="R3006" s="1288"/>
    </row>
    <row r="3007" spans="18:18" s="2" customFormat="1" ht="12.75" x14ac:dyDescent="0.2">
      <c r="R3007" s="1288"/>
    </row>
    <row r="3008" spans="18:18" s="2" customFormat="1" ht="12.75" x14ac:dyDescent="0.2">
      <c r="R3008" s="1288"/>
    </row>
    <row r="3009" spans="18:18" s="2" customFormat="1" ht="12.75" x14ac:dyDescent="0.2">
      <c r="R3009" s="1288"/>
    </row>
    <row r="3010" spans="18:18" s="2" customFormat="1" ht="12.75" x14ac:dyDescent="0.2">
      <c r="R3010" s="1288"/>
    </row>
    <row r="3011" spans="18:18" s="2" customFormat="1" ht="12.75" x14ac:dyDescent="0.2">
      <c r="R3011" s="1288"/>
    </row>
    <row r="3012" spans="18:18" s="2" customFormat="1" ht="12.75" x14ac:dyDescent="0.2">
      <c r="R3012" s="1288"/>
    </row>
    <row r="3013" spans="18:18" s="2" customFormat="1" ht="12.75" x14ac:dyDescent="0.2">
      <c r="R3013" s="1288"/>
    </row>
    <row r="3014" spans="18:18" s="2" customFormat="1" ht="12.75" x14ac:dyDescent="0.2">
      <c r="R3014" s="1288"/>
    </row>
    <row r="3015" spans="18:18" s="2" customFormat="1" ht="12.75" x14ac:dyDescent="0.2">
      <c r="R3015" s="1288"/>
    </row>
    <row r="3016" spans="18:18" s="2" customFormat="1" ht="12.75" x14ac:dyDescent="0.2">
      <c r="R3016" s="1288"/>
    </row>
    <row r="3017" spans="18:18" s="2" customFormat="1" ht="12.75" x14ac:dyDescent="0.2">
      <c r="R3017" s="1288"/>
    </row>
    <row r="3018" spans="18:18" s="2" customFormat="1" ht="12.75" x14ac:dyDescent="0.2">
      <c r="R3018" s="1288"/>
    </row>
    <row r="3019" spans="18:18" s="2" customFormat="1" ht="12.75" x14ac:dyDescent="0.2">
      <c r="R3019" s="1288"/>
    </row>
    <row r="3020" spans="18:18" s="2" customFormat="1" ht="12.75" x14ac:dyDescent="0.2">
      <c r="R3020" s="1288"/>
    </row>
    <row r="3021" spans="18:18" s="2" customFormat="1" ht="12.75" x14ac:dyDescent="0.2">
      <c r="R3021" s="1288"/>
    </row>
    <row r="3022" spans="18:18" s="2" customFormat="1" ht="12.75" x14ac:dyDescent="0.2">
      <c r="R3022" s="1288"/>
    </row>
    <row r="3023" spans="18:18" s="2" customFormat="1" ht="12.75" x14ac:dyDescent="0.2">
      <c r="R3023" s="1288"/>
    </row>
    <row r="3024" spans="18:18" s="2" customFormat="1" ht="12.75" x14ac:dyDescent="0.2">
      <c r="R3024" s="1288"/>
    </row>
    <row r="3025" spans="18:18" s="2" customFormat="1" ht="12.75" x14ac:dyDescent="0.2">
      <c r="R3025" s="1288"/>
    </row>
    <row r="3026" spans="18:18" s="2" customFormat="1" ht="12.75" x14ac:dyDescent="0.2">
      <c r="R3026" s="1288"/>
    </row>
    <row r="3027" spans="18:18" s="2" customFormat="1" ht="12.75" x14ac:dyDescent="0.2">
      <c r="R3027" s="1288"/>
    </row>
    <row r="3028" spans="18:18" s="2" customFormat="1" ht="12.75" x14ac:dyDescent="0.2">
      <c r="R3028" s="1288"/>
    </row>
    <row r="3029" spans="18:18" s="2" customFormat="1" ht="12.75" x14ac:dyDescent="0.2">
      <c r="R3029" s="1288"/>
    </row>
    <row r="3030" spans="18:18" s="2" customFormat="1" ht="12.75" x14ac:dyDescent="0.2">
      <c r="R3030" s="1288"/>
    </row>
    <row r="3031" spans="18:18" s="2" customFormat="1" ht="12.75" x14ac:dyDescent="0.2">
      <c r="R3031" s="1288"/>
    </row>
    <row r="3032" spans="18:18" s="2" customFormat="1" ht="12.75" x14ac:dyDescent="0.2">
      <c r="R3032" s="1288"/>
    </row>
    <row r="3033" spans="18:18" s="2" customFormat="1" ht="12.75" x14ac:dyDescent="0.2">
      <c r="R3033" s="1288"/>
    </row>
    <row r="3034" spans="18:18" s="2" customFormat="1" ht="12.75" x14ac:dyDescent="0.2">
      <c r="R3034" s="1288"/>
    </row>
    <row r="3035" spans="18:18" s="2" customFormat="1" ht="12.75" x14ac:dyDescent="0.2">
      <c r="R3035" s="1288"/>
    </row>
    <row r="3036" spans="18:18" s="2" customFormat="1" ht="12.75" x14ac:dyDescent="0.2">
      <c r="R3036" s="1288"/>
    </row>
    <row r="3037" spans="18:18" s="2" customFormat="1" ht="12.75" x14ac:dyDescent="0.2">
      <c r="R3037" s="1288"/>
    </row>
    <row r="3038" spans="18:18" s="2" customFormat="1" ht="12.75" x14ac:dyDescent="0.2">
      <c r="R3038" s="1288"/>
    </row>
    <row r="3039" spans="18:18" s="2" customFormat="1" ht="12.75" x14ac:dyDescent="0.2">
      <c r="R3039" s="1288"/>
    </row>
    <row r="3040" spans="18:18" s="2" customFormat="1" ht="12.75" x14ac:dyDescent="0.2">
      <c r="R3040" s="1288"/>
    </row>
    <row r="3041" spans="18:18" s="2" customFormat="1" ht="12.75" x14ac:dyDescent="0.2">
      <c r="R3041" s="1288"/>
    </row>
    <row r="3042" spans="18:18" s="2" customFormat="1" ht="12.75" x14ac:dyDescent="0.2">
      <c r="R3042" s="1288"/>
    </row>
    <row r="3043" spans="18:18" s="2" customFormat="1" ht="12.75" x14ac:dyDescent="0.2">
      <c r="R3043" s="1288"/>
    </row>
    <row r="3044" spans="18:18" s="2" customFormat="1" ht="12.75" x14ac:dyDescent="0.2">
      <c r="R3044" s="1288"/>
    </row>
    <row r="3045" spans="18:18" s="2" customFormat="1" ht="12.75" x14ac:dyDescent="0.2">
      <c r="R3045" s="1288"/>
    </row>
    <row r="3046" spans="18:18" s="2" customFormat="1" ht="12.75" x14ac:dyDescent="0.2">
      <c r="R3046" s="1288"/>
    </row>
    <row r="3047" spans="18:18" s="2" customFormat="1" ht="12.75" x14ac:dyDescent="0.2">
      <c r="R3047" s="1288"/>
    </row>
    <row r="3048" spans="18:18" s="2" customFormat="1" ht="12.75" x14ac:dyDescent="0.2">
      <c r="R3048" s="1288"/>
    </row>
    <row r="3049" spans="18:18" s="2" customFormat="1" ht="12.75" x14ac:dyDescent="0.2">
      <c r="R3049" s="1288"/>
    </row>
    <row r="3050" spans="18:18" s="2" customFormat="1" ht="12.75" x14ac:dyDescent="0.2">
      <c r="R3050" s="1288"/>
    </row>
    <row r="3051" spans="18:18" s="2" customFormat="1" ht="12.75" x14ac:dyDescent="0.2">
      <c r="R3051" s="1288"/>
    </row>
    <row r="3052" spans="18:18" s="2" customFormat="1" ht="12.75" x14ac:dyDescent="0.2">
      <c r="R3052" s="1288"/>
    </row>
    <row r="3053" spans="18:18" s="2" customFormat="1" ht="12.75" x14ac:dyDescent="0.2">
      <c r="R3053" s="1288"/>
    </row>
    <row r="3054" spans="18:18" s="2" customFormat="1" ht="12.75" x14ac:dyDescent="0.2">
      <c r="R3054" s="1288"/>
    </row>
    <row r="3055" spans="18:18" s="2" customFormat="1" ht="12.75" x14ac:dyDescent="0.2">
      <c r="R3055" s="1288"/>
    </row>
    <row r="3056" spans="18:18" s="2" customFormat="1" ht="12.75" x14ac:dyDescent="0.2">
      <c r="R3056" s="1288"/>
    </row>
    <row r="3057" spans="18:18" s="2" customFormat="1" ht="12.75" x14ac:dyDescent="0.2">
      <c r="R3057" s="1288"/>
    </row>
    <row r="3058" spans="18:18" s="2" customFormat="1" ht="12.75" x14ac:dyDescent="0.2">
      <c r="R3058" s="1288"/>
    </row>
    <row r="3059" spans="18:18" s="2" customFormat="1" ht="12.75" x14ac:dyDescent="0.2">
      <c r="R3059" s="1288"/>
    </row>
    <row r="3060" spans="18:18" s="2" customFormat="1" ht="12.75" x14ac:dyDescent="0.2">
      <c r="R3060" s="1288"/>
    </row>
    <row r="3061" spans="18:18" s="2" customFormat="1" ht="12.75" x14ac:dyDescent="0.2">
      <c r="R3061" s="1288"/>
    </row>
    <row r="3062" spans="18:18" s="2" customFormat="1" ht="12.75" x14ac:dyDescent="0.2">
      <c r="R3062" s="1288"/>
    </row>
    <row r="3063" spans="18:18" s="2" customFormat="1" ht="12.75" x14ac:dyDescent="0.2">
      <c r="R3063" s="1288"/>
    </row>
    <row r="3064" spans="18:18" s="2" customFormat="1" ht="12.75" x14ac:dyDescent="0.2">
      <c r="R3064" s="1288"/>
    </row>
    <row r="3065" spans="18:18" s="2" customFormat="1" ht="12.75" x14ac:dyDescent="0.2">
      <c r="R3065" s="1288"/>
    </row>
    <row r="3066" spans="18:18" s="2" customFormat="1" ht="12.75" x14ac:dyDescent="0.2">
      <c r="R3066" s="1288"/>
    </row>
    <row r="3067" spans="18:18" s="2" customFormat="1" ht="12.75" x14ac:dyDescent="0.2">
      <c r="R3067" s="1288"/>
    </row>
    <row r="3068" spans="18:18" s="2" customFormat="1" ht="12.75" x14ac:dyDescent="0.2">
      <c r="R3068" s="1288"/>
    </row>
    <row r="3069" spans="18:18" s="2" customFormat="1" ht="12.75" x14ac:dyDescent="0.2">
      <c r="R3069" s="1288"/>
    </row>
    <row r="3070" spans="18:18" s="2" customFormat="1" ht="12.75" x14ac:dyDescent="0.2">
      <c r="R3070" s="1288"/>
    </row>
    <row r="3071" spans="18:18" s="2" customFormat="1" ht="12.75" x14ac:dyDescent="0.2">
      <c r="R3071" s="1288"/>
    </row>
    <row r="3072" spans="18:18" s="2" customFormat="1" ht="12.75" x14ac:dyDescent="0.2">
      <c r="R3072" s="1288"/>
    </row>
    <row r="3073" spans="18:18" s="2" customFormat="1" ht="12.75" x14ac:dyDescent="0.2">
      <c r="R3073" s="1288"/>
    </row>
    <row r="3074" spans="18:18" s="2" customFormat="1" ht="12.75" x14ac:dyDescent="0.2">
      <c r="R3074" s="1288"/>
    </row>
    <row r="3075" spans="18:18" s="2" customFormat="1" ht="12.75" x14ac:dyDescent="0.2">
      <c r="R3075" s="1288"/>
    </row>
    <row r="3076" spans="18:18" s="2" customFormat="1" ht="12.75" x14ac:dyDescent="0.2">
      <c r="R3076" s="1288"/>
    </row>
    <row r="3077" spans="18:18" s="2" customFormat="1" ht="12.75" x14ac:dyDescent="0.2">
      <c r="R3077" s="1288"/>
    </row>
    <row r="3078" spans="18:18" s="2" customFormat="1" ht="12.75" x14ac:dyDescent="0.2">
      <c r="R3078" s="1288"/>
    </row>
    <row r="3079" spans="18:18" s="2" customFormat="1" ht="12.75" x14ac:dyDescent="0.2">
      <c r="R3079" s="1288"/>
    </row>
    <row r="3080" spans="18:18" s="2" customFormat="1" ht="12.75" x14ac:dyDescent="0.2">
      <c r="R3080" s="1288"/>
    </row>
    <row r="3081" spans="18:18" s="2" customFormat="1" ht="12.75" x14ac:dyDescent="0.2">
      <c r="R3081" s="1288"/>
    </row>
    <row r="3082" spans="18:18" s="2" customFormat="1" ht="12.75" x14ac:dyDescent="0.2">
      <c r="R3082" s="1288"/>
    </row>
    <row r="3083" spans="18:18" s="2" customFormat="1" ht="12.75" x14ac:dyDescent="0.2">
      <c r="R3083" s="1288"/>
    </row>
    <row r="3084" spans="18:18" s="2" customFormat="1" ht="12.75" x14ac:dyDescent="0.2">
      <c r="R3084" s="1288"/>
    </row>
    <row r="3085" spans="18:18" s="2" customFormat="1" ht="12.75" x14ac:dyDescent="0.2">
      <c r="R3085" s="1288"/>
    </row>
    <row r="3086" spans="18:18" s="2" customFormat="1" ht="12.75" x14ac:dyDescent="0.2">
      <c r="R3086" s="1288"/>
    </row>
    <row r="3087" spans="18:18" s="2" customFormat="1" ht="12.75" x14ac:dyDescent="0.2">
      <c r="R3087" s="1288"/>
    </row>
    <row r="3088" spans="18:18" s="2" customFormat="1" ht="12.75" x14ac:dyDescent="0.2">
      <c r="R3088" s="1288"/>
    </row>
    <row r="3089" spans="18:18" s="2" customFormat="1" ht="12.75" x14ac:dyDescent="0.2">
      <c r="R3089" s="1288"/>
    </row>
    <row r="3090" spans="18:18" s="2" customFormat="1" ht="12.75" x14ac:dyDescent="0.2">
      <c r="R3090" s="1288"/>
    </row>
    <row r="3091" spans="18:18" s="2" customFormat="1" ht="12.75" x14ac:dyDescent="0.2">
      <c r="R3091" s="1288"/>
    </row>
    <row r="3092" spans="18:18" s="2" customFormat="1" ht="12.75" x14ac:dyDescent="0.2">
      <c r="R3092" s="1288"/>
    </row>
    <row r="3093" spans="18:18" s="2" customFormat="1" ht="12.75" x14ac:dyDescent="0.2">
      <c r="R3093" s="1288"/>
    </row>
    <row r="3094" spans="18:18" s="2" customFormat="1" ht="12.75" x14ac:dyDescent="0.2">
      <c r="R3094" s="1288"/>
    </row>
    <row r="3095" spans="18:18" s="2" customFormat="1" ht="12.75" x14ac:dyDescent="0.2">
      <c r="R3095" s="1288"/>
    </row>
    <row r="3096" spans="18:18" s="2" customFormat="1" ht="12.75" x14ac:dyDescent="0.2">
      <c r="R3096" s="1288"/>
    </row>
    <row r="3097" spans="18:18" s="2" customFormat="1" ht="12.75" x14ac:dyDescent="0.2">
      <c r="R3097" s="1288"/>
    </row>
    <row r="3098" spans="18:18" s="2" customFormat="1" ht="12.75" x14ac:dyDescent="0.2">
      <c r="R3098" s="1288"/>
    </row>
    <row r="3099" spans="18:18" s="2" customFormat="1" ht="12.75" x14ac:dyDescent="0.2">
      <c r="R3099" s="1288"/>
    </row>
    <row r="3100" spans="18:18" s="2" customFormat="1" ht="12.75" x14ac:dyDescent="0.2">
      <c r="R3100" s="1288"/>
    </row>
    <row r="3101" spans="18:18" s="2" customFormat="1" ht="12.75" x14ac:dyDescent="0.2">
      <c r="R3101" s="1288"/>
    </row>
    <row r="3102" spans="18:18" s="2" customFormat="1" ht="12.75" x14ac:dyDescent="0.2">
      <c r="R3102" s="1288"/>
    </row>
    <row r="3103" spans="18:18" s="2" customFormat="1" ht="12.75" x14ac:dyDescent="0.2">
      <c r="R3103" s="1288"/>
    </row>
    <row r="3104" spans="18:18" s="2" customFormat="1" ht="12.75" x14ac:dyDescent="0.2">
      <c r="R3104" s="1288"/>
    </row>
    <row r="3105" spans="18:18" s="2" customFormat="1" ht="12.75" x14ac:dyDescent="0.2">
      <c r="R3105" s="1288"/>
    </row>
    <row r="3106" spans="18:18" s="2" customFormat="1" ht="12.75" x14ac:dyDescent="0.2">
      <c r="R3106" s="1288"/>
    </row>
    <row r="3107" spans="18:18" s="2" customFormat="1" ht="12.75" x14ac:dyDescent="0.2">
      <c r="R3107" s="1288"/>
    </row>
    <row r="3108" spans="18:18" s="2" customFormat="1" ht="12.75" x14ac:dyDescent="0.2">
      <c r="R3108" s="1288"/>
    </row>
    <row r="3109" spans="18:18" s="2" customFormat="1" ht="12.75" x14ac:dyDescent="0.2">
      <c r="R3109" s="1288"/>
    </row>
    <row r="3110" spans="18:18" s="2" customFormat="1" ht="12.75" x14ac:dyDescent="0.2">
      <c r="R3110" s="1288"/>
    </row>
    <row r="3111" spans="18:18" s="2" customFormat="1" ht="12.75" x14ac:dyDescent="0.2">
      <c r="R3111" s="1288"/>
    </row>
    <row r="3112" spans="18:18" s="2" customFormat="1" ht="12.75" x14ac:dyDescent="0.2">
      <c r="R3112" s="1288"/>
    </row>
    <row r="3113" spans="18:18" s="2" customFormat="1" ht="12.75" x14ac:dyDescent="0.2">
      <c r="R3113" s="1288"/>
    </row>
    <row r="3114" spans="18:18" s="2" customFormat="1" ht="12.75" x14ac:dyDescent="0.2">
      <c r="R3114" s="1288"/>
    </row>
    <row r="3115" spans="18:18" s="2" customFormat="1" ht="12.75" x14ac:dyDescent="0.2">
      <c r="R3115" s="1288"/>
    </row>
    <row r="3116" spans="18:18" s="2" customFormat="1" ht="12.75" x14ac:dyDescent="0.2">
      <c r="R3116" s="1288"/>
    </row>
    <row r="3117" spans="18:18" s="2" customFormat="1" ht="12.75" x14ac:dyDescent="0.2">
      <c r="R3117" s="1288"/>
    </row>
    <row r="3118" spans="18:18" s="2" customFormat="1" ht="12.75" x14ac:dyDescent="0.2">
      <c r="R3118" s="1288"/>
    </row>
    <row r="3119" spans="18:18" s="2" customFormat="1" ht="12.75" x14ac:dyDescent="0.2">
      <c r="R3119" s="1288"/>
    </row>
    <row r="3120" spans="18:18" s="2" customFormat="1" ht="12.75" x14ac:dyDescent="0.2">
      <c r="R3120" s="1288"/>
    </row>
    <row r="3121" spans="18:18" s="2" customFormat="1" ht="12.75" x14ac:dyDescent="0.2">
      <c r="R3121" s="1288"/>
    </row>
    <row r="3122" spans="18:18" s="2" customFormat="1" ht="12.75" x14ac:dyDescent="0.2">
      <c r="R3122" s="1288"/>
    </row>
    <row r="3123" spans="18:18" s="2" customFormat="1" ht="12.75" x14ac:dyDescent="0.2">
      <c r="R3123" s="1288"/>
    </row>
    <row r="3124" spans="18:18" s="2" customFormat="1" ht="12.75" x14ac:dyDescent="0.2">
      <c r="R3124" s="1288"/>
    </row>
    <row r="3125" spans="18:18" s="2" customFormat="1" ht="12.75" x14ac:dyDescent="0.2">
      <c r="R3125" s="1288"/>
    </row>
    <row r="3126" spans="18:18" s="2" customFormat="1" ht="12.75" x14ac:dyDescent="0.2">
      <c r="R3126" s="1288"/>
    </row>
    <row r="3127" spans="18:18" s="2" customFormat="1" ht="12.75" x14ac:dyDescent="0.2">
      <c r="R3127" s="1288"/>
    </row>
    <row r="3128" spans="18:18" s="2" customFormat="1" ht="12.75" x14ac:dyDescent="0.2">
      <c r="R3128" s="1288"/>
    </row>
    <row r="3129" spans="18:18" s="2" customFormat="1" ht="12.75" x14ac:dyDescent="0.2">
      <c r="R3129" s="1288"/>
    </row>
    <row r="3130" spans="18:18" s="2" customFormat="1" ht="12.75" x14ac:dyDescent="0.2">
      <c r="R3130" s="1288"/>
    </row>
    <row r="3131" spans="18:18" s="2" customFormat="1" ht="12.75" x14ac:dyDescent="0.2">
      <c r="R3131" s="1288"/>
    </row>
    <row r="3132" spans="18:18" s="2" customFormat="1" ht="12.75" x14ac:dyDescent="0.2">
      <c r="R3132" s="1288"/>
    </row>
    <row r="3133" spans="18:18" s="2" customFormat="1" ht="12.75" x14ac:dyDescent="0.2">
      <c r="R3133" s="1288"/>
    </row>
    <row r="3134" spans="18:18" s="2" customFormat="1" ht="12.75" x14ac:dyDescent="0.2">
      <c r="R3134" s="1288"/>
    </row>
    <row r="3135" spans="18:18" s="2" customFormat="1" ht="12.75" x14ac:dyDescent="0.2">
      <c r="R3135" s="1288"/>
    </row>
    <row r="3136" spans="18:18" s="2" customFormat="1" ht="12.75" x14ac:dyDescent="0.2">
      <c r="R3136" s="1288"/>
    </row>
    <row r="3137" spans="18:18" s="2" customFormat="1" ht="12.75" x14ac:dyDescent="0.2">
      <c r="R3137" s="1288"/>
    </row>
    <row r="3138" spans="18:18" s="2" customFormat="1" ht="12.75" x14ac:dyDescent="0.2">
      <c r="R3138" s="1288"/>
    </row>
    <row r="3139" spans="18:18" s="2" customFormat="1" ht="12.75" x14ac:dyDescent="0.2">
      <c r="R3139" s="1288"/>
    </row>
    <row r="3140" spans="18:18" s="2" customFormat="1" ht="12.75" x14ac:dyDescent="0.2">
      <c r="R3140" s="1288"/>
    </row>
    <row r="3141" spans="18:18" s="2" customFormat="1" ht="12.75" x14ac:dyDescent="0.2">
      <c r="R3141" s="1288"/>
    </row>
    <row r="3142" spans="18:18" s="2" customFormat="1" ht="12.75" x14ac:dyDescent="0.2">
      <c r="R3142" s="1288"/>
    </row>
    <row r="3143" spans="18:18" s="2" customFormat="1" ht="12.75" x14ac:dyDescent="0.2">
      <c r="R3143" s="1288"/>
    </row>
    <row r="3144" spans="18:18" s="2" customFormat="1" ht="12.75" x14ac:dyDescent="0.2">
      <c r="R3144" s="1288"/>
    </row>
    <row r="3145" spans="18:18" s="2" customFormat="1" ht="12.75" x14ac:dyDescent="0.2">
      <c r="R3145" s="1288"/>
    </row>
    <row r="3146" spans="18:18" s="2" customFormat="1" ht="12.75" x14ac:dyDescent="0.2">
      <c r="R3146" s="1288"/>
    </row>
    <row r="3147" spans="18:18" s="2" customFormat="1" ht="12.75" x14ac:dyDescent="0.2">
      <c r="R3147" s="1288"/>
    </row>
    <row r="3148" spans="18:18" s="2" customFormat="1" ht="12.75" x14ac:dyDescent="0.2">
      <c r="R3148" s="1288"/>
    </row>
    <row r="3149" spans="18:18" s="2" customFormat="1" ht="12.75" x14ac:dyDescent="0.2">
      <c r="R3149" s="1288"/>
    </row>
    <row r="3150" spans="18:18" s="2" customFormat="1" ht="12.75" x14ac:dyDescent="0.2">
      <c r="R3150" s="1288"/>
    </row>
    <row r="3151" spans="18:18" s="2" customFormat="1" ht="12.75" x14ac:dyDescent="0.2">
      <c r="R3151" s="1288"/>
    </row>
    <row r="3152" spans="18:18" s="2" customFormat="1" ht="12.75" x14ac:dyDescent="0.2">
      <c r="R3152" s="1288"/>
    </row>
    <row r="3153" spans="18:18" s="2" customFormat="1" ht="12.75" x14ac:dyDescent="0.2">
      <c r="R3153" s="1288"/>
    </row>
    <row r="3154" spans="18:18" s="2" customFormat="1" ht="12.75" x14ac:dyDescent="0.2">
      <c r="R3154" s="1288"/>
    </row>
    <row r="3155" spans="18:18" s="2" customFormat="1" ht="12.75" x14ac:dyDescent="0.2">
      <c r="R3155" s="1288"/>
    </row>
    <row r="3156" spans="18:18" s="2" customFormat="1" ht="12.75" x14ac:dyDescent="0.2">
      <c r="R3156" s="1288"/>
    </row>
    <row r="3157" spans="18:18" s="2" customFormat="1" ht="12.75" x14ac:dyDescent="0.2">
      <c r="R3157" s="1288"/>
    </row>
    <row r="3158" spans="18:18" s="2" customFormat="1" ht="12.75" x14ac:dyDescent="0.2">
      <c r="R3158" s="1288"/>
    </row>
    <row r="3159" spans="18:18" s="2" customFormat="1" ht="12.75" x14ac:dyDescent="0.2">
      <c r="R3159" s="1288"/>
    </row>
    <row r="3160" spans="18:18" s="2" customFormat="1" ht="12.75" x14ac:dyDescent="0.2">
      <c r="R3160" s="1288"/>
    </row>
    <row r="3161" spans="18:18" s="2" customFormat="1" ht="12.75" x14ac:dyDescent="0.2">
      <c r="R3161" s="1288"/>
    </row>
    <row r="3162" spans="18:18" s="2" customFormat="1" ht="12.75" x14ac:dyDescent="0.2">
      <c r="R3162" s="1288"/>
    </row>
    <row r="3163" spans="18:18" s="2" customFormat="1" ht="12.75" x14ac:dyDescent="0.2">
      <c r="R3163" s="1288"/>
    </row>
    <row r="3164" spans="18:18" s="2" customFormat="1" ht="12.75" x14ac:dyDescent="0.2">
      <c r="R3164" s="1288"/>
    </row>
    <row r="3165" spans="18:18" s="2" customFormat="1" ht="12.75" x14ac:dyDescent="0.2">
      <c r="R3165" s="1288"/>
    </row>
    <row r="3166" spans="18:18" s="2" customFormat="1" ht="12.75" x14ac:dyDescent="0.2">
      <c r="R3166" s="1288"/>
    </row>
    <row r="3167" spans="18:18" s="2" customFormat="1" ht="12.75" x14ac:dyDescent="0.2">
      <c r="R3167" s="1288"/>
    </row>
    <row r="3168" spans="18:18" s="2" customFormat="1" ht="12.75" x14ac:dyDescent="0.2">
      <c r="R3168" s="1288"/>
    </row>
    <row r="3169" spans="18:18" s="2" customFormat="1" ht="12.75" x14ac:dyDescent="0.2">
      <c r="R3169" s="1288"/>
    </row>
    <row r="3170" spans="18:18" s="2" customFormat="1" ht="12.75" x14ac:dyDescent="0.2">
      <c r="R3170" s="1288"/>
    </row>
    <row r="3171" spans="18:18" s="2" customFormat="1" ht="12.75" x14ac:dyDescent="0.2">
      <c r="R3171" s="1288"/>
    </row>
    <row r="3172" spans="18:18" s="2" customFormat="1" ht="12.75" x14ac:dyDescent="0.2">
      <c r="R3172" s="1288"/>
    </row>
    <row r="3173" spans="18:18" s="2" customFormat="1" ht="12.75" x14ac:dyDescent="0.2">
      <c r="R3173" s="1288"/>
    </row>
    <row r="3174" spans="18:18" s="2" customFormat="1" ht="12.75" x14ac:dyDescent="0.2">
      <c r="R3174" s="1288"/>
    </row>
    <row r="3175" spans="18:18" s="2" customFormat="1" ht="12.75" x14ac:dyDescent="0.2">
      <c r="R3175" s="1288"/>
    </row>
    <row r="3176" spans="18:18" s="2" customFormat="1" ht="12.75" x14ac:dyDescent="0.2">
      <c r="R3176" s="1288"/>
    </row>
    <row r="3177" spans="18:18" s="2" customFormat="1" ht="12.75" x14ac:dyDescent="0.2">
      <c r="R3177" s="1288"/>
    </row>
    <row r="3178" spans="18:18" s="2" customFormat="1" ht="12.75" x14ac:dyDescent="0.2">
      <c r="R3178" s="1288"/>
    </row>
    <row r="3179" spans="18:18" s="2" customFormat="1" ht="12.75" x14ac:dyDescent="0.2">
      <c r="R3179" s="1288"/>
    </row>
    <row r="3180" spans="18:18" s="2" customFormat="1" ht="12.75" x14ac:dyDescent="0.2">
      <c r="R3180" s="1288"/>
    </row>
    <row r="3181" spans="18:18" s="2" customFormat="1" ht="12.75" x14ac:dyDescent="0.2">
      <c r="R3181" s="1288"/>
    </row>
    <row r="3182" spans="18:18" s="2" customFormat="1" ht="12.75" x14ac:dyDescent="0.2">
      <c r="R3182" s="1288"/>
    </row>
    <row r="3183" spans="18:18" s="2" customFormat="1" ht="12.75" x14ac:dyDescent="0.2">
      <c r="R3183" s="1288"/>
    </row>
    <row r="3184" spans="18:18" s="2" customFormat="1" ht="12.75" x14ac:dyDescent="0.2">
      <c r="R3184" s="1288"/>
    </row>
    <row r="3185" spans="18:18" s="2" customFormat="1" ht="12.75" x14ac:dyDescent="0.2">
      <c r="R3185" s="1288"/>
    </row>
    <row r="3186" spans="18:18" s="2" customFormat="1" ht="12.75" x14ac:dyDescent="0.2">
      <c r="R3186" s="1288"/>
    </row>
    <row r="3187" spans="18:18" s="2" customFormat="1" ht="12.75" x14ac:dyDescent="0.2">
      <c r="R3187" s="1288"/>
    </row>
    <row r="3188" spans="18:18" s="2" customFormat="1" ht="12.75" x14ac:dyDescent="0.2">
      <c r="R3188" s="1288"/>
    </row>
    <row r="3189" spans="18:18" s="2" customFormat="1" ht="12.75" x14ac:dyDescent="0.2">
      <c r="R3189" s="1288"/>
    </row>
    <row r="3190" spans="18:18" s="2" customFormat="1" ht="12.75" x14ac:dyDescent="0.2">
      <c r="R3190" s="1288"/>
    </row>
    <row r="3191" spans="18:18" s="2" customFormat="1" ht="12.75" x14ac:dyDescent="0.2">
      <c r="R3191" s="1288"/>
    </row>
    <row r="3192" spans="18:18" s="2" customFormat="1" ht="12.75" x14ac:dyDescent="0.2">
      <c r="R3192" s="1288"/>
    </row>
    <row r="3193" spans="18:18" s="2" customFormat="1" ht="12.75" x14ac:dyDescent="0.2">
      <c r="R3193" s="1288"/>
    </row>
    <row r="3194" spans="18:18" s="2" customFormat="1" ht="12.75" x14ac:dyDescent="0.2">
      <c r="R3194" s="1288"/>
    </row>
    <row r="3195" spans="18:18" s="2" customFormat="1" ht="12.75" x14ac:dyDescent="0.2">
      <c r="R3195" s="1288"/>
    </row>
    <row r="3196" spans="18:18" s="2" customFormat="1" ht="12.75" x14ac:dyDescent="0.2">
      <c r="R3196" s="1288"/>
    </row>
    <row r="3197" spans="18:18" s="2" customFormat="1" ht="12.75" x14ac:dyDescent="0.2">
      <c r="R3197" s="1288"/>
    </row>
    <row r="3198" spans="18:18" s="2" customFormat="1" ht="12.75" x14ac:dyDescent="0.2">
      <c r="R3198" s="1288"/>
    </row>
    <row r="3199" spans="18:18" s="2" customFormat="1" ht="12.75" x14ac:dyDescent="0.2">
      <c r="R3199" s="1288"/>
    </row>
    <row r="3200" spans="18:18" s="2" customFormat="1" ht="12.75" x14ac:dyDescent="0.2">
      <c r="R3200" s="1288"/>
    </row>
    <row r="3201" spans="18:18" s="2" customFormat="1" ht="12.75" x14ac:dyDescent="0.2">
      <c r="R3201" s="1288"/>
    </row>
    <row r="3202" spans="18:18" s="2" customFormat="1" ht="12.75" x14ac:dyDescent="0.2">
      <c r="R3202" s="1288"/>
    </row>
    <row r="3203" spans="18:18" s="2" customFormat="1" ht="12.75" x14ac:dyDescent="0.2">
      <c r="R3203" s="1288"/>
    </row>
    <row r="3204" spans="18:18" s="2" customFormat="1" ht="12.75" x14ac:dyDescent="0.2">
      <c r="R3204" s="1288"/>
    </row>
    <row r="3205" spans="18:18" s="2" customFormat="1" ht="12.75" x14ac:dyDescent="0.2">
      <c r="R3205" s="1288"/>
    </row>
    <row r="3206" spans="18:18" s="2" customFormat="1" ht="12.75" x14ac:dyDescent="0.2">
      <c r="R3206" s="1288"/>
    </row>
    <row r="3207" spans="18:18" s="2" customFormat="1" ht="12.75" x14ac:dyDescent="0.2">
      <c r="R3207" s="1288"/>
    </row>
    <row r="3208" spans="18:18" s="2" customFormat="1" ht="12.75" x14ac:dyDescent="0.2">
      <c r="R3208" s="1288"/>
    </row>
    <row r="3209" spans="18:18" s="2" customFormat="1" ht="12.75" x14ac:dyDescent="0.2">
      <c r="R3209" s="1288"/>
    </row>
    <row r="3210" spans="18:18" s="2" customFormat="1" ht="12.75" x14ac:dyDescent="0.2">
      <c r="R3210" s="1288"/>
    </row>
    <row r="3211" spans="18:18" s="2" customFormat="1" ht="12.75" x14ac:dyDescent="0.2">
      <c r="R3211" s="1288"/>
    </row>
    <row r="3212" spans="18:18" s="2" customFormat="1" ht="12.75" x14ac:dyDescent="0.2">
      <c r="R3212" s="1288"/>
    </row>
    <row r="3213" spans="18:18" s="2" customFormat="1" ht="12.75" x14ac:dyDescent="0.2">
      <c r="R3213" s="1288"/>
    </row>
    <row r="3214" spans="18:18" s="2" customFormat="1" ht="12.75" x14ac:dyDescent="0.2">
      <c r="R3214" s="1288"/>
    </row>
    <row r="3215" spans="18:18" s="2" customFormat="1" ht="12.75" x14ac:dyDescent="0.2">
      <c r="R3215" s="1288"/>
    </row>
    <row r="3216" spans="18:18" s="2" customFormat="1" ht="12.75" x14ac:dyDescent="0.2">
      <c r="R3216" s="1288"/>
    </row>
    <row r="3217" spans="18:18" s="2" customFormat="1" ht="12.75" x14ac:dyDescent="0.2">
      <c r="R3217" s="1288"/>
    </row>
    <row r="3218" spans="18:18" s="2" customFormat="1" ht="12.75" x14ac:dyDescent="0.2">
      <c r="R3218" s="1288"/>
    </row>
    <row r="3219" spans="18:18" s="2" customFormat="1" ht="12.75" x14ac:dyDescent="0.2">
      <c r="R3219" s="1288"/>
    </row>
    <row r="3220" spans="18:18" s="2" customFormat="1" ht="12.75" x14ac:dyDescent="0.2">
      <c r="R3220" s="1288"/>
    </row>
    <row r="3221" spans="18:18" s="2" customFormat="1" ht="12.75" x14ac:dyDescent="0.2">
      <c r="R3221" s="1288"/>
    </row>
    <row r="3222" spans="18:18" s="2" customFormat="1" ht="12.75" x14ac:dyDescent="0.2">
      <c r="R3222" s="1288"/>
    </row>
    <row r="3223" spans="18:18" s="2" customFormat="1" ht="12.75" x14ac:dyDescent="0.2">
      <c r="R3223" s="1288"/>
    </row>
    <row r="3224" spans="18:18" s="2" customFormat="1" ht="12.75" x14ac:dyDescent="0.2">
      <c r="R3224" s="1288"/>
    </row>
    <row r="3225" spans="18:18" s="2" customFormat="1" ht="12.75" x14ac:dyDescent="0.2">
      <c r="R3225" s="1288"/>
    </row>
    <row r="3226" spans="18:18" s="2" customFormat="1" ht="12.75" x14ac:dyDescent="0.2">
      <c r="R3226" s="1288"/>
    </row>
    <row r="3227" spans="18:18" s="2" customFormat="1" ht="12.75" x14ac:dyDescent="0.2">
      <c r="R3227" s="1288"/>
    </row>
    <row r="3228" spans="18:18" s="2" customFormat="1" ht="12.75" x14ac:dyDescent="0.2">
      <c r="R3228" s="1288"/>
    </row>
    <row r="3229" spans="18:18" s="2" customFormat="1" ht="12.75" x14ac:dyDescent="0.2">
      <c r="R3229" s="1288"/>
    </row>
    <row r="3230" spans="18:18" s="2" customFormat="1" ht="12.75" x14ac:dyDescent="0.2">
      <c r="R3230" s="1288"/>
    </row>
    <row r="3231" spans="18:18" s="2" customFormat="1" ht="12.75" x14ac:dyDescent="0.2">
      <c r="R3231" s="1288"/>
    </row>
    <row r="3232" spans="18:18" s="2" customFormat="1" ht="12.75" x14ac:dyDescent="0.2">
      <c r="R3232" s="1288"/>
    </row>
    <row r="3233" spans="18:18" s="2" customFormat="1" ht="12.75" x14ac:dyDescent="0.2">
      <c r="R3233" s="1288"/>
    </row>
    <row r="3234" spans="18:18" s="2" customFormat="1" ht="12.75" x14ac:dyDescent="0.2">
      <c r="R3234" s="1288"/>
    </row>
    <row r="3235" spans="18:18" s="2" customFormat="1" ht="12.75" x14ac:dyDescent="0.2">
      <c r="R3235" s="1288"/>
    </row>
    <row r="3236" spans="18:18" s="2" customFormat="1" ht="12.75" x14ac:dyDescent="0.2">
      <c r="R3236" s="1288"/>
    </row>
    <row r="3237" spans="18:18" s="2" customFormat="1" ht="12.75" x14ac:dyDescent="0.2">
      <c r="R3237" s="1288"/>
    </row>
    <row r="3238" spans="18:18" s="2" customFormat="1" ht="12.75" x14ac:dyDescent="0.2">
      <c r="R3238" s="1288"/>
    </row>
    <row r="3239" spans="18:18" s="2" customFormat="1" ht="12.75" x14ac:dyDescent="0.2">
      <c r="R3239" s="1288"/>
    </row>
    <row r="3240" spans="18:18" s="2" customFormat="1" ht="12.75" x14ac:dyDescent="0.2">
      <c r="R3240" s="1288"/>
    </row>
    <row r="3241" spans="18:18" s="2" customFormat="1" ht="12.75" x14ac:dyDescent="0.2">
      <c r="R3241" s="1288"/>
    </row>
    <row r="3242" spans="18:18" s="2" customFormat="1" ht="12.75" x14ac:dyDescent="0.2">
      <c r="R3242" s="1288"/>
    </row>
    <row r="3243" spans="18:18" s="2" customFormat="1" ht="12.75" x14ac:dyDescent="0.2">
      <c r="R3243" s="1288"/>
    </row>
    <row r="3244" spans="18:18" s="2" customFormat="1" ht="12.75" x14ac:dyDescent="0.2">
      <c r="R3244" s="1288"/>
    </row>
    <row r="3245" spans="18:18" s="2" customFormat="1" ht="12.75" x14ac:dyDescent="0.2">
      <c r="R3245" s="1288"/>
    </row>
    <row r="3246" spans="18:18" s="2" customFormat="1" ht="12.75" x14ac:dyDescent="0.2">
      <c r="R3246" s="1288"/>
    </row>
    <row r="3247" spans="18:18" s="2" customFormat="1" ht="12.75" x14ac:dyDescent="0.2">
      <c r="R3247" s="1288"/>
    </row>
    <row r="3248" spans="18:18" s="2" customFormat="1" ht="12.75" x14ac:dyDescent="0.2">
      <c r="R3248" s="1288"/>
    </row>
    <row r="3249" spans="18:18" s="2" customFormat="1" ht="12.75" x14ac:dyDescent="0.2">
      <c r="R3249" s="1288"/>
    </row>
    <row r="3250" spans="18:18" s="2" customFormat="1" ht="12.75" x14ac:dyDescent="0.2">
      <c r="R3250" s="1288"/>
    </row>
    <row r="3251" spans="18:18" s="2" customFormat="1" ht="12.75" x14ac:dyDescent="0.2">
      <c r="R3251" s="1288"/>
    </row>
    <row r="3252" spans="18:18" s="2" customFormat="1" ht="12.75" x14ac:dyDescent="0.2">
      <c r="R3252" s="1288"/>
    </row>
    <row r="3253" spans="18:18" s="2" customFormat="1" ht="12.75" x14ac:dyDescent="0.2">
      <c r="R3253" s="1288"/>
    </row>
    <row r="3254" spans="18:18" s="2" customFormat="1" ht="12.75" x14ac:dyDescent="0.2">
      <c r="R3254" s="1288"/>
    </row>
    <row r="3255" spans="18:18" s="2" customFormat="1" ht="12.75" x14ac:dyDescent="0.2">
      <c r="R3255" s="1288"/>
    </row>
    <row r="3256" spans="18:18" s="2" customFormat="1" ht="12.75" x14ac:dyDescent="0.2">
      <c r="R3256" s="1288"/>
    </row>
    <row r="3257" spans="18:18" s="2" customFormat="1" ht="12.75" x14ac:dyDescent="0.2">
      <c r="R3257" s="1288"/>
    </row>
    <row r="3258" spans="18:18" s="2" customFormat="1" ht="12.75" x14ac:dyDescent="0.2">
      <c r="R3258" s="1288"/>
    </row>
    <row r="3259" spans="18:18" s="2" customFormat="1" ht="12.75" x14ac:dyDescent="0.2">
      <c r="R3259" s="1288"/>
    </row>
    <row r="3260" spans="18:18" s="2" customFormat="1" ht="12.75" x14ac:dyDescent="0.2">
      <c r="R3260" s="1288"/>
    </row>
    <row r="3261" spans="18:18" s="2" customFormat="1" ht="12.75" x14ac:dyDescent="0.2">
      <c r="R3261" s="1288"/>
    </row>
    <row r="3262" spans="18:18" s="2" customFormat="1" ht="12.75" x14ac:dyDescent="0.2">
      <c r="R3262" s="1288"/>
    </row>
    <row r="3263" spans="18:18" s="2" customFormat="1" ht="12.75" x14ac:dyDescent="0.2">
      <c r="R3263" s="1288"/>
    </row>
    <row r="3264" spans="18:18" s="2" customFormat="1" ht="12.75" x14ac:dyDescent="0.2">
      <c r="R3264" s="1288"/>
    </row>
    <row r="3265" spans="18:18" s="2" customFormat="1" ht="12.75" x14ac:dyDescent="0.2">
      <c r="R3265" s="1288"/>
    </row>
    <row r="3266" spans="18:18" s="2" customFormat="1" ht="12.75" x14ac:dyDescent="0.2">
      <c r="R3266" s="1288"/>
    </row>
    <row r="3267" spans="18:18" s="2" customFormat="1" ht="12.75" x14ac:dyDescent="0.2">
      <c r="R3267" s="1288"/>
    </row>
    <row r="3268" spans="18:18" s="2" customFormat="1" ht="12.75" x14ac:dyDescent="0.2">
      <c r="R3268" s="1288"/>
    </row>
    <row r="3269" spans="18:18" s="2" customFormat="1" ht="12.75" x14ac:dyDescent="0.2">
      <c r="R3269" s="1288"/>
    </row>
    <row r="3270" spans="18:18" s="2" customFormat="1" ht="12.75" x14ac:dyDescent="0.2">
      <c r="R3270" s="1288"/>
    </row>
    <row r="3271" spans="18:18" s="2" customFormat="1" ht="12.75" x14ac:dyDescent="0.2">
      <c r="R3271" s="1288"/>
    </row>
    <row r="3272" spans="18:18" s="2" customFormat="1" ht="12.75" x14ac:dyDescent="0.2">
      <c r="R3272" s="1288"/>
    </row>
    <row r="3273" spans="18:18" s="2" customFormat="1" ht="12.75" x14ac:dyDescent="0.2">
      <c r="R3273" s="1288"/>
    </row>
    <row r="3274" spans="18:18" s="2" customFormat="1" ht="12.75" x14ac:dyDescent="0.2">
      <c r="R3274" s="1288"/>
    </row>
    <row r="3275" spans="18:18" s="2" customFormat="1" ht="12.75" x14ac:dyDescent="0.2">
      <c r="R3275" s="1288"/>
    </row>
    <row r="3276" spans="18:18" s="2" customFormat="1" ht="12.75" x14ac:dyDescent="0.2">
      <c r="R3276" s="1288"/>
    </row>
    <row r="3277" spans="18:18" s="2" customFormat="1" ht="12.75" x14ac:dyDescent="0.2">
      <c r="R3277" s="1288"/>
    </row>
    <row r="3278" spans="18:18" s="2" customFormat="1" ht="12.75" x14ac:dyDescent="0.2">
      <c r="R3278" s="1288"/>
    </row>
    <row r="3279" spans="18:18" s="2" customFormat="1" ht="12.75" x14ac:dyDescent="0.2">
      <c r="R3279" s="1288"/>
    </row>
    <row r="3280" spans="18:18" s="2" customFormat="1" ht="12.75" x14ac:dyDescent="0.2">
      <c r="R3280" s="1288"/>
    </row>
    <row r="3281" spans="18:18" s="2" customFormat="1" ht="12.75" x14ac:dyDescent="0.2">
      <c r="R3281" s="1288"/>
    </row>
    <row r="3282" spans="18:18" s="2" customFormat="1" ht="12.75" x14ac:dyDescent="0.2">
      <c r="R3282" s="1288"/>
    </row>
    <row r="3283" spans="18:18" s="2" customFormat="1" ht="12.75" x14ac:dyDescent="0.2">
      <c r="R3283" s="1288"/>
    </row>
    <row r="3284" spans="18:18" s="2" customFormat="1" ht="12.75" x14ac:dyDescent="0.2">
      <c r="R3284" s="1288"/>
    </row>
    <row r="3285" spans="18:18" s="2" customFormat="1" ht="12.75" x14ac:dyDescent="0.2">
      <c r="R3285" s="1288"/>
    </row>
    <row r="3286" spans="18:18" s="2" customFormat="1" ht="12.75" x14ac:dyDescent="0.2">
      <c r="R3286" s="1288"/>
    </row>
    <row r="3287" spans="18:18" s="2" customFormat="1" ht="12.75" x14ac:dyDescent="0.2">
      <c r="R3287" s="1288"/>
    </row>
    <row r="3288" spans="18:18" s="2" customFormat="1" ht="12.75" x14ac:dyDescent="0.2">
      <c r="R3288" s="1288"/>
    </row>
    <row r="3289" spans="18:18" s="2" customFormat="1" ht="12.75" x14ac:dyDescent="0.2">
      <c r="R3289" s="1288"/>
    </row>
    <row r="3290" spans="18:18" s="2" customFormat="1" ht="12.75" x14ac:dyDescent="0.2">
      <c r="R3290" s="1288"/>
    </row>
    <row r="3291" spans="18:18" s="2" customFormat="1" ht="12.75" x14ac:dyDescent="0.2">
      <c r="R3291" s="1288"/>
    </row>
    <row r="3292" spans="18:18" s="2" customFormat="1" ht="12.75" x14ac:dyDescent="0.2">
      <c r="R3292" s="1288"/>
    </row>
    <row r="3293" spans="18:18" s="2" customFormat="1" ht="12.75" x14ac:dyDescent="0.2">
      <c r="R3293" s="1288"/>
    </row>
    <row r="3294" spans="18:18" s="2" customFormat="1" ht="12.75" x14ac:dyDescent="0.2">
      <c r="R3294" s="1288"/>
    </row>
    <row r="3295" spans="18:18" s="2" customFormat="1" ht="12.75" x14ac:dyDescent="0.2">
      <c r="R3295" s="1288"/>
    </row>
    <row r="3296" spans="18:18" s="2" customFormat="1" ht="12.75" x14ac:dyDescent="0.2">
      <c r="R3296" s="1288"/>
    </row>
    <row r="3297" spans="18:18" s="2" customFormat="1" ht="12.75" x14ac:dyDescent="0.2">
      <c r="R3297" s="1288"/>
    </row>
    <row r="3298" spans="18:18" s="2" customFormat="1" ht="12.75" x14ac:dyDescent="0.2">
      <c r="R3298" s="1288"/>
    </row>
    <row r="3299" spans="18:18" s="2" customFormat="1" ht="12.75" x14ac:dyDescent="0.2">
      <c r="R3299" s="1288"/>
    </row>
    <row r="3300" spans="18:18" s="2" customFormat="1" ht="12.75" x14ac:dyDescent="0.2">
      <c r="R3300" s="1288"/>
    </row>
    <row r="3301" spans="18:18" s="2" customFormat="1" ht="12.75" x14ac:dyDescent="0.2">
      <c r="R3301" s="1288"/>
    </row>
    <row r="3302" spans="18:18" s="2" customFormat="1" ht="12.75" x14ac:dyDescent="0.2">
      <c r="R3302" s="1288"/>
    </row>
    <row r="3303" spans="18:18" s="2" customFormat="1" ht="12.75" x14ac:dyDescent="0.2">
      <c r="R3303" s="1288"/>
    </row>
    <row r="3304" spans="18:18" s="2" customFormat="1" ht="12.75" x14ac:dyDescent="0.2">
      <c r="R3304" s="1288"/>
    </row>
    <row r="3305" spans="18:18" s="2" customFormat="1" ht="12.75" x14ac:dyDescent="0.2">
      <c r="R3305" s="1288"/>
    </row>
    <row r="3306" spans="18:18" s="2" customFormat="1" ht="12.75" x14ac:dyDescent="0.2">
      <c r="R3306" s="1288"/>
    </row>
    <row r="3307" spans="18:18" s="2" customFormat="1" ht="12.75" x14ac:dyDescent="0.2">
      <c r="R3307" s="1288"/>
    </row>
    <row r="3308" spans="18:18" s="2" customFormat="1" ht="12.75" x14ac:dyDescent="0.2">
      <c r="R3308" s="1288"/>
    </row>
    <row r="3309" spans="18:18" s="2" customFormat="1" ht="12.75" x14ac:dyDescent="0.2">
      <c r="R3309" s="1288"/>
    </row>
    <row r="3310" spans="18:18" s="2" customFormat="1" ht="12.75" x14ac:dyDescent="0.2">
      <c r="R3310" s="1288"/>
    </row>
    <row r="3311" spans="18:18" s="2" customFormat="1" ht="12.75" x14ac:dyDescent="0.2">
      <c r="R3311" s="1288"/>
    </row>
    <row r="3312" spans="18:18" s="2" customFormat="1" ht="12.75" x14ac:dyDescent="0.2">
      <c r="R3312" s="1288"/>
    </row>
    <row r="3313" spans="18:18" s="2" customFormat="1" ht="12.75" x14ac:dyDescent="0.2">
      <c r="R3313" s="1288"/>
    </row>
    <row r="3314" spans="18:18" s="2" customFormat="1" ht="12.75" x14ac:dyDescent="0.2">
      <c r="R3314" s="1288"/>
    </row>
    <row r="3315" spans="18:18" s="2" customFormat="1" ht="12.75" x14ac:dyDescent="0.2">
      <c r="R3315" s="1288"/>
    </row>
    <row r="3316" spans="18:18" s="2" customFormat="1" ht="12.75" x14ac:dyDescent="0.2">
      <c r="R3316" s="1288"/>
    </row>
    <row r="3317" spans="18:18" s="2" customFormat="1" ht="12.75" x14ac:dyDescent="0.2">
      <c r="R3317" s="1288"/>
    </row>
    <row r="3318" spans="18:18" s="2" customFormat="1" ht="12.75" x14ac:dyDescent="0.2">
      <c r="R3318" s="1288"/>
    </row>
    <row r="3319" spans="18:18" s="2" customFormat="1" ht="12.75" x14ac:dyDescent="0.2">
      <c r="R3319" s="1288"/>
    </row>
    <row r="3320" spans="18:18" s="2" customFormat="1" ht="12.75" x14ac:dyDescent="0.2">
      <c r="R3320" s="1288"/>
    </row>
    <row r="3321" spans="18:18" s="2" customFormat="1" ht="12.75" x14ac:dyDescent="0.2">
      <c r="R3321" s="1288"/>
    </row>
    <row r="3322" spans="18:18" s="2" customFormat="1" ht="12.75" x14ac:dyDescent="0.2">
      <c r="R3322" s="1288"/>
    </row>
    <row r="3323" spans="18:18" s="2" customFormat="1" ht="12.75" x14ac:dyDescent="0.2">
      <c r="R3323" s="1288"/>
    </row>
    <row r="3324" spans="18:18" s="2" customFormat="1" ht="12.75" x14ac:dyDescent="0.2">
      <c r="R3324" s="1288"/>
    </row>
    <row r="3325" spans="18:18" s="2" customFormat="1" ht="12.75" x14ac:dyDescent="0.2">
      <c r="R3325" s="1288"/>
    </row>
    <row r="3326" spans="18:18" s="2" customFormat="1" ht="12.75" x14ac:dyDescent="0.2">
      <c r="R3326" s="1288"/>
    </row>
    <row r="3327" spans="18:18" s="2" customFormat="1" ht="12.75" x14ac:dyDescent="0.2">
      <c r="R3327" s="1288"/>
    </row>
    <row r="3328" spans="18:18" s="2" customFormat="1" ht="12.75" x14ac:dyDescent="0.2">
      <c r="R3328" s="1288"/>
    </row>
    <row r="3329" spans="18:18" s="2" customFormat="1" ht="12.75" x14ac:dyDescent="0.2">
      <c r="R3329" s="1288"/>
    </row>
    <row r="3330" spans="18:18" s="2" customFormat="1" ht="12.75" x14ac:dyDescent="0.2">
      <c r="R3330" s="1288"/>
    </row>
    <row r="3331" spans="18:18" s="2" customFormat="1" ht="12.75" x14ac:dyDescent="0.2">
      <c r="R3331" s="1288"/>
    </row>
    <row r="3332" spans="18:18" s="2" customFormat="1" ht="12.75" x14ac:dyDescent="0.2">
      <c r="R3332" s="1288"/>
    </row>
    <row r="3333" spans="18:18" s="2" customFormat="1" ht="12.75" x14ac:dyDescent="0.2">
      <c r="R3333" s="1288"/>
    </row>
    <row r="3334" spans="18:18" s="2" customFormat="1" ht="12.75" x14ac:dyDescent="0.2">
      <c r="R3334" s="1288"/>
    </row>
    <row r="3335" spans="18:18" s="2" customFormat="1" ht="12.75" x14ac:dyDescent="0.2">
      <c r="R3335" s="1288"/>
    </row>
    <row r="3336" spans="18:18" s="2" customFormat="1" ht="12.75" x14ac:dyDescent="0.2">
      <c r="R3336" s="1288"/>
    </row>
    <row r="3337" spans="18:18" s="2" customFormat="1" ht="12.75" x14ac:dyDescent="0.2">
      <c r="R3337" s="1288"/>
    </row>
    <row r="3338" spans="18:18" s="2" customFormat="1" ht="12.75" x14ac:dyDescent="0.2">
      <c r="R3338" s="1288"/>
    </row>
    <row r="3339" spans="18:18" s="2" customFormat="1" ht="12.75" x14ac:dyDescent="0.2">
      <c r="R3339" s="1288"/>
    </row>
    <row r="3340" spans="18:18" s="2" customFormat="1" ht="12.75" x14ac:dyDescent="0.2">
      <c r="R3340" s="1288"/>
    </row>
    <row r="3341" spans="18:18" s="2" customFormat="1" ht="12.75" x14ac:dyDescent="0.2">
      <c r="R3341" s="1288"/>
    </row>
    <row r="3342" spans="18:18" s="2" customFormat="1" ht="12.75" x14ac:dyDescent="0.2">
      <c r="R3342" s="1288"/>
    </row>
    <row r="3343" spans="18:18" s="2" customFormat="1" ht="12.75" x14ac:dyDescent="0.2">
      <c r="R3343" s="1288"/>
    </row>
    <row r="3344" spans="18:18" s="2" customFormat="1" ht="12.75" x14ac:dyDescent="0.2">
      <c r="R3344" s="1288"/>
    </row>
    <row r="3345" spans="18:18" s="2" customFormat="1" ht="12.75" x14ac:dyDescent="0.2">
      <c r="R3345" s="1288"/>
    </row>
    <row r="3346" spans="18:18" s="2" customFormat="1" ht="12.75" x14ac:dyDescent="0.2">
      <c r="R3346" s="1288"/>
    </row>
    <row r="3347" spans="18:18" s="2" customFormat="1" ht="12.75" x14ac:dyDescent="0.2">
      <c r="R3347" s="1288"/>
    </row>
    <row r="3348" spans="18:18" s="2" customFormat="1" ht="12.75" x14ac:dyDescent="0.2">
      <c r="R3348" s="1288"/>
    </row>
    <row r="3349" spans="18:18" s="2" customFormat="1" ht="12.75" x14ac:dyDescent="0.2">
      <c r="R3349" s="1288"/>
    </row>
    <row r="3350" spans="18:18" s="2" customFormat="1" ht="12.75" x14ac:dyDescent="0.2">
      <c r="R3350" s="1288"/>
    </row>
    <row r="3351" spans="18:18" s="2" customFormat="1" ht="12.75" x14ac:dyDescent="0.2">
      <c r="R3351" s="1288"/>
    </row>
    <row r="3352" spans="18:18" s="2" customFormat="1" ht="12.75" x14ac:dyDescent="0.2">
      <c r="R3352" s="1288"/>
    </row>
    <row r="3353" spans="18:18" s="2" customFormat="1" ht="12.75" x14ac:dyDescent="0.2">
      <c r="R3353" s="1288"/>
    </row>
    <row r="3354" spans="18:18" s="2" customFormat="1" ht="12.75" x14ac:dyDescent="0.2">
      <c r="R3354" s="1288"/>
    </row>
    <row r="3355" spans="18:18" s="2" customFormat="1" ht="12.75" x14ac:dyDescent="0.2">
      <c r="R3355" s="1288"/>
    </row>
    <row r="3356" spans="18:18" s="2" customFormat="1" ht="12.75" x14ac:dyDescent="0.2">
      <c r="R3356" s="1288"/>
    </row>
    <row r="3357" spans="18:18" s="2" customFormat="1" ht="12.75" x14ac:dyDescent="0.2">
      <c r="R3357" s="1288"/>
    </row>
    <row r="3358" spans="18:18" s="2" customFormat="1" ht="12.75" x14ac:dyDescent="0.2">
      <c r="R3358" s="1288"/>
    </row>
    <row r="3359" spans="18:18" s="2" customFormat="1" ht="12.75" x14ac:dyDescent="0.2">
      <c r="R3359" s="1288"/>
    </row>
    <row r="3360" spans="18:18" s="2" customFormat="1" ht="12.75" x14ac:dyDescent="0.2">
      <c r="R3360" s="1288"/>
    </row>
    <row r="3361" spans="18:18" s="2" customFormat="1" ht="12.75" x14ac:dyDescent="0.2">
      <c r="R3361" s="1288"/>
    </row>
    <row r="3362" spans="18:18" s="2" customFormat="1" ht="12.75" x14ac:dyDescent="0.2">
      <c r="R3362" s="1288"/>
    </row>
    <row r="3363" spans="18:18" s="2" customFormat="1" ht="12.75" x14ac:dyDescent="0.2">
      <c r="R3363" s="1288"/>
    </row>
    <row r="3364" spans="18:18" s="2" customFormat="1" ht="12.75" x14ac:dyDescent="0.2">
      <c r="R3364" s="1288"/>
    </row>
    <row r="3365" spans="18:18" s="2" customFormat="1" ht="12.75" x14ac:dyDescent="0.2">
      <c r="R3365" s="1288"/>
    </row>
    <row r="3366" spans="18:18" s="2" customFormat="1" ht="12.75" x14ac:dyDescent="0.2">
      <c r="R3366" s="1288"/>
    </row>
    <row r="3367" spans="18:18" s="2" customFormat="1" ht="12.75" x14ac:dyDescent="0.2">
      <c r="R3367" s="1288"/>
    </row>
    <row r="3368" spans="18:18" s="2" customFormat="1" ht="12.75" x14ac:dyDescent="0.2">
      <c r="R3368" s="1288"/>
    </row>
    <row r="3369" spans="18:18" s="2" customFormat="1" ht="12.75" x14ac:dyDescent="0.2">
      <c r="R3369" s="1288"/>
    </row>
    <row r="3370" spans="18:18" s="2" customFormat="1" ht="12.75" x14ac:dyDescent="0.2">
      <c r="R3370" s="1288"/>
    </row>
    <row r="3371" spans="18:18" s="2" customFormat="1" ht="12.75" x14ac:dyDescent="0.2">
      <c r="R3371" s="1288"/>
    </row>
    <row r="3372" spans="18:18" s="2" customFormat="1" ht="12.75" x14ac:dyDescent="0.2">
      <c r="R3372" s="1288"/>
    </row>
    <row r="3373" spans="18:18" s="2" customFormat="1" ht="12.75" x14ac:dyDescent="0.2">
      <c r="R3373" s="1288"/>
    </row>
    <row r="3374" spans="18:18" s="2" customFormat="1" ht="12.75" x14ac:dyDescent="0.2">
      <c r="R3374" s="1288"/>
    </row>
    <row r="3375" spans="18:18" s="2" customFormat="1" ht="12.75" x14ac:dyDescent="0.2">
      <c r="R3375" s="1288"/>
    </row>
    <row r="3376" spans="18:18" s="2" customFormat="1" ht="12.75" x14ac:dyDescent="0.2">
      <c r="R3376" s="1288"/>
    </row>
    <row r="3377" spans="18:18" s="2" customFormat="1" ht="12.75" x14ac:dyDescent="0.2">
      <c r="R3377" s="1288"/>
    </row>
    <row r="3378" spans="18:18" s="2" customFormat="1" ht="12.75" x14ac:dyDescent="0.2">
      <c r="R3378" s="1288"/>
    </row>
    <row r="3379" spans="18:18" s="2" customFormat="1" ht="12.75" x14ac:dyDescent="0.2">
      <c r="R3379" s="1288"/>
    </row>
    <row r="3380" spans="18:18" s="2" customFormat="1" ht="12.75" x14ac:dyDescent="0.2">
      <c r="R3380" s="1288"/>
    </row>
    <row r="3381" spans="18:18" s="2" customFormat="1" ht="12.75" x14ac:dyDescent="0.2">
      <c r="R3381" s="1288"/>
    </row>
    <row r="3382" spans="18:18" s="2" customFormat="1" ht="12.75" x14ac:dyDescent="0.2">
      <c r="R3382" s="1288"/>
    </row>
    <row r="3383" spans="18:18" s="2" customFormat="1" ht="12.75" x14ac:dyDescent="0.2">
      <c r="R3383" s="1288"/>
    </row>
    <row r="3384" spans="18:18" s="2" customFormat="1" ht="12.75" x14ac:dyDescent="0.2">
      <c r="R3384" s="1288"/>
    </row>
    <row r="3385" spans="18:18" s="2" customFormat="1" ht="12.75" x14ac:dyDescent="0.2">
      <c r="R3385" s="1288"/>
    </row>
    <row r="3386" spans="18:18" s="2" customFormat="1" ht="12.75" x14ac:dyDescent="0.2">
      <c r="R3386" s="1288"/>
    </row>
    <row r="3387" spans="18:18" s="2" customFormat="1" ht="12.75" x14ac:dyDescent="0.2">
      <c r="R3387" s="1288"/>
    </row>
    <row r="3388" spans="18:18" s="2" customFormat="1" ht="12.75" x14ac:dyDescent="0.2">
      <c r="R3388" s="1288"/>
    </row>
    <row r="3389" spans="18:18" s="2" customFormat="1" ht="12.75" x14ac:dyDescent="0.2">
      <c r="R3389" s="1288"/>
    </row>
    <row r="3390" spans="18:18" s="2" customFormat="1" ht="12.75" x14ac:dyDescent="0.2">
      <c r="R3390" s="1288"/>
    </row>
    <row r="3391" spans="18:18" s="2" customFormat="1" ht="12.75" x14ac:dyDescent="0.2">
      <c r="R3391" s="1288"/>
    </row>
    <row r="3392" spans="18:18" s="2" customFormat="1" ht="12.75" x14ac:dyDescent="0.2">
      <c r="R3392" s="1288"/>
    </row>
    <row r="3393" spans="18:18" s="2" customFormat="1" ht="12.75" x14ac:dyDescent="0.2">
      <c r="R3393" s="1288"/>
    </row>
    <row r="3394" spans="18:18" s="2" customFormat="1" ht="12.75" x14ac:dyDescent="0.2">
      <c r="R3394" s="1288"/>
    </row>
    <row r="3395" spans="18:18" s="2" customFormat="1" ht="12.75" x14ac:dyDescent="0.2">
      <c r="R3395" s="1288"/>
    </row>
    <row r="3396" spans="18:18" s="2" customFormat="1" ht="12.75" x14ac:dyDescent="0.2">
      <c r="R3396" s="1288"/>
    </row>
    <row r="3397" spans="18:18" s="2" customFormat="1" ht="12.75" x14ac:dyDescent="0.2">
      <c r="R3397" s="1288"/>
    </row>
    <row r="3398" spans="18:18" s="2" customFormat="1" ht="12.75" x14ac:dyDescent="0.2">
      <c r="R3398" s="1288"/>
    </row>
    <row r="3399" spans="18:18" s="2" customFormat="1" ht="12.75" x14ac:dyDescent="0.2">
      <c r="R3399" s="1288"/>
    </row>
    <row r="3400" spans="18:18" s="2" customFormat="1" ht="12.75" x14ac:dyDescent="0.2">
      <c r="R3400" s="1288"/>
    </row>
    <row r="3401" spans="18:18" s="2" customFormat="1" ht="12.75" x14ac:dyDescent="0.2">
      <c r="R3401" s="1288"/>
    </row>
    <row r="3402" spans="18:18" s="2" customFormat="1" ht="12.75" x14ac:dyDescent="0.2">
      <c r="R3402" s="1288"/>
    </row>
    <row r="3403" spans="18:18" s="2" customFormat="1" ht="12.75" x14ac:dyDescent="0.2">
      <c r="R3403" s="1288"/>
    </row>
    <row r="3404" spans="18:18" s="2" customFormat="1" ht="12.75" x14ac:dyDescent="0.2">
      <c r="R3404" s="1288"/>
    </row>
    <row r="3405" spans="18:18" s="2" customFormat="1" ht="12.75" x14ac:dyDescent="0.2">
      <c r="R3405" s="1288"/>
    </row>
    <row r="3406" spans="18:18" s="2" customFormat="1" ht="12.75" x14ac:dyDescent="0.2">
      <c r="R3406" s="1288"/>
    </row>
    <row r="3407" spans="18:18" s="2" customFormat="1" ht="12.75" x14ac:dyDescent="0.2">
      <c r="R3407" s="1288"/>
    </row>
    <row r="3408" spans="18:18" s="2" customFormat="1" ht="12.75" x14ac:dyDescent="0.2">
      <c r="R3408" s="1288"/>
    </row>
    <row r="3409" spans="18:18" s="2" customFormat="1" ht="12.75" x14ac:dyDescent="0.2">
      <c r="R3409" s="1288"/>
    </row>
    <row r="3410" spans="18:18" s="2" customFormat="1" ht="12.75" x14ac:dyDescent="0.2">
      <c r="R3410" s="1288"/>
    </row>
    <row r="3411" spans="18:18" s="2" customFormat="1" ht="12.75" x14ac:dyDescent="0.2">
      <c r="R3411" s="1288"/>
    </row>
    <row r="3412" spans="18:18" s="2" customFormat="1" ht="12.75" x14ac:dyDescent="0.2">
      <c r="R3412" s="1288"/>
    </row>
    <row r="3413" spans="18:18" s="2" customFormat="1" ht="12.75" x14ac:dyDescent="0.2">
      <c r="R3413" s="1288"/>
    </row>
    <row r="3414" spans="18:18" s="2" customFormat="1" ht="12.75" x14ac:dyDescent="0.2">
      <c r="R3414" s="1288"/>
    </row>
    <row r="3415" spans="18:18" s="2" customFormat="1" ht="12.75" x14ac:dyDescent="0.2">
      <c r="R3415" s="1288"/>
    </row>
    <row r="3416" spans="18:18" s="2" customFormat="1" ht="12.75" x14ac:dyDescent="0.2">
      <c r="R3416" s="1288"/>
    </row>
    <row r="3417" spans="18:18" s="2" customFormat="1" ht="12.75" x14ac:dyDescent="0.2">
      <c r="R3417" s="1288"/>
    </row>
    <row r="3418" spans="18:18" s="2" customFormat="1" ht="12.75" x14ac:dyDescent="0.2">
      <c r="R3418" s="1288"/>
    </row>
    <row r="3419" spans="18:18" s="2" customFormat="1" ht="12.75" x14ac:dyDescent="0.2">
      <c r="R3419" s="1288"/>
    </row>
    <row r="3420" spans="18:18" s="2" customFormat="1" ht="12.75" x14ac:dyDescent="0.2">
      <c r="R3420" s="1288"/>
    </row>
    <row r="3421" spans="18:18" s="2" customFormat="1" ht="12.75" x14ac:dyDescent="0.2">
      <c r="R3421" s="1288"/>
    </row>
    <row r="3422" spans="18:18" s="2" customFormat="1" ht="12.75" x14ac:dyDescent="0.2">
      <c r="R3422" s="1288"/>
    </row>
    <row r="3423" spans="18:18" s="2" customFormat="1" ht="12.75" x14ac:dyDescent="0.2">
      <c r="R3423" s="1288"/>
    </row>
    <row r="3424" spans="18:18" s="2" customFormat="1" ht="12.75" x14ac:dyDescent="0.2">
      <c r="R3424" s="1288"/>
    </row>
    <row r="3425" spans="18:18" s="2" customFormat="1" ht="12.75" x14ac:dyDescent="0.2">
      <c r="R3425" s="1288"/>
    </row>
    <row r="3426" spans="18:18" s="2" customFormat="1" ht="12.75" x14ac:dyDescent="0.2">
      <c r="R3426" s="1288"/>
    </row>
    <row r="3427" spans="18:18" s="2" customFormat="1" ht="12.75" x14ac:dyDescent="0.2">
      <c r="R3427" s="1288"/>
    </row>
    <row r="3428" spans="18:18" s="2" customFormat="1" ht="12.75" x14ac:dyDescent="0.2">
      <c r="R3428" s="1288"/>
    </row>
    <row r="3429" spans="18:18" s="2" customFormat="1" ht="12.75" x14ac:dyDescent="0.2">
      <c r="R3429" s="1288"/>
    </row>
    <row r="3430" spans="18:18" s="2" customFormat="1" ht="12.75" x14ac:dyDescent="0.2">
      <c r="R3430" s="1288"/>
    </row>
    <row r="3431" spans="18:18" s="2" customFormat="1" ht="12.75" x14ac:dyDescent="0.2">
      <c r="R3431" s="1288"/>
    </row>
    <row r="3432" spans="18:18" s="2" customFormat="1" ht="12.75" x14ac:dyDescent="0.2">
      <c r="R3432" s="1288"/>
    </row>
    <row r="3433" spans="18:18" s="2" customFormat="1" ht="12.75" x14ac:dyDescent="0.2">
      <c r="R3433" s="1288"/>
    </row>
    <row r="3434" spans="18:18" s="2" customFormat="1" ht="12.75" x14ac:dyDescent="0.2">
      <c r="R3434" s="1288"/>
    </row>
    <row r="3435" spans="18:18" s="2" customFormat="1" ht="12.75" x14ac:dyDescent="0.2">
      <c r="R3435" s="1288"/>
    </row>
    <row r="3436" spans="18:18" s="2" customFormat="1" ht="12.75" x14ac:dyDescent="0.2">
      <c r="R3436" s="1288"/>
    </row>
    <row r="3437" spans="18:18" s="2" customFormat="1" ht="12.75" x14ac:dyDescent="0.2">
      <c r="R3437" s="1288"/>
    </row>
    <row r="3438" spans="18:18" s="2" customFormat="1" ht="12.75" x14ac:dyDescent="0.2">
      <c r="R3438" s="1288"/>
    </row>
    <row r="3439" spans="18:18" s="2" customFormat="1" ht="12.75" x14ac:dyDescent="0.2">
      <c r="R3439" s="1288"/>
    </row>
    <row r="3440" spans="18:18" s="2" customFormat="1" ht="12.75" x14ac:dyDescent="0.2">
      <c r="R3440" s="1288"/>
    </row>
    <row r="3441" spans="18:18" s="2" customFormat="1" ht="12.75" x14ac:dyDescent="0.2">
      <c r="R3441" s="1288"/>
    </row>
    <row r="3442" spans="18:18" s="2" customFormat="1" ht="12.75" x14ac:dyDescent="0.2">
      <c r="R3442" s="1288"/>
    </row>
    <row r="3443" spans="18:18" s="2" customFormat="1" ht="12.75" x14ac:dyDescent="0.2">
      <c r="R3443" s="1288"/>
    </row>
    <row r="3444" spans="18:18" s="2" customFormat="1" ht="12.75" x14ac:dyDescent="0.2">
      <c r="R3444" s="1288"/>
    </row>
    <row r="3445" spans="18:18" s="2" customFormat="1" ht="12.75" x14ac:dyDescent="0.2">
      <c r="R3445" s="1288"/>
    </row>
    <row r="3446" spans="18:18" s="2" customFormat="1" ht="12.75" x14ac:dyDescent="0.2">
      <c r="R3446" s="1288"/>
    </row>
    <row r="3447" spans="18:18" s="2" customFormat="1" ht="12.75" x14ac:dyDescent="0.2">
      <c r="R3447" s="1288"/>
    </row>
    <row r="3448" spans="18:18" s="2" customFormat="1" ht="12.75" x14ac:dyDescent="0.2">
      <c r="R3448" s="1288"/>
    </row>
    <row r="3449" spans="18:18" s="2" customFormat="1" ht="12.75" x14ac:dyDescent="0.2">
      <c r="R3449" s="1288"/>
    </row>
    <row r="3450" spans="18:18" s="2" customFormat="1" ht="12.75" x14ac:dyDescent="0.2">
      <c r="R3450" s="1288"/>
    </row>
    <row r="3451" spans="18:18" s="2" customFormat="1" ht="12.75" x14ac:dyDescent="0.2">
      <c r="R3451" s="1288"/>
    </row>
    <row r="3452" spans="18:18" s="2" customFormat="1" ht="12.75" x14ac:dyDescent="0.2">
      <c r="R3452" s="1288"/>
    </row>
    <row r="3453" spans="18:18" s="2" customFormat="1" ht="12.75" x14ac:dyDescent="0.2">
      <c r="R3453" s="1288"/>
    </row>
    <row r="3454" spans="18:18" s="2" customFormat="1" ht="12.75" x14ac:dyDescent="0.2">
      <c r="R3454" s="1288"/>
    </row>
    <row r="3455" spans="18:18" s="2" customFormat="1" ht="12.75" x14ac:dyDescent="0.2">
      <c r="R3455" s="1288"/>
    </row>
    <row r="3456" spans="18:18" s="2" customFormat="1" ht="12.75" x14ac:dyDescent="0.2">
      <c r="R3456" s="1288"/>
    </row>
    <row r="3457" spans="18:18" s="2" customFormat="1" ht="12.75" x14ac:dyDescent="0.2">
      <c r="R3457" s="1288"/>
    </row>
    <row r="3458" spans="18:18" s="2" customFormat="1" ht="12.75" x14ac:dyDescent="0.2">
      <c r="R3458" s="1288"/>
    </row>
    <row r="3459" spans="18:18" s="2" customFormat="1" ht="12.75" x14ac:dyDescent="0.2">
      <c r="R3459" s="1288"/>
    </row>
    <row r="3460" spans="18:18" s="2" customFormat="1" ht="12.75" x14ac:dyDescent="0.2">
      <c r="R3460" s="1288"/>
    </row>
    <row r="3461" spans="18:18" s="2" customFormat="1" ht="12.75" x14ac:dyDescent="0.2">
      <c r="R3461" s="1288"/>
    </row>
    <row r="3462" spans="18:18" s="2" customFormat="1" ht="12.75" x14ac:dyDescent="0.2">
      <c r="R3462" s="1288"/>
    </row>
    <row r="3463" spans="18:18" s="2" customFormat="1" ht="12.75" x14ac:dyDescent="0.2">
      <c r="R3463" s="1288"/>
    </row>
    <row r="3464" spans="18:18" s="2" customFormat="1" ht="12.75" x14ac:dyDescent="0.2">
      <c r="R3464" s="1288"/>
    </row>
    <row r="3465" spans="18:18" s="2" customFormat="1" ht="12.75" x14ac:dyDescent="0.2">
      <c r="R3465" s="1288"/>
    </row>
    <row r="3466" spans="18:18" s="2" customFormat="1" ht="12.75" x14ac:dyDescent="0.2">
      <c r="R3466" s="1288"/>
    </row>
    <row r="3467" spans="18:18" s="2" customFormat="1" ht="12.75" x14ac:dyDescent="0.2">
      <c r="R3467" s="1288"/>
    </row>
    <row r="3468" spans="18:18" s="2" customFormat="1" ht="12.75" x14ac:dyDescent="0.2">
      <c r="R3468" s="1288"/>
    </row>
    <row r="3469" spans="18:18" s="2" customFormat="1" ht="12.75" x14ac:dyDescent="0.2">
      <c r="R3469" s="1288"/>
    </row>
    <row r="3470" spans="18:18" s="2" customFormat="1" ht="12.75" x14ac:dyDescent="0.2">
      <c r="R3470" s="1288"/>
    </row>
    <row r="3471" spans="18:18" s="2" customFormat="1" ht="12.75" x14ac:dyDescent="0.2">
      <c r="R3471" s="1288"/>
    </row>
    <row r="3472" spans="18:18" s="2" customFormat="1" ht="12.75" x14ac:dyDescent="0.2">
      <c r="R3472" s="1288"/>
    </row>
    <row r="3473" spans="18:18" s="2" customFormat="1" ht="12.75" x14ac:dyDescent="0.2">
      <c r="R3473" s="1288"/>
    </row>
    <row r="3474" spans="18:18" s="2" customFormat="1" ht="12.75" x14ac:dyDescent="0.2">
      <c r="R3474" s="1288"/>
    </row>
    <row r="3475" spans="18:18" s="2" customFormat="1" ht="12.75" x14ac:dyDescent="0.2">
      <c r="R3475" s="1288"/>
    </row>
    <row r="3476" spans="18:18" s="2" customFormat="1" ht="12.75" x14ac:dyDescent="0.2">
      <c r="R3476" s="1288"/>
    </row>
    <row r="3477" spans="18:18" s="2" customFormat="1" ht="12.75" x14ac:dyDescent="0.2">
      <c r="R3477" s="1288"/>
    </row>
    <row r="3478" spans="18:18" s="2" customFormat="1" ht="12.75" x14ac:dyDescent="0.2">
      <c r="R3478" s="1288"/>
    </row>
    <row r="3479" spans="18:18" s="2" customFormat="1" ht="12.75" x14ac:dyDescent="0.2">
      <c r="R3479" s="1288"/>
    </row>
    <row r="3480" spans="18:18" s="2" customFormat="1" ht="12.75" x14ac:dyDescent="0.2">
      <c r="R3480" s="1288"/>
    </row>
    <row r="3481" spans="18:18" s="2" customFormat="1" ht="12.75" x14ac:dyDescent="0.2">
      <c r="R3481" s="1288"/>
    </row>
    <row r="3482" spans="18:18" s="2" customFormat="1" ht="12.75" x14ac:dyDescent="0.2">
      <c r="R3482" s="1288"/>
    </row>
    <row r="3483" spans="18:18" s="2" customFormat="1" ht="12.75" x14ac:dyDescent="0.2">
      <c r="R3483" s="1288"/>
    </row>
    <row r="3484" spans="18:18" s="2" customFormat="1" ht="12.75" x14ac:dyDescent="0.2">
      <c r="R3484" s="1288"/>
    </row>
    <row r="3485" spans="18:18" s="2" customFormat="1" ht="12.75" x14ac:dyDescent="0.2">
      <c r="R3485" s="1288"/>
    </row>
    <row r="3486" spans="18:18" s="2" customFormat="1" ht="12.75" x14ac:dyDescent="0.2">
      <c r="R3486" s="1288"/>
    </row>
    <row r="3487" spans="18:18" s="2" customFormat="1" ht="12.75" x14ac:dyDescent="0.2">
      <c r="R3487" s="1288"/>
    </row>
    <row r="3488" spans="18:18" s="2" customFormat="1" ht="12.75" x14ac:dyDescent="0.2">
      <c r="R3488" s="1288"/>
    </row>
    <row r="3489" spans="18:18" s="2" customFormat="1" ht="12.75" x14ac:dyDescent="0.2">
      <c r="R3489" s="1288"/>
    </row>
    <row r="3490" spans="18:18" s="2" customFormat="1" ht="12.75" x14ac:dyDescent="0.2">
      <c r="R3490" s="1288"/>
    </row>
    <row r="3491" spans="18:18" s="2" customFormat="1" ht="12.75" x14ac:dyDescent="0.2">
      <c r="R3491" s="1288"/>
    </row>
    <row r="3492" spans="18:18" s="2" customFormat="1" ht="12.75" x14ac:dyDescent="0.2">
      <c r="R3492" s="1288"/>
    </row>
    <row r="3493" spans="18:18" s="2" customFormat="1" ht="12.75" x14ac:dyDescent="0.2">
      <c r="R3493" s="1288"/>
    </row>
    <row r="3494" spans="18:18" s="2" customFormat="1" ht="12.75" x14ac:dyDescent="0.2">
      <c r="R3494" s="1288"/>
    </row>
    <row r="3495" spans="18:18" s="2" customFormat="1" ht="12.75" x14ac:dyDescent="0.2">
      <c r="R3495" s="1288"/>
    </row>
    <row r="3496" spans="18:18" s="2" customFormat="1" ht="12.75" x14ac:dyDescent="0.2">
      <c r="R3496" s="1288"/>
    </row>
    <row r="3497" spans="18:18" s="2" customFormat="1" ht="12.75" x14ac:dyDescent="0.2">
      <c r="R3497" s="1288"/>
    </row>
    <row r="3498" spans="18:18" s="2" customFormat="1" ht="12.75" x14ac:dyDescent="0.2">
      <c r="R3498" s="1288"/>
    </row>
    <row r="3499" spans="18:18" s="2" customFormat="1" ht="12.75" x14ac:dyDescent="0.2">
      <c r="R3499" s="1288"/>
    </row>
    <row r="3500" spans="18:18" s="2" customFormat="1" ht="12.75" x14ac:dyDescent="0.2">
      <c r="R3500" s="1288"/>
    </row>
    <row r="3501" spans="18:18" s="2" customFormat="1" ht="12.75" x14ac:dyDescent="0.2">
      <c r="R3501" s="1288"/>
    </row>
    <row r="3502" spans="18:18" s="2" customFormat="1" ht="12.75" x14ac:dyDescent="0.2">
      <c r="R3502" s="1288"/>
    </row>
    <row r="3503" spans="18:18" s="2" customFormat="1" ht="12.75" x14ac:dyDescent="0.2">
      <c r="R3503" s="1288"/>
    </row>
    <row r="3504" spans="18:18" s="2" customFormat="1" ht="12.75" x14ac:dyDescent="0.2">
      <c r="R3504" s="1288"/>
    </row>
    <row r="3505" spans="18:18" s="2" customFormat="1" ht="12.75" x14ac:dyDescent="0.2">
      <c r="R3505" s="1288"/>
    </row>
    <row r="3506" spans="18:18" s="2" customFormat="1" ht="12.75" x14ac:dyDescent="0.2">
      <c r="R3506" s="1288"/>
    </row>
    <row r="3507" spans="18:18" s="2" customFormat="1" ht="12.75" x14ac:dyDescent="0.2">
      <c r="R3507" s="1288"/>
    </row>
    <row r="3508" spans="18:18" s="2" customFormat="1" ht="12.75" x14ac:dyDescent="0.2">
      <c r="R3508" s="1288"/>
    </row>
    <row r="3509" spans="18:18" s="2" customFormat="1" ht="12.75" x14ac:dyDescent="0.2">
      <c r="R3509" s="1288"/>
    </row>
    <row r="3510" spans="18:18" s="2" customFormat="1" ht="12.75" x14ac:dyDescent="0.2">
      <c r="R3510" s="1288"/>
    </row>
    <row r="3511" spans="18:18" s="2" customFormat="1" ht="12.75" x14ac:dyDescent="0.2">
      <c r="R3511" s="1288"/>
    </row>
    <row r="3512" spans="18:18" s="2" customFormat="1" ht="12.75" x14ac:dyDescent="0.2">
      <c r="R3512" s="1288"/>
    </row>
    <row r="3513" spans="18:18" s="2" customFormat="1" ht="12.75" x14ac:dyDescent="0.2">
      <c r="R3513" s="1288"/>
    </row>
    <row r="3514" spans="18:18" s="2" customFormat="1" ht="12.75" x14ac:dyDescent="0.2">
      <c r="R3514" s="1288"/>
    </row>
    <row r="3515" spans="18:18" s="2" customFormat="1" ht="12.75" x14ac:dyDescent="0.2">
      <c r="R3515" s="1288"/>
    </row>
    <row r="3516" spans="18:18" s="2" customFormat="1" ht="12.75" x14ac:dyDescent="0.2">
      <c r="R3516" s="1288"/>
    </row>
    <row r="3517" spans="18:18" s="2" customFormat="1" ht="12.75" x14ac:dyDescent="0.2">
      <c r="R3517" s="1288"/>
    </row>
    <row r="3518" spans="18:18" s="2" customFormat="1" ht="12.75" x14ac:dyDescent="0.2">
      <c r="R3518" s="1288"/>
    </row>
    <row r="3519" spans="18:18" s="2" customFormat="1" ht="12.75" x14ac:dyDescent="0.2">
      <c r="R3519" s="1288"/>
    </row>
    <row r="3520" spans="18:18" s="2" customFormat="1" ht="12.75" x14ac:dyDescent="0.2">
      <c r="R3520" s="1288"/>
    </row>
    <row r="3521" spans="18:18" s="2" customFormat="1" ht="12.75" x14ac:dyDescent="0.2">
      <c r="R3521" s="1288"/>
    </row>
    <row r="3522" spans="18:18" s="2" customFormat="1" ht="12.75" x14ac:dyDescent="0.2">
      <c r="R3522" s="1288"/>
    </row>
    <row r="3523" spans="18:18" s="2" customFormat="1" ht="12.75" x14ac:dyDescent="0.2">
      <c r="R3523" s="1288"/>
    </row>
    <row r="3524" spans="18:18" s="2" customFormat="1" ht="12.75" x14ac:dyDescent="0.2">
      <c r="R3524" s="1288"/>
    </row>
    <row r="3525" spans="18:18" s="2" customFormat="1" ht="12.75" x14ac:dyDescent="0.2">
      <c r="R3525" s="1288"/>
    </row>
    <row r="3526" spans="18:18" s="2" customFormat="1" ht="12.75" x14ac:dyDescent="0.2">
      <c r="R3526" s="1288"/>
    </row>
    <row r="3527" spans="18:18" s="2" customFormat="1" ht="12.75" x14ac:dyDescent="0.2">
      <c r="R3527" s="1288"/>
    </row>
    <row r="3528" spans="18:18" s="2" customFormat="1" ht="12.75" x14ac:dyDescent="0.2">
      <c r="R3528" s="1288"/>
    </row>
    <row r="3529" spans="18:18" s="2" customFormat="1" ht="12.75" x14ac:dyDescent="0.2">
      <c r="R3529" s="1288"/>
    </row>
    <row r="3530" spans="18:18" s="2" customFormat="1" ht="12.75" x14ac:dyDescent="0.2">
      <c r="R3530" s="1288"/>
    </row>
    <row r="3531" spans="18:18" s="2" customFormat="1" ht="12.75" x14ac:dyDescent="0.2">
      <c r="R3531" s="1288"/>
    </row>
    <row r="3532" spans="18:18" s="2" customFormat="1" ht="12.75" x14ac:dyDescent="0.2">
      <c r="R3532" s="1288"/>
    </row>
    <row r="3533" spans="18:18" s="2" customFormat="1" ht="12.75" x14ac:dyDescent="0.2">
      <c r="R3533" s="1288"/>
    </row>
    <row r="3534" spans="18:18" s="2" customFormat="1" ht="12.75" x14ac:dyDescent="0.2">
      <c r="R3534" s="1288"/>
    </row>
    <row r="3535" spans="18:18" s="2" customFormat="1" ht="12.75" x14ac:dyDescent="0.2">
      <c r="R3535" s="1288"/>
    </row>
    <row r="3536" spans="18:18" s="2" customFormat="1" ht="12.75" x14ac:dyDescent="0.2">
      <c r="R3536" s="1288"/>
    </row>
    <row r="3537" spans="18:18" s="2" customFormat="1" ht="12.75" x14ac:dyDescent="0.2">
      <c r="R3537" s="1288"/>
    </row>
    <row r="3538" spans="18:18" s="2" customFormat="1" ht="12.75" x14ac:dyDescent="0.2">
      <c r="R3538" s="1288"/>
    </row>
    <row r="3539" spans="18:18" s="2" customFormat="1" ht="12.75" x14ac:dyDescent="0.2">
      <c r="R3539" s="1288"/>
    </row>
    <row r="3540" spans="18:18" s="2" customFormat="1" ht="12.75" x14ac:dyDescent="0.2">
      <c r="R3540" s="1288"/>
    </row>
    <row r="3541" spans="18:18" s="2" customFormat="1" ht="12.75" x14ac:dyDescent="0.2">
      <c r="R3541" s="1288"/>
    </row>
    <row r="3542" spans="18:18" s="2" customFormat="1" ht="12.75" x14ac:dyDescent="0.2">
      <c r="R3542" s="1288"/>
    </row>
    <row r="3543" spans="18:18" s="2" customFormat="1" ht="12.75" x14ac:dyDescent="0.2">
      <c r="R3543" s="1288"/>
    </row>
    <row r="3544" spans="18:18" s="2" customFormat="1" ht="12.75" x14ac:dyDescent="0.2">
      <c r="R3544" s="1288"/>
    </row>
    <row r="3545" spans="18:18" s="2" customFormat="1" ht="12.75" x14ac:dyDescent="0.2">
      <c r="R3545" s="1288"/>
    </row>
    <row r="3546" spans="18:18" s="2" customFormat="1" ht="12.75" x14ac:dyDescent="0.2">
      <c r="R3546" s="1288"/>
    </row>
    <row r="3547" spans="18:18" s="2" customFormat="1" ht="12.75" x14ac:dyDescent="0.2">
      <c r="R3547" s="1288"/>
    </row>
    <row r="3548" spans="18:18" s="2" customFormat="1" ht="12.75" x14ac:dyDescent="0.2">
      <c r="R3548" s="1288"/>
    </row>
    <row r="3549" spans="18:18" s="2" customFormat="1" ht="12.75" x14ac:dyDescent="0.2">
      <c r="R3549" s="1288"/>
    </row>
    <row r="3550" spans="18:18" s="2" customFormat="1" ht="12.75" x14ac:dyDescent="0.2">
      <c r="R3550" s="1288"/>
    </row>
    <row r="3551" spans="18:18" s="2" customFormat="1" ht="12.75" x14ac:dyDescent="0.2">
      <c r="R3551" s="1288"/>
    </row>
    <row r="3552" spans="18:18" s="2" customFormat="1" ht="12.75" x14ac:dyDescent="0.2">
      <c r="R3552" s="1288"/>
    </row>
    <row r="3553" spans="18:18" s="2" customFormat="1" ht="12.75" x14ac:dyDescent="0.2">
      <c r="R3553" s="1288"/>
    </row>
    <row r="3554" spans="18:18" s="2" customFormat="1" ht="12.75" x14ac:dyDescent="0.2">
      <c r="R3554" s="1288"/>
    </row>
    <row r="3555" spans="18:18" s="2" customFormat="1" ht="12.75" x14ac:dyDescent="0.2">
      <c r="R3555" s="1288"/>
    </row>
    <row r="3556" spans="18:18" s="2" customFormat="1" ht="12.75" x14ac:dyDescent="0.2">
      <c r="R3556" s="1288"/>
    </row>
    <row r="3557" spans="18:18" s="2" customFormat="1" ht="12.75" x14ac:dyDescent="0.2">
      <c r="R3557" s="1288"/>
    </row>
    <row r="3558" spans="18:18" s="2" customFormat="1" ht="12.75" x14ac:dyDescent="0.2">
      <c r="R3558" s="1288"/>
    </row>
    <row r="3559" spans="18:18" s="2" customFormat="1" ht="12.75" x14ac:dyDescent="0.2">
      <c r="R3559" s="1288"/>
    </row>
    <row r="3560" spans="18:18" s="2" customFormat="1" ht="12.75" x14ac:dyDescent="0.2">
      <c r="R3560" s="1288"/>
    </row>
    <row r="3561" spans="18:18" s="2" customFormat="1" ht="12.75" x14ac:dyDescent="0.2">
      <c r="R3561" s="1288"/>
    </row>
    <row r="3562" spans="18:18" s="2" customFormat="1" ht="12.75" x14ac:dyDescent="0.2">
      <c r="R3562" s="1288"/>
    </row>
    <row r="3563" spans="18:18" s="2" customFormat="1" ht="12.75" x14ac:dyDescent="0.2">
      <c r="R3563" s="1288"/>
    </row>
    <row r="3564" spans="18:18" s="2" customFormat="1" ht="12.75" x14ac:dyDescent="0.2">
      <c r="R3564" s="1288"/>
    </row>
    <row r="3565" spans="18:18" s="2" customFormat="1" ht="12.75" x14ac:dyDescent="0.2">
      <c r="R3565" s="1288"/>
    </row>
    <row r="3566" spans="18:18" s="2" customFormat="1" ht="12.75" x14ac:dyDescent="0.2">
      <c r="R3566" s="1288"/>
    </row>
    <row r="3567" spans="18:18" s="2" customFormat="1" ht="12.75" x14ac:dyDescent="0.2">
      <c r="R3567" s="1288"/>
    </row>
    <row r="3568" spans="18:18" s="2" customFormat="1" ht="12.75" x14ac:dyDescent="0.2">
      <c r="R3568" s="1288"/>
    </row>
    <row r="3569" spans="18:18" s="2" customFormat="1" ht="12.75" x14ac:dyDescent="0.2">
      <c r="R3569" s="1288"/>
    </row>
    <row r="3570" spans="18:18" s="2" customFormat="1" ht="12.75" x14ac:dyDescent="0.2">
      <c r="R3570" s="1288"/>
    </row>
    <row r="3571" spans="18:18" s="2" customFormat="1" ht="12.75" x14ac:dyDescent="0.2">
      <c r="R3571" s="1288"/>
    </row>
    <row r="3572" spans="18:18" s="2" customFormat="1" ht="12.75" x14ac:dyDescent="0.2">
      <c r="R3572" s="1288"/>
    </row>
    <row r="3573" spans="18:18" s="2" customFormat="1" ht="12.75" x14ac:dyDescent="0.2">
      <c r="R3573" s="1288"/>
    </row>
    <row r="3574" spans="18:18" s="2" customFormat="1" ht="12.75" x14ac:dyDescent="0.2">
      <c r="R3574" s="1288"/>
    </row>
    <row r="3575" spans="18:18" s="2" customFormat="1" ht="12.75" x14ac:dyDescent="0.2">
      <c r="R3575" s="1288"/>
    </row>
    <row r="3576" spans="18:18" s="2" customFormat="1" ht="12.75" x14ac:dyDescent="0.2">
      <c r="R3576" s="1288"/>
    </row>
    <row r="3577" spans="18:18" s="2" customFormat="1" ht="12.75" x14ac:dyDescent="0.2">
      <c r="R3577" s="1288"/>
    </row>
    <row r="3578" spans="18:18" s="2" customFormat="1" ht="12.75" x14ac:dyDescent="0.2">
      <c r="R3578" s="1288"/>
    </row>
    <row r="3579" spans="18:18" s="2" customFormat="1" ht="12.75" x14ac:dyDescent="0.2">
      <c r="R3579" s="1288"/>
    </row>
    <row r="3580" spans="18:18" s="2" customFormat="1" ht="12.75" x14ac:dyDescent="0.2">
      <c r="R3580" s="1288"/>
    </row>
    <row r="3581" spans="18:18" s="2" customFormat="1" ht="12.75" x14ac:dyDescent="0.2">
      <c r="R3581" s="1288"/>
    </row>
    <row r="3582" spans="18:18" s="2" customFormat="1" ht="12.75" x14ac:dyDescent="0.2">
      <c r="R3582" s="1288"/>
    </row>
    <row r="3583" spans="18:18" s="2" customFormat="1" ht="12.75" x14ac:dyDescent="0.2">
      <c r="R3583" s="1288"/>
    </row>
    <row r="3584" spans="18:18" s="2" customFormat="1" ht="12.75" x14ac:dyDescent="0.2">
      <c r="R3584" s="1288"/>
    </row>
    <row r="3585" spans="18:18" s="2" customFormat="1" ht="12.75" x14ac:dyDescent="0.2">
      <c r="R3585" s="1288"/>
    </row>
    <row r="3586" spans="18:18" s="2" customFormat="1" ht="12.75" x14ac:dyDescent="0.2">
      <c r="R3586" s="1288"/>
    </row>
    <row r="3587" spans="18:18" s="2" customFormat="1" ht="12.75" x14ac:dyDescent="0.2">
      <c r="R3587" s="1288"/>
    </row>
    <row r="3588" spans="18:18" s="2" customFormat="1" ht="12.75" x14ac:dyDescent="0.2">
      <c r="R3588" s="1288"/>
    </row>
    <row r="3589" spans="18:18" s="2" customFormat="1" ht="12.75" x14ac:dyDescent="0.2">
      <c r="R3589" s="1288"/>
    </row>
    <row r="3590" spans="18:18" s="2" customFormat="1" ht="12.75" x14ac:dyDescent="0.2">
      <c r="R3590" s="1288"/>
    </row>
    <row r="3591" spans="18:18" s="2" customFormat="1" ht="12.75" x14ac:dyDescent="0.2">
      <c r="R3591" s="1288"/>
    </row>
    <row r="3592" spans="18:18" s="2" customFormat="1" ht="12.75" x14ac:dyDescent="0.2">
      <c r="R3592" s="1288"/>
    </row>
    <row r="3593" spans="18:18" s="2" customFormat="1" ht="12.75" x14ac:dyDescent="0.2">
      <c r="R3593" s="1288"/>
    </row>
    <row r="3594" spans="18:18" s="2" customFormat="1" ht="12.75" x14ac:dyDescent="0.2">
      <c r="R3594" s="1288"/>
    </row>
    <row r="3595" spans="18:18" s="2" customFormat="1" ht="12.75" x14ac:dyDescent="0.2">
      <c r="R3595" s="1288"/>
    </row>
    <row r="3596" spans="18:18" s="2" customFormat="1" ht="12.75" x14ac:dyDescent="0.2">
      <c r="R3596" s="1288"/>
    </row>
    <row r="3597" spans="18:18" s="2" customFormat="1" ht="12.75" x14ac:dyDescent="0.2">
      <c r="R3597" s="1288"/>
    </row>
    <row r="3598" spans="18:18" s="2" customFormat="1" ht="12.75" x14ac:dyDescent="0.2">
      <c r="R3598" s="1288"/>
    </row>
    <row r="3599" spans="18:18" s="2" customFormat="1" ht="12.75" x14ac:dyDescent="0.2">
      <c r="R3599" s="1288"/>
    </row>
    <row r="3600" spans="18:18" s="2" customFormat="1" ht="12.75" x14ac:dyDescent="0.2">
      <c r="R3600" s="1288"/>
    </row>
    <row r="3601" spans="18:18" s="2" customFormat="1" ht="12.75" x14ac:dyDescent="0.2">
      <c r="R3601" s="1288"/>
    </row>
    <row r="3602" spans="18:18" s="2" customFormat="1" ht="12.75" x14ac:dyDescent="0.2">
      <c r="R3602" s="1288"/>
    </row>
    <row r="3603" spans="18:18" s="2" customFormat="1" ht="12.75" x14ac:dyDescent="0.2">
      <c r="R3603" s="1288"/>
    </row>
    <row r="3604" spans="18:18" s="2" customFormat="1" ht="12.75" x14ac:dyDescent="0.2">
      <c r="R3604" s="1288"/>
    </row>
    <row r="3605" spans="18:18" s="2" customFormat="1" ht="12.75" x14ac:dyDescent="0.2">
      <c r="R3605" s="1288"/>
    </row>
    <row r="3606" spans="18:18" s="2" customFormat="1" ht="12.75" x14ac:dyDescent="0.2">
      <c r="R3606" s="1288"/>
    </row>
    <row r="3607" spans="18:18" s="2" customFormat="1" ht="12.75" x14ac:dyDescent="0.2">
      <c r="R3607" s="1288"/>
    </row>
    <row r="3608" spans="18:18" s="2" customFormat="1" ht="12.75" x14ac:dyDescent="0.2">
      <c r="R3608" s="1288"/>
    </row>
    <row r="3609" spans="18:18" s="2" customFormat="1" ht="12.75" x14ac:dyDescent="0.2">
      <c r="R3609" s="1288"/>
    </row>
    <row r="3610" spans="18:18" s="2" customFormat="1" ht="12.75" x14ac:dyDescent="0.2">
      <c r="R3610" s="1288"/>
    </row>
    <row r="3611" spans="18:18" s="2" customFormat="1" ht="12.75" x14ac:dyDescent="0.2">
      <c r="R3611" s="1288"/>
    </row>
    <row r="3612" spans="18:18" s="2" customFormat="1" ht="12.75" x14ac:dyDescent="0.2">
      <c r="R3612" s="1288"/>
    </row>
    <row r="3613" spans="18:18" s="2" customFormat="1" ht="12.75" x14ac:dyDescent="0.2">
      <c r="R3613" s="1288"/>
    </row>
    <row r="3614" spans="18:18" s="2" customFormat="1" ht="12.75" x14ac:dyDescent="0.2">
      <c r="R3614" s="1288"/>
    </row>
    <row r="3615" spans="18:18" s="2" customFormat="1" ht="12.75" x14ac:dyDescent="0.2">
      <c r="R3615" s="1288"/>
    </row>
    <row r="3616" spans="18:18" s="2" customFormat="1" ht="12.75" x14ac:dyDescent="0.2">
      <c r="R3616" s="1288"/>
    </row>
    <row r="3617" spans="18:18" s="2" customFormat="1" ht="12.75" x14ac:dyDescent="0.2">
      <c r="R3617" s="1288"/>
    </row>
    <row r="3618" spans="18:18" s="2" customFormat="1" ht="12.75" x14ac:dyDescent="0.2">
      <c r="R3618" s="1288"/>
    </row>
    <row r="3619" spans="18:18" s="2" customFormat="1" ht="12.75" x14ac:dyDescent="0.2">
      <c r="R3619" s="1288"/>
    </row>
    <row r="3620" spans="18:18" s="2" customFormat="1" ht="12.75" x14ac:dyDescent="0.2">
      <c r="R3620" s="1288"/>
    </row>
    <row r="3621" spans="18:18" s="2" customFormat="1" ht="12.75" x14ac:dyDescent="0.2">
      <c r="R3621" s="1288"/>
    </row>
    <row r="3622" spans="18:18" s="2" customFormat="1" ht="12.75" x14ac:dyDescent="0.2">
      <c r="R3622" s="1288"/>
    </row>
    <row r="3623" spans="18:18" s="2" customFormat="1" ht="12.75" x14ac:dyDescent="0.2">
      <c r="R3623" s="1288"/>
    </row>
    <row r="3624" spans="18:18" s="2" customFormat="1" ht="12.75" x14ac:dyDescent="0.2">
      <c r="R3624" s="1288"/>
    </row>
    <row r="3625" spans="18:18" s="2" customFormat="1" ht="12.75" x14ac:dyDescent="0.2">
      <c r="R3625" s="1288"/>
    </row>
    <row r="3626" spans="18:18" s="2" customFormat="1" ht="12.75" x14ac:dyDescent="0.2">
      <c r="R3626" s="1288"/>
    </row>
    <row r="3627" spans="18:18" s="2" customFormat="1" ht="12.75" x14ac:dyDescent="0.2">
      <c r="R3627" s="1288"/>
    </row>
    <row r="3628" spans="18:18" s="2" customFormat="1" ht="12.75" x14ac:dyDescent="0.2">
      <c r="R3628" s="1288"/>
    </row>
    <row r="3629" spans="18:18" s="2" customFormat="1" ht="12.75" x14ac:dyDescent="0.2">
      <c r="R3629" s="1288"/>
    </row>
    <row r="3630" spans="18:18" s="2" customFormat="1" ht="12.75" x14ac:dyDescent="0.2">
      <c r="R3630" s="1288"/>
    </row>
    <row r="3631" spans="18:18" s="2" customFormat="1" ht="12.75" x14ac:dyDescent="0.2">
      <c r="R3631" s="1288"/>
    </row>
    <row r="3632" spans="18:18" s="2" customFormat="1" ht="12.75" x14ac:dyDescent="0.2">
      <c r="R3632" s="1288"/>
    </row>
    <row r="3633" spans="18:18" s="2" customFormat="1" ht="12.75" x14ac:dyDescent="0.2">
      <c r="R3633" s="1288"/>
    </row>
    <row r="3634" spans="18:18" s="2" customFormat="1" ht="12.75" x14ac:dyDescent="0.2">
      <c r="R3634" s="1288"/>
    </row>
    <row r="3635" spans="18:18" s="2" customFormat="1" ht="12.75" x14ac:dyDescent="0.2">
      <c r="R3635" s="1288"/>
    </row>
    <row r="3636" spans="18:18" s="2" customFormat="1" ht="12.75" x14ac:dyDescent="0.2">
      <c r="R3636" s="1288"/>
    </row>
    <row r="3637" spans="18:18" s="2" customFormat="1" ht="12.75" x14ac:dyDescent="0.2">
      <c r="R3637" s="1288"/>
    </row>
    <row r="3638" spans="18:18" s="2" customFormat="1" ht="12.75" x14ac:dyDescent="0.2">
      <c r="R3638" s="1288"/>
    </row>
    <row r="3639" spans="18:18" s="2" customFormat="1" ht="12.75" x14ac:dyDescent="0.2">
      <c r="R3639" s="1288"/>
    </row>
    <row r="3640" spans="18:18" s="2" customFormat="1" ht="12.75" x14ac:dyDescent="0.2">
      <c r="R3640" s="1288"/>
    </row>
    <row r="3641" spans="18:18" s="2" customFormat="1" ht="12.75" x14ac:dyDescent="0.2">
      <c r="R3641" s="1288"/>
    </row>
    <row r="3642" spans="18:18" s="2" customFormat="1" ht="12.75" x14ac:dyDescent="0.2">
      <c r="R3642" s="1288"/>
    </row>
    <row r="3643" spans="18:18" s="2" customFormat="1" ht="12.75" x14ac:dyDescent="0.2">
      <c r="R3643" s="1288"/>
    </row>
    <row r="3644" spans="18:18" s="2" customFormat="1" ht="12.75" x14ac:dyDescent="0.2">
      <c r="R3644" s="1288"/>
    </row>
    <row r="3645" spans="18:18" s="2" customFormat="1" ht="12.75" x14ac:dyDescent="0.2">
      <c r="R3645" s="1288"/>
    </row>
    <row r="3646" spans="18:18" s="2" customFormat="1" ht="12.75" x14ac:dyDescent="0.2">
      <c r="R3646" s="1288"/>
    </row>
    <row r="3647" spans="18:18" s="2" customFormat="1" ht="12.75" x14ac:dyDescent="0.2">
      <c r="R3647" s="1288"/>
    </row>
    <row r="3648" spans="18:18" s="2" customFormat="1" ht="12.75" x14ac:dyDescent="0.2">
      <c r="R3648" s="1288"/>
    </row>
    <row r="3649" spans="18:18" s="2" customFormat="1" ht="12.75" x14ac:dyDescent="0.2">
      <c r="R3649" s="1288"/>
    </row>
    <row r="3650" spans="18:18" s="2" customFormat="1" ht="12.75" x14ac:dyDescent="0.2">
      <c r="R3650" s="1288"/>
    </row>
    <row r="3651" spans="18:18" s="2" customFormat="1" ht="12.75" x14ac:dyDescent="0.2">
      <c r="R3651" s="1288"/>
    </row>
    <row r="3652" spans="18:18" s="2" customFormat="1" ht="12.75" x14ac:dyDescent="0.2">
      <c r="R3652" s="1288"/>
    </row>
    <row r="3653" spans="18:18" s="2" customFormat="1" ht="12.75" x14ac:dyDescent="0.2">
      <c r="R3653" s="1288"/>
    </row>
    <row r="3654" spans="18:18" s="2" customFormat="1" ht="12.75" x14ac:dyDescent="0.2">
      <c r="R3654" s="1288"/>
    </row>
    <row r="3655" spans="18:18" s="2" customFormat="1" ht="12.75" x14ac:dyDescent="0.2">
      <c r="R3655" s="1288"/>
    </row>
    <row r="3656" spans="18:18" s="2" customFormat="1" ht="12.75" x14ac:dyDescent="0.2">
      <c r="R3656" s="1288"/>
    </row>
    <row r="3657" spans="18:18" s="2" customFormat="1" ht="12.75" x14ac:dyDescent="0.2">
      <c r="R3657" s="1288"/>
    </row>
    <row r="3658" spans="18:18" s="2" customFormat="1" ht="12.75" x14ac:dyDescent="0.2">
      <c r="R3658" s="1288"/>
    </row>
    <row r="3659" spans="18:18" s="2" customFormat="1" ht="12.75" x14ac:dyDescent="0.2">
      <c r="R3659" s="1288"/>
    </row>
    <row r="3660" spans="18:18" s="2" customFormat="1" ht="12.75" x14ac:dyDescent="0.2">
      <c r="R3660" s="1288"/>
    </row>
    <row r="3661" spans="18:18" s="2" customFormat="1" ht="12.75" x14ac:dyDescent="0.2">
      <c r="R3661" s="1288"/>
    </row>
    <row r="3662" spans="18:18" s="2" customFormat="1" ht="12.75" x14ac:dyDescent="0.2">
      <c r="R3662" s="1288"/>
    </row>
    <row r="3663" spans="18:18" s="2" customFormat="1" ht="12.75" x14ac:dyDescent="0.2">
      <c r="R3663" s="1288"/>
    </row>
    <row r="3664" spans="18:18" s="2" customFormat="1" ht="12.75" x14ac:dyDescent="0.2">
      <c r="R3664" s="1288"/>
    </row>
    <row r="3665" spans="18:18" s="2" customFormat="1" ht="12.75" x14ac:dyDescent="0.2">
      <c r="R3665" s="1288"/>
    </row>
    <row r="3666" spans="18:18" s="2" customFormat="1" ht="12.75" x14ac:dyDescent="0.2">
      <c r="R3666" s="1288"/>
    </row>
    <row r="3667" spans="18:18" s="2" customFormat="1" ht="12.75" x14ac:dyDescent="0.2">
      <c r="R3667" s="1288"/>
    </row>
    <row r="3668" spans="18:18" s="2" customFormat="1" ht="12.75" x14ac:dyDescent="0.2">
      <c r="R3668" s="1288"/>
    </row>
    <row r="3669" spans="18:18" s="2" customFormat="1" ht="12.75" x14ac:dyDescent="0.2">
      <c r="R3669" s="1288"/>
    </row>
    <row r="3670" spans="18:18" s="2" customFormat="1" ht="12.75" x14ac:dyDescent="0.2">
      <c r="R3670" s="1288"/>
    </row>
    <row r="3671" spans="18:18" s="2" customFormat="1" ht="12.75" x14ac:dyDescent="0.2">
      <c r="R3671" s="1288"/>
    </row>
    <row r="3672" spans="18:18" s="2" customFormat="1" ht="12.75" x14ac:dyDescent="0.2">
      <c r="R3672" s="1288"/>
    </row>
    <row r="3673" spans="18:18" s="2" customFormat="1" ht="12.75" x14ac:dyDescent="0.2">
      <c r="R3673" s="1288"/>
    </row>
    <row r="3674" spans="18:18" s="2" customFormat="1" ht="12.75" x14ac:dyDescent="0.2">
      <c r="R3674" s="1288"/>
    </row>
    <row r="3675" spans="18:18" s="2" customFormat="1" ht="12.75" x14ac:dyDescent="0.2">
      <c r="R3675" s="1288"/>
    </row>
    <row r="3676" spans="18:18" s="2" customFormat="1" ht="12.75" x14ac:dyDescent="0.2">
      <c r="R3676" s="1288"/>
    </row>
    <row r="3677" spans="18:18" s="2" customFormat="1" ht="12.75" x14ac:dyDescent="0.2">
      <c r="R3677" s="1288"/>
    </row>
    <row r="3678" spans="18:18" s="2" customFormat="1" ht="12.75" x14ac:dyDescent="0.2">
      <c r="R3678" s="1288"/>
    </row>
    <row r="3679" spans="18:18" s="2" customFormat="1" ht="12.75" x14ac:dyDescent="0.2">
      <c r="R3679" s="1288"/>
    </row>
    <row r="3680" spans="18:18" s="2" customFormat="1" ht="12.75" x14ac:dyDescent="0.2">
      <c r="R3680" s="1288"/>
    </row>
    <row r="3681" spans="18:18" s="2" customFormat="1" ht="12.75" x14ac:dyDescent="0.2">
      <c r="R3681" s="1288"/>
    </row>
    <row r="3682" spans="18:18" s="2" customFormat="1" ht="12.75" x14ac:dyDescent="0.2">
      <c r="R3682" s="1288"/>
    </row>
    <row r="3683" spans="18:18" s="2" customFormat="1" ht="12.75" x14ac:dyDescent="0.2">
      <c r="R3683" s="1288"/>
    </row>
    <row r="3684" spans="18:18" s="2" customFormat="1" ht="12.75" x14ac:dyDescent="0.2">
      <c r="R3684" s="1288"/>
    </row>
    <row r="3685" spans="18:18" s="2" customFormat="1" ht="12.75" x14ac:dyDescent="0.2">
      <c r="R3685" s="1288"/>
    </row>
    <row r="3686" spans="18:18" s="2" customFormat="1" ht="12.75" x14ac:dyDescent="0.2">
      <c r="R3686" s="1288"/>
    </row>
    <row r="3687" spans="18:18" s="2" customFormat="1" ht="12.75" x14ac:dyDescent="0.2">
      <c r="R3687" s="1288"/>
    </row>
    <row r="3688" spans="18:18" s="2" customFormat="1" ht="12.75" x14ac:dyDescent="0.2">
      <c r="R3688" s="1288"/>
    </row>
    <row r="3689" spans="18:18" s="2" customFormat="1" ht="12.75" x14ac:dyDescent="0.2">
      <c r="R3689" s="1288"/>
    </row>
    <row r="3690" spans="18:18" s="2" customFormat="1" ht="12.75" x14ac:dyDescent="0.2">
      <c r="R3690" s="1288"/>
    </row>
    <row r="3691" spans="18:18" s="2" customFormat="1" ht="12.75" x14ac:dyDescent="0.2">
      <c r="R3691" s="1288"/>
    </row>
    <row r="3692" spans="18:18" s="2" customFormat="1" ht="12.75" x14ac:dyDescent="0.2">
      <c r="R3692" s="1288"/>
    </row>
    <row r="3693" spans="18:18" s="2" customFormat="1" ht="12.75" x14ac:dyDescent="0.2">
      <c r="R3693" s="1288"/>
    </row>
    <row r="3694" spans="18:18" s="2" customFormat="1" ht="12.75" x14ac:dyDescent="0.2">
      <c r="R3694" s="1288"/>
    </row>
    <row r="3695" spans="18:18" s="2" customFormat="1" ht="12.75" x14ac:dyDescent="0.2">
      <c r="R3695" s="1288"/>
    </row>
    <row r="3696" spans="18:18" s="2" customFormat="1" ht="12.75" x14ac:dyDescent="0.2">
      <c r="R3696" s="1288"/>
    </row>
    <row r="3697" spans="18:18" s="2" customFormat="1" ht="12.75" x14ac:dyDescent="0.2">
      <c r="R3697" s="1288"/>
    </row>
    <row r="3698" spans="18:18" s="2" customFormat="1" ht="12.75" x14ac:dyDescent="0.2">
      <c r="R3698" s="1288"/>
    </row>
    <row r="3699" spans="18:18" s="2" customFormat="1" ht="12.75" x14ac:dyDescent="0.2">
      <c r="R3699" s="1288"/>
    </row>
    <row r="3700" spans="18:18" s="2" customFormat="1" ht="12.75" x14ac:dyDescent="0.2">
      <c r="R3700" s="1288"/>
    </row>
    <row r="3701" spans="18:18" s="2" customFormat="1" ht="12.75" x14ac:dyDescent="0.2">
      <c r="R3701" s="1288"/>
    </row>
    <row r="3702" spans="18:18" s="2" customFormat="1" ht="12.75" x14ac:dyDescent="0.2">
      <c r="R3702" s="1288"/>
    </row>
    <row r="3703" spans="18:18" s="2" customFormat="1" ht="12.75" x14ac:dyDescent="0.2">
      <c r="R3703" s="1288"/>
    </row>
    <row r="3704" spans="18:18" s="2" customFormat="1" ht="12.75" x14ac:dyDescent="0.2">
      <c r="R3704" s="1288"/>
    </row>
    <row r="3705" spans="18:18" s="2" customFormat="1" ht="12.75" x14ac:dyDescent="0.2">
      <c r="R3705" s="1288"/>
    </row>
    <row r="3706" spans="18:18" s="2" customFormat="1" ht="12.75" x14ac:dyDescent="0.2">
      <c r="R3706" s="1288"/>
    </row>
    <row r="3707" spans="18:18" s="2" customFormat="1" ht="12.75" x14ac:dyDescent="0.2">
      <c r="R3707" s="1288"/>
    </row>
    <row r="3708" spans="18:18" s="2" customFormat="1" ht="12.75" x14ac:dyDescent="0.2">
      <c r="R3708" s="1288"/>
    </row>
    <row r="3709" spans="18:18" s="2" customFormat="1" ht="12.75" x14ac:dyDescent="0.2">
      <c r="R3709" s="1288"/>
    </row>
    <row r="3710" spans="18:18" s="2" customFormat="1" ht="12.75" x14ac:dyDescent="0.2">
      <c r="R3710" s="1288"/>
    </row>
    <row r="3711" spans="18:18" s="2" customFormat="1" ht="12.75" x14ac:dyDescent="0.2">
      <c r="R3711" s="1288"/>
    </row>
    <row r="3712" spans="18:18" s="2" customFormat="1" ht="12.75" x14ac:dyDescent="0.2">
      <c r="R3712" s="1288"/>
    </row>
    <row r="3713" spans="18:18" s="2" customFormat="1" ht="12.75" x14ac:dyDescent="0.2">
      <c r="R3713" s="1288"/>
    </row>
    <row r="3714" spans="18:18" s="2" customFormat="1" ht="12.75" x14ac:dyDescent="0.2">
      <c r="R3714" s="1288"/>
    </row>
    <row r="3715" spans="18:18" s="2" customFormat="1" ht="12.75" x14ac:dyDescent="0.2">
      <c r="R3715" s="1288"/>
    </row>
    <row r="3716" spans="18:18" s="2" customFormat="1" ht="12.75" x14ac:dyDescent="0.2">
      <c r="R3716" s="1288"/>
    </row>
    <row r="3717" spans="18:18" s="2" customFormat="1" ht="12.75" x14ac:dyDescent="0.2">
      <c r="R3717" s="1288"/>
    </row>
    <row r="3718" spans="18:18" s="2" customFormat="1" ht="12.75" x14ac:dyDescent="0.2">
      <c r="R3718" s="1288"/>
    </row>
    <row r="3719" spans="18:18" s="2" customFormat="1" ht="12.75" x14ac:dyDescent="0.2">
      <c r="R3719" s="1288"/>
    </row>
    <row r="3720" spans="18:18" s="2" customFormat="1" ht="12.75" x14ac:dyDescent="0.2">
      <c r="R3720" s="1288"/>
    </row>
    <row r="3721" spans="18:18" s="2" customFormat="1" ht="12.75" x14ac:dyDescent="0.2">
      <c r="R3721" s="1288"/>
    </row>
    <row r="3722" spans="18:18" s="2" customFormat="1" ht="12.75" x14ac:dyDescent="0.2">
      <c r="R3722" s="1288"/>
    </row>
    <row r="3723" spans="18:18" s="2" customFormat="1" ht="12.75" x14ac:dyDescent="0.2">
      <c r="R3723" s="1288"/>
    </row>
    <row r="3724" spans="18:18" s="2" customFormat="1" ht="12.75" x14ac:dyDescent="0.2">
      <c r="R3724" s="1288"/>
    </row>
    <row r="3725" spans="18:18" s="2" customFormat="1" ht="12.75" x14ac:dyDescent="0.2">
      <c r="R3725" s="1288"/>
    </row>
    <row r="3726" spans="18:18" s="2" customFormat="1" ht="12.75" x14ac:dyDescent="0.2">
      <c r="R3726" s="1288"/>
    </row>
    <row r="3727" spans="18:18" s="2" customFormat="1" ht="12.75" x14ac:dyDescent="0.2">
      <c r="R3727" s="1288"/>
    </row>
    <row r="3728" spans="18:18" s="2" customFormat="1" ht="12.75" x14ac:dyDescent="0.2">
      <c r="R3728" s="1288"/>
    </row>
    <row r="3729" spans="18:18" s="2" customFormat="1" ht="12.75" x14ac:dyDescent="0.2">
      <c r="R3729" s="1288"/>
    </row>
    <row r="3730" spans="18:18" s="2" customFormat="1" ht="12.75" x14ac:dyDescent="0.2">
      <c r="R3730" s="1288"/>
    </row>
    <row r="3731" spans="18:18" s="2" customFormat="1" ht="12.75" x14ac:dyDescent="0.2">
      <c r="R3731" s="1288"/>
    </row>
    <row r="3732" spans="18:18" s="2" customFormat="1" ht="12.75" x14ac:dyDescent="0.2">
      <c r="R3732" s="1288"/>
    </row>
    <row r="3733" spans="18:18" s="2" customFormat="1" ht="12.75" x14ac:dyDescent="0.2">
      <c r="R3733" s="1288"/>
    </row>
    <row r="3734" spans="18:18" s="2" customFormat="1" ht="12.75" x14ac:dyDescent="0.2">
      <c r="R3734" s="1288"/>
    </row>
    <row r="3735" spans="18:18" s="2" customFormat="1" ht="12.75" x14ac:dyDescent="0.2">
      <c r="R3735" s="1288"/>
    </row>
    <row r="3736" spans="18:18" s="2" customFormat="1" ht="12.75" x14ac:dyDescent="0.2">
      <c r="R3736" s="1288"/>
    </row>
    <row r="3737" spans="18:18" s="2" customFormat="1" ht="12.75" x14ac:dyDescent="0.2">
      <c r="R3737" s="1288"/>
    </row>
    <row r="3738" spans="18:18" s="2" customFormat="1" ht="12.75" x14ac:dyDescent="0.2">
      <c r="R3738" s="1288"/>
    </row>
    <row r="3739" spans="18:18" s="2" customFormat="1" ht="12.75" x14ac:dyDescent="0.2">
      <c r="R3739" s="1288"/>
    </row>
    <row r="3740" spans="18:18" s="2" customFormat="1" ht="12.75" x14ac:dyDescent="0.2">
      <c r="R3740" s="1288"/>
    </row>
    <row r="3741" spans="18:18" s="2" customFormat="1" ht="12.75" x14ac:dyDescent="0.2">
      <c r="R3741" s="1288"/>
    </row>
    <row r="3742" spans="18:18" s="2" customFormat="1" ht="12.75" x14ac:dyDescent="0.2">
      <c r="R3742" s="1288"/>
    </row>
    <row r="3743" spans="18:18" s="2" customFormat="1" ht="12.75" x14ac:dyDescent="0.2">
      <c r="R3743" s="1288"/>
    </row>
    <row r="3744" spans="18:18" s="2" customFormat="1" ht="12.75" x14ac:dyDescent="0.2">
      <c r="R3744" s="1288"/>
    </row>
    <row r="3745" spans="18:18" s="2" customFormat="1" ht="12.75" x14ac:dyDescent="0.2">
      <c r="R3745" s="1288"/>
    </row>
    <row r="3746" spans="18:18" s="2" customFormat="1" ht="12.75" x14ac:dyDescent="0.2">
      <c r="R3746" s="1288"/>
    </row>
    <row r="3747" spans="18:18" s="2" customFormat="1" ht="12.75" x14ac:dyDescent="0.2">
      <c r="R3747" s="1288"/>
    </row>
    <row r="3748" spans="18:18" s="2" customFormat="1" ht="12.75" x14ac:dyDescent="0.2">
      <c r="R3748" s="1288"/>
    </row>
    <row r="3749" spans="18:18" s="2" customFormat="1" ht="12.75" x14ac:dyDescent="0.2">
      <c r="R3749" s="1288"/>
    </row>
    <row r="3750" spans="18:18" s="2" customFormat="1" ht="12.75" x14ac:dyDescent="0.2">
      <c r="R3750" s="1288"/>
    </row>
    <row r="3751" spans="18:18" s="2" customFormat="1" ht="12.75" x14ac:dyDescent="0.2">
      <c r="R3751" s="1288"/>
    </row>
    <row r="3752" spans="18:18" s="2" customFormat="1" ht="12.75" x14ac:dyDescent="0.2">
      <c r="R3752" s="1288"/>
    </row>
    <row r="3753" spans="18:18" s="2" customFormat="1" ht="12.75" x14ac:dyDescent="0.2">
      <c r="R3753" s="1288"/>
    </row>
    <row r="3754" spans="18:18" s="2" customFormat="1" ht="12.75" x14ac:dyDescent="0.2">
      <c r="R3754" s="1288"/>
    </row>
    <row r="3755" spans="18:18" s="2" customFormat="1" ht="12.75" x14ac:dyDescent="0.2">
      <c r="R3755" s="1288"/>
    </row>
    <row r="3756" spans="18:18" s="2" customFormat="1" ht="12.75" x14ac:dyDescent="0.2">
      <c r="R3756" s="1288"/>
    </row>
    <row r="3757" spans="18:18" s="2" customFormat="1" ht="12.75" x14ac:dyDescent="0.2">
      <c r="R3757" s="1288"/>
    </row>
    <row r="3758" spans="18:18" s="2" customFormat="1" ht="12.75" x14ac:dyDescent="0.2">
      <c r="R3758" s="1288"/>
    </row>
    <row r="3759" spans="18:18" s="2" customFormat="1" ht="12.75" x14ac:dyDescent="0.2">
      <c r="R3759" s="1288"/>
    </row>
    <row r="3760" spans="18:18" s="2" customFormat="1" ht="12.75" x14ac:dyDescent="0.2">
      <c r="R3760" s="1288"/>
    </row>
    <row r="3761" spans="18:18" s="2" customFormat="1" ht="12.75" x14ac:dyDescent="0.2">
      <c r="R3761" s="1288"/>
    </row>
    <row r="3762" spans="18:18" s="2" customFormat="1" ht="12.75" x14ac:dyDescent="0.2">
      <c r="R3762" s="1288"/>
    </row>
    <row r="3763" spans="18:18" s="2" customFormat="1" ht="12.75" x14ac:dyDescent="0.2">
      <c r="R3763" s="1288"/>
    </row>
    <row r="3764" spans="18:18" s="2" customFormat="1" ht="12.75" x14ac:dyDescent="0.2">
      <c r="R3764" s="1288"/>
    </row>
    <row r="3765" spans="18:18" s="2" customFormat="1" ht="12.75" x14ac:dyDescent="0.2">
      <c r="R3765" s="1288"/>
    </row>
    <row r="3766" spans="18:18" s="2" customFormat="1" ht="12.75" x14ac:dyDescent="0.2">
      <c r="R3766" s="1288"/>
    </row>
    <row r="3767" spans="18:18" s="2" customFormat="1" ht="12.75" x14ac:dyDescent="0.2">
      <c r="R3767" s="1288"/>
    </row>
    <row r="3768" spans="18:18" s="2" customFormat="1" ht="12.75" x14ac:dyDescent="0.2">
      <c r="R3768" s="1288"/>
    </row>
    <row r="3769" spans="18:18" s="2" customFormat="1" ht="12.75" x14ac:dyDescent="0.2">
      <c r="R3769" s="1288"/>
    </row>
    <row r="3770" spans="18:18" s="2" customFormat="1" ht="12.75" x14ac:dyDescent="0.2">
      <c r="R3770" s="1288"/>
    </row>
    <row r="3771" spans="18:18" s="2" customFormat="1" ht="12.75" x14ac:dyDescent="0.2">
      <c r="R3771" s="1288"/>
    </row>
    <row r="3772" spans="18:18" s="2" customFormat="1" ht="12.75" x14ac:dyDescent="0.2">
      <c r="R3772" s="1288"/>
    </row>
    <row r="3773" spans="18:18" s="2" customFormat="1" ht="12.75" x14ac:dyDescent="0.2">
      <c r="R3773" s="1288"/>
    </row>
    <row r="3774" spans="18:18" s="2" customFormat="1" ht="12.75" x14ac:dyDescent="0.2">
      <c r="R3774" s="1288"/>
    </row>
    <row r="3775" spans="18:18" s="2" customFormat="1" ht="12.75" x14ac:dyDescent="0.2">
      <c r="R3775" s="1288"/>
    </row>
    <row r="3776" spans="18:18" s="2" customFormat="1" ht="12.75" x14ac:dyDescent="0.2">
      <c r="R3776" s="1288"/>
    </row>
    <row r="3777" spans="18:18" s="2" customFormat="1" ht="12.75" x14ac:dyDescent="0.2">
      <c r="R3777" s="1288"/>
    </row>
    <row r="3778" spans="18:18" s="2" customFormat="1" ht="12.75" x14ac:dyDescent="0.2">
      <c r="R3778" s="1288"/>
    </row>
    <row r="3779" spans="18:18" s="2" customFormat="1" ht="12.75" x14ac:dyDescent="0.2">
      <c r="R3779" s="1288"/>
    </row>
    <row r="3780" spans="18:18" s="2" customFormat="1" ht="12.75" x14ac:dyDescent="0.2">
      <c r="R3780" s="1288"/>
    </row>
    <row r="3781" spans="18:18" s="2" customFormat="1" ht="12.75" x14ac:dyDescent="0.2">
      <c r="R3781" s="1288"/>
    </row>
    <row r="3782" spans="18:18" s="2" customFormat="1" ht="12.75" x14ac:dyDescent="0.2">
      <c r="R3782" s="1288"/>
    </row>
    <row r="3783" spans="18:18" s="2" customFormat="1" ht="12.75" x14ac:dyDescent="0.2">
      <c r="R3783" s="1288"/>
    </row>
    <row r="3784" spans="18:18" s="2" customFormat="1" ht="12.75" x14ac:dyDescent="0.2">
      <c r="R3784" s="1288"/>
    </row>
    <row r="3785" spans="18:18" s="2" customFormat="1" ht="12.75" x14ac:dyDescent="0.2">
      <c r="R3785" s="1288"/>
    </row>
    <row r="3786" spans="18:18" s="2" customFormat="1" ht="12.75" x14ac:dyDescent="0.2">
      <c r="R3786" s="1288"/>
    </row>
    <row r="3787" spans="18:18" s="2" customFormat="1" ht="12.75" x14ac:dyDescent="0.2">
      <c r="R3787" s="1288"/>
    </row>
    <row r="3788" spans="18:18" s="2" customFormat="1" ht="12.75" x14ac:dyDescent="0.2">
      <c r="R3788" s="1288"/>
    </row>
    <row r="3789" spans="18:18" s="2" customFormat="1" ht="12.75" x14ac:dyDescent="0.2">
      <c r="R3789" s="1288"/>
    </row>
    <row r="3790" spans="18:18" s="2" customFormat="1" ht="12.75" x14ac:dyDescent="0.2">
      <c r="R3790" s="1288"/>
    </row>
    <row r="3791" spans="18:18" s="2" customFormat="1" ht="12.75" x14ac:dyDescent="0.2">
      <c r="R3791" s="1288"/>
    </row>
    <row r="3792" spans="18:18" s="2" customFormat="1" ht="12.75" x14ac:dyDescent="0.2">
      <c r="R3792" s="1288"/>
    </row>
    <row r="3793" spans="18:18" s="2" customFormat="1" ht="12.75" x14ac:dyDescent="0.2">
      <c r="R3793" s="1288"/>
    </row>
    <row r="3794" spans="18:18" s="2" customFormat="1" ht="12.75" x14ac:dyDescent="0.2">
      <c r="R3794" s="1288"/>
    </row>
    <row r="3795" spans="18:18" s="2" customFormat="1" ht="12.75" x14ac:dyDescent="0.2">
      <c r="R3795" s="1288"/>
    </row>
    <row r="3796" spans="18:18" s="2" customFormat="1" ht="12.75" x14ac:dyDescent="0.2">
      <c r="R3796" s="1288"/>
    </row>
    <row r="3797" spans="18:18" s="2" customFormat="1" ht="12.75" x14ac:dyDescent="0.2">
      <c r="R3797" s="1288"/>
    </row>
    <row r="3798" spans="18:18" s="2" customFormat="1" ht="12.75" x14ac:dyDescent="0.2">
      <c r="R3798" s="1288"/>
    </row>
    <row r="3799" spans="18:18" s="2" customFormat="1" ht="12.75" x14ac:dyDescent="0.2">
      <c r="R3799" s="1288"/>
    </row>
    <row r="3800" spans="18:18" s="2" customFormat="1" ht="12.75" x14ac:dyDescent="0.2">
      <c r="R3800" s="1288"/>
    </row>
    <row r="3801" spans="18:18" s="2" customFormat="1" ht="12.75" x14ac:dyDescent="0.2">
      <c r="R3801" s="1288"/>
    </row>
    <row r="3802" spans="18:18" s="2" customFormat="1" ht="12.75" x14ac:dyDescent="0.2">
      <c r="R3802" s="1288"/>
    </row>
    <row r="3803" spans="18:18" s="2" customFormat="1" ht="12.75" x14ac:dyDescent="0.2">
      <c r="R3803" s="1288"/>
    </row>
    <row r="3804" spans="18:18" s="2" customFormat="1" ht="12.75" x14ac:dyDescent="0.2">
      <c r="R3804" s="1288"/>
    </row>
    <row r="3805" spans="18:18" s="2" customFormat="1" ht="12.75" x14ac:dyDescent="0.2">
      <c r="R3805" s="1288"/>
    </row>
    <row r="3806" spans="18:18" s="2" customFormat="1" ht="12.75" x14ac:dyDescent="0.2">
      <c r="R3806" s="1288"/>
    </row>
    <row r="3807" spans="18:18" s="2" customFormat="1" ht="12.75" x14ac:dyDescent="0.2">
      <c r="R3807" s="1288"/>
    </row>
    <row r="3808" spans="18:18" s="2" customFormat="1" ht="12.75" x14ac:dyDescent="0.2">
      <c r="R3808" s="1288"/>
    </row>
    <row r="3809" spans="18:18" s="2" customFormat="1" ht="12.75" x14ac:dyDescent="0.2">
      <c r="R3809" s="1288"/>
    </row>
    <row r="3810" spans="18:18" s="2" customFormat="1" ht="12.75" x14ac:dyDescent="0.2">
      <c r="R3810" s="1288"/>
    </row>
    <row r="3811" spans="18:18" s="2" customFormat="1" ht="12.75" x14ac:dyDescent="0.2">
      <c r="R3811" s="1288"/>
    </row>
    <row r="3812" spans="18:18" s="2" customFormat="1" ht="12.75" x14ac:dyDescent="0.2">
      <c r="R3812" s="1288"/>
    </row>
    <row r="3813" spans="18:18" s="2" customFormat="1" ht="12.75" x14ac:dyDescent="0.2">
      <c r="R3813" s="1288"/>
    </row>
    <row r="3814" spans="18:18" s="2" customFormat="1" ht="12.75" x14ac:dyDescent="0.2">
      <c r="R3814" s="1288"/>
    </row>
    <row r="3815" spans="18:18" s="2" customFormat="1" ht="12.75" x14ac:dyDescent="0.2">
      <c r="R3815" s="1288"/>
    </row>
    <row r="3816" spans="18:18" s="2" customFormat="1" ht="12.75" x14ac:dyDescent="0.2">
      <c r="R3816" s="1288"/>
    </row>
    <row r="3817" spans="18:18" s="2" customFormat="1" ht="12.75" x14ac:dyDescent="0.2">
      <c r="R3817" s="1288"/>
    </row>
    <row r="3818" spans="18:18" s="2" customFormat="1" ht="12.75" x14ac:dyDescent="0.2">
      <c r="R3818" s="1288"/>
    </row>
    <row r="3819" spans="18:18" s="2" customFormat="1" ht="12.75" x14ac:dyDescent="0.2">
      <c r="R3819" s="1288"/>
    </row>
    <row r="3820" spans="18:18" s="2" customFormat="1" ht="12.75" x14ac:dyDescent="0.2">
      <c r="R3820" s="1288"/>
    </row>
    <row r="3821" spans="18:18" s="2" customFormat="1" ht="12.75" x14ac:dyDescent="0.2">
      <c r="R3821" s="1288"/>
    </row>
    <row r="3822" spans="18:18" s="2" customFormat="1" ht="12.75" x14ac:dyDescent="0.2">
      <c r="R3822" s="1288"/>
    </row>
    <row r="3823" spans="18:18" s="2" customFormat="1" ht="12.75" x14ac:dyDescent="0.2">
      <c r="R3823" s="1288"/>
    </row>
    <row r="3824" spans="18:18" s="2" customFormat="1" ht="12.75" x14ac:dyDescent="0.2">
      <c r="R3824" s="1288"/>
    </row>
    <row r="3825" spans="18:18" s="2" customFormat="1" ht="12.75" x14ac:dyDescent="0.2">
      <c r="R3825" s="1288"/>
    </row>
    <row r="3826" spans="18:18" s="2" customFormat="1" ht="12.75" x14ac:dyDescent="0.2">
      <c r="R3826" s="1288"/>
    </row>
    <row r="3827" spans="18:18" s="2" customFormat="1" ht="12.75" x14ac:dyDescent="0.2">
      <c r="R3827" s="1288"/>
    </row>
    <row r="3828" spans="18:18" s="2" customFormat="1" ht="12.75" x14ac:dyDescent="0.2">
      <c r="R3828" s="1288"/>
    </row>
    <row r="3829" spans="18:18" s="2" customFormat="1" ht="12.75" x14ac:dyDescent="0.2">
      <c r="R3829" s="1288"/>
    </row>
    <row r="3830" spans="18:18" s="2" customFormat="1" ht="12.75" x14ac:dyDescent="0.2">
      <c r="R3830" s="1288"/>
    </row>
    <row r="3831" spans="18:18" s="2" customFormat="1" ht="12.75" x14ac:dyDescent="0.2">
      <c r="R3831" s="1288"/>
    </row>
    <row r="3832" spans="18:18" s="2" customFormat="1" ht="12.75" x14ac:dyDescent="0.2">
      <c r="R3832" s="1288"/>
    </row>
    <row r="3833" spans="18:18" s="2" customFormat="1" ht="12.75" x14ac:dyDescent="0.2">
      <c r="R3833" s="1288"/>
    </row>
    <row r="3834" spans="18:18" s="2" customFormat="1" ht="12.75" x14ac:dyDescent="0.2">
      <c r="R3834" s="1288"/>
    </row>
    <row r="3835" spans="18:18" s="2" customFormat="1" ht="12.75" x14ac:dyDescent="0.2">
      <c r="R3835" s="1288"/>
    </row>
    <row r="3836" spans="18:18" s="2" customFormat="1" ht="12.75" x14ac:dyDescent="0.2">
      <c r="R3836" s="1288"/>
    </row>
    <row r="3837" spans="18:18" s="2" customFormat="1" ht="12.75" x14ac:dyDescent="0.2">
      <c r="R3837" s="1288"/>
    </row>
    <row r="3838" spans="18:18" s="2" customFormat="1" ht="12.75" x14ac:dyDescent="0.2">
      <c r="R3838" s="1288"/>
    </row>
    <row r="3839" spans="18:18" s="2" customFormat="1" ht="12.75" x14ac:dyDescent="0.2">
      <c r="R3839" s="1288"/>
    </row>
    <row r="3840" spans="18:18" s="2" customFormat="1" ht="12.75" x14ac:dyDescent="0.2">
      <c r="R3840" s="1288"/>
    </row>
    <row r="3841" spans="18:18" s="2" customFormat="1" ht="12.75" x14ac:dyDescent="0.2">
      <c r="R3841" s="1288"/>
    </row>
    <row r="3842" spans="18:18" s="2" customFormat="1" ht="12.75" x14ac:dyDescent="0.2">
      <c r="R3842" s="1288"/>
    </row>
    <row r="3843" spans="18:18" s="2" customFormat="1" ht="12.75" x14ac:dyDescent="0.2">
      <c r="R3843" s="1288"/>
    </row>
    <row r="3844" spans="18:18" s="2" customFormat="1" ht="12.75" x14ac:dyDescent="0.2">
      <c r="R3844" s="1288"/>
    </row>
    <row r="3845" spans="18:18" s="2" customFormat="1" ht="12.75" x14ac:dyDescent="0.2">
      <c r="R3845" s="1288"/>
    </row>
    <row r="3846" spans="18:18" s="2" customFormat="1" ht="12.75" x14ac:dyDescent="0.2">
      <c r="R3846" s="1288"/>
    </row>
    <row r="3847" spans="18:18" s="2" customFormat="1" ht="12.75" x14ac:dyDescent="0.2">
      <c r="R3847" s="1288"/>
    </row>
    <row r="3848" spans="18:18" s="2" customFormat="1" ht="12.75" x14ac:dyDescent="0.2">
      <c r="R3848" s="1288"/>
    </row>
    <row r="3849" spans="18:18" s="2" customFormat="1" ht="12.75" x14ac:dyDescent="0.2">
      <c r="R3849" s="1288"/>
    </row>
    <row r="3850" spans="18:18" s="2" customFormat="1" ht="12.75" x14ac:dyDescent="0.2">
      <c r="R3850" s="1288"/>
    </row>
    <row r="3851" spans="18:18" s="2" customFormat="1" ht="12.75" x14ac:dyDescent="0.2">
      <c r="R3851" s="1288"/>
    </row>
    <row r="3852" spans="18:18" s="2" customFormat="1" ht="12.75" x14ac:dyDescent="0.2">
      <c r="R3852" s="1288"/>
    </row>
    <row r="3853" spans="18:18" s="2" customFormat="1" ht="12.75" x14ac:dyDescent="0.2">
      <c r="R3853" s="1288"/>
    </row>
    <row r="3854" spans="18:18" s="2" customFormat="1" ht="12.75" x14ac:dyDescent="0.2">
      <c r="R3854" s="1288"/>
    </row>
    <row r="3855" spans="18:18" s="2" customFormat="1" ht="12.75" x14ac:dyDescent="0.2">
      <c r="R3855" s="1288"/>
    </row>
    <row r="3856" spans="18:18" s="2" customFormat="1" ht="12.75" x14ac:dyDescent="0.2">
      <c r="R3856" s="1288"/>
    </row>
    <row r="3857" spans="18:18" s="2" customFormat="1" ht="12.75" x14ac:dyDescent="0.2">
      <c r="R3857" s="1288"/>
    </row>
    <row r="3858" spans="18:18" s="2" customFormat="1" ht="12.75" x14ac:dyDescent="0.2">
      <c r="R3858" s="1288"/>
    </row>
    <row r="3859" spans="18:18" s="2" customFormat="1" ht="12.75" x14ac:dyDescent="0.2">
      <c r="R3859" s="1288"/>
    </row>
    <row r="3860" spans="18:18" s="2" customFormat="1" ht="12.75" x14ac:dyDescent="0.2">
      <c r="R3860" s="1288"/>
    </row>
    <row r="3861" spans="18:18" s="2" customFormat="1" ht="12.75" x14ac:dyDescent="0.2">
      <c r="R3861" s="1288"/>
    </row>
    <row r="3862" spans="18:18" s="2" customFormat="1" ht="12.75" x14ac:dyDescent="0.2">
      <c r="R3862" s="1288"/>
    </row>
    <row r="3863" spans="18:18" s="2" customFormat="1" ht="12.75" x14ac:dyDescent="0.2">
      <c r="R3863" s="1288"/>
    </row>
    <row r="3864" spans="18:18" s="2" customFormat="1" ht="12.75" x14ac:dyDescent="0.2">
      <c r="R3864" s="1288"/>
    </row>
    <row r="3865" spans="18:18" s="2" customFormat="1" ht="12.75" x14ac:dyDescent="0.2">
      <c r="R3865" s="1288"/>
    </row>
    <row r="3866" spans="18:18" s="2" customFormat="1" ht="12.75" x14ac:dyDescent="0.2">
      <c r="R3866" s="1288"/>
    </row>
    <row r="3867" spans="18:18" s="2" customFormat="1" ht="12.75" x14ac:dyDescent="0.2">
      <c r="R3867" s="1288"/>
    </row>
    <row r="3868" spans="18:18" s="2" customFormat="1" ht="12.75" x14ac:dyDescent="0.2">
      <c r="R3868" s="1288"/>
    </row>
    <row r="3869" spans="18:18" s="2" customFormat="1" ht="12.75" x14ac:dyDescent="0.2">
      <c r="R3869" s="1288"/>
    </row>
    <row r="3870" spans="18:18" s="2" customFormat="1" ht="12.75" x14ac:dyDescent="0.2">
      <c r="R3870" s="1288"/>
    </row>
    <row r="3871" spans="18:18" s="2" customFormat="1" ht="12.75" x14ac:dyDescent="0.2">
      <c r="R3871" s="1288"/>
    </row>
    <row r="3872" spans="18:18" s="2" customFormat="1" ht="12.75" x14ac:dyDescent="0.2">
      <c r="R3872" s="1288"/>
    </row>
    <row r="3873" spans="18:18" s="2" customFormat="1" ht="12.75" x14ac:dyDescent="0.2">
      <c r="R3873" s="1288"/>
    </row>
    <row r="3874" spans="18:18" s="2" customFormat="1" ht="12.75" x14ac:dyDescent="0.2">
      <c r="R3874" s="1288"/>
    </row>
    <row r="3875" spans="18:18" s="2" customFormat="1" ht="12.75" x14ac:dyDescent="0.2">
      <c r="R3875" s="1288"/>
    </row>
    <row r="3876" spans="18:18" s="2" customFormat="1" ht="12.75" x14ac:dyDescent="0.2">
      <c r="R3876" s="1288"/>
    </row>
    <row r="3877" spans="18:18" s="2" customFormat="1" ht="12.75" x14ac:dyDescent="0.2">
      <c r="R3877" s="1288"/>
    </row>
    <row r="3878" spans="18:18" s="2" customFormat="1" ht="12.75" x14ac:dyDescent="0.2">
      <c r="R3878" s="1288"/>
    </row>
    <row r="3879" spans="18:18" s="2" customFormat="1" ht="12.75" x14ac:dyDescent="0.2">
      <c r="R3879" s="1288"/>
    </row>
    <row r="3880" spans="18:18" s="2" customFormat="1" ht="12.75" x14ac:dyDescent="0.2">
      <c r="R3880" s="1288"/>
    </row>
    <row r="3881" spans="18:18" s="2" customFormat="1" ht="12.75" x14ac:dyDescent="0.2">
      <c r="R3881" s="1288"/>
    </row>
    <row r="3882" spans="18:18" s="2" customFormat="1" ht="12.75" x14ac:dyDescent="0.2">
      <c r="R3882" s="1288"/>
    </row>
    <row r="3883" spans="18:18" s="2" customFormat="1" ht="12.75" x14ac:dyDescent="0.2">
      <c r="R3883" s="1288"/>
    </row>
    <row r="3884" spans="18:18" s="2" customFormat="1" ht="12.75" x14ac:dyDescent="0.2">
      <c r="R3884" s="1288"/>
    </row>
    <row r="3885" spans="18:18" s="2" customFormat="1" ht="12.75" x14ac:dyDescent="0.2">
      <c r="R3885" s="1288"/>
    </row>
    <row r="3886" spans="18:18" s="2" customFormat="1" ht="12.75" x14ac:dyDescent="0.2">
      <c r="R3886" s="1288"/>
    </row>
    <row r="3887" spans="18:18" s="2" customFormat="1" ht="12.75" x14ac:dyDescent="0.2">
      <c r="R3887" s="1288"/>
    </row>
    <row r="3888" spans="18:18" s="2" customFormat="1" ht="12.75" x14ac:dyDescent="0.2">
      <c r="R3888" s="1288"/>
    </row>
    <row r="3889" spans="18:18" s="2" customFormat="1" ht="12.75" x14ac:dyDescent="0.2">
      <c r="R3889" s="1288"/>
    </row>
    <row r="3890" spans="18:18" s="2" customFormat="1" ht="12.75" x14ac:dyDescent="0.2">
      <c r="R3890" s="1288"/>
    </row>
    <row r="3891" spans="18:18" s="2" customFormat="1" ht="12.75" x14ac:dyDescent="0.2">
      <c r="R3891" s="1288"/>
    </row>
    <row r="3892" spans="18:18" s="2" customFormat="1" ht="12.75" x14ac:dyDescent="0.2">
      <c r="R3892" s="1288"/>
    </row>
    <row r="3893" spans="18:18" s="2" customFormat="1" ht="12.75" x14ac:dyDescent="0.2">
      <c r="R3893" s="1288"/>
    </row>
    <row r="3894" spans="18:18" s="2" customFormat="1" ht="12.75" x14ac:dyDescent="0.2">
      <c r="R3894" s="1288"/>
    </row>
    <row r="3895" spans="18:18" s="2" customFormat="1" ht="12.75" x14ac:dyDescent="0.2">
      <c r="R3895" s="1288"/>
    </row>
    <row r="3896" spans="18:18" s="2" customFormat="1" ht="12.75" x14ac:dyDescent="0.2">
      <c r="R3896" s="1288"/>
    </row>
    <row r="3897" spans="18:18" s="2" customFormat="1" ht="12.75" x14ac:dyDescent="0.2">
      <c r="R3897" s="1288"/>
    </row>
    <row r="3898" spans="18:18" s="2" customFormat="1" ht="12.75" x14ac:dyDescent="0.2">
      <c r="R3898" s="1288"/>
    </row>
    <row r="3899" spans="18:18" s="2" customFormat="1" ht="12.75" x14ac:dyDescent="0.2">
      <c r="R3899" s="1288"/>
    </row>
    <row r="3900" spans="18:18" s="2" customFormat="1" ht="12.75" x14ac:dyDescent="0.2">
      <c r="R3900" s="1288"/>
    </row>
    <row r="3901" spans="18:18" s="2" customFormat="1" ht="12.75" x14ac:dyDescent="0.2">
      <c r="R3901" s="1288"/>
    </row>
    <row r="3902" spans="18:18" s="2" customFormat="1" ht="12.75" x14ac:dyDescent="0.2">
      <c r="R3902" s="1288"/>
    </row>
    <row r="3903" spans="18:18" s="2" customFormat="1" ht="12.75" x14ac:dyDescent="0.2">
      <c r="R3903" s="1288"/>
    </row>
    <row r="3904" spans="18:18" s="2" customFormat="1" ht="12.75" x14ac:dyDescent="0.2">
      <c r="R3904" s="1288"/>
    </row>
    <row r="3905" spans="18:18" s="2" customFormat="1" ht="12.75" x14ac:dyDescent="0.2">
      <c r="R3905" s="1288"/>
    </row>
    <row r="3906" spans="18:18" s="2" customFormat="1" ht="12.75" x14ac:dyDescent="0.2">
      <c r="R3906" s="1288"/>
    </row>
    <row r="3907" spans="18:18" s="2" customFormat="1" ht="12.75" x14ac:dyDescent="0.2">
      <c r="R3907" s="1288"/>
    </row>
    <row r="3908" spans="18:18" s="2" customFormat="1" ht="12.75" x14ac:dyDescent="0.2">
      <c r="R3908" s="1288"/>
    </row>
    <row r="3909" spans="18:18" s="2" customFormat="1" ht="12.75" x14ac:dyDescent="0.2">
      <c r="R3909" s="1288"/>
    </row>
    <row r="3910" spans="18:18" s="2" customFormat="1" ht="12.75" x14ac:dyDescent="0.2">
      <c r="R3910" s="1288"/>
    </row>
    <row r="3911" spans="18:18" s="2" customFormat="1" ht="12.75" x14ac:dyDescent="0.2">
      <c r="R3911" s="1288"/>
    </row>
    <row r="3912" spans="18:18" s="2" customFormat="1" ht="12.75" x14ac:dyDescent="0.2">
      <c r="R3912" s="1288"/>
    </row>
    <row r="3913" spans="18:18" s="2" customFormat="1" ht="12.75" x14ac:dyDescent="0.2">
      <c r="R3913" s="1288"/>
    </row>
    <row r="3914" spans="18:18" s="2" customFormat="1" ht="12.75" x14ac:dyDescent="0.2">
      <c r="R3914" s="1288"/>
    </row>
    <row r="3915" spans="18:18" s="2" customFormat="1" ht="12.75" x14ac:dyDescent="0.2">
      <c r="R3915" s="1288"/>
    </row>
    <row r="3916" spans="18:18" s="2" customFormat="1" ht="12.75" x14ac:dyDescent="0.2">
      <c r="R3916" s="1288"/>
    </row>
    <row r="3917" spans="18:18" s="2" customFormat="1" ht="12.75" x14ac:dyDescent="0.2">
      <c r="R3917" s="1288"/>
    </row>
    <row r="3918" spans="18:18" s="2" customFormat="1" ht="12.75" x14ac:dyDescent="0.2">
      <c r="R3918" s="1288"/>
    </row>
    <row r="3919" spans="18:18" s="2" customFormat="1" ht="12.75" x14ac:dyDescent="0.2">
      <c r="R3919" s="1288"/>
    </row>
    <row r="3920" spans="18:18" s="2" customFormat="1" ht="12.75" x14ac:dyDescent="0.2">
      <c r="R3920" s="1288"/>
    </row>
    <row r="3921" spans="18:18" s="2" customFormat="1" ht="12.75" x14ac:dyDescent="0.2">
      <c r="R3921" s="1288"/>
    </row>
    <row r="3922" spans="18:18" s="2" customFormat="1" ht="12.75" x14ac:dyDescent="0.2">
      <c r="R3922" s="1288"/>
    </row>
    <row r="3923" spans="18:18" s="2" customFormat="1" ht="12.75" x14ac:dyDescent="0.2">
      <c r="R3923" s="1288"/>
    </row>
    <row r="3924" spans="18:18" s="2" customFormat="1" ht="12.75" x14ac:dyDescent="0.2">
      <c r="R3924" s="1288"/>
    </row>
    <row r="3925" spans="18:18" s="2" customFormat="1" ht="12.75" x14ac:dyDescent="0.2">
      <c r="R3925" s="1288"/>
    </row>
    <row r="3926" spans="18:18" s="2" customFormat="1" ht="12.75" x14ac:dyDescent="0.2">
      <c r="R3926" s="1288"/>
    </row>
    <row r="3927" spans="18:18" s="2" customFormat="1" ht="12.75" x14ac:dyDescent="0.2">
      <c r="R3927" s="1288"/>
    </row>
    <row r="3928" spans="18:18" s="2" customFormat="1" ht="12.75" x14ac:dyDescent="0.2">
      <c r="R3928" s="1288"/>
    </row>
    <row r="3929" spans="18:18" s="2" customFormat="1" ht="12.75" x14ac:dyDescent="0.2">
      <c r="R3929" s="1288"/>
    </row>
    <row r="3930" spans="18:18" s="2" customFormat="1" ht="12.75" x14ac:dyDescent="0.2">
      <c r="R3930" s="1288"/>
    </row>
    <row r="3931" spans="18:18" s="2" customFormat="1" ht="12.75" x14ac:dyDescent="0.2">
      <c r="R3931" s="1288"/>
    </row>
    <row r="3932" spans="18:18" s="2" customFormat="1" ht="12.75" x14ac:dyDescent="0.2">
      <c r="R3932" s="1288"/>
    </row>
    <row r="3933" spans="18:18" s="2" customFormat="1" ht="12.75" x14ac:dyDescent="0.2">
      <c r="R3933" s="1288"/>
    </row>
    <row r="3934" spans="18:18" s="2" customFormat="1" ht="12.75" x14ac:dyDescent="0.2">
      <c r="R3934" s="1288"/>
    </row>
    <row r="3935" spans="18:18" s="2" customFormat="1" ht="12.75" x14ac:dyDescent="0.2">
      <c r="R3935" s="1288"/>
    </row>
    <row r="3936" spans="18:18" s="2" customFormat="1" ht="12.75" x14ac:dyDescent="0.2">
      <c r="R3936" s="1288"/>
    </row>
    <row r="3937" spans="18:18" s="2" customFormat="1" ht="12.75" x14ac:dyDescent="0.2">
      <c r="R3937" s="1288"/>
    </row>
    <row r="3938" spans="18:18" s="2" customFormat="1" ht="12.75" x14ac:dyDescent="0.2">
      <c r="R3938" s="1288"/>
    </row>
    <row r="3939" spans="18:18" s="2" customFormat="1" ht="12.75" x14ac:dyDescent="0.2">
      <c r="R3939" s="1288"/>
    </row>
    <row r="3940" spans="18:18" s="2" customFormat="1" ht="12.75" x14ac:dyDescent="0.2">
      <c r="R3940" s="1288"/>
    </row>
    <row r="3941" spans="18:18" s="2" customFormat="1" ht="12.75" x14ac:dyDescent="0.2">
      <c r="R3941" s="1288"/>
    </row>
    <row r="3942" spans="18:18" s="2" customFormat="1" ht="12.75" x14ac:dyDescent="0.2">
      <c r="R3942" s="1288"/>
    </row>
    <row r="3943" spans="18:18" s="2" customFormat="1" ht="12.75" x14ac:dyDescent="0.2">
      <c r="R3943" s="1288"/>
    </row>
    <row r="3944" spans="18:18" s="2" customFormat="1" ht="12.75" x14ac:dyDescent="0.2">
      <c r="R3944" s="1288"/>
    </row>
    <row r="3945" spans="18:18" s="2" customFormat="1" ht="12.75" x14ac:dyDescent="0.2">
      <c r="R3945" s="1288"/>
    </row>
    <row r="3946" spans="18:18" s="2" customFormat="1" ht="12.75" x14ac:dyDescent="0.2">
      <c r="R3946" s="1288"/>
    </row>
    <row r="3947" spans="18:18" s="2" customFormat="1" ht="12.75" x14ac:dyDescent="0.2">
      <c r="R3947" s="1288"/>
    </row>
    <row r="3948" spans="18:18" s="2" customFormat="1" ht="12.75" x14ac:dyDescent="0.2">
      <c r="R3948" s="1288"/>
    </row>
    <row r="3949" spans="18:18" s="2" customFormat="1" ht="12.75" x14ac:dyDescent="0.2">
      <c r="R3949" s="1288"/>
    </row>
    <row r="3950" spans="18:18" s="2" customFormat="1" ht="12.75" x14ac:dyDescent="0.2">
      <c r="R3950" s="1288"/>
    </row>
    <row r="3951" spans="18:18" s="2" customFormat="1" ht="12.75" x14ac:dyDescent="0.2">
      <c r="R3951" s="1288"/>
    </row>
    <row r="3952" spans="18:18" s="2" customFormat="1" ht="12.75" x14ac:dyDescent="0.2">
      <c r="R3952" s="1288"/>
    </row>
    <row r="3953" spans="18:18" s="2" customFormat="1" ht="12.75" x14ac:dyDescent="0.2">
      <c r="R3953" s="1288"/>
    </row>
    <row r="3954" spans="18:18" s="2" customFormat="1" ht="12.75" x14ac:dyDescent="0.2">
      <c r="R3954" s="1288"/>
    </row>
    <row r="3955" spans="18:18" s="2" customFormat="1" ht="12.75" x14ac:dyDescent="0.2">
      <c r="R3955" s="1288"/>
    </row>
    <row r="3956" spans="18:18" s="2" customFormat="1" ht="12.75" x14ac:dyDescent="0.2">
      <c r="R3956" s="1288"/>
    </row>
    <row r="3957" spans="18:18" s="2" customFormat="1" ht="12.75" x14ac:dyDescent="0.2">
      <c r="R3957" s="1288"/>
    </row>
    <row r="3958" spans="18:18" s="2" customFormat="1" ht="12.75" x14ac:dyDescent="0.2">
      <c r="R3958" s="1288"/>
    </row>
    <row r="3959" spans="18:18" s="2" customFormat="1" ht="12.75" x14ac:dyDescent="0.2">
      <c r="R3959" s="1288"/>
    </row>
    <row r="3960" spans="18:18" s="2" customFormat="1" ht="12.75" x14ac:dyDescent="0.2">
      <c r="R3960" s="1288"/>
    </row>
    <row r="3961" spans="18:18" s="2" customFormat="1" ht="12.75" x14ac:dyDescent="0.2">
      <c r="R3961" s="1288"/>
    </row>
    <row r="3962" spans="18:18" s="2" customFormat="1" ht="12.75" x14ac:dyDescent="0.2">
      <c r="R3962" s="1288"/>
    </row>
    <row r="3963" spans="18:18" s="2" customFormat="1" ht="12.75" x14ac:dyDescent="0.2">
      <c r="R3963" s="1288"/>
    </row>
    <row r="3964" spans="18:18" s="2" customFormat="1" ht="12.75" x14ac:dyDescent="0.2">
      <c r="R3964" s="1288"/>
    </row>
    <row r="3965" spans="18:18" s="2" customFormat="1" ht="12.75" x14ac:dyDescent="0.2">
      <c r="R3965" s="1288"/>
    </row>
    <row r="3966" spans="18:18" s="2" customFormat="1" ht="12.75" x14ac:dyDescent="0.2">
      <c r="R3966" s="1288"/>
    </row>
    <row r="3967" spans="18:18" s="2" customFormat="1" ht="12.75" x14ac:dyDescent="0.2">
      <c r="R3967" s="1288"/>
    </row>
    <row r="3968" spans="18:18" s="2" customFormat="1" ht="12.75" x14ac:dyDescent="0.2">
      <c r="R3968" s="1288"/>
    </row>
    <row r="3969" spans="18:18" s="2" customFormat="1" ht="12.75" x14ac:dyDescent="0.2">
      <c r="R3969" s="1288"/>
    </row>
    <row r="3970" spans="18:18" s="2" customFormat="1" ht="12.75" x14ac:dyDescent="0.2">
      <c r="R3970" s="1288"/>
    </row>
    <row r="3971" spans="18:18" s="2" customFormat="1" ht="12.75" x14ac:dyDescent="0.2">
      <c r="R3971" s="1288"/>
    </row>
    <row r="3972" spans="18:18" s="2" customFormat="1" ht="12.75" x14ac:dyDescent="0.2">
      <c r="R3972" s="1288"/>
    </row>
    <row r="3973" spans="18:18" s="2" customFormat="1" ht="12.75" x14ac:dyDescent="0.2">
      <c r="R3973" s="1288"/>
    </row>
    <row r="3974" spans="18:18" s="2" customFormat="1" ht="12.75" x14ac:dyDescent="0.2">
      <c r="R3974" s="1288"/>
    </row>
    <row r="3975" spans="18:18" s="2" customFormat="1" ht="12.75" x14ac:dyDescent="0.2">
      <c r="R3975" s="1288"/>
    </row>
    <row r="3976" spans="18:18" s="2" customFormat="1" ht="12.75" x14ac:dyDescent="0.2">
      <c r="R3976" s="1288"/>
    </row>
    <row r="3977" spans="18:18" s="2" customFormat="1" ht="12.75" x14ac:dyDescent="0.2">
      <c r="R3977" s="1288"/>
    </row>
    <row r="3978" spans="18:18" s="2" customFormat="1" ht="12.75" x14ac:dyDescent="0.2">
      <c r="R3978" s="1288"/>
    </row>
    <row r="3979" spans="18:18" s="2" customFormat="1" ht="12.75" x14ac:dyDescent="0.2">
      <c r="R3979" s="1288"/>
    </row>
    <row r="3980" spans="18:18" s="2" customFormat="1" ht="12.75" x14ac:dyDescent="0.2">
      <c r="R3980" s="1288"/>
    </row>
    <row r="3981" spans="18:18" s="2" customFormat="1" ht="12.75" x14ac:dyDescent="0.2">
      <c r="R3981" s="1288"/>
    </row>
    <row r="3982" spans="18:18" s="2" customFormat="1" ht="12.75" x14ac:dyDescent="0.2">
      <c r="R3982" s="1288"/>
    </row>
    <row r="3983" spans="18:18" s="2" customFormat="1" ht="12.75" x14ac:dyDescent="0.2">
      <c r="R3983" s="1288"/>
    </row>
    <row r="3984" spans="18:18" s="2" customFormat="1" ht="12.75" x14ac:dyDescent="0.2">
      <c r="R3984" s="1288"/>
    </row>
    <row r="3985" spans="18:18" s="2" customFormat="1" ht="12.75" x14ac:dyDescent="0.2">
      <c r="R3985" s="1288"/>
    </row>
    <row r="3986" spans="18:18" s="2" customFormat="1" ht="12.75" x14ac:dyDescent="0.2">
      <c r="R3986" s="1288"/>
    </row>
    <row r="3987" spans="18:18" s="2" customFormat="1" ht="12.75" x14ac:dyDescent="0.2">
      <c r="R3987" s="1288"/>
    </row>
    <row r="3988" spans="18:18" s="2" customFormat="1" ht="12.75" x14ac:dyDescent="0.2">
      <c r="R3988" s="1288"/>
    </row>
    <row r="3989" spans="18:18" s="2" customFormat="1" ht="12.75" x14ac:dyDescent="0.2">
      <c r="R3989" s="1288"/>
    </row>
    <row r="3990" spans="18:18" s="2" customFormat="1" ht="12.75" x14ac:dyDescent="0.2">
      <c r="R3990" s="1288"/>
    </row>
    <row r="3991" spans="18:18" s="2" customFormat="1" ht="12.75" x14ac:dyDescent="0.2">
      <c r="R3991" s="1288"/>
    </row>
    <row r="3992" spans="18:18" s="2" customFormat="1" ht="12.75" x14ac:dyDescent="0.2">
      <c r="R3992" s="1288"/>
    </row>
    <row r="3993" spans="18:18" s="2" customFormat="1" ht="12.75" x14ac:dyDescent="0.2">
      <c r="R3993" s="1288"/>
    </row>
    <row r="3994" spans="18:18" s="2" customFormat="1" ht="12.75" x14ac:dyDescent="0.2">
      <c r="R3994" s="1288"/>
    </row>
    <row r="3995" spans="18:18" s="2" customFormat="1" ht="12.75" x14ac:dyDescent="0.2">
      <c r="R3995" s="1288"/>
    </row>
    <row r="3996" spans="18:18" s="2" customFormat="1" ht="12.75" x14ac:dyDescent="0.2">
      <c r="R3996" s="1288"/>
    </row>
    <row r="3997" spans="18:18" s="2" customFormat="1" ht="12.75" x14ac:dyDescent="0.2">
      <c r="R3997" s="1288"/>
    </row>
    <row r="3998" spans="18:18" s="2" customFormat="1" ht="12.75" x14ac:dyDescent="0.2">
      <c r="R3998" s="1288"/>
    </row>
    <row r="3999" spans="18:18" s="2" customFormat="1" ht="12.75" x14ac:dyDescent="0.2">
      <c r="R3999" s="1288"/>
    </row>
    <row r="4000" spans="18:18" s="2" customFormat="1" ht="12.75" x14ac:dyDescent="0.2">
      <c r="R4000" s="1288"/>
    </row>
    <row r="4001" spans="18:18" s="2" customFormat="1" ht="12.75" x14ac:dyDescent="0.2">
      <c r="R4001" s="1288"/>
    </row>
    <row r="4002" spans="18:18" s="2" customFormat="1" ht="12.75" x14ac:dyDescent="0.2">
      <c r="R4002" s="1288"/>
    </row>
    <row r="4003" spans="18:18" s="2" customFormat="1" ht="12.75" x14ac:dyDescent="0.2">
      <c r="R4003" s="1288"/>
    </row>
    <row r="4004" spans="18:18" s="2" customFormat="1" ht="12.75" x14ac:dyDescent="0.2">
      <c r="R4004" s="1288"/>
    </row>
    <row r="4005" spans="18:18" s="2" customFormat="1" ht="12.75" x14ac:dyDescent="0.2">
      <c r="R4005" s="1288"/>
    </row>
    <row r="4006" spans="18:18" s="2" customFormat="1" ht="12.75" x14ac:dyDescent="0.2">
      <c r="R4006" s="1288"/>
    </row>
    <row r="4007" spans="18:18" s="2" customFormat="1" ht="12.75" x14ac:dyDescent="0.2">
      <c r="R4007" s="1288"/>
    </row>
    <row r="4008" spans="18:18" s="2" customFormat="1" ht="12.75" x14ac:dyDescent="0.2">
      <c r="R4008" s="1288"/>
    </row>
    <row r="4009" spans="18:18" s="2" customFormat="1" ht="12.75" x14ac:dyDescent="0.2">
      <c r="R4009" s="1288"/>
    </row>
    <row r="4010" spans="18:18" s="2" customFormat="1" ht="12.75" x14ac:dyDescent="0.2">
      <c r="R4010" s="1288"/>
    </row>
    <row r="4011" spans="18:18" s="2" customFormat="1" ht="12.75" x14ac:dyDescent="0.2">
      <c r="R4011" s="1288"/>
    </row>
    <row r="4012" spans="18:18" s="2" customFormat="1" ht="12.75" x14ac:dyDescent="0.2">
      <c r="R4012" s="1288"/>
    </row>
    <row r="4013" spans="18:18" s="2" customFormat="1" ht="12.75" x14ac:dyDescent="0.2">
      <c r="R4013" s="1288"/>
    </row>
    <row r="4014" spans="18:18" s="2" customFormat="1" ht="12.75" x14ac:dyDescent="0.2">
      <c r="R4014" s="1288"/>
    </row>
    <row r="4015" spans="18:18" s="2" customFormat="1" ht="12.75" x14ac:dyDescent="0.2">
      <c r="R4015" s="1288"/>
    </row>
    <row r="4016" spans="18:18" s="2" customFormat="1" ht="12.75" x14ac:dyDescent="0.2">
      <c r="R4016" s="1288"/>
    </row>
    <row r="4017" spans="18:18" s="2" customFormat="1" ht="12.75" x14ac:dyDescent="0.2">
      <c r="R4017" s="1288"/>
    </row>
    <row r="4018" spans="18:18" s="2" customFormat="1" ht="12.75" x14ac:dyDescent="0.2">
      <c r="R4018" s="1288"/>
    </row>
    <row r="4019" spans="18:18" s="2" customFormat="1" ht="12.75" x14ac:dyDescent="0.2">
      <c r="R4019" s="1288"/>
    </row>
    <row r="4020" spans="18:18" s="2" customFormat="1" ht="12.75" x14ac:dyDescent="0.2">
      <c r="R4020" s="1288"/>
    </row>
    <row r="4021" spans="18:18" s="2" customFormat="1" ht="12.75" x14ac:dyDescent="0.2">
      <c r="R4021" s="1288"/>
    </row>
    <row r="4022" spans="18:18" s="2" customFormat="1" ht="12.75" x14ac:dyDescent="0.2">
      <c r="R4022" s="1288"/>
    </row>
    <row r="4023" spans="18:18" s="2" customFormat="1" ht="12.75" x14ac:dyDescent="0.2">
      <c r="R4023" s="1288"/>
    </row>
    <row r="4024" spans="18:18" s="2" customFormat="1" ht="12.75" x14ac:dyDescent="0.2">
      <c r="R4024" s="1288"/>
    </row>
    <row r="4025" spans="18:18" s="2" customFormat="1" ht="12.75" x14ac:dyDescent="0.2">
      <c r="R4025" s="1288"/>
    </row>
    <row r="4026" spans="18:18" s="2" customFormat="1" ht="12.75" x14ac:dyDescent="0.2">
      <c r="R4026" s="1288"/>
    </row>
    <row r="4027" spans="18:18" s="2" customFormat="1" ht="12.75" x14ac:dyDescent="0.2">
      <c r="R4027" s="1288"/>
    </row>
    <row r="4028" spans="18:18" s="2" customFormat="1" ht="12.75" x14ac:dyDescent="0.2">
      <c r="R4028" s="1288"/>
    </row>
    <row r="4029" spans="18:18" s="2" customFormat="1" ht="12.75" x14ac:dyDescent="0.2">
      <c r="R4029" s="1288"/>
    </row>
    <row r="4030" spans="18:18" s="2" customFormat="1" ht="12.75" x14ac:dyDescent="0.2">
      <c r="R4030" s="1288"/>
    </row>
    <row r="4031" spans="18:18" s="2" customFormat="1" ht="12.75" x14ac:dyDescent="0.2">
      <c r="R4031" s="1288"/>
    </row>
    <row r="4032" spans="18:18" s="2" customFormat="1" ht="12.75" x14ac:dyDescent="0.2">
      <c r="R4032" s="1288"/>
    </row>
    <row r="4033" spans="18:18" s="2" customFormat="1" ht="12.75" x14ac:dyDescent="0.2">
      <c r="R4033" s="1288"/>
    </row>
    <row r="4034" spans="18:18" s="2" customFormat="1" ht="12.75" x14ac:dyDescent="0.2">
      <c r="R4034" s="1288"/>
    </row>
    <row r="4035" spans="18:18" s="2" customFormat="1" ht="12.75" x14ac:dyDescent="0.2">
      <c r="R4035" s="1288"/>
    </row>
    <row r="4036" spans="18:18" s="2" customFormat="1" ht="12.75" x14ac:dyDescent="0.2">
      <c r="R4036" s="1288"/>
    </row>
    <row r="4037" spans="18:18" s="2" customFormat="1" ht="12.75" x14ac:dyDescent="0.2">
      <c r="R4037" s="1288"/>
    </row>
    <row r="4038" spans="18:18" s="2" customFormat="1" ht="12.75" x14ac:dyDescent="0.2">
      <c r="R4038" s="1288"/>
    </row>
    <row r="4039" spans="18:18" s="2" customFormat="1" ht="12.75" x14ac:dyDescent="0.2">
      <c r="R4039" s="1288"/>
    </row>
    <row r="4040" spans="18:18" s="2" customFormat="1" ht="12.75" x14ac:dyDescent="0.2">
      <c r="R4040" s="1288"/>
    </row>
    <row r="4041" spans="18:18" s="2" customFormat="1" ht="12.75" x14ac:dyDescent="0.2">
      <c r="R4041" s="1288"/>
    </row>
    <row r="4042" spans="18:18" s="2" customFormat="1" ht="12.75" x14ac:dyDescent="0.2">
      <c r="R4042" s="1288"/>
    </row>
    <row r="4043" spans="18:18" s="2" customFormat="1" ht="12.75" x14ac:dyDescent="0.2">
      <c r="R4043" s="1288"/>
    </row>
    <row r="4044" spans="18:18" s="2" customFormat="1" ht="12.75" x14ac:dyDescent="0.2">
      <c r="R4044" s="1288"/>
    </row>
    <row r="4045" spans="18:18" s="2" customFormat="1" ht="12.75" x14ac:dyDescent="0.2">
      <c r="R4045" s="1288"/>
    </row>
    <row r="4046" spans="18:18" s="2" customFormat="1" ht="12.75" x14ac:dyDescent="0.2">
      <c r="R4046" s="1288"/>
    </row>
    <row r="4047" spans="18:18" s="2" customFormat="1" ht="12.75" x14ac:dyDescent="0.2">
      <c r="R4047" s="1288"/>
    </row>
    <row r="4048" spans="18:18" s="2" customFormat="1" ht="12.75" x14ac:dyDescent="0.2">
      <c r="R4048" s="1288"/>
    </row>
    <row r="4049" spans="18:18" s="2" customFormat="1" ht="12.75" x14ac:dyDescent="0.2">
      <c r="R4049" s="1288"/>
    </row>
    <row r="4050" spans="18:18" s="2" customFormat="1" ht="12.75" x14ac:dyDescent="0.2">
      <c r="R4050" s="1288"/>
    </row>
    <row r="4051" spans="18:18" s="2" customFormat="1" ht="12.75" x14ac:dyDescent="0.2">
      <c r="R4051" s="1288"/>
    </row>
    <row r="4052" spans="18:18" s="2" customFormat="1" ht="12.75" x14ac:dyDescent="0.2">
      <c r="R4052" s="1288"/>
    </row>
    <row r="4053" spans="18:18" s="2" customFormat="1" ht="12.75" x14ac:dyDescent="0.2">
      <c r="R4053" s="1288"/>
    </row>
    <row r="4054" spans="18:18" s="2" customFormat="1" ht="12.75" x14ac:dyDescent="0.2">
      <c r="R4054" s="1288"/>
    </row>
    <row r="4055" spans="18:18" s="2" customFormat="1" ht="12.75" x14ac:dyDescent="0.2">
      <c r="R4055" s="1288"/>
    </row>
    <row r="4056" spans="18:18" s="2" customFormat="1" ht="12.75" x14ac:dyDescent="0.2">
      <c r="R4056" s="1288"/>
    </row>
    <row r="4057" spans="18:18" s="2" customFormat="1" ht="12.75" x14ac:dyDescent="0.2">
      <c r="R4057" s="1288"/>
    </row>
    <row r="4058" spans="18:18" s="2" customFormat="1" ht="12.75" x14ac:dyDescent="0.2">
      <c r="R4058" s="1288"/>
    </row>
    <row r="4059" spans="18:18" s="2" customFormat="1" ht="12.75" x14ac:dyDescent="0.2">
      <c r="R4059" s="1288"/>
    </row>
    <row r="4060" spans="18:18" s="2" customFormat="1" ht="12.75" x14ac:dyDescent="0.2">
      <c r="R4060" s="1288"/>
    </row>
    <row r="4061" spans="18:18" s="2" customFormat="1" ht="12.75" x14ac:dyDescent="0.2">
      <c r="R4061" s="1288"/>
    </row>
    <row r="4062" spans="18:18" s="2" customFormat="1" ht="12.75" x14ac:dyDescent="0.2">
      <c r="R4062" s="1288"/>
    </row>
    <row r="4063" spans="18:18" s="2" customFormat="1" ht="12.75" x14ac:dyDescent="0.2">
      <c r="R4063" s="1288"/>
    </row>
    <row r="4064" spans="18:18" s="2" customFormat="1" ht="12.75" x14ac:dyDescent="0.2">
      <c r="R4064" s="1288"/>
    </row>
    <row r="4065" spans="18:18" s="2" customFormat="1" ht="12.75" x14ac:dyDescent="0.2">
      <c r="R4065" s="1288"/>
    </row>
    <row r="4066" spans="18:18" s="2" customFormat="1" ht="12.75" x14ac:dyDescent="0.2">
      <c r="R4066" s="1288"/>
    </row>
    <row r="4067" spans="18:18" s="2" customFormat="1" ht="12.75" x14ac:dyDescent="0.2">
      <c r="R4067" s="1288"/>
    </row>
    <row r="4068" spans="18:18" s="2" customFormat="1" ht="12.75" x14ac:dyDescent="0.2">
      <c r="R4068" s="1288"/>
    </row>
    <row r="4069" spans="18:18" s="2" customFormat="1" ht="12.75" x14ac:dyDescent="0.2">
      <c r="R4069" s="1288"/>
    </row>
    <row r="4070" spans="18:18" s="2" customFormat="1" ht="12.75" x14ac:dyDescent="0.2">
      <c r="R4070" s="1288"/>
    </row>
    <row r="4071" spans="18:18" s="2" customFormat="1" ht="12.75" x14ac:dyDescent="0.2">
      <c r="R4071" s="1288"/>
    </row>
    <row r="4072" spans="18:18" s="2" customFormat="1" ht="12.75" x14ac:dyDescent="0.2">
      <c r="R4072" s="1288"/>
    </row>
    <row r="4073" spans="18:18" s="2" customFormat="1" ht="12.75" x14ac:dyDescent="0.2">
      <c r="R4073" s="1288"/>
    </row>
    <row r="4074" spans="18:18" s="2" customFormat="1" ht="12.75" x14ac:dyDescent="0.2">
      <c r="R4074" s="1288"/>
    </row>
    <row r="4075" spans="18:18" s="2" customFormat="1" ht="12.75" x14ac:dyDescent="0.2">
      <c r="R4075" s="1288"/>
    </row>
    <row r="4076" spans="18:18" s="2" customFormat="1" ht="12.75" x14ac:dyDescent="0.2">
      <c r="R4076" s="1288"/>
    </row>
    <row r="4077" spans="18:18" s="2" customFormat="1" ht="12.75" x14ac:dyDescent="0.2">
      <c r="R4077" s="1288"/>
    </row>
    <row r="4078" spans="18:18" s="2" customFormat="1" ht="12.75" x14ac:dyDescent="0.2">
      <c r="R4078" s="1288"/>
    </row>
    <row r="4079" spans="18:18" s="2" customFormat="1" ht="12.75" x14ac:dyDescent="0.2">
      <c r="R4079" s="1288"/>
    </row>
    <row r="4080" spans="18:18" s="2" customFormat="1" ht="12.75" x14ac:dyDescent="0.2">
      <c r="R4080" s="1288"/>
    </row>
    <row r="4081" spans="18:18" s="2" customFormat="1" ht="12.75" x14ac:dyDescent="0.2">
      <c r="R4081" s="1288"/>
    </row>
    <row r="4082" spans="18:18" s="2" customFormat="1" ht="12.75" x14ac:dyDescent="0.2">
      <c r="R4082" s="1288"/>
    </row>
    <row r="4083" spans="18:18" s="2" customFormat="1" ht="12.75" x14ac:dyDescent="0.2">
      <c r="R4083" s="1288"/>
    </row>
    <row r="4084" spans="18:18" s="2" customFormat="1" ht="12.75" x14ac:dyDescent="0.2">
      <c r="R4084" s="1288"/>
    </row>
    <row r="4085" spans="18:18" s="2" customFormat="1" ht="12.75" x14ac:dyDescent="0.2">
      <c r="R4085" s="1288"/>
    </row>
    <row r="4086" spans="18:18" s="2" customFormat="1" ht="12.75" x14ac:dyDescent="0.2">
      <c r="R4086" s="1288"/>
    </row>
    <row r="4087" spans="18:18" s="2" customFormat="1" ht="12.75" x14ac:dyDescent="0.2">
      <c r="R4087" s="1288"/>
    </row>
    <row r="4088" spans="18:18" s="2" customFormat="1" ht="12.75" x14ac:dyDescent="0.2">
      <c r="R4088" s="1288"/>
    </row>
    <row r="4089" spans="18:18" s="2" customFormat="1" ht="12.75" x14ac:dyDescent="0.2">
      <c r="R4089" s="1288"/>
    </row>
    <row r="4090" spans="18:18" s="2" customFormat="1" ht="12.75" x14ac:dyDescent="0.2">
      <c r="R4090" s="1288"/>
    </row>
    <row r="4091" spans="18:18" s="2" customFormat="1" ht="12.75" x14ac:dyDescent="0.2">
      <c r="R4091" s="1288"/>
    </row>
    <row r="4092" spans="18:18" s="2" customFormat="1" ht="12.75" x14ac:dyDescent="0.2">
      <c r="R4092" s="1288"/>
    </row>
    <row r="4093" spans="18:18" s="2" customFormat="1" ht="12.75" x14ac:dyDescent="0.2">
      <c r="R4093" s="1288"/>
    </row>
    <row r="4094" spans="18:18" s="2" customFormat="1" ht="12.75" x14ac:dyDescent="0.2">
      <c r="R4094" s="1288"/>
    </row>
    <row r="4095" spans="18:18" s="2" customFormat="1" ht="12.75" x14ac:dyDescent="0.2">
      <c r="R4095" s="1288"/>
    </row>
    <row r="4096" spans="18:18" s="2" customFormat="1" ht="12.75" x14ac:dyDescent="0.2">
      <c r="R4096" s="1288"/>
    </row>
    <row r="4097" spans="18:18" s="2" customFormat="1" ht="12.75" x14ac:dyDescent="0.2">
      <c r="R4097" s="1288"/>
    </row>
    <row r="4098" spans="18:18" s="2" customFormat="1" ht="12.75" x14ac:dyDescent="0.2">
      <c r="R4098" s="1288"/>
    </row>
    <row r="4099" spans="18:18" s="2" customFormat="1" ht="12.75" x14ac:dyDescent="0.2">
      <c r="R4099" s="1288"/>
    </row>
    <row r="4100" spans="18:18" s="2" customFormat="1" ht="12.75" x14ac:dyDescent="0.2">
      <c r="R4100" s="1288"/>
    </row>
    <row r="4101" spans="18:18" s="2" customFormat="1" ht="12.75" x14ac:dyDescent="0.2">
      <c r="R4101" s="1288"/>
    </row>
    <row r="4102" spans="18:18" s="2" customFormat="1" ht="12.75" x14ac:dyDescent="0.2">
      <c r="R4102" s="1288"/>
    </row>
    <row r="4103" spans="18:18" s="2" customFormat="1" ht="12.75" x14ac:dyDescent="0.2">
      <c r="R4103" s="1288"/>
    </row>
    <row r="4104" spans="18:18" s="2" customFormat="1" ht="12.75" x14ac:dyDescent="0.2">
      <c r="R4104" s="1288"/>
    </row>
    <row r="4105" spans="18:18" s="2" customFormat="1" ht="12.75" x14ac:dyDescent="0.2">
      <c r="R4105" s="1288"/>
    </row>
    <row r="4106" spans="18:18" s="2" customFormat="1" ht="12.75" x14ac:dyDescent="0.2">
      <c r="R4106" s="1288"/>
    </row>
    <row r="4107" spans="18:18" s="2" customFormat="1" ht="12.75" x14ac:dyDescent="0.2">
      <c r="R4107" s="1288"/>
    </row>
    <row r="4108" spans="18:18" s="2" customFormat="1" ht="12.75" x14ac:dyDescent="0.2">
      <c r="R4108" s="1288"/>
    </row>
    <row r="4109" spans="18:18" s="2" customFormat="1" ht="12.75" x14ac:dyDescent="0.2">
      <c r="R4109" s="1288"/>
    </row>
    <row r="4110" spans="18:18" s="2" customFormat="1" ht="12.75" x14ac:dyDescent="0.2">
      <c r="R4110" s="1288"/>
    </row>
    <row r="4111" spans="18:18" s="2" customFormat="1" ht="12.75" x14ac:dyDescent="0.2">
      <c r="R4111" s="1288"/>
    </row>
    <row r="4112" spans="18:18" s="2" customFormat="1" ht="12.75" x14ac:dyDescent="0.2">
      <c r="R4112" s="1288"/>
    </row>
    <row r="4113" spans="18:18" s="2" customFormat="1" ht="12.75" x14ac:dyDescent="0.2">
      <c r="R4113" s="1288"/>
    </row>
    <row r="4114" spans="18:18" s="2" customFormat="1" ht="12.75" x14ac:dyDescent="0.2">
      <c r="R4114" s="1288"/>
    </row>
    <row r="4115" spans="18:18" s="2" customFormat="1" ht="12.75" x14ac:dyDescent="0.2">
      <c r="R4115" s="1288"/>
    </row>
    <row r="4116" spans="18:18" s="2" customFormat="1" ht="12.75" x14ac:dyDescent="0.2">
      <c r="R4116" s="1288"/>
    </row>
    <row r="4117" spans="18:18" s="2" customFormat="1" ht="12.75" x14ac:dyDescent="0.2">
      <c r="R4117" s="1288"/>
    </row>
    <row r="4118" spans="18:18" s="2" customFormat="1" ht="12.75" x14ac:dyDescent="0.2">
      <c r="R4118" s="1288"/>
    </row>
    <row r="4119" spans="18:18" s="2" customFormat="1" ht="12.75" x14ac:dyDescent="0.2">
      <c r="R4119" s="1288"/>
    </row>
    <row r="4120" spans="18:18" s="2" customFormat="1" ht="12.75" x14ac:dyDescent="0.2">
      <c r="R4120" s="1288"/>
    </row>
    <row r="4121" spans="18:18" s="2" customFormat="1" ht="12.75" x14ac:dyDescent="0.2">
      <c r="R4121" s="1288"/>
    </row>
    <row r="4122" spans="18:18" s="2" customFormat="1" ht="12.75" x14ac:dyDescent="0.2">
      <c r="R4122" s="1288"/>
    </row>
    <row r="4123" spans="18:18" s="2" customFormat="1" ht="12.75" x14ac:dyDescent="0.2">
      <c r="R4123" s="1288"/>
    </row>
    <row r="4124" spans="18:18" s="2" customFormat="1" ht="12.75" x14ac:dyDescent="0.2">
      <c r="R4124" s="1288"/>
    </row>
    <row r="4125" spans="18:18" s="2" customFormat="1" ht="12.75" x14ac:dyDescent="0.2">
      <c r="R4125" s="1288"/>
    </row>
    <row r="4126" spans="18:18" s="2" customFormat="1" ht="12.75" x14ac:dyDescent="0.2">
      <c r="R4126" s="1288"/>
    </row>
    <row r="4127" spans="18:18" s="2" customFormat="1" ht="12.75" x14ac:dyDescent="0.2">
      <c r="R4127" s="1288"/>
    </row>
    <row r="4128" spans="18:18" s="2" customFormat="1" ht="12.75" x14ac:dyDescent="0.2">
      <c r="R4128" s="1288"/>
    </row>
    <row r="4129" spans="18:18" s="2" customFormat="1" ht="12.75" x14ac:dyDescent="0.2">
      <c r="R4129" s="1288"/>
    </row>
    <row r="4130" spans="18:18" s="2" customFormat="1" ht="12.75" x14ac:dyDescent="0.2">
      <c r="R4130" s="1288"/>
    </row>
    <row r="4131" spans="18:18" s="2" customFormat="1" ht="12.75" x14ac:dyDescent="0.2">
      <c r="R4131" s="1288"/>
    </row>
    <row r="4132" spans="18:18" s="2" customFormat="1" ht="12.75" x14ac:dyDescent="0.2">
      <c r="R4132" s="1288"/>
    </row>
    <row r="4133" spans="18:18" s="2" customFormat="1" ht="12.75" x14ac:dyDescent="0.2">
      <c r="R4133" s="1288"/>
    </row>
    <row r="4134" spans="18:18" s="2" customFormat="1" ht="12.75" x14ac:dyDescent="0.2">
      <c r="R4134" s="1288"/>
    </row>
    <row r="4135" spans="18:18" s="2" customFormat="1" ht="12.75" x14ac:dyDescent="0.2">
      <c r="R4135" s="1288"/>
    </row>
    <row r="4136" spans="18:18" s="2" customFormat="1" ht="12.75" x14ac:dyDescent="0.2">
      <c r="R4136" s="1288"/>
    </row>
    <row r="4137" spans="18:18" s="2" customFormat="1" ht="12.75" x14ac:dyDescent="0.2">
      <c r="R4137" s="1288"/>
    </row>
    <row r="4138" spans="18:18" s="2" customFormat="1" ht="12.75" x14ac:dyDescent="0.2">
      <c r="R4138" s="1288"/>
    </row>
    <row r="4139" spans="18:18" s="2" customFormat="1" ht="12.75" x14ac:dyDescent="0.2">
      <c r="R4139" s="1288"/>
    </row>
    <row r="4140" spans="18:18" s="2" customFormat="1" ht="12.75" x14ac:dyDescent="0.2">
      <c r="R4140" s="1288"/>
    </row>
    <row r="4141" spans="18:18" s="2" customFormat="1" ht="12.75" x14ac:dyDescent="0.2">
      <c r="R4141" s="1288"/>
    </row>
    <row r="4142" spans="18:18" s="2" customFormat="1" ht="12.75" x14ac:dyDescent="0.2">
      <c r="R4142" s="1288"/>
    </row>
    <row r="4143" spans="18:18" s="2" customFormat="1" ht="12.75" x14ac:dyDescent="0.2">
      <c r="R4143" s="1288"/>
    </row>
    <row r="4144" spans="18:18" s="2" customFormat="1" ht="12.75" x14ac:dyDescent="0.2">
      <c r="R4144" s="1288"/>
    </row>
    <row r="4145" spans="18:18" s="2" customFormat="1" ht="12.75" x14ac:dyDescent="0.2">
      <c r="R4145" s="1288"/>
    </row>
    <row r="4146" spans="18:18" s="2" customFormat="1" ht="12.75" x14ac:dyDescent="0.2">
      <c r="R4146" s="1288"/>
    </row>
    <row r="4147" spans="18:18" s="2" customFormat="1" ht="12.75" x14ac:dyDescent="0.2">
      <c r="R4147" s="1288"/>
    </row>
    <row r="4148" spans="18:18" s="2" customFormat="1" ht="12.75" x14ac:dyDescent="0.2">
      <c r="R4148" s="1288"/>
    </row>
    <row r="4149" spans="18:18" s="2" customFormat="1" ht="12.75" x14ac:dyDescent="0.2">
      <c r="R4149" s="1288"/>
    </row>
    <row r="4150" spans="18:18" s="2" customFormat="1" ht="12.75" x14ac:dyDescent="0.2">
      <c r="R4150" s="1288"/>
    </row>
    <row r="4151" spans="18:18" s="2" customFormat="1" ht="12.75" x14ac:dyDescent="0.2">
      <c r="R4151" s="1288"/>
    </row>
    <row r="4152" spans="18:18" s="2" customFormat="1" ht="12.75" x14ac:dyDescent="0.2">
      <c r="R4152" s="1288"/>
    </row>
    <row r="4153" spans="18:18" s="2" customFormat="1" ht="12.75" x14ac:dyDescent="0.2">
      <c r="R4153" s="1288"/>
    </row>
    <row r="4154" spans="18:18" s="2" customFormat="1" ht="12.75" x14ac:dyDescent="0.2">
      <c r="R4154" s="1288"/>
    </row>
    <row r="4155" spans="18:18" s="2" customFormat="1" ht="12.75" x14ac:dyDescent="0.2">
      <c r="R4155" s="1288"/>
    </row>
    <row r="4156" spans="18:18" s="2" customFormat="1" ht="12.75" x14ac:dyDescent="0.2">
      <c r="R4156" s="1288"/>
    </row>
    <row r="4157" spans="18:18" s="2" customFormat="1" ht="12.75" x14ac:dyDescent="0.2">
      <c r="R4157" s="1288"/>
    </row>
    <row r="4158" spans="18:18" s="2" customFormat="1" ht="12.75" x14ac:dyDescent="0.2">
      <c r="R4158" s="1288"/>
    </row>
    <row r="4159" spans="18:18" s="2" customFormat="1" ht="12.75" x14ac:dyDescent="0.2">
      <c r="R4159" s="1288"/>
    </row>
    <row r="4160" spans="18:18" s="2" customFormat="1" ht="12.75" x14ac:dyDescent="0.2">
      <c r="R4160" s="1288"/>
    </row>
    <row r="4161" spans="18:18" s="2" customFormat="1" ht="12.75" x14ac:dyDescent="0.2">
      <c r="R4161" s="1288"/>
    </row>
    <row r="4162" spans="18:18" s="2" customFormat="1" ht="12.75" x14ac:dyDescent="0.2">
      <c r="R4162" s="1288"/>
    </row>
    <row r="4163" spans="18:18" s="2" customFormat="1" ht="12.75" x14ac:dyDescent="0.2">
      <c r="R4163" s="1288"/>
    </row>
    <row r="4164" spans="18:18" s="2" customFormat="1" ht="12.75" x14ac:dyDescent="0.2">
      <c r="R4164" s="1288"/>
    </row>
    <row r="4165" spans="18:18" s="2" customFormat="1" ht="12.75" x14ac:dyDescent="0.2">
      <c r="R4165" s="1288"/>
    </row>
    <row r="4166" spans="18:18" s="2" customFormat="1" ht="12.75" x14ac:dyDescent="0.2">
      <c r="R4166" s="1288"/>
    </row>
    <row r="4167" spans="18:18" s="2" customFormat="1" ht="12.75" x14ac:dyDescent="0.2">
      <c r="R4167" s="1288"/>
    </row>
    <row r="4168" spans="18:18" s="2" customFormat="1" ht="12.75" x14ac:dyDescent="0.2">
      <c r="R4168" s="1288"/>
    </row>
    <row r="4169" spans="18:18" s="2" customFormat="1" ht="12.75" x14ac:dyDescent="0.2">
      <c r="R4169" s="1288"/>
    </row>
    <row r="4170" spans="18:18" s="2" customFormat="1" ht="12.75" x14ac:dyDescent="0.2">
      <c r="R4170" s="1288"/>
    </row>
    <row r="4171" spans="18:18" s="2" customFormat="1" ht="12.75" x14ac:dyDescent="0.2">
      <c r="R4171" s="1288"/>
    </row>
    <row r="4172" spans="18:18" s="2" customFormat="1" ht="12.75" x14ac:dyDescent="0.2">
      <c r="R4172" s="1288"/>
    </row>
    <row r="4173" spans="18:18" s="2" customFormat="1" ht="12.75" x14ac:dyDescent="0.2">
      <c r="R4173" s="1288"/>
    </row>
    <row r="4174" spans="18:18" s="2" customFormat="1" ht="12.75" x14ac:dyDescent="0.2">
      <c r="R4174" s="1288"/>
    </row>
    <row r="4175" spans="18:18" s="2" customFormat="1" ht="12.75" x14ac:dyDescent="0.2">
      <c r="R4175" s="1288"/>
    </row>
    <row r="4176" spans="18:18" s="2" customFormat="1" ht="12.75" x14ac:dyDescent="0.2">
      <c r="R4176" s="1288"/>
    </row>
    <row r="4177" spans="18:18" s="2" customFormat="1" ht="12.75" x14ac:dyDescent="0.2">
      <c r="R4177" s="1288"/>
    </row>
    <row r="4178" spans="18:18" s="2" customFormat="1" ht="12.75" x14ac:dyDescent="0.2">
      <c r="R4178" s="1288"/>
    </row>
    <row r="4179" spans="18:18" s="2" customFormat="1" ht="12.75" x14ac:dyDescent="0.2">
      <c r="R4179" s="1288"/>
    </row>
    <row r="4180" spans="18:18" s="2" customFormat="1" ht="12.75" x14ac:dyDescent="0.2">
      <c r="R4180" s="1288"/>
    </row>
    <row r="4181" spans="18:18" s="2" customFormat="1" ht="12.75" x14ac:dyDescent="0.2">
      <c r="R4181" s="1288"/>
    </row>
    <row r="4182" spans="18:18" s="2" customFormat="1" ht="12.75" x14ac:dyDescent="0.2">
      <c r="R4182" s="1288"/>
    </row>
    <row r="4183" spans="18:18" s="2" customFormat="1" ht="12.75" x14ac:dyDescent="0.2">
      <c r="R4183" s="1288"/>
    </row>
    <row r="4184" spans="18:18" s="2" customFormat="1" ht="12.75" x14ac:dyDescent="0.2">
      <c r="R4184" s="1288"/>
    </row>
    <row r="4185" spans="18:18" s="2" customFormat="1" ht="12.75" x14ac:dyDescent="0.2">
      <c r="R4185" s="1288"/>
    </row>
    <row r="4186" spans="18:18" s="2" customFormat="1" ht="12.75" x14ac:dyDescent="0.2">
      <c r="R4186" s="1288"/>
    </row>
    <row r="4187" spans="18:18" s="2" customFormat="1" ht="12.75" x14ac:dyDescent="0.2">
      <c r="R4187" s="1288"/>
    </row>
    <row r="4188" spans="18:18" s="2" customFormat="1" ht="12.75" x14ac:dyDescent="0.2">
      <c r="R4188" s="1288"/>
    </row>
    <row r="4189" spans="18:18" s="2" customFormat="1" ht="12.75" x14ac:dyDescent="0.2">
      <c r="R4189" s="1288"/>
    </row>
    <row r="4190" spans="18:18" s="2" customFormat="1" ht="12.75" x14ac:dyDescent="0.2">
      <c r="R4190" s="1288"/>
    </row>
    <row r="4191" spans="18:18" s="2" customFormat="1" ht="12.75" x14ac:dyDescent="0.2">
      <c r="R4191" s="1288"/>
    </row>
    <row r="4192" spans="18:18" s="2" customFormat="1" ht="12.75" x14ac:dyDescent="0.2">
      <c r="R4192" s="1288"/>
    </row>
    <row r="4193" spans="18:18" s="2" customFormat="1" ht="12.75" x14ac:dyDescent="0.2">
      <c r="R4193" s="1288"/>
    </row>
    <row r="4194" spans="18:18" s="2" customFormat="1" ht="12.75" x14ac:dyDescent="0.2">
      <c r="R4194" s="1288"/>
    </row>
    <row r="4195" spans="18:18" s="2" customFormat="1" ht="12.75" x14ac:dyDescent="0.2">
      <c r="R4195" s="1288"/>
    </row>
    <row r="4196" spans="18:18" s="2" customFormat="1" ht="12.75" x14ac:dyDescent="0.2">
      <c r="R4196" s="1288"/>
    </row>
    <row r="4197" spans="18:18" s="2" customFormat="1" ht="12.75" x14ac:dyDescent="0.2">
      <c r="R4197" s="1288"/>
    </row>
    <row r="4198" spans="18:18" s="2" customFormat="1" ht="12.75" x14ac:dyDescent="0.2">
      <c r="R4198" s="1288"/>
    </row>
    <row r="4199" spans="18:18" s="2" customFormat="1" ht="12.75" x14ac:dyDescent="0.2">
      <c r="R4199" s="1288"/>
    </row>
    <row r="4200" spans="18:18" s="2" customFormat="1" ht="12.75" x14ac:dyDescent="0.2">
      <c r="R4200" s="1288"/>
    </row>
    <row r="4201" spans="18:18" s="2" customFormat="1" ht="12.75" x14ac:dyDescent="0.2">
      <c r="R4201" s="1288"/>
    </row>
    <row r="4202" spans="18:18" s="2" customFormat="1" ht="12.75" x14ac:dyDescent="0.2">
      <c r="R4202" s="1288"/>
    </row>
    <row r="4203" spans="18:18" s="2" customFormat="1" ht="12.75" x14ac:dyDescent="0.2">
      <c r="R4203" s="1288"/>
    </row>
    <row r="4204" spans="18:18" s="2" customFormat="1" ht="12.75" x14ac:dyDescent="0.2">
      <c r="R4204" s="1288"/>
    </row>
    <row r="4205" spans="18:18" s="2" customFormat="1" ht="12.75" x14ac:dyDescent="0.2">
      <c r="R4205" s="1288"/>
    </row>
    <row r="4206" spans="18:18" s="2" customFormat="1" ht="12.75" x14ac:dyDescent="0.2">
      <c r="R4206" s="1288"/>
    </row>
    <row r="4207" spans="18:18" s="2" customFormat="1" ht="12.75" x14ac:dyDescent="0.2">
      <c r="R4207" s="1288"/>
    </row>
    <row r="4208" spans="18:18" s="2" customFormat="1" ht="12.75" x14ac:dyDescent="0.2">
      <c r="R4208" s="1288"/>
    </row>
    <row r="4209" spans="18:18" s="2" customFormat="1" ht="12.75" x14ac:dyDescent="0.2">
      <c r="R4209" s="1288"/>
    </row>
    <row r="4210" spans="18:18" s="2" customFormat="1" ht="12.75" x14ac:dyDescent="0.2">
      <c r="R4210" s="1288"/>
    </row>
    <row r="4211" spans="18:18" s="2" customFormat="1" ht="12.75" x14ac:dyDescent="0.2">
      <c r="R4211" s="1288"/>
    </row>
    <row r="4212" spans="18:18" s="2" customFormat="1" ht="12.75" x14ac:dyDescent="0.2">
      <c r="R4212" s="1288"/>
    </row>
    <row r="4213" spans="18:18" s="2" customFormat="1" ht="12.75" x14ac:dyDescent="0.2">
      <c r="R4213" s="1288"/>
    </row>
    <row r="4214" spans="18:18" s="2" customFormat="1" ht="12.75" x14ac:dyDescent="0.2">
      <c r="R4214" s="1288"/>
    </row>
    <row r="4215" spans="18:18" s="2" customFormat="1" ht="12.75" x14ac:dyDescent="0.2">
      <c r="R4215" s="1288"/>
    </row>
    <row r="4216" spans="18:18" s="2" customFormat="1" ht="12.75" x14ac:dyDescent="0.2">
      <c r="R4216" s="1288"/>
    </row>
    <row r="4217" spans="18:18" s="2" customFormat="1" ht="12.75" x14ac:dyDescent="0.2">
      <c r="R4217" s="1288"/>
    </row>
    <row r="4218" spans="18:18" s="2" customFormat="1" ht="12.75" x14ac:dyDescent="0.2">
      <c r="R4218" s="1288"/>
    </row>
    <row r="4219" spans="18:18" s="2" customFormat="1" ht="12.75" x14ac:dyDescent="0.2">
      <c r="R4219" s="1288"/>
    </row>
    <row r="4220" spans="18:18" s="2" customFormat="1" ht="12.75" x14ac:dyDescent="0.2">
      <c r="R4220" s="1288"/>
    </row>
    <row r="4221" spans="18:18" s="2" customFormat="1" ht="12.75" x14ac:dyDescent="0.2">
      <c r="R4221" s="1288"/>
    </row>
    <row r="4222" spans="18:18" s="2" customFormat="1" ht="12.75" x14ac:dyDescent="0.2">
      <c r="R4222" s="1288"/>
    </row>
    <row r="4223" spans="18:18" s="2" customFormat="1" ht="12.75" x14ac:dyDescent="0.2">
      <c r="R4223" s="1288"/>
    </row>
    <row r="4224" spans="18:18" s="2" customFormat="1" ht="12.75" x14ac:dyDescent="0.2">
      <c r="R4224" s="1288"/>
    </row>
    <row r="4225" spans="18:18" s="2" customFormat="1" ht="12.75" x14ac:dyDescent="0.2">
      <c r="R4225" s="1288"/>
    </row>
    <row r="4226" spans="18:18" s="2" customFormat="1" ht="12.75" x14ac:dyDescent="0.2">
      <c r="R4226" s="1288"/>
    </row>
    <row r="4227" spans="18:18" s="2" customFormat="1" ht="12.75" x14ac:dyDescent="0.2">
      <c r="R4227" s="1288"/>
    </row>
    <row r="4228" spans="18:18" s="2" customFormat="1" ht="12.75" x14ac:dyDescent="0.2">
      <c r="R4228" s="1288"/>
    </row>
    <row r="4229" spans="18:18" s="2" customFormat="1" ht="12.75" x14ac:dyDescent="0.2">
      <c r="R4229" s="1288"/>
    </row>
    <row r="4230" spans="18:18" s="2" customFormat="1" ht="12.75" x14ac:dyDescent="0.2">
      <c r="R4230" s="1288"/>
    </row>
    <row r="4231" spans="18:18" s="2" customFormat="1" ht="12.75" x14ac:dyDescent="0.2">
      <c r="R4231" s="1288"/>
    </row>
    <row r="4232" spans="18:18" s="2" customFormat="1" ht="12.75" x14ac:dyDescent="0.2">
      <c r="R4232" s="1288"/>
    </row>
    <row r="4233" spans="18:18" s="2" customFormat="1" ht="12.75" x14ac:dyDescent="0.2">
      <c r="R4233" s="1288"/>
    </row>
    <row r="4234" spans="18:18" s="2" customFormat="1" ht="12.75" x14ac:dyDescent="0.2">
      <c r="R4234" s="1288"/>
    </row>
    <row r="4235" spans="18:18" s="2" customFormat="1" ht="12.75" x14ac:dyDescent="0.2">
      <c r="R4235" s="1288"/>
    </row>
    <row r="4236" spans="18:18" s="2" customFormat="1" ht="12.75" x14ac:dyDescent="0.2">
      <c r="R4236" s="1288"/>
    </row>
    <row r="4237" spans="18:18" s="2" customFormat="1" ht="12.75" x14ac:dyDescent="0.2">
      <c r="R4237" s="1288"/>
    </row>
    <row r="4238" spans="18:18" s="2" customFormat="1" ht="12.75" x14ac:dyDescent="0.2">
      <c r="R4238" s="1288"/>
    </row>
    <row r="4239" spans="18:18" s="2" customFormat="1" ht="12.75" x14ac:dyDescent="0.2">
      <c r="R4239" s="1288"/>
    </row>
    <row r="4240" spans="18:18" s="2" customFormat="1" ht="12.75" x14ac:dyDescent="0.2">
      <c r="R4240" s="1288"/>
    </row>
    <row r="4241" spans="18:18" s="2" customFormat="1" ht="12.75" x14ac:dyDescent="0.2">
      <c r="R4241" s="1288"/>
    </row>
    <row r="4242" spans="18:18" s="2" customFormat="1" ht="12.75" x14ac:dyDescent="0.2">
      <c r="R4242" s="1288"/>
    </row>
    <row r="4243" spans="18:18" s="2" customFormat="1" ht="12.75" x14ac:dyDescent="0.2">
      <c r="R4243" s="1288"/>
    </row>
    <row r="4244" spans="18:18" s="2" customFormat="1" ht="12.75" x14ac:dyDescent="0.2">
      <c r="R4244" s="1288"/>
    </row>
    <row r="4245" spans="18:18" s="2" customFormat="1" ht="12.75" x14ac:dyDescent="0.2">
      <c r="R4245" s="1288"/>
    </row>
    <row r="4246" spans="18:18" s="2" customFormat="1" ht="12.75" x14ac:dyDescent="0.2">
      <c r="R4246" s="1288"/>
    </row>
    <row r="4247" spans="18:18" s="2" customFormat="1" ht="12.75" x14ac:dyDescent="0.2">
      <c r="R4247" s="1288"/>
    </row>
    <row r="4248" spans="18:18" s="2" customFormat="1" ht="12.75" x14ac:dyDescent="0.2">
      <c r="R4248" s="1288"/>
    </row>
    <row r="4249" spans="18:18" s="2" customFormat="1" ht="12.75" x14ac:dyDescent="0.2">
      <c r="R4249" s="1288"/>
    </row>
    <row r="4250" spans="18:18" s="2" customFormat="1" ht="12.75" x14ac:dyDescent="0.2">
      <c r="R4250" s="1288"/>
    </row>
    <row r="4251" spans="18:18" s="2" customFormat="1" ht="12.75" x14ac:dyDescent="0.2">
      <c r="R4251" s="1288"/>
    </row>
    <row r="4252" spans="18:18" s="2" customFormat="1" ht="12.75" x14ac:dyDescent="0.2">
      <c r="R4252" s="1288"/>
    </row>
    <row r="4253" spans="18:18" s="2" customFormat="1" ht="12.75" x14ac:dyDescent="0.2">
      <c r="R4253" s="1288"/>
    </row>
    <row r="4254" spans="18:18" s="2" customFormat="1" ht="12.75" x14ac:dyDescent="0.2">
      <c r="R4254" s="1288"/>
    </row>
    <row r="4255" spans="18:18" s="2" customFormat="1" ht="12.75" x14ac:dyDescent="0.2">
      <c r="R4255" s="1288"/>
    </row>
    <row r="4256" spans="18:18" s="2" customFormat="1" ht="12.75" x14ac:dyDescent="0.2">
      <c r="R4256" s="1288"/>
    </row>
    <row r="4257" spans="18:18" s="2" customFormat="1" ht="12.75" x14ac:dyDescent="0.2">
      <c r="R4257" s="1288"/>
    </row>
    <row r="4258" spans="18:18" s="2" customFormat="1" ht="12.75" x14ac:dyDescent="0.2">
      <c r="R4258" s="1288"/>
    </row>
    <row r="4259" spans="18:18" s="2" customFormat="1" ht="12.75" x14ac:dyDescent="0.2">
      <c r="R4259" s="1288"/>
    </row>
    <row r="4260" spans="18:18" s="2" customFormat="1" ht="12.75" x14ac:dyDescent="0.2">
      <c r="R4260" s="1288"/>
    </row>
    <row r="4261" spans="18:18" s="2" customFormat="1" ht="12.75" x14ac:dyDescent="0.2">
      <c r="R4261" s="1288"/>
    </row>
    <row r="4262" spans="18:18" s="2" customFormat="1" ht="12.75" x14ac:dyDescent="0.2">
      <c r="R4262" s="1288"/>
    </row>
    <row r="4263" spans="18:18" s="2" customFormat="1" ht="12.75" x14ac:dyDescent="0.2">
      <c r="R4263" s="1288"/>
    </row>
    <row r="4264" spans="18:18" s="2" customFormat="1" ht="12.75" x14ac:dyDescent="0.2">
      <c r="R4264" s="1288"/>
    </row>
    <row r="4265" spans="18:18" s="2" customFormat="1" ht="12.75" x14ac:dyDescent="0.2">
      <c r="R4265" s="1288"/>
    </row>
    <row r="4266" spans="18:18" s="2" customFormat="1" ht="12.75" x14ac:dyDescent="0.2">
      <c r="R4266" s="1288"/>
    </row>
    <row r="4267" spans="18:18" s="2" customFormat="1" ht="12.75" x14ac:dyDescent="0.2">
      <c r="R4267" s="1288"/>
    </row>
    <row r="4268" spans="18:18" s="2" customFormat="1" ht="12.75" x14ac:dyDescent="0.2">
      <c r="R4268" s="1288"/>
    </row>
    <row r="4269" spans="18:18" s="2" customFormat="1" ht="12.75" x14ac:dyDescent="0.2">
      <c r="R4269" s="1288"/>
    </row>
    <row r="4270" spans="18:18" s="2" customFormat="1" ht="12.75" x14ac:dyDescent="0.2">
      <c r="R4270" s="1288"/>
    </row>
    <row r="4271" spans="18:18" s="2" customFormat="1" ht="12.75" x14ac:dyDescent="0.2">
      <c r="R4271" s="1288"/>
    </row>
    <row r="4272" spans="18:18" s="2" customFormat="1" ht="12.75" x14ac:dyDescent="0.2">
      <c r="R4272" s="1288"/>
    </row>
    <row r="4273" spans="18:18" s="2" customFormat="1" ht="12.75" x14ac:dyDescent="0.2">
      <c r="R4273" s="1288"/>
    </row>
    <row r="4274" spans="18:18" s="2" customFormat="1" ht="12.75" x14ac:dyDescent="0.2">
      <c r="R4274" s="1288"/>
    </row>
    <row r="4275" spans="18:18" s="2" customFormat="1" ht="12.75" x14ac:dyDescent="0.2">
      <c r="R4275" s="1288"/>
    </row>
    <row r="4276" spans="18:18" s="2" customFormat="1" ht="12.75" x14ac:dyDescent="0.2">
      <c r="R4276" s="1288"/>
    </row>
    <row r="4277" spans="18:18" s="2" customFormat="1" ht="12.75" x14ac:dyDescent="0.2">
      <c r="R4277" s="1288"/>
    </row>
    <row r="4278" spans="18:18" s="2" customFormat="1" ht="12.75" x14ac:dyDescent="0.2">
      <c r="R4278" s="1288"/>
    </row>
    <row r="4279" spans="18:18" s="2" customFormat="1" ht="12.75" x14ac:dyDescent="0.2">
      <c r="R4279" s="1288"/>
    </row>
    <row r="4280" spans="18:18" s="2" customFormat="1" ht="12.75" x14ac:dyDescent="0.2">
      <c r="R4280" s="1288"/>
    </row>
    <row r="4281" spans="18:18" s="2" customFormat="1" ht="12.75" x14ac:dyDescent="0.2">
      <c r="R4281" s="1288"/>
    </row>
    <row r="4282" spans="18:18" s="2" customFormat="1" ht="12.75" x14ac:dyDescent="0.2">
      <c r="R4282" s="1288"/>
    </row>
    <row r="4283" spans="18:18" s="2" customFormat="1" ht="12.75" x14ac:dyDescent="0.2">
      <c r="R4283" s="1288"/>
    </row>
    <row r="4284" spans="18:18" s="2" customFormat="1" ht="12.75" x14ac:dyDescent="0.2">
      <c r="R4284" s="1288"/>
    </row>
    <row r="4285" spans="18:18" s="2" customFormat="1" ht="12.75" x14ac:dyDescent="0.2">
      <c r="R4285" s="1288"/>
    </row>
    <row r="4286" spans="18:18" s="2" customFormat="1" ht="12.75" x14ac:dyDescent="0.2">
      <c r="R4286" s="1288"/>
    </row>
    <row r="4287" spans="18:18" s="2" customFormat="1" ht="12.75" x14ac:dyDescent="0.2">
      <c r="R4287" s="1288"/>
    </row>
    <row r="4288" spans="18:18" s="2" customFormat="1" ht="12.75" x14ac:dyDescent="0.2">
      <c r="R4288" s="1288"/>
    </row>
    <row r="4289" spans="18:18" s="2" customFormat="1" ht="12.75" x14ac:dyDescent="0.2">
      <c r="R4289" s="1288"/>
    </row>
    <row r="4290" spans="18:18" s="2" customFormat="1" ht="12.75" x14ac:dyDescent="0.2">
      <c r="R4290" s="1288"/>
    </row>
    <row r="4291" spans="18:18" s="2" customFormat="1" ht="12.75" x14ac:dyDescent="0.2">
      <c r="R4291" s="1288"/>
    </row>
    <row r="4292" spans="18:18" s="2" customFormat="1" ht="12.75" x14ac:dyDescent="0.2">
      <c r="R4292" s="1288"/>
    </row>
    <row r="4293" spans="18:18" s="2" customFormat="1" ht="12.75" x14ac:dyDescent="0.2">
      <c r="R4293" s="1288"/>
    </row>
    <row r="4294" spans="18:18" s="2" customFormat="1" ht="12.75" x14ac:dyDescent="0.2">
      <c r="R4294" s="1288"/>
    </row>
    <row r="4295" spans="18:18" s="2" customFormat="1" ht="12.75" x14ac:dyDescent="0.2">
      <c r="R4295" s="1288"/>
    </row>
    <row r="4296" spans="18:18" s="2" customFormat="1" ht="12.75" x14ac:dyDescent="0.2">
      <c r="R4296" s="1288"/>
    </row>
    <row r="4297" spans="18:18" s="2" customFormat="1" ht="12.75" x14ac:dyDescent="0.2">
      <c r="R4297" s="1288"/>
    </row>
    <row r="4298" spans="18:18" s="2" customFormat="1" ht="12.75" x14ac:dyDescent="0.2">
      <c r="R4298" s="1288"/>
    </row>
    <row r="4299" spans="18:18" s="2" customFormat="1" ht="12.75" x14ac:dyDescent="0.2">
      <c r="R4299" s="1288"/>
    </row>
    <row r="4300" spans="18:18" s="2" customFormat="1" ht="12.75" x14ac:dyDescent="0.2">
      <c r="R4300" s="1288"/>
    </row>
    <row r="4301" spans="18:18" s="2" customFormat="1" ht="12.75" x14ac:dyDescent="0.2">
      <c r="R4301" s="1288"/>
    </row>
    <row r="4302" spans="18:18" s="2" customFormat="1" ht="12.75" x14ac:dyDescent="0.2">
      <c r="R4302" s="1288"/>
    </row>
    <row r="4303" spans="18:18" s="2" customFormat="1" ht="12.75" x14ac:dyDescent="0.2">
      <c r="R4303" s="1288"/>
    </row>
    <row r="4304" spans="18:18" s="2" customFormat="1" ht="12.75" x14ac:dyDescent="0.2">
      <c r="R4304" s="1288"/>
    </row>
    <row r="4305" spans="18:18" s="2" customFormat="1" ht="12.75" x14ac:dyDescent="0.2">
      <c r="R4305" s="1288"/>
    </row>
    <row r="4306" spans="18:18" s="2" customFormat="1" ht="12.75" x14ac:dyDescent="0.2">
      <c r="R4306" s="1288"/>
    </row>
    <row r="4307" spans="18:18" s="2" customFormat="1" ht="12.75" x14ac:dyDescent="0.2">
      <c r="R4307" s="1288"/>
    </row>
    <row r="4308" spans="18:18" s="2" customFormat="1" ht="12.75" x14ac:dyDescent="0.2">
      <c r="R4308" s="1288"/>
    </row>
    <row r="4309" spans="18:18" s="2" customFormat="1" ht="12.75" x14ac:dyDescent="0.2">
      <c r="R4309" s="1288"/>
    </row>
    <row r="4310" spans="18:18" s="2" customFormat="1" ht="12.75" x14ac:dyDescent="0.2">
      <c r="R4310" s="1288"/>
    </row>
    <row r="4311" spans="18:18" s="2" customFormat="1" ht="12.75" x14ac:dyDescent="0.2">
      <c r="R4311" s="1288"/>
    </row>
    <row r="4312" spans="18:18" s="2" customFormat="1" ht="12.75" x14ac:dyDescent="0.2">
      <c r="R4312" s="1288"/>
    </row>
    <row r="4313" spans="18:18" s="2" customFormat="1" ht="12.75" x14ac:dyDescent="0.2">
      <c r="R4313" s="1288"/>
    </row>
    <row r="4314" spans="18:18" s="2" customFormat="1" ht="12.75" x14ac:dyDescent="0.2">
      <c r="R4314" s="1288"/>
    </row>
    <row r="4315" spans="18:18" s="2" customFormat="1" ht="12.75" x14ac:dyDescent="0.2">
      <c r="R4315" s="1288"/>
    </row>
    <row r="4316" spans="18:18" s="2" customFormat="1" ht="12.75" x14ac:dyDescent="0.2">
      <c r="R4316" s="1288"/>
    </row>
    <row r="4317" spans="18:18" s="2" customFormat="1" ht="12.75" x14ac:dyDescent="0.2">
      <c r="R4317" s="1288"/>
    </row>
    <row r="4318" spans="18:18" s="2" customFormat="1" ht="12.75" x14ac:dyDescent="0.2">
      <c r="R4318" s="1288"/>
    </row>
    <row r="4319" spans="18:18" s="2" customFormat="1" ht="12.75" x14ac:dyDescent="0.2">
      <c r="R4319" s="1288"/>
    </row>
    <row r="4320" spans="18:18" s="2" customFormat="1" ht="12.75" x14ac:dyDescent="0.2">
      <c r="R4320" s="1288"/>
    </row>
    <row r="4321" spans="18:18" s="2" customFormat="1" ht="12.75" x14ac:dyDescent="0.2">
      <c r="R4321" s="1288"/>
    </row>
    <row r="4322" spans="18:18" s="2" customFormat="1" ht="12.75" x14ac:dyDescent="0.2">
      <c r="R4322" s="1288"/>
    </row>
    <row r="4323" spans="18:18" s="2" customFormat="1" ht="12.75" x14ac:dyDescent="0.2">
      <c r="R4323" s="1288"/>
    </row>
    <row r="4324" spans="18:18" s="2" customFormat="1" ht="12.75" x14ac:dyDescent="0.2">
      <c r="R4324" s="1288"/>
    </row>
    <row r="4325" spans="18:18" s="2" customFormat="1" ht="12.75" x14ac:dyDescent="0.2">
      <c r="R4325" s="1288"/>
    </row>
    <row r="4326" spans="18:18" s="2" customFormat="1" ht="12.75" x14ac:dyDescent="0.2">
      <c r="R4326" s="1288"/>
    </row>
    <row r="4327" spans="18:18" s="2" customFormat="1" ht="12.75" x14ac:dyDescent="0.2">
      <c r="R4327" s="1288"/>
    </row>
    <row r="4328" spans="18:18" s="2" customFormat="1" ht="12.75" x14ac:dyDescent="0.2">
      <c r="R4328" s="1288"/>
    </row>
    <row r="4329" spans="18:18" s="2" customFormat="1" ht="12.75" x14ac:dyDescent="0.2">
      <c r="R4329" s="1288"/>
    </row>
    <row r="4330" spans="18:18" s="2" customFormat="1" ht="12.75" x14ac:dyDescent="0.2">
      <c r="R4330" s="1288"/>
    </row>
    <row r="4331" spans="18:18" s="2" customFormat="1" ht="12.75" x14ac:dyDescent="0.2">
      <c r="R4331" s="1288"/>
    </row>
    <row r="4332" spans="18:18" s="2" customFormat="1" ht="12.75" x14ac:dyDescent="0.2">
      <c r="R4332" s="1288"/>
    </row>
    <row r="4333" spans="18:18" s="2" customFormat="1" ht="12.75" x14ac:dyDescent="0.2">
      <c r="R4333" s="1288"/>
    </row>
    <row r="4334" spans="18:18" s="2" customFormat="1" ht="12.75" x14ac:dyDescent="0.2">
      <c r="R4334" s="1288"/>
    </row>
    <row r="4335" spans="18:18" s="2" customFormat="1" ht="12.75" x14ac:dyDescent="0.2">
      <c r="R4335" s="1288"/>
    </row>
    <row r="4336" spans="18:18" s="2" customFormat="1" ht="12.75" x14ac:dyDescent="0.2">
      <c r="R4336" s="1288"/>
    </row>
    <row r="4337" spans="18:18" s="2" customFormat="1" ht="12.75" x14ac:dyDescent="0.2">
      <c r="R4337" s="1288"/>
    </row>
    <row r="4338" spans="18:18" s="2" customFormat="1" ht="12.75" x14ac:dyDescent="0.2">
      <c r="R4338" s="1288"/>
    </row>
    <row r="4339" spans="18:18" s="2" customFormat="1" ht="12.75" x14ac:dyDescent="0.2">
      <c r="R4339" s="1288"/>
    </row>
    <row r="4340" spans="18:18" s="2" customFormat="1" ht="12.75" x14ac:dyDescent="0.2">
      <c r="R4340" s="1288"/>
    </row>
    <row r="4341" spans="18:18" s="2" customFormat="1" ht="12.75" x14ac:dyDescent="0.2">
      <c r="R4341" s="1288"/>
    </row>
    <row r="4342" spans="18:18" s="2" customFormat="1" ht="12.75" x14ac:dyDescent="0.2">
      <c r="R4342" s="1288"/>
    </row>
    <row r="4343" spans="18:18" s="2" customFormat="1" ht="12.75" x14ac:dyDescent="0.2">
      <c r="R4343" s="1288"/>
    </row>
    <row r="4344" spans="18:18" s="2" customFormat="1" ht="12.75" x14ac:dyDescent="0.2">
      <c r="R4344" s="1288"/>
    </row>
    <row r="4345" spans="18:18" s="2" customFormat="1" ht="12.75" x14ac:dyDescent="0.2">
      <c r="R4345" s="1288"/>
    </row>
    <row r="4346" spans="18:18" s="2" customFormat="1" ht="12.75" x14ac:dyDescent="0.2">
      <c r="R4346" s="1288"/>
    </row>
    <row r="4347" spans="18:18" s="2" customFormat="1" ht="12.75" x14ac:dyDescent="0.2">
      <c r="R4347" s="1288"/>
    </row>
    <row r="4348" spans="18:18" s="2" customFormat="1" ht="12.75" x14ac:dyDescent="0.2">
      <c r="R4348" s="1288"/>
    </row>
    <row r="4349" spans="18:18" s="2" customFormat="1" ht="12.75" x14ac:dyDescent="0.2">
      <c r="R4349" s="1288"/>
    </row>
    <row r="4350" spans="18:18" s="2" customFormat="1" ht="12.75" x14ac:dyDescent="0.2">
      <c r="R4350" s="1288"/>
    </row>
    <row r="4351" spans="18:18" s="2" customFormat="1" ht="12.75" x14ac:dyDescent="0.2">
      <c r="R4351" s="1288"/>
    </row>
    <row r="4352" spans="18:18" s="2" customFormat="1" ht="12.75" x14ac:dyDescent="0.2">
      <c r="R4352" s="1288"/>
    </row>
    <row r="4353" spans="18:18" s="2" customFormat="1" ht="12.75" x14ac:dyDescent="0.2">
      <c r="R4353" s="1288"/>
    </row>
    <row r="4354" spans="18:18" s="2" customFormat="1" ht="12.75" x14ac:dyDescent="0.2">
      <c r="R4354" s="1288"/>
    </row>
    <row r="4355" spans="18:18" s="2" customFormat="1" ht="12.75" x14ac:dyDescent="0.2">
      <c r="R4355" s="1288"/>
    </row>
    <row r="4356" spans="18:18" s="2" customFormat="1" ht="12.75" x14ac:dyDescent="0.2">
      <c r="R4356" s="1288"/>
    </row>
    <row r="4357" spans="18:18" s="2" customFormat="1" ht="12.75" x14ac:dyDescent="0.2">
      <c r="R4357" s="1288"/>
    </row>
    <row r="4358" spans="18:18" s="2" customFormat="1" ht="12.75" x14ac:dyDescent="0.2">
      <c r="R4358" s="1288"/>
    </row>
    <row r="4359" spans="18:18" s="2" customFormat="1" ht="12.75" x14ac:dyDescent="0.2">
      <c r="R4359" s="1288"/>
    </row>
    <row r="4360" spans="18:18" s="2" customFormat="1" ht="12.75" x14ac:dyDescent="0.2">
      <c r="R4360" s="1288"/>
    </row>
    <row r="4361" spans="18:18" s="2" customFormat="1" ht="12.75" x14ac:dyDescent="0.2">
      <c r="R4361" s="1288"/>
    </row>
    <row r="4362" spans="18:18" s="2" customFormat="1" ht="12.75" x14ac:dyDescent="0.2">
      <c r="R4362" s="1288"/>
    </row>
    <row r="4363" spans="18:18" s="2" customFormat="1" ht="12.75" x14ac:dyDescent="0.2">
      <c r="R4363" s="1288"/>
    </row>
    <row r="4364" spans="18:18" s="2" customFormat="1" ht="12.75" x14ac:dyDescent="0.2">
      <c r="R4364" s="1288"/>
    </row>
    <row r="4365" spans="18:18" s="2" customFormat="1" ht="12.75" x14ac:dyDescent="0.2">
      <c r="R4365" s="1288"/>
    </row>
    <row r="4366" spans="18:18" s="2" customFormat="1" ht="12.75" x14ac:dyDescent="0.2">
      <c r="R4366" s="1288"/>
    </row>
    <row r="4367" spans="18:18" s="2" customFormat="1" ht="12.75" x14ac:dyDescent="0.2">
      <c r="R4367" s="1288"/>
    </row>
    <row r="4368" spans="18:18" s="2" customFormat="1" ht="12.75" x14ac:dyDescent="0.2">
      <c r="R4368" s="1288"/>
    </row>
    <row r="4369" spans="18:18" s="2" customFormat="1" ht="12.75" x14ac:dyDescent="0.2">
      <c r="R4369" s="1288"/>
    </row>
    <row r="4370" spans="18:18" s="2" customFormat="1" ht="12.75" x14ac:dyDescent="0.2">
      <c r="R4370" s="1288"/>
    </row>
    <row r="4371" spans="18:18" s="2" customFormat="1" ht="12.75" x14ac:dyDescent="0.2">
      <c r="R4371" s="1288"/>
    </row>
    <row r="4372" spans="18:18" s="2" customFormat="1" ht="12.75" x14ac:dyDescent="0.2">
      <c r="R4372" s="1288"/>
    </row>
    <row r="4373" spans="18:18" s="2" customFormat="1" ht="12.75" x14ac:dyDescent="0.2">
      <c r="R4373" s="1288"/>
    </row>
    <row r="4374" spans="18:18" s="2" customFormat="1" ht="12.75" x14ac:dyDescent="0.2">
      <c r="R4374" s="1288"/>
    </row>
    <row r="4375" spans="18:18" s="2" customFormat="1" ht="12.75" x14ac:dyDescent="0.2">
      <c r="R4375" s="1288"/>
    </row>
    <row r="4376" spans="18:18" s="2" customFormat="1" ht="12.75" x14ac:dyDescent="0.2">
      <c r="R4376" s="1288"/>
    </row>
    <row r="4377" spans="18:18" s="2" customFormat="1" ht="12.75" x14ac:dyDescent="0.2">
      <c r="R4377" s="1288"/>
    </row>
    <row r="4378" spans="18:18" s="2" customFormat="1" ht="12.75" x14ac:dyDescent="0.2">
      <c r="R4378" s="1288"/>
    </row>
    <row r="4379" spans="18:18" s="2" customFormat="1" ht="12.75" x14ac:dyDescent="0.2">
      <c r="R4379" s="1288"/>
    </row>
    <row r="4380" spans="18:18" s="2" customFormat="1" ht="12.75" x14ac:dyDescent="0.2">
      <c r="R4380" s="1288"/>
    </row>
    <row r="4381" spans="18:18" s="2" customFormat="1" ht="12.75" x14ac:dyDescent="0.2">
      <c r="R4381" s="1288"/>
    </row>
    <row r="4382" spans="18:18" s="2" customFormat="1" ht="12.75" x14ac:dyDescent="0.2">
      <c r="R4382" s="1288"/>
    </row>
    <row r="4383" spans="18:18" s="2" customFormat="1" ht="12.75" x14ac:dyDescent="0.2">
      <c r="R4383" s="1288"/>
    </row>
    <row r="4384" spans="18:18" s="2" customFormat="1" ht="12.75" x14ac:dyDescent="0.2">
      <c r="R4384" s="1288"/>
    </row>
    <row r="4385" spans="18:18" s="2" customFormat="1" ht="12.75" x14ac:dyDescent="0.2">
      <c r="R4385" s="1288"/>
    </row>
    <row r="4386" spans="18:18" s="2" customFormat="1" ht="12.75" x14ac:dyDescent="0.2">
      <c r="R4386" s="1288"/>
    </row>
    <row r="4387" spans="18:18" s="2" customFormat="1" ht="12.75" x14ac:dyDescent="0.2">
      <c r="R4387" s="1288"/>
    </row>
    <row r="4388" spans="18:18" s="2" customFormat="1" ht="12.75" x14ac:dyDescent="0.2">
      <c r="R4388" s="1288"/>
    </row>
    <row r="4389" spans="18:18" s="2" customFormat="1" ht="12.75" x14ac:dyDescent="0.2">
      <c r="R4389" s="1288"/>
    </row>
    <row r="4390" spans="18:18" s="2" customFormat="1" ht="12.75" x14ac:dyDescent="0.2">
      <c r="R4390" s="1288"/>
    </row>
    <row r="4391" spans="18:18" s="2" customFormat="1" ht="12.75" x14ac:dyDescent="0.2">
      <c r="R4391" s="1288"/>
    </row>
    <row r="4392" spans="18:18" s="2" customFormat="1" ht="12.75" x14ac:dyDescent="0.2">
      <c r="R4392" s="1288"/>
    </row>
    <row r="4393" spans="18:18" s="2" customFormat="1" ht="12.75" x14ac:dyDescent="0.2">
      <c r="R4393" s="1288"/>
    </row>
    <row r="4394" spans="18:18" s="2" customFormat="1" ht="12.75" x14ac:dyDescent="0.2">
      <c r="R4394" s="1288"/>
    </row>
    <row r="4395" spans="18:18" s="2" customFormat="1" ht="12.75" x14ac:dyDescent="0.2">
      <c r="R4395" s="1288"/>
    </row>
    <row r="4396" spans="18:18" s="2" customFormat="1" ht="12.75" x14ac:dyDescent="0.2">
      <c r="R4396" s="1288"/>
    </row>
    <row r="4397" spans="18:18" s="2" customFormat="1" ht="12.75" x14ac:dyDescent="0.2">
      <c r="R4397" s="1288"/>
    </row>
    <row r="4398" spans="18:18" s="2" customFormat="1" ht="12.75" x14ac:dyDescent="0.2">
      <c r="R4398" s="1288"/>
    </row>
    <row r="4399" spans="18:18" s="2" customFormat="1" ht="12.75" x14ac:dyDescent="0.2">
      <c r="R4399" s="1288"/>
    </row>
    <row r="4400" spans="18:18" s="2" customFormat="1" ht="12.75" x14ac:dyDescent="0.2">
      <c r="R4400" s="1288"/>
    </row>
    <row r="4401" spans="18:18" s="2" customFormat="1" ht="12.75" x14ac:dyDescent="0.2">
      <c r="R4401" s="1288"/>
    </row>
    <row r="4402" spans="18:18" s="2" customFormat="1" ht="12.75" x14ac:dyDescent="0.2">
      <c r="R4402" s="1288"/>
    </row>
    <row r="4403" spans="18:18" s="2" customFormat="1" ht="12.75" x14ac:dyDescent="0.2">
      <c r="R4403" s="1288"/>
    </row>
    <row r="4404" spans="18:18" s="2" customFormat="1" ht="12.75" x14ac:dyDescent="0.2">
      <c r="R4404" s="1288"/>
    </row>
    <row r="4405" spans="18:18" s="2" customFormat="1" ht="12.75" x14ac:dyDescent="0.2">
      <c r="R4405" s="1288"/>
    </row>
    <row r="4406" spans="18:18" s="2" customFormat="1" ht="12.75" x14ac:dyDescent="0.2">
      <c r="R4406" s="1288"/>
    </row>
    <row r="4407" spans="18:18" s="2" customFormat="1" ht="12.75" x14ac:dyDescent="0.2">
      <c r="R4407" s="1288"/>
    </row>
    <row r="4408" spans="18:18" s="2" customFormat="1" ht="12.75" x14ac:dyDescent="0.2">
      <c r="R4408" s="1288"/>
    </row>
    <row r="4409" spans="18:18" s="2" customFormat="1" ht="12.75" x14ac:dyDescent="0.2">
      <c r="R4409" s="1288"/>
    </row>
    <row r="4410" spans="18:18" s="2" customFormat="1" ht="12.75" x14ac:dyDescent="0.2">
      <c r="R4410" s="1288"/>
    </row>
    <row r="4411" spans="18:18" s="2" customFormat="1" ht="12.75" x14ac:dyDescent="0.2">
      <c r="R4411" s="1288"/>
    </row>
    <row r="4412" spans="18:18" s="2" customFormat="1" ht="12.75" x14ac:dyDescent="0.2">
      <c r="R4412" s="1288"/>
    </row>
    <row r="4413" spans="18:18" s="2" customFormat="1" ht="12.75" x14ac:dyDescent="0.2">
      <c r="R4413" s="1288"/>
    </row>
    <row r="4414" spans="18:18" s="2" customFormat="1" ht="12.75" x14ac:dyDescent="0.2">
      <c r="R4414" s="1288"/>
    </row>
    <row r="4415" spans="18:18" s="2" customFormat="1" ht="12.75" x14ac:dyDescent="0.2">
      <c r="R4415" s="1288"/>
    </row>
    <row r="4416" spans="18:18" s="2" customFormat="1" ht="12.75" x14ac:dyDescent="0.2">
      <c r="R4416" s="1288"/>
    </row>
    <row r="4417" spans="18:18" s="2" customFormat="1" ht="12.75" x14ac:dyDescent="0.2">
      <c r="R4417" s="1288"/>
    </row>
    <row r="4418" spans="18:18" s="2" customFormat="1" ht="12.75" x14ac:dyDescent="0.2">
      <c r="R4418" s="1288"/>
    </row>
    <row r="4419" spans="18:18" s="2" customFormat="1" ht="12.75" x14ac:dyDescent="0.2">
      <c r="R4419" s="1288"/>
    </row>
    <row r="4420" spans="18:18" s="2" customFormat="1" ht="12.75" x14ac:dyDescent="0.2">
      <c r="R4420" s="1288"/>
    </row>
    <row r="4421" spans="18:18" s="2" customFormat="1" ht="12.75" x14ac:dyDescent="0.2">
      <c r="R4421" s="1288"/>
    </row>
    <row r="4422" spans="18:18" s="2" customFormat="1" ht="12.75" x14ac:dyDescent="0.2">
      <c r="R4422" s="1288"/>
    </row>
    <row r="4423" spans="18:18" s="2" customFormat="1" ht="12.75" x14ac:dyDescent="0.2">
      <c r="R4423" s="1288"/>
    </row>
    <row r="4424" spans="18:18" s="2" customFormat="1" ht="12.75" x14ac:dyDescent="0.2">
      <c r="R4424" s="1288"/>
    </row>
    <row r="4425" spans="18:18" s="2" customFormat="1" ht="12.75" x14ac:dyDescent="0.2">
      <c r="R4425" s="1288"/>
    </row>
    <row r="4426" spans="18:18" s="2" customFormat="1" ht="12.75" x14ac:dyDescent="0.2">
      <c r="R4426" s="1288"/>
    </row>
    <row r="4427" spans="18:18" s="2" customFormat="1" ht="12.75" x14ac:dyDescent="0.2">
      <c r="R4427" s="1288"/>
    </row>
    <row r="4428" spans="18:18" s="2" customFormat="1" ht="12.75" x14ac:dyDescent="0.2">
      <c r="R4428" s="1288"/>
    </row>
    <row r="4429" spans="18:18" s="2" customFormat="1" ht="12.75" x14ac:dyDescent="0.2">
      <c r="R4429" s="1288"/>
    </row>
    <row r="4430" spans="18:18" s="2" customFormat="1" ht="12.75" x14ac:dyDescent="0.2">
      <c r="R4430" s="1288"/>
    </row>
    <row r="4431" spans="18:18" s="2" customFormat="1" ht="12.75" x14ac:dyDescent="0.2">
      <c r="R4431" s="1288"/>
    </row>
    <row r="4432" spans="18:18" s="2" customFormat="1" ht="12.75" x14ac:dyDescent="0.2">
      <c r="R4432" s="1288"/>
    </row>
    <row r="4433" spans="18:18" s="2" customFormat="1" ht="12.75" x14ac:dyDescent="0.2">
      <c r="R4433" s="1288"/>
    </row>
    <row r="4434" spans="18:18" s="2" customFormat="1" ht="12.75" x14ac:dyDescent="0.2">
      <c r="R4434" s="1288"/>
    </row>
    <row r="4435" spans="18:18" s="2" customFormat="1" ht="12.75" x14ac:dyDescent="0.2">
      <c r="R4435" s="1288"/>
    </row>
    <row r="4436" spans="18:18" s="2" customFormat="1" ht="12.75" x14ac:dyDescent="0.2">
      <c r="R4436" s="1288"/>
    </row>
    <row r="4437" spans="18:18" s="2" customFormat="1" ht="12.75" x14ac:dyDescent="0.2">
      <c r="R4437" s="1288"/>
    </row>
    <row r="4438" spans="18:18" s="2" customFormat="1" ht="12.75" x14ac:dyDescent="0.2">
      <c r="R4438" s="1288"/>
    </row>
    <row r="4439" spans="18:18" s="2" customFormat="1" ht="12.75" x14ac:dyDescent="0.2">
      <c r="R4439" s="1288"/>
    </row>
    <row r="4440" spans="18:18" s="2" customFormat="1" ht="12.75" x14ac:dyDescent="0.2">
      <c r="R4440" s="1288"/>
    </row>
    <row r="4441" spans="18:18" s="2" customFormat="1" ht="12.75" x14ac:dyDescent="0.2">
      <c r="R4441" s="1288"/>
    </row>
    <row r="4442" spans="18:18" s="2" customFormat="1" ht="12.75" x14ac:dyDescent="0.2">
      <c r="R4442" s="1288"/>
    </row>
    <row r="4443" spans="18:18" s="2" customFormat="1" ht="12.75" x14ac:dyDescent="0.2">
      <c r="R4443" s="1288"/>
    </row>
    <row r="4444" spans="18:18" s="2" customFormat="1" ht="12.75" x14ac:dyDescent="0.2">
      <c r="R4444" s="1288"/>
    </row>
    <row r="4445" spans="18:18" s="2" customFormat="1" ht="12.75" x14ac:dyDescent="0.2">
      <c r="R4445" s="1288"/>
    </row>
    <row r="4446" spans="18:18" s="2" customFormat="1" ht="12.75" x14ac:dyDescent="0.2">
      <c r="R4446" s="1288"/>
    </row>
    <row r="4447" spans="18:18" s="2" customFormat="1" ht="12.75" x14ac:dyDescent="0.2">
      <c r="R4447" s="1288"/>
    </row>
    <row r="4448" spans="18:18" s="2" customFormat="1" ht="12.75" x14ac:dyDescent="0.2">
      <c r="R4448" s="1288"/>
    </row>
    <row r="4449" spans="18:18" s="2" customFormat="1" ht="12.75" x14ac:dyDescent="0.2">
      <c r="R4449" s="1288"/>
    </row>
    <row r="4450" spans="18:18" s="2" customFormat="1" ht="12.75" x14ac:dyDescent="0.2">
      <c r="R4450" s="1288"/>
    </row>
    <row r="4451" spans="18:18" s="2" customFormat="1" ht="12.75" x14ac:dyDescent="0.2">
      <c r="R4451" s="1288"/>
    </row>
    <row r="4452" spans="18:18" s="2" customFormat="1" ht="12.75" x14ac:dyDescent="0.2">
      <c r="R4452" s="1288"/>
    </row>
    <row r="4453" spans="18:18" s="2" customFormat="1" ht="12.75" x14ac:dyDescent="0.2">
      <c r="R4453" s="1288"/>
    </row>
    <row r="4454" spans="18:18" s="2" customFormat="1" ht="12.75" x14ac:dyDescent="0.2">
      <c r="R4454" s="1288"/>
    </row>
    <row r="4455" spans="18:18" s="2" customFormat="1" ht="12.75" x14ac:dyDescent="0.2">
      <c r="R4455" s="1288"/>
    </row>
    <row r="4456" spans="18:18" s="2" customFormat="1" ht="12.75" x14ac:dyDescent="0.2">
      <c r="R4456" s="1288"/>
    </row>
    <row r="4457" spans="18:18" s="2" customFormat="1" ht="12.75" x14ac:dyDescent="0.2">
      <c r="R4457" s="1288"/>
    </row>
    <row r="4458" spans="18:18" s="2" customFormat="1" ht="12.75" x14ac:dyDescent="0.2">
      <c r="R4458" s="1288"/>
    </row>
    <row r="4459" spans="18:18" s="2" customFormat="1" ht="12.75" x14ac:dyDescent="0.2">
      <c r="R4459" s="1288"/>
    </row>
    <row r="4460" spans="18:18" s="2" customFormat="1" ht="12.75" x14ac:dyDescent="0.2">
      <c r="R4460" s="1288"/>
    </row>
    <row r="4461" spans="18:18" s="2" customFormat="1" ht="12.75" x14ac:dyDescent="0.2">
      <c r="R4461" s="1288"/>
    </row>
    <row r="4462" spans="18:18" s="2" customFormat="1" ht="12.75" x14ac:dyDescent="0.2">
      <c r="R4462" s="1288"/>
    </row>
    <row r="4463" spans="18:18" s="2" customFormat="1" ht="12.75" x14ac:dyDescent="0.2">
      <c r="R4463" s="1288"/>
    </row>
    <row r="4464" spans="18:18" s="2" customFormat="1" ht="12.75" x14ac:dyDescent="0.2">
      <c r="R4464" s="1288"/>
    </row>
    <row r="4465" spans="18:18" s="2" customFormat="1" ht="12.75" x14ac:dyDescent="0.2">
      <c r="R4465" s="1288"/>
    </row>
    <row r="4466" spans="18:18" s="2" customFormat="1" ht="12.75" x14ac:dyDescent="0.2">
      <c r="R4466" s="1288"/>
    </row>
    <row r="4467" spans="18:18" s="2" customFormat="1" ht="12.75" x14ac:dyDescent="0.2">
      <c r="R4467" s="1288"/>
    </row>
    <row r="4468" spans="18:18" s="2" customFormat="1" ht="12.75" x14ac:dyDescent="0.2">
      <c r="R4468" s="1288"/>
    </row>
    <row r="4469" spans="18:18" s="2" customFormat="1" ht="12.75" x14ac:dyDescent="0.2">
      <c r="R4469" s="1288"/>
    </row>
    <row r="4470" spans="18:18" s="2" customFormat="1" ht="12.75" x14ac:dyDescent="0.2">
      <c r="R4470" s="1288"/>
    </row>
    <row r="4471" spans="18:18" s="2" customFormat="1" ht="12.75" x14ac:dyDescent="0.2">
      <c r="R4471" s="1288"/>
    </row>
    <row r="4472" spans="18:18" s="2" customFormat="1" ht="12.75" x14ac:dyDescent="0.2">
      <c r="R4472" s="1288"/>
    </row>
    <row r="4473" spans="18:18" s="2" customFormat="1" ht="12.75" x14ac:dyDescent="0.2">
      <c r="R4473" s="1288"/>
    </row>
    <row r="4474" spans="18:18" s="2" customFormat="1" ht="12.75" x14ac:dyDescent="0.2">
      <c r="R4474" s="1288"/>
    </row>
    <row r="4475" spans="18:18" s="2" customFormat="1" ht="12.75" x14ac:dyDescent="0.2">
      <c r="R4475" s="1288"/>
    </row>
    <row r="4476" spans="18:18" s="2" customFormat="1" ht="12.75" x14ac:dyDescent="0.2">
      <c r="R4476" s="1288"/>
    </row>
    <row r="4477" spans="18:18" s="2" customFormat="1" ht="12.75" x14ac:dyDescent="0.2">
      <c r="R4477" s="1288"/>
    </row>
    <row r="4478" spans="18:18" s="2" customFormat="1" ht="12.75" x14ac:dyDescent="0.2">
      <c r="R4478" s="1288"/>
    </row>
    <row r="4479" spans="18:18" s="2" customFormat="1" ht="12.75" x14ac:dyDescent="0.2">
      <c r="R4479" s="1288"/>
    </row>
    <row r="4480" spans="18:18" s="2" customFormat="1" ht="12.75" x14ac:dyDescent="0.2">
      <c r="R4480" s="1288"/>
    </row>
    <row r="4481" spans="18:18" s="2" customFormat="1" ht="12.75" x14ac:dyDescent="0.2">
      <c r="R4481" s="1288"/>
    </row>
    <row r="4482" spans="18:18" s="2" customFormat="1" ht="12.75" x14ac:dyDescent="0.2">
      <c r="R4482" s="1288"/>
    </row>
    <row r="4483" spans="18:18" s="2" customFormat="1" ht="12.75" x14ac:dyDescent="0.2">
      <c r="R4483" s="1288"/>
    </row>
    <row r="4484" spans="18:18" s="2" customFormat="1" ht="12.75" x14ac:dyDescent="0.2">
      <c r="R4484" s="1288"/>
    </row>
    <row r="4485" spans="18:18" s="2" customFormat="1" ht="12.75" x14ac:dyDescent="0.2">
      <c r="R4485" s="1288"/>
    </row>
    <row r="4486" spans="18:18" s="2" customFormat="1" ht="12.75" x14ac:dyDescent="0.2">
      <c r="R4486" s="1288"/>
    </row>
    <row r="4487" spans="18:18" s="2" customFormat="1" ht="12.75" x14ac:dyDescent="0.2">
      <c r="R4487" s="1288"/>
    </row>
    <row r="4488" spans="18:18" s="2" customFormat="1" ht="12.75" x14ac:dyDescent="0.2">
      <c r="R4488" s="1288"/>
    </row>
    <row r="4489" spans="18:18" s="2" customFormat="1" ht="12.75" x14ac:dyDescent="0.2">
      <c r="R4489" s="1288"/>
    </row>
    <row r="4490" spans="18:18" s="2" customFormat="1" ht="12.75" x14ac:dyDescent="0.2">
      <c r="R4490" s="1288"/>
    </row>
    <row r="4491" spans="18:18" s="2" customFormat="1" ht="12.75" x14ac:dyDescent="0.2">
      <c r="R4491" s="1288"/>
    </row>
    <row r="4492" spans="18:18" s="2" customFormat="1" ht="12.75" x14ac:dyDescent="0.2">
      <c r="R4492" s="1288"/>
    </row>
    <row r="4493" spans="18:18" s="2" customFormat="1" ht="12.75" x14ac:dyDescent="0.2">
      <c r="R4493" s="1288"/>
    </row>
    <row r="4494" spans="18:18" s="2" customFormat="1" ht="12.75" x14ac:dyDescent="0.2">
      <c r="R4494" s="1288"/>
    </row>
    <row r="4495" spans="18:18" s="2" customFormat="1" ht="12.75" x14ac:dyDescent="0.2">
      <c r="R4495" s="1288"/>
    </row>
    <row r="4496" spans="18:18" s="2" customFormat="1" ht="12.75" x14ac:dyDescent="0.2">
      <c r="R4496" s="1288"/>
    </row>
    <row r="4497" spans="18:18" s="2" customFormat="1" ht="12.75" x14ac:dyDescent="0.2">
      <c r="R4497" s="1288"/>
    </row>
    <row r="4498" spans="18:18" s="2" customFormat="1" ht="12.75" x14ac:dyDescent="0.2">
      <c r="R4498" s="1288"/>
    </row>
    <row r="4499" spans="18:18" s="2" customFormat="1" ht="12.75" x14ac:dyDescent="0.2">
      <c r="R4499" s="1288"/>
    </row>
    <row r="4500" spans="18:18" s="2" customFormat="1" ht="12.75" x14ac:dyDescent="0.2">
      <c r="R4500" s="1288"/>
    </row>
    <row r="4501" spans="18:18" s="2" customFormat="1" ht="12.75" x14ac:dyDescent="0.2">
      <c r="R4501" s="1288"/>
    </row>
    <row r="4502" spans="18:18" s="2" customFormat="1" ht="12.75" x14ac:dyDescent="0.2">
      <c r="R4502" s="1288"/>
    </row>
    <row r="4503" spans="18:18" s="2" customFormat="1" ht="12.75" x14ac:dyDescent="0.2">
      <c r="R4503" s="1288"/>
    </row>
    <row r="4504" spans="18:18" s="2" customFormat="1" ht="12.75" x14ac:dyDescent="0.2">
      <c r="R4504" s="1288"/>
    </row>
    <row r="4505" spans="18:18" s="2" customFormat="1" ht="12.75" x14ac:dyDescent="0.2">
      <c r="R4505" s="1288"/>
    </row>
    <row r="4506" spans="18:18" s="2" customFormat="1" ht="12.75" x14ac:dyDescent="0.2">
      <c r="R4506" s="1288"/>
    </row>
    <row r="4507" spans="18:18" s="2" customFormat="1" ht="12.75" x14ac:dyDescent="0.2">
      <c r="R4507" s="1288"/>
    </row>
    <row r="4508" spans="18:18" s="2" customFormat="1" ht="12.75" x14ac:dyDescent="0.2">
      <c r="R4508" s="1288"/>
    </row>
    <row r="4509" spans="18:18" s="2" customFormat="1" ht="12.75" x14ac:dyDescent="0.2">
      <c r="R4509" s="1288"/>
    </row>
    <row r="4510" spans="18:18" s="2" customFormat="1" ht="12.75" x14ac:dyDescent="0.2">
      <c r="R4510" s="1288"/>
    </row>
    <row r="4511" spans="18:18" s="2" customFormat="1" ht="12.75" x14ac:dyDescent="0.2">
      <c r="R4511" s="1288"/>
    </row>
    <row r="4512" spans="18:18" s="2" customFormat="1" ht="12.75" x14ac:dyDescent="0.2">
      <c r="R4512" s="1288"/>
    </row>
    <row r="4513" spans="18:18" s="2" customFormat="1" ht="12.75" x14ac:dyDescent="0.2">
      <c r="R4513" s="1288"/>
    </row>
    <row r="4514" spans="18:18" s="2" customFormat="1" ht="12.75" x14ac:dyDescent="0.2">
      <c r="R4514" s="1288"/>
    </row>
    <row r="4515" spans="18:18" s="2" customFormat="1" ht="12.75" x14ac:dyDescent="0.2">
      <c r="R4515" s="1288"/>
    </row>
    <row r="4516" spans="18:18" s="2" customFormat="1" ht="12.75" x14ac:dyDescent="0.2">
      <c r="R4516" s="1288"/>
    </row>
    <row r="4517" spans="18:18" s="2" customFormat="1" ht="12.75" x14ac:dyDescent="0.2">
      <c r="R4517" s="1288"/>
    </row>
    <row r="4518" spans="18:18" s="2" customFormat="1" ht="12.75" x14ac:dyDescent="0.2">
      <c r="R4518" s="1288"/>
    </row>
    <row r="4519" spans="18:18" s="2" customFormat="1" ht="12.75" x14ac:dyDescent="0.2">
      <c r="R4519" s="1288"/>
    </row>
    <row r="4520" spans="18:18" s="2" customFormat="1" ht="12.75" x14ac:dyDescent="0.2">
      <c r="R4520" s="1288"/>
    </row>
    <row r="4521" spans="18:18" s="2" customFormat="1" ht="12.75" x14ac:dyDescent="0.2">
      <c r="R4521" s="1288"/>
    </row>
    <row r="4522" spans="18:18" s="2" customFormat="1" ht="12.75" x14ac:dyDescent="0.2">
      <c r="R4522" s="1288"/>
    </row>
    <row r="4523" spans="18:18" s="2" customFormat="1" ht="12.75" x14ac:dyDescent="0.2">
      <c r="R4523" s="1288"/>
    </row>
    <row r="4524" spans="18:18" s="2" customFormat="1" ht="12.75" x14ac:dyDescent="0.2">
      <c r="R4524" s="1288"/>
    </row>
    <row r="4525" spans="18:18" s="2" customFormat="1" ht="12.75" x14ac:dyDescent="0.2">
      <c r="R4525" s="1288"/>
    </row>
    <row r="4526" spans="18:18" s="2" customFormat="1" ht="12.75" x14ac:dyDescent="0.2">
      <c r="R4526" s="1288"/>
    </row>
    <row r="4527" spans="18:18" s="2" customFormat="1" ht="12.75" x14ac:dyDescent="0.2">
      <c r="R4527" s="1288"/>
    </row>
    <row r="4528" spans="18:18" s="2" customFormat="1" ht="12.75" x14ac:dyDescent="0.2">
      <c r="R4528" s="1288"/>
    </row>
    <row r="4529" spans="18:18" s="2" customFormat="1" ht="12.75" x14ac:dyDescent="0.2">
      <c r="R4529" s="1288"/>
    </row>
    <row r="4530" spans="18:18" s="2" customFormat="1" ht="12.75" x14ac:dyDescent="0.2">
      <c r="R4530" s="1288"/>
    </row>
    <row r="4531" spans="18:18" s="2" customFormat="1" ht="12.75" x14ac:dyDescent="0.2">
      <c r="R4531" s="1288"/>
    </row>
    <row r="4532" spans="18:18" s="2" customFormat="1" ht="12.75" x14ac:dyDescent="0.2">
      <c r="R4532" s="1288"/>
    </row>
    <row r="4533" spans="18:18" s="2" customFormat="1" ht="12.75" x14ac:dyDescent="0.2">
      <c r="R4533" s="1288"/>
    </row>
    <row r="4534" spans="18:18" s="2" customFormat="1" ht="12.75" x14ac:dyDescent="0.2">
      <c r="R4534" s="1288"/>
    </row>
    <row r="4535" spans="18:18" s="2" customFormat="1" ht="12.75" x14ac:dyDescent="0.2">
      <c r="R4535" s="1288"/>
    </row>
    <row r="4536" spans="18:18" s="2" customFormat="1" ht="12.75" x14ac:dyDescent="0.2">
      <c r="R4536" s="1288"/>
    </row>
    <row r="4537" spans="18:18" s="2" customFormat="1" ht="12.75" x14ac:dyDescent="0.2">
      <c r="R4537" s="1288"/>
    </row>
    <row r="4538" spans="18:18" s="2" customFormat="1" ht="12.75" x14ac:dyDescent="0.2">
      <c r="R4538" s="1288"/>
    </row>
    <row r="4539" spans="18:18" s="2" customFormat="1" ht="12.75" x14ac:dyDescent="0.2">
      <c r="R4539" s="1288"/>
    </row>
    <row r="4540" spans="18:18" s="2" customFormat="1" ht="12.75" x14ac:dyDescent="0.2">
      <c r="R4540" s="1288"/>
    </row>
    <row r="4541" spans="18:18" s="2" customFormat="1" ht="12.75" x14ac:dyDescent="0.2">
      <c r="R4541" s="1288"/>
    </row>
    <row r="4542" spans="18:18" s="2" customFormat="1" ht="12.75" x14ac:dyDescent="0.2">
      <c r="R4542" s="1288"/>
    </row>
    <row r="4543" spans="18:18" s="2" customFormat="1" ht="12.75" x14ac:dyDescent="0.2">
      <c r="R4543" s="1288"/>
    </row>
    <row r="4544" spans="18:18" s="2" customFormat="1" ht="12.75" x14ac:dyDescent="0.2">
      <c r="R4544" s="1288"/>
    </row>
    <row r="4545" spans="18:18" s="2" customFormat="1" ht="12.75" x14ac:dyDescent="0.2">
      <c r="R4545" s="1288"/>
    </row>
    <row r="4546" spans="18:18" s="2" customFormat="1" ht="12.75" x14ac:dyDescent="0.2">
      <c r="R4546" s="1288"/>
    </row>
    <row r="4547" spans="18:18" s="2" customFormat="1" ht="12.75" x14ac:dyDescent="0.2">
      <c r="R4547" s="1288"/>
    </row>
    <row r="4548" spans="18:18" s="2" customFormat="1" ht="12.75" x14ac:dyDescent="0.2">
      <c r="R4548" s="1288"/>
    </row>
    <row r="4549" spans="18:18" s="2" customFormat="1" ht="12.75" x14ac:dyDescent="0.2">
      <c r="R4549" s="1288"/>
    </row>
    <row r="4550" spans="18:18" s="2" customFormat="1" ht="12.75" x14ac:dyDescent="0.2">
      <c r="R4550" s="1288"/>
    </row>
    <row r="4551" spans="18:18" s="2" customFormat="1" ht="12.75" x14ac:dyDescent="0.2">
      <c r="R4551" s="1288"/>
    </row>
    <row r="4552" spans="18:18" s="2" customFormat="1" ht="12.75" x14ac:dyDescent="0.2">
      <c r="R4552" s="1288"/>
    </row>
    <row r="4553" spans="18:18" s="2" customFormat="1" ht="12.75" x14ac:dyDescent="0.2">
      <c r="R4553" s="1288"/>
    </row>
    <row r="4554" spans="18:18" s="2" customFormat="1" ht="12.75" x14ac:dyDescent="0.2">
      <c r="R4554" s="1288"/>
    </row>
    <row r="4555" spans="18:18" s="2" customFormat="1" ht="12.75" x14ac:dyDescent="0.2">
      <c r="R4555" s="1288"/>
    </row>
    <row r="4556" spans="18:18" s="2" customFormat="1" ht="12.75" x14ac:dyDescent="0.2">
      <c r="R4556" s="1288"/>
    </row>
    <row r="4557" spans="18:18" s="2" customFormat="1" ht="12.75" x14ac:dyDescent="0.2">
      <c r="R4557" s="1288"/>
    </row>
    <row r="4558" spans="18:18" s="2" customFormat="1" ht="12.75" x14ac:dyDescent="0.2">
      <c r="R4558" s="1288"/>
    </row>
    <row r="4559" spans="18:18" s="2" customFormat="1" ht="12.75" x14ac:dyDescent="0.2">
      <c r="R4559" s="1288"/>
    </row>
    <row r="4560" spans="18:18" s="2" customFormat="1" ht="12.75" x14ac:dyDescent="0.2">
      <c r="R4560" s="1288"/>
    </row>
    <row r="4561" spans="18:18" s="2" customFormat="1" ht="12.75" x14ac:dyDescent="0.2">
      <c r="R4561" s="1288"/>
    </row>
    <row r="4562" spans="18:18" s="2" customFormat="1" ht="12.75" x14ac:dyDescent="0.2">
      <c r="R4562" s="1288"/>
    </row>
    <row r="4563" spans="18:18" s="2" customFormat="1" ht="12.75" x14ac:dyDescent="0.2">
      <c r="R4563" s="1288"/>
    </row>
    <row r="4564" spans="18:18" s="2" customFormat="1" ht="12.75" x14ac:dyDescent="0.2">
      <c r="R4564" s="1288"/>
    </row>
    <row r="4565" spans="18:18" s="2" customFormat="1" ht="12.75" x14ac:dyDescent="0.2">
      <c r="R4565" s="1288"/>
    </row>
    <row r="4566" spans="18:18" s="2" customFormat="1" ht="12.75" x14ac:dyDescent="0.2">
      <c r="R4566" s="1288"/>
    </row>
    <row r="4567" spans="18:18" s="2" customFormat="1" ht="12.75" x14ac:dyDescent="0.2">
      <c r="R4567" s="1288"/>
    </row>
    <row r="4568" spans="18:18" s="2" customFormat="1" ht="12.75" x14ac:dyDescent="0.2">
      <c r="R4568" s="1288"/>
    </row>
    <row r="4569" spans="18:18" s="2" customFormat="1" ht="12.75" x14ac:dyDescent="0.2">
      <c r="R4569" s="1288"/>
    </row>
    <row r="4570" spans="18:18" s="2" customFormat="1" ht="12.75" x14ac:dyDescent="0.2">
      <c r="R4570" s="1288"/>
    </row>
    <row r="4571" spans="18:18" s="2" customFormat="1" ht="12.75" x14ac:dyDescent="0.2">
      <c r="R4571" s="1288"/>
    </row>
    <row r="4572" spans="18:18" s="2" customFormat="1" ht="12.75" x14ac:dyDescent="0.2">
      <c r="R4572" s="1288"/>
    </row>
    <row r="4573" spans="18:18" s="2" customFormat="1" ht="12.75" x14ac:dyDescent="0.2">
      <c r="R4573" s="1288"/>
    </row>
    <row r="4574" spans="18:18" s="2" customFormat="1" ht="12.75" x14ac:dyDescent="0.2">
      <c r="R4574" s="1288"/>
    </row>
    <row r="4575" spans="18:18" s="2" customFormat="1" ht="12.75" x14ac:dyDescent="0.2">
      <c r="R4575" s="1288"/>
    </row>
    <row r="4576" spans="18:18" s="2" customFormat="1" ht="12.75" x14ac:dyDescent="0.2">
      <c r="R4576" s="1288"/>
    </row>
    <row r="4577" spans="18:18" s="2" customFormat="1" ht="12.75" x14ac:dyDescent="0.2">
      <c r="R4577" s="1288"/>
    </row>
    <row r="4578" spans="18:18" s="2" customFormat="1" ht="12.75" x14ac:dyDescent="0.2">
      <c r="R4578" s="1288"/>
    </row>
    <row r="4579" spans="18:18" s="2" customFormat="1" ht="12.75" x14ac:dyDescent="0.2">
      <c r="R4579" s="1288"/>
    </row>
    <row r="4580" spans="18:18" s="2" customFormat="1" ht="12.75" x14ac:dyDescent="0.2">
      <c r="R4580" s="1288"/>
    </row>
    <row r="4581" spans="18:18" s="2" customFormat="1" ht="12.75" x14ac:dyDescent="0.2">
      <c r="R4581" s="1288"/>
    </row>
    <row r="4582" spans="18:18" s="2" customFormat="1" ht="12.75" x14ac:dyDescent="0.2">
      <c r="R4582" s="1288"/>
    </row>
    <row r="4583" spans="18:18" s="2" customFormat="1" ht="12.75" x14ac:dyDescent="0.2">
      <c r="R4583" s="1288"/>
    </row>
    <row r="4584" spans="18:18" s="2" customFormat="1" ht="12.75" x14ac:dyDescent="0.2">
      <c r="R4584" s="1288"/>
    </row>
    <row r="4585" spans="18:18" s="2" customFormat="1" ht="12.75" x14ac:dyDescent="0.2">
      <c r="R4585" s="1288"/>
    </row>
    <row r="4586" spans="18:18" s="2" customFormat="1" ht="12.75" x14ac:dyDescent="0.2">
      <c r="R4586" s="1288"/>
    </row>
    <row r="4587" spans="18:18" s="2" customFormat="1" ht="12.75" x14ac:dyDescent="0.2">
      <c r="R4587" s="1288"/>
    </row>
    <row r="4588" spans="18:18" s="2" customFormat="1" ht="12.75" x14ac:dyDescent="0.2">
      <c r="R4588" s="1288"/>
    </row>
    <row r="4589" spans="18:18" s="2" customFormat="1" ht="12.75" x14ac:dyDescent="0.2">
      <c r="R4589" s="1288"/>
    </row>
    <row r="4590" spans="18:18" s="2" customFormat="1" ht="12.75" x14ac:dyDescent="0.2">
      <c r="R4590" s="1288"/>
    </row>
    <row r="4591" spans="18:18" s="2" customFormat="1" ht="12.75" x14ac:dyDescent="0.2">
      <c r="R4591" s="1288"/>
    </row>
    <row r="4592" spans="18:18" s="2" customFormat="1" ht="12.75" x14ac:dyDescent="0.2">
      <c r="R4592" s="1288"/>
    </row>
    <row r="4593" spans="18:18" s="2" customFormat="1" ht="12.75" x14ac:dyDescent="0.2">
      <c r="R4593" s="1288"/>
    </row>
    <row r="4594" spans="18:18" s="2" customFormat="1" ht="12.75" x14ac:dyDescent="0.2">
      <c r="R4594" s="1288"/>
    </row>
    <row r="4595" spans="18:18" s="2" customFormat="1" ht="12.75" x14ac:dyDescent="0.2">
      <c r="R4595" s="1288"/>
    </row>
    <row r="4596" spans="18:18" s="2" customFormat="1" ht="12.75" x14ac:dyDescent="0.2">
      <c r="R4596" s="1288"/>
    </row>
    <row r="4597" spans="18:18" s="2" customFormat="1" ht="12.75" x14ac:dyDescent="0.2">
      <c r="R4597" s="1288"/>
    </row>
    <row r="4598" spans="18:18" s="2" customFormat="1" ht="12.75" x14ac:dyDescent="0.2">
      <c r="R4598" s="1288"/>
    </row>
    <row r="4599" spans="18:18" s="2" customFormat="1" ht="12.75" x14ac:dyDescent="0.2">
      <c r="R4599" s="1288"/>
    </row>
    <row r="4600" spans="18:18" s="2" customFormat="1" ht="12.75" x14ac:dyDescent="0.2">
      <c r="R4600" s="1288"/>
    </row>
    <row r="4601" spans="18:18" s="2" customFormat="1" ht="12.75" x14ac:dyDescent="0.2">
      <c r="R4601" s="1288"/>
    </row>
    <row r="4602" spans="18:18" s="2" customFormat="1" ht="12.75" x14ac:dyDescent="0.2">
      <c r="R4602" s="1288"/>
    </row>
    <row r="4603" spans="18:18" s="2" customFormat="1" ht="12.75" x14ac:dyDescent="0.2">
      <c r="R4603" s="1288"/>
    </row>
    <row r="4604" spans="18:18" s="2" customFormat="1" ht="12.75" x14ac:dyDescent="0.2">
      <c r="R4604" s="1288"/>
    </row>
    <row r="4605" spans="18:18" s="2" customFormat="1" ht="12.75" x14ac:dyDescent="0.2">
      <c r="R4605" s="1288"/>
    </row>
    <row r="4606" spans="18:18" s="2" customFormat="1" ht="12.75" x14ac:dyDescent="0.2">
      <c r="R4606" s="1288"/>
    </row>
    <row r="4607" spans="18:18" s="2" customFormat="1" ht="12.75" x14ac:dyDescent="0.2">
      <c r="R4607" s="1288"/>
    </row>
    <row r="4608" spans="18:18" s="2" customFormat="1" ht="12.75" x14ac:dyDescent="0.2">
      <c r="R4608" s="1288"/>
    </row>
    <row r="4609" spans="18:18" s="2" customFormat="1" ht="12.75" x14ac:dyDescent="0.2">
      <c r="R4609" s="1288"/>
    </row>
    <row r="4610" spans="18:18" s="2" customFormat="1" ht="12.75" x14ac:dyDescent="0.2">
      <c r="R4610" s="1288"/>
    </row>
    <row r="4611" spans="18:18" s="2" customFormat="1" ht="12.75" x14ac:dyDescent="0.2">
      <c r="R4611" s="1288"/>
    </row>
    <row r="4612" spans="18:18" s="2" customFormat="1" ht="12.75" x14ac:dyDescent="0.2">
      <c r="R4612" s="1288"/>
    </row>
    <row r="4613" spans="18:18" s="2" customFormat="1" ht="12.75" x14ac:dyDescent="0.2">
      <c r="R4613" s="1288"/>
    </row>
    <row r="4614" spans="18:18" s="2" customFormat="1" ht="12.75" x14ac:dyDescent="0.2">
      <c r="R4614" s="1288"/>
    </row>
    <row r="4615" spans="18:18" s="2" customFormat="1" ht="12.75" x14ac:dyDescent="0.2">
      <c r="R4615" s="1288"/>
    </row>
    <row r="4616" spans="18:18" s="2" customFormat="1" ht="12.75" x14ac:dyDescent="0.2">
      <c r="R4616" s="1288"/>
    </row>
    <row r="4617" spans="18:18" s="2" customFormat="1" ht="12.75" x14ac:dyDescent="0.2">
      <c r="R4617" s="1288"/>
    </row>
    <row r="4618" spans="18:18" s="2" customFormat="1" ht="12.75" x14ac:dyDescent="0.2">
      <c r="R4618" s="1288"/>
    </row>
    <row r="4619" spans="18:18" s="2" customFormat="1" ht="12.75" x14ac:dyDescent="0.2">
      <c r="R4619" s="1288"/>
    </row>
    <row r="4620" spans="18:18" s="2" customFormat="1" ht="12.75" x14ac:dyDescent="0.2">
      <c r="R4620" s="1288"/>
    </row>
    <row r="4621" spans="18:18" s="2" customFormat="1" ht="12.75" x14ac:dyDescent="0.2">
      <c r="R4621" s="1288"/>
    </row>
    <row r="4622" spans="18:18" s="2" customFormat="1" ht="12.75" x14ac:dyDescent="0.2">
      <c r="R4622" s="1288"/>
    </row>
    <row r="4623" spans="18:18" s="2" customFormat="1" ht="12.75" x14ac:dyDescent="0.2">
      <c r="R4623" s="1288"/>
    </row>
    <row r="4624" spans="18:18" s="2" customFormat="1" ht="12.75" x14ac:dyDescent="0.2">
      <c r="R4624" s="1288"/>
    </row>
    <row r="4625" spans="18:18" s="2" customFormat="1" ht="12.75" x14ac:dyDescent="0.2">
      <c r="R4625" s="1288"/>
    </row>
    <row r="4626" spans="18:18" s="2" customFormat="1" ht="12.75" x14ac:dyDescent="0.2">
      <c r="R4626" s="1288"/>
    </row>
    <row r="4627" spans="18:18" s="2" customFormat="1" ht="12.75" x14ac:dyDescent="0.2">
      <c r="R4627" s="1288"/>
    </row>
    <row r="4628" spans="18:18" s="2" customFormat="1" ht="12.75" x14ac:dyDescent="0.2">
      <c r="R4628" s="1288"/>
    </row>
    <row r="4629" spans="18:18" s="2" customFormat="1" ht="12.75" x14ac:dyDescent="0.2">
      <c r="R4629" s="1288"/>
    </row>
    <row r="4630" spans="18:18" s="2" customFormat="1" ht="12.75" x14ac:dyDescent="0.2">
      <c r="R4630" s="1288"/>
    </row>
    <row r="4631" spans="18:18" s="2" customFormat="1" ht="12.75" x14ac:dyDescent="0.2">
      <c r="R4631" s="1288"/>
    </row>
    <row r="4632" spans="18:18" s="2" customFormat="1" ht="12.75" x14ac:dyDescent="0.2">
      <c r="R4632" s="1288"/>
    </row>
    <row r="4633" spans="18:18" s="2" customFormat="1" ht="12.75" x14ac:dyDescent="0.2">
      <c r="R4633" s="1288"/>
    </row>
    <row r="4634" spans="18:18" s="2" customFormat="1" ht="12.75" x14ac:dyDescent="0.2">
      <c r="R4634" s="1288"/>
    </row>
    <row r="4635" spans="18:18" s="2" customFormat="1" ht="12.75" x14ac:dyDescent="0.2">
      <c r="R4635" s="1288"/>
    </row>
    <row r="4636" spans="18:18" s="2" customFormat="1" ht="12.75" x14ac:dyDescent="0.2">
      <c r="R4636" s="1288"/>
    </row>
    <row r="4637" spans="18:18" s="2" customFormat="1" ht="12.75" x14ac:dyDescent="0.2">
      <c r="R4637" s="1288"/>
    </row>
    <row r="4638" spans="18:18" s="2" customFormat="1" ht="12.75" x14ac:dyDescent="0.2">
      <c r="R4638" s="1288"/>
    </row>
    <row r="4639" spans="18:18" s="2" customFormat="1" ht="12.75" x14ac:dyDescent="0.2">
      <c r="R4639" s="1288"/>
    </row>
    <row r="4640" spans="18:18" s="2" customFormat="1" ht="12.75" x14ac:dyDescent="0.2">
      <c r="R4640" s="1288"/>
    </row>
    <row r="4641" spans="18:18" s="2" customFormat="1" ht="12.75" x14ac:dyDescent="0.2">
      <c r="R4641" s="1288"/>
    </row>
    <row r="4642" spans="18:18" s="2" customFormat="1" ht="12.75" x14ac:dyDescent="0.2">
      <c r="R4642" s="1288"/>
    </row>
    <row r="4643" spans="18:18" s="2" customFormat="1" ht="12.75" x14ac:dyDescent="0.2">
      <c r="R4643" s="1288"/>
    </row>
    <row r="4644" spans="18:18" s="2" customFormat="1" ht="12.75" x14ac:dyDescent="0.2">
      <c r="R4644" s="1288"/>
    </row>
    <row r="4645" spans="18:18" s="2" customFormat="1" ht="12.75" x14ac:dyDescent="0.2">
      <c r="R4645" s="1288"/>
    </row>
    <row r="4646" spans="18:18" s="2" customFormat="1" ht="12.75" x14ac:dyDescent="0.2">
      <c r="R4646" s="1288"/>
    </row>
    <row r="4647" spans="18:18" s="2" customFormat="1" ht="12.75" x14ac:dyDescent="0.2">
      <c r="R4647" s="1288"/>
    </row>
    <row r="4648" spans="18:18" s="2" customFormat="1" ht="12.75" x14ac:dyDescent="0.2">
      <c r="R4648" s="1288"/>
    </row>
    <row r="4649" spans="18:18" s="2" customFormat="1" ht="12.75" x14ac:dyDescent="0.2">
      <c r="R4649" s="1288"/>
    </row>
    <row r="4650" spans="18:18" s="2" customFormat="1" ht="12.75" x14ac:dyDescent="0.2">
      <c r="R4650" s="1288"/>
    </row>
    <row r="4651" spans="18:18" s="2" customFormat="1" ht="12.75" x14ac:dyDescent="0.2">
      <c r="R4651" s="1288"/>
    </row>
    <row r="4652" spans="18:18" s="2" customFormat="1" ht="12.75" x14ac:dyDescent="0.2">
      <c r="R4652" s="1288"/>
    </row>
    <row r="4653" spans="18:18" s="2" customFormat="1" ht="12.75" x14ac:dyDescent="0.2">
      <c r="R4653" s="1288"/>
    </row>
    <row r="4654" spans="18:18" s="2" customFormat="1" ht="12.75" x14ac:dyDescent="0.2">
      <c r="R4654" s="1288"/>
    </row>
    <row r="4655" spans="18:18" s="2" customFormat="1" ht="12.75" x14ac:dyDescent="0.2">
      <c r="R4655" s="1288"/>
    </row>
    <row r="4656" spans="18:18" s="2" customFormat="1" ht="12.75" x14ac:dyDescent="0.2">
      <c r="R4656" s="1288"/>
    </row>
    <row r="4657" spans="18:18" s="2" customFormat="1" ht="12.75" x14ac:dyDescent="0.2">
      <c r="R4657" s="1288"/>
    </row>
    <row r="4658" spans="18:18" s="2" customFormat="1" ht="12.75" x14ac:dyDescent="0.2">
      <c r="R4658" s="1288"/>
    </row>
    <row r="4659" spans="18:18" s="2" customFormat="1" ht="12.75" x14ac:dyDescent="0.2">
      <c r="R4659" s="1288"/>
    </row>
    <row r="4660" spans="18:18" s="2" customFormat="1" ht="12.75" x14ac:dyDescent="0.2">
      <c r="R4660" s="1288"/>
    </row>
    <row r="4661" spans="18:18" s="2" customFormat="1" ht="12.75" x14ac:dyDescent="0.2">
      <c r="R4661" s="1288"/>
    </row>
    <row r="4662" spans="18:18" s="2" customFormat="1" ht="12.75" x14ac:dyDescent="0.2">
      <c r="R4662" s="1288"/>
    </row>
    <row r="4663" spans="18:18" s="2" customFormat="1" ht="12.75" x14ac:dyDescent="0.2">
      <c r="R4663" s="1288"/>
    </row>
    <row r="4664" spans="18:18" s="2" customFormat="1" ht="12.75" x14ac:dyDescent="0.2">
      <c r="R4664" s="1288"/>
    </row>
    <row r="4665" spans="18:18" s="2" customFormat="1" ht="12.75" x14ac:dyDescent="0.2">
      <c r="R4665" s="1288"/>
    </row>
    <row r="4666" spans="18:18" s="2" customFormat="1" ht="12.75" x14ac:dyDescent="0.2">
      <c r="R4666" s="1288"/>
    </row>
    <row r="4667" spans="18:18" s="2" customFormat="1" ht="12.75" x14ac:dyDescent="0.2">
      <c r="R4667" s="1288"/>
    </row>
    <row r="4668" spans="18:18" s="2" customFormat="1" ht="12.75" x14ac:dyDescent="0.2">
      <c r="R4668" s="1288"/>
    </row>
    <row r="4669" spans="18:18" s="2" customFormat="1" ht="12.75" x14ac:dyDescent="0.2">
      <c r="R4669" s="1288"/>
    </row>
    <row r="4670" spans="18:18" s="2" customFormat="1" ht="12.75" x14ac:dyDescent="0.2">
      <c r="R4670" s="1288"/>
    </row>
    <row r="4671" spans="18:18" s="2" customFormat="1" ht="12.75" x14ac:dyDescent="0.2">
      <c r="R4671" s="1288"/>
    </row>
    <row r="4672" spans="18:18" s="2" customFormat="1" ht="12.75" x14ac:dyDescent="0.2">
      <c r="R4672" s="1288"/>
    </row>
    <row r="4673" spans="18:18" s="2" customFormat="1" ht="12.75" x14ac:dyDescent="0.2">
      <c r="R4673" s="1288"/>
    </row>
    <row r="4674" spans="18:18" s="2" customFormat="1" ht="12.75" x14ac:dyDescent="0.2">
      <c r="R4674" s="1288"/>
    </row>
    <row r="4675" spans="18:18" s="2" customFormat="1" ht="12.75" x14ac:dyDescent="0.2">
      <c r="R4675" s="1288"/>
    </row>
    <row r="4676" spans="18:18" s="2" customFormat="1" ht="12.75" x14ac:dyDescent="0.2">
      <c r="R4676" s="1288"/>
    </row>
    <row r="4677" spans="18:18" s="2" customFormat="1" ht="12.75" x14ac:dyDescent="0.2">
      <c r="R4677" s="1288"/>
    </row>
    <row r="4678" spans="18:18" s="2" customFormat="1" ht="12.75" x14ac:dyDescent="0.2">
      <c r="R4678" s="1288"/>
    </row>
    <row r="4679" spans="18:18" s="2" customFormat="1" ht="12.75" x14ac:dyDescent="0.2">
      <c r="R4679" s="1288"/>
    </row>
    <row r="4680" spans="18:18" s="2" customFormat="1" ht="12.75" x14ac:dyDescent="0.2">
      <c r="R4680" s="1288"/>
    </row>
    <row r="4681" spans="18:18" s="2" customFormat="1" ht="12.75" x14ac:dyDescent="0.2">
      <c r="R4681" s="1288"/>
    </row>
    <row r="4682" spans="18:18" s="2" customFormat="1" ht="12.75" x14ac:dyDescent="0.2">
      <c r="R4682" s="1288"/>
    </row>
    <row r="4683" spans="18:18" s="2" customFormat="1" ht="12.75" x14ac:dyDescent="0.2">
      <c r="R4683" s="1288"/>
    </row>
    <row r="4684" spans="18:18" s="2" customFormat="1" ht="12.75" x14ac:dyDescent="0.2">
      <c r="R4684" s="1288"/>
    </row>
    <row r="4685" spans="18:18" s="2" customFormat="1" ht="12.75" x14ac:dyDescent="0.2">
      <c r="R4685" s="1288"/>
    </row>
    <row r="4686" spans="18:18" s="2" customFormat="1" ht="12.75" x14ac:dyDescent="0.2">
      <c r="R4686" s="1288"/>
    </row>
    <row r="4687" spans="18:18" s="2" customFormat="1" ht="12.75" x14ac:dyDescent="0.2">
      <c r="R4687" s="1288"/>
    </row>
    <row r="4688" spans="18:18" s="2" customFormat="1" ht="12.75" x14ac:dyDescent="0.2">
      <c r="R4688" s="1288"/>
    </row>
    <row r="4689" spans="18:18" s="2" customFormat="1" ht="12.75" x14ac:dyDescent="0.2">
      <c r="R4689" s="1288"/>
    </row>
    <row r="4690" spans="18:18" s="2" customFormat="1" ht="12.75" x14ac:dyDescent="0.2">
      <c r="R4690" s="1288"/>
    </row>
    <row r="4691" spans="18:18" s="2" customFormat="1" ht="12.75" x14ac:dyDescent="0.2">
      <c r="R4691" s="1288"/>
    </row>
    <row r="4692" spans="18:18" s="2" customFormat="1" ht="12.75" x14ac:dyDescent="0.2">
      <c r="R4692" s="1288"/>
    </row>
    <row r="4693" spans="18:18" s="2" customFormat="1" ht="12.75" x14ac:dyDescent="0.2">
      <c r="R4693" s="1288"/>
    </row>
    <row r="4694" spans="18:18" s="2" customFormat="1" ht="12.75" x14ac:dyDescent="0.2">
      <c r="R4694" s="1288"/>
    </row>
    <row r="4695" spans="18:18" s="2" customFormat="1" ht="12.75" x14ac:dyDescent="0.2">
      <c r="R4695" s="1288"/>
    </row>
    <row r="4696" spans="18:18" s="2" customFormat="1" ht="12.75" x14ac:dyDescent="0.2">
      <c r="R4696" s="1288"/>
    </row>
    <row r="4697" spans="18:18" s="2" customFormat="1" ht="12.75" x14ac:dyDescent="0.2">
      <c r="R4697" s="1288"/>
    </row>
    <row r="4698" spans="18:18" s="2" customFormat="1" ht="12.75" x14ac:dyDescent="0.2">
      <c r="R4698" s="1288"/>
    </row>
    <row r="4699" spans="18:18" s="2" customFormat="1" ht="12.75" x14ac:dyDescent="0.2">
      <c r="R4699" s="1288"/>
    </row>
    <row r="4700" spans="18:18" s="2" customFormat="1" ht="12.75" x14ac:dyDescent="0.2">
      <c r="R4700" s="1288"/>
    </row>
    <row r="4701" spans="18:18" s="2" customFormat="1" ht="12.75" x14ac:dyDescent="0.2">
      <c r="R4701" s="1288"/>
    </row>
    <row r="4702" spans="18:18" s="2" customFormat="1" ht="12.75" x14ac:dyDescent="0.2">
      <c r="R4702" s="1288"/>
    </row>
    <row r="4703" spans="18:18" s="2" customFormat="1" ht="12.75" x14ac:dyDescent="0.2">
      <c r="R4703" s="1288"/>
    </row>
    <row r="4704" spans="18:18" s="2" customFormat="1" ht="12.75" x14ac:dyDescent="0.2">
      <c r="R4704" s="1288"/>
    </row>
    <row r="4705" spans="18:18" s="2" customFormat="1" ht="12.75" x14ac:dyDescent="0.2">
      <c r="R4705" s="1288"/>
    </row>
    <row r="4706" spans="18:18" s="2" customFormat="1" ht="12.75" x14ac:dyDescent="0.2">
      <c r="R4706" s="1288"/>
    </row>
    <row r="4707" spans="18:18" s="2" customFormat="1" ht="12.75" x14ac:dyDescent="0.2">
      <c r="R4707" s="1288"/>
    </row>
    <row r="4708" spans="18:18" s="2" customFormat="1" ht="12.75" x14ac:dyDescent="0.2">
      <c r="R4708" s="1288"/>
    </row>
    <row r="4709" spans="18:18" s="2" customFormat="1" ht="12.75" x14ac:dyDescent="0.2">
      <c r="R4709" s="1288"/>
    </row>
    <row r="4710" spans="18:18" s="2" customFormat="1" ht="12.75" x14ac:dyDescent="0.2">
      <c r="R4710" s="1288"/>
    </row>
    <row r="4711" spans="18:18" s="2" customFormat="1" ht="12.75" x14ac:dyDescent="0.2">
      <c r="R4711" s="1288"/>
    </row>
    <row r="4712" spans="18:18" s="2" customFormat="1" ht="12.75" x14ac:dyDescent="0.2">
      <c r="R4712" s="1288"/>
    </row>
    <row r="4713" spans="18:18" s="2" customFormat="1" ht="12.75" x14ac:dyDescent="0.2">
      <c r="R4713" s="1288"/>
    </row>
    <row r="4714" spans="18:18" s="2" customFormat="1" ht="12.75" x14ac:dyDescent="0.2">
      <c r="R4714" s="1288"/>
    </row>
    <row r="4715" spans="18:18" s="2" customFormat="1" ht="12.75" x14ac:dyDescent="0.2">
      <c r="R4715" s="1288"/>
    </row>
    <row r="4716" spans="18:18" s="2" customFormat="1" ht="12.75" x14ac:dyDescent="0.2">
      <c r="R4716" s="1288"/>
    </row>
    <row r="4717" spans="18:18" s="2" customFormat="1" ht="12.75" x14ac:dyDescent="0.2">
      <c r="R4717" s="1288"/>
    </row>
    <row r="4718" spans="18:18" s="2" customFormat="1" ht="12.75" x14ac:dyDescent="0.2">
      <c r="R4718" s="1288"/>
    </row>
    <row r="4719" spans="18:18" s="2" customFormat="1" ht="12.75" x14ac:dyDescent="0.2">
      <c r="R4719" s="1288"/>
    </row>
    <row r="4720" spans="18:18" s="2" customFormat="1" ht="12.75" x14ac:dyDescent="0.2">
      <c r="R4720" s="1288"/>
    </row>
    <row r="4721" spans="18:18" s="2" customFormat="1" ht="12.75" x14ac:dyDescent="0.2">
      <c r="R4721" s="1288"/>
    </row>
    <row r="4722" spans="18:18" s="2" customFormat="1" ht="12.75" x14ac:dyDescent="0.2">
      <c r="R4722" s="1288"/>
    </row>
    <row r="4723" spans="18:18" s="2" customFormat="1" ht="12.75" x14ac:dyDescent="0.2">
      <c r="R4723" s="1288"/>
    </row>
    <row r="4724" spans="18:18" s="2" customFormat="1" ht="12.75" x14ac:dyDescent="0.2">
      <c r="R4724" s="1288"/>
    </row>
    <row r="4725" spans="18:18" s="2" customFormat="1" ht="12.75" x14ac:dyDescent="0.2">
      <c r="R4725" s="1288"/>
    </row>
    <row r="4726" spans="18:18" s="2" customFormat="1" ht="12.75" x14ac:dyDescent="0.2">
      <c r="R4726" s="1288"/>
    </row>
    <row r="4727" spans="18:18" s="2" customFormat="1" ht="12.75" x14ac:dyDescent="0.2">
      <c r="R4727" s="1288"/>
    </row>
    <row r="4728" spans="18:18" s="2" customFormat="1" ht="12.75" x14ac:dyDescent="0.2">
      <c r="R4728" s="1288"/>
    </row>
    <row r="4729" spans="18:18" s="2" customFormat="1" ht="12.75" x14ac:dyDescent="0.2">
      <c r="R4729" s="1288"/>
    </row>
    <row r="4730" spans="18:18" s="2" customFormat="1" ht="12.75" x14ac:dyDescent="0.2">
      <c r="R4730" s="1288"/>
    </row>
    <row r="4731" spans="18:18" s="2" customFormat="1" ht="12.75" x14ac:dyDescent="0.2">
      <c r="R4731" s="1288"/>
    </row>
    <row r="4732" spans="18:18" s="2" customFormat="1" ht="12.75" x14ac:dyDescent="0.2">
      <c r="R4732" s="1288"/>
    </row>
    <row r="4733" spans="18:18" s="2" customFormat="1" ht="12.75" x14ac:dyDescent="0.2">
      <c r="R4733" s="1288"/>
    </row>
    <row r="4734" spans="18:18" s="2" customFormat="1" ht="12.75" x14ac:dyDescent="0.2">
      <c r="R4734" s="1288"/>
    </row>
    <row r="4735" spans="18:18" s="2" customFormat="1" ht="12.75" x14ac:dyDescent="0.2">
      <c r="R4735" s="1288"/>
    </row>
    <row r="4736" spans="18:18" s="2" customFormat="1" ht="12.75" x14ac:dyDescent="0.2">
      <c r="R4736" s="1288"/>
    </row>
    <row r="4737" spans="18:18" s="2" customFormat="1" ht="12.75" x14ac:dyDescent="0.2">
      <c r="R4737" s="1288"/>
    </row>
    <row r="4738" spans="18:18" s="2" customFormat="1" ht="12.75" x14ac:dyDescent="0.2">
      <c r="R4738" s="1288"/>
    </row>
    <row r="4739" spans="18:18" s="2" customFormat="1" ht="12.75" x14ac:dyDescent="0.2">
      <c r="R4739" s="1288"/>
    </row>
    <row r="4740" spans="18:18" s="2" customFormat="1" ht="12.75" x14ac:dyDescent="0.2">
      <c r="R4740" s="1288"/>
    </row>
    <row r="4741" spans="18:18" s="2" customFormat="1" ht="12.75" x14ac:dyDescent="0.2">
      <c r="R4741" s="1288"/>
    </row>
    <row r="4742" spans="18:18" s="2" customFormat="1" ht="12.75" x14ac:dyDescent="0.2">
      <c r="R4742" s="1288"/>
    </row>
    <row r="4743" spans="18:18" s="2" customFormat="1" ht="12.75" x14ac:dyDescent="0.2">
      <c r="R4743" s="1288"/>
    </row>
    <row r="4744" spans="18:18" s="2" customFormat="1" ht="12.75" x14ac:dyDescent="0.2">
      <c r="R4744" s="1288"/>
    </row>
    <row r="4745" spans="18:18" s="2" customFormat="1" ht="12.75" x14ac:dyDescent="0.2">
      <c r="R4745" s="1288"/>
    </row>
    <row r="4746" spans="18:18" s="2" customFormat="1" ht="12.75" x14ac:dyDescent="0.2">
      <c r="R4746" s="1288"/>
    </row>
    <row r="4747" spans="18:18" s="2" customFormat="1" ht="12.75" x14ac:dyDescent="0.2">
      <c r="R4747" s="1288"/>
    </row>
    <row r="4748" spans="18:18" s="2" customFormat="1" ht="12.75" x14ac:dyDescent="0.2">
      <c r="R4748" s="1288"/>
    </row>
    <row r="4749" spans="18:18" s="2" customFormat="1" ht="12.75" x14ac:dyDescent="0.2">
      <c r="R4749" s="1288"/>
    </row>
    <row r="4750" spans="18:18" s="2" customFormat="1" ht="12.75" x14ac:dyDescent="0.2">
      <c r="R4750" s="1288"/>
    </row>
    <row r="4751" spans="18:18" s="2" customFormat="1" ht="12.75" x14ac:dyDescent="0.2">
      <c r="R4751" s="1288"/>
    </row>
    <row r="4752" spans="18:18" s="2" customFormat="1" ht="12.75" x14ac:dyDescent="0.2">
      <c r="R4752" s="1288"/>
    </row>
    <row r="4753" spans="18:18" s="2" customFormat="1" ht="12.75" x14ac:dyDescent="0.2">
      <c r="R4753" s="1288"/>
    </row>
    <row r="4754" spans="18:18" s="2" customFormat="1" ht="12.75" x14ac:dyDescent="0.2">
      <c r="R4754" s="1288"/>
    </row>
    <row r="4755" spans="18:18" s="2" customFormat="1" ht="12.75" x14ac:dyDescent="0.2">
      <c r="R4755" s="1288"/>
    </row>
    <row r="4756" spans="18:18" s="2" customFormat="1" ht="12.75" x14ac:dyDescent="0.2">
      <c r="R4756" s="1288"/>
    </row>
    <row r="4757" spans="18:18" s="2" customFormat="1" ht="12.75" x14ac:dyDescent="0.2">
      <c r="R4757" s="1288"/>
    </row>
    <row r="4758" spans="18:18" s="2" customFormat="1" ht="12.75" x14ac:dyDescent="0.2">
      <c r="R4758" s="1288"/>
    </row>
    <row r="4759" spans="18:18" s="2" customFormat="1" ht="12.75" x14ac:dyDescent="0.2">
      <c r="R4759" s="1288"/>
    </row>
    <row r="4760" spans="18:18" s="2" customFormat="1" ht="12.75" x14ac:dyDescent="0.2">
      <c r="R4760" s="1288"/>
    </row>
    <row r="4761" spans="18:18" s="2" customFormat="1" ht="12.75" x14ac:dyDescent="0.2">
      <c r="R4761" s="1288"/>
    </row>
    <row r="4762" spans="18:18" s="2" customFormat="1" ht="12.75" x14ac:dyDescent="0.2">
      <c r="R4762" s="1288"/>
    </row>
    <row r="4763" spans="18:18" s="2" customFormat="1" ht="12.75" x14ac:dyDescent="0.2">
      <c r="R4763" s="1288"/>
    </row>
    <row r="4764" spans="18:18" s="2" customFormat="1" ht="12.75" x14ac:dyDescent="0.2">
      <c r="R4764" s="1288"/>
    </row>
    <row r="4765" spans="18:18" s="2" customFormat="1" ht="12.75" x14ac:dyDescent="0.2">
      <c r="R4765" s="1288"/>
    </row>
    <row r="4766" spans="18:18" s="2" customFormat="1" ht="12.75" x14ac:dyDescent="0.2">
      <c r="R4766" s="1288"/>
    </row>
    <row r="4767" spans="18:18" s="2" customFormat="1" ht="12.75" x14ac:dyDescent="0.2">
      <c r="R4767" s="1288"/>
    </row>
    <row r="4768" spans="18:18" s="2" customFormat="1" ht="12.75" x14ac:dyDescent="0.2">
      <c r="R4768" s="1288"/>
    </row>
    <row r="4769" spans="18:18" s="2" customFormat="1" ht="12.75" x14ac:dyDescent="0.2">
      <c r="R4769" s="1288"/>
    </row>
    <row r="4770" spans="18:18" s="2" customFormat="1" ht="12.75" x14ac:dyDescent="0.2">
      <c r="R4770" s="1288"/>
    </row>
    <row r="4771" spans="18:18" s="2" customFormat="1" ht="12.75" x14ac:dyDescent="0.2">
      <c r="R4771" s="1288"/>
    </row>
    <row r="4772" spans="18:18" s="2" customFormat="1" ht="12.75" x14ac:dyDescent="0.2">
      <c r="R4772" s="1288"/>
    </row>
    <row r="4773" spans="18:18" s="2" customFormat="1" ht="12.75" x14ac:dyDescent="0.2">
      <c r="R4773" s="1288"/>
    </row>
    <row r="4774" spans="18:18" s="2" customFormat="1" ht="12.75" x14ac:dyDescent="0.2">
      <c r="R4774" s="1288"/>
    </row>
    <row r="4775" spans="18:18" s="2" customFormat="1" ht="12.75" x14ac:dyDescent="0.2">
      <c r="R4775" s="1288"/>
    </row>
    <row r="4776" spans="18:18" s="2" customFormat="1" ht="12.75" x14ac:dyDescent="0.2">
      <c r="R4776" s="1288"/>
    </row>
    <row r="4777" spans="18:18" s="2" customFormat="1" ht="12.75" x14ac:dyDescent="0.2">
      <c r="R4777" s="1288"/>
    </row>
    <row r="4778" spans="18:18" s="2" customFormat="1" ht="12.75" x14ac:dyDescent="0.2">
      <c r="R4778" s="1288"/>
    </row>
    <row r="4779" spans="18:18" s="2" customFormat="1" ht="12.75" x14ac:dyDescent="0.2">
      <c r="R4779" s="1288"/>
    </row>
    <row r="4780" spans="18:18" s="2" customFormat="1" ht="12.75" x14ac:dyDescent="0.2">
      <c r="R4780" s="1288"/>
    </row>
    <row r="4781" spans="18:18" s="2" customFormat="1" ht="12.75" x14ac:dyDescent="0.2">
      <c r="R4781" s="1288"/>
    </row>
    <row r="4782" spans="18:18" s="2" customFormat="1" ht="12.75" x14ac:dyDescent="0.2">
      <c r="R4782" s="1288"/>
    </row>
    <row r="4783" spans="18:18" s="2" customFormat="1" ht="12.75" x14ac:dyDescent="0.2">
      <c r="R4783" s="1288"/>
    </row>
    <row r="4784" spans="18:18" s="2" customFormat="1" ht="12.75" x14ac:dyDescent="0.2">
      <c r="R4784" s="1288"/>
    </row>
    <row r="4785" spans="18:18" s="2" customFormat="1" ht="12.75" x14ac:dyDescent="0.2">
      <c r="R4785" s="1288"/>
    </row>
    <row r="4786" spans="18:18" s="2" customFormat="1" ht="12.75" x14ac:dyDescent="0.2">
      <c r="R4786" s="1288"/>
    </row>
    <row r="4787" spans="18:18" s="2" customFormat="1" ht="12.75" x14ac:dyDescent="0.2">
      <c r="R4787" s="1288"/>
    </row>
    <row r="4788" spans="18:18" s="2" customFormat="1" ht="12.75" x14ac:dyDescent="0.2">
      <c r="R4788" s="1288"/>
    </row>
    <row r="4789" spans="18:18" s="2" customFormat="1" ht="12.75" x14ac:dyDescent="0.2">
      <c r="R4789" s="1288"/>
    </row>
    <row r="4790" spans="18:18" s="2" customFormat="1" ht="12.75" x14ac:dyDescent="0.2">
      <c r="R4790" s="1288"/>
    </row>
    <row r="4791" spans="18:18" s="2" customFormat="1" ht="12.75" x14ac:dyDescent="0.2">
      <c r="R4791" s="1288"/>
    </row>
    <row r="4792" spans="18:18" s="2" customFormat="1" ht="12.75" x14ac:dyDescent="0.2">
      <c r="R4792" s="1288"/>
    </row>
    <row r="4793" spans="18:18" s="2" customFormat="1" ht="12.75" x14ac:dyDescent="0.2">
      <c r="R4793" s="1288"/>
    </row>
    <row r="4794" spans="18:18" s="2" customFormat="1" ht="12.75" x14ac:dyDescent="0.2">
      <c r="R4794" s="1288"/>
    </row>
    <row r="4795" spans="18:18" s="2" customFormat="1" ht="12.75" x14ac:dyDescent="0.2">
      <c r="R4795" s="1288"/>
    </row>
    <row r="4796" spans="18:18" s="2" customFormat="1" ht="12.75" x14ac:dyDescent="0.2">
      <c r="R4796" s="1288"/>
    </row>
    <row r="4797" spans="18:18" s="2" customFormat="1" ht="12.75" x14ac:dyDescent="0.2">
      <c r="R4797" s="1288"/>
    </row>
    <row r="4798" spans="18:18" s="2" customFormat="1" ht="12.75" x14ac:dyDescent="0.2">
      <c r="R4798" s="1288"/>
    </row>
    <row r="4799" spans="18:18" s="2" customFormat="1" ht="12.75" x14ac:dyDescent="0.2">
      <c r="R4799" s="1288"/>
    </row>
    <row r="4800" spans="18:18" s="2" customFormat="1" ht="12.75" x14ac:dyDescent="0.2">
      <c r="R4800" s="1288"/>
    </row>
    <row r="4801" spans="18:18" s="2" customFormat="1" ht="12.75" x14ac:dyDescent="0.2">
      <c r="R4801" s="1288"/>
    </row>
    <row r="4802" spans="18:18" s="2" customFormat="1" ht="12.75" x14ac:dyDescent="0.2">
      <c r="R4802" s="1288"/>
    </row>
    <row r="4803" spans="18:18" s="2" customFormat="1" ht="12.75" x14ac:dyDescent="0.2">
      <c r="R4803" s="1288"/>
    </row>
    <row r="4804" spans="18:18" s="2" customFormat="1" ht="12.75" x14ac:dyDescent="0.2">
      <c r="R4804" s="1288"/>
    </row>
    <row r="4805" spans="18:18" s="2" customFormat="1" ht="12.75" x14ac:dyDescent="0.2">
      <c r="R4805" s="1288"/>
    </row>
    <row r="4806" spans="18:18" s="2" customFormat="1" ht="12.75" x14ac:dyDescent="0.2">
      <c r="R4806" s="1288"/>
    </row>
    <row r="4807" spans="18:18" s="2" customFormat="1" ht="12.75" x14ac:dyDescent="0.2">
      <c r="R4807" s="1288"/>
    </row>
    <row r="4808" spans="18:18" s="2" customFormat="1" ht="12.75" x14ac:dyDescent="0.2">
      <c r="R4808" s="1288"/>
    </row>
    <row r="4809" spans="18:18" s="2" customFormat="1" ht="12.75" x14ac:dyDescent="0.2">
      <c r="R4809" s="1288"/>
    </row>
    <row r="4810" spans="18:18" s="2" customFormat="1" ht="12.75" x14ac:dyDescent="0.2">
      <c r="R4810" s="1288"/>
    </row>
    <row r="4811" spans="18:18" s="2" customFormat="1" ht="12.75" x14ac:dyDescent="0.2">
      <c r="R4811" s="1288"/>
    </row>
    <row r="4812" spans="18:18" s="2" customFormat="1" ht="12.75" x14ac:dyDescent="0.2">
      <c r="R4812" s="1288"/>
    </row>
    <row r="4813" spans="18:18" s="2" customFormat="1" ht="12.75" x14ac:dyDescent="0.2">
      <c r="R4813" s="1288"/>
    </row>
    <row r="4814" spans="18:18" s="2" customFormat="1" ht="12.75" x14ac:dyDescent="0.2">
      <c r="R4814" s="1288"/>
    </row>
    <row r="4815" spans="18:18" s="2" customFormat="1" ht="12.75" x14ac:dyDescent="0.2">
      <c r="R4815" s="1288"/>
    </row>
    <row r="4816" spans="18:18" s="2" customFormat="1" ht="12.75" x14ac:dyDescent="0.2">
      <c r="R4816" s="1288"/>
    </row>
    <row r="4817" spans="18:18" s="2" customFormat="1" ht="12.75" x14ac:dyDescent="0.2">
      <c r="R4817" s="1288"/>
    </row>
    <row r="4818" spans="18:18" s="2" customFormat="1" ht="12.75" x14ac:dyDescent="0.2">
      <c r="R4818" s="1288"/>
    </row>
    <row r="4819" spans="18:18" s="2" customFormat="1" ht="12.75" x14ac:dyDescent="0.2">
      <c r="R4819" s="1288"/>
    </row>
    <row r="4820" spans="18:18" s="2" customFormat="1" ht="12.75" x14ac:dyDescent="0.2">
      <c r="R4820" s="1288"/>
    </row>
    <row r="4821" spans="18:18" s="2" customFormat="1" ht="12.75" x14ac:dyDescent="0.2">
      <c r="R4821" s="1288"/>
    </row>
    <row r="4822" spans="18:18" s="2" customFormat="1" ht="12.75" x14ac:dyDescent="0.2">
      <c r="R4822" s="1288"/>
    </row>
    <row r="4823" spans="18:18" s="2" customFormat="1" ht="12.75" x14ac:dyDescent="0.2">
      <c r="R4823" s="1288"/>
    </row>
    <row r="4824" spans="18:18" s="2" customFormat="1" ht="12.75" x14ac:dyDescent="0.2">
      <c r="R4824" s="1288"/>
    </row>
    <row r="4825" spans="18:18" s="2" customFormat="1" ht="12.75" x14ac:dyDescent="0.2">
      <c r="R4825" s="1288"/>
    </row>
    <row r="4826" spans="18:18" s="2" customFormat="1" ht="12.75" x14ac:dyDescent="0.2">
      <c r="R4826" s="1288"/>
    </row>
    <row r="4827" spans="18:18" s="2" customFormat="1" ht="12.75" x14ac:dyDescent="0.2">
      <c r="R4827" s="1288"/>
    </row>
    <row r="4828" spans="18:18" s="2" customFormat="1" ht="12.75" x14ac:dyDescent="0.2">
      <c r="R4828" s="1288"/>
    </row>
    <row r="4829" spans="18:18" s="2" customFormat="1" ht="12.75" x14ac:dyDescent="0.2">
      <c r="R4829" s="1288"/>
    </row>
    <row r="4830" spans="18:18" s="2" customFormat="1" ht="12.75" x14ac:dyDescent="0.2">
      <c r="R4830" s="1288"/>
    </row>
    <row r="4831" spans="18:18" s="2" customFormat="1" ht="12.75" x14ac:dyDescent="0.2">
      <c r="R4831" s="1288"/>
    </row>
    <row r="4832" spans="18:18" s="2" customFormat="1" ht="12.75" x14ac:dyDescent="0.2">
      <c r="R4832" s="1288"/>
    </row>
    <row r="4833" spans="18:18" s="2" customFormat="1" ht="12.75" x14ac:dyDescent="0.2">
      <c r="R4833" s="1288"/>
    </row>
    <row r="4834" spans="18:18" s="2" customFormat="1" ht="12.75" x14ac:dyDescent="0.2">
      <c r="R4834" s="1288"/>
    </row>
    <row r="4835" spans="18:18" s="2" customFormat="1" ht="12.75" x14ac:dyDescent="0.2">
      <c r="R4835" s="1288"/>
    </row>
    <row r="4836" spans="18:18" s="2" customFormat="1" ht="12.75" x14ac:dyDescent="0.2">
      <c r="R4836" s="1288"/>
    </row>
    <row r="4837" spans="18:18" s="2" customFormat="1" ht="12.75" x14ac:dyDescent="0.2">
      <c r="R4837" s="1288"/>
    </row>
    <row r="4838" spans="18:18" s="2" customFormat="1" ht="12.75" x14ac:dyDescent="0.2">
      <c r="R4838" s="1288"/>
    </row>
    <row r="4839" spans="18:18" s="2" customFormat="1" ht="12.75" x14ac:dyDescent="0.2">
      <c r="R4839" s="1288"/>
    </row>
    <row r="4840" spans="18:18" s="2" customFormat="1" ht="12.75" x14ac:dyDescent="0.2">
      <c r="R4840" s="1288"/>
    </row>
    <row r="4841" spans="18:18" s="2" customFormat="1" ht="12.75" x14ac:dyDescent="0.2">
      <c r="R4841" s="1288"/>
    </row>
    <row r="4842" spans="18:18" s="2" customFormat="1" ht="12.75" x14ac:dyDescent="0.2">
      <c r="R4842" s="1288"/>
    </row>
    <row r="4843" spans="18:18" s="2" customFormat="1" ht="12.75" x14ac:dyDescent="0.2">
      <c r="R4843" s="1288"/>
    </row>
    <row r="4844" spans="18:18" s="2" customFormat="1" ht="12.75" x14ac:dyDescent="0.2">
      <c r="R4844" s="1288"/>
    </row>
    <row r="4845" spans="18:18" s="2" customFormat="1" ht="12.75" x14ac:dyDescent="0.2">
      <c r="R4845" s="1288"/>
    </row>
    <row r="4846" spans="18:18" s="2" customFormat="1" ht="12.75" x14ac:dyDescent="0.2">
      <c r="R4846" s="1288"/>
    </row>
    <row r="4847" spans="18:18" s="2" customFormat="1" ht="12.75" x14ac:dyDescent="0.2">
      <c r="R4847" s="1288"/>
    </row>
    <row r="4848" spans="18:18" s="2" customFormat="1" ht="12.75" x14ac:dyDescent="0.2">
      <c r="R4848" s="1288"/>
    </row>
    <row r="4849" spans="18:18" s="2" customFormat="1" ht="12.75" x14ac:dyDescent="0.2">
      <c r="R4849" s="1288"/>
    </row>
    <row r="4850" spans="18:18" s="2" customFormat="1" ht="12.75" x14ac:dyDescent="0.2">
      <c r="R4850" s="1288"/>
    </row>
    <row r="4851" spans="18:18" s="2" customFormat="1" ht="12.75" x14ac:dyDescent="0.2">
      <c r="R4851" s="1288"/>
    </row>
    <row r="4852" spans="18:18" s="2" customFormat="1" ht="12.75" x14ac:dyDescent="0.2">
      <c r="R4852" s="1288"/>
    </row>
    <row r="4853" spans="18:18" s="2" customFormat="1" ht="12.75" x14ac:dyDescent="0.2">
      <c r="R4853" s="1288"/>
    </row>
    <row r="4854" spans="18:18" s="2" customFormat="1" ht="12.75" x14ac:dyDescent="0.2">
      <c r="R4854" s="1288"/>
    </row>
    <row r="4855" spans="18:18" s="2" customFormat="1" ht="12.75" x14ac:dyDescent="0.2">
      <c r="R4855" s="1288"/>
    </row>
    <row r="4856" spans="18:18" s="2" customFormat="1" ht="12.75" x14ac:dyDescent="0.2">
      <c r="R4856" s="1288"/>
    </row>
    <row r="4857" spans="18:18" s="2" customFormat="1" ht="12.75" x14ac:dyDescent="0.2">
      <c r="R4857" s="1288"/>
    </row>
    <row r="4858" spans="18:18" s="2" customFormat="1" ht="12.75" x14ac:dyDescent="0.2">
      <c r="R4858" s="1288"/>
    </row>
    <row r="4859" spans="18:18" s="2" customFormat="1" ht="12.75" x14ac:dyDescent="0.2">
      <c r="R4859" s="1288"/>
    </row>
    <row r="4860" spans="18:18" s="2" customFormat="1" ht="12.75" x14ac:dyDescent="0.2">
      <c r="R4860" s="1288"/>
    </row>
    <row r="4861" spans="18:18" s="2" customFormat="1" ht="12.75" x14ac:dyDescent="0.2">
      <c r="R4861" s="1288"/>
    </row>
    <row r="4862" spans="18:18" s="2" customFormat="1" ht="12.75" x14ac:dyDescent="0.2">
      <c r="R4862" s="1288"/>
    </row>
    <row r="4863" spans="18:18" s="2" customFormat="1" ht="12.75" x14ac:dyDescent="0.2">
      <c r="R4863" s="1288"/>
    </row>
    <row r="4864" spans="18:18" s="2" customFormat="1" ht="12.75" x14ac:dyDescent="0.2">
      <c r="R4864" s="1288"/>
    </row>
    <row r="4865" spans="18:18" s="2" customFormat="1" ht="12.75" x14ac:dyDescent="0.2">
      <c r="R4865" s="1288"/>
    </row>
    <row r="4866" spans="18:18" s="2" customFormat="1" ht="12.75" x14ac:dyDescent="0.2">
      <c r="R4866" s="1288"/>
    </row>
    <row r="4867" spans="18:18" s="2" customFormat="1" ht="12.75" x14ac:dyDescent="0.2">
      <c r="R4867" s="1288"/>
    </row>
    <row r="4868" spans="18:18" s="2" customFormat="1" ht="12.75" x14ac:dyDescent="0.2">
      <c r="R4868" s="1288"/>
    </row>
    <row r="4869" spans="18:18" s="2" customFormat="1" ht="12.75" x14ac:dyDescent="0.2">
      <c r="R4869" s="1288"/>
    </row>
    <row r="4870" spans="18:18" s="2" customFormat="1" ht="12.75" x14ac:dyDescent="0.2">
      <c r="R4870" s="1288"/>
    </row>
    <row r="4871" spans="18:18" s="2" customFormat="1" ht="12.75" x14ac:dyDescent="0.2">
      <c r="R4871" s="1288"/>
    </row>
    <row r="4872" spans="18:18" s="2" customFormat="1" ht="12.75" x14ac:dyDescent="0.2">
      <c r="R4872" s="1288"/>
    </row>
    <row r="4873" spans="18:18" s="2" customFormat="1" ht="12.75" x14ac:dyDescent="0.2">
      <c r="R4873" s="1288"/>
    </row>
    <row r="4874" spans="18:18" s="2" customFormat="1" ht="12.75" x14ac:dyDescent="0.2">
      <c r="R4874" s="1288"/>
    </row>
    <row r="4875" spans="18:18" s="2" customFormat="1" ht="12.75" x14ac:dyDescent="0.2">
      <c r="R4875" s="1288"/>
    </row>
    <row r="4876" spans="18:18" s="2" customFormat="1" ht="12.75" x14ac:dyDescent="0.2">
      <c r="R4876" s="1288"/>
    </row>
    <row r="4877" spans="18:18" s="2" customFormat="1" ht="12.75" x14ac:dyDescent="0.2">
      <c r="R4877" s="1288"/>
    </row>
    <row r="4878" spans="18:18" s="2" customFormat="1" ht="12.75" x14ac:dyDescent="0.2">
      <c r="R4878" s="1288"/>
    </row>
    <row r="4879" spans="18:18" s="2" customFormat="1" ht="12.75" x14ac:dyDescent="0.2">
      <c r="R4879" s="1288"/>
    </row>
    <row r="4880" spans="18:18" s="2" customFormat="1" ht="12.75" x14ac:dyDescent="0.2">
      <c r="R4880" s="1288"/>
    </row>
    <row r="4881" spans="18:18" s="2" customFormat="1" ht="12.75" x14ac:dyDescent="0.2">
      <c r="R4881" s="1288"/>
    </row>
    <row r="4882" spans="18:18" s="2" customFormat="1" ht="12.75" x14ac:dyDescent="0.2">
      <c r="R4882" s="1288"/>
    </row>
    <row r="4883" spans="18:18" s="2" customFormat="1" ht="12.75" x14ac:dyDescent="0.2">
      <c r="R4883" s="1288"/>
    </row>
    <row r="4884" spans="18:18" s="2" customFormat="1" ht="12.75" x14ac:dyDescent="0.2">
      <c r="R4884" s="1288"/>
    </row>
    <row r="4885" spans="18:18" s="2" customFormat="1" ht="12.75" x14ac:dyDescent="0.2">
      <c r="R4885" s="1288"/>
    </row>
    <row r="4886" spans="18:18" s="2" customFormat="1" ht="12.75" x14ac:dyDescent="0.2">
      <c r="R4886" s="1288"/>
    </row>
    <row r="4887" spans="18:18" s="2" customFormat="1" ht="12.75" x14ac:dyDescent="0.2">
      <c r="R4887" s="1288"/>
    </row>
    <row r="4888" spans="18:18" s="2" customFormat="1" ht="12.75" x14ac:dyDescent="0.2">
      <c r="R4888" s="1288"/>
    </row>
    <row r="4889" spans="18:18" s="2" customFormat="1" ht="12.75" x14ac:dyDescent="0.2">
      <c r="R4889" s="1288"/>
    </row>
    <row r="4890" spans="18:18" s="2" customFormat="1" ht="12.75" x14ac:dyDescent="0.2">
      <c r="R4890" s="1288"/>
    </row>
    <row r="4891" spans="18:18" s="2" customFormat="1" ht="12.75" x14ac:dyDescent="0.2">
      <c r="R4891" s="1288"/>
    </row>
    <row r="4892" spans="18:18" s="2" customFormat="1" ht="12.75" x14ac:dyDescent="0.2">
      <c r="R4892" s="1288"/>
    </row>
    <row r="4893" spans="18:18" s="2" customFormat="1" ht="12.75" x14ac:dyDescent="0.2">
      <c r="R4893" s="1288"/>
    </row>
    <row r="4894" spans="18:18" s="2" customFormat="1" ht="12.75" x14ac:dyDescent="0.2">
      <c r="R4894" s="1288"/>
    </row>
    <row r="4895" spans="18:18" s="2" customFormat="1" ht="12.75" x14ac:dyDescent="0.2">
      <c r="R4895" s="1288"/>
    </row>
    <row r="4896" spans="18:18" s="2" customFormat="1" ht="12.75" x14ac:dyDescent="0.2">
      <c r="R4896" s="1288"/>
    </row>
    <row r="4897" spans="18:18" s="2" customFormat="1" ht="12.75" x14ac:dyDescent="0.2">
      <c r="R4897" s="1288"/>
    </row>
    <row r="4898" spans="18:18" s="2" customFormat="1" ht="12.75" x14ac:dyDescent="0.2">
      <c r="R4898" s="1288"/>
    </row>
    <row r="4899" spans="18:18" s="2" customFormat="1" ht="12.75" x14ac:dyDescent="0.2">
      <c r="R4899" s="1288"/>
    </row>
    <row r="4900" spans="18:18" s="2" customFormat="1" ht="12.75" x14ac:dyDescent="0.2">
      <c r="R4900" s="1288"/>
    </row>
    <row r="4901" spans="18:18" s="2" customFormat="1" ht="12.75" x14ac:dyDescent="0.2">
      <c r="R4901" s="1288"/>
    </row>
    <row r="4902" spans="18:18" s="2" customFormat="1" ht="12.75" x14ac:dyDescent="0.2">
      <c r="R4902" s="1288"/>
    </row>
    <row r="4903" spans="18:18" s="2" customFormat="1" ht="12.75" x14ac:dyDescent="0.2">
      <c r="R4903" s="1288"/>
    </row>
    <row r="4904" spans="18:18" s="2" customFormat="1" ht="12.75" x14ac:dyDescent="0.2">
      <c r="R4904" s="1288"/>
    </row>
    <row r="4905" spans="18:18" s="2" customFormat="1" ht="12.75" x14ac:dyDescent="0.2">
      <c r="R4905" s="1288"/>
    </row>
    <row r="4906" spans="18:18" s="2" customFormat="1" ht="12.75" x14ac:dyDescent="0.2">
      <c r="R4906" s="1288"/>
    </row>
    <row r="4907" spans="18:18" s="2" customFormat="1" ht="12.75" x14ac:dyDescent="0.2">
      <c r="R4907" s="1288"/>
    </row>
    <row r="4908" spans="18:18" s="2" customFormat="1" ht="12.75" x14ac:dyDescent="0.2">
      <c r="R4908" s="1288"/>
    </row>
    <row r="4909" spans="18:18" s="2" customFormat="1" ht="12.75" x14ac:dyDescent="0.2">
      <c r="R4909" s="1288"/>
    </row>
    <row r="4910" spans="18:18" s="2" customFormat="1" ht="12.75" x14ac:dyDescent="0.2">
      <c r="R4910" s="1288"/>
    </row>
    <row r="4911" spans="18:18" s="2" customFormat="1" ht="12.75" x14ac:dyDescent="0.2">
      <c r="R4911" s="1288"/>
    </row>
    <row r="4912" spans="18:18" s="2" customFormat="1" ht="12.75" x14ac:dyDescent="0.2">
      <c r="R4912" s="1288"/>
    </row>
    <row r="4913" spans="18:18" s="2" customFormat="1" ht="12.75" x14ac:dyDescent="0.2">
      <c r="R4913" s="1288"/>
    </row>
    <row r="4914" spans="18:18" s="2" customFormat="1" ht="12.75" x14ac:dyDescent="0.2">
      <c r="R4914" s="1288"/>
    </row>
    <row r="4915" spans="18:18" s="2" customFormat="1" ht="12.75" x14ac:dyDescent="0.2">
      <c r="R4915" s="1288"/>
    </row>
    <row r="4916" spans="18:18" s="2" customFormat="1" ht="12.75" x14ac:dyDescent="0.2">
      <c r="R4916" s="1288"/>
    </row>
    <row r="4917" spans="18:18" s="2" customFormat="1" ht="12.75" x14ac:dyDescent="0.2">
      <c r="R4917" s="1288"/>
    </row>
    <row r="4918" spans="18:18" s="2" customFormat="1" ht="12.75" x14ac:dyDescent="0.2">
      <c r="R4918" s="1288"/>
    </row>
    <row r="4919" spans="18:18" s="2" customFormat="1" ht="12.75" x14ac:dyDescent="0.2">
      <c r="R4919" s="1288"/>
    </row>
    <row r="4920" spans="18:18" s="2" customFormat="1" ht="12.75" x14ac:dyDescent="0.2">
      <c r="R4920" s="1288"/>
    </row>
    <row r="4921" spans="18:18" s="2" customFormat="1" ht="12.75" x14ac:dyDescent="0.2">
      <c r="R4921" s="1288"/>
    </row>
    <row r="4922" spans="18:18" s="2" customFormat="1" ht="12.75" x14ac:dyDescent="0.2">
      <c r="R4922" s="1288"/>
    </row>
    <row r="4923" spans="18:18" s="2" customFormat="1" ht="12.75" x14ac:dyDescent="0.2">
      <c r="R4923" s="1288"/>
    </row>
    <row r="4924" spans="18:18" s="2" customFormat="1" ht="12.75" x14ac:dyDescent="0.2">
      <c r="R4924" s="1288"/>
    </row>
    <row r="4925" spans="18:18" s="2" customFormat="1" ht="12.75" x14ac:dyDescent="0.2">
      <c r="R4925" s="1288"/>
    </row>
    <row r="4926" spans="18:18" s="2" customFormat="1" ht="12.75" x14ac:dyDescent="0.2">
      <c r="R4926" s="1288"/>
    </row>
    <row r="4927" spans="18:18" s="2" customFormat="1" ht="12.75" x14ac:dyDescent="0.2">
      <c r="R4927" s="1288"/>
    </row>
    <row r="4928" spans="18:18" s="2" customFormat="1" ht="12.75" x14ac:dyDescent="0.2">
      <c r="R4928" s="1288"/>
    </row>
    <row r="4929" spans="18:18" s="2" customFormat="1" ht="12.75" x14ac:dyDescent="0.2">
      <c r="R4929" s="1288"/>
    </row>
    <row r="4930" spans="18:18" s="2" customFormat="1" ht="12.75" x14ac:dyDescent="0.2">
      <c r="R4930" s="1288"/>
    </row>
    <row r="4931" spans="18:18" s="2" customFormat="1" ht="12.75" x14ac:dyDescent="0.2">
      <c r="R4931" s="1288"/>
    </row>
    <row r="4932" spans="18:18" s="2" customFormat="1" ht="12.75" x14ac:dyDescent="0.2">
      <c r="R4932" s="1288"/>
    </row>
    <row r="4933" spans="18:18" s="2" customFormat="1" ht="12.75" x14ac:dyDescent="0.2">
      <c r="R4933" s="1288"/>
    </row>
    <row r="4934" spans="18:18" s="2" customFormat="1" ht="12.75" x14ac:dyDescent="0.2">
      <c r="R4934" s="1288"/>
    </row>
    <row r="4935" spans="18:18" s="2" customFormat="1" ht="12.75" x14ac:dyDescent="0.2">
      <c r="R4935" s="1288"/>
    </row>
    <row r="4936" spans="18:18" s="2" customFormat="1" ht="12.75" x14ac:dyDescent="0.2">
      <c r="R4936" s="1288"/>
    </row>
    <row r="4937" spans="18:18" s="2" customFormat="1" ht="12.75" x14ac:dyDescent="0.2">
      <c r="R4937" s="1288"/>
    </row>
    <row r="4938" spans="18:18" s="2" customFormat="1" ht="12.75" x14ac:dyDescent="0.2">
      <c r="R4938" s="1288"/>
    </row>
    <row r="4939" spans="18:18" s="2" customFormat="1" ht="12.75" x14ac:dyDescent="0.2">
      <c r="R4939" s="1288"/>
    </row>
    <row r="4940" spans="18:18" s="2" customFormat="1" ht="12.75" x14ac:dyDescent="0.2">
      <c r="R4940" s="1288"/>
    </row>
    <row r="4941" spans="18:18" s="2" customFormat="1" ht="12.75" x14ac:dyDescent="0.2">
      <c r="R4941" s="1288"/>
    </row>
    <row r="4942" spans="18:18" s="2" customFormat="1" ht="12.75" x14ac:dyDescent="0.2">
      <c r="R4942" s="1288"/>
    </row>
    <row r="4943" spans="18:18" s="2" customFormat="1" ht="12.75" x14ac:dyDescent="0.2">
      <c r="R4943" s="1288"/>
    </row>
    <row r="4944" spans="18:18" s="2" customFormat="1" ht="12.75" x14ac:dyDescent="0.2">
      <c r="R4944" s="1288"/>
    </row>
    <row r="4945" spans="18:18" s="2" customFormat="1" ht="12.75" x14ac:dyDescent="0.2">
      <c r="R4945" s="1288"/>
    </row>
    <row r="4946" spans="18:18" s="2" customFormat="1" ht="12.75" x14ac:dyDescent="0.2">
      <c r="R4946" s="1288"/>
    </row>
    <row r="4947" spans="18:18" s="2" customFormat="1" ht="12.75" x14ac:dyDescent="0.2">
      <c r="R4947" s="1288"/>
    </row>
    <row r="4948" spans="18:18" s="2" customFormat="1" ht="12.75" x14ac:dyDescent="0.2">
      <c r="R4948" s="1288"/>
    </row>
    <row r="4949" spans="18:18" s="2" customFormat="1" ht="12.75" x14ac:dyDescent="0.2">
      <c r="R4949" s="1288"/>
    </row>
    <row r="4950" spans="18:18" s="2" customFormat="1" ht="12.75" x14ac:dyDescent="0.2">
      <c r="R4950" s="1288"/>
    </row>
    <row r="4951" spans="18:18" s="2" customFormat="1" ht="12.75" x14ac:dyDescent="0.2">
      <c r="R4951" s="1288"/>
    </row>
    <row r="4952" spans="18:18" s="2" customFormat="1" ht="12.75" x14ac:dyDescent="0.2">
      <c r="R4952" s="1288"/>
    </row>
    <row r="4953" spans="18:18" s="2" customFormat="1" ht="12.75" x14ac:dyDescent="0.2">
      <c r="R4953" s="1288"/>
    </row>
    <row r="4954" spans="18:18" s="2" customFormat="1" ht="12.75" x14ac:dyDescent="0.2">
      <c r="R4954" s="1288"/>
    </row>
    <row r="4955" spans="18:18" s="2" customFormat="1" ht="12.75" x14ac:dyDescent="0.2">
      <c r="R4955" s="1288"/>
    </row>
    <row r="4956" spans="18:18" s="2" customFormat="1" ht="12.75" x14ac:dyDescent="0.2">
      <c r="R4956" s="1288"/>
    </row>
    <row r="4957" spans="18:18" s="2" customFormat="1" ht="12.75" x14ac:dyDescent="0.2">
      <c r="R4957" s="1288"/>
    </row>
    <row r="4958" spans="18:18" s="2" customFormat="1" ht="12.75" x14ac:dyDescent="0.2">
      <c r="R4958" s="1288"/>
    </row>
    <row r="4959" spans="18:18" s="2" customFormat="1" ht="12.75" x14ac:dyDescent="0.2">
      <c r="R4959" s="1288"/>
    </row>
    <row r="4960" spans="18:18" s="2" customFormat="1" ht="12.75" x14ac:dyDescent="0.2">
      <c r="R4960" s="1288"/>
    </row>
    <row r="4961" spans="18:18" s="2" customFormat="1" ht="12.75" x14ac:dyDescent="0.2">
      <c r="R4961" s="1288"/>
    </row>
    <row r="4962" spans="18:18" s="2" customFormat="1" ht="12.75" x14ac:dyDescent="0.2">
      <c r="R4962" s="1288"/>
    </row>
    <row r="4963" spans="18:18" s="2" customFormat="1" ht="12.75" x14ac:dyDescent="0.2">
      <c r="R4963" s="1288"/>
    </row>
    <row r="4964" spans="18:18" s="2" customFormat="1" ht="12.75" x14ac:dyDescent="0.2">
      <c r="R4964" s="1288"/>
    </row>
    <row r="4965" spans="18:18" s="2" customFormat="1" ht="12.75" x14ac:dyDescent="0.2">
      <c r="R4965" s="1288"/>
    </row>
    <row r="4966" spans="18:18" s="2" customFormat="1" ht="12.75" x14ac:dyDescent="0.2">
      <c r="R4966" s="1288"/>
    </row>
    <row r="4967" spans="18:18" s="2" customFormat="1" ht="12.75" x14ac:dyDescent="0.2">
      <c r="R4967" s="1288"/>
    </row>
    <row r="4968" spans="18:18" s="2" customFormat="1" ht="12.75" x14ac:dyDescent="0.2">
      <c r="R4968" s="1288"/>
    </row>
    <row r="4969" spans="18:18" s="2" customFormat="1" ht="12.75" x14ac:dyDescent="0.2">
      <c r="R4969" s="1288"/>
    </row>
    <row r="4970" spans="18:18" s="2" customFormat="1" ht="12.75" x14ac:dyDescent="0.2">
      <c r="R4970" s="1288"/>
    </row>
    <row r="4971" spans="18:18" s="2" customFormat="1" ht="12.75" x14ac:dyDescent="0.2">
      <c r="R4971" s="1288"/>
    </row>
    <row r="4972" spans="18:18" s="2" customFormat="1" ht="12.75" x14ac:dyDescent="0.2">
      <c r="R4972" s="1288"/>
    </row>
    <row r="4973" spans="18:18" s="2" customFormat="1" ht="12.75" x14ac:dyDescent="0.2">
      <c r="R4973" s="1288"/>
    </row>
    <row r="4974" spans="18:18" s="2" customFormat="1" ht="12.75" x14ac:dyDescent="0.2">
      <c r="R4974" s="1288"/>
    </row>
    <row r="4975" spans="18:18" s="2" customFormat="1" ht="12.75" x14ac:dyDescent="0.2">
      <c r="R4975" s="1288"/>
    </row>
    <row r="4976" spans="18:18" s="2" customFormat="1" ht="12.75" x14ac:dyDescent="0.2">
      <c r="R4976" s="1288"/>
    </row>
    <row r="4977" spans="18:18" s="2" customFormat="1" ht="12.75" x14ac:dyDescent="0.2">
      <c r="R4977" s="1288"/>
    </row>
    <row r="4978" spans="18:18" s="2" customFormat="1" ht="12.75" x14ac:dyDescent="0.2">
      <c r="R4978" s="1288"/>
    </row>
    <row r="4979" spans="18:18" s="2" customFormat="1" ht="12.75" x14ac:dyDescent="0.2">
      <c r="R4979" s="1288"/>
    </row>
    <row r="4980" spans="18:18" s="2" customFormat="1" ht="12.75" x14ac:dyDescent="0.2">
      <c r="R4980" s="1288"/>
    </row>
    <row r="4981" spans="18:18" s="2" customFormat="1" ht="12.75" x14ac:dyDescent="0.2">
      <c r="R4981" s="1288"/>
    </row>
    <row r="4982" spans="18:18" s="2" customFormat="1" ht="12.75" x14ac:dyDescent="0.2">
      <c r="R4982" s="1288"/>
    </row>
    <row r="4983" spans="18:18" s="2" customFormat="1" ht="12.75" x14ac:dyDescent="0.2">
      <c r="R4983" s="1288"/>
    </row>
    <row r="4984" spans="18:18" s="2" customFormat="1" ht="12.75" x14ac:dyDescent="0.2">
      <c r="R4984" s="1288"/>
    </row>
    <row r="4985" spans="18:18" s="2" customFormat="1" ht="12.75" x14ac:dyDescent="0.2">
      <c r="R4985" s="1288"/>
    </row>
    <row r="4986" spans="18:18" s="2" customFormat="1" ht="12.75" x14ac:dyDescent="0.2">
      <c r="R4986" s="1288"/>
    </row>
    <row r="4987" spans="18:18" s="2" customFormat="1" ht="12.75" x14ac:dyDescent="0.2">
      <c r="R4987" s="1288"/>
    </row>
    <row r="4988" spans="18:18" s="2" customFormat="1" ht="12.75" x14ac:dyDescent="0.2">
      <c r="R4988" s="1288"/>
    </row>
    <row r="4989" spans="18:18" s="2" customFormat="1" ht="12.75" x14ac:dyDescent="0.2">
      <c r="R4989" s="1288"/>
    </row>
    <row r="4990" spans="18:18" s="2" customFormat="1" ht="12.75" x14ac:dyDescent="0.2">
      <c r="R4990" s="1288"/>
    </row>
    <row r="4991" spans="18:18" s="2" customFormat="1" ht="12.75" x14ac:dyDescent="0.2">
      <c r="R4991" s="1288"/>
    </row>
    <row r="4992" spans="18:18" s="2" customFormat="1" ht="12.75" x14ac:dyDescent="0.2">
      <c r="R4992" s="1288"/>
    </row>
    <row r="4993" spans="18:18" s="2" customFormat="1" ht="12.75" x14ac:dyDescent="0.2">
      <c r="R4993" s="1288"/>
    </row>
    <row r="4994" spans="18:18" s="2" customFormat="1" ht="12.75" x14ac:dyDescent="0.2">
      <c r="R4994" s="1288"/>
    </row>
    <row r="4995" spans="18:18" s="2" customFormat="1" ht="12.75" x14ac:dyDescent="0.2">
      <c r="R4995" s="1288"/>
    </row>
    <row r="4996" spans="18:18" s="2" customFormat="1" ht="12.75" x14ac:dyDescent="0.2">
      <c r="R4996" s="1288"/>
    </row>
    <row r="4997" spans="18:18" s="2" customFormat="1" ht="12.75" x14ac:dyDescent="0.2">
      <c r="R4997" s="1288"/>
    </row>
    <row r="4998" spans="18:18" s="2" customFormat="1" ht="12.75" x14ac:dyDescent="0.2">
      <c r="R4998" s="1288"/>
    </row>
    <row r="4999" spans="18:18" s="2" customFormat="1" ht="12.75" x14ac:dyDescent="0.2">
      <c r="R4999" s="1288"/>
    </row>
    <row r="5000" spans="18:18" s="2" customFormat="1" ht="12.75" x14ac:dyDescent="0.2">
      <c r="R5000" s="1288"/>
    </row>
    <row r="5001" spans="18:18" s="2" customFormat="1" ht="12.75" x14ac:dyDescent="0.2">
      <c r="R5001" s="1288"/>
    </row>
    <row r="5002" spans="18:18" s="2" customFormat="1" ht="12.75" x14ac:dyDescent="0.2">
      <c r="R5002" s="1288"/>
    </row>
    <row r="5003" spans="18:18" s="2" customFormat="1" ht="12.75" x14ac:dyDescent="0.2">
      <c r="R5003" s="1288"/>
    </row>
    <row r="5004" spans="18:18" s="2" customFormat="1" ht="12.75" x14ac:dyDescent="0.2">
      <c r="R5004" s="1288"/>
    </row>
    <row r="5005" spans="18:18" s="2" customFormat="1" ht="12.75" x14ac:dyDescent="0.2">
      <c r="R5005" s="1288"/>
    </row>
    <row r="5006" spans="18:18" s="2" customFormat="1" ht="12.75" x14ac:dyDescent="0.2">
      <c r="R5006" s="1288"/>
    </row>
    <row r="5007" spans="18:18" s="2" customFormat="1" ht="12.75" x14ac:dyDescent="0.2">
      <c r="R5007" s="1288"/>
    </row>
    <row r="5008" spans="18:18" s="2" customFormat="1" ht="12.75" x14ac:dyDescent="0.2">
      <c r="R5008" s="1288"/>
    </row>
    <row r="5009" spans="18:18" s="2" customFormat="1" ht="12.75" x14ac:dyDescent="0.2">
      <c r="R5009" s="1288"/>
    </row>
    <row r="5010" spans="18:18" s="2" customFormat="1" ht="12.75" x14ac:dyDescent="0.2">
      <c r="R5010" s="1288"/>
    </row>
    <row r="5011" spans="18:18" s="2" customFormat="1" ht="12.75" x14ac:dyDescent="0.2">
      <c r="R5011" s="1288"/>
    </row>
    <row r="5012" spans="18:18" s="2" customFormat="1" ht="12.75" x14ac:dyDescent="0.2">
      <c r="R5012" s="1288"/>
    </row>
    <row r="5013" spans="18:18" s="2" customFormat="1" ht="12.75" x14ac:dyDescent="0.2">
      <c r="R5013" s="1288"/>
    </row>
    <row r="5014" spans="18:18" s="2" customFormat="1" ht="12.75" x14ac:dyDescent="0.2">
      <c r="R5014" s="1288"/>
    </row>
    <row r="5015" spans="18:18" s="2" customFormat="1" ht="12.75" x14ac:dyDescent="0.2">
      <c r="R5015" s="1288"/>
    </row>
    <row r="5016" spans="18:18" s="2" customFormat="1" ht="12.75" x14ac:dyDescent="0.2">
      <c r="R5016" s="1288"/>
    </row>
    <row r="5017" spans="18:18" s="2" customFormat="1" ht="12.75" x14ac:dyDescent="0.2">
      <c r="R5017" s="1288"/>
    </row>
    <row r="5018" spans="18:18" s="2" customFormat="1" ht="12.75" x14ac:dyDescent="0.2">
      <c r="R5018" s="1288"/>
    </row>
    <row r="5019" spans="18:18" s="2" customFormat="1" ht="12.75" x14ac:dyDescent="0.2">
      <c r="R5019" s="1288"/>
    </row>
    <row r="5020" spans="18:18" s="2" customFormat="1" ht="12.75" x14ac:dyDescent="0.2">
      <c r="R5020" s="1288"/>
    </row>
    <row r="5021" spans="18:18" s="2" customFormat="1" ht="12.75" x14ac:dyDescent="0.2">
      <c r="R5021" s="1288"/>
    </row>
    <row r="5022" spans="18:18" s="2" customFormat="1" ht="12.75" x14ac:dyDescent="0.2">
      <c r="R5022" s="1288"/>
    </row>
    <row r="5023" spans="18:18" s="2" customFormat="1" ht="12.75" x14ac:dyDescent="0.2">
      <c r="R5023" s="1288"/>
    </row>
    <row r="5024" spans="18:18" s="2" customFormat="1" ht="12.75" x14ac:dyDescent="0.2">
      <c r="R5024" s="1288"/>
    </row>
    <row r="5025" spans="18:18" s="2" customFormat="1" ht="12.75" x14ac:dyDescent="0.2">
      <c r="R5025" s="1288"/>
    </row>
    <row r="5026" spans="18:18" s="2" customFormat="1" ht="12.75" x14ac:dyDescent="0.2">
      <c r="R5026" s="1288"/>
    </row>
    <row r="5027" spans="18:18" s="2" customFormat="1" ht="12.75" x14ac:dyDescent="0.2">
      <c r="R5027" s="1288"/>
    </row>
    <row r="5028" spans="18:18" s="2" customFormat="1" ht="12.75" x14ac:dyDescent="0.2">
      <c r="R5028" s="1288"/>
    </row>
    <row r="5029" spans="18:18" s="2" customFormat="1" ht="12.75" x14ac:dyDescent="0.2">
      <c r="R5029" s="1288"/>
    </row>
    <row r="5030" spans="18:18" s="2" customFormat="1" ht="12.75" x14ac:dyDescent="0.2">
      <c r="R5030" s="1288"/>
    </row>
    <row r="5031" spans="18:18" s="2" customFormat="1" ht="12.75" x14ac:dyDescent="0.2">
      <c r="R5031" s="1288"/>
    </row>
    <row r="5032" spans="18:18" s="2" customFormat="1" ht="12.75" x14ac:dyDescent="0.2">
      <c r="R5032" s="1288"/>
    </row>
    <row r="5033" spans="18:18" s="2" customFormat="1" ht="12.75" x14ac:dyDescent="0.2">
      <c r="R5033" s="1288"/>
    </row>
    <row r="5034" spans="18:18" s="2" customFormat="1" ht="12.75" x14ac:dyDescent="0.2">
      <c r="R5034" s="1288"/>
    </row>
    <row r="5035" spans="18:18" s="2" customFormat="1" ht="12.75" x14ac:dyDescent="0.2">
      <c r="R5035" s="1288"/>
    </row>
    <row r="5036" spans="18:18" s="2" customFormat="1" ht="12.75" x14ac:dyDescent="0.2">
      <c r="R5036" s="1288"/>
    </row>
    <row r="5037" spans="18:18" s="2" customFormat="1" ht="12.75" x14ac:dyDescent="0.2">
      <c r="R5037" s="1288"/>
    </row>
    <row r="5038" spans="18:18" s="2" customFormat="1" ht="12.75" x14ac:dyDescent="0.2">
      <c r="R5038" s="1288"/>
    </row>
    <row r="5039" spans="18:18" s="2" customFormat="1" ht="12.75" x14ac:dyDescent="0.2">
      <c r="R5039" s="1288"/>
    </row>
    <row r="5040" spans="18:18" s="2" customFormat="1" ht="12.75" x14ac:dyDescent="0.2">
      <c r="R5040" s="1288"/>
    </row>
    <row r="5041" spans="18:18" s="2" customFormat="1" ht="12.75" x14ac:dyDescent="0.2">
      <c r="R5041" s="1288"/>
    </row>
    <row r="5042" spans="18:18" s="2" customFormat="1" ht="12.75" x14ac:dyDescent="0.2">
      <c r="R5042" s="1288"/>
    </row>
    <row r="5043" spans="18:18" s="2" customFormat="1" ht="12.75" x14ac:dyDescent="0.2">
      <c r="R5043" s="1288"/>
    </row>
    <row r="5044" spans="18:18" s="2" customFormat="1" ht="12.75" x14ac:dyDescent="0.2">
      <c r="R5044" s="1288"/>
    </row>
    <row r="5045" spans="18:18" s="2" customFormat="1" ht="12.75" x14ac:dyDescent="0.2">
      <c r="R5045" s="1288"/>
    </row>
    <row r="5046" spans="18:18" s="2" customFormat="1" ht="12.75" x14ac:dyDescent="0.2">
      <c r="R5046" s="1288"/>
    </row>
    <row r="5047" spans="18:18" s="2" customFormat="1" ht="12.75" x14ac:dyDescent="0.2">
      <c r="R5047" s="1288"/>
    </row>
    <row r="5048" spans="18:18" s="2" customFormat="1" ht="12.75" x14ac:dyDescent="0.2">
      <c r="R5048" s="1288"/>
    </row>
    <row r="5049" spans="18:18" s="2" customFormat="1" ht="12.75" x14ac:dyDescent="0.2">
      <c r="R5049" s="1288"/>
    </row>
    <row r="5050" spans="18:18" s="2" customFormat="1" ht="12.75" x14ac:dyDescent="0.2">
      <c r="R5050" s="1288"/>
    </row>
    <row r="5051" spans="18:18" s="2" customFormat="1" ht="12.75" x14ac:dyDescent="0.2">
      <c r="R5051" s="1288"/>
    </row>
    <row r="5052" spans="18:18" s="2" customFormat="1" ht="12.75" x14ac:dyDescent="0.2">
      <c r="R5052" s="1288"/>
    </row>
    <row r="5053" spans="18:18" s="2" customFormat="1" ht="12.75" x14ac:dyDescent="0.2">
      <c r="R5053" s="1288"/>
    </row>
    <row r="5054" spans="18:18" s="2" customFormat="1" ht="12.75" x14ac:dyDescent="0.2">
      <c r="R5054" s="1288"/>
    </row>
    <row r="5055" spans="18:18" s="2" customFormat="1" ht="12.75" x14ac:dyDescent="0.2">
      <c r="R5055" s="1288"/>
    </row>
    <row r="5056" spans="18:18" s="2" customFormat="1" ht="12.75" x14ac:dyDescent="0.2">
      <c r="R5056" s="1288"/>
    </row>
    <row r="5057" spans="18:18" s="2" customFormat="1" ht="12.75" x14ac:dyDescent="0.2">
      <c r="R5057" s="1288"/>
    </row>
    <row r="5058" spans="18:18" s="2" customFormat="1" ht="12.75" x14ac:dyDescent="0.2">
      <c r="R5058" s="1288"/>
    </row>
    <row r="5059" spans="18:18" s="2" customFormat="1" ht="12.75" x14ac:dyDescent="0.2">
      <c r="R5059" s="1288"/>
    </row>
    <row r="5060" spans="18:18" s="2" customFormat="1" ht="12.75" x14ac:dyDescent="0.2">
      <c r="R5060" s="1288"/>
    </row>
    <row r="5061" spans="18:18" s="2" customFormat="1" ht="12.75" x14ac:dyDescent="0.2">
      <c r="R5061" s="1288"/>
    </row>
    <row r="5062" spans="18:18" s="2" customFormat="1" ht="12.75" x14ac:dyDescent="0.2">
      <c r="R5062" s="1288"/>
    </row>
    <row r="5063" spans="18:18" s="2" customFormat="1" ht="12.75" x14ac:dyDescent="0.2">
      <c r="R5063" s="1288"/>
    </row>
    <row r="5064" spans="18:18" s="2" customFormat="1" ht="12.75" x14ac:dyDescent="0.2">
      <c r="R5064" s="1288"/>
    </row>
    <row r="5065" spans="18:18" s="2" customFormat="1" ht="12.75" x14ac:dyDescent="0.2">
      <c r="R5065" s="1288"/>
    </row>
    <row r="5066" spans="18:18" s="2" customFormat="1" ht="12.75" x14ac:dyDescent="0.2">
      <c r="R5066" s="1288"/>
    </row>
    <row r="5067" spans="18:18" s="2" customFormat="1" ht="12.75" x14ac:dyDescent="0.2">
      <c r="R5067" s="1288"/>
    </row>
    <row r="5068" spans="18:18" s="2" customFormat="1" ht="12.75" x14ac:dyDescent="0.2">
      <c r="R5068" s="1288"/>
    </row>
    <row r="5069" spans="18:18" s="2" customFormat="1" ht="12.75" x14ac:dyDescent="0.2">
      <c r="R5069" s="1288"/>
    </row>
    <row r="5070" spans="18:18" s="2" customFormat="1" ht="12.75" x14ac:dyDescent="0.2">
      <c r="R5070" s="1288"/>
    </row>
    <row r="5071" spans="18:18" s="2" customFormat="1" ht="12.75" x14ac:dyDescent="0.2">
      <c r="R5071" s="1288"/>
    </row>
    <row r="5072" spans="18:18" s="2" customFormat="1" ht="12.75" x14ac:dyDescent="0.2">
      <c r="R5072" s="1288"/>
    </row>
    <row r="5073" spans="18:18" s="2" customFormat="1" ht="12.75" x14ac:dyDescent="0.2">
      <c r="R5073" s="1288"/>
    </row>
    <row r="5074" spans="18:18" s="2" customFormat="1" ht="12.75" x14ac:dyDescent="0.2">
      <c r="R5074" s="1288"/>
    </row>
    <row r="5075" spans="18:18" s="2" customFormat="1" ht="12.75" x14ac:dyDescent="0.2">
      <c r="R5075" s="1288"/>
    </row>
    <row r="5076" spans="18:18" s="2" customFormat="1" ht="12.75" x14ac:dyDescent="0.2">
      <c r="R5076" s="1288"/>
    </row>
    <row r="5077" spans="18:18" s="2" customFormat="1" ht="12.75" x14ac:dyDescent="0.2">
      <c r="R5077" s="1288"/>
    </row>
    <row r="5078" spans="18:18" s="2" customFormat="1" ht="12.75" x14ac:dyDescent="0.2">
      <c r="R5078" s="1288"/>
    </row>
    <row r="5079" spans="18:18" s="2" customFormat="1" ht="12.75" x14ac:dyDescent="0.2">
      <c r="R5079" s="1288"/>
    </row>
    <row r="5080" spans="18:18" s="2" customFormat="1" ht="12.75" x14ac:dyDescent="0.2">
      <c r="R5080" s="1288"/>
    </row>
    <row r="5081" spans="18:18" s="2" customFormat="1" ht="12.75" x14ac:dyDescent="0.2">
      <c r="R5081" s="1288"/>
    </row>
    <row r="5082" spans="18:18" s="2" customFormat="1" ht="12.75" x14ac:dyDescent="0.2">
      <c r="R5082" s="1288"/>
    </row>
    <row r="5083" spans="18:18" s="2" customFormat="1" ht="12.75" x14ac:dyDescent="0.2">
      <c r="R5083" s="1288"/>
    </row>
    <row r="5084" spans="18:18" s="2" customFormat="1" ht="12.75" x14ac:dyDescent="0.2">
      <c r="R5084" s="1288"/>
    </row>
    <row r="5085" spans="18:18" s="2" customFormat="1" ht="12.75" x14ac:dyDescent="0.2">
      <c r="R5085" s="1288"/>
    </row>
    <row r="5086" spans="18:18" s="2" customFormat="1" ht="12.75" x14ac:dyDescent="0.2">
      <c r="R5086" s="1288"/>
    </row>
    <row r="5087" spans="18:18" s="2" customFormat="1" ht="12.75" x14ac:dyDescent="0.2">
      <c r="R5087" s="1288"/>
    </row>
    <row r="5088" spans="18:18" s="2" customFormat="1" ht="12.75" x14ac:dyDescent="0.2">
      <c r="R5088" s="1288"/>
    </row>
    <row r="5089" spans="18:18" s="2" customFormat="1" ht="12.75" x14ac:dyDescent="0.2">
      <c r="R5089" s="1288"/>
    </row>
    <row r="5090" spans="18:18" s="2" customFormat="1" ht="12.75" x14ac:dyDescent="0.2">
      <c r="R5090" s="1288"/>
    </row>
    <row r="5091" spans="18:18" s="2" customFormat="1" ht="12.75" x14ac:dyDescent="0.2">
      <c r="R5091" s="1288"/>
    </row>
    <row r="5092" spans="18:18" s="2" customFormat="1" ht="12.75" x14ac:dyDescent="0.2">
      <c r="R5092" s="1288"/>
    </row>
    <row r="5093" spans="18:18" s="2" customFormat="1" ht="12.75" x14ac:dyDescent="0.2">
      <c r="R5093" s="1288"/>
    </row>
    <row r="5094" spans="18:18" s="2" customFormat="1" ht="12.75" x14ac:dyDescent="0.2">
      <c r="R5094" s="1288"/>
    </row>
    <row r="5095" spans="18:18" s="2" customFormat="1" ht="12.75" x14ac:dyDescent="0.2">
      <c r="R5095" s="1288"/>
    </row>
    <row r="5096" spans="18:18" s="2" customFormat="1" ht="12.75" x14ac:dyDescent="0.2">
      <c r="R5096" s="1288"/>
    </row>
    <row r="5097" spans="18:18" s="2" customFormat="1" ht="12.75" x14ac:dyDescent="0.2">
      <c r="R5097" s="1288"/>
    </row>
    <row r="5098" spans="18:18" s="2" customFormat="1" ht="12.75" x14ac:dyDescent="0.2">
      <c r="R5098" s="1288"/>
    </row>
    <row r="5099" spans="18:18" s="2" customFormat="1" ht="12.75" x14ac:dyDescent="0.2">
      <c r="R5099" s="1288"/>
    </row>
    <row r="5100" spans="18:18" s="2" customFormat="1" ht="12.75" x14ac:dyDescent="0.2">
      <c r="R5100" s="1288"/>
    </row>
    <row r="5101" spans="18:18" s="2" customFormat="1" ht="12.75" x14ac:dyDescent="0.2">
      <c r="R5101" s="1288"/>
    </row>
    <row r="5102" spans="18:18" s="2" customFormat="1" ht="12.75" x14ac:dyDescent="0.2">
      <c r="R5102" s="1288"/>
    </row>
    <row r="5103" spans="18:18" s="2" customFormat="1" ht="12.75" x14ac:dyDescent="0.2">
      <c r="R5103" s="1288"/>
    </row>
    <row r="5104" spans="18:18" s="2" customFormat="1" ht="12.75" x14ac:dyDescent="0.2">
      <c r="R5104" s="1288"/>
    </row>
    <row r="5105" spans="18:18" s="2" customFormat="1" ht="12.75" x14ac:dyDescent="0.2">
      <c r="R5105" s="1288"/>
    </row>
    <row r="5106" spans="18:18" s="2" customFormat="1" ht="12.75" x14ac:dyDescent="0.2">
      <c r="R5106" s="1288"/>
    </row>
    <row r="5107" spans="18:18" s="2" customFormat="1" ht="12.75" x14ac:dyDescent="0.2">
      <c r="R5107" s="1288"/>
    </row>
    <row r="5108" spans="18:18" s="2" customFormat="1" ht="12.75" x14ac:dyDescent="0.2">
      <c r="R5108" s="1288"/>
    </row>
    <row r="5109" spans="18:18" s="2" customFormat="1" ht="12.75" x14ac:dyDescent="0.2">
      <c r="R5109" s="1288"/>
    </row>
    <row r="5110" spans="18:18" s="2" customFormat="1" ht="12.75" x14ac:dyDescent="0.2">
      <c r="R5110" s="1288"/>
    </row>
    <row r="5111" spans="18:18" s="2" customFormat="1" ht="12.75" x14ac:dyDescent="0.2">
      <c r="R5111" s="1288"/>
    </row>
    <row r="5112" spans="18:18" s="2" customFormat="1" ht="12.75" x14ac:dyDescent="0.2">
      <c r="R5112" s="1288"/>
    </row>
    <row r="5113" spans="18:18" s="2" customFormat="1" ht="12.75" x14ac:dyDescent="0.2">
      <c r="R5113" s="1288"/>
    </row>
    <row r="5114" spans="18:18" s="2" customFormat="1" ht="12.75" x14ac:dyDescent="0.2">
      <c r="R5114" s="1288"/>
    </row>
    <row r="5115" spans="18:18" s="2" customFormat="1" ht="12.75" x14ac:dyDescent="0.2">
      <c r="R5115" s="1288"/>
    </row>
    <row r="5116" spans="18:18" s="2" customFormat="1" ht="12.75" x14ac:dyDescent="0.2">
      <c r="R5116" s="1288"/>
    </row>
    <row r="5117" spans="18:18" s="2" customFormat="1" ht="12.75" x14ac:dyDescent="0.2">
      <c r="R5117" s="1288"/>
    </row>
    <row r="5118" spans="18:18" s="2" customFormat="1" ht="12.75" x14ac:dyDescent="0.2">
      <c r="R5118" s="1288"/>
    </row>
    <row r="5119" spans="18:18" s="2" customFormat="1" ht="12.75" x14ac:dyDescent="0.2">
      <c r="R5119" s="1288"/>
    </row>
    <row r="5120" spans="18:18" s="2" customFormat="1" ht="12.75" x14ac:dyDescent="0.2">
      <c r="R5120" s="1288"/>
    </row>
    <row r="5121" spans="18:18" s="2" customFormat="1" ht="12.75" x14ac:dyDescent="0.2">
      <c r="R5121" s="1288"/>
    </row>
    <row r="5122" spans="18:18" s="2" customFormat="1" ht="12.75" x14ac:dyDescent="0.2">
      <c r="R5122" s="1288"/>
    </row>
    <row r="5123" spans="18:18" s="2" customFormat="1" ht="12.75" x14ac:dyDescent="0.2">
      <c r="R5123" s="1288"/>
    </row>
    <row r="5124" spans="18:18" s="2" customFormat="1" ht="12.75" x14ac:dyDescent="0.2">
      <c r="R5124" s="1288"/>
    </row>
    <row r="5125" spans="18:18" s="2" customFormat="1" ht="12.75" x14ac:dyDescent="0.2">
      <c r="R5125" s="1288"/>
    </row>
    <row r="5126" spans="18:18" s="2" customFormat="1" ht="12.75" x14ac:dyDescent="0.2">
      <c r="R5126" s="1288"/>
    </row>
    <row r="5127" spans="18:18" s="2" customFormat="1" ht="12.75" x14ac:dyDescent="0.2">
      <c r="R5127" s="1288"/>
    </row>
    <row r="5128" spans="18:18" s="2" customFormat="1" ht="12.75" x14ac:dyDescent="0.2">
      <c r="R5128" s="1288"/>
    </row>
    <row r="5129" spans="18:18" s="2" customFormat="1" ht="12.75" x14ac:dyDescent="0.2">
      <c r="R5129" s="1288"/>
    </row>
    <row r="5130" spans="18:18" s="2" customFormat="1" ht="12.75" x14ac:dyDescent="0.2">
      <c r="R5130" s="1288"/>
    </row>
    <row r="5131" spans="18:18" s="2" customFormat="1" ht="12.75" x14ac:dyDescent="0.2">
      <c r="R5131" s="1288"/>
    </row>
    <row r="5132" spans="18:18" s="2" customFormat="1" ht="12.75" x14ac:dyDescent="0.2">
      <c r="R5132" s="1288"/>
    </row>
    <row r="5133" spans="18:18" s="2" customFormat="1" ht="12.75" x14ac:dyDescent="0.2">
      <c r="R5133" s="1288"/>
    </row>
    <row r="5134" spans="18:18" s="2" customFormat="1" ht="12.75" x14ac:dyDescent="0.2">
      <c r="R5134" s="1288"/>
    </row>
    <row r="5135" spans="18:18" s="2" customFormat="1" ht="12.75" x14ac:dyDescent="0.2">
      <c r="R5135" s="1288"/>
    </row>
    <row r="5136" spans="18:18" s="2" customFormat="1" ht="12.75" x14ac:dyDescent="0.2">
      <c r="R5136" s="1288"/>
    </row>
    <row r="5137" spans="18:18" s="2" customFormat="1" ht="12.75" x14ac:dyDescent="0.2">
      <c r="R5137" s="1288"/>
    </row>
    <row r="5138" spans="18:18" s="2" customFormat="1" ht="12.75" x14ac:dyDescent="0.2">
      <c r="R5138" s="1288"/>
    </row>
    <row r="5139" spans="18:18" s="2" customFormat="1" ht="12.75" x14ac:dyDescent="0.2">
      <c r="R5139" s="1288"/>
    </row>
    <row r="5140" spans="18:18" s="2" customFormat="1" ht="12.75" x14ac:dyDescent="0.2">
      <c r="R5140" s="1288"/>
    </row>
    <row r="5141" spans="18:18" s="2" customFormat="1" ht="12.75" x14ac:dyDescent="0.2">
      <c r="R5141" s="1288"/>
    </row>
    <row r="5142" spans="18:18" s="2" customFormat="1" ht="12.75" x14ac:dyDescent="0.2">
      <c r="R5142" s="1288"/>
    </row>
    <row r="5143" spans="18:18" s="2" customFormat="1" ht="12.75" x14ac:dyDescent="0.2">
      <c r="R5143" s="1288"/>
    </row>
    <row r="5144" spans="18:18" s="2" customFormat="1" ht="12.75" x14ac:dyDescent="0.2">
      <c r="R5144" s="1288"/>
    </row>
    <row r="5145" spans="18:18" s="2" customFormat="1" ht="12.75" x14ac:dyDescent="0.2">
      <c r="R5145" s="1288"/>
    </row>
    <row r="5146" spans="18:18" s="2" customFormat="1" ht="12.75" x14ac:dyDescent="0.2">
      <c r="R5146" s="1288"/>
    </row>
    <row r="5147" spans="18:18" s="2" customFormat="1" ht="12.75" x14ac:dyDescent="0.2">
      <c r="R5147" s="1288"/>
    </row>
    <row r="5148" spans="18:18" s="2" customFormat="1" ht="12.75" x14ac:dyDescent="0.2">
      <c r="R5148" s="1288"/>
    </row>
    <row r="5149" spans="18:18" s="2" customFormat="1" ht="12.75" x14ac:dyDescent="0.2">
      <c r="R5149" s="1288"/>
    </row>
    <row r="5150" spans="18:18" s="2" customFormat="1" ht="12.75" x14ac:dyDescent="0.2">
      <c r="R5150" s="1288"/>
    </row>
    <row r="5151" spans="18:18" s="2" customFormat="1" ht="12.75" x14ac:dyDescent="0.2">
      <c r="R5151" s="1288"/>
    </row>
    <row r="5152" spans="18:18" s="2" customFormat="1" ht="12.75" x14ac:dyDescent="0.2">
      <c r="R5152" s="1288"/>
    </row>
    <row r="5153" spans="18:18" s="2" customFormat="1" ht="12.75" x14ac:dyDescent="0.2">
      <c r="R5153" s="1288"/>
    </row>
    <row r="5154" spans="18:18" s="2" customFormat="1" ht="12.75" x14ac:dyDescent="0.2">
      <c r="R5154" s="1288"/>
    </row>
    <row r="5155" spans="18:18" s="2" customFormat="1" ht="12.75" x14ac:dyDescent="0.2">
      <c r="R5155" s="1288"/>
    </row>
    <row r="5156" spans="18:18" s="2" customFormat="1" ht="12.75" x14ac:dyDescent="0.2">
      <c r="R5156" s="1288"/>
    </row>
    <row r="5157" spans="18:18" s="2" customFormat="1" ht="12.75" x14ac:dyDescent="0.2">
      <c r="R5157" s="1288"/>
    </row>
    <row r="5158" spans="18:18" s="2" customFormat="1" ht="12.75" x14ac:dyDescent="0.2">
      <c r="R5158" s="1288"/>
    </row>
    <row r="5159" spans="18:18" s="2" customFormat="1" ht="12.75" x14ac:dyDescent="0.2">
      <c r="R5159" s="1288"/>
    </row>
    <row r="5160" spans="18:18" s="2" customFormat="1" ht="12.75" x14ac:dyDescent="0.2">
      <c r="R5160" s="1288"/>
    </row>
    <row r="5161" spans="18:18" s="2" customFormat="1" ht="12.75" x14ac:dyDescent="0.2">
      <c r="R5161" s="1288"/>
    </row>
    <row r="5162" spans="18:18" s="2" customFormat="1" ht="12.75" x14ac:dyDescent="0.2">
      <c r="R5162" s="1288"/>
    </row>
    <row r="5163" spans="18:18" s="2" customFormat="1" ht="12.75" x14ac:dyDescent="0.2">
      <c r="R5163" s="1288"/>
    </row>
    <row r="5164" spans="18:18" s="2" customFormat="1" ht="12.75" x14ac:dyDescent="0.2">
      <c r="R5164" s="1288"/>
    </row>
    <row r="5165" spans="18:18" s="2" customFormat="1" ht="12.75" x14ac:dyDescent="0.2">
      <c r="R5165" s="1288"/>
    </row>
    <row r="5166" spans="18:18" s="2" customFormat="1" ht="12.75" x14ac:dyDescent="0.2">
      <c r="R5166" s="1288"/>
    </row>
    <row r="5167" spans="18:18" s="2" customFormat="1" ht="12.75" x14ac:dyDescent="0.2">
      <c r="R5167" s="1288"/>
    </row>
    <row r="5168" spans="18:18" s="2" customFormat="1" ht="12.75" x14ac:dyDescent="0.2">
      <c r="R5168" s="1288"/>
    </row>
    <row r="5169" spans="18:18" s="2" customFormat="1" ht="12.75" x14ac:dyDescent="0.2">
      <c r="R5169" s="1288"/>
    </row>
    <row r="5170" spans="18:18" s="2" customFormat="1" ht="12.75" x14ac:dyDescent="0.2">
      <c r="R5170" s="1288"/>
    </row>
    <row r="5171" spans="18:18" s="2" customFormat="1" ht="12.75" x14ac:dyDescent="0.2">
      <c r="R5171" s="1288"/>
    </row>
    <row r="5172" spans="18:18" s="2" customFormat="1" ht="12.75" x14ac:dyDescent="0.2">
      <c r="R5172" s="1288"/>
    </row>
    <row r="5173" spans="18:18" s="2" customFormat="1" ht="12.75" x14ac:dyDescent="0.2">
      <c r="R5173" s="1288"/>
    </row>
    <row r="5174" spans="18:18" s="2" customFormat="1" ht="12.75" x14ac:dyDescent="0.2">
      <c r="R5174" s="1288"/>
    </row>
    <row r="5175" spans="18:18" s="2" customFormat="1" ht="12.75" x14ac:dyDescent="0.2">
      <c r="R5175" s="1288"/>
    </row>
    <row r="5176" spans="18:18" s="2" customFormat="1" ht="12.75" x14ac:dyDescent="0.2">
      <c r="R5176" s="1288"/>
    </row>
    <row r="5177" spans="18:18" s="2" customFormat="1" ht="12.75" x14ac:dyDescent="0.2">
      <c r="R5177" s="1288"/>
    </row>
    <row r="5178" spans="18:18" s="2" customFormat="1" ht="12.75" x14ac:dyDescent="0.2">
      <c r="R5178" s="1288"/>
    </row>
    <row r="5179" spans="18:18" s="2" customFormat="1" ht="12.75" x14ac:dyDescent="0.2">
      <c r="R5179" s="1288"/>
    </row>
    <row r="5180" spans="18:18" s="2" customFormat="1" ht="12.75" x14ac:dyDescent="0.2">
      <c r="R5180" s="1288"/>
    </row>
    <row r="5181" spans="18:18" s="2" customFormat="1" ht="12.75" x14ac:dyDescent="0.2">
      <c r="R5181" s="1288"/>
    </row>
    <row r="5182" spans="18:18" s="2" customFormat="1" ht="12.75" x14ac:dyDescent="0.2">
      <c r="R5182" s="1288"/>
    </row>
    <row r="5183" spans="18:18" s="2" customFormat="1" ht="12.75" x14ac:dyDescent="0.2">
      <c r="R5183" s="1288"/>
    </row>
    <row r="5184" spans="18:18" s="2" customFormat="1" ht="12.75" x14ac:dyDescent="0.2">
      <c r="R5184" s="1288"/>
    </row>
    <row r="5185" spans="18:18" s="2" customFormat="1" ht="12.75" x14ac:dyDescent="0.2">
      <c r="R5185" s="1288"/>
    </row>
    <row r="5186" spans="18:18" s="2" customFormat="1" ht="12.75" x14ac:dyDescent="0.2">
      <c r="R5186" s="1288"/>
    </row>
    <row r="5187" spans="18:18" s="2" customFormat="1" ht="12.75" x14ac:dyDescent="0.2">
      <c r="R5187" s="1288"/>
    </row>
    <row r="5188" spans="18:18" s="2" customFormat="1" ht="12.75" x14ac:dyDescent="0.2">
      <c r="R5188" s="1288"/>
    </row>
    <row r="5189" spans="18:18" s="2" customFormat="1" ht="12.75" x14ac:dyDescent="0.2">
      <c r="R5189" s="1288"/>
    </row>
    <row r="5190" spans="18:18" s="2" customFormat="1" ht="12.75" x14ac:dyDescent="0.2">
      <c r="R5190" s="1288"/>
    </row>
    <row r="5191" spans="18:18" s="2" customFormat="1" ht="12.75" x14ac:dyDescent="0.2">
      <c r="R5191" s="1288"/>
    </row>
    <row r="5192" spans="18:18" s="2" customFormat="1" ht="12.75" x14ac:dyDescent="0.2">
      <c r="R5192" s="1288"/>
    </row>
    <row r="5193" spans="18:18" s="2" customFormat="1" ht="12.75" x14ac:dyDescent="0.2">
      <c r="R5193" s="1288"/>
    </row>
    <row r="5194" spans="18:18" s="2" customFormat="1" ht="12.75" x14ac:dyDescent="0.2">
      <c r="R5194" s="1288"/>
    </row>
    <row r="5195" spans="18:18" s="2" customFormat="1" ht="12.75" x14ac:dyDescent="0.2">
      <c r="R5195" s="1288"/>
    </row>
    <row r="5196" spans="18:18" s="2" customFormat="1" ht="12.75" x14ac:dyDescent="0.2">
      <c r="R5196" s="1288"/>
    </row>
    <row r="5197" spans="18:18" s="2" customFormat="1" ht="12.75" x14ac:dyDescent="0.2">
      <c r="R5197" s="1288"/>
    </row>
    <row r="5198" spans="18:18" s="2" customFormat="1" ht="12.75" x14ac:dyDescent="0.2">
      <c r="R5198" s="1288"/>
    </row>
    <row r="5199" spans="18:18" s="2" customFormat="1" ht="12.75" x14ac:dyDescent="0.2">
      <c r="R5199" s="1288"/>
    </row>
    <row r="5200" spans="18:18" s="2" customFormat="1" ht="12.75" x14ac:dyDescent="0.2">
      <c r="R5200" s="1288"/>
    </row>
    <row r="5201" spans="18:18" s="2" customFormat="1" ht="12.75" x14ac:dyDescent="0.2">
      <c r="R5201" s="1288"/>
    </row>
    <row r="5202" spans="18:18" s="2" customFormat="1" ht="12.75" x14ac:dyDescent="0.2">
      <c r="R5202" s="1288"/>
    </row>
    <row r="5203" spans="18:18" s="2" customFormat="1" ht="12.75" x14ac:dyDescent="0.2">
      <c r="R5203" s="1288"/>
    </row>
    <row r="5204" spans="18:18" s="2" customFormat="1" ht="12.75" x14ac:dyDescent="0.2">
      <c r="R5204" s="1288"/>
    </row>
    <row r="5205" spans="18:18" s="2" customFormat="1" ht="12.75" x14ac:dyDescent="0.2">
      <c r="R5205" s="1288"/>
    </row>
    <row r="5206" spans="18:18" s="2" customFormat="1" ht="12.75" x14ac:dyDescent="0.2">
      <c r="R5206" s="1288"/>
    </row>
    <row r="5207" spans="18:18" s="2" customFormat="1" ht="12.75" x14ac:dyDescent="0.2">
      <c r="R5207" s="1288"/>
    </row>
    <row r="5208" spans="18:18" s="2" customFormat="1" ht="12.75" x14ac:dyDescent="0.2">
      <c r="R5208" s="1288"/>
    </row>
    <row r="5209" spans="18:18" s="2" customFormat="1" ht="12.75" x14ac:dyDescent="0.2">
      <c r="R5209" s="1288"/>
    </row>
    <row r="5210" spans="18:18" s="2" customFormat="1" ht="12.75" x14ac:dyDescent="0.2">
      <c r="R5210" s="1288"/>
    </row>
    <row r="5211" spans="18:18" s="2" customFormat="1" ht="12.75" x14ac:dyDescent="0.2">
      <c r="R5211" s="1288"/>
    </row>
    <row r="5212" spans="18:18" s="2" customFormat="1" ht="12.75" x14ac:dyDescent="0.2">
      <c r="R5212" s="1288"/>
    </row>
    <row r="5213" spans="18:18" s="2" customFormat="1" ht="12.75" x14ac:dyDescent="0.2">
      <c r="R5213" s="1288"/>
    </row>
    <row r="5214" spans="18:18" s="2" customFormat="1" ht="12.75" x14ac:dyDescent="0.2">
      <c r="R5214" s="1288"/>
    </row>
    <row r="5215" spans="18:18" s="2" customFormat="1" ht="12.75" x14ac:dyDescent="0.2">
      <c r="R5215" s="1288"/>
    </row>
    <row r="5216" spans="18:18" s="2" customFormat="1" ht="12.75" x14ac:dyDescent="0.2">
      <c r="R5216" s="1288"/>
    </row>
    <row r="5217" spans="18:18" s="2" customFormat="1" ht="12.75" x14ac:dyDescent="0.2">
      <c r="R5217" s="1288"/>
    </row>
    <row r="5218" spans="18:18" s="2" customFormat="1" ht="12.75" x14ac:dyDescent="0.2">
      <c r="R5218" s="1288"/>
    </row>
    <row r="5219" spans="18:18" s="2" customFormat="1" ht="12.75" x14ac:dyDescent="0.2">
      <c r="R5219" s="1288"/>
    </row>
    <row r="5220" spans="18:18" s="2" customFormat="1" ht="12.75" x14ac:dyDescent="0.2">
      <c r="R5220" s="1288"/>
    </row>
    <row r="5221" spans="18:18" s="2" customFormat="1" ht="12.75" x14ac:dyDescent="0.2">
      <c r="R5221" s="1288"/>
    </row>
    <row r="5222" spans="18:18" s="2" customFormat="1" ht="12.75" x14ac:dyDescent="0.2">
      <c r="R5222" s="1288"/>
    </row>
    <row r="5223" spans="18:18" s="2" customFormat="1" ht="12.75" x14ac:dyDescent="0.2">
      <c r="R5223" s="1288"/>
    </row>
    <row r="5224" spans="18:18" s="2" customFormat="1" ht="12.75" x14ac:dyDescent="0.2">
      <c r="R5224" s="1288"/>
    </row>
    <row r="5225" spans="18:18" s="2" customFormat="1" ht="12.75" x14ac:dyDescent="0.2">
      <c r="R5225" s="1288"/>
    </row>
    <row r="5226" spans="18:18" s="2" customFormat="1" ht="12.75" x14ac:dyDescent="0.2">
      <c r="R5226" s="1288"/>
    </row>
    <row r="5227" spans="18:18" s="2" customFormat="1" ht="12.75" x14ac:dyDescent="0.2">
      <c r="R5227" s="1288"/>
    </row>
    <row r="5228" spans="18:18" s="2" customFormat="1" ht="12.75" x14ac:dyDescent="0.2">
      <c r="R5228" s="1288"/>
    </row>
    <row r="5229" spans="18:18" s="2" customFormat="1" ht="12.75" x14ac:dyDescent="0.2">
      <c r="R5229" s="1288"/>
    </row>
    <row r="5230" spans="18:18" s="2" customFormat="1" ht="12.75" x14ac:dyDescent="0.2">
      <c r="R5230" s="1288"/>
    </row>
    <row r="5231" spans="18:18" s="2" customFormat="1" ht="12.75" x14ac:dyDescent="0.2">
      <c r="R5231" s="1288"/>
    </row>
    <row r="5232" spans="18:18" s="2" customFormat="1" ht="12.75" x14ac:dyDescent="0.2">
      <c r="R5232" s="1288"/>
    </row>
    <row r="5233" spans="18:18" s="2" customFormat="1" ht="12.75" x14ac:dyDescent="0.2">
      <c r="R5233" s="1288"/>
    </row>
    <row r="5234" spans="18:18" s="2" customFormat="1" ht="12.75" x14ac:dyDescent="0.2">
      <c r="R5234" s="1288"/>
    </row>
    <row r="5235" spans="18:18" s="2" customFormat="1" ht="12.75" x14ac:dyDescent="0.2">
      <c r="R5235" s="1288"/>
    </row>
    <row r="5236" spans="18:18" s="2" customFormat="1" ht="12.75" x14ac:dyDescent="0.2">
      <c r="R5236" s="1288"/>
    </row>
    <row r="5237" spans="18:18" s="2" customFormat="1" ht="12.75" x14ac:dyDescent="0.2">
      <c r="R5237" s="1288"/>
    </row>
    <row r="5238" spans="18:18" s="2" customFormat="1" ht="12.75" x14ac:dyDescent="0.2">
      <c r="R5238" s="1288"/>
    </row>
    <row r="5239" spans="18:18" s="2" customFormat="1" ht="12.75" x14ac:dyDescent="0.2">
      <c r="R5239" s="1288"/>
    </row>
    <row r="5240" spans="18:18" s="2" customFormat="1" ht="12.75" x14ac:dyDescent="0.2">
      <c r="R5240" s="1288"/>
    </row>
    <row r="5241" spans="18:18" s="2" customFormat="1" ht="12.75" x14ac:dyDescent="0.2">
      <c r="R5241" s="1288"/>
    </row>
    <row r="5242" spans="18:18" s="2" customFormat="1" ht="12.75" x14ac:dyDescent="0.2">
      <c r="R5242" s="1288"/>
    </row>
    <row r="5243" spans="18:18" s="2" customFormat="1" ht="12.75" x14ac:dyDescent="0.2">
      <c r="R5243" s="1288"/>
    </row>
    <row r="5244" spans="18:18" s="2" customFormat="1" ht="12.75" x14ac:dyDescent="0.2">
      <c r="R5244" s="1288"/>
    </row>
    <row r="5245" spans="18:18" s="2" customFormat="1" ht="12.75" x14ac:dyDescent="0.2">
      <c r="R5245" s="1288"/>
    </row>
    <row r="5246" spans="18:18" s="2" customFormat="1" ht="12.75" x14ac:dyDescent="0.2">
      <c r="R5246" s="1288"/>
    </row>
    <row r="5247" spans="18:18" s="2" customFormat="1" ht="12.75" x14ac:dyDescent="0.2">
      <c r="R5247" s="1288"/>
    </row>
    <row r="5248" spans="18:18" s="2" customFormat="1" ht="12.75" x14ac:dyDescent="0.2">
      <c r="R5248" s="1288"/>
    </row>
    <row r="5249" spans="18:18" s="2" customFormat="1" ht="12.75" x14ac:dyDescent="0.2">
      <c r="R5249" s="1288"/>
    </row>
    <row r="5250" spans="18:18" s="2" customFormat="1" ht="12.75" x14ac:dyDescent="0.2">
      <c r="R5250" s="1288"/>
    </row>
    <row r="5251" spans="18:18" s="2" customFormat="1" ht="12.75" x14ac:dyDescent="0.2">
      <c r="R5251" s="1288"/>
    </row>
    <row r="5252" spans="18:18" s="2" customFormat="1" ht="12.75" x14ac:dyDescent="0.2">
      <c r="R5252" s="1288"/>
    </row>
    <row r="5253" spans="18:18" s="2" customFormat="1" ht="12.75" x14ac:dyDescent="0.2">
      <c r="R5253" s="1288"/>
    </row>
    <row r="5254" spans="18:18" s="2" customFormat="1" ht="12.75" x14ac:dyDescent="0.2">
      <c r="R5254" s="1288"/>
    </row>
    <row r="5255" spans="18:18" s="2" customFormat="1" ht="12.75" x14ac:dyDescent="0.2">
      <c r="R5255" s="1288"/>
    </row>
    <row r="5256" spans="18:18" s="2" customFormat="1" ht="12.75" x14ac:dyDescent="0.2">
      <c r="R5256" s="1288"/>
    </row>
    <row r="5257" spans="18:18" s="2" customFormat="1" ht="12.75" x14ac:dyDescent="0.2">
      <c r="R5257" s="1288"/>
    </row>
    <row r="5258" spans="18:18" s="2" customFormat="1" ht="12.75" x14ac:dyDescent="0.2">
      <c r="R5258" s="1288"/>
    </row>
    <row r="5259" spans="18:18" s="2" customFormat="1" ht="12.75" x14ac:dyDescent="0.2">
      <c r="R5259" s="1288"/>
    </row>
    <row r="5260" spans="18:18" s="2" customFormat="1" ht="12.75" x14ac:dyDescent="0.2">
      <c r="R5260" s="1288"/>
    </row>
    <row r="5261" spans="18:18" s="2" customFormat="1" ht="12.75" x14ac:dyDescent="0.2">
      <c r="R5261" s="1288"/>
    </row>
    <row r="5262" spans="18:18" s="2" customFormat="1" ht="12.75" x14ac:dyDescent="0.2">
      <c r="R5262" s="1288"/>
    </row>
    <row r="5263" spans="18:18" s="2" customFormat="1" ht="12.75" x14ac:dyDescent="0.2">
      <c r="R5263" s="1288"/>
    </row>
    <row r="5264" spans="18:18" s="2" customFormat="1" ht="12.75" x14ac:dyDescent="0.2">
      <c r="R5264" s="1288"/>
    </row>
    <row r="5265" spans="18:18" s="2" customFormat="1" ht="12.75" x14ac:dyDescent="0.2">
      <c r="R5265" s="1288"/>
    </row>
    <row r="5266" spans="18:18" s="2" customFormat="1" ht="12.75" x14ac:dyDescent="0.2">
      <c r="R5266" s="1288"/>
    </row>
    <row r="5267" spans="18:18" s="2" customFormat="1" ht="12.75" x14ac:dyDescent="0.2">
      <c r="R5267" s="1288"/>
    </row>
    <row r="5268" spans="18:18" s="2" customFormat="1" ht="12.75" x14ac:dyDescent="0.2">
      <c r="R5268" s="1288"/>
    </row>
    <row r="5269" spans="18:18" s="2" customFormat="1" ht="12.75" x14ac:dyDescent="0.2">
      <c r="R5269" s="1288"/>
    </row>
    <row r="5270" spans="18:18" s="2" customFormat="1" ht="12.75" x14ac:dyDescent="0.2">
      <c r="R5270" s="1288"/>
    </row>
    <row r="5271" spans="18:18" s="2" customFormat="1" ht="12.75" x14ac:dyDescent="0.2">
      <c r="R5271" s="1288"/>
    </row>
    <row r="5272" spans="18:18" s="2" customFormat="1" ht="12.75" x14ac:dyDescent="0.2">
      <c r="R5272" s="1288"/>
    </row>
    <row r="5273" spans="18:18" s="2" customFormat="1" ht="12.75" x14ac:dyDescent="0.2">
      <c r="R5273" s="1288"/>
    </row>
    <row r="5274" spans="18:18" s="2" customFormat="1" ht="12.75" x14ac:dyDescent="0.2">
      <c r="R5274" s="1288"/>
    </row>
    <row r="5275" spans="18:18" s="2" customFormat="1" ht="12.75" x14ac:dyDescent="0.2">
      <c r="R5275" s="1288"/>
    </row>
    <row r="5276" spans="18:18" s="2" customFormat="1" ht="12.75" x14ac:dyDescent="0.2">
      <c r="R5276" s="1288"/>
    </row>
    <row r="5277" spans="18:18" s="2" customFormat="1" ht="12.75" x14ac:dyDescent="0.2">
      <c r="R5277" s="1288"/>
    </row>
    <row r="5278" spans="18:18" s="2" customFormat="1" ht="12.75" x14ac:dyDescent="0.2">
      <c r="R5278" s="1288"/>
    </row>
    <row r="5279" spans="18:18" s="2" customFormat="1" ht="12.75" x14ac:dyDescent="0.2">
      <c r="R5279" s="1288"/>
    </row>
    <row r="5280" spans="18:18" s="2" customFormat="1" ht="12.75" x14ac:dyDescent="0.2">
      <c r="R5280" s="1288"/>
    </row>
    <row r="5281" spans="18:18" s="2" customFormat="1" ht="12.75" x14ac:dyDescent="0.2">
      <c r="R5281" s="1288"/>
    </row>
    <row r="5282" spans="18:18" s="2" customFormat="1" ht="12.75" x14ac:dyDescent="0.2">
      <c r="R5282" s="1288"/>
    </row>
    <row r="5283" spans="18:18" s="2" customFormat="1" ht="12.75" x14ac:dyDescent="0.2">
      <c r="R5283" s="1288"/>
    </row>
    <row r="5284" spans="18:18" s="2" customFormat="1" ht="12.75" x14ac:dyDescent="0.2">
      <c r="R5284" s="1288"/>
    </row>
    <row r="5285" spans="18:18" s="2" customFormat="1" ht="12.75" x14ac:dyDescent="0.2">
      <c r="R5285" s="1288"/>
    </row>
    <row r="5286" spans="18:18" s="2" customFormat="1" ht="12.75" x14ac:dyDescent="0.2">
      <c r="R5286" s="1288"/>
    </row>
    <row r="5287" spans="18:18" s="2" customFormat="1" ht="12.75" x14ac:dyDescent="0.2">
      <c r="R5287" s="1288"/>
    </row>
    <row r="5288" spans="18:18" s="2" customFormat="1" ht="12.75" x14ac:dyDescent="0.2">
      <c r="R5288" s="1288"/>
    </row>
    <row r="5289" spans="18:18" s="2" customFormat="1" ht="12.75" x14ac:dyDescent="0.2">
      <c r="R5289" s="1288"/>
    </row>
    <row r="5290" spans="18:18" s="2" customFormat="1" ht="12.75" x14ac:dyDescent="0.2">
      <c r="R5290" s="1288"/>
    </row>
    <row r="5291" spans="18:18" s="2" customFormat="1" ht="12.75" x14ac:dyDescent="0.2">
      <c r="R5291" s="1288"/>
    </row>
    <row r="5292" spans="18:18" s="2" customFormat="1" ht="12.75" x14ac:dyDescent="0.2">
      <c r="R5292" s="1288"/>
    </row>
    <row r="5293" spans="18:18" s="2" customFormat="1" ht="12.75" x14ac:dyDescent="0.2">
      <c r="R5293" s="1288"/>
    </row>
    <row r="5294" spans="18:18" s="2" customFormat="1" ht="12.75" x14ac:dyDescent="0.2">
      <c r="R5294" s="1288"/>
    </row>
    <row r="5295" spans="18:18" s="2" customFormat="1" ht="12.75" x14ac:dyDescent="0.2">
      <c r="R5295" s="1288"/>
    </row>
    <row r="5296" spans="18:18" s="2" customFormat="1" ht="12.75" x14ac:dyDescent="0.2">
      <c r="R5296" s="1288"/>
    </row>
    <row r="5297" spans="18:18" s="2" customFormat="1" ht="12.75" x14ac:dyDescent="0.2">
      <c r="R5297" s="1288"/>
    </row>
    <row r="5298" spans="18:18" s="2" customFormat="1" ht="12.75" x14ac:dyDescent="0.2">
      <c r="R5298" s="1288"/>
    </row>
    <row r="5299" spans="18:18" s="2" customFormat="1" ht="12.75" x14ac:dyDescent="0.2">
      <c r="R5299" s="1288"/>
    </row>
    <row r="5300" spans="18:18" s="2" customFormat="1" ht="12.75" x14ac:dyDescent="0.2">
      <c r="R5300" s="1288"/>
    </row>
    <row r="5301" spans="18:18" s="2" customFormat="1" ht="12.75" x14ac:dyDescent="0.2">
      <c r="R5301" s="1288"/>
    </row>
    <row r="5302" spans="18:18" s="2" customFormat="1" ht="12.75" x14ac:dyDescent="0.2">
      <c r="R5302" s="1288"/>
    </row>
    <row r="5303" spans="18:18" s="2" customFormat="1" ht="12.75" x14ac:dyDescent="0.2">
      <c r="R5303" s="1288"/>
    </row>
    <row r="5304" spans="18:18" s="2" customFormat="1" ht="12.75" x14ac:dyDescent="0.2">
      <c r="R5304" s="1288"/>
    </row>
    <row r="5305" spans="18:18" s="2" customFormat="1" ht="12.75" x14ac:dyDescent="0.2">
      <c r="R5305" s="1288"/>
    </row>
    <row r="5306" spans="18:18" s="2" customFormat="1" ht="12.75" x14ac:dyDescent="0.2">
      <c r="R5306" s="1288"/>
    </row>
    <row r="5307" spans="18:18" s="2" customFormat="1" ht="12.75" x14ac:dyDescent="0.2">
      <c r="R5307" s="1288"/>
    </row>
    <row r="5308" spans="18:18" s="2" customFormat="1" ht="12.75" x14ac:dyDescent="0.2">
      <c r="R5308" s="1288"/>
    </row>
    <row r="5309" spans="18:18" s="2" customFormat="1" ht="12.75" x14ac:dyDescent="0.2">
      <c r="R5309" s="1288"/>
    </row>
    <row r="5310" spans="18:18" s="2" customFormat="1" ht="12.75" x14ac:dyDescent="0.2">
      <c r="R5310" s="1288"/>
    </row>
    <row r="5311" spans="18:18" s="2" customFormat="1" ht="12.75" x14ac:dyDescent="0.2">
      <c r="R5311" s="1288"/>
    </row>
    <row r="5312" spans="18:18" s="2" customFormat="1" ht="12.75" x14ac:dyDescent="0.2">
      <c r="R5312" s="1288"/>
    </row>
    <row r="5313" spans="18:18" s="2" customFormat="1" ht="12.75" x14ac:dyDescent="0.2">
      <c r="R5313" s="1288"/>
    </row>
    <row r="5314" spans="18:18" s="2" customFormat="1" ht="12.75" x14ac:dyDescent="0.2">
      <c r="R5314" s="1288"/>
    </row>
    <row r="5315" spans="18:18" s="2" customFormat="1" ht="12.75" x14ac:dyDescent="0.2">
      <c r="R5315" s="1288"/>
    </row>
    <row r="5316" spans="18:18" s="2" customFormat="1" ht="12.75" x14ac:dyDescent="0.2">
      <c r="R5316" s="1288"/>
    </row>
    <row r="5317" spans="18:18" s="2" customFormat="1" ht="12.75" x14ac:dyDescent="0.2">
      <c r="R5317" s="1288"/>
    </row>
    <row r="5318" spans="18:18" s="2" customFormat="1" ht="12.75" x14ac:dyDescent="0.2">
      <c r="R5318" s="1288"/>
    </row>
    <row r="5319" spans="18:18" s="2" customFormat="1" ht="12.75" x14ac:dyDescent="0.2">
      <c r="R5319" s="1288"/>
    </row>
    <row r="5320" spans="18:18" s="2" customFormat="1" ht="12.75" x14ac:dyDescent="0.2">
      <c r="R5320" s="1288"/>
    </row>
    <row r="5321" spans="18:18" s="2" customFormat="1" ht="12.75" x14ac:dyDescent="0.2">
      <c r="R5321" s="1288"/>
    </row>
    <row r="5322" spans="18:18" s="2" customFormat="1" ht="12.75" x14ac:dyDescent="0.2">
      <c r="R5322" s="1288"/>
    </row>
    <row r="5323" spans="18:18" s="2" customFormat="1" ht="12.75" x14ac:dyDescent="0.2">
      <c r="R5323" s="1288"/>
    </row>
    <row r="5324" spans="18:18" s="2" customFormat="1" ht="12.75" x14ac:dyDescent="0.2">
      <c r="R5324" s="1288"/>
    </row>
    <row r="5325" spans="18:18" s="2" customFormat="1" ht="12.75" x14ac:dyDescent="0.2">
      <c r="R5325" s="1288"/>
    </row>
    <row r="5326" spans="18:18" s="2" customFormat="1" ht="12.75" x14ac:dyDescent="0.2">
      <c r="R5326" s="1288"/>
    </row>
    <row r="5327" spans="18:18" s="2" customFormat="1" ht="12.75" x14ac:dyDescent="0.2">
      <c r="R5327" s="1288"/>
    </row>
    <row r="5328" spans="18:18" s="2" customFormat="1" ht="12.75" x14ac:dyDescent="0.2">
      <c r="R5328" s="1288"/>
    </row>
    <row r="5329" spans="18:18" s="2" customFormat="1" ht="12.75" x14ac:dyDescent="0.2">
      <c r="R5329" s="1288"/>
    </row>
    <row r="5330" spans="18:18" s="2" customFormat="1" ht="12.75" x14ac:dyDescent="0.2">
      <c r="R5330" s="1288"/>
    </row>
    <row r="5331" spans="18:18" s="2" customFormat="1" ht="12.75" x14ac:dyDescent="0.2">
      <c r="R5331" s="1288"/>
    </row>
    <row r="5332" spans="18:18" s="2" customFormat="1" ht="12.75" x14ac:dyDescent="0.2">
      <c r="R5332" s="1288"/>
    </row>
    <row r="5333" spans="18:18" s="2" customFormat="1" ht="12.75" x14ac:dyDescent="0.2">
      <c r="R5333" s="1288"/>
    </row>
    <row r="5334" spans="18:18" s="2" customFormat="1" ht="12.75" x14ac:dyDescent="0.2">
      <c r="R5334" s="1288"/>
    </row>
    <row r="5335" spans="18:18" s="2" customFormat="1" ht="12.75" x14ac:dyDescent="0.2">
      <c r="R5335" s="1288"/>
    </row>
    <row r="5336" spans="18:18" s="2" customFormat="1" ht="12.75" x14ac:dyDescent="0.2">
      <c r="R5336" s="1288"/>
    </row>
    <row r="5337" spans="18:18" s="2" customFormat="1" ht="12.75" x14ac:dyDescent="0.2">
      <c r="R5337" s="1288"/>
    </row>
    <row r="5338" spans="18:18" s="2" customFormat="1" ht="12.75" x14ac:dyDescent="0.2">
      <c r="R5338" s="1288"/>
    </row>
    <row r="5339" spans="18:18" s="2" customFormat="1" ht="12.75" x14ac:dyDescent="0.2">
      <c r="R5339" s="1288"/>
    </row>
    <row r="5340" spans="18:18" s="2" customFormat="1" ht="12.75" x14ac:dyDescent="0.2">
      <c r="R5340" s="1288"/>
    </row>
    <row r="5341" spans="18:18" s="2" customFormat="1" ht="12.75" x14ac:dyDescent="0.2">
      <c r="R5341" s="1288"/>
    </row>
    <row r="5342" spans="18:18" s="2" customFormat="1" ht="12.75" x14ac:dyDescent="0.2">
      <c r="R5342" s="1288"/>
    </row>
    <row r="5343" spans="18:18" s="2" customFormat="1" ht="12.75" x14ac:dyDescent="0.2">
      <c r="R5343" s="1288"/>
    </row>
    <row r="5344" spans="18:18" s="2" customFormat="1" ht="12.75" x14ac:dyDescent="0.2">
      <c r="R5344" s="1288"/>
    </row>
    <row r="5345" spans="18:18" s="2" customFormat="1" ht="12.75" x14ac:dyDescent="0.2">
      <c r="R5345" s="1288"/>
    </row>
    <row r="5346" spans="18:18" s="2" customFormat="1" ht="12.75" x14ac:dyDescent="0.2">
      <c r="R5346" s="1288"/>
    </row>
    <row r="5347" spans="18:18" s="2" customFormat="1" ht="12.75" x14ac:dyDescent="0.2">
      <c r="R5347" s="1288"/>
    </row>
    <row r="5348" spans="18:18" s="2" customFormat="1" ht="12.75" x14ac:dyDescent="0.2">
      <c r="R5348" s="1288"/>
    </row>
    <row r="5349" spans="18:18" s="2" customFormat="1" ht="12.75" x14ac:dyDescent="0.2">
      <c r="R5349" s="1288"/>
    </row>
    <row r="5350" spans="18:18" s="2" customFormat="1" ht="12.75" x14ac:dyDescent="0.2">
      <c r="R5350" s="1288"/>
    </row>
    <row r="5351" spans="18:18" s="2" customFormat="1" ht="12.75" x14ac:dyDescent="0.2">
      <c r="R5351" s="1288"/>
    </row>
    <row r="5352" spans="18:18" s="2" customFormat="1" ht="12.75" x14ac:dyDescent="0.2">
      <c r="R5352" s="1288"/>
    </row>
    <row r="5353" spans="18:18" s="2" customFormat="1" ht="12.75" x14ac:dyDescent="0.2">
      <c r="R5353" s="1288"/>
    </row>
    <row r="5354" spans="18:18" s="2" customFormat="1" ht="12.75" x14ac:dyDescent="0.2">
      <c r="R5354" s="1288"/>
    </row>
    <row r="5355" spans="18:18" s="2" customFormat="1" ht="12.75" x14ac:dyDescent="0.2">
      <c r="R5355" s="1288"/>
    </row>
    <row r="5356" spans="18:18" s="2" customFormat="1" ht="12.75" x14ac:dyDescent="0.2">
      <c r="R5356" s="1288"/>
    </row>
    <row r="5357" spans="18:18" s="2" customFormat="1" ht="12.75" x14ac:dyDescent="0.2">
      <c r="R5357" s="1288"/>
    </row>
    <row r="5358" spans="18:18" s="2" customFormat="1" ht="12.75" x14ac:dyDescent="0.2">
      <c r="R5358" s="1288"/>
    </row>
    <row r="5359" spans="18:18" s="2" customFormat="1" ht="12.75" x14ac:dyDescent="0.2">
      <c r="R5359" s="1288"/>
    </row>
    <row r="5360" spans="18:18" s="2" customFormat="1" ht="12.75" x14ac:dyDescent="0.2">
      <c r="R5360" s="1288"/>
    </row>
    <row r="5361" spans="18:18" s="2" customFormat="1" ht="12.75" x14ac:dyDescent="0.2">
      <c r="R5361" s="1288"/>
    </row>
    <row r="5362" spans="18:18" s="2" customFormat="1" ht="12.75" x14ac:dyDescent="0.2">
      <c r="R5362" s="1288"/>
    </row>
    <row r="5363" spans="18:18" s="2" customFormat="1" ht="12.75" x14ac:dyDescent="0.2">
      <c r="R5363" s="1288"/>
    </row>
    <row r="5364" spans="18:18" s="2" customFormat="1" ht="12.75" x14ac:dyDescent="0.2">
      <c r="R5364" s="1288"/>
    </row>
    <row r="5365" spans="18:18" s="2" customFormat="1" ht="12.75" x14ac:dyDescent="0.2">
      <c r="R5365" s="1288"/>
    </row>
    <row r="5366" spans="18:18" s="2" customFormat="1" ht="12.75" x14ac:dyDescent="0.2">
      <c r="R5366" s="1288"/>
    </row>
    <row r="5367" spans="18:18" s="2" customFormat="1" ht="12.75" x14ac:dyDescent="0.2">
      <c r="R5367" s="1288"/>
    </row>
    <row r="5368" spans="18:18" s="2" customFormat="1" ht="12.75" x14ac:dyDescent="0.2">
      <c r="R5368" s="1288"/>
    </row>
    <row r="5369" spans="18:18" s="2" customFormat="1" ht="12.75" x14ac:dyDescent="0.2">
      <c r="R5369" s="1288"/>
    </row>
    <row r="5370" spans="18:18" s="2" customFormat="1" ht="12.75" x14ac:dyDescent="0.2">
      <c r="R5370" s="1288"/>
    </row>
    <row r="5371" spans="18:18" s="2" customFormat="1" ht="12.75" x14ac:dyDescent="0.2">
      <c r="R5371" s="1288"/>
    </row>
    <row r="5372" spans="18:18" s="2" customFormat="1" ht="12.75" x14ac:dyDescent="0.2">
      <c r="R5372" s="1288"/>
    </row>
    <row r="5373" spans="18:18" s="2" customFormat="1" ht="12.75" x14ac:dyDescent="0.2">
      <c r="R5373" s="1288"/>
    </row>
    <row r="5374" spans="18:18" s="2" customFormat="1" ht="12.75" x14ac:dyDescent="0.2">
      <c r="R5374" s="1288"/>
    </row>
    <row r="5375" spans="18:18" s="2" customFormat="1" ht="12.75" x14ac:dyDescent="0.2">
      <c r="R5375" s="1288"/>
    </row>
    <row r="5376" spans="18:18" s="2" customFormat="1" ht="12.75" x14ac:dyDescent="0.2">
      <c r="R5376" s="1288"/>
    </row>
    <row r="5377" spans="18:18" s="2" customFormat="1" ht="12.75" x14ac:dyDescent="0.2">
      <c r="R5377" s="1288"/>
    </row>
    <row r="5378" spans="18:18" s="2" customFormat="1" ht="12.75" x14ac:dyDescent="0.2">
      <c r="R5378" s="1288"/>
    </row>
    <row r="5379" spans="18:18" s="2" customFormat="1" ht="12.75" x14ac:dyDescent="0.2">
      <c r="R5379" s="1288"/>
    </row>
    <row r="5380" spans="18:18" s="2" customFormat="1" ht="12.75" x14ac:dyDescent="0.2">
      <c r="R5380" s="1288"/>
    </row>
    <row r="5381" spans="18:18" s="2" customFormat="1" ht="12.75" x14ac:dyDescent="0.2">
      <c r="R5381" s="1288"/>
    </row>
    <row r="5382" spans="18:18" s="2" customFormat="1" ht="12.75" x14ac:dyDescent="0.2">
      <c r="R5382" s="1288"/>
    </row>
    <row r="5383" spans="18:18" s="2" customFormat="1" ht="12.75" x14ac:dyDescent="0.2">
      <c r="R5383" s="1288"/>
    </row>
    <row r="5384" spans="18:18" s="2" customFormat="1" ht="12.75" x14ac:dyDescent="0.2">
      <c r="R5384" s="1288"/>
    </row>
    <row r="5385" spans="18:18" s="2" customFormat="1" ht="12.75" x14ac:dyDescent="0.2">
      <c r="R5385" s="1288"/>
    </row>
    <row r="5386" spans="18:18" s="2" customFormat="1" ht="12.75" x14ac:dyDescent="0.2">
      <c r="R5386" s="1288"/>
    </row>
    <row r="5387" spans="18:18" s="2" customFormat="1" ht="12.75" x14ac:dyDescent="0.2">
      <c r="R5387" s="1288"/>
    </row>
    <row r="5388" spans="18:18" s="2" customFormat="1" ht="12.75" x14ac:dyDescent="0.2">
      <c r="R5388" s="1288"/>
    </row>
    <row r="5389" spans="18:18" s="2" customFormat="1" ht="12.75" x14ac:dyDescent="0.2">
      <c r="R5389" s="1288"/>
    </row>
    <row r="5390" spans="18:18" s="2" customFormat="1" ht="12.75" x14ac:dyDescent="0.2">
      <c r="R5390" s="1288"/>
    </row>
    <row r="5391" spans="18:18" s="2" customFormat="1" ht="12.75" x14ac:dyDescent="0.2">
      <c r="R5391" s="1288"/>
    </row>
    <row r="5392" spans="18:18" s="2" customFormat="1" ht="12.75" x14ac:dyDescent="0.2">
      <c r="R5392" s="1288"/>
    </row>
    <row r="5393" spans="18:18" s="2" customFormat="1" ht="12.75" x14ac:dyDescent="0.2">
      <c r="R5393" s="1288"/>
    </row>
    <row r="5394" spans="18:18" s="2" customFormat="1" ht="12.75" x14ac:dyDescent="0.2">
      <c r="R5394" s="1288"/>
    </row>
    <row r="5395" spans="18:18" s="2" customFormat="1" ht="12.75" x14ac:dyDescent="0.2">
      <c r="R5395" s="1288"/>
    </row>
    <row r="5396" spans="18:18" s="2" customFormat="1" ht="12.75" x14ac:dyDescent="0.2">
      <c r="R5396" s="1288"/>
    </row>
    <row r="5397" spans="18:18" s="2" customFormat="1" ht="12.75" x14ac:dyDescent="0.2">
      <c r="R5397" s="1288"/>
    </row>
    <row r="5398" spans="18:18" s="2" customFormat="1" ht="12.75" x14ac:dyDescent="0.2">
      <c r="R5398" s="1288"/>
    </row>
    <row r="5399" spans="18:18" s="2" customFormat="1" ht="12.75" x14ac:dyDescent="0.2">
      <c r="R5399" s="1288"/>
    </row>
    <row r="5400" spans="18:18" s="2" customFormat="1" ht="12.75" x14ac:dyDescent="0.2">
      <c r="R5400" s="1288"/>
    </row>
    <row r="5401" spans="18:18" s="2" customFormat="1" ht="12.75" x14ac:dyDescent="0.2">
      <c r="R5401" s="1288"/>
    </row>
    <row r="5402" spans="18:18" s="2" customFormat="1" ht="12.75" x14ac:dyDescent="0.2">
      <c r="R5402" s="1288"/>
    </row>
    <row r="5403" spans="18:18" s="2" customFormat="1" ht="12.75" x14ac:dyDescent="0.2">
      <c r="R5403" s="1288"/>
    </row>
    <row r="5404" spans="18:18" s="2" customFormat="1" ht="12.75" x14ac:dyDescent="0.2">
      <c r="R5404" s="1288"/>
    </row>
    <row r="5405" spans="18:18" s="2" customFormat="1" ht="12.75" x14ac:dyDescent="0.2">
      <c r="R5405" s="1288"/>
    </row>
    <row r="5406" spans="18:18" s="2" customFormat="1" ht="12.75" x14ac:dyDescent="0.2">
      <c r="R5406" s="1288"/>
    </row>
    <row r="5407" spans="18:18" s="2" customFormat="1" ht="12.75" x14ac:dyDescent="0.2">
      <c r="R5407" s="1288"/>
    </row>
    <row r="5408" spans="18:18" s="2" customFormat="1" ht="12.75" x14ac:dyDescent="0.2">
      <c r="R5408" s="1288"/>
    </row>
    <row r="5409" spans="18:18" s="2" customFormat="1" ht="12.75" x14ac:dyDescent="0.2">
      <c r="R5409" s="1288"/>
    </row>
    <row r="5410" spans="18:18" s="2" customFormat="1" ht="12.75" x14ac:dyDescent="0.2">
      <c r="R5410" s="1288"/>
    </row>
    <row r="5411" spans="18:18" s="2" customFormat="1" ht="12.75" x14ac:dyDescent="0.2">
      <c r="R5411" s="1288"/>
    </row>
    <row r="5412" spans="18:18" s="2" customFormat="1" ht="12.75" x14ac:dyDescent="0.2">
      <c r="R5412" s="1288"/>
    </row>
    <row r="5413" spans="18:18" s="2" customFormat="1" ht="12.75" x14ac:dyDescent="0.2">
      <c r="R5413" s="1288"/>
    </row>
    <row r="5414" spans="18:18" s="2" customFormat="1" ht="12.75" x14ac:dyDescent="0.2">
      <c r="R5414" s="1288"/>
    </row>
    <row r="5415" spans="18:18" s="2" customFormat="1" ht="12.75" x14ac:dyDescent="0.2">
      <c r="R5415" s="1288"/>
    </row>
    <row r="5416" spans="18:18" s="2" customFormat="1" ht="12.75" x14ac:dyDescent="0.2">
      <c r="R5416" s="1288"/>
    </row>
    <row r="5417" spans="18:18" s="2" customFormat="1" ht="12.75" x14ac:dyDescent="0.2">
      <c r="R5417" s="1288"/>
    </row>
    <row r="5418" spans="18:18" s="2" customFormat="1" ht="12.75" x14ac:dyDescent="0.2">
      <c r="R5418" s="1288"/>
    </row>
    <row r="5419" spans="18:18" s="2" customFormat="1" ht="12.75" x14ac:dyDescent="0.2">
      <c r="R5419" s="1288"/>
    </row>
    <row r="5420" spans="18:18" s="2" customFormat="1" ht="12.75" x14ac:dyDescent="0.2">
      <c r="R5420" s="1288"/>
    </row>
    <row r="5421" spans="18:18" s="2" customFormat="1" ht="12.75" x14ac:dyDescent="0.2">
      <c r="R5421" s="1288"/>
    </row>
    <row r="5422" spans="18:18" s="2" customFormat="1" ht="12.75" x14ac:dyDescent="0.2">
      <c r="R5422" s="1288"/>
    </row>
    <row r="5423" spans="18:18" s="2" customFormat="1" ht="12.75" x14ac:dyDescent="0.2">
      <c r="R5423" s="1288"/>
    </row>
    <row r="5424" spans="18:18" s="2" customFormat="1" ht="12.75" x14ac:dyDescent="0.2">
      <c r="R5424" s="1288"/>
    </row>
    <row r="5425" spans="18:18" s="2" customFormat="1" ht="12.75" x14ac:dyDescent="0.2">
      <c r="R5425" s="1288"/>
    </row>
    <row r="5426" spans="18:18" s="2" customFormat="1" ht="12.75" x14ac:dyDescent="0.2">
      <c r="R5426" s="1288"/>
    </row>
    <row r="5427" spans="18:18" s="2" customFormat="1" ht="12.75" x14ac:dyDescent="0.2">
      <c r="R5427" s="1288"/>
    </row>
    <row r="5428" spans="18:18" s="2" customFormat="1" ht="12.75" x14ac:dyDescent="0.2">
      <c r="R5428" s="1288"/>
    </row>
    <row r="5429" spans="18:18" s="2" customFormat="1" ht="12.75" x14ac:dyDescent="0.2">
      <c r="R5429" s="1288"/>
    </row>
    <row r="5430" spans="18:18" s="2" customFormat="1" ht="12.75" x14ac:dyDescent="0.2">
      <c r="R5430" s="1288"/>
    </row>
    <row r="5431" spans="18:18" s="2" customFormat="1" ht="12.75" x14ac:dyDescent="0.2">
      <c r="R5431" s="1288"/>
    </row>
    <row r="5432" spans="18:18" s="2" customFormat="1" ht="12.75" x14ac:dyDescent="0.2">
      <c r="R5432" s="1288"/>
    </row>
    <row r="5433" spans="18:18" s="2" customFormat="1" ht="12.75" x14ac:dyDescent="0.2">
      <c r="R5433" s="1288"/>
    </row>
    <row r="5434" spans="18:18" s="2" customFormat="1" ht="12.75" x14ac:dyDescent="0.2">
      <c r="R5434" s="1288"/>
    </row>
    <row r="5435" spans="18:18" s="2" customFormat="1" ht="12.75" x14ac:dyDescent="0.2">
      <c r="R5435" s="1288"/>
    </row>
    <row r="5436" spans="18:18" s="2" customFormat="1" ht="12.75" x14ac:dyDescent="0.2">
      <c r="R5436" s="1288"/>
    </row>
    <row r="5437" spans="18:18" s="2" customFormat="1" ht="12.75" x14ac:dyDescent="0.2">
      <c r="R5437" s="1288"/>
    </row>
    <row r="5438" spans="18:18" s="2" customFormat="1" ht="12.75" x14ac:dyDescent="0.2">
      <c r="R5438" s="1288"/>
    </row>
    <row r="5439" spans="18:18" s="2" customFormat="1" ht="12.75" x14ac:dyDescent="0.2">
      <c r="R5439" s="1288"/>
    </row>
    <row r="5440" spans="18:18" s="2" customFormat="1" ht="12.75" x14ac:dyDescent="0.2">
      <c r="R5440" s="1288"/>
    </row>
    <row r="5441" spans="18:18" s="2" customFormat="1" ht="12.75" x14ac:dyDescent="0.2">
      <c r="R5441" s="1288"/>
    </row>
    <row r="5442" spans="18:18" s="2" customFormat="1" ht="12.75" x14ac:dyDescent="0.2">
      <c r="R5442" s="1288"/>
    </row>
    <row r="5443" spans="18:18" s="2" customFormat="1" ht="12.75" x14ac:dyDescent="0.2">
      <c r="R5443" s="1288"/>
    </row>
    <row r="5444" spans="18:18" s="2" customFormat="1" ht="12.75" x14ac:dyDescent="0.2">
      <c r="R5444" s="1288"/>
    </row>
    <row r="5445" spans="18:18" s="2" customFormat="1" ht="12.75" x14ac:dyDescent="0.2">
      <c r="R5445" s="1288"/>
    </row>
    <row r="5446" spans="18:18" s="2" customFormat="1" ht="12.75" x14ac:dyDescent="0.2">
      <c r="R5446" s="1288"/>
    </row>
    <row r="5447" spans="18:18" s="2" customFormat="1" ht="12.75" x14ac:dyDescent="0.2">
      <c r="R5447" s="1288"/>
    </row>
    <row r="5448" spans="18:18" s="2" customFormat="1" ht="12.75" x14ac:dyDescent="0.2">
      <c r="R5448" s="1288"/>
    </row>
    <row r="5449" spans="18:18" s="2" customFormat="1" ht="12.75" x14ac:dyDescent="0.2">
      <c r="R5449" s="1288"/>
    </row>
    <row r="5450" spans="18:18" s="2" customFormat="1" ht="12.75" x14ac:dyDescent="0.2">
      <c r="R5450" s="1288"/>
    </row>
    <row r="5451" spans="18:18" s="2" customFormat="1" ht="12.75" x14ac:dyDescent="0.2">
      <c r="R5451" s="1288"/>
    </row>
    <row r="5452" spans="18:18" s="2" customFormat="1" ht="12.75" x14ac:dyDescent="0.2">
      <c r="R5452" s="1288"/>
    </row>
    <row r="5453" spans="18:18" s="2" customFormat="1" ht="12.75" x14ac:dyDescent="0.2">
      <c r="R5453" s="1288"/>
    </row>
    <row r="5454" spans="18:18" s="2" customFormat="1" ht="12.75" x14ac:dyDescent="0.2">
      <c r="R5454" s="1288"/>
    </row>
    <row r="5455" spans="18:18" s="2" customFormat="1" ht="12.75" x14ac:dyDescent="0.2">
      <c r="R5455" s="1288"/>
    </row>
    <row r="5456" spans="18:18" s="2" customFormat="1" ht="12.75" x14ac:dyDescent="0.2">
      <c r="R5456" s="1288"/>
    </row>
    <row r="5457" spans="18:18" s="2" customFormat="1" ht="12.75" x14ac:dyDescent="0.2">
      <c r="R5457" s="1288"/>
    </row>
    <row r="5458" spans="18:18" s="2" customFormat="1" ht="12.75" x14ac:dyDescent="0.2">
      <c r="R5458" s="1288"/>
    </row>
    <row r="5459" spans="18:18" s="2" customFormat="1" ht="12.75" x14ac:dyDescent="0.2">
      <c r="R5459" s="1288"/>
    </row>
    <row r="5460" spans="18:18" s="2" customFormat="1" ht="12.75" x14ac:dyDescent="0.2">
      <c r="R5460" s="1288"/>
    </row>
    <row r="5461" spans="18:18" s="2" customFormat="1" ht="12.75" x14ac:dyDescent="0.2">
      <c r="R5461" s="1288"/>
    </row>
    <row r="5462" spans="18:18" s="2" customFormat="1" ht="12.75" x14ac:dyDescent="0.2">
      <c r="R5462" s="1288"/>
    </row>
    <row r="5463" spans="18:18" s="2" customFormat="1" ht="12.75" x14ac:dyDescent="0.2">
      <c r="R5463" s="1288"/>
    </row>
    <row r="5464" spans="18:18" s="2" customFormat="1" ht="12.75" x14ac:dyDescent="0.2">
      <c r="R5464" s="1288"/>
    </row>
    <row r="5465" spans="18:18" s="2" customFormat="1" ht="12.75" x14ac:dyDescent="0.2">
      <c r="R5465" s="1288"/>
    </row>
    <row r="5466" spans="18:18" s="2" customFormat="1" ht="12.75" x14ac:dyDescent="0.2">
      <c r="R5466" s="1288"/>
    </row>
    <row r="5467" spans="18:18" s="2" customFormat="1" ht="12.75" x14ac:dyDescent="0.2">
      <c r="R5467" s="1288"/>
    </row>
    <row r="5468" spans="18:18" s="2" customFormat="1" ht="12.75" x14ac:dyDescent="0.2">
      <c r="R5468" s="1288"/>
    </row>
    <row r="5469" spans="18:18" s="2" customFormat="1" ht="12.75" x14ac:dyDescent="0.2">
      <c r="R5469" s="1288"/>
    </row>
    <row r="5470" spans="18:18" s="2" customFormat="1" ht="12.75" x14ac:dyDescent="0.2">
      <c r="R5470" s="1288"/>
    </row>
    <row r="5471" spans="18:18" s="2" customFormat="1" ht="12.75" x14ac:dyDescent="0.2">
      <c r="R5471" s="1288"/>
    </row>
    <row r="5472" spans="18:18" s="2" customFormat="1" ht="12.75" x14ac:dyDescent="0.2">
      <c r="R5472" s="1288"/>
    </row>
    <row r="5473" spans="18:18" s="2" customFormat="1" ht="12.75" x14ac:dyDescent="0.2">
      <c r="R5473" s="1288"/>
    </row>
    <row r="5474" spans="18:18" s="2" customFormat="1" ht="12.75" x14ac:dyDescent="0.2">
      <c r="R5474" s="1288"/>
    </row>
    <row r="5475" spans="18:18" s="2" customFormat="1" ht="12.75" x14ac:dyDescent="0.2">
      <c r="R5475" s="1288"/>
    </row>
    <row r="5476" spans="18:18" s="2" customFormat="1" ht="12.75" x14ac:dyDescent="0.2">
      <c r="R5476" s="1288"/>
    </row>
    <row r="5477" spans="18:18" s="2" customFormat="1" ht="12.75" x14ac:dyDescent="0.2">
      <c r="R5477" s="1288"/>
    </row>
    <row r="5478" spans="18:18" s="2" customFormat="1" ht="12.75" x14ac:dyDescent="0.2">
      <c r="R5478" s="1288"/>
    </row>
    <row r="5479" spans="18:18" s="2" customFormat="1" ht="12.75" x14ac:dyDescent="0.2">
      <c r="R5479" s="1288"/>
    </row>
    <row r="5480" spans="18:18" s="2" customFormat="1" ht="12.75" x14ac:dyDescent="0.2">
      <c r="R5480" s="1288"/>
    </row>
    <row r="5481" spans="18:18" s="2" customFormat="1" ht="12.75" x14ac:dyDescent="0.2">
      <c r="R5481" s="1288"/>
    </row>
    <row r="5482" spans="18:18" s="2" customFormat="1" ht="12.75" x14ac:dyDescent="0.2">
      <c r="R5482" s="1288"/>
    </row>
    <row r="5483" spans="18:18" s="2" customFormat="1" ht="12.75" x14ac:dyDescent="0.2">
      <c r="R5483" s="1288"/>
    </row>
    <row r="5484" spans="18:18" s="2" customFormat="1" ht="12.75" x14ac:dyDescent="0.2">
      <c r="R5484" s="1288"/>
    </row>
    <row r="5485" spans="18:18" s="2" customFormat="1" ht="12.75" x14ac:dyDescent="0.2">
      <c r="R5485" s="1288"/>
    </row>
    <row r="5486" spans="18:18" s="2" customFormat="1" ht="12.75" x14ac:dyDescent="0.2">
      <c r="R5486" s="1288"/>
    </row>
    <row r="5487" spans="18:18" s="2" customFormat="1" ht="12.75" x14ac:dyDescent="0.2">
      <c r="R5487" s="1288"/>
    </row>
    <row r="5488" spans="18:18" s="2" customFormat="1" ht="12.75" x14ac:dyDescent="0.2">
      <c r="R5488" s="1288"/>
    </row>
    <row r="5489" spans="18:18" s="2" customFormat="1" ht="12.75" x14ac:dyDescent="0.2">
      <c r="R5489" s="1288"/>
    </row>
    <row r="5490" spans="18:18" s="2" customFormat="1" ht="12.75" x14ac:dyDescent="0.2">
      <c r="R5490" s="1288"/>
    </row>
    <row r="5491" spans="18:18" s="2" customFormat="1" ht="12.75" x14ac:dyDescent="0.2">
      <c r="R5491" s="1288"/>
    </row>
    <row r="5492" spans="18:18" s="2" customFormat="1" ht="12.75" x14ac:dyDescent="0.2">
      <c r="R5492" s="1288"/>
    </row>
    <row r="5493" spans="18:18" s="2" customFormat="1" ht="12.75" x14ac:dyDescent="0.2">
      <c r="R5493" s="1288"/>
    </row>
    <row r="5494" spans="18:18" s="2" customFormat="1" ht="12.75" x14ac:dyDescent="0.2">
      <c r="R5494" s="1288"/>
    </row>
    <row r="5495" spans="18:18" s="2" customFormat="1" ht="12.75" x14ac:dyDescent="0.2">
      <c r="R5495" s="1288"/>
    </row>
    <row r="5496" spans="18:18" s="2" customFormat="1" ht="12.75" x14ac:dyDescent="0.2">
      <c r="R5496" s="1288"/>
    </row>
    <row r="5497" spans="18:18" s="2" customFormat="1" ht="12.75" x14ac:dyDescent="0.2">
      <c r="R5497" s="1288"/>
    </row>
    <row r="5498" spans="18:18" s="2" customFormat="1" ht="12.75" x14ac:dyDescent="0.2">
      <c r="R5498" s="1288"/>
    </row>
    <row r="5499" spans="18:18" s="2" customFormat="1" ht="12.75" x14ac:dyDescent="0.2">
      <c r="R5499" s="1288"/>
    </row>
    <row r="5500" spans="18:18" s="2" customFormat="1" ht="12.75" x14ac:dyDescent="0.2">
      <c r="R5500" s="1288"/>
    </row>
    <row r="5501" spans="18:18" s="2" customFormat="1" ht="12.75" x14ac:dyDescent="0.2">
      <c r="R5501" s="1288"/>
    </row>
    <row r="5502" spans="18:18" s="2" customFormat="1" ht="12.75" x14ac:dyDescent="0.2">
      <c r="R5502" s="1288"/>
    </row>
    <row r="5503" spans="18:18" s="2" customFormat="1" ht="12.75" x14ac:dyDescent="0.2">
      <c r="R5503" s="1288"/>
    </row>
    <row r="5504" spans="18:18" s="2" customFormat="1" ht="12.75" x14ac:dyDescent="0.2">
      <c r="R5504" s="1288"/>
    </row>
    <row r="5505" spans="18:18" s="2" customFormat="1" ht="12.75" x14ac:dyDescent="0.2">
      <c r="R5505" s="1288"/>
    </row>
    <row r="5506" spans="18:18" s="2" customFormat="1" ht="12.75" x14ac:dyDescent="0.2">
      <c r="R5506" s="1288"/>
    </row>
    <row r="5507" spans="18:18" s="2" customFormat="1" ht="12.75" x14ac:dyDescent="0.2">
      <c r="R5507" s="1288"/>
    </row>
    <row r="5508" spans="18:18" s="2" customFormat="1" ht="12.75" x14ac:dyDescent="0.2">
      <c r="R5508" s="1288"/>
    </row>
    <row r="5509" spans="18:18" s="2" customFormat="1" ht="12.75" x14ac:dyDescent="0.2">
      <c r="R5509" s="1288"/>
    </row>
    <row r="5510" spans="18:18" s="2" customFormat="1" ht="12.75" x14ac:dyDescent="0.2">
      <c r="R5510" s="1288"/>
    </row>
    <row r="5511" spans="18:18" s="2" customFormat="1" ht="12.75" x14ac:dyDescent="0.2">
      <c r="R5511" s="1288"/>
    </row>
    <row r="5512" spans="18:18" s="2" customFormat="1" ht="12.75" x14ac:dyDescent="0.2">
      <c r="R5512" s="1288"/>
    </row>
    <row r="5513" spans="18:18" s="2" customFormat="1" ht="12.75" x14ac:dyDescent="0.2">
      <c r="R5513" s="1288"/>
    </row>
    <row r="5514" spans="18:18" s="2" customFormat="1" ht="12.75" x14ac:dyDescent="0.2">
      <c r="R5514" s="1288"/>
    </row>
    <row r="5515" spans="18:18" s="2" customFormat="1" ht="12.75" x14ac:dyDescent="0.2">
      <c r="R5515" s="1288"/>
    </row>
    <row r="5516" spans="18:18" s="2" customFormat="1" ht="12.75" x14ac:dyDescent="0.2">
      <c r="R5516" s="1288"/>
    </row>
    <row r="5517" spans="18:18" s="2" customFormat="1" ht="12.75" x14ac:dyDescent="0.2">
      <c r="R5517" s="1288"/>
    </row>
    <row r="5518" spans="18:18" s="2" customFormat="1" ht="12.75" x14ac:dyDescent="0.2">
      <c r="R5518" s="1288"/>
    </row>
    <row r="5519" spans="18:18" s="2" customFormat="1" ht="12.75" x14ac:dyDescent="0.2">
      <c r="R5519" s="1288"/>
    </row>
    <row r="5520" spans="18:18" s="2" customFormat="1" ht="12.75" x14ac:dyDescent="0.2">
      <c r="R5520" s="1288"/>
    </row>
    <row r="5521" spans="18:18" s="2" customFormat="1" ht="12.75" x14ac:dyDescent="0.2">
      <c r="R5521" s="1288"/>
    </row>
    <row r="5522" spans="18:18" s="2" customFormat="1" ht="12.75" x14ac:dyDescent="0.2">
      <c r="R5522" s="1288"/>
    </row>
    <row r="5523" spans="18:18" s="2" customFormat="1" ht="12.75" x14ac:dyDescent="0.2">
      <c r="R5523" s="1288"/>
    </row>
    <row r="5524" spans="18:18" s="2" customFormat="1" ht="12.75" x14ac:dyDescent="0.2">
      <c r="R5524" s="1288"/>
    </row>
    <row r="5525" spans="18:18" s="2" customFormat="1" ht="12.75" x14ac:dyDescent="0.2">
      <c r="R5525" s="1288"/>
    </row>
    <row r="5526" spans="18:18" s="2" customFormat="1" ht="12.75" x14ac:dyDescent="0.2">
      <c r="R5526" s="1288"/>
    </row>
    <row r="5527" spans="18:18" s="2" customFormat="1" ht="12.75" x14ac:dyDescent="0.2">
      <c r="R5527" s="1288"/>
    </row>
    <row r="5528" spans="18:18" s="2" customFormat="1" ht="12.75" x14ac:dyDescent="0.2">
      <c r="R5528" s="1288"/>
    </row>
    <row r="5529" spans="18:18" s="2" customFormat="1" ht="12.75" x14ac:dyDescent="0.2">
      <c r="R5529" s="1288"/>
    </row>
    <row r="5530" spans="18:18" s="2" customFormat="1" ht="12.75" x14ac:dyDescent="0.2">
      <c r="R5530" s="1288"/>
    </row>
    <row r="5531" spans="18:18" s="2" customFormat="1" ht="12.75" x14ac:dyDescent="0.2">
      <c r="R5531" s="1288"/>
    </row>
    <row r="5532" spans="18:18" s="2" customFormat="1" ht="12.75" x14ac:dyDescent="0.2">
      <c r="R5532" s="1288"/>
    </row>
    <row r="5533" spans="18:18" s="2" customFormat="1" ht="12.75" x14ac:dyDescent="0.2">
      <c r="R5533" s="1288"/>
    </row>
    <row r="5534" spans="18:18" s="2" customFormat="1" ht="12.75" x14ac:dyDescent="0.2">
      <c r="R5534" s="1288"/>
    </row>
    <row r="5535" spans="18:18" s="2" customFormat="1" ht="12.75" x14ac:dyDescent="0.2">
      <c r="R5535" s="1288"/>
    </row>
    <row r="5536" spans="18:18" s="2" customFormat="1" ht="12.75" x14ac:dyDescent="0.2">
      <c r="R5536" s="1288"/>
    </row>
    <row r="5537" spans="18:18" s="2" customFormat="1" ht="12.75" x14ac:dyDescent="0.2">
      <c r="R5537" s="1288"/>
    </row>
    <row r="5538" spans="18:18" s="2" customFormat="1" ht="12.75" x14ac:dyDescent="0.2">
      <c r="R5538" s="1288"/>
    </row>
    <row r="5539" spans="18:18" s="2" customFormat="1" ht="12.75" x14ac:dyDescent="0.2">
      <c r="R5539" s="1288"/>
    </row>
    <row r="5540" spans="18:18" s="2" customFormat="1" ht="12.75" x14ac:dyDescent="0.2">
      <c r="R5540" s="1288"/>
    </row>
    <row r="5541" spans="18:18" s="2" customFormat="1" ht="12.75" x14ac:dyDescent="0.2">
      <c r="R5541" s="1288"/>
    </row>
    <row r="5542" spans="18:18" s="2" customFormat="1" ht="12.75" x14ac:dyDescent="0.2">
      <c r="R5542" s="1288"/>
    </row>
    <row r="5543" spans="18:18" s="2" customFormat="1" ht="12.75" x14ac:dyDescent="0.2">
      <c r="R5543" s="1288"/>
    </row>
    <row r="5544" spans="18:18" s="2" customFormat="1" ht="12.75" x14ac:dyDescent="0.2">
      <c r="R5544" s="1288"/>
    </row>
    <row r="5545" spans="18:18" s="2" customFormat="1" ht="12.75" x14ac:dyDescent="0.2">
      <c r="R5545" s="1288"/>
    </row>
    <row r="5546" spans="18:18" s="2" customFormat="1" ht="12.75" x14ac:dyDescent="0.2">
      <c r="R5546" s="1288"/>
    </row>
    <row r="5547" spans="18:18" s="2" customFormat="1" ht="12.75" x14ac:dyDescent="0.2">
      <c r="R5547" s="1288"/>
    </row>
    <row r="5548" spans="18:18" s="2" customFormat="1" ht="12.75" x14ac:dyDescent="0.2">
      <c r="R5548" s="1288"/>
    </row>
    <row r="5549" spans="18:18" s="2" customFormat="1" ht="12.75" x14ac:dyDescent="0.2">
      <c r="R5549" s="1288"/>
    </row>
    <row r="5550" spans="18:18" s="2" customFormat="1" ht="12.75" x14ac:dyDescent="0.2">
      <c r="R5550" s="1288"/>
    </row>
    <row r="5551" spans="18:18" s="2" customFormat="1" ht="12.75" x14ac:dyDescent="0.2">
      <c r="R5551" s="1288"/>
    </row>
    <row r="5552" spans="18:18" s="2" customFormat="1" ht="12.75" x14ac:dyDescent="0.2">
      <c r="R5552" s="1288"/>
    </row>
    <row r="5553" spans="18:18" s="2" customFormat="1" ht="12.75" x14ac:dyDescent="0.2">
      <c r="R5553" s="1288"/>
    </row>
    <row r="5554" spans="18:18" s="2" customFormat="1" ht="12.75" x14ac:dyDescent="0.2">
      <c r="R5554" s="1288"/>
    </row>
    <row r="5555" spans="18:18" s="2" customFormat="1" ht="12.75" x14ac:dyDescent="0.2">
      <c r="R5555" s="1288"/>
    </row>
    <row r="5556" spans="18:18" s="2" customFormat="1" ht="12.75" x14ac:dyDescent="0.2">
      <c r="R5556" s="1288"/>
    </row>
    <row r="5557" spans="18:18" s="2" customFormat="1" ht="12.75" x14ac:dyDescent="0.2">
      <c r="R5557" s="1288"/>
    </row>
    <row r="5558" spans="18:18" s="2" customFormat="1" ht="12.75" x14ac:dyDescent="0.2">
      <c r="R5558" s="1288"/>
    </row>
    <row r="5559" spans="18:18" s="2" customFormat="1" ht="12.75" x14ac:dyDescent="0.2">
      <c r="R5559" s="1288"/>
    </row>
    <row r="5560" spans="18:18" s="2" customFormat="1" ht="12.75" x14ac:dyDescent="0.2">
      <c r="R5560" s="1288"/>
    </row>
    <row r="5561" spans="18:18" s="2" customFormat="1" ht="12.75" x14ac:dyDescent="0.2">
      <c r="R5561" s="1288"/>
    </row>
    <row r="5562" spans="18:18" s="2" customFormat="1" ht="12.75" x14ac:dyDescent="0.2">
      <c r="R5562" s="1288"/>
    </row>
    <row r="5563" spans="18:18" s="2" customFormat="1" ht="12.75" x14ac:dyDescent="0.2">
      <c r="R5563" s="1288"/>
    </row>
    <row r="5564" spans="18:18" s="2" customFormat="1" ht="12.75" x14ac:dyDescent="0.2">
      <c r="R5564" s="1288"/>
    </row>
    <row r="5565" spans="18:18" s="2" customFormat="1" ht="12.75" x14ac:dyDescent="0.2">
      <c r="R5565" s="1288"/>
    </row>
    <row r="5566" spans="18:18" s="2" customFormat="1" ht="12.75" x14ac:dyDescent="0.2">
      <c r="R5566" s="1288"/>
    </row>
    <row r="5567" spans="18:18" s="2" customFormat="1" ht="12.75" x14ac:dyDescent="0.2">
      <c r="R5567" s="1288"/>
    </row>
    <row r="5568" spans="18:18" s="2" customFormat="1" ht="12.75" x14ac:dyDescent="0.2">
      <c r="R5568" s="1288"/>
    </row>
    <row r="5569" spans="18:18" s="2" customFormat="1" ht="12.75" x14ac:dyDescent="0.2">
      <c r="R5569" s="1288"/>
    </row>
    <row r="5570" spans="18:18" s="2" customFormat="1" ht="12.75" x14ac:dyDescent="0.2">
      <c r="R5570" s="1288"/>
    </row>
    <row r="5571" spans="18:18" s="2" customFormat="1" ht="12.75" x14ac:dyDescent="0.2">
      <c r="R5571" s="1288"/>
    </row>
    <row r="5572" spans="18:18" s="2" customFormat="1" ht="12.75" x14ac:dyDescent="0.2">
      <c r="R5572" s="1288"/>
    </row>
    <row r="5573" spans="18:18" s="2" customFormat="1" ht="12.75" x14ac:dyDescent="0.2">
      <c r="R5573" s="1288"/>
    </row>
    <row r="5574" spans="18:18" s="2" customFormat="1" ht="12.75" x14ac:dyDescent="0.2">
      <c r="R5574" s="1288"/>
    </row>
    <row r="5575" spans="18:18" s="2" customFormat="1" ht="12.75" x14ac:dyDescent="0.2">
      <c r="R5575" s="1288"/>
    </row>
    <row r="5576" spans="18:18" s="2" customFormat="1" ht="12.75" x14ac:dyDescent="0.2">
      <c r="R5576" s="1288"/>
    </row>
    <row r="5577" spans="18:18" s="2" customFormat="1" ht="12.75" x14ac:dyDescent="0.2">
      <c r="R5577" s="1288"/>
    </row>
    <row r="5578" spans="18:18" s="2" customFormat="1" ht="12.75" x14ac:dyDescent="0.2">
      <c r="R5578" s="1288"/>
    </row>
    <row r="5579" spans="18:18" s="2" customFormat="1" ht="12.75" x14ac:dyDescent="0.2">
      <c r="R5579" s="1288"/>
    </row>
    <row r="5580" spans="18:18" s="2" customFormat="1" ht="12.75" x14ac:dyDescent="0.2">
      <c r="R5580" s="1288"/>
    </row>
    <row r="5581" spans="18:18" s="2" customFormat="1" ht="12.75" x14ac:dyDescent="0.2">
      <c r="R5581" s="1288"/>
    </row>
    <row r="5582" spans="18:18" s="2" customFormat="1" ht="12.75" x14ac:dyDescent="0.2">
      <c r="R5582" s="1288"/>
    </row>
    <row r="5583" spans="18:18" s="2" customFormat="1" ht="12.75" x14ac:dyDescent="0.2">
      <c r="R5583" s="1288"/>
    </row>
    <row r="5584" spans="18:18" s="2" customFormat="1" ht="12.75" x14ac:dyDescent="0.2">
      <c r="R5584" s="1288"/>
    </row>
    <row r="5585" spans="18:18" s="2" customFormat="1" ht="12.75" x14ac:dyDescent="0.2">
      <c r="R5585" s="1288"/>
    </row>
    <row r="5586" spans="18:18" s="2" customFormat="1" ht="12.75" x14ac:dyDescent="0.2">
      <c r="R5586" s="1288"/>
    </row>
    <row r="5587" spans="18:18" s="2" customFormat="1" ht="12.75" x14ac:dyDescent="0.2">
      <c r="R5587" s="1288"/>
    </row>
    <row r="5588" spans="18:18" s="2" customFormat="1" ht="12.75" x14ac:dyDescent="0.2">
      <c r="R5588" s="1288"/>
    </row>
    <row r="5589" spans="18:18" s="2" customFormat="1" ht="12.75" x14ac:dyDescent="0.2">
      <c r="R5589" s="1288"/>
    </row>
    <row r="5590" spans="18:18" s="2" customFormat="1" ht="12.75" x14ac:dyDescent="0.2">
      <c r="R5590" s="1288"/>
    </row>
    <row r="5591" spans="18:18" s="2" customFormat="1" ht="12.75" x14ac:dyDescent="0.2">
      <c r="R5591" s="1288"/>
    </row>
    <row r="5592" spans="18:18" s="2" customFormat="1" ht="12.75" x14ac:dyDescent="0.2">
      <c r="R5592" s="1288"/>
    </row>
    <row r="5593" spans="18:18" s="2" customFormat="1" ht="12.75" x14ac:dyDescent="0.2">
      <c r="R5593" s="1288"/>
    </row>
    <row r="5594" spans="18:18" s="2" customFormat="1" ht="12.75" x14ac:dyDescent="0.2">
      <c r="R5594" s="1288"/>
    </row>
    <row r="5595" spans="18:18" s="2" customFormat="1" ht="12.75" x14ac:dyDescent="0.2">
      <c r="R5595" s="1288"/>
    </row>
    <row r="5596" spans="18:18" s="2" customFormat="1" ht="12.75" x14ac:dyDescent="0.2">
      <c r="R5596" s="1288"/>
    </row>
    <row r="5597" spans="18:18" s="2" customFormat="1" ht="12.75" x14ac:dyDescent="0.2">
      <c r="R5597" s="1288"/>
    </row>
    <row r="5598" spans="18:18" s="2" customFormat="1" ht="12.75" x14ac:dyDescent="0.2">
      <c r="R5598" s="1288"/>
    </row>
    <row r="5599" spans="18:18" s="2" customFormat="1" ht="12.75" x14ac:dyDescent="0.2">
      <c r="R5599" s="1288"/>
    </row>
    <row r="5600" spans="18:18" s="2" customFormat="1" ht="12.75" x14ac:dyDescent="0.2">
      <c r="R5600" s="1288"/>
    </row>
    <row r="5601" spans="18:18" s="2" customFormat="1" ht="12.75" x14ac:dyDescent="0.2">
      <c r="R5601" s="1288"/>
    </row>
    <row r="5602" spans="18:18" s="2" customFormat="1" ht="12.75" x14ac:dyDescent="0.2">
      <c r="R5602" s="1288"/>
    </row>
    <row r="5603" spans="18:18" s="2" customFormat="1" ht="12.75" x14ac:dyDescent="0.2">
      <c r="R5603" s="1288"/>
    </row>
    <row r="5604" spans="18:18" s="2" customFormat="1" ht="12.75" x14ac:dyDescent="0.2">
      <c r="R5604" s="1288"/>
    </row>
    <row r="5605" spans="18:18" s="2" customFormat="1" ht="12.75" x14ac:dyDescent="0.2">
      <c r="R5605" s="1288"/>
    </row>
    <row r="5606" spans="18:18" s="2" customFormat="1" ht="12.75" x14ac:dyDescent="0.2">
      <c r="R5606" s="1288"/>
    </row>
    <row r="5607" spans="18:18" s="2" customFormat="1" ht="12.75" x14ac:dyDescent="0.2">
      <c r="R5607" s="1288"/>
    </row>
    <row r="5608" spans="18:18" s="2" customFormat="1" ht="12.75" x14ac:dyDescent="0.2">
      <c r="R5608" s="1288"/>
    </row>
    <row r="5609" spans="18:18" s="2" customFormat="1" ht="12.75" x14ac:dyDescent="0.2">
      <c r="R5609" s="1288"/>
    </row>
    <row r="5610" spans="18:18" s="2" customFormat="1" ht="12.75" x14ac:dyDescent="0.2">
      <c r="R5610" s="1288"/>
    </row>
    <row r="5611" spans="18:18" s="2" customFormat="1" ht="12.75" x14ac:dyDescent="0.2">
      <c r="R5611" s="1288"/>
    </row>
    <row r="5612" spans="18:18" s="2" customFormat="1" ht="12.75" x14ac:dyDescent="0.2">
      <c r="R5612" s="1288"/>
    </row>
    <row r="5613" spans="18:18" s="2" customFormat="1" ht="12.75" x14ac:dyDescent="0.2">
      <c r="R5613" s="1288"/>
    </row>
    <row r="5614" spans="18:18" s="2" customFormat="1" ht="12.75" x14ac:dyDescent="0.2">
      <c r="R5614" s="1288"/>
    </row>
    <row r="5615" spans="18:18" s="2" customFormat="1" ht="12.75" x14ac:dyDescent="0.2">
      <c r="R5615" s="1288"/>
    </row>
    <row r="5616" spans="18:18" s="2" customFormat="1" ht="12.75" x14ac:dyDescent="0.2">
      <c r="R5616" s="1288"/>
    </row>
    <row r="5617" spans="18:18" s="2" customFormat="1" ht="12.75" x14ac:dyDescent="0.2">
      <c r="R5617" s="1288"/>
    </row>
    <row r="5618" spans="18:18" s="2" customFormat="1" ht="12.75" x14ac:dyDescent="0.2">
      <c r="R5618" s="1288"/>
    </row>
    <row r="5619" spans="18:18" s="2" customFormat="1" ht="12.75" x14ac:dyDescent="0.2">
      <c r="R5619" s="1288"/>
    </row>
    <row r="5620" spans="18:18" s="2" customFormat="1" ht="12.75" x14ac:dyDescent="0.2">
      <c r="R5620" s="1288"/>
    </row>
    <row r="5621" spans="18:18" s="2" customFormat="1" ht="12.75" x14ac:dyDescent="0.2">
      <c r="R5621" s="1288"/>
    </row>
    <row r="5622" spans="18:18" s="2" customFormat="1" ht="12.75" x14ac:dyDescent="0.2">
      <c r="R5622" s="1288"/>
    </row>
    <row r="5623" spans="18:18" s="2" customFormat="1" ht="12.75" x14ac:dyDescent="0.2">
      <c r="R5623" s="1288"/>
    </row>
    <row r="5624" spans="18:18" s="2" customFormat="1" ht="12.75" x14ac:dyDescent="0.2">
      <c r="R5624" s="1288"/>
    </row>
    <row r="5625" spans="18:18" s="2" customFormat="1" ht="12.75" x14ac:dyDescent="0.2">
      <c r="R5625" s="1288"/>
    </row>
    <row r="5626" spans="18:18" s="2" customFormat="1" ht="12.75" x14ac:dyDescent="0.2">
      <c r="R5626" s="1288"/>
    </row>
    <row r="5627" spans="18:18" s="2" customFormat="1" ht="12.75" x14ac:dyDescent="0.2">
      <c r="R5627" s="1288"/>
    </row>
    <row r="5628" spans="18:18" s="2" customFormat="1" ht="12.75" x14ac:dyDescent="0.2">
      <c r="R5628" s="1288"/>
    </row>
    <row r="5629" spans="18:18" s="2" customFormat="1" ht="12.75" x14ac:dyDescent="0.2">
      <c r="R5629" s="1288"/>
    </row>
    <row r="5630" spans="18:18" s="2" customFormat="1" ht="12.75" x14ac:dyDescent="0.2">
      <c r="R5630" s="1288"/>
    </row>
    <row r="5631" spans="18:18" s="2" customFormat="1" ht="12.75" x14ac:dyDescent="0.2">
      <c r="R5631" s="1288"/>
    </row>
    <row r="5632" spans="18:18" s="2" customFormat="1" ht="12.75" x14ac:dyDescent="0.2">
      <c r="R5632" s="1288"/>
    </row>
    <row r="5633" spans="18:18" s="2" customFormat="1" ht="12.75" x14ac:dyDescent="0.2">
      <c r="R5633" s="1288"/>
    </row>
    <row r="5634" spans="18:18" s="2" customFormat="1" ht="12.75" x14ac:dyDescent="0.2">
      <c r="R5634" s="1288"/>
    </row>
    <row r="5635" spans="18:18" s="2" customFormat="1" ht="12.75" x14ac:dyDescent="0.2">
      <c r="R5635" s="1288"/>
    </row>
    <row r="5636" spans="18:18" s="2" customFormat="1" ht="12.75" x14ac:dyDescent="0.2">
      <c r="R5636" s="1288"/>
    </row>
    <row r="5637" spans="18:18" s="2" customFormat="1" ht="12.75" x14ac:dyDescent="0.2">
      <c r="R5637" s="1288"/>
    </row>
    <row r="5638" spans="18:18" s="2" customFormat="1" ht="12.75" x14ac:dyDescent="0.2">
      <c r="R5638" s="1288"/>
    </row>
    <row r="5639" spans="18:18" s="2" customFormat="1" ht="12.75" x14ac:dyDescent="0.2">
      <c r="R5639" s="1288"/>
    </row>
    <row r="5640" spans="18:18" s="2" customFormat="1" ht="12.75" x14ac:dyDescent="0.2">
      <c r="R5640" s="1288"/>
    </row>
    <row r="5641" spans="18:18" s="2" customFormat="1" ht="12.75" x14ac:dyDescent="0.2">
      <c r="R5641" s="1288"/>
    </row>
    <row r="5642" spans="18:18" s="2" customFormat="1" ht="12.75" x14ac:dyDescent="0.2">
      <c r="R5642" s="1288"/>
    </row>
    <row r="5643" spans="18:18" s="2" customFormat="1" ht="12.75" x14ac:dyDescent="0.2">
      <c r="R5643" s="1288"/>
    </row>
    <row r="5644" spans="18:18" s="2" customFormat="1" ht="12.75" x14ac:dyDescent="0.2">
      <c r="R5644" s="1288"/>
    </row>
    <row r="5645" spans="18:18" s="2" customFormat="1" ht="12.75" x14ac:dyDescent="0.2">
      <c r="R5645" s="1288"/>
    </row>
    <row r="5646" spans="18:18" s="2" customFormat="1" ht="12.75" x14ac:dyDescent="0.2">
      <c r="R5646" s="1288"/>
    </row>
    <row r="5647" spans="18:18" s="2" customFormat="1" ht="12.75" x14ac:dyDescent="0.2">
      <c r="R5647" s="1288"/>
    </row>
    <row r="5648" spans="18:18" s="2" customFormat="1" ht="12.75" x14ac:dyDescent="0.2">
      <c r="R5648" s="1288"/>
    </row>
    <row r="5649" spans="18:18" s="2" customFormat="1" ht="12.75" x14ac:dyDescent="0.2">
      <c r="R5649" s="1288"/>
    </row>
    <row r="5650" spans="18:18" s="2" customFormat="1" ht="12.75" x14ac:dyDescent="0.2">
      <c r="R5650" s="1288"/>
    </row>
    <row r="5651" spans="18:18" s="2" customFormat="1" ht="12.75" x14ac:dyDescent="0.2">
      <c r="R5651" s="1288"/>
    </row>
    <row r="5652" spans="18:18" s="2" customFormat="1" ht="12.75" x14ac:dyDescent="0.2">
      <c r="R5652" s="1288"/>
    </row>
    <row r="5653" spans="18:18" s="2" customFormat="1" ht="12.75" x14ac:dyDescent="0.2">
      <c r="R5653" s="1288"/>
    </row>
    <row r="5654" spans="18:18" s="2" customFormat="1" ht="12.75" x14ac:dyDescent="0.2">
      <c r="R5654" s="1288"/>
    </row>
    <row r="5655" spans="18:18" s="2" customFormat="1" ht="12.75" x14ac:dyDescent="0.2">
      <c r="R5655" s="1288"/>
    </row>
    <row r="5656" spans="18:18" s="2" customFormat="1" ht="12.75" x14ac:dyDescent="0.2">
      <c r="R5656" s="1288"/>
    </row>
    <row r="5657" spans="18:18" s="2" customFormat="1" ht="12.75" x14ac:dyDescent="0.2">
      <c r="R5657" s="1288"/>
    </row>
    <row r="5658" spans="18:18" s="2" customFormat="1" ht="12.75" x14ac:dyDescent="0.2">
      <c r="R5658" s="1288"/>
    </row>
    <row r="5659" spans="18:18" s="2" customFormat="1" ht="12.75" x14ac:dyDescent="0.2">
      <c r="R5659" s="1288"/>
    </row>
    <row r="5660" spans="18:18" s="2" customFormat="1" ht="12.75" x14ac:dyDescent="0.2">
      <c r="R5660" s="1288"/>
    </row>
    <row r="5661" spans="18:18" s="2" customFormat="1" ht="12.75" x14ac:dyDescent="0.2">
      <c r="R5661" s="1288"/>
    </row>
    <row r="5662" spans="18:18" s="2" customFormat="1" ht="12.75" x14ac:dyDescent="0.2">
      <c r="R5662" s="1288"/>
    </row>
    <row r="5663" spans="18:18" s="2" customFormat="1" ht="12.75" x14ac:dyDescent="0.2">
      <c r="R5663" s="1288"/>
    </row>
    <row r="5664" spans="18:18" s="2" customFormat="1" ht="12.75" x14ac:dyDescent="0.2">
      <c r="R5664" s="1288"/>
    </row>
    <row r="5665" spans="18:18" s="2" customFormat="1" ht="12.75" x14ac:dyDescent="0.2">
      <c r="R5665" s="1288"/>
    </row>
    <row r="5666" spans="18:18" s="2" customFormat="1" ht="12.75" x14ac:dyDescent="0.2">
      <c r="R5666" s="1288"/>
    </row>
    <row r="5667" spans="18:18" s="2" customFormat="1" ht="12.75" x14ac:dyDescent="0.2">
      <c r="R5667" s="1288"/>
    </row>
    <row r="5668" spans="18:18" s="2" customFormat="1" ht="12.75" x14ac:dyDescent="0.2">
      <c r="R5668" s="1288"/>
    </row>
    <row r="5669" spans="18:18" s="2" customFormat="1" ht="12.75" x14ac:dyDescent="0.2">
      <c r="R5669" s="1288"/>
    </row>
    <row r="5670" spans="18:18" s="2" customFormat="1" ht="12.75" x14ac:dyDescent="0.2">
      <c r="R5670" s="1288"/>
    </row>
    <row r="5671" spans="18:18" s="2" customFormat="1" ht="12.75" x14ac:dyDescent="0.2">
      <c r="R5671" s="1288"/>
    </row>
    <row r="5672" spans="18:18" s="2" customFormat="1" ht="12.75" x14ac:dyDescent="0.2">
      <c r="R5672" s="1288"/>
    </row>
    <row r="5673" spans="18:18" s="2" customFormat="1" ht="12.75" x14ac:dyDescent="0.2">
      <c r="R5673" s="1288"/>
    </row>
    <row r="5674" spans="18:18" s="2" customFormat="1" ht="12.75" x14ac:dyDescent="0.2">
      <c r="R5674" s="1288"/>
    </row>
    <row r="5675" spans="18:18" s="2" customFormat="1" ht="12.75" x14ac:dyDescent="0.2">
      <c r="R5675" s="1288"/>
    </row>
    <row r="5676" spans="18:18" s="2" customFormat="1" ht="12.75" x14ac:dyDescent="0.2">
      <c r="R5676" s="1288"/>
    </row>
    <row r="5677" spans="18:18" s="2" customFormat="1" ht="12.75" x14ac:dyDescent="0.2">
      <c r="R5677" s="1288"/>
    </row>
    <row r="5678" spans="18:18" s="2" customFormat="1" ht="12.75" x14ac:dyDescent="0.2">
      <c r="R5678" s="1288"/>
    </row>
    <row r="5679" spans="18:18" s="2" customFormat="1" ht="12.75" x14ac:dyDescent="0.2">
      <c r="R5679" s="1288"/>
    </row>
    <row r="5680" spans="18:18" s="2" customFormat="1" ht="12.75" x14ac:dyDescent="0.2">
      <c r="R5680" s="1288"/>
    </row>
    <row r="5681" spans="18:18" s="2" customFormat="1" ht="12.75" x14ac:dyDescent="0.2">
      <c r="R5681" s="1288"/>
    </row>
    <row r="5682" spans="18:18" s="2" customFormat="1" ht="12.75" x14ac:dyDescent="0.2">
      <c r="R5682" s="1288"/>
    </row>
    <row r="5683" spans="18:18" s="2" customFormat="1" ht="12.75" x14ac:dyDescent="0.2">
      <c r="R5683" s="1288"/>
    </row>
    <row r="5684" spans="18:18" s="2" customFormat="1" ht="12.75" x14ac:dyDescent="0.2">
      <c r="R5684" s="1288"/>
    </row>
    <row r="5685" spans="18:18" s="2" customFormat="1" ht="12.75" x14ac:dyDescent="0.2">
      <c r="R5685" s="1288"/>
    </row>
    <row r="5686" spans="18:18" s="2" customFormat="1" ht="12.75" x14ac:dyDescent="0.2">
      <c r="R5686" s="1288"/>
    </row>
    <row r="5687" spans="18:18" s="2" customFormat="1" ht="12.75" x14ac:dyDescent="0.2">
      <c r="R5687" s="1288"/>
    </row>
    <row r="5688" spans="18:18" s="2" customFormat="1" ht="12.75" x14ac:dyDescent="0.2">
      <c r="R5688" s="1288"/>
    </row>
    <row r="5689" spans="18:18" s="2" customFormat="1" ht="12.75" x14ac:dyDescent="0.2">
      <c r="R5689" s="1288"/>
    </row>
    <row r="5690" spans="18:18" s="2" customFormat="1" ht="12.75" x14ac:dyDescent="0.2">
      <c r="R5690" s="1288"/>
    </row>
    <row r="5691" spans="18:18" s="2" customFormat="1" ht="12.75" x14ac:dyDescent="0.2">
      <c r="R5691" s="1288"/>
    </row>
    <row r="5692" spans="18:18" s="2" customFormat="1" ht="12.75" x14ac:dyDescent="0.2">
      <c r="R5692" s="1288"/>
    </row>
    <row r="5693" spans="18:18" s="2" customFormat="1" ht="12.75" x14ac:dyDescent="0.2">
      <c r="R5693" s="1288"/>
    </row>
    <row r="5694" spans="18:18" s="2" customFormat="1" ht="12.75" x14ac:dyDescent="0.2">
      <c r="R5694" s="1288"/>
    </row>
    <row r="5695" spans="18:18" s="2" customFormat="1" ht="12.75" x14ac:dyDescent="0.2">
      <c r="R5695" s="1288"/>
    </row>
    <row r="5696" spans="18:18" s="2" customFormat="1" ht="12.75" x14ac:dyDescent="0.2">
      <c r="R5696" s="1288"/>
    </row>
    <row r="5697" spans="18:18" s="2" customFormat="1" ht="12.75" x14ac:dyDescent="0.2">
      <c r="R5697" s="1288"/>
    </row>
    <row r="5698" spans="18:18" s="2" customFormat="1" ht="12.75" x14ac:dyDescent="0.2">
      <c r="R5698" s="1288"/>
    </row>
    <row r="5699" spans="18:18" s="2" customFormat="1" ht="12.75" x14ac:dyDescent="0.2">
      <c r="R5699" s="1288"/>
    </row>
    <row r="5700" spans="18:18" s="2" customFormat="1" ht="12.75" x14ac:dyDescent="0.2">
      <c r="R5700" s="1288"/>
    </row>
    <row r="5701" spans="18:18" s="2" customFormat="1" ht="12.75" x14ac:dyDescent="0.2">
      <c r="R5701" s="1288"/>
    </row>
    <row r="5702" spans="18:18" s="2" customFormat="1" ht="12.75" x14ac:dyDescent="0.2">
      <c r="R5702" s="1288"/>
    </row>
    <row r="5703" spans="18:18" s="2" customFormat="1" ht="12.75" x14ac:dyDescent="0.2">
      <c r="R5703" s="1288"/>
    </row>
    <row r="5704" spans="18:18" s="2" customFormat="1" ht="12.75" x14ac:dyDescent="0.2">
      <c r="R5704" s="1288"/>
    </row>
    <row r="5705" spans="18:18" s="2" customFormat="1" ht="12.75" x14ac:dyDescent="0.2">
      <c r="R5705" s="1288"/>
    </row>
    <row r="5706" spans="18:18" s="2" customFormat="1" ht="12.75" x14ac:dyDescent="0.2">
      <c r="R5706" s="1288"/>
    </row>
    <row r="5707" spans="18:18" s="2" customFormat="1" ht="12.75" x14ac:dyDescent="0.2">
      <c r="R5707" s="1288"/>
    </row>
    <row r="5708" spans="18:18" s="2" customFormat="1" ht="12.75" x14ac:dyDescent="0.2">
      <c r="R5708" s="1288"/>
    </row>
    <row r="5709" spans="18:18" s="2" customFormat="1" ht="12.75" x14ac:dyDescent="0.2">
      <c r="R5709" s="1288"/>
    </row>
    <row r="5710" spans="18:18" s="2" customFormat="1" ht="12.75" x14ac:dyDescent="0.2">
      <c r="R5710" s="1288"/>
    </row>
    <row r="5711" spans="18:18" s="2" customFormat="1" ht="12.75" x14ac:dyDescent="0.2">
      <c r="R5711" s="1288"/>
    </row>
    <row r="5712" spans="18:18" s="2" customFormat="1" ht="12.75" x14ac:dyDescent="0.2">
      <c r="R5712" s="1288"/>
    </row>
    <row r="5713" spans="18:18" s="2" customFormat="1" ht="12.75" x14ac:dyDescent="0.2">
      <c r="R5713" s="1288"/>
    </row>
    <row r="5714" spans="18:18" s="2" customFormat="1" ht="12.75" x14ac:dyDescent="0.2">
      <c r="R5714" s="1288"/>
    </row>
    <row r="5715" spans="18:18" s="2" customFormat="1" ht="12.75" x14ac:dyDescent="0.2">
      <c r="R5715" s="1288"/>
    </row>
    <row r="5716" spans="18:18" s="2" customFormat="1" ht="12.75" x14ac:dyDescent="0.2">
      <c r="R5716" s="1288"/>
    </row>
    <row r="5717" spans="18:18" s="2" customFormat="1" ht="12.75" x14ac:dyDescent="0.2">
      <c r="R5717" s="1288"/>
    </row>
    <row r="5718" spans="18:18" s="2" customFormat="1" ht="12.75" x14ac:dyDescent="0.2">
      <c r="R5718" s="1288"/>
    </row>
    <row r="5719" spans="18:18" s="2" customFormat="1" ht="12.75" x14ac:dyDescent="0.2">
      <c r="R5719" s="1288"/>
    </row>
    <row r="5720" spans="18:18" s="2" customFormat="1" ht="12.75" x14ac:dyDescent="0.2">
      <c r="R5720" s="1288"/>
    </row>
    <row r="5721" spans="18:18" s="2" customFormat="1" ht="12.75" x14ac:dyDescent="0.2">
      <c r="R5721" s="1288"/>
    </row>
    <row r="5722" spans="18:18" s="2" customFormat="1" ht="12.75" x14ac:dyDescent="0.2">
      <c r="R5722" s="1288"/>
    </row>
    <row r="5723" spans="18:18" s="2" customFormat="1" ht="12.75" x14ac:dyDescent="0.2">
      <c r="R5723" s="1288"/>
    </row>
    <row r="5724" spans="18:18" s="2" customFormat="1" ht="12.75" x14ac:dyDescent="0.2">
      <c r="R5724" s="1288"/>
    </row>
    <row r="5725" spans="18:18" s="2" customFormat="1" ht="12.75" x14ac:dyDescent="0.2">
      <c r="R5725" s="1288"/>
    </row>
    <row r="5726" spans="18:18" s="2" customFormat="1" ht="12.75" x14ac:dyDescent="0.2">
      <c r="R5726" s="1288"/>
    </row>
    <row r="5727" spans="18:18" s="2" customFormat="1" ht="12.75" x14ac:dyDescent="0.2">
      <c r="R5727" s="1288"/>
    </row>
    <row r="5728" spans="18:18" s="2" customFormat="1" ht="12.75" x14ac:dyDescent="0.2">
      <c r="R5728" s="1288"/>
    </row>
    <row r="5729" spans="18:18" s="2" customFormat="1" ht="12.75" x14ac:dyDescent="0.2">
      <c r="R5729" s="1288"/>
    </row>
    <row r="5730" spans="18:18" s="2" customFormat="1" ht="12.75" x14ac:dyDescent="0.2">
      <c r="R5730" s="1288"/>
    </row>
    <row r="5731" spans="18:18" s="2" customFormat="1" ht="12.75" x14ac:dyDescent="0.2">
      <c r="R5731" s="1288"/>
    </row>
    <row r="5732" spans="18:18" s="2" customFormat="1" ht="12.75" x14ac:dyDescent="0.2">
      <c r="R5732" s="1288"/>
    </row>
    <row r="5733" spans="18:18" s="2" customFormat="1" ht="12.75" x14ac:dyDescent="0.2">
      <c r="R5733" s="1288"/>
    </row>
    <row r="5734" spans="18:18" s="2" customFormat="1" ht="12.75" x14ac:dyDescent="0.2">
      <c r="R5734" s="1288"/>
    </row>
    <row r="5735" spans="18:18" s="2" customFormat="1" ht="12.75" x14ac:dyDescent="0.2">
      <c r="R5735" s="1288"/>
    </row>
    <row r="5736" spans="18:18" s="2" customFormat="1" ht="12.75" x14ac:dyDescent="0.2">
      <c r="R5736" s="1288"/>
    </row>
    <row r="5737" spans="18:18" s="2" customFormat="1" ht="12.75" x14ac:dyDescent="0.2">
      <c r="R5737" s="1288"/>
    </row>
    <row r="5738" spans="18:18" s="2" customFormat="1" ht="12.75" x14ac:dyDescent="0.2">
      <c r="R5738" s="1288"/>
    </row>
    <row r="5739" spans="18:18" s="2" customFormat="1" ht="12.75" x14ac:dyDescent="0.2">
      <c r="R5739" s="1288"/>
    </row>
    <row r="5740" spans="18:18" s="2" customFormat="1" ht="12.75" x14ac:dyDescent="0.2">
      <c r="R5740" s="1288"/>
    </row>
    <row r="5741" spans="18:18" s="2" customFormat="1" ht="12.75" x14ac:dyDescent="0.2">
      <c r="R5741" s="1288"/>
    </row>
    <row r="5742" spans="18:18" s="2" customFormat="1" ht="12.75" x14ac:dyDescent="0.2">
      <c r="R5742" s="1288"/>
    </row>
    <row r="5743" spans="18:18" s="2" customFormat="1" ht="12.75" x14ac:dyDescent="0.2">
      <c r="R5743" s="1288"/>
    </row>
    <row r="5744" spans="18:18" s="2" customFormat="1" ht="12.75" x14ac:dyDescent="0.2">
      <c r="R5744" s="1288"/>
    </row>
    <row r="5745" spans="18:18" s="2" customFormat="1" ht="12.75" x14ac:dyDescent="0.2">
      <c r="R5745" s="1288"/>
    </row>
    <row r="5746" spans="18:18" s="2" customFormat="1" ht="12.75" x14ac:dyDescent="0.2">
      <c r="R5746" s="1288"/>
    </row>
    <row r="5747" spans="18:18" s="2" customFormat="1" ht="12.75" x14ac:dyDescent="0.2">
      <c r="R5747" s="1288"/>
    </row>
    <row r="5748" spans="18:18" s="2" customFormat="1" ht="12.75" x14ac:dyDescent="0.2">
      <c r="R5748" s="1288"/>
    </row>
    <row r="5749" spans="18:18" s="2" customFormat="1" ht="12.75" x14ac:dyDescent="0.2">
      <c r="R5749" s="1288"/>
    </row>
    <row r="5750" spans="18:18" s="2" customFormat="1" ht="12.75" x14ac:dyDescent="0.2">
      <c r="R5750" s="1288"/>
    </row>
    <row r="5751" spans="18:18" s="2" customFormat="1" ht="12.75" x14ac:dyDescent="0.2">
      <c r="R5751" s="1288"/>
    </row>
    <row r="5752" spans="18:18" s="2" customFormat="1" ht="12.75" x14ac:dyDescent="0.2">
      <c r="R5752" s="1288"/>
    </row>
    <row r="5753" spans="18:18" s="2" customFormat="1" ht="12.75" x14ac:dyDescent="0.2">
      <c r="R5753" s="1288"/>
    </row>
    <row r="5754" spans="18:18" s="2" customFormat="1" ht="12.75" x14ac:dyDescent="0.2">
      <c r="R5754" s="1288"/>
    </row>
    <row r="5755" spans="18:18" s="2" customFormat="1" ht="12.75" x14ac:dyDescent="0.2">
      <c r="R5755" s="1288"/>
    </row>
    <row r="5756" spans="18:18" s="2" customFormat="1" ht="12.75" x14ac:dyDescent="0.2">
      <c r="R5756" s="1288"/>
    </row>
    <row r="5757" spans="18:18" s="2" customFormat="1" ht="12.75" x14ac:dyDescent="0.2">
      <c r="R5757" s="1288"/>
    </row>
    <row r="5758" spans="18:18" s="2" customFormat="1" ht="12.75" x14ac:dyDescent="0.2">
      <c r="R5758" s="1288"/>
    </row>
    <row r="5759" spans="18:18" s="2" customFormat="1" ht="12.75" x14ac:dyDescent="0.2">
      <c r="R5759" s="1288"/>
    </row>
    <row r="5760" spans="18:18" s="2" customFormat="1" ht="12.75" x14ac:dyDescent="0.2">
      <c r="R5760" s="1288"/>
    </row>
    <row r="5761" spans="18:18" s="2" customFormat="1" ht="12.75" x14ac:dyDescent="0.2">
      <c r="R5761" s="1288"/>
    </row>
    <row r="5762" spans="18:18" s="2" customFormat="1" ht="12.75" x14ac:dyDescent="0.2">
      <c r="R5762" s="1288"/>
    </row>
    <row r="5763" spans="18:18" s="2" customFormat="1" ht="12.75" x14ac:dyDescent="0.2">
      <c r="R5763" s="1288"/>
    </row>
    <row r="5764" spans="18:18" s="2" customFormat="1" ht="12.75" x14ac:dyDescent="0.2">
      <c r="R5764" s="1288"/>
    </row>
    <row r="5765" spans="18:18" s="2" customFormat="1" ht="12.75" x14ac:dyDescent="0.2">
      <c r="R5765" s="1288"/>
    </row>
    <row r="5766" spans="18:18" s="2" customFormat="1" ht="12.75" x14ac:dyDescent="0.2">
      <c r="R5766" s="1288"/>
    </row>
    <row r="5767" spans="18:18" s="2" customFormat="1" ht="12.75" x14ac:dyDescent="0.2">
      <c r="R5767" s="1288"/>
    </row>
    <row r="5768" spans="18:18" s="2" customFormat="1" ht="12.75" x14ac:dyDescent="0.2">
      <c r="R5768" s="1288"/>
    </row>
    <row r="5769" spans="18:18" s="2" customFormat="1" ht="12.75" x14ac:dyDescent="0.2">
      <c r="R5769" s="1288"/>
    </row>
    <row r="5770" spans="18:18" s="2" customFormat="1" ht="12.75" x14ac:dyDescent="0.2">
      <c r="R5770" s="1288"/>
    </row>
    <row r="5771" spans="18:18" s="2" customFormat="1" ht="12.75" x14ac:dyDescent="0.2">
      <c r="R5771" s="1288"/>
    </row>
    <row r="5772" spans="18:18" s="2" customFormat="1" ht="12.75" x14ac:dyDescent="0.2">
      <c r="R5772" s="1288"/>
    </row>
    <row r="5773" spans="18:18" s="2" customFormat="1" ht="12.75" x14ac:dyDescent="0.2">
      <c r="R5773" s="1288"/>
    </row>
    <row r="5774" spans="18:18" s="2" customFormat="1" ht="12.75" x14ac:dyDescent="0.2">
      <c r="R5774" s="1288"/>
    </row>
    <row r="5775" spans="18:18" s="2" customFormat="1" ht="12.75" x14ac:dyDescent="0.2">
      <c r="R5775" s="1288"/>
    </row>
    <row r="5776" spans="18:18" s="2" customFormat="1" ht="12.75" x14ac:dyDescent="0.2">
      <c r="R5776" s="1288"/>
    </row>
    <row r="5777" spans="18:18" s="2" customFormat="1" ht="12.75" x14ac:dyDescent="0.2">
      <c r="R5777" s="1288"/>
    </row>
    <row r="5778" spans="18:18" s="2" customFormat="1" ht="12.75" x14ac:dyDescent="0.2">
      <c r="R5778" s="1288"/>
    </row>
    <row r="5779" spans="18:18" s="2" customFormat="1" ht="12.75" x14ac:dyDescent="0.2">
      <c r="R5779" s="1288"/>
    </row>
    <row r="5780" spans="18:18" s="2" customFormat="1" ht="12.75" x14ac:dyDescent="0.2">
      <c r="R5780" s="1288"/>
    </row>
    <row r="5781" spans="18:18" s="2" customFormat="1" ht="12.75" x14ac:dyDescent="0.2">
      <c r="R5781" s="1288"/>
    </row>
    <row r="5782" spans="18:18" s="2" customFormat="1" ht="12.75" x14ac:dyDescent="0.2">
      <c r="R5782" s="1288"/>
    </row>
    <row r="5783" spans="18:18" s="2" customFormat="1" ht="12.75" x14ac:dyDescent="0.2">
      <c r="R5783" s="1288"/>
    </row>
    <row r="5784" spans="18:18" s="2" customFormat="1" ht="12.75" x14ac:dyDescent="0.2">
      <c r="R5784" s="1288"/>
    </row>
    <row r="5785" spans="18:18" s="2" customFormat="1" ht="12.75" x14ac:dyDescent="0.2">
      <c r="R5785" s="1288"/>
    </row>
    <row r="5786" spans="18:18" s="2" customFormat="1" ht="12.75" x14ac:dyDescent="0.2">
      <c r="R5786" s="1288"/>
    </row>
    <row r="5787" spans="18:18" s="2" customFormat="1" ht="12.75" x14ac:dyDescent="0.2">
      <c r="R5787" s="1288"/>
    </row>
    <row r="5788" spans="18:18" s="2" customFormat="1" ht="12.75" x14ac:dyDescent="0.2">
      <c r="R5788" s="1288"/>
    </row>
    <row r="5789" spans="18:18" s="2" customFormat="1" ht="12.75" x14ac:dyDescent="0.2">
      <c r="R5789" s="1288"/>
    </row>
    <row r="5790" spans="18:18" s="2" customFormat="1" ht="12.75" x14ac:dyDescent="0.2">
      <c r="R5790" s="1288"/>
    </row>
    <row r="5791" spans="18:18" s="2" customFormat="1" ht="12.75" x14ac:dyDescent="0.2">
      <c r="R5791" s="1288"/>
    </row>
    <row r="5792" spans="18:18" s="2" customFormat="1" ht="12.75" x14ac:dyDescent="0.2">
      <c r="R5792" s="1288"/>
    </row>
    <row r="5793" spans="18:18" s="2" customFormat="1" ht="12.75" x14ac:dyDescent="0.2">
      <c r="R5793" s="1288"/>
    </row>
    <row r="5794" spans="18:18" s="2" customFormat="1" ht="12.75" x14ac:dyDescent="0.2">
      <c r="R5794" s="1288"/>
    </row>
    <row r="5795" spans="18:18" s="2" customFormat="1" ht="12.75" x14ac:dyDescent="0.2">
      <c r="R5795" s="1288"/>
    </row>
    <row r="5796" spans="18:18" s="2" customFormat="1" ht="12.75" x14ac:dyDescent="0.2">
      <c r="R5796" s="1288"/>
    </row>
    <row r="5797" spans="18:18" s="2" customFormat="1" ht="12.75" x14ac:dyDescent="0.2">
      <c r="R5797" s="1288"/>
    </row>
    <row r="5798" spans="18:18" s="2" customFormat="1" ht="12.75" x14ac:dyDescent="0.2">
      <c r="R5798" s="1288"/>
    </row>
    <row r="5799" spans="18:18" s="2" customFormat="1" ht="12.75" x14ac:dyDescent="0.2">
      <c r="R5799" s="1288"/>
    </row>
    <row r="5800" spans="18:18" s="2" customFormat="1" ht="12.75" x14ac:dyDescent="0.2">
      <c r="R5800" s="1288"/>
    </row>
    <row r="5801" spans="18:18" s="2" customFormat="1" ht="12.75" x14ac:dyDescent="0.2">
      <c r="R5801" s="1288"/>
    </row>
    <row r="5802" spans="18:18" s="2" customFormat="1" ht="12.75" x14ac:dyDescent="0.2">
      <c r="R5802" s="1288"/>
    </row>
    <row r="5803" spans="18:18" s="2" customFormat="1" ht="12.75" x14ac:dyDescent="0.2">
      <c r="R5803" s="1288"/>
    </row>
    <row r="5804" spans="18:18" s="2" customFormat="1" ht="12.75" x14ac:dyDescent="0.2">
      <c r="R5804" s="1288"/>
    </row>
    <row r="5805" spans="18:18" s="2" customFormat="1" ht="12.75" x14ac:dyDescent="0.2">
      <c r="R5805" s="1288"/>
    </row>
    <row r="5806" spans="18:18" s="2" customFormat="1" ht="12.75" x14ac:dyDescent="0.2">
      <c r="R5806" s="1288"/>
    </row>
    <row r="5807" spans="18:18" s="2" customFormat="1" ht="12.75" x14ac:dyDescent="0.2">
      <c r="R5807" s="1288"/>
    </row>
    <row r="5808" spans="18:18" s="2" customFormat="1" ht="12.75" x14ac:dyDescent="0.2">
      <c r="R5808" s="1288"/>
    </row>
    <row r="5809" spans="18:18" s="2" customFormat="1" ht="12.75" x14ac:dyDescent="0.2">
      <c r="R5809" s="1288"/>
    </row>
    <row r="5810" spans="18:18" s="2" customFormat="1" ht="12.75" x14ac:dyDescent="0.2">
      <c r="R5810" s="1288"/>
    </row>
    <row r="5811" spans="18:18" s="2" customFormat="1" ht="12.75" x14ac:dyDescent="0.2">
      <c r="R5811" s="1288"/>
    </row>
    <row r="5812" spans="18:18" s="2" customFormat="1" ht="12.75" x14ac:dyDescent="0.2">
      <c r="R5812" s="1288"/>
    </row>
    <row r="5813" spans="18:18" s="2" customFormat="1" ht="12.75" x14ac:dyDescent="0.2">
      <c r="R5813" s="1288"/>
    </row>
    <row r="5814" spans="18:18" s="2" customFormat="1" ht="12.75" x14ac:dyDescent="0.2">
      <c r="R5814" s="1288"/>
    </row>
    <row r="5815" spans="18:18" s="2" customFormat="1" ht="12.75" x14ac:dyDescent="0.2">
      <c r="R5815" s="1288"/>
    </row>
    <row r="5816" spans="18:18" s="2" customFormat="1" ht="12.75" x14ac:dyDescent="0.2">
      <c r="R5816" s="1288"/>
    </row>
    <row r="5817" spans="18:18" s="2" customFormat="1" ht="12.75" x14ac:dyDescent="0.2">
      <c r="R5817" s="1288"/>
    </row>
    <row r="5818" spans="18:18" s="2" customFormat="1" ht="12.75" x14ac:dyDescent="0.2">
      <c r="R5818" s="1288"/>
    </row>
    <row r="5819" spans="18:18" s="2" customFormat="1" ht="12.75" x14ac:dyDescent="0.2">
      <c r="R5819" s="1288"/>
    </row>
    <row r="5820" spans="18:18" s="2" customFormat="1" ht="12.75" x14ac:dyDescent="0.2">
      <c r="R5820" s="1288"/>
    </row>
    <row r="5821" spans="18:18" s="2" customFormat="1" ht="12.75" x14ac:dyDescent="0.2">
      <c r="R5821" s="1288"/>
    </row>
    <row r="5822" spans="18:18" s="2" customFormat="1" ht="12.75" x14ac:dyDescent="0.2">
      <c r="R5822" s="1288"/>
    </row>
    <row r="5823" spans="18:18" s="2" customFormat="1" ht="12.75" x14ac:dyDescent="0.2">
      <c r="R5823" s="1288"/>
    </row>
    <row r="5824" spans="18:18" s="2" customFormat="1" ht="12.75" x14ac:dyDescent="0.2">
      <c r="R5824" s="1288"/>
    </row>
    <row r="5825" spans="18:18" s="2" customFormat="1" ht="12.75" x14ac:dyDescent="0.2">
      <c r="R5825" s="1288"/>
    </row>
    <row r="5826" spans="18:18" s="2" customFormat="1" ht="12.75" x14ac:dyDescent="0.2">
      <c r="R5826" s="1288"/>
    </row>
    <row r="5827" spans="18:18" s="2" customFormat="1" ht="12.75" x14ac:dyDescent="0.2">
      <c r="R5827" s="1288"/>
    </row>
    <row r="5828" spans="18:18" s="2" customFormat="1" ht="12.75" x14ac:dyDescent="0.2">
      <c r="R5828" s="1288"/>
    </row>
    <row r="5829" spans="18:18" s="2" customFormat="1" ht="12.75" x14ac:dyDescent="0.2">
      <c r="R5829" s="1288"/>
    </row>
    <row r="5830" spans="18:18" s="2" customFormat="1" ht="12.75" x14ac:dyDescent="0.2">
      <c r="R5830" s="1288"/>
    </row>
    <row r="5831" spans="18:18" s="2" customFormat="1" ht="12.75" x14ac:dyDescent="0.2">
      <c r="R5831" s="1288"/>
    </row>
    <row r="5832" spans="18:18" s="2" customFormat="1" ht="12.75" x14ac:dyDescent="0.2">
      <c r="R5832" s="1288"/>
    </row>
    <row r="5833" spans="18:18" s="2" customFormat="1" ht="12.75" x14ac:dyDescent="0.2">
      <c r="R5833" s="1288"/>
    </row>
    <row r="5834" spans="18:18" s="2" customFormat="1" ht="12.75" x14ac:dyDescent="0.2">
      <c r="R5834" s="1288"/>
    </row>
    <row r="5835" spans="18:18" s="2" customFormat="1" ht="12.75" x14ac:dyDescent="0.2">
      <c r="R5835" s="1288"/>
    </row>
    <row r="5836" spans="18:18" s="2" customFormat="1" ht="12.75" x14ac:dyDescent="0.2">
      <c r="R5836" s="1288"/>
    </row>
    <row r="5837" spans="18:18" s="2" customFormat="1" ht="12.75" x14ac:dyDescent="0.2">
      <c r="R5837" s="1288"/>
    </row>
    <row r="5838" spans="18:18" s="2" customFormat="1" ht="12.75" x14ac:dyDescent="0.2">
      <c r="R5838" s="1288"/>
    </row>
    <row r="5839" spans="18:18" s="2" customFormat="1" ht="12.75" x14ac:dyDescent="0.2">
      <c r="R5839" s="1288"/>
    </row>
    <row r="5840" spans="18:18" s="2" customFormat="1" ht="12.75" x14ac:dyDescent="0.2">
      <c r="R5840" s="1288"/>
    </row>
    <row r="5841" spans="18:18" s="2" customFormat="1" ht="12.75" x14ac:dyDescent="0.2">
      <c r="R5841" s="1288"/>
    </row>
    <row r="5842" spans="18:18" s="2" customFormat="1" ht="12.75" x14ac:dyDescent="0.2">
      <c r="R5842" s="1288"/>
    </row>
    <row r="5843" spans="18:18" s="2" customFormat="1" ht="12.75" x14ac:dyDescent="0.2">
      <c r="R5843" s="1288"/>
    </row>
    <row r="5844" spans="18:18" s="2" customFormat="1" ht="12.75" x14ac:dyDescent="0.2">
      <c r="R5844" s="1288"/>
    </row>
    <row r="5845" spans="18:18" s="2" customFormat="1" ht="12.75" x14ac:dyDescent="0.2">
      <c r="R5845" s="1288"/>
    </row>
    <row r="5846" spans="18:18" s="2" customFormat="1" ht="12.75" x14ac:dyDescent="0.2">
      <c r="R5846" s="1288"/>
    </row>
    <row r="5847" spans="18:18" s="2" customFormat="1" ht="12.75" x14ac:dyDescent="0.2">
      <c r="R5847" s="1288"/>
    </row>
    <row r="5848" spans="18:18" s="2" customFormat="1" ht="12.75" x14ac:dyDescent="0.2">
      <c r="R5848" s="1288"/>
    </row>
    <row r="5849" spans="18:18" s="2" customFormat="1" ht="12.75" x14ac:dyDescent="0.2">
      <c r="R5849" s="1288"/>
    </row>
    <row r="5850" spans="18:18" s="2" customFormat="1" ht="12.75" x14ac:dyDescent="0.2">
      <c r="R5850" s="1288"/>
    </row>
    <row r="5851" spans="18:18" s="2" customFormat="1" ht="12.75" x14ac:dyDescent="0.2">
      <c r="R5851" s="1288"/>
    </row>
    <row r="5852" spans="18:18" s="2" customFormat="1" ht="12.75" x14ac:dyDescent="0.2">
      <c r="R5852" s="1288"/>
    </row>
    <row r="5853" spans="18:18" s="2" customFormat="1" ht="12.75" x14ac:dyDescent="0.2">
      <c r="R5853" s="1288"/>
    </row>
    <row r="5854" spans="18:18" s="2" customFormat="1" ht="12.75" x14ac:dyDescent="0.2">
      <c r="R5854" s="1288"/>
    </row>
    <row r="5855" spans="18:18" s="2" customFormat="1" ht="12.75" x14ac:dyDescent="0.2">
      <c r="R5855" s="1288"/>
    </row>
    <row r="5856" spans="18:18" s="2" customFormat="1" ht="12.75" x14ac:dyDescent="0.2">
      <c r="R5856" s="1288"/>
    </row>
    <row r="5857" spans="18:18" s="2" customFormat="1" ht="12.75" x14ac:dyDescent="0.2">
      <c r="R5857" s="1288"/>
    </row>
    <row r="5858" spans="18:18" s="2" customFormat="1" ht="12.75" x14ac:dyDescent="0.2">
      <c r="R5858" s="1288"/>
    </row>
    <row r="5859" spans="18:18" s="2" customFormat="1" ht="12.75" x14ac:dyDescent="0.2">
      <c r="R5859" s="1288"/>
    </row>
    <row r="5860" spans="18:18" s="2" customFormat="1" ht="12.75" x14ac:dyDescent="0.2">
      <c r="R5860" s="1288"/>
    </row>
    <row r="5861" spans="18:18" s="2" customFormat="1" ht="12.75" x14ac:dyDescent="0.2">
      <c r="R5861" s="1288"/>
    </row>
    <row r="5862" spans="18:18" s="2" customFormat="1" ht="12.75" x14ac:dyDescent="0.2">
      <c r="R5862" s="1288"/>
    </row>
    <row r="5863" spans="18:18" s="2" customFormat="1" ht="12.75" x14ac:dyDescent="0.2">
      <c r="R5863" s="1288"/>
    </row>
    <row r="5864" spans="18:18" s="2" customFormat="1" ht="12.75" x14ac:dyDescent="0.2">
      <c r="R5864" s="1288"/>
    </row>
    <row r="5865" spans="18:18" s="2" customFormat="1" ht="12.75" x14ac:dyDescent="0.2">
      <c r="R5865" s="1288"/>
    </row>
    <row r="5866" spans="18:18" s="2" customFormat="1" ht="12.75" x14ac:dyDescent="0.2">
      <c r="R5866" s="1288"/>
    </row>
    <row r="5867" spans="18:18" s="2" customFormat="1" ht="12.75" x14ac:dyDescent="0.2">
      <c r="R5867" s="1288"/>
    </row>
    <row r="5868" spans="18:18" s="2" customFormat="1" ht="12.75" x14ac:dyDescent="0.2">
      <c r="R5868" s="1288"/>
    </row>
    <row r="5869" spans="18:18" s="2" customFormat="1" ht="12.75" x14ac:dyDescent="0.2">
      <c r="R5869" s="1288"/>
    </row>
    <row r="5870" spans="18:18" s="2" customFormat="1" ht="12.75" x14ac:dyDescent="0.2">
      <c r="R5870" s="1288"/>
    </row>
    <row r="5871" spans="18:18" s="2" customFormat="1" ht="12.75" x14ac:dyDescent="0.2">
      <c r="R5871" s="1288"/>
    </row>
    <row r="5872" spans="18:18" s="2" customFormat="1" ht="12.75" x14ac:dyDescent="0.2">
      <c r="R5872" s="1288"/>
    </row>
    <row r="5873" spans="18:18" s="2" customFormat="1" ht="12.75" x14ac:dyDescent="0.2">
      <c r="R5873" s="1288"/>
    </row>
    <row r="5874" spans="18:18" s="2" customFormat="1" ht="12.75" x14ac:dyDescent="0.2">
      <c r="R5874" s="1288"/>
    </row>
    <row r="5875" spans="18:18" s="2" customFormat="1" ht="12.75" x14ac:dyDescent="0.2">
      <c r="R5875" s="1288"/>
    </row>
    <row r="5876" spans="18:18" s="2" customFormat="1" ht="12.75" x14ac:dyDescent="0.2">
      <c r="R5876" s="1288"/>
    </row>
    <row r="5877" spans="18:18" s="2" customFormat="1" ht="12.75" x14ac:dyDescent="0.2">
      <c r="R5877" s="1288"/>
    </row>
    <row r="5878" spans="18:18" s="2" customFormat="1" ht="12.75" x14ac:dyDescent="0.2">
      <c r="R5878" s="1288"/>
    </row>
    <row r="5879" spans="18:18" s="2" customFormat="1" ht="12.75" x14ac:dyDescent="0.2">
      <c r="R5879" s="1288"/>
    </row>
    <row r="5880" spans="18:18" s="2" customFormat="1" ht="12.75" x14ac:dyDescent="0.2">
      <c r="R5880" s="1288"/>
    </row>
    <row r="5881" spans="18:18" s="2" customFormat="1" ht="12.75" x14ac:dyDescent="0.2">
      <c r="R5881" s="1288"/>
    </row>
    <row r="5882" spans="18:18" s="2" customFormat="1" ht="12.75" x14ac:dyDescent="0.2">
      <c r="R5882" s="1288"/>
    </row>
    <row r="5883" spans="18:18" s="2" customFormat="1" ht="12.75" x14ac:dyDescent="0.2">
      <c r="R5883" s="1288"/>
    </row>
    <row r="5884" spans="18:18" s="2" customFormat="1" ht="12.75" x14ac:dyDescent="0.2">
      <c r="R5884" s="1288"/>
    </row>
    <row r="5885" spans="18:18" s="2" customFormat="1" ht="12.75" x14ac:dyDescent="0.2">
      <c r="R5885" s="1288"/>
    </row>
    <row r="5886" spans="18:18" s="2" customFormat="1" ht="12.75" x14ac:dyDescent="0.2">
      <c r="R5886" s="1288"/>
    </row>
    <row r="5887" spans="18:18" s="2" customFormat="1" ht="12.75" x14ac:dyDescent="0.2">
      <c r="R5887" s="1288"/>
    </row>
    <row r="5888" spans="18:18" s="2" customFormat="1" ht="12.75" x14ac:dyDescent="0.2">
      <c r="R5888" s="1288"/>
    </row>
    <row r="5889" spans="18:18" s="2" customFormat="1" ht="12.75" x14ac:dyDescent="0.2">
      <c r="R5889" s="1288"/>
    </row>
    <row r="5890" spans="18:18" s="2" customFormat="1" ht="12.75" x14ac:dyDescent="0.2">
      <c r="R5890" s="1288"/>
    </row>
    <row r="5891" spans="18:18" s="2" customFormat="1" ht="12.75" x14ac:dyDescent="0.2">
      <c r="R5891" s="1288"/>
    </row>
    <row r="5892" spans="18:18" s="2" customFormat="1" ht="12.75" x14ac:dyDescent="0.2">
      <c r="R5892" s="1288"/>
    </row>
    <row r="5893" spans="18:18" s="2" customFormat="1" ht="12.75" x14ac:dyDescent="0.2">
      <c r="R5893" s="1288"/>
    </row>
    <row r="5894" spans="18:18" s="2" customFormat="1" ht="12.75" x14ac:dyDescent="0.2">
      <c r="R5894" s="1288"/>
    </row>
    <row r="5895" spans="18:18" s="2" customFormat="1" ht="12.75" x14ac:dyDescent="0.2">
      <c r="R5895" s="1288"/>
    </row>
    <row r="5896" spans="18:18" s="2" customFormat="1" ht="12.75" x14ac:dyDescent="0.2">
      <c r="R5896" s="1288"/>
    </row>
    <row r="5897" spans="18:18" s="2" customFormat="1" ht="12.75" x14ac:dyDescent="0.2">
      <c r="R5897" s="1288"/>
    </row>
    <row r="5898" spans="18:18" s="2" customFormat="1" ht="12.75" x14ac:dyDescent="0.2">
      <c r="R5898" s="1288"/>
    </row>
    <row r="5899" spans="18:18" s="2" customFormat="1" ht="12.75" x14ac:dyDescent="0.2">
      <c r="R5899" s="1288"/>
    </row>
    <row r="5900" spans="18:18" s="2" customFormat="1" ht="12.75" x14ac:dyDescent="0.2">
      <c r="R5900" s="1288"/>
    </row>
    <row r="5901" spans="18:18" s="2" customFormat="1" ht="12.75" x14ac:dyDescent="0.2">
      <c r="R5901" s="1288"/>
    </row>
    <row r="5902" spans="18:18" s="2" customFormat="1" ht="12.75" x14ac:dyDescent="0.2">
      <c r="R5902" s="1288"/>
    </row>
    <row r="5903" spans="18:18" s="2" customFormat="1" ht="12.75" x14ac:dyDescent="0.2">
      <c r="R5903" s="1288"/>
    </row>
    <row r="5904" spans="18:18" s="2" customFormat="1" ht="12.75" x14ac:dyDescent="0.2">
      <c r="R5904" s="1288"/>
    </row>
    <row r="5905" spans="18:18" s="2" customFormat="1" ht="12.75" x14ac:dyDescent="0.2">
      <c r="R5905" s="1288"/>
    </row>
    <row r="5906" spans="18:18" s="2" customFormat="1" ht="12.75" x14ac:dyDescent="0.2">
      <c r="R5906" s="1288"/>
    </row>
    <row r="5907" spans="18:18" s="2" customFormat="1" ht="12.75" x14ac:dyDescent="0.2">
      <c r="R5907" s="1288"/>
    </row>
    <row r="5908" spans="18:18" s="2" customFormat="1" ht="12.75" x14ac:dyDescent="0.2">
      <c r="R5908" s="1288"/>
    </row>
    <row r="5909" spans="18:18" s="2" customFormat="1" ht="12.75" x14ac:dyDescent="0.2">
      <c r="R5909" s="1288"/>
    </row>
    <row r="5910" spans="18:18" s="2" customFormat="1" ht="12.75" x14ac:dyDescent="0.2">
      <c r="R5910" s="1288"/>
    </row>
    <row r="5911" spans="18:18" s="2" customFormat="1" ht="12.75" x14ac:dyDescent="0.2">
      <c r="R5911" s="1288"/>
    </row>
    <row r="5912" spans="18:18" s="2" customFormat="1" ht="12.75" x14ac:dyDescent="0.2">
      <c r="R5912" s="1288"/>
    </row>
    <row r="5913" spans="18:18" s="2" customFormat="1" ht="12.75" x14ac:dyDescent="0.2">
      <c r="R5913" s="1288"/>
    </row>
    <row r="5914" spans="18:18" s="2" customFormat="1" ht="12.75" x14ac:dyDescent="0.2">
      <c r="R5914" s="1288"/>
    </row>
    <row r="5915" spans="18:18" s="2" customFormat="1" ht="12.75" x14ac:dyDescent="0.2">
      <c r="R5915" s="1288"/>
    </row>
    <row r="5916" spans="18:18" s="2" customFormat="1" ht="12.75" x14ac:dyDescent="0.2">
      <c r="R5916" s="1288"/>
    </row>
    <row r="5917" spans="18:18" s="2" customFormat="1" ht="12.75" x14ac:dyDescent="0.2">
      <c r="R5917" s="1288"/>
    </row>
    <row r="5918" spans="18:18" s="2" customFormat="1" ht="12.75" x14ac:dyDescent="0.2">
      <c r="R5918" s="1288"/>
    </row>
    <row r="5919" spans="18:18" s="2" customFormat="1" ht="12.75" x14ac:dyDescent="0.2">
      <c r="R5919" s="1288"/>
    </row>
    <row r="5920" spans="18:18" s="2" customFormat="1" ht="12.75" x14ac:dyDescent="0.2">
      <c r="R5920" s="1288"/>
    </row>
    <row r="5921" spans="18:18" s="2" customFormat="1" ht="12.75" x14ac:dyDescent="0.2">
      <c r="R5921" s="1288"/>
    </row>
    <row r="5922" spans="18:18" s="2" customFormat="1" ht="12.75" x14ac:dyDescent="0.2">
      <c r="R5922" s="1288"/>
    </row>
    <row r="5923" spans="18:18" s="2" customFormat="1" ht="12.75" x14ac:dyDescent="0.2">
      <c r="R5923" s="1288"/>
    </row>
    <row r="5924" spans="18:18" s="2" customFormat="1" ht="12.75" x14ac:dyDescent="0.2">
      <c r="R5924" s="1288"/>
    </row>
    <row r="5925" spans="18:18" s="2" customFormat="1" ht="12.75" x14ac:dyDescent="0.2">
      <c r="R5925" s="1288"/>
    </row>
    <row r="5926" spans="18:18" s="2" customFormat="1" ht="12.75" x14ac:dyDescent="0.2">
      <c r="R5926" s="1288"/>
    </row>
    <row r="5927" spans="18:18" s="2" customFormat="1" ht="12.75" x14ac:dyDescent="0.2">
      <c r="R5927" s="1288"/>
    </row>
    <row r="5928" spans="18:18" s="2" customFormat="1" ht="12.75" x14ac:dyDescent="0.2">
      <c r="R5928" s="1288"/>
    </row>
    <row r="5929" spans="18:18" s="2" customFormat="1" ht="12.75" x14ac:dyDescent="0.2">
      <c r="R5929" s="1288"/>
    </row>
    <row r="5930" spans="18:18" s="2" customFormat="1" ht="12.75" x14ac:dyDescent="0.2">
      <c r="R5930" s="1288"/>
    </row>
    <row r="5931" spans="18:18" s="2" customFormat="1" ht="12.75" x14ac:dyDescent="0.2">
      <c r="R5931" s="1288"/>
    </row>
    <row r="5932" spans="18:18" s="2" customFormat="1" ht="12.75" x14ac:dyDescent="0.2">
      <c r="R5932" s="1288"/>
    </row>
    <row r="5933" spans="18:18" s="2" customFormat="1" ht="12.75" x14ac:dyDescent="0.2">
      <c r="R5933" s="1288"/>
    </row>
    <row r="5934" spans="18:18" s="2" customFormat="1" ht="12.75" x14ac:dyDescent="0.2">
      <c r="R5934" s="1288"/>
    </row>
    <row r="5935" spans="18:18" s="2" customFormat="1" ht="12.75" x14ac:dyDescent="0.2">
      <c r="R5935" s="1288"/>
    </row>
    <row r="5936" spans="18:18" s="2" customFormat="1" ht="12.75" x14ac:dyDescent="0.2">
      <c r="R5936" s="1288"/>
    </row>
    <row r="5937" spans="18:18" s="2" customFormat="1" ht="12.75" x14ac:dyDescent="0.2">
      <c r="R5937" s="1288"/>
    </row>
    <row r="5938" spans="18:18" s="2" customFormat="1" ht="12.75" x14ac:dyDescent="0.2">
      <c r="R5938" s="1288"/>
    </row>
    <row r="5939" spans="18:18" s="2" customFormat="1" ht="12.75" x14ac:dyDescent="0.2">
      <c r="R5939" s="1288"/>
    </row>
    <row r="5940" spans="18:18" s="2" customFormat="1" ht="12.75" x14ac:dyDescent="0.2">
      <c r="R5940" s="1288"/>
    </row>
    <row r="5941" spans="18:18" s="2" customFormat="1" ht="12.75" x14ac:dyDescent="0.2">
      <c r="R5941" s="1288"/>
    </row>
    <row r="5942" spans="18:18" s="2" customFormat="1" ht="12.75" x14ac:dyDescent="0.2">
      <c r="R5942" s="1288"/>
    </row>
    <row r="5943" spans="18:18" s="2" customFormat="1" ht="12.75" x14ac:dyDescent="0.2">
      <c r="R5943" s="1288"/>
    </row>
    <row r="5944" spans="18:18" s="2" customFormat="1" ht="12.75" x14ac:dyDescent="0.2">
      <c r="R5944" s="1288"/>
    </row>
    <row r="5945" spans="18:18" s="2" customFormat="1" ht="12.75" x14ac:dyDescent="0.2">
      <c r="R5945" s="1288"/>
    </row>
    <row r="5946" spans="18:18" s="2" customFormat="1" ht="12.75" x14ac:dyDescent="0.2">
      <c r="R5946" s="1288"/>
    </row>
    <row r="5947" spans="18:18" s="2" customFormat="1" ht="12.75" x14ac:dyDescent="0.2">
      <c r="R5947" s="1288"/>
    </row>
    <row r="5948" spans="18:18" s="2" customFormat="1" ht="12.75" x14ac:dyDescent="0.2">
      <c r="R5948" s="1288"/>
    </row>
    <row r="5949" spans="18:18" s="2" customFormat="1" ht="12.75" x14ac:dyDescent="0.2">
      <c r="R5949" s="1288"/>
    </row>
    <row r="5950" spans="18:18" s="2" customFormat="1" ht="12.75" x14ac:dyDescent="0.2">
      <c r="R5950" s="1288"/>
    </row>
    <row r="5951" spans="18:18" s="2" customFormat="1" ht="12.75" x14ac:dyDescent="0.2">
      <c r="R5951" s="1288"/>
    </row>
    <row r="5952" spans="18:18" s="2" customFormat="1" ht="12.75" x14ac:dyDescent="0.2">
      <c r="R5952" s="1288"/>
    </row>
    <row r="5953" spans="18:18" s="2" customFormat="1" ht="12.75" x14ac:dyDescent="0.2">
      <c r="R5953" s="1288"/>
    </row>
    <row r="5954" spans="18:18" s="2" customFormat="1" ht="12.75" x14ac:dyDescent="0.2">
      <c r="R5954" s="1288"/>
    </row>
    <row r="5955" spans="18:18" s="2" customFormat="1" ht="12.75" x14ac:dyDescent="0.2">
      <c r="R5955" s="1288"/>
    </row>
    <row r="5956" spans="18:18" s="2" customFormat="1" ht="12.75" x14ac:dyDescent="0.2">
      <c r="R5956" s="1288"/>
    </row>
    <row r="5957" spans="18:18" s="2" customFormat="1" ht="12.75" x14ac:dyDescent="0.2">
      <c r="R5957" s="1288"/>
    </row>
    <row r="5958" spans="18:18" s="2" customFormat="1" ht="12.75" x14ac:dyDescent="0.2">
      <c r="R5958" s="1288"/>
    </row>
    <row r="5959" spans="18:18" s="2" customFormat="1" ht="12.75" x14ac:dyDescent="0.2">
      <c r="R5959" s="1288"/>
    </row>
    <row r="5960" spans="18:18" s="2" customFormat="1" ht="12.75" x14ac:dyDescent="0.2">
      <c r="R5960" s="1288"/>
    </row>
    <row r="5961" spans="18:18" s="2" customFormat="1" ht="12.75" x14ac:dyDescent="0.2">
      <c r="R5961" s="1288"/>
    </row>
    <row r="5962" spans="18:18" s="2" customFormat="1" ht="12.75" x14ac:dyDescent="0.2">
      <c r="R5962" s="1288"/>
    </row>
    <row r="5963" spans="18:18" s="2" customFormat="1" ht="12.75" x14ac:dyDescent="0.2">
      <c r="R5963" s="1288"/>
    </row>
    <row r="5964" spans="18:18" s="2" customFormat="1" ht="12.75" x14ac:dyDescent="0.2">
      <c r="R5964" s="1288"/>
    </row>
    <row r="5965" spans="18:18" s="2" customFormat="1" ht="12.75" x14ac:dyDescent="0.2">
      <c r="R5965" s="1288"/>
    </row>
    <row r="5966" spans="18:18" s="2" customFormat="1" ht="12.75" x14ac:dyDescent="0.2">
      <c r="R5966" s="1288"/>
    </row>
    <row r="5967" spans="18:18" s="2" customFormat="1" ht="12.75" x14ac:dyDescent="0.2">
      <c r="R5967" s="1288"/>
    </row>
    <row r="5968" spans="18:18" s="2" customFormat="1" ht="12.75" x14ac:dyDescent="0.2">
      <c r="R5968" s="1288"/>
    </row>
    <row r="5969" spans="18:18" s="2" customFormat="1" ht="12.75" x14ac:dyDescent="0.2">
      <c r="R5969" s="1288"/>
    </row>
    <row r="5970" spans="18:18" s="2" customFormat="1" ht="12.75" x14ac:dyDescent="0.2">
      <c r="R5970" s="1288"/>
    </row>
    <row r="5971" spans="18:18" s="2" customFormat="1" ht="12.75" x14ac:dyDescent="0.2">
      <c r="R5971" s="1288"/>
    </row>
    <row r="5972" spans="18:18" s="2" customFormat="1" ht="12.75" x14ac:dyDescent="0.2">
      <c r="R5972" s="1288"/>
    </row>
    <row r="5973" spans="18:18" s="2" customFormat="1" ht="12.75" x14ac:dyDescent="0.2">
      <c r="R5973" s="1288"/>
    </row>
    <row r="5974" spans="18:18" s="2" customFormat="1" ht="12.75" x14ac:dyDescent="0.2">
      <c r="R5974" s="1288"/>
    </row>
    <row r="5975" spans="18:18" s="2" customFormat="1" ht="12.75" x14ac:dyDescent="0.2">
      <c r="R5975" s="1288"/>
    </row>
    <row r="5976" spans="18:18" s="2" customFormat="1" ht="12.75" x14ac:dyDescent="0.2">
      <c r="R5976" s="1288"/>
    </row>
    <row r="5977" spans="18:18" s="2" customFormat="1" ht="12.75" x14ac:dyDescent="0.2">
      <c r="R5977" s="1288"/>
    </row>
    <row r="5978" spans="18:18" s="2" customFormat="1" ht="12.75" x14ac:dyDescent="0.2">
      <c r="R5978" s="1288"/>
    </row>
    <row r="5979" spans="18:18" s="2" customFormat="1" ht="12.75" x14ac:dyDescent="0.2">
      <c r="R5979" s="1288"/>
    </row>
    <row r="5980" spans="18:18" s="2" customFormat="1" ht="12.75" x14ac:dyDescent="0.2">
      <c r="R5980" s="1288"/>
    </row>
    <row r="5981" spans="18:18" s="2" customFormat="1" ht="12.75" x14ac:dyDescent="0.2">
      <c r="R5981" s="1288"/>
    </row>
    <row r="5982" spans="18:18" s="2" customFormat="1" ht="12.75" x14ac:dyDescent="0.2">
      <c r="R5982" s="1288"/>
    </row>
    <row r="5983" spans="18:18" s="2" customFormat="1" ht="12.75" x14ac:dyDescent="0.2">
      <c r="R5983" s="1288"/>
    </row>
    <row r="5984" spans="18:18" s="2" customFormat="1" ht="12.75" x14ac:dyDescent="0.2">
      <c r="R5984" s="1288"/>
    </row>
    <row r="5985" spans="18:18" s="2" customFormat="1" ht="12.75" x14ac:dyDescent="0.2">
      <c r="R5985" s="1288"/>
    </row>
    <row r="5986" spans="18:18" s="2" customFormat="1" ht="12.75" x14ac:dyDescent="0.2">
      <c r="R5986" s="1288"/>
    </row>
    <row r="5987" spans="18:18" s="2" customFormat="1" ht="12.75" x14ac:dyDescent="0.2">
      <c r="R5987" s="1288"/>
    </row>
    <row r="5988" spans="18:18" s="2" customFormat="1" ht="12.75" x14ac:dyDescent="0.2">
      <c r="R5988" s="1288"/>
    </row>
    <row r="5989" spans="18:18" s="2" customFormat="1" ht="12.75" x14ac:dyDescent="0.2">
      <c r="R5989" s="1288"/>
    </row>
    <row r="5990" spans="18:18" s="2" customFormat="1" ht="12.75" x14ac:dyDescent="0.2">
      <c r="R5990" s="1288"/>
    </row>
    <row r="5991" spans="18:18" s="2" customFormat="1" ht="12.75" x14ac:dyDescent="0.2">
      <c r="R5991" s="1288"/>
    </row>
    <row r="5992" spans="18:18" s="2" customFormat="1" ht="12.75" x14ac:dyDescent="0.2">
      <c r="R5992" s="1288"/>
    </row>
    <row r="5993" spans="18:18" s="2" customFormat="1" ht="12.75" x14ac:dyDescent="0.2">
      <c r="R5993" s="1288"/>
    </row>
    <row r="5994" spans="18:18" s="2" customFormat="1" ht="12.75" x14ac:dyDescent="0.2">
      <c r="R5994" s="1288"/>
    </row>
    <row r="5995" spans="18:18" s="2" customFormat="1" ht="12.75" x14ac:dyDescent="0.2">
      <c r="R5995" s="1288"/>
    </row>
    <row r="5996" spans="18:18" s="2" customFormat="1" ht="12.75" x14ac:dyDescent="0.2">
      <c r="R5996" s="1288"/>
    </row>
    <row r="5997" spans="18:18" s="2" customFormat="1" ht="12.75" x14ac:dyDescent="0.2">
      <c r="R5997" s="1288"/>
    </row>
    <row r="5998" spans="18:18" s="2" customFormat="1" ht="12.75" x14ac:dyDescent="0.2">
      <c r="R5998" s="1288"/>
    </row>
    <row r="5999" spans="18:18" s="2" customFormat="1" ht="12.75" x14ac:dyDescent="0.2">
      <c r="R5999" s="1288"/>
    </row>
    <row r="6000" spans="18:18" s="2" customFormat="1" ht="12.75" x14ac:dyDescent="0.2">
      <c r="R6000" s="1288"/>
    </row>
    <row r="6001" spans="18:18" s="2" customFormat="1" ht="12.75" x14ac:dyDescent="0.2">
      <c r="R6001" s="1288"/>
    </row>
    <row r="6002" spans="18:18" s="2" customFormat="1" ht="12.75" x14ac:dyDescent="0.2">
      <c r="R6002" s="1288"/>
    </row>
    <row r="6003" spans="18:18" s="2" customFormat="1" ht="12.75" x14ac:dyDescent="0.2">
      <c r="R6003" s="1288"/>
    </row>
    <row r="6004" spans="18:18" s="2" customFormat="1" ht="12.75" x14ac:dyDescent="0.2">
      <c r="R6004" s="1288"/>
    </row>
    <row r="6005" spans="18:18" s="2" customFormat="1" ht="12.75" x14ac:dyDescent="0.2">
      <c r="R6005" s="1288"/>
    </row>
    <row r="6006" spans="18:18" s="2" customFormat="1" ht="12.75" x14ac:dyDescent="0.2">
      <c r="R6006" s="1288"/>
    </row>
    <row r="6007" spans="18:18" s="2" customFormat="1" ht="12.75" x14ac:dyDescent="0.2">
      <c r="R6007" s="1288"/>
    </row>
    <row r="6008" spans="18:18" s="2" customFormat="1" ht="12.75" x14ac:dyDescent="0.2">
      <c r="R6008" s="1288"/>
    </row>
    <row r="6009" spans="18:18" s="2" customFormat="1" ht="12.75" x14ac:dyDescent="0.2">
      <c r="R6009" s="1288"/>
    </row>
    <row r="6010" spans="18:18" s="2" customFormat="1" ht="12.75" x14ac:dyDescent="0.2">
      <c r="R6010" s="1288"/>
    </row>
    <row r="6011" spans="18:18" s="2" customFormat="1" ht="12.75" x14ac:dyDescent="0.2">
      <c r="R6011" s="1288"/>
    </row>
    <row r="6012" spans="18:18" s="2" customFormat="1" ht="12.75" x14ac:dyDescent="0.2">
      <c r="R6012" s="1288"/>
    </row>
    <row r="6013" spans="18:18" s="2" customFormat="1" ht="12.75" x14ac:dyDescent="0.2">
      <c r="R6013" s="1288"/>
    </row>
    <row r="6014" spans="18:18" s="2" customFormat="1" ht="12.75" x14ac:dyDescent="0.2">
      <c r="R6014" s="1288"/>
    </row>
    <row r="6015" spans="18:18" s="2" customFormat="1" ht="12.75" x14ac:dyDescent="0.2">
      <c r="R6015" s="1288"/>
    </row>
    <row r="6016" spans="18:18" s="2" customFormat="1" ht="12.75" x14ac:dyDescent="0.2">
      <c r="R6016" s="1288"/>
    </row>
    <row r="6017" spans="18:18" s="2" customFormat="1" ht="12.75" x14ac:dyDescent="0.2">
      <c r="R6017" s="1288"/>
    </row>
    <row r="6018" spans="18:18" s="2" customFormat="1" ht="12.75" x14ac:dyDescent="0.2">
      <c r="R6018" s="1288"/>
    </row>
    <row r="6019" spans="18:18" s="2" customFormat="1" ht="12.75" x14ac:dyDescent="0.2">
      <c r="R6019" s="1288"/>
    </row>
    <row r="6020" spans="18:18" s="2" customFormat="1" ht="12.75" x14ac:dyDescent="0.2">
      <c r="R6020" s="1288"/>
    </row>
    <row r="6021" spans="18:18" s="2" customFormat="1" ht="12.75" x14ac:dyDescent="0.2">
      <c r="R6021" s="1288"/>
    </row>
    <row r="6022" spans="18:18" s="2" customFormat="1" ht="12.75" x14ac:dyDescent="0.2">
      <c r="R6022" s="1288"/>
    </row>
    <row r="6023" spans="18:18" s="2" customFormat="1" ht="12.75" x14ac:dyDescent="0.2">
      <c r="R6023" s="1288"/>
    </row>
    <row r="6024" spans="18:18" s="2" customFormat="1" ht="12.75" x14ac:dyDescent="0.2">
      <c r="R6024" s="1288"/>
    </row>
    <row r="6025" spans="18:18" s="2" customFormat="1" ht="12.75" x14ac:dyDescent="0.2">
      <c r="R6025" s="1288"/>
    </row>
    <row r="6026" spans="18:18" s="2" customFormat="1" ht="12.75" x14ac:dyDescent="0.2">
      <c r="R6026" s="1288"/>
    </row>
    <row r="6027" spans="18:18" s="2" customFormat="1" ht="12.75" x14ac:dyDescent="0.2">
      <c r="R6027" s="1288"/>
    </row>
    <row r="6028" spans="18:18" s="2" customFormat="1" ht="12.75" x14ac:dyDescent="0.2">
      <c r="R6028" s="1288"/>
    </row>
    <row r="6029" spans="18:18" s="2" customFormat="1" ht="12.75" x14ac:dyDescent="0.2">
      <c r="R6029" s="1288"/>
    </row>
    <row r="6030" spans="18:18" s="2" customFormat="1" ht="12.75" x14ac:dyDescent="0.2">
      <c r="R6030" s="1288"/>
    </row>
    <row r="6031" spans="18:18" s="2" customFormat="1" ht="12.75" x14ac:dyDescent="0.2">
      <c r="R6031" s="1288"/>
    </row>
    <row r="6032" spans="18:18" s="2" customFormat="1" ht="12.75" x14ac:dyDescent="0.2">
      <c r="R6032" s="1288"/>
    </row>
    <row r="6033" spans="18:18" s="2" customFormat="1" ht="12.75" x14ac:dyDescent="0.2">
      <c r="R6033" s="1288"/>
    </row>
    <row r="6034" spans="18:18" s="2" customFormat="1" ht="12.75" x14ac:dyDescent="0.2">
      <c r="R6034" s="1288"/>
    </row>
    <row r="6035" spans="18:18" s="2" customFormat="1" ht="12.75" x14ac:dyDescent="0.2">
      <c r="R6035" s="1288"/>
    </row>
    <row r="6036" spans="18:18" s="2" customFormat="1" ht="12.75" x14ac:dyDescent="0.2">
      <c r="R6036" s="1288"/>
    </row>
    <row r="6037" spans="18:18" s="2" customFormat="1" ht="12.75" x14ac:dyDescent="0.2">
      <c r="R6037" s="1288"/>
    </row>
    <row r="6038" spans="18:18" s="2" customFormat="1" ht="12.75" x14ac:dyDescent="0.2">
      <c r="R6038" s="1288"/>
    </row>
    <row r="6039" spans="18:18" s="2" customFormat="1" ht="12.75" x14ac:dyDescent="0.2">
      <c r="R6039" s="1288"/>
    </row>
    <row r="6040" spans="18:18" s="2" customFormat="1" ht="12.75" x14ac:dyDescent="0.2">
      <c r="R6040" s="1288"/>
    </row>
    <row r="6041" spans="18:18" s="2" customFormat="1" ht="12.75" x14ac:dyDescent="0.2">
      <c r="R6041" s="1288"/>
    </row>
    <row r="6042" spans="18:18" s="2" customFormat="1" ht="12.75" x14ac:dyDescent="0.2">
      <c r="R6042" s="1288"/>
    </row>
    <row r="6043" spans="18:18" s="2" customFormat="1" ht="12.75" x14ac:dyDescent="0.2">
      <c r="R6043" s="1288"/>
    </row>
    <row r="6044" spans="18:18" s="2" customFormat="1" ht="12.75" x14ac:dyDescent="0.2">
      <c r="R6044" s="1288"/>
    </row>
    <row r="6045" spans="18:18" s="2" customFormat="1" ht="12.75" x14ac:dyDescent="0.2">
      <c r="R6045" s="1288"/>
    </row>
    <row r="6046" spans="18:18" s="2" customFormat="1" ht="12.75" x14ac:dyDescent="0.2">
      <c r="R6046" s="1288"/>
    </row>
    <row r="6047" spans="18:18" s="2" customFormat="1" ht="12.75" x14ac:dyDescent="0.2">
      <c r="R6047" s="1288"/>
    </row>
    <row r="6048" spans="18:18" s="2" customFormat="1" ht="12.75" x14ac:dyDescent="0.2">
      <c r="R6048" s="1288"/>
    </row>
    <row r="6049" spans="18:18" s="2" customFormat="1" ht="12.75" x14ac:dyDescent="0.2">
      <c r="R6049" s="1288"/>
    </row>
    <row r="6050" spans="18:18" s="2" customFormat="1" ht="12.75" x14ac:dyDescent="0.2">
      <c r="R6050" s="1288"/>
    </row>
    <row r="6051" spans="18:18" s="2" customFormat="1" ht="12.75" x14ac:dyDescent="0.2">
      <c r="R6051" s="1288"/>
    </row>
    <row r="6052" spans="18:18" s="2" customFormat="1" ht="12.75" x14ac:dyDescent="0.2">
      <c r="R6052" s="1288"/>
    </row>
    <row r="6053" spans="18:18" s="2" customFormat="1" ht="12.75" x14ac:dyDescent="0.2">
      <c r="R6053" s="1288"/>
    </row>
    <row r="6054" spans="18:18" s="2" customFormat="1" ht="12.75" x14ac:dyDescent="0.2">
      <c r="R6054" s="1288"/>
    </row>
    <row r="6055" spans="18:18" s="2" customFormat="1" ht="12.75" x14ac:dyDescent="0.2">
      <c r="R6055" s="1288"/>
    </row>
    <row r="6056" spans="18:18" s="2" customFormat="1" ht="12.75" x14ac:dyDescent="0.2">
      <c r="R6056" s="1288"/>
    </row>
    <row r="6057" spans="18:18" s="2" customFormat="1" ht="12.75" x14ac:dyDescent="0.2">
      <c r="R6057" s="1288"/>
    </row>
    <row r="6058" spans="18:18" s="2" customFormat="1" ht="12.75" x14ac:dyDescent="0.2">
      <c r="R6058" s="1288"/>
    </row>
    <row r="6059" spans="18:18" s="2" customFormat="1" ht="12.75" x14ac:dyDescent="0.2">
      <c r="R6059" s="1288"/>
    </row>
    <row r="6060" spans="18:18" s="2" customFormat="1" ht="12.75" x14ac:dyDescent="0.2">
      <c r="R6060" s="1288"/>
    </row>
    <row r="6061" spans="18:18" s="2" customFormat="1" ht="12.75" x14ac:dyDescent="0.2">
      <c r="R6061" s="1288"/>
    </row>
    <row r="6062" spans="18:18" s="2" customFormat="1" ht="12.75" x14ac:dyDescent="0.2">
      <c r="R6062" s="1288"/>
    </row>
    <row r="6063" spans="18:18" s="2" customFormat="1" ht="12.75" x14ac:dyDescent="0.2">
      <c r="R6063" s="1288"/>
    </row>
    <row r="6064" spans="18:18" s="2" customFormat="1" ht="12.75" x14ac:dyDescent="0.2">
      <c r="R6064" s="1288"/>
    </row>
    <row r="6065" spans="18:18" s="2" customFormat="1" ht="12.75" x14ac:dyDescent="0.2">
      <c r="R6065" s="1288"/>
    </row>
    <row r="6066" spans="18:18" s="2" customFormat="1" ht="12.75" x14ac:dyDescent="0.2">
      <c r="R6066" s="1288"/>
    </row>
    <row r="6067" spans="18:18" s="2" customFormat="1" ht="12.75" x14ac:dyDescent="0.2">
      <c r="R6067" s="1288"/>
    </row>
    <row r="6068" spans="18:18" s="2" customFormat="1" ht="12.75" x14ac:dyDescent="0.2">
      <c r="R6068" s="1288"/>
    </row>
    <row r="6069" spans="18:18" s="2" customFormat="1" ht="12.75" x14ac:dyDescent="0.2">
      <c r="R6069" s="1288"/>
    </row>
    <row r="6070" spans="18:18" s="2" customFormat="1" ht="12.75" x14ac:dyDescent="0.2">
      <c r="R6070" s="1288"/>
    </row>
    <row r="6071" spans="18:18" s="2" customFormat="1" ht="12.75" x14ac:dyDescent="0.2">
      <c r="R6071" s="1288"/>
    </row>
    <row r="6072" spans="18:18" s="2" customFormat="1" ht="12.75" x14ac:dyDescent="0.2">
      <c r="R6072" s="1288"/>
    </row>
    <row r="6073" spans="18:18" s="2" customFormat="1" ht="12.75" x14ac:dyDescent="0.2">
      <c r="R6073" s="1288"/>
    </row>
    <row r="6074" spans="18:18" s="2" customFormat="1" ht="12.75" x14ac:dyDescent="0.2">
      <c r="R6074" s="1288"/>
    </row>
    <row r="6075" spans="18:18" s="2" customFormat="1" ht="12.75" x14ac:dyDescent="0.2">
      <c r="R6075" s="1288"/>
    </row>
    <row r="6076" spans="18:18" s="2" customFormat="1" ht="12.75" x14ac:dyDescent="0.2">
      <c r="R6076" s="1288"/>
    </row>
    <row r="6077" spans="18:18" s="2" customFormat="1" ht="12.75" x14ac:dyDescent="0.2">
      <c r="R6077" s="1288"/>
    </row>
    <row r="6078" spans="18:18" s="2" customFormat="1" ht="12.75" x14ac:dyDescent="0.2">
      <c r="R6078" s="1288"/>
    </row>
    <row r="6079" spans="18:18" s="2" customFormat="1" ht="12.75" x14ac:dyDescent="0.2">
      <c r="R6079" s="1288"/>
    </row>
    <row r="6080" spans="18:18" s="2" customFormat="1" ht="12.75" x14ac:dyDescent="0.2">
      <c r="R6080" s="1288"/>
    </row>
    <row r="6081" spans="18:18" s="2" customFormat="1" ht="12.75" x14ac:dyDescent="0.2">
      <c r="R6081" s="1288"/>
    </row>
    <row r="6082" spans="18:18" s="2" customFormat="1" ht="12.75" x14ac:dyDescent="0.2">
      <c r="R6082" s="1288"/>
    </row>
    <row r="6083" spans="18:18" s="2" customFormat="1" ht="12.75" x14ac:dyDescent="0.2">
      <c r="R6083" s="1288"/>
    </row>
    <row r="6084" spans="18:18" s="2" customFormat="1" ht="12.75" x14ac:dyDescent="0.2">
      <c r="R6084" s="1288"/>
    </row>
    <row r="6085" spans="18:18" s="2" customFormat="1" ht="12.75" x14ac:dyDescent="0.2">
      <c r="R6085" s="1288"/>
    </row>
    <row r="6086" spans="18:18" s="2" customFormat="1" ht="12.75" x14ac:dyDescent="0.2">
      <c r="R6086" s="1288"/>
    </row>
    <row r="6087" spans="18:18" s="2" customFormat="1" ht="12.75" x14ac:dyDescent="0.2">
      <c r="R6087" s="1288"/>
    </row>
    <row r="6088" spans="18:18" s="2" customFormat="1" ht="12.75" x14ac:dyDescent="0.2">
      <c r="R6088" s="1288"/>
    </row>
    <row r="6089" spans="18:18" s="2" customFormat="1" ht="12.75" x14ac:dyDescent="0.2">
      <c r="R6089" s="1288"/>
    </row>
    <row r="6090" spans="18:18" s="2" customFormat="1" ht="12.75" x14ac:dyDescent="0.2">
      <c r="R6090" s="1288"/>
    </row>
    <row r="6091" spans="18:18" s="2" customFormat="1" ht="12.75" x14ac:dyDescent="0.2">
      <c r="R6091" s="1288"/>
    </row>
    <row r="6092" spans="18:18" s="2" customFormat="1" ht="12.75" x14ac:dyDescent="0.2">
      <c r="R6092" s="1288"/>
    </row>
    <row r="6093" spans="18:18" s="2" customFormat="1" ht="12.75" x14ac:dyDescent="0.2">
      <c r="R6093" s="1288"/>
    </row>
    <row r="6094" spans="18:18" s="2" customFormat="1" ht="12.75" x14ac:dyDescent="0.2">
      <c r="R6094" s="1288"/>
    </row>
    <row r="6095" spans="18:18" s="2" customFormat="1" ht="12.75" x14ac:dyDescent="0.2">
      <c r="R6095" s="1288"/>
    </row>
    <row r="6096" spans="18:18" s="2" customFormat="1" ht="12.75" x14ac:dyDescent="0.2">
      <c r="R6096" s="1288"/>
    </row>
    <row r="6097" spans="18:18" s="2" customFormat="1" ht="12.75" x14ac:dyDescent="0.2">
      <c r="R6097" s="1288"/>
    </row>
    <row r="6098" spans="18:18" s="2" customFormat="1" ht="12.75" x14ac:dyDescent="0.2">
      <c r="R6098" s="1288"/>
    </row>
    <row r="6099" spans="18:18" s="2" customFormat="1" ht="12.75" x14ac:dyDescent="0.2">
      <c r="R6099" s="1288"/>
    </row>
    <row r="6100" spans="18:18" s="2" customFormat="1" ht="12.75" x14ac:dyDescent="0.2">
      <c r="R6100" s="1288"/>
    </row>
    <row r="6101" spans="18:18" s="2" customFormat="1" ht="12.75" x14ac:dyDescent="0.2">
      <c r="R6101" s="1288"/>
    </row>
    <row r="6102" spans="18:18" s="2" customFormat="1" ht="12.75" x14ac:dyDescent="0.2">
      <c r="R6102" s="1288"/>
    </row>
    <row r="6103" spans="18:18" s="2" customFormat="1" ht="12.75" x14ac:dyDescent="0.2">
      <c r="R6103" s="1288"/>
    </row>
    <row r="6104" spans="18:18" s="2" customFormat="1" ht="12.75" x14ac:dyDescent="0.2">
      <c r="R6104" s="1288"/>
    </row>
    <row r="6105" spans="18:18" s="2" customFormat="1" ht="12.75" x14ac:dyDescent="0.2">
      <c r="R6105" s="1288"/>
    </row>
    <row r="6106" spans="18:18" s="2" customFormat="1" ht="12.75" x14ac:dyDescent="0.2">
      <c r="R6106" s="1288"/>
    </row>
    <row r="6107" spans="18:18" s="2" customFormat="1" ht="12.75" x14ac:dyDescent="0.2">
      <c r="R6107" s="1288"/>
    </row>
    <row r="6108" spans="18:18" s="2" customFormat="1" ht="12.75" x14ac:dyDescent="0.2">
      <c r="R6108" s="1288"/>
    </row>
    <row r="6109" spans="18:18" s="2" customFormat="1" ht="12.75" x14ac:dyDescent="0.2">
      <c r="R6109" s="1288"/>
    </row>
    <row r="6110" spans="18:18" s="2" customFormat="1" ht="12.75" x14ac:dyDescent="0.2">
      <c r="R6110" s="1288"/>
    </row>
    <row r="6111" spans="18:18" s="2" customFormat="1" ht="12.75" x14ac:dyDescent="0.2">
      <c r="R6111" s="1288"/>
    </row>
    <row r="6112" spans="18:18" s="2" customFormat="1" ht="12.75" x14ac:dyDescent="0.2">
      <c r="R6112" s="1288"/>
    </row>
    <row r="6113" spans="18:18" s="2" customFormat="1" ht="12.75" x14ac:dyDescent="0.2">
      <c r="R6113" s="1288"/>
    </row>
    <row r="6114" spans="18:18" s="2" customFormat="1" ht="12.75" x14ac:dyDescent="0.2">
      <c r="R6114" s="1288"/>
    </row>
    <row r="6115" spans="18:18" s="2" customFormat="1" ht="12.75" x14ac:dyDescent="0.2">
      <c r="R6115" s="1288"/>
    </row>
    <row r="6116" spans="18:18" s="2" customFormat="1" ht="12.75" x14ac:dyDescent="0.2">
      <c r="R6116" s="1288"/>
    </row>
    <row r="6117" spans="18:18" s="2" customFormat="1" ht="12.75" x14ac:dyDescent="0.2">
      <c r="R6117" s="1288"/>
    </row>
    <row r="6118" spans="18:18" s="2" customFormat="1" ht="12.75" x14ac:dyDescent="0.2">
      <c r="R6118" s="1288"/>
    </row>
    <row r="6119" spans="18:18" s="2" customFormat="1" ht="12.75" x14ac:dyDescent="0.2">
      <c r="R6119" s="1288"/>
    </row>
    <row r="6120" spans="18:18" s="2" customFormat="1" ht="12.75" x14ac:dyDescent="0.2">
      <c r="R6120" s="1288"/>
    </row>
    <row r="6121" spans="18:18" s="2" customFormat="1" ht="12.75" x14ac:dyDescent="0.2">
      <c r="R6121" s="1288"/>
    </row>
    <row r="6122" spans="18:18" s="2" customFormat="1" ht="12.75" x14ac:dyDescent="0.2">
      <c r="R6122" s="1288"/>
    </row>
    <row r="6123" spans="18:18" s="2" customFormat="1" ht="12.75" x14ac:dyDescent="0.2">
      <c r="R6123" s="1288"/>
    </row>
    <row r="6124" spans="18:18" s="2" customFormat="1" ht="12.75" x14ac:dyDescent="0.2">
      <c r="R6124" s="1288"/>
    </row>
    <row r="6125" spans="18:18" s="2" customFormat="1" ht="12.75" x14ac:dyDescent="0.2">
      <c r="R6125" s="1288"/>
    </row>
    <row r="6126" spans="18:18" s="2" customFormat="1" ht="12.75" x14ac:dyDescent="0.2">
      <c r="R6126" s="1288"/>
    </row>
    <row r="6127" spans="18:18" s="2" customFormat="1" ht="12.75" x14ac:dyDescent="0.2">
      <c r="R6127" s="1288"/>
    </row>
    <row r="6128" spans="18:18" s="2" customFormat="1" ht="12.75" x14ac:dyDescent="0.2">
      <c r="R6128" s="1288"/>
    </row>
    <row r="6129" spans="18:18" s="2" customFormat="1" ht="12.75" x14ac:dyDescent="0.2">
      <c r="R6129" s="1288"/>
    </row>
    <row r="6130" spans="18:18" s="2" customFormat="1" ht="12.75" x14ac:dyDescent="0.2">
      <c r="R6130" s="1288"/>
    </row>
    <row r="6131" spans="18:18" s="2" customFormat="1" ht="12.75" x14ac:dyDescent="0.2">
      <c r="R6131" s="1288"/>
    </row>
    <row r="6132" spans="18:18" s="2" customFormat="1" ht="12.75" x14ac:dyDescent="0.2">
      <c r="R6132" s="1288"/>
    </row>
    <row r="6133" spans="18:18" s="2" customFormat="1" ht="12.75" x14ac:dyDescent="0.2">
      <c r="R6133" s="1288"/>
    </row>
    <row r="6134" spans="18:18" s="2" customFormat="1" ht="12.75" x14ac:dyDescent="0.2">
      <c r="R6134" s="1288"/>
    </row>
    <row r="6135" spans="18:18" s="2" customFormat="1" ht="12.75" x14ac:dyDescent="0.2">
      <c r="R6135" s="1288"/>
    </row>
    <row r="6136" spans="18:18" s="2" customFormat="1" ht="12.75" x14ac:dyDescent="0.2">
      <c r="R6136" s="1288"/>
    </row>
    <row r="6137" spans="18:18" s="2" customFormat="1" ht="12.75" x14ac:dyDescent="0.2">
      <c r="R6137" s="1288"/>
    </row>
    <row r="6138" spans="18:18" s="2" customFormat="1" ht="12.75" x14ac:dyDescent="0.2">
      <c r="R6138" s="1288"/>
    </row>
    <row r="6139" spans="18:18" s="2" customFormat="1" ht="12.75" x14ac:dyDescent="0.2">
      <c r="R6139" s="1288"/>
    </row>
    <row r="6140" spans="18:18" s="2" customFormat="1" ht="12.75" x14ac:dyDescent="0.2">
      <c r="R6140" s="1288"/>
    </row>
    <row r="6141" spans="18:18" s="2" customFormat="1" ht="12.75" x14ac:dyDescent="0.2">
      <c r="R6141" s="1288"/>
    </row>
    <row r="6142" spans="18:18" s="2" customFormat="1" ht="12.75" x14ac:dyDescent="0.2">
      <c r="R6142" s="1288"/>
    </row>
    <row r="6143" spans="18:18" s="2" customFormat="1" ht="12.75" x14ac:dyDescent="0.2">
      <c r="R6143" s="1288"/>
    </row>
    <row r="6144" spans="18:18" s="2" customFormat="1" ht="12.75" x14ac:dyDescent="0.2">
      <c r="R6144" s="1288"/>
    </row>
    <row r="6145" spans="18:18" s="2" customFormat="1" ht="12.75" x14ac:dyDescent="0.2">
      <c r="R6145" s="1288"/>
    </row>
    <row r="6146" spans="18:18" s="2" customFormat="1" ht="12.75" x14ac:dyDescent="0.2">
      <c r="R6146" s="1288"/>
    </row>
    <row r="6147" spans="18:18" s="2" customFormat="1" ht="12.75" x14ac:dyDescent="0.2">
      <c r="R6147" s="1288"/>
    </row>
    <row r="6148" spans="18:18" s="2" customFormat="1" ht="12.75" x14ac:dyDescent="0.2">
      <c r="R6148" s="1288"/>
    </row>
    <row r="6149" spans="18:18" s="2" customFormat="1" ht="12.75" x14ac:dyDescent="0.2">
      <c r="R6149" s="1288"/>
    </row>
    <row r="6150" spans="18:18" s="2" customFormat="1" ht="12.75" x14ac:dyDescent="0.2">
      <c r="R6150" s="1288"/>
    </row>
    <row r="6151" spans="18:18" s="2" customFormat="1" ht="12.75" x14ac:dyDescent="0.2">
      <c r="R6151" s="1288"/>
    </row>
    <row r="6152" spans="18:18" s="2" customFormat="1" ht="12.75" x14ac:dyDescent="0.2">
      <c r="R6152" s="1288"/>
    </row>
    <row r="6153" spans="18:18" s="2" customFormat="1" ht="12.75" x14ac:dyDescent="0.2">
      <c r="R6153" s="1288"/>
    </row>
    <row r="6154" spans="18:18" s="2" customFormat="1" ht="12.75" x14ac:dyDescent="0.2">
      <c r="R6154" s="1288"/>
    </row>
    <row r="6155" spans="18:18" s="2" customFormat="1" ht="12.75" x14ac:dyDescent="0.2">
      <c r="R6155" s="1288"/>
    </row>
    <row r="6156" spans="18:18" s="2" customFormat="1" ht="12.75" x14ac:dyDescent="0.2">
      <c r="R6156" s="1288"/>
    </row>
    <row r="6157" spans="18:18" s="2" customFormat="1" ht="12.75" x14ac:dyDescent="0.2">
      <c r="R6157" s="1288"/>
    </row>
    <row r="6158" spans="18:18" s="2" customFormat="1" ht="12.75" x14ac:dyDescent="0.2">
      <c r="R6158" s="1288"/>
    </row>
    <row r="6159" spans="18:18" s="2" customFormat="1" ht="12.75" x14ac:dyDescent="0.2">
      <c r="R6159" s="1288"/>
    </row>
    <row r="6160" spans="18:18" s="2" customFormat="1" ht="12.75" x14ac:dyDescent="0.2">
      <c r="R6160" s="1288"/>
    </row>
    <row r="6161" spans="18:18" s="2" customFormat="1" ht="12.75" x14ac:dyDescent="0.2">
      <c r="R6161" s="1288"/>
    </row>
    <row r="6162" spans="18:18" s="2" customFormat="1" ht="12.75" x14ac:dyDescent="0.2">
      <c r="R6162" s="1288"/>
    </row>
    <row r="6163" spans="18:18" s="2" customFormat="1" ht="12.75" x14ac:dyDescent="0.2">
      <c r="R6163" s="1288"/>
    </row>
    <row r="6164" spans="18:18" s="2" customFormat="1" ht="12.75" x14ac:dyDescent="0.2">
      <c r="R6164" s="1288"/>
    </row>
    <row r="6165" spans="18:18" s="2" customFormat="1" ht="12.75" x14ac:dyDescent="0.2">
      <c r="R6165" s="1288"/>
    </row>
    <row r="6166" spans="18:18" s="2" customFormat="1" ht="12.75" x14ac:dyDescent="0.2">
      <c r="R6166" s="1288"/>
    </row>
    <row r="6167" spans="18:18" s="2" customFormat="1" ht="12.75" x14ac:dyDescent="0.2">
      <c r="R6167" s="1288"/>
    </row>
    <row r="6168" spans="18:18" s="2" customFormat="1" ht="12.75" x14ac:dyDescent="0.2">
      <c r="R6168" s="1288"/>
    </row>
    <row r="6169" spans="18:18" s="2" customFormat="1" ht="12.75" x14ac:dyDescent="0.2">
      <c r="R6169" s="1288"/>
    </row>
    <row r="6170" spans="18:18" s="2" customFormat="1" ht="12.75" x14ac:dyDescent="0.2">
      <c r="R6170" s="1288"/>
    </row>
    <row r="6171" spans="18:18" s="2" customFormat="1" ht="12.75" x14ac:dyDescent="0.2">
      <c r="R6171" s="1288"/>
    </row>
    <row r="6172" spans="18:18" s="2" customFormat="1" ht="12.75" x14ac:dyDescent="0.2">
      <c r="R6172" s="1288"/>
    </row>
    <row r="6173" spans="18:18" s="2" customFormat="1" ht="12.75" x14ac:dyDescent="0.2">
      <c r="R6173" s="1288"/>
    </row>
    <row r="6174" spans="18:18" s="2" customFormat="1" ht="12.75" x14ac:dyDescent="0.2">
      <c r="R6174" s="1288"/>
    </row>
    <row r="6175" spans="18:18" s="2" customFormat="1" ht="12.75" x14ac:dyDescent="0.2">
      <c r="R6175" s="1288"/>
    </row>
    <row r="6176" spans="18:18" s="2" customFormat="1" ht="12.75" x14ac:dyDescent="0.2">
      <c r="R6176" s="1288"/>
    </row>
    <row r="6177" spans="18:18" s="2" customFormat="1" ht="12.75" x14ac:dyDescent="0.2">
      <c r="R6177" s="1288"/>
    </row>
    <row r="6178" spans="18:18" s="2" customFormat="1" ht="12.75" x14ac:dyDescent="0.2">
      <c r="R6178" s="1288"/>
    </row>
    <row r="6179" spans="18:18" s="2" customFormat="1" ht="12.75" x14ac:dyDescent="0.2">
      <c r="R6179" s="1288"/>
    </row>
    <row r="6180" spans="18:18" s="2" customFormat="1" ht="12.75" x14ac:dyDescent="0.2">
      <c r="R6180" s="1288"/>
    </row>
    <row r="6181" spans="18:18" s="2" customFormat="1" ht="12.75" x14ac:dyDescent="0.2">
      <c r="R6181" s="1288"/>
    </row>
    <row r="6182" spans="18:18" s="2" customFormat="1" ht="12.75" x14ac:dyDescent="0.2">
      <c r="R6182" s="1288"/>
    </row>
    <row r="6183" spans="18:18" s="2" customFormat="1" ht="12.75" x14ac:dyDescent="0.2">
      <c r="R6183" s="1288"/>
    </row>
    <row r="6184" spans="18:18" s="2" customFormat="1" ht="12.75" x14ac:dyDescent="0.2">
      <c r="R6184" s="1288"/>
    </row>
    <row r="6185" spans="18:18" s="2" customFormat="1" ht="12.75" x14ac:dyDescent="0.2">
      <c r="R6185" s="1288"/>
    </row>
    <row r="6186" spans="18:18" s="2" customFormat="1" ht="12.75" x14ac:dyDescent="0.2">
      <c r="R6186" s="1288"/>
    </row>
    <row r="6187" spans="18:18" s="2" customFormat="1" ht="12.75" x14ac:dyDescent="0.2">
      <c r="R6187" s="1288"/>
    </row>
    <row r="6188" spans="18:18" s="2" customFormat="1" ht="12.75" x14ac:dyDescent="0.2">
      <c r="R6188" s="1288"/>
    </row>
    <row r="6189" spans="18:18" s="2" customFormat="1" ht="12.75" x14ac:dyDescent="0.2">
      <c r="R6189" s="1288"/>
    </row>
    <row r="6190" spans="18:18" s="2" customFormat="1" ht="12.75" x14ac:dyDescent="0.2">
      <c r="R6190" s="1288"/>
    </row>
    <row r="6191" spans="18:18" s="2" customFormat="1" ht="12.75" x14ac:dyDescent="0.2">
      <c r="R6191" s="1288"/>
    </row>
    <row r="6192" spans="18:18" s="2" customFormat="1" ht="12.75" x14ac:dyDescent="0.2">
      <c r="R6192" s="1288"/>
    </row>
    <row r="6193" spans="18:18" s="2" customFormat="1" ht="12.75" x14ac:dyDescent="0.2">
      <c r="R6193" s="1288"/>
    </row>
    <row r="6194" spans="18:18" s="2" customFormat="1" ht="12.75" x14ac:dyDescent="0.2">
      <c r="R6194" s="1288"/>
    </row>
    <row r="6195" spans="18:18" s="2" customFormat="1" ht="12.75" x14ac:dyDescent="0.2">
      <c r="R6195" s="1288"/>
    </row>
    <row r="6196" spans="18:18" s="2" customFormat="1" ht="12.75" x14ac:dyDescent="0.2">
      <c r="R6196" s="1288"/>
    </row>
    <row r="6197" spans="18:18" s="2" customFormat="1" ht="12.75" x14ac:dyDescent="0.2">
      <c r="R6197" s="1288"/>
    </row>
    <row r="6198" spans="18:18" s="2" customFormat="1" ht="12.75" x14ac:dyDescent="0.2">
      <c r="R6198" s="1288"/>
    </row>
    <row r="6199" spans="18:18" s="2" customFormat="1" ht="12.75" x14ac:dyDescent="0.2">
      <c r="R6199" s="1288"/>
    </row>
    <row r="6200" spans="18:18" s="2" customFormat="1" ht="12.75" x14ac:dyDescent="0.2">
      <c r="R6200" s="1288"/>
    </row>
    <row r="6201" spans="18:18" s="2" customFormat="1" ht="12.75" x14ac:dyDescent="0.2">
      <c r="R6201" s="1288"/>
    </row>
    <row r="6202" spans="18:18" s="2" customFormat="1" ht="12.75" x14ac:dyDescent="0.2">
      <c r="R6202" s="1288"/>
    </row>
    <row r="6203" spans="18:18" s="2" customFormat="1" ht="12.75" x14ac:dyDescent="0.2">
      <c r="R6203" s="1288"/>
    </row>
    <row r="6204" spans="18:18" s="2" customFormat="1" ht="12.75" x14ac:dyDescent="0.2">
      <c r="R6204" s="1288"/>
    </row>
    <row r="6205" spans="18:18" s="2" customFormat="1" ht="12.75" x14ac:dyDescent="0.2">
      <c r="R6205" s="1288"/>
    </row>
    <row r="6206" spans="18:18" s="2" customFormat="1" ht="12.75" x14ac:dyDescent="0.2">
      <c r="R6206" s="1288"/>
    </row>
    <row r="6207" spans="18:18" s="2" customFormat="1" ht="12.75" x14ac:dyDescent="0.2">
      <c r="R6207" s="1288"/>
    </row>
    <row r="6208" spans="18:18" s="2" customFormat="1" ht="12.75" x14ac:dyDescent="0.2">
      <c r="R6208" s="1288"/>
    </row>
    <row r="6209" spans="18:18" s="2" customFormat="1" ht="12.75" x14ac:dyDescent="0.2">
      <c r="R6209" s="1288"/>
    </row>
    <row r="6210" spans="18:18" s="2" customFormat="1" ht="12.75" x14ac:dyDescent="0.2">
      <c r="R6210" s="1288"/>
    </row>
    <row r="6211" spans="18:18" s="2" customFormat="1" ht="12.75" x14ac:dyDescent="0.2">
      <c r="R6211" s="1288"/>
    </row>
    <row r="6212" spans="18:18" s="2" customFormat="1" ht="12.75" x14ac:dyDescent="0.2">
      <c r="R6212" s="1288"/>
    </row>
    <row r="6213" spans="18:18" s="2" customFormat="1" ht="12.75" x14ac:dyDescent="0.2">
      <c r="R6213" s="1288"/>
    </row>
    <row r="6214" spans="18:18" s="2" customFormat="1" ht="12.75" x14ac:dyDescent="0.2">
      <c r="R6214" s="1288"/>
    </row>
    <row r="6215" spans="18:18" s="2" customFormat="1" ht="12.75" x14ac:dyDescent="0.2">
      <c r="R6215" s="1288"/>
    </row>
    <row r="6216" spans="18:18" s="2" customFormat="1" ht="12.75" x14ac:dyDescent="0.2">
      <c r="R6216" s="1288"/>
    </row>
    <row r="6217" spans="18:18" s="2" customFormat="1" ht="12.75" x14ac:dyDescent="0.2">
      <c r="R6217" s="1288"/>
    </row>
    <row r="6218" spans="18:18" s="2" customFormat="1" ht="12.75" x14ac:dyDescent="0.2">
      <c r="R6218" s="1288"/>
    </row>
    <row r="6219" spans="18:18" s="2" customFormat="1" ht="12.75" x14ac:dyDescent="0.2">
      <c r="R6219" s="1288"/>
    </row>
    <row r="6220" spans="18:18" s="2" customFormat="1" ht="12.75" x14ac:dyDescent="0.2">
      <c r="R6220" s="1288"/>
    </row>
    <row r="6221" spans="18:18" s="2" customFormat="1" ht="12.75" x14ac:dyDescent="0.2">
      <c r="R6221" s="1288"/>
    </row>
    <row r="6222" spans="18:18" s="2" customFormat="1" ht="12.75" x14ac:dyDescent="0.2">
      <c r="R6222" s="1288"/>
    </row>
    <row r="6223" spans="18:18" s="2" customFormat="1" ht="12.75" x14ac:dyDescent="0.2">
      <c r="R6223" s="1288"/>
    </row>
    <row r="6224" spans="18:18" s="2" customFormat="1" ht="12.75" x14ac:dyDescent="0.2">
      <c r="R6224" s="1288"/>
    </row>
    <row r="6225" spans="18:18" s="2" customFormat="1" ht="12.75" x14ac:dyDescent="0.2">
      <c r="R6225" s="1288"/>
    </row>
    <row r="6226" spans="18:18" s="2" customFormat="1" ht="12.75" x14ac:dyDescent="0.2">
      <c r="R6226" s="1288"/>
    </row>
    <row r="6227" spans="18:18" s="2" customFormat="1" ht="12.75" x14ac:dyDescent="0.2">
      <c r="R6227" s="1288"/>
    </row>
    <row r="6228" spans="18:18" s="2" customFormat="1" ht="12.75" x14ac:dyDescent="0.2">
      <c r="R6228" s="1288"/>
    </row>
    <row r="6229" spans="18:18" s="2" customFormat="1" ht="12.75" x14ac:dyDescent="0.2">
      <c r="R6229" s="1288"/>
    </row>
    <row r="6230" spans="18:18" s="2" customFormat="1" ht="12.75" x14ac:dyDescent="0.2">
      <c r="R6230" s="1288"/>
    </row>
    <row r="6231" spans="18:18" s="2" customFormat="1" ht="12.75" x14ac:dyDescent="0.2">
      <c r="R6231" s="1288"/>
    </row>
    <row r="6232" spans="18:18" s="2" customFormat="1" ht="12.75" x14ac:dyDescent="0.2">
      <c r="R6232" s="1288"/>
    </row>
    <row r="6233" spans="18:18" s="2" customFormat="1" ht="12.75" x14ac:dyDescent="0.2">
      <c r="R6233" s="1288"/>
    </row>
    <row r="6234" spans="18:18" s="2" customFormat="1" ht="12.75" x14ac:dyDescent="0.2">
      <c r="R6234" s="1288"/>
    </row>
    <row r="6235" spans="18:18" s="2" customFormat="1" ht="12.75" x14ac:dyDescent="0.2">
      <c r="R6235" s="1288"/>
    </row>
    <row r="6236" spans="18:18" s="2" customFormat="1" ht="12.75" x14ac:dyDescent="0.2">
      <c r="R6236" s="1288"/>
    </row>
    <row r="6237" spans="18:18" s="2" customFormat="1" ht="12.75" x14ac:dyDescent="0.2">
      <c r="R6237" s="1288"/>
    </row>
    <row r="6238" spans="18:18" s="2" customFormat="1" ht="12.75" x14ac:dyDescent="0.2">
      <c r="R6238" s="1288"/>
    </row>
    <row r="6239" spans="18:18" s="2" customFormat="1" ht="12.75" x14ac:dyDescent="0.2">
      <c r="R6239" s="1288"/>
    </row>
    <row r="6240" spans="18:18" s="2" customFormat="1" ht="12.75" x14ac:dyDescent="0.2">
      <c r="R6240" s="1288"/>
    </row>
    <row r="6241" spans="18:18" s="2" customFormat="1" ht="12.75" x14ac:dyDescent="0.2">
      <c r="R6241" s="1288"/>
    </row>
    <row r="6242" spans="18:18" s="2" customFormat="1" ht="12.75" x14ac:dyDescent="0.2">
      <c r="R6242" s="1288"/>
    </row>
    <row r="6243" spans="18:18" s="2" customFormat="1" ht="12.75" x14ac:dyDescent="0.2">
      <c r="R6243" s="1288"/>
    </row>
    <row r="6244" spans="18:18" s="2" customFormat="1" ht="12.75" x14ac:dyDescent="0.2">
      <c r="R6244" s="1288"/>
    </row>
    <row r="6245" spans="18:18" s="2" customFormat="1" ht="12.75" x14ac:dyDescent="0.2">
      <c r="R6245" s="1288"/>
    </row>
    <row r="6246" spans="18:18" s="2" customFormat="1" ht="12.75" x14ac:dyDescent="0.2">
      <c r="R6246" s="1288"/>
    </row>
    <row r="6247" spans="18:18" s="2" customFormat="1" ht="12.75" x14ac:dyDescent="0.2">
      <c r="R6247" s="1288"/>
    </row>
    <row r="6248" spans="18:18" s="2" customFormat="1" ht="12.75" x14ac:dyDescent="0.2">
      <c r="R6248" s="1288"/>
    </row>
    <row r="6249" spans="18:18" s="2" customFormat="1" ht="12.75" x14ac:dyDescent="0.2">
      <c r="R6249" s="1288"/>
    </row>
    <row r="6250" spans="18:18" s="2" customFormat="1" ht="12.75" x14ac:dyDescent="0.2">
      <c r="R6250" s="1288"/>
    </row>
    <row r="6251" spans="18:18" s="2" customFormat="1" ht="12.75" x14ac:dyDescent="0.2">
      <c r="R6251" s="1288"/>
    </row>
    <row r="6252" spans="18:18" s="2" customFormat="1" ht="12.75" x14ac:dyDescent="0.2">
      <c r="R6252" s="1288"/>
    </row>
    <row r="6253" spans="18:18" s="2" customFormat="1" ht="12.75" x14ac:dyDescent="0.2">
      <c r="R6253" s="1288"/>
    </row>
    <row r="6254" spans="18:18" s="2" customFormat="1" ht="12.75" x14ac:dyDescent="0.2">
      <c r="R6254" s="1288"/>
    </row>
    <row r="6255" spans="18:18" s="2" customFormat="1" ht="12.75" x14ac:dyDescent="0.2">
      <c r="R6255" s="1288"/>
    </row>
    <row r="6256" spans="18:18" s="2" customFormat="1" ht="12.75" x14ac:dyDescent="0.2">
      <c r="R6256" s="1288"/>
    </row>
    <row r="6257" spans="18:18" s="2" customFormat="1" ht="12.75" x14ac:dyDescent="0.2">
      <c r="R6257" s="1288"/>
    </row>
    <row r="6258" spans="18:18" s="2" customFormat="1" ht="12.75" x14ac:dyDescent="0.2">
      <c r="R6258" s="1288"/>
    </row>
    <row r="6259" spans="18:18" s="2" customFormat="1" ht="12.75" x14ac:dyDescent="0.2">
      <c r="R6259" s="1288"/>
    </row>
    <row r="6260" spans="18:18" s="2" customFormat="1" ht="12.75" x14ac:dyDescent="0.2">
      <c r="R6260" s="1288"/>
    </row>
    <row r="6261" spans="18:18" s="2" customFormat="1" ht="12.75" x14ac:dyDescent="0.2">
      <c r="R6261" s="1288"/>
    </row>
    <row r="6262" spans="18:18" s="2" customFormat="1" ht="12.75" x14ac:dyDescent="0.2">
      <c r="R6262" s="1288"/>
    </row>
    <row r="6263" spans="18:18" s="2" customFormat="1" ht="12.75" x14ac:dyDescent="0.2">
      <c r="R6263" s="1288"/>
    </row>
    <row r="6264" spans="18:18" s="2" customFormat="1" ht="12.75" x14ac:dyDescent="0.2">
      <c r="R6264" s="1288"/>
    </row>
    <row r="6265" spans="18:18" s="2" customFormat="1" ht="12.75" x14ac:dyDescent="0.2">
      <c r="R6265" s="1288"/>
    </row>
    <row r="6266" spans="18:18" s="2" customFormat="1" ht="12.75" x14ac:dyDescent="0.2">
      <c r="R6266" s="1288"/>
    </row>
    <row r="6267" spans="18:18" s="2" customFormat="1" ht="12.75" x14ac:dyDescent="0.2">
      <c r="R6267" s="1288"/>
    </row>
    <row r="6268" spans="18:18" s="2" customFormat="1" ht="12.75" x14ac:dyDescent="0.2">
      <c r="R6268" s="1288"/>
    </row>
    <row r="6269" spans="18:18" s="2" customFormat="1" ht="12.75" x14ac:dyDescent="0.2">
      <c r="R6269" s="1288"/>
    </row>
    <row r="6270" spans="18:18" s="2" customFormat="1" ht="12.75" x14ac:dyDescent="0.2">
      <c r="R6270" s="1288"/>
    </row>
    <row r="6271" spans="18:18" s="2" customFormat="1" ht="12.75" x14ac:dyDescent="0.2">
      <c r="R6271" s="1288"/>
    </row>
    <row r="6272" spans="18:18" s="2" customFormat="1" ht="12.75" x14ac:dyDescent="0.2">
      <c r="R6272" s="1288"/>
    </row>
    <row r="6273" spans="18:18" s="2" customFormat="1" ht="12.75" x14ac:dyDescent="0.2">
      <c r="R6273" s="1288"/>
    </row>
    <row r="6274" spans="18:18" s="2" customFormat="1" ht="12.75" x14ac:dyDescent="0.2">
      <c r="R6274" s="1288"/>
    </row>
    <row r="6275" spans="18:18" s="2" customFormat="1" ht="12.75" x14ac:dyDescent="0.2">
      <c r="R6275" s="1288"/>
    </row>
    <row r="6276" spans="18:18" s="2" customFormat="1" ht="12.75" x14ac:dyDescent="0.2">
      <c r="R6276" s="1288"/>
    </row>
    <row r="6277" spans="18:18" s="2" customFormat="1" ht="12.75" x14ac:dyDescent="0.2">
      <c r="R6277" s="1288"/>
    </row>
    <row r="6278" spans="18:18" s="2" customFormat="1" ht="12.75" x14ac:dyDescent="0.2">
      <c r="R6278" s="1288"/>
    </row>
    <row r="6279" spans="18:18" s="2" customFormat="1" ht="12.75" x14ac:dyDescent="0.2">
      <c r="R6279" s="1288"/>
    </row>
    <row r="6280" spans="18:18" s="2" customFormat="1" ht="12.75" x14ac:dyDescent="0.2">
      <c r="R6280" s="1288"/>
    </row>
    <row r="6281" spans="18:18" s="2" customFormat="1" ht="12.75" x14ac:dyDescent="0.2">
      <c r="R6281" s="1288"/>
    </row>
    <row r="6282" spans="18:18" s="2" customFormat="1" ht="12.75" x14ac:dyDescent="0.2">
      <c r="R6282" s="1288"/>
    </row>
    <row r="6283" spans="18:18" s="2" customFormat="1" ht="12.75" x14ac:dyDescent="0.2">
      <c r="R6283" s="1288"/>
    </row>
    <row r="6284" spans="18:18" s="2" customFormat="1" ht="12.75" x14ac:dyDescent="0.2">
      <c r="R6284" s="1288"/>
    </row>
    <row r="6285" spans="18:18" s="2" customFormat="1" ht="12.75" x14ac:dyDescent="0.2">
      <c r="R6285" s="1288"/>
    </row>
    <row r="6286" spans="18:18" s="2" customFormat="1" ht="12.75" x14ac:dyDescent="0.2">
      <c r="R6286" s="1288"/>
    </row>
    <row r="6287" spans="18:18" s="2" customFormat="1" ht="12.75" x14ac:dyDescent="0.2">
      <c r="R6287" s="1288"/>
    </row>
    <row r="6288" spans="18:18" s="2" customFormat="1" ht="12.75" x14ac:dyDescent="0.2">
      <c r="R6288" s="1288"/>
    </row>
    <row r="6289" spans="18:18" s="2" customFormat="1" ht="12.75" x14ac:dyDescent="0.2">
      <c r="R6289" s="1288"/>
    </row>
    <row r="6290" spans="18:18" s="2" customFormat="1" ht="12.75" x14ac:dyDescent="0.2">
      <c r="R6290" s="1288"/>
    </row>
    <row r="6291" spans="18:18" s="2" customFormat="1" ht="12.75" x14ac:dyDescent="0.2">
      <c r="R6291" s="1288"/>
    </row>
    <row r="6292" spans="18:18" s="2" customFormat="1" ht="12.75" x14ac:dyDescent="0.2">
      <c r="R6292" s="1288"/>
    </row>
    <row r="6293" spans="18:18" s="2" customFormat="1" ht="12.75" x14ac:dyDescent="0.2">
      <c r="R6293" s="1288"/>
    </row>
    <row r="6294" spans="18:18" s="2" customFormat="1" ht="12.75" x14ac:dyDescent="0.2">
      <c r="R6294" s="1288"/>
    </row>
    <row r="6295" spans="18:18" s="2" customFormat="1" ht="12.75" x14ac:dyDescent="0.2">
      <c r="R6295" s="1288"/>
    </row>
    <row r="6296" spans="18:18" s="2" customFormat="1" ht="12.75" x14ac:dyDescent="0.2">
      <c r="R6296" s="1288"/>
    </row>
    <row r="6297" spans="18:18" s="2" customFormat="1" ht="12.75" x14ac:dyDescent="0.2">
      <c r="R6297" s="1288"/>
    </row>
    <row r="6298" spans="18:18" s="2" customFormat="1" ht="12.75" x14ac:dyDescent="0.2">
      <c r="R6298" s="1288"/>
    </row>
    <row r="6299" spans="18:18" s="2" customFormat="1" ht="12.75" x14ac:dyDescent="0.2">
      <c r="R6299" s="1288"/>
    </row>
    <row r="6300" spans="18:18" s="2" customFormat="1" ht="12.75" x14ac:dyDescent="0.2">
      <c r="R6300" s="1288"/>
    </row>
    <row r="6301" spans="18:18" s="2" customFormat="1" ht="12.75" x14ac:dyDescent="0.2">
      <c r="R6301" s="1288"/>
    </row>
    <row r="6302" spans="18:18" s="2" customFormat="1" ht="12.75" x14ac:dyDescent="0.2">
      <c r="R6302" s="1288"/>
    </row>
    <row r="6303" spans="18:18" s="2" customFormat="1" ht="12.75" x14ac:dyDescent="0.2">
      <c r="R6303" s="1288"/>
    </row>
    <row r="6304" spans="18:18" s="2" customFormat="1" ht="12.75" x14ac:dyDescent="0.2">
      <c r="R6304" s="1288"/>
    </row>
    <row r="6305" spans="18:18" s="2" customFormat="1" ht="12.75" x14ac:dyDescent="0.2">
      <c r="R6305" s="1288"/>
    </row>
    <row r="6306" spans="18:18" s="2" customFormat="1" ht="12.75" x14ac:dyDescent="0.2">
      <c r="R6306" s="1288"/>
    </row>
    <row r="6307" spans="18:18" s="2" customFormat="1" ht="12.75" x14ac:dyDescent="0.2">
      <c r="R6307" s="1288"/>
    </row>
    <row r="6308" spans="18:18" s="2" customFormat="1" ht="12.75" x14ac:dyDescent="0.2">
      <c r="R6308" s="1288"/>
    </row>
    <row r="6309" spans="18:18" s="2" customFormat="1" ht="12.75" x14ac:dyDescent="0.2">
      <c r="R6309" s="1288"/>
    </row>
    <row r="6310" spans="18:18" s="2" customFormat="1" ht="12.75" x14ac:dyDescent="0.2">
      <c r="R6310" s="1288"/>
    </row>
    <row r="6311" spans="18:18" s="2" customFormat="1" ht="12.75" x14ac:dyDescent="0.2">
      <c r="R6311" s="1288"/>
    </row>
    <row r="6312" spans="18:18" s="2" customFormat="1" ht="12.75" x14ac:dyDescent="0.2">
      <c r="R6312" s="1288"/>
    </row>
    <row r="6313" spans="18:18" s="2" customFormat="1" ht="12.75" x14ac:dyDescent="0.2">
      <c r="R6313" s="1288"/>
    </row>
    <row r="6314" spans="18:18" s="2" customFormat="1" ht="12.75" x14ac:dyDescent="0.2">
      <c r="R6314" s="1288"/>
    </row>
    <row r="6315" spans="18:18" s="2" customFormat="1" ht="12.75" x14ac:dyDescent="0.2">
      <c r="R6315" s="1288"/>
    </row>
    <row r="6316" spans="18:18" s="2" customFormat="1" ht="12.75" x14ac:dyDescent="0.2">
      <c r="R6316" s="1288"/>
    </row>
    <row r="6317" spans="18:18" s="2" customFormat="1" ht="12.75" x14ac:dyDescent="0.2">
      <c r="R6317" s="1288"/>
    </row>
    <row r="6318" spans="18:18" s="2" customFormat="1" ht="12.75" x14ac:dyDescent="0.2">
      <c r="R6318" s="1288"/>
    </row>
    <row r="6319" spans="18:18" s="2" customFormat="1" ht="12.75" x14ac:dyDescent="0.2">
      <c r="R6319" s="1288"/>
    </row>
    <row r="6320" spans="18:18" s="2" customFormat="1" ht="12.75" x14ac:dyDescent="0.2">
      <c r="R6320" s="1288"/>
    </row>
    <row r="6321" spans="18:18" s="2" customFormat="1" ht="12.75" x14ac:dyDescent="0.2">
      <c r="R6321" s="1288"/>
    </row>
    <row r="6322" spans="18:18" s="2" customFormat="1" ht="12.75" x14ac:dyDescent="0.2">
      <c r="R6322" s="1288"/>
    </row>
    <row r="6323" spans="18:18" s="2" customFormat="1" ht="12.75" x14ac:dyDescent="0.2">
      <c r="R6323" s="1288"/>
    </row>
    <row r="6324" spans="18:18" s="2" customFormat="1" ht="12.75" x14ac:dyDescent="0.2">
      <c r="R6324" s="1288"/>
    </row>
    <row r="6325" spans="18:18" s="2" customFormat="1" ht="12.75" x14ac:dyDescent="0.2">
      <c r="R6325" s="1288"/>
    </row>
    <row r="6326" spans="18:18" s="2" customFormat="1" ht="12.75" x14ac:dyDescent="0.2">
      <c r="R6326" s="1288"/>
    </row>
    <row r="6327" spans="18:18" s="2" customFormat="1" ht="12.75" x14ac:dyDescent="0.2">
      <c r="R6327" s="1288"/>
    </row>
    <row r="6328" spans="18:18" s="2" customFormat="1" ht="12.75" x14ac:dyDescent="0.2">
      <c r="R6328" s="1288"/>
    </row>
    <row r="6329" spans="18:18" s="2" customFormat="1" ht="12.75" x14ac:dyDescent="0.2">
      <c r="R6329" s="1288"/>
    </row>
    <row r="6330" spans="18:18" s="2" customFormat="1" ht="12.75" x14ac:dyDescent="0.2">
      <c r="R6330" s="1288"/>
    </row>
    <row r="6331" spans="18:18" s="2" customFormat="1" ht="12.75" x14ac:dyDescent="0.2">
      <c r="R6331" s="1288"/>
    </row>
    <row r="6332" spans="18:18" s="2" customFormat="1" ht="12.75" x14ac:dyDescent="0.2">
      <c r="R6332" s="1288"/>
    </row>
    <row r="6333" spans="18:18" s="2" customFormat="1" ht="12.75" x14ac:dyDescent="0.2">
      <c r="R6333" s="1288"/>
    </row>
    <row r="6334" spans="18:18" s="2" customFormat="1" ht="12.75" x14ac:dyDescent="0.2">
      <c r="R6334" s="1288"/>
    </row>
    <row r="6335" spans="18:18" s="2" customFormat="1" ht="12.75" x14ac:dyDescent="0.2">
      <c r="R6335" s="1288"/>
    </row>
    <row r="6336" spans="18:18" s="2" customFormat="1" ht="12.75" x14ac:dyDescent="0.2">
      <c r="R6336" s="1288"/>
    </row>
    <row r="6337" spans="18:18" s="2" customFormat="1" ht="12.75" x14ac:dyDescent="0.2">
      <c r="R6337" s="1288"/>
    </row>
    <row r="6338" spans="18:18" s="2" customFormat="1" ht="12.75" x14ac:dyDescent="0.2">
      <c r="R6338" s="1288"/>
    </row>
    <row r="6339" spans="18:18" s="2" customFormat="1" ht="12.75" x14ac:dyDescent="0.2">
      <c r="R6339" s="1288"/>
    </row>
    <row r="6340" spans="18:18" s="2" customFormat="1" ht="12.75" x14ac:dyDescent="0.2">
      <c r="R6340" s="1288"/>
    </row>
    <row r="6341" spans="18:18" s="2" customFormat="1" ht="12.75" x14ac:dyDescent="0.2">
      <c r="R6341" s="1288"/>
    </row>
    <row r="6342" spans="18:18" s="2" customFormat="1" ht="12.75" x14ac:dyDescent="0.2">
      <c r="R6342" s="1288"/>
    </row>
    <row r="6343" spans="18:18" s="2" customFormat="1" ht="12.75" x14ac:dyDescent="0.2">
      <c r="R6343" s="1288"/>
    </row>
    <row r="6344" spans="18:18" s="2" customFormat="1" ht="12.75" x14ac:dyDescent="0.2">
      <c r="R6344" s="1288"/>
    </row>
    <row r="6345" spans="18:18" s="2" customFormat="1" ht="12.75" x14ac:dyDescent="0.2">
      <c r="R6345" s="1288"/>
    </row>
    <row r="6346" spans="18:18" s="2" customFormat="1" ht="12.75" x14ac:dyDescent="0.2">
      <c r="R6346" s="1288"/>
    </row>
    <row r="6347" spans="18:18" s="2" customFormat="1" ht="12.75" x14ac:dyDescent="0.2">
      <c r="R6347" s="1288"/>
    </row>
    <row r="6348" spans="18:18" s="2" customFormat="1" ht="12.75" x14ac:dyDescent="0.2">
      <c r="R6348" s="1288"/>
    </row>
    <row r="6349" spans="18:18" s="2" customFormat="1" ht="12.75" x14ac:dyDescent="0.2">
      <c r="R6349" s="1288"/>
    </row>
    <row r="6350" spans="18:18" s="2" customFormat="1" ht="12.75" x14ac:dyDescent="0.2">
      <c r="R6350" s="1288"/>
    </row>
    <row r="6351" spans="18:18" s="2" customFormat="1" ht="12.75" x14ac:dyDescent="0.2">
      <c r="R6351" s="1288"/>
    </row>
    <row r="6352" spans="18:18" s="2" customFormat="1" ht="12.75" x14ac:dyDescent="0.2">
      <c r="R6352" s="1288"/>
    </row>
    <row r="6353" spans="18:18" s="2" customFormat="1" ht="12.75" x14ac:dyDescent="0.2">
      <c r="R6353" s="1288"/>
    </row>
    <row r="6354" spans="18:18" s="2" customFormat="1" ht="12.75" x14ac:dyDescent="0.2">
      <c r="R6354" s="1288"/>
    </row>
    <row r="6355" spans="18:18" s="2" customFormat="1" ht="12.75" x14ac:dyDescent="0.2">
      <c r="R6355" s="1288"/>
    </row>
    <row r="6356" spans="18:18" s="2" customFormat="1" ht="12.75" x14ac:dyDescent="0.2">
      <c r="R6356" s="1288"/>
    </row>
    <row r="6357" spans="18:18" s="2" customFormat="1" ht="12.75" x14ac:dyDescent="0.2">
      <c r="R6357" s="1288"/>
    </row>
    <row r="6358" spans="18:18" s="2" customFormat="1" ht="12.75" x14ac:dyDescent="0.2">
      <c r="R6358" s="1288"/>
    </row>
    <row r="6359" spans="18:18" s="2" customFormat="1" ht="12.75" x14ac:dyDescent="0.2">
      <c r="R6359" s="1288"/>
    </row>
    <row r="6360" spans="18:18" s="2" customFormat="1" ht="12.75" x14ac:dyDescent="0.2">
      <c r="R6360" s="1288"/>
    </row>
    <row r="6361" spans="18:18" s="2" customFormat="1" ht="12.75" x14ac:dyDescent="0.2">
      <c r="R6361" s="1288"/>
    </row>
    <row r="6362" spans="18:18" s="2" customFormat="1" ht="12.75" x14ac:dyDescent="0.2">
      <c r="R6362" s="1288"/>
    </row>
    <row r="6363" spans="18:18" s="2" customFormat="1" ht="12.75" x14ac:dyDescent="0.2">
      <c r="R6363" s="1288"/>
    </row>
    <row r="6364" spans="18:18" s="2" customFormat="1" ht="12.75" x14ac:dyDescent="0.2">
      <c r="R6364" s="1288"/>
    </row>
    <row r="6365" spans="18:18" s="2" customFormat="1" ht="12.75" x14ac:dyDescent="0.2">
      <c r="R6365" s="1288"/>
    </row>
    <row r="6366" spans="18:18" s="2" customFormat="1" ht="12.75" x14ac:dyDescent="0.2">
      <c r="R6366" s="1288"/>
    </row>
    <row r="6367" spans="18:18" s="2" customFormat="1" ht="12.75" x14ac:dyDescent="0.2">
      <c r="R6367" s="1288"/>
    </row>
    <row r="6368" spans="18:18" s="2" customFormat="1" ht="12.75" x14ac:dyDescent="0.2">
      <c r="R6368" s="1288"/>
    </row>
    <row r="6369" spans="18:18" s="2" customFormat="1" ht="12.75" x14ac:dyDescent="0.2">
      <c r="R6369" s="1288"/>
    </row>
    <row r="6370" spans="18:18" s="2" customFormat="1" ht="12.75" x14ac:dyDescent="0.2">
      <c r="R6370" s="1288"/>
    </row>
    <row r="6371" spans="18:18" s="2" customFormat="1" ht="12.75" x14ac:dyDescent="0.2">
      <c r="R6371" s="1288"/>
    </row>
    <row r="6372" spans="18:18" s="2" customFormat="1" ht="12.75" x14ac:dyDescent="0.2">
      <c r="R6372" s="1288"/>
    </row>
    <row r="6373" spans="18:18" s="2" customFormat="1" ht="12.75" x14ac:dyDescent="0.2">
      <c r="R6373" s="1288"/>
    </row>
    <row r="6374" spans="18:18" s="2" customFormat="1" ht="12.75" x14ac:dyDescent="0.2">
      <c r="R6374" s="1288"/>
    </row>
    <row r="6375" spans="18:18" s="2" customFormat="1" ht="12.75" x14ac:dyDescent="0.2">
      <c r="R6375" s="1288"/>
    </row>
    <row r="6376" spans="18:18" s="2" customFormat="1" ht="12.75" x14ac:dyDescent="0.2">
      <c r="R6376" s="1288"/>
    </row>
    <row r="6377" spans="18:18" s="2" customFormat="1" ht="12.75" x14ac:dyDescent="0.2">
      <c r="R6377" s="1288"/>
    </row>
    <row r="6378" spans="18:18" s="2" customFormat="1" ht="12.75" x14ac:dyDescent="0.2">
      <c r="R6378" s="1288"/>
    </row>
    <row r="6379" spans="18:18" s="2" customFormat="1" ht="12.75" x14ac:dyDescent="0.2">
      <c r="R6379" s="1288"/>
    </row>
    <row r="6380" spans="18:18" s="2" customFormat="1" ht="12.75" x14ac:dyDescent="0.2">
      <c r="R6380" s="1288"/>
    </row>
    <row r="6381" spans="18:18" s="2" customFormat="1" ht="12.75" x14ac:dyDescent="0.2">
      <c r="R6381" s="1288"/>
    </row>
    <row r="6382" spans="18:18" s="2" customFormat="1" ht="12.75" x14ac:dyDescent="0.2">
      <c r="R6382" s="1288"/>
    </row>
    <row r="6383" spans="18:18" s="2" customFormat="1" ht="12.75" x14ac:dyDescent="0.2">
      <c r="R6383" s="1288"/>
    </row>
    <row r="6384" spans="18:18" s="2" customFormat="1" ht="12.75" x14ac:dyDescent="0.2">
      <c r="R6384" s="1288"/>
    </row>
    <row r="6385" spans="18:18" s="2" customFormat="1" ht="12.75" x14ac:dyDescent="0.2">
      <c r="R6385" s="1288"/>
    </row>
    <row r="6386" spans="18:18" s="2" customFormat="1" ht="12.75" x14ac:dyDescent="0.2">
      <c r="R6386" s="1288"/>
    </row>
    <row r="6387" spans="18:18" s="2" customFormat="1" ht="12.75" x14ac:dyDescent="0.2">
      <c r="R6387" s="1288"/>
    </row>
    <row r="6388" spans="18:18" s="2" customFormat="1" ht="12.75" x14ac:dyDescent="0.2">
      <c r="R6388" s="1288"/>
    </row>
    <row r="6389" spans="18:18" s="2" customFormat="1" ht="12.75" x14ac:dyDescent="0.2">
      <c r="R6389" s="1288"/>
    </row>
    <row r="6390" spans="18:18" s="2" customFormat="1" ht="12.75" x14ac:dyDescent="0.2">
      <c r="R6390" s="1288"/>
    </row>
    <row r="6391" spans="18:18" s="2" customFormat="1" ht="12.75" x14ac:dyDescent="0.2">
      <c r="R6391" s="1288"/>
    </row>
    <row r="6392" spans="18:18" s="2" customFormat="1" ht="12.75" x14ac:dyDescent="0.2">
      <c r="R6392" s="1288"/>
    </row>
    <row r="6393" spans="18:18" s="2" customFormat="1" ht="12.75" x14ac:dyDescent="0.2">
      <c r="R6393" s="1288"/>
    </row>
    <row r="6394" spans="18:18" s="2" customFormat="1" ht="12.75" x14ac:dyDescent="0.2">
      <c r="R6394" s="1288"/>
    </row>
    <row r="6395" spans="18:18" s="2" customFormat="1" ht="12.75" x14ac:dyDescent="0.2">
      <c r="R6395" s="1288"/>
    </row>
    <row r="6396" spans="18:18" s="2" customFormat="1" ht="12.75" x14ac:dyDescent="0.2">
      <c r="R6396" s="1288"/>
    </row>
    <row r="6397" spans="18:18" s="2" customFormat="1" ht="12.75" x14ac:dyDescent="0.2">
      <c r="R6397" s="1288"/>
    </row>
    <row r="6398" spans="18:18" s="2" customFormat="1" ht="12.75" x14ac:dyDescent="0.2">
      <c r="R6398" s="1288"/>
    </row>
    <row r="6399" spans="18:18" s="2" customFormat="1" ht="12.75" x14ac:dyDescent="0.2">
      <c r="R6399" s="1288"/>
    </row>
    <row r="6400" spans="18:18" s="2" customFormat="1" ht="12.75" x14ac:dyDescent="0.2">
      <c r="R6400" s="1288"/>
    </row>
    <row r="6401" spans="18:18" s="2" customFormat="1" ht="12.75" x14ac:dyDescent="0.2">
      <c r="R6401" s="1288"/>
    </row>
    <row r="6402" spans="18:18" s="2" customFormat="1" ht="12.75" x14ac:dyDescent="0.2">
      <c r="R6402" s="1288"/>
    </row>
    <row r="6403" spans="18:18" s="2" customFormat="1" ht="12.75" x14ac:dyDescent="0.2">
      <c r="R6403" s="1288"/>
    </row>
    <row r="6404" spans="18:18" s="2" customFormat="1" ht="12.75" x14ac:dyDescent="0.2">
      <c r="R6404" s="1288"/>
    </row>
    <row r="6405" spans="18:18" s="2" customFormat="1" ht="12.75" x14ac:dyDescent="0.2">
      <c r="R6405" s="1288"/>
    </row>
    <row r="6406" spans="18:18" s="2" customFormat="1" ht="12.75" x14ac:dyDescent="0.2">
      <c r="R6406" s="1288"/>
    </row>
    <row r="6407" spans="18:18" s="2" customFormat="1" ht="12.75" x14ac:dyDescent="0.2">
      <c r="R6407" s="1288"/>
    </row>
    <row r="6408" spans="18:18" s="2" customFormat="1" ht="12.75" x14ac:dyDescent="0.2">
      <c r="R6408" s="1288"/>
    </row>
    <row r="6409" spans="18:18" s="2" customFormat="1" ht="12.75" x14ac:dyDescent="0.2">
      <c r="R6409" s="1288"/>
    </row>
    <row r="6410" spans="18:18" s="2" customFormat="1" ht="12.75" x14ac:dyDescent="0.2">
      <c r="R6410" s="1288"/>
    </row>
    <row r="6411" spans="18:18" s="2" customFormat="1" ht="12.75" x14ac:dyDescent="0.2">
      <c r="R6411" s="1288"/>
    </row>
    <row r="6412" spans="18:18" s="2" customFormat="1" ht="12.75" x14ac:dyDescent="0.2">
      <c r="R6412" s="1288"/>
    </row>
    <row r="6413" spans="18:18" s="2" customFormat="1" ht="12.75" x14ac:dyDescent="0.2">
      <c r="R6413" s="1288"/>
    </row>
    <row r="6414" spans="18:18" s="2" customFormat="1" ht="12.75" x14ac:dyDescent="0.2">
      <c r="R6414" s="1288"/>
    </row>
    <row r="6415" spans="18:18" s="2" customFormat="1" ht="12.75" x14ac:dyDescent="0.2">
      <c r="R6415" s="1288"/>
    </row>
    <row r="6416" spans="18:18" s="2" customFormat="1" ht="12.75" x14ac:dyDescent="0.2">
      <c r="R6416" s="1288"/>
    </row>
    <row r="6417" spans="18:18" s="2" customFormat="1" ht="12.75" x14ac:dyDescent="0.2">
      <c r="R6417" s="1288"/>
    </row>
    <row r="6418" spans="18:18" s="2" customFormat="1" ht="12.75" x14ac:dyDescent="0.2">
      <c r="R6418" s="1288"/>
    </row>
    <row r="6419" spans="18:18" s="2" customFormat="1" ht="12.75" x14ac:dyDescent="0.2">
      <c r="R6419" s="1288"/>
    </row>
    <row r="6420" spans="18:18" s="2" customFormat="1" ht="12.75" x14ac:dyDescent="0.2">
      <c r="R6420" s="1288"/>
    </row>
    <row r="6421" spans="18:18" s="2" customFormat="1" ht="12.75" x14ac:dyDescent="0.2">
      <c r="R6421" s="1288"/>
    </row>
    <row r="6422" spans="18:18" s="2" customFormat="1" ht="12.75" x14ac:dyDescent="0.2">
      <c r="R6422" s="1288"/>
    </row>
    <row r="6423" spans="18:18" s="2" customFormat="1" ht="12.75" x14ac:dyDescent="0.2">
      <c r="R6423" s="1288"/>
    </row>
    <row r="6424" spans="18:18" s="2" customFormat="1" ht="12.75" x14ac:dyDescent="0.2">
      <c r="R6424" s="1288"/>
    </row>
    <row r="6425" spans="18:18" s="2" customFormat="1" ht="12.75" x14ac:dyDescent="0.2">
      <c r="R6425" s="1288"/>
    </row>
    <row r="6426" spans="18:18" s="2" customFormat="1" ht="12.75" x14ac:dyDescent="0.2">
      <c r="R6426" s="1288"/>
    </row>
    <row r="6427" spans="18:18" s="2" customFormat="1" ht="12.75" x14ac:dyDescent="0.2">
      <c r="R6427" s="1288"/>
    </row>
    <row r="6428" spans="18:18" s="2" customFormat="1" ht="12.75" x14ac:dyDescent="0.2">
      <c r="R6428" s="1288"/>
    </row>
    <row r="6429" spans="18:18" s="2" customFormat="1" ht="12.75" x14ac:dyDescent="0.2">
      <c r="R6429" s="1288"/>
    </row>
    <row r="6430" spans="18:18" s="2" customFormat="1" ht="12.75" x14ac:dyDescent="0.2">
      <c r="R6430" s="1288"/>
    </row>
    <row r="6431" spans="18:18" s="2" customFormat="1" ht="12.75" x14ac:dyDescent="0.2">
      <c r="R6431" s="1288"/>
    </row>
    <row r="6432" spans="18:18" s="2" customFormat="1" ht="12.75" x14ac:dyDescent="0.2">
      <c r="R6432" s="1288"/>
    </row>
    <row r="6433" spans="18:18" s="2" customFormat="1" ht="12.75" x14ac:dyDescent="0.2">
      <c r="R6433" s="1288"/>
    </row>
    <row r="6434" spans="18:18" s="2" customFormat="1" ht="12.75" x14ac:dyDescent="0.2">
      <c r="R6434" s="1288"/>
    </row>
    <row r="6435" spans="18:18" s="2" customFormat="1" ht="12.75" x14ac:dyDescent="0.2">
      <c r="R6435" s="1288"/>
    </row>
    <row r="6436" spans="18:18" s="2" customFormat="1" ht="12.75" x14ac:dyDescent="0.2">
      <c r="R6436" s="1288"/>
    </row>
    <row r="6437" spans="18:18" s="2" customFormat="1" ht="12.75" x14ac:dyDescent="0.2">
      <c r="R6437" s="1288"/>
    </row>
    <row r="6438" spans="18:18" s="2" customFormat="1" ht="12.75" x14ac:dyDescent="0.2">
      <c r="R6438" s="1288"/>
    </row>
    <row r="6439" spans="18:18" s="2" customFormat="1" ht="12.75" x14ac:dyDescent="0.2">
      <c r="R6439" s="1288"/>
    </row>
    <row r="6440" spans="18:18" s="2" customFormat="1" ht="12.75" x14ac:dyDescent="0.2">
      <c r="R6440" s="1288"/>
    </row>
    <row r="6441" spans="18:18" s="2" customFormat="1" ht="12.75" x14ac:dyDescent="0.2">
      <c r="R6441" s="1288"/>
    </row>
    <row r="6442" spans="18:18" s="2" customFormat="1" ht="12.75" x14ac:dyDescent="0.2">
      <c r="R6442" s="1288"/>
    </row>
    <row r="6443" spans="18:18" s="2" customFormat="1" ht="12.75" x14ac:dyDescent="0.2">
      <c r="R6443" s="1288"/>
    </row>
    <row r="6444" spans="18:18" s="2" customFormat="1" ht="12.75" x14ac:dyDescent="0.2">
      <c r="R6444" s="1288"/>
    </row>
    <row r="6445" spans="18:18" s="2" customFormat="1" ht="12.75" x14ac:dyDescent="0.2">
      <c r="R6445" s="1288"/>
    </row>
    <row r="6446" spans="18:18" s="2" customFormat="1" ht="12.75" x14ac:dyDescent="0.2">
      <c r="R6446" s="1288"/>
    </row>
    <row r="6447" spans="18:18" s="2" customFormat="1" ht="12.75" x14ac:dyDescent="0.2">
      <c r="R6447" s="1288"/>
    </row>
    <row r="6448" spans="18:18" s="2" customFormat="1" ht="12.75" x14ac:dyDescent="0.2">
      <c r="R6448" s="1288"/>
    </row>
    <row r="6449" spans="18:18" s="2" customFormat="1" ht="12.75" x14ac:dyDescent="0.2">
      <c r="R6449" s="1288"/>
    </row>
    <row r="6450" spans="18:18" s="2" customFormat="1" ht="12.75" x14ac:dyDescent="0.2">
      <c r="R6450" s="1288"/>
    </row>
    <row r="6451" spans="18:18" s="2" customFormat="1" ht="12.75" x14ac:dyDescent="0.2">
      <c r="R6451" s="1288"/>
    </row>
    <row r="6452" spans="18:18" s="2" customFormat="1" ht="12.75" x14ac:dyDescent="0.2">
      <c r="R6452" s="1288"/>
    </row>
    <row r="6453" spans="18:18" s="2" customFormat="1" ht="12.75" x14ac:dyDescent="0.2">
      <c r="R6453" s="1288"/>
    </row>
    <row r="6454" spans="18:18" s="2" customFormat="1" ht="12.75" x14ac:dyDescent="0.2">
      <c r="R6454" s="1288"/>
    </row>
    <row r="6455" spans="18:18" s="2" customFormat="1" ht="12.75" x14ac:dyDescent="0.2">
      <c r="R6455" s="1288"/>
    </row>
    <row r="6456" spans="18:18" s="2" customFormat="1" ht="12.75" x14ac:dyDescent="0.2">
      <c r="R6456" s="1288"/>
    </row>
    <row r="6457" spans="18:18" s="2" customFormat="1" ht="12.75" x14ac:dyDescent="0.2">
      <c r="R6457" s="1288"/>
    </row>
    <row r="6458" spans="18:18" s="2" customFormat="1" ht="12.75" x14ac:dyDescent="0.2">
      <c r="R6458" s="1288"/>
    </row>
    <row r="6459" spans="18:18" s="2" customFormat="1" ht="12.75" x14ac:dyDescent="0.2">
      <c r="R6459" s="1288"/>
    </row>
    <row r="6460" spans="18:18" s="2" customFormat="1" ht="12.75" x14ac:dyDescent="0.2">
      <c r="R6460" s="1288"/>
    </row>
    <row r="6461" spans="18:18" s="2" customFormat="1" ht="12.75" x14ac:dyDescent="0.2">
      <c r="R6461" s="1288"/>
    </row>
    <row r="6462" spans="18:18" s="2" customFormat="1" ht="12.75" x14ac:dyDescent="0.2">
      <c r="R6462" s="1288"/>
    </row>
    <row r="6463" spans="18:18" s="2" customFormat="1" ht="12.75" x14ac:dyDescent="0.2">
      <c r="R6463" s="1288"/>
    </row>
    <row r="6464" spans="18:18" s="2" customFormat="1" ht="12.75" x14ac:dyDescent="0.2">
      <c r="R6464" s="1288"/>
    </row>
    <row r="6465" spans="18:18" s="2" customFormat="1" ht="12.75" x14ac:dyDescent="0.2">
      <c r="R6465" s="1288"/>
    </row>
    <row r="6466" spans="18:18" s="2" customFormat="1" ht="12.75" x14ac:dyDescent="0.2">
      <c r="R6466" s="1288"/>
    </row>
    <row r="6467" spans="18:18" s="2" customFormat="1" ht="12.75" x14ac:dyDescent="0.2">
      <c r="R6467" s="1288"/>
    </row>
    <row r="6468" spans="18:18" s="2" customFormat="1" ht="12.75" x14ac:dyDescent="0.2">
      <c r="R6468" s="1288"/>
    </row>
    <row r="6469" spans="18:18" s="2" customFormat="1" ht="12.75" x14ac:dyDescent="0.2">
      <c r="R6469" s="1288"/>
    </row>
    <row r="6470" spans="18:18" s="2" customFormat="1" ht="12.75" x14ac:dyDescent="0.2">
      <c r="R6470" s="1288"/>
    </row>
    <row r="6471" spans="18:18" s="2" customFormat="1" ht="12.75" x14ac:dyDescent="0.2">
      <c r="R6471" s="1288"/>
    </row>
    <row r="6472" spans="18:18" s="2" customFormat="1" ht="12.75" x14ac:dyDescent="0.2">
      <c r="R6472" s="1288"/>
    </row>
    <row r="6473" spans="18:18" s="2" customFormat="1" ht="12.75" x14ac:dyDescent="0.2">
      <c r="R6473" s="1288"/>
    </row>
    <row r="6474" spans="18:18" s="2" customFormat="1" ht="12.75" x14ac:dyDescent="0.2">
      <c r="R6474" s="1288"/>
    </row>
    <row r="6475" spans="18:18" s="2" customFormat="1" ht="12.75" x14ac:dyDescent="0.2">
      <c r="R6475" s="1288"/>
    </row>
    <row r="6476" spans="18:18" s="2" customFormat="1" ht="12.75" x14ac:dyDescent="0.2">
      <c r="R6476" s="1288"/>
    </row>
    <row r="6477" spans="18:18" s="2" customFormat="1" ht="12.75" x14ac:dyDescent="0.2">
      <c r="R6477" s="1288"/>
    </row>
    <row r="6478" spans="18:18" s="2" customFormat="1" ht="12.75" x14ac:dyDescent="0.2">
      <c r="R6478" s="1288"/>
    </row>
    <row r="6479" spans="18:18" s="2" customFormat="1" ht="12.75" x14ac:dyDescent="0.2">
      <c r="R6479" s="1288"/>
    </row>
    <row r="6480" spans="18:18" s="2" customFormat="1" ht="12.75" x14ac:dyDescent="0.2">
      <c r="R6480" s="1288"/>
    </row>
    <row r="6481" spans="18:18" s="2" customFormat="1" ht="12.75" x14ac:dyDescent="0.2">
      <c r="R6481" s="1288"/>
    </row>
    <row r="6482" spans="18:18" s="2" customFormat="1" ht="12.75" x14ac:dyDescent="0.2">
      <c r="R6482" s="1288"/>
    </row>
    <row r="6483" spans="18:18" s="2" customFormat="1" ht="12.75" x14ac:dyDescent="0.2">
      <c r="R6483" s="1288"/>
    </row>
    <row r="6484" spans="18:18" s="2" customFormat="1" ht="12.75" x14ac:dyDescent="0.2">
      <c r="R6484" s="1288"/>
    </row>
    <row r="6485" spans="18:18" s="2" customFormat="1" ht="12.75" x14ac:dyDescent="0.2">
      <c r="R6485" s="1288"/>
    </row>
    <row r="6486" spans="18:18" s="2" customFormat="1" ht="12.75" x14ac:dyDescent="0.2">
      <c r="R6486" s="1288"/>
    </row>
    <row r="6487" spans="18:18" s="2" customFormat="1" ht="12.75" x14ac:dyDescent="0.2">
      <c r="R6487" s="1288"/>
    </row>
    <row r="6488" spans="18:18" s="2" customFormat="1" ht="12.75" x14ac:dyDescent="0.2">
      <c r="R6488" s="1288"/>
    </row>
    <row r="6489" spans="18:18" s="2" customFormat="1" ht="12.75" x14ac:dyDescent="0.2">
      <c r="R6489" s="1288"/>
    </row>
    <row r="6490" spans="18:18" s="2" customFormat="1" ht="12.75" x14ac:dyDescent="0.2">
      <c r="R6490" s="1288"/>
    </row>
    <row r="6491" spans="18:18" s="2" customFormat="1" ht="12.75" x14ac:dyDescent="0.2">
      <c r="R6491" s="1288"/>
    </row>
    <row r="6492" spans="18:18" s="2" customFormat="1" ht="12.75" x14ac:dyDescent="0.2">
      <c r="R6492" s="1288"/>
    </row>
    <row r="6493" spans="18:18" s="2" customFormat="1" ht="12.75" x14ac:dyDescent="0.2">
      <c r="R6493" s="1288"/>
    </row>
    <row r="6494" spans="18:18" s="2" customFormat="1" ht="12.75" x14ac:dyDescent="0.2">
      <c r="R6494" s="1288"/>
    </row>
    <row r="6495" spans="18:18" s="2" customFormat="1" ht="12.75" x14ac:dyDescent="0.2">
      <c r="R6495" s="1288"/>
    </row>
    <row r="6496" spans="18:18" s="2" customFormat="1" ht="12.75" x14ac:dyDescent="0.2">
      <c r="R6496" s="1288"/>
    </row>
    <row r="6497" spans="18:18" s="2" customFormat="1" ht="12.75" x14ac:dyDescent="0.2">
      <c r="R6497" s="1288"/>
    </row>
    <row r="6498" spans="18:18" s="2" customFormat="1" ht="12.75" x14ac:dyDescent="0.2">
      <c r="R6498" s="1288"/>
    </row>
    <row r="6499" spans="18:18" s="2" customFormat="1" ht="12.75" x14ac:dyDescent="0.2">
      <c r="R6499" s="1288"/>
    </row>
    <row r="6500" spans="18:18" s="2" customFormat="1" ht="12.75" x14ac:dyDescent="0.2">
      <c r="R6500" s="1288"/>
    </row>
    <row r="6501" spans="18:18" s="2" customFormat="1" ht="12.75" x14ac:dyDescent="0.2">
      <c r="R6501" s="1288"/>
    </row>
    <row r="6502" spans="18:18" s="2" customFormat="1" ht="12.75" x14ac:dyDescent="0.2">
      <c r="R6502" s="1288"/>
    </row>
    <row r="6503" spans="18:18" s="2" customFormat="1" ht="12.75" x14ac:dyDescent="0.2">
      <c r="R6503" s="1288"/>
    </row>
    <row r="6504" spans="18:18" s="2" customFormat="1" ht="12.75" x14ac:dyDescent="0.2">
      <c r="R6504" s="1288"/>
    </row>
    <row r="6505" spans="18:18" s="2" customFormat="1" ht="12.75" x14ac:dyDescent="0.2">
      <c r="R6505" s="1288"/>
    </row>
    <row r="6506" spans="18:18" s="2" customFormat="1" ht="12.75" x14ac:dyDescent="0.2">
      <c r="R6506" s="1288"/>
    </row>
    <row r="6507" spans="18:18" s="2" customFormat="1" ht="12.75" x14ac:dyDescent="0.2">
      <c r="R6507" s="1288"/>
    </row>
    <row r="6508" spans="18:18" s="2" customFormat="1" ht="12.75" x14ac:dyDescent="0.2">
      <c r="R6508" s="1288"/>
    </row>
    <row r="6509" spans="18:18" s="2" customFormat="1" ht="12.75" x14ac:dyDescent="0.2">
      <c r="R6509" s="1288"/>
    </row>
    <row r="6510" spans="18:18" s="2" customFormat="1" ht="12.75" x14ac:dyDescent="0.2">
      <c r="R6510" s="1288"/>
    </row>
    <row r="6511" spans="18:18" s="2" customFormat="1" ht="12.75" x14ac:dyDescent="0.2">
      <c r="R6511" s="1288"/>
    </row>
    <row r="6512" spans="18:18" s="2" customFormat="1" ht="12.75" x14ac:dyDescent="0.2">
      <c r="R6512" s="1288"/>
    </row>
    <row r="6513" spans="18:18" s="2" customFormat="1" ht="12.75" x14ac:dyDescent="0.2">
      <c r="R6513" s="1288"/>
    </row>
    <row r="6514" spans="18:18" s="2" customFormat="1" ht="12.75" x14ac:dyDescent="0.2">
      <c r="R6514" s="1288"/>
    </row>
    <row r="6515" spans="18:18" s="2" customFormat="1" ht="12.75" x14ac:dyDescent="0.2">
      <c r="R6515" s="1288"/>
    </row>
    <row r="6516" spans="18:18" s="2" customFormat="1" ht="12.75" x14ac:dyDescent="0.2">
      <c r="R6516" s="1288"/>
    </row>
    <row r="6517" spans="18:18" s="2" customFormat="1" ht="12.75" x14ac:dyDescent="0.2">
      <c r="R6517" s="1288"/>
    </row>
    <row r="6518" spans="18:18" s="2" customFormat="1" ht="12.75" x14ac:dyDescent="0.2">
      <c r="R6518" s="1288"/>
    </row>
    <row r="6519" spans="18:18" s="2" customFormat="1" ht="12.75" x14ac:dyDescent="0.2">
      <c r="R6519" s="1288"/>
    </row>
    <row r="6520" spans="18:18" s="2" customFormat="1" ht="12.75" x14ac:dyDescent="0.2">
      <c r="R6520" s="1288"/>
    </row>
    <row r="6521" spans="18:18" s="2" customFormat="1" ht="12.75" x14ac:dyDescent="0.2">
      <c r="R6521" s="1288"/>
    </row>
    <row r="6522" spans="18:18" s="2" customFormat="1" ht="12.75" x14ac:dyDescent="0.2">
      <c r="R6522" s="1288"/>
    </row>
    <row r="6523" spans="18:18" s="2" customFormat="1" ht="12.75" x14ac:dyDescent="0.2">
      <c r="R6523" s="1288"/>
    </row>
    <row r="6524" spans="18:18" s="2" customFormat="1" ht="12.75" x14ac:dyDescent="0.2">
      <c r="R6524" s="1288"/>
    </row>
    <row r="6525" spans="18:18" s="2" customFormat="1" ht="12.75" x14ac:dyDescent="0.2">
      <c r="R6525" s="1288"/>
    </row>
    <row r="6526" spans="18:18" s="2" customFormat="1" ht="12.75" x14ac:dyDescent="0.2">
      <c r="R6526" s="1288"/>
    </row>
    <row r="6527" spans="18:18" s="2" customFormat="1" ht="12.75" x14ac:dyDescent="0.2">
      <c r="R6527" s="1288"/>
    </row>
    <row r="6528" spans="18:18" s="2" customFormat="1" ht="12.75" x14ac:dyDescent="0.2">
      <c r="R6528" s="1288"/>
    </row>
    <row r="6529" spans="18:18" s="2" customFormat="1" ht="12.75" x14ac:dyDescent="0.2">
      <c r="R6529" s="1288"/>
    </row>
    <row r="6530" spans="18:18" s="2" customFormat="1" ht="12.75" x14ac:dyDescent="0.2">
      <c r="R6530" s="1288"/>
    </row>
    <row r="6531" spans="18:18" s="2" customFormat="1" ht="12.75" x14ac:dyDescent="0.2">
      <c r="R6531" s="1288"/>
    </row>
    <row r="6532" spans="18:18" s="2" customFormat="1" ht="12.75" x14ac:dyDescent="0.2">
      <c r="R6532" s="1288"/>
    </row>
    <row r="6533" spans="18:18" s="2" customFormat="1" ht="12.75" x14ac:dyDescent="0.2">
      <c r="R6533" s="1288"/>
    </row>
    <row r="6534" spans="18:18" s="2" customFormat="1" ht="12.75" x14ac:dyDescent="0.2">
      <c r="R6534" s="1288"/>
    </row>
    <row r="6535" spans="18:18" s="2" customFormat="1" ht="12.75" x14ac:dyDescent="0.2">
      <c r="R6535" s="1288"/>
    </row>
    <row r="6536" spans="18:18" s="2" customFormat="1" ht="12.75" x14ac:dyDescent="0.2">
      <c r="R6536" s="1288"/>
    </row>
    <row r="6537" spans="18:18" s="2" customFormat="1" ht="12.75" x14ac:dyDescent="0.2">
      <c r="R6537" s="1288"/>
    </row>
    <row r="6538" spans="18:18" s="2" customFormat="1" ht="12.75" x14ac:dyDescent="0.2">
      <c r="R6538" s="1288"/>
    </row>
    <row r="6539" spans="18:18" s="2" customFormat="1" ht="12.75" x14ac:dyDescent="0.2">
      <c r="R6539" s="1288"/>
    </row>
    <row r="6540" spans="18:18" s="2" customFormat="1" ht="12.75" x14ac:dyDescent="0.2">
      <c r="R6540" s="1288"/>
    </row>
    <row r="6541" spans="18:18" s="2" customFormat="1" ht="12.75" x14ac:dyDescent="0.2">
      <c r="R6541" s="1288"/>
    </row>
    <row r="6542" spans="18:18" s="2" customFormat="1" ht="12.75" x14ac:dyDescent="0.2">
      <c r="R6542" s="1288"/>
    </row>
    <row r="6543" spans="18:18" s="2" customFormat="1" ht="12.75" x14ac:dyDescent="0.2">
      <c r="R6543" s="1288"/>
    </row>
    <row r="6544" spans="18:18" s="2" customFormat="1" ht="12.75" x14ac:dyDescent="0.2">
      <c r="R6544" s="1288"/>
    </row>
    <row r="6545" spans="18:18" s="2" customFormat="1" ht="12.75" x14ac:dyDescent="0.2">
      <c r="R6545" s="1288"/>
    </row>
    <row r="6546" spans="18:18" s="2" customFormat="1" ht="12.75" x14ac:dyDescent="0.2">
      <c r="R6546" s="1288"/>
    </row>
    <row r="6547" spans="18:18" s="2" customFormat="1" ht="12.75" x14ac:dyDescent="0.2">
      <c r="R6547" s="1288"/>
    </row>
    <row r="6548" spans="18:18" s="2" customFormat="1" ht="12.75" x14ac:dyDescent="0.2">
      <c r="R6548" s="1288"/>
    </row>
    <row r="6549" spans="18:18" s="2" customFormat="1" ht="12.75" x14ac:dyDescent="0.2">
      <c r="R6549" s="1288"/>
    </row>
    <row r="6550" spans="18:18" s="2" customFormat="1" ht="12.75" x14ac:dyDescent="0.2">
      <c r="R6550" s="1288"/>
    </row>
    <row r="6551" spans="18:18" s="2" customFormat="1" ht="12.75" x14ac:dyDescent="0.2">
      <c r="R6551" s="1288"/>
    </row>
    <row r="6552" spans="18:18" s="2" customFormat="1" ht="12.75" x14ac:dyDescent="0.2">
      <c r="R6552" s="1288"/>
    </row>
    <row r="6553" spans="18:18" s="2" customFormat="1" ht="12.75" x14ac:dyDescent="0.2">
      <c r="R6553" s="1288"/>
    </row>
    <row r="6554" spans="18:18" s="2" customFormat="1" ht="12.75" x14ac:dyDescent="0.2">
      <c r="R6554" s="1288"/>
    </row>
    <row r="6555" spans="18:18" s="2" customFormat="1" ht="12.75" x14ac:dyDescent="0.2">
      <c r="R6555" s="1288"/>
    </row>
    <row r="6556" spans="18:18" s="2" customFormat="1" ht="12.75" x14ac:dyDescent="0.2">
      <c r="R6556" s="1288"/>
    </row>
    <row r="6557" spans="18:18" s="2" customFormat="1" ht="12.75" x14ac:dyDescent="0.2">
      <c r="R6557" s="1288"/>
    </row>
    <row r="6558" spans="18:18" s="2" customFormat="1" ht="12.75" x14ac:dyDescent="0.2">
      <c r="R6558" s="1288"/>
    </row>
    <row r="6559" spans="18:18" s="2" customFormat="1" ht="12.75" x14ac:dyDescent="0.2">
      <c r="R6559" s="1288"/>
    </row>
    <row r="6560" spans="18:18" s="2" customFormat="1" ht="12.75" x14ac:dyDescent="0.2">
      <c r="R6560" s="1288"/>
    </row>
    <row r="6561" spans="18:18" s="2" customFormat="1" ht="12.75" x14ac:dyDescent="0.2">
      <c r="R6561" s="1288"/>
    </row>
    <row r="6562" spans="18:18" s="2" customFormat="1" ht="12.75" x14ac:dyDescent="0.2">
      <c r="R6562" s="1288"/>
    </row>
    <row r="6563" spans="18:18" s="2" customFormat="1" ht="12.75" x14ac:dyDescent="0.2">
      <c r="R6563" s="1288"/>
    </row>
    <row r="6564" spans="18:18" s="2" customFormat="1" ht="12.75" x14ac:dyDescent="0.2">
      <c r="R6564" s="1288"/>
    </row>
    <row r="6565" spans="18:18" s="2" customFormat="1" ht="12.75" x14ac:dyDescent="0.2">
      <c r="R6565" s="1288"/>
    </row>
    <row r="6566" spans="18:18" s="2" customFormat="1" ht="12.75" x14ac:dyDescent="0.2">
      <c r="R6566" s="1288"/>
    </row>
    <row r="6567" spans="18:18" s="2" customFormat="1" ht="12.75" x14ac:dyDescent="0.2">
      <c r="R6567" s="1288"/>
    </row>
    <row r="6568" spans="18:18" s="2" customFormat="1" ht="12.75" x14ac:dyDescent="0.2">
      <c r="R6568" s="1288"/>
    </row>
    <row r="6569" spans="18:18" s="2" customFormat="1" ht="12.75" x14ac:dyDescent="0.2">
      <c r="R6569" s="1288"/>
    </row>
    <row r="6570" spans="18:18" s="2" customFormat="1" ht="12.75" x14ac:dyDescent="0.2">
      <c r="R6570" s="1288"/>
    </row>
    <row r="6571" spans="18:18" s="2" customFormat="1" ht="12.75" x14ac:dyDescent="0.2">
      <c r="R6571" s="1288"/>
    </row>
    <row r="6572" spans="18:18" s="2" customFormat="1" ht="12.75" x14ac:dyDescent="0.2">
      <c r="R6572" s="1288"/>
    </row>
    <row r="6573" spans="18:18" s="2" customFormat="1" ht="12.75" x14ac:dyDescent="0.2">
      <c r="R6573" s="1288"/>
    </row>
    <row r="6574" spans="18:18" s="2" customFormat="1" ht="12.75" x14ac:dyDescent="0.2">
      <c r="R6574" s="1288"/>
    </row>
    <row r="6575" spans="18:18" s="2" customFormat="1" ht="12.75" x14ac:dyDescent="0.2">
      <c r="R6575" s="1288"/>
    </row>
    <row r="6576" spans="18:18" s="2" customFormat="1" ht="12.75" x14ac:dyDescent="0.2">
      <c r="R6576" s="1288"/>
    </row>
    <row r="6577" spans="18:18" s="2" customFormat="1" ht="12.75" x14ac:dyDescent="0.2">
      <c r="R6577" s="1288"/>
    </row>
    <row r="6578" spans="18:18" s="2" customFormat="1" ht="12.75" x14ac:dyDescent="0.2">
      <c r="R6578" s="1288"/>
    </row>
    <row r="6579" spans="18:18" s="2" customFormat="1" ht="12.75" x14ac:dyDescent="0.2">
      <c r="R6579" s="1288"/>
    </row>
    <row r="6580" spans="18:18" s="2" customFormat="1" ht="12.75" x14ac:dyDescent="0.2">
      <c r="R6580" s="1288"/>
    </row>
    <row r="6581" spans="18:18" s="2" customFormat="1" ht="12.75" x14ac:dyDescent="0.2">
      <c r="R6581" s="1288"/>
    </row>
    <row r="6582" spans="18:18" s="2" customFormat="1" ht="12.75" x14ac:dyDescent="0.2">
      <c r="R6582" s="1288"/>
    </row>
    <row r="6583" spans="18:18" s="2" customFormat="1" ht="12.75" x14ac:dyDescent="0.2">
      <c r="R6583" s="1288"/>
    </row>
    <row r="6584" spans="18:18" s="2" customFormat="1" ht="12.75" x14ac:dyDescent="0.2">
      <c r="R6584" s="1288"/>
    </row>
    <row r="6585" spans="18:18" s="2" customFormat="1" ht="12.75" x14ac:dyDescent="0.2">
      <c r="R6585" s="1288"/>
    </row>
    <row r="6586" spans="18:18" s="2" customFormat="1" ht="12.75" x14ac:dyDescent="0.2">
      <c r="R6586" s="1288"/>
    </row>
    <row r="6587" spans="18:18" s="2" customFormat="1" ht="12.75" x14ac:dyDescent="0.2">
      <c r="R6587" s="1288"/>
    </row>
    <row r="6588" spans="18:18" s="2" customFormat="1" ht="12.75" x14ac:dyDescent="0.2">
      <c r="R6588" s="1288"/>
    </row>
    <row r="6589" spans="18:18" s="2" customFormat="1" ht="12.75" x14ac:dyDescent="0.2">
      <c r="R6589" s="1288"/>
    </row>
    <row r="6590" spans="18:18" s="2" customFormat="1" ht="12.75" x14ac:dyDescent="0.2">
      <c r="R6590" s="1288"/>
    </row>
    <row r="6591" spans="18:18" s="2" customFormat="1" ht="12.75" x14ac:dyDescent="0.2">
      <c r="R6591" s="1288"/>
    </row>
    <row r="6592" spans="18:18" s="2" customFormat="1" ht="12.75" x14ac:dyDescent="0.2">
      <c r="R6592" s="1288"/>
    </row>
    <row r="6593" spans="18:18" s="2" customFormat="1" ht="12.75" x14ac:dyDescent="0.2">
      <c r="R6593" s="1288"/>
    </row>
    <row r="6594" spans="18:18" s="2" customFormat="1" ht="12.75" x14ac:dyDescent="0.2">
      <c r="R6594" s="1288"/>
    </row>
    <row r="6595" spans="18:18" s="2" customFormat="1" ht="12.75" x14ac:dyDescent="0.2">
      <c r="R6595" s="1288"/>
    </row>
    <row r="6596" spans="18:18" s="2" customFormat="1" ht="12.75" x14ac:dyDescent="0.2">
      <c r="R6596" s="1288"/>
    </row>
    <row r="6597" spans="18:18" s="2" customFormat="1" ht="12.75" x14ac:dyDescent="0.2">
      <c r="R6597" s="1288"/>
    </row>
    <row r="6598" spans="18:18" s="2" customFormat="1" ht="12.75" x14ac:dyDescent="0.2">
      <c r="R6598" s="1288"/>
    </row>
    <row r="6599" spans="18:18" s="2" customFormat="1" ht="12.75" x14ac:dyDescent="0.2">
      <c r="R6599" s="1288"/>
    </row>
    <row r="6600" spans="18:18" s="2" customFormat="1" ht="12.75" x14ac:dyDescent="0.2">
      <c r="R6600" s="1288"/>
    </row>
    <row r="6601" spans="18:18" s="2" customFormat="1" ht="12.75" x14ac:dyDescent="0.2">
      <c r="R6601" s="1288"/>
    </row>
    <row r="6602" spans="18:18" s="2" customFormat="1" ht="12.75" x14ac:dyDescent="0.2">
      <c r="R6602" s="1288"/>
    </row>
    <row r="6603" spans="18:18" s="2" customFormat="1" ht="12.75" x14ac:dyDescent="0.2">
      <c r="R6603" s="1288"/>
    </row>
    <row r="6604" spans="18:18" s="2" customFormat="1" ht="12.75" x14ac:dyDescent="0.2">
      <c r="R6604" s="1288"/>
    </row>
    <row r="6605" spans="18:18" s="2" customFormat="1" ht="12.75" x14ac:dyDescent="0.2">
      <c r="R6605" s="1288"/>
    </row>
    <row r="6606" spans="18:18" s="2" customFormat="1" ht="12.75" x14ac:dyDescent="0.2">
      <c r="R6606" s="1288"/>
    </row>
    <row r="6607" spans="18:18" s="2" customFormat="1" ht="12.75" x14ac:dyDescent="0.2">
      <c r="R6607" s="1288"/>
    </row>
    <row r="6608" spans="18:18" s="2" customFormat="1" ht="12.75" x14ac:dyDescent="0.2">
      <c r="R6608" s="1288"/>
    </row>
    <row r="6609" spans="18:18" s="2" customFormat="1" ht="12.75" x14ac:dyDescent="0.2">
      <c r="R6609" s="1288"/>
    </row>
    <row r="6610" spans="18:18" s="2" customFormat="1" ht="12.75" x14ac:dyDescent="0.2">
      <c r="R6610" s="1288"/>
    </row>
    <row r="6611" spans="18:18" s="2" customFormat="1" ht="12.75" x14ac:dyDescent="0.2">
      <c r="R6611" s="1288"/>
    </row>
    <row r="6612" spans="18:18" s="2" customFormat="1" ht="12.75" x14ac:dyDescent="0.2">
      <c r="R6612" s="1288"/>
    </row>
    <row r="6613" spans="18:18" s="2" customFormat="1" ht="12.75" x14ac:dyDescent="0.2">
      <c r="R6613" s="1288"/>
    </row>
    <row r="6614" spans="18:18" s="2" customFormat="1" ht="12.75" x14ac:dyDescent="0.2">
      <c r="R6614" s="1288"/>
    </row>
    <row r="6615" spans="18:18" s="2" customFormat="1" ht="12.75" x14ac:dyDescent="0.2">
      <c r="R6615" s="1288"/>
    </row>
    <row r="6616" spans="18:18" s="2" customFormat="1" ht="12.75" x14ac:dyDescent="0.2">
      <c r="R6616" s="1288"/>
    </row>
    <row r="6617" spans="18:18" s="2" customFormat="1" ht="12.75" x14ac:dyDescent="0.2">
      <c r="R6617" s="1288"/>
    </row>
    <row r="6618" spans="18:18" s="2" customFormat="1" ht="12.75" x14ac:dyDescent="0.2">
      <c r="R6618" s="1288"/>
    </row>
    <row r="6619" spans="18:18" s="2" customFormat="1" ht="12.75" x14ac:dyDescent="0.2">
      <c r="R6619" s="1288"/>
    </row>
    <row r="6620" spans="18:18" s="2" customFormat="1" ht="12.75" x14ac:dyDescent="0.2">
      <c r="R6620" s="1288"/>
    </row>
    <row r="6621" spans="18:18" s="2" customFormat="1" ht="12.75" x14ac:dyDescent="0.2">
      <c r="R6621" s="1288"/>
    </row>
    <row r="6622" spans="18:18" s="2" customFormat="1" ht="12.75" x14ac:dyDescent="0.2">
      <c r="R6622" s="1288"/>
    </row>
    <row r="6623" spans="18:18" s="2" customFormat="1" ht="12.75" x14ac:dyDescent="0.2">
      <c r="R6623" s="1288"/>
    </row>
    <row r="6624" spans="18:18" s="2" customFormat="1" ht="12.75" x14ac:dyDescent="0.2">
      <c r="R6624" s="1288"/>
    </row>
    <row r="6625" spans="18:18" s="2" customFormat="1" ht="12.75" x14ac:dyDescent="0.2">
      <c r="R6625" s="1288"/>
    </row>
    <row r="6626" spans="18:18" s="2" customFormat="1" ht="12.75" x14ac:dyDescent="0.2">
      <c r="R6626" s="1288"/>
    </row>
    <row r="6627" spans="18:18" s="2" customFormat="1" ht="12.75" x14ac:dyDescent="0.2">
      <c r="R6627" s="1288"/>
    </row>
    <row r="6628" spans="18:18" s="2" customFormat="1" ht="12.75" x14ac:dyDescent="0.2">
      <c r="R6628" s="1288"/>
    </row>
    <row r="6629" spans="18:18" s="2" customFormat="1" ht="12.75" x14ac:dyDescent="0.2">
      <c r="R6629" s="1288"/>
    </row>
    <row r="6630" spans="18:18" s="2" customFormat="1" ht="12.75" x14ac:dyDescent="0.2">
      <c r="R6630" s="1288"/>
    </row>
    <row r="6631" spans="18:18" s="2" customFormat="1" ht="12.75" x14ac:dyDescent="0.2">
      <c r="R6631" s="1288"/>
    </row>
    <row r="6632" spans="18:18" s="2" customFormat="1" ht="12.75" x14ac:dyDescent="0.2">
      <c r="R6632" s="1288"/>
    </row>
    <row r="6633" spans="18:18" s="2" customFormat="1" ht="12.75" x14ac:dyDescent="0.2">
      <c r="R6633" s="1288"/>
    </row>
    <row r="6634" spans="18:18" s="2" customFormat="1" ht="12.75" x14ac:dyDescent="0.2">
      <c r="R6634" s="1288"/>
    </row>
    <row r="6635" spans="18:18" s="2" customFormat="1" ht="12.75" x14ac:dyDescent="0.2">
      <c r="R6635" s="1288"/>
    </row>
    <row r="6636" spans="18:18" s="2" customFormat="1" ht="12.75" x14ac:dyDescent="0.2">
      <c r="R6636" s="1288"/>
    </row>
    <row r="6637" spans="18:18" s="2" customFormat="1" ht="12.75" x14ac:dyDescent="0.2">
      <c r="R6637" s="1288"/>
    </row>
    <row r="6638" spans="18:18" s="2" customFormat="1" ht="12.75" x14ac:dyDescent="0.2">
      <c r="R6638" s="1288"/>
    </row>
    <row r="6639" spans="18:18" s="2" customFormat="1" ht="12.75" x14ac:dyDescent="0.2">
      <c r="R6639" s="1288"/>
    </row>
    <row r="6640" spans="18:18" s="2" customFormat="1" ht="12.75" x14ac:dyDescent="0.2">
      <c r="R6640" s="1288"/>
    </row>
    <row r="6641" spans="18:18" s="2" customFormat="1" ht="12.75" x14ac:dyDescent="0.2">
      <c r="R6641" s="1288"/>
    </row>
    <row r="6642" spans="18:18" s="2" customFormat="1" ht="12.75" x14ac:dyDescent="0.2">
      <c r="R6642" s="1288"/>
    </row>
    <row r="6643" spans="18:18" s="2" customFormat="1" ht="12.75" x14ac:dyDescent="0.2">
      <c r="R6643" s="1288"/>
    </row>
    <row r="6644" spans="18:18" s="2" customFormat="1" ht="12.75" x14ac:dyDescent="0.2">
      <c r="R6644" s="1288"/>
    </row>
    <row r="6645" spans="18:18" s="2" customFormat="1" ht="12.75" x14ac:dyDescent="0.2">
      <c r="R6645" s="1288"/>
    </row>
    <row r="6646" spans="18:18" s="2" customFormat="1" ht="12.75" x14ac:dyDescent="0.2">
      <c r="R6646" s="1288"/>
    </row>
    <row r="6647" spans="18:18" s="2" customFormat="1" ht="12.75" x14ac:dyDescent="0.2">
      <c r="R6647" s="1288"/>
    </row>
    <row r="6648" spans="18:18" s="2" customFormat="1" ht="12.75" x14ac:dyDescent="0.2">
      <c r="R6648" s="1288"/>
    </row>
    <row r="6649" spans="18:18" s="2" customFormat="1" ht="12.75" x14ac:dyDescent="0.2">
      <c r="R6649" s="1288"/>
    </row>
    <row r="6650" spans="18:18" s="2" customFormat="1" ht="12.75" x14ac:dyDescent="0.2">
      <c r="R6650" s="1288"/>
    </row>
    <row r="6651" spans="18:18" s="2" customFormat="1" ht="12.75" x14ac:dyDescent="0.2">
      <c r="R6651" s="1288"/>
    </row>
    <row r="6652" spans="18:18" s="2" customFormat="1" ht="12.75" x14ac:dyDescent="0.2">
      <c r="R6652" s="1288"/>
    </row>
    <row r="6653" spans="18:18" s="2" customFormat="1" ht="12.75" x14ac:dyDescent="0.2">
      <c r="R6653" s="1288"/>
    </row>
    <row r="6654" spans="18:18" s="2" customFormat="1" ht="12.75" x14ac:dyDescent="0.2">
      <c r="R6654" s="1288"/>
    </row>
    <row r="6655" spans="18:18" s="2" customFormat="1" ht="12.75" x14ac:dyDescent="0.2">
      <c r="R6655" s="1288"/>
    </row>
    <row r="6656" spans="18:18" s="2" customFormat="1" ht="12.75" x14ac:dyDescent="0.2">
      <c r="R6656" s="1288"/>
    </row>
    <row r="6657" spans="18:18" s="2" customFormat="1" ht="12.75" x14ac:dyDescent="0.2">
      <c r="R6657" s="1288"/>
    </row>
    <row r="6658" spans="18:18" s="2" customFormat="1" ht="12.75" x14ac:dyDescent="0.2">
      <c r="R6658" s="1288"/>
    </row>
    <row r="6659" spans="18:18" s="2" customFormat="1" ht="12.75" x14ac:dyDescent="0.2">
      <c r="R6659" s="1288"/>
    </row>
    <row r="6660" spans="18:18" s="2" customFormat="1" ht="12.75" x14ac:dyDescent="0.2">
      <c r="R6660" s="1288"/>
    </row>
    <row r="6661" spans="18:18" s="2" customFormat="1" ht="12.75" x14ac:dyDescent="0.2">
      <c r="R6661" s="1288"/>
    </row>
    <row r="6662" spans="18:18" s="2" customFormat="1" ht="12.75" x14ac:dyDescent="0.2">
      <c r="R6662" s="1288"/>
    </row>
    <row r="6663" spans="18:18" s="2" customFormat="1" ht="12.75" x14ac:dyDescent="0.2">
      <c r="R6663" s="1288"/>
    </row>
    <row r="6664" spans="18:18" s="2" customFormat="1" ht="12.75" x14ac:dyDescent="0.2">
      <c r="R6664" s="1288"/>
    </row>
    <row r="6665" spans="18:18" s="2" customFormat="1" ht="12.75" x14ac:dyDescent="0.2">
      <c r="R6665" s="1288"/>
    </row>
    <row r="6666" spans="18:18" s="2" customFormat="1" ht="12.75" x14ac:dyDescent="0.2">
      <c r="R6666" s="1288"/>
    </row>
    <row r="6667" spans="18:18" s="2" customFormat="1" ht="12.75" x14ac:dyDescent="0.2">
      <c r="R6667" s="1288"/>
    </row>
    <row r="6668" spans="18:18" s="2" customFormat="1" ht="12.75" x14ac:dyDescent="0.2">
      <c r="R6668" s="1288"/>
    </row>
    <row r="6669" spans="18:18" s="2" customFormat="1" ht="12.75" x14ac:dyDescent="0.2">
      <c r="R6669" s="1288"/>
    </row>
    <row r="6670" spans="18:18" s="2" customFormat="1" ht="12.75" x14ac:dyDescent="0.2">
      <c r="R6670" s="1288"/>
    </row>
    <row r="6671" spans="18:18" s="2" customFormat="1" ht="12.75" x14ac:dyDescent="0.2">
      <c r="R6671" s="1288"/>
    </row>
    <row r="6672" spans="18:18" s="2" customFormat="1" ht="12.75" x14ac:dyDescent="0.2">
      <c r="R6672" s="1288"/>
    </row>
    <row r="6673" spans="18:18" s="2" customFormat="1" ht="12.75" x14ac:dyDescent="0.2">
      <c r="R6673" s="1288"/>
    </row>
    <row r="6674" spans="18:18" s="2" customFormat="1" ht="12.75" x14ac:dyDescent="0.2">
      <c r="R6674" s="1288"/>
    </row>
    <row r="6675" spans="18:18" s="2" customFormat="1" ht="12.75" x14ac:dyDescent="0.2">
      <c r="R6675" s="1288"/>
    </row>
    <row r="6676" spans="18:18" s="2" customFormat="1" ht="12.75" x14ac:dyDescent="0.2">
      <c r="R6676" s="1288"/>
    </row>
    <row r="6677" spans="18:18" s="2" customFormat="1" ht="12.75" x14ac:dyDescent="0.2">
      <c r="R6677" s="1288"/>
    </row>
    <row r="6678" spans="18:18" s="2" customFormat="1" ht="12.75" x14ac:dyDescent="0.2">
      <c r="R6678" s="1288"/>
    </row>
    <row r="6679" spans="18:18" s="2" customFormat="1" ht="12.75" x14ac:dyDescent="0.2">
      <c r="R6679" s="1288"/>
    </row>
    <row r="6680" spans="18:18" s="2" customFormat="1" ht="12.75" x14ac:dyDescent="0.2">
      <c r="R6680" s="1288"/>
    </row>
    <row r="6681" spans="18:18" s="2" customFormat="1" ht="12.75" x14ac:dyDescent="0.2">
      <c r="R6681" s="1288"/>
    </row>
    <row r="6682" spans="18:18" s="2" customFormat="1" ht="12.75" x14ac:dyDescent="0.2">
      <c r="R6682" s="1288"/>
    </row>
    <row r="6683" spans="18:18" s="2" customFormat="1" ht="12.75" x14ac:dyDescent="0.2">
      <c r="R6683" s="1288"/>
    </row>
    <row r="6684" spans="18:18" s="2" customFormat="1" ht="12.75" x14ac:dyDescent="0.2">
      <c r="R6684" s="1288"/>
    </row>
    <row r="6685" spans="18:18" s="2" customFormat="1" ht="12.75" x14ac:dyDescent="0.2">
      <c r="R6685" s="1288"/>
    </row>
    <row r="6686" spans="18:18" s="2" customFormat="1" ht="12.75" x14ac:dyDescent="0.2">
      <c r="R6686" s="1288"/>
    </row>
    <row r="6687" spans="18:18" s="2" customFormat="1" ht="12.75" x14ac:dyDescent="0.2">
      <c r="R6687" s="1288"/>
    </row>
    <row r="6688" spans="18:18" s="2" customFormat="1" ht="12.75" x14ac:dyDescent="0.2">
      <c r="R6688" s="1288"/>
    </row>
    <row r="6689" spans="18:18" s="2" customFormat="1" ht="12.75" x14ac:dyDescent="0.2">
      <c r="R6689" s="1288"/>
    </row>
    <row r="6690" spans="18:18" s="2" customFormat="1" ht="12.75" x14ac:dyDescent="0.2">
      <c r="R6690" s="1288"/>
    </row>
    <row r="6691" spans="18:18" s="2" customFormat="1" ht="12.75" x14ac:dyDescent="0.2">
      <c r="R6691" s="1288"/>
    </row>
    <row r="6692" spans="18:18" s="2" customFormat="1" ht="12.75" x14ac:dyDescent="0.2">
      <c r="R6692" s="1288"/>
    </row>
    <row r="6693" spans="18:18" s="2" customFormat="1" ht="12.75" x14ac:dyDescent="0.2">
      <c r="R6693" s="1288"/>
    </row>
    <row r="6694" spans="18:18" s="2" customFormat="1" ht="12.75" x14ac:dyDescent="0.2">
      <c r="R6694" s="1288"/>
    </row>
    <row r="6695" spans="18:18" s="2" customFormat="1" ht="12.75" x14ac:dyDescent="0.2">
      <c r="R6695" s="1288"/>
    </row>
    <row r="6696" spans="18:18" s="2" customFormat="1" ht="12.75" x14ac:dyDescent="0.2">
      <c r="R6696" s="1288"/>
    </row>
    <row r="6697" spans="18:18" s="2" customFormat="1" ht="12.75" x14ac:dyDescent="0.2">
      <c r="R6697" s="1288"/>
    </row>
    <row r="6698" spans="18:18" s="2" customFormat="1" ht="12.75" x14ac:dyDescent="0.2">
      <c r="R6698" s="1288"/>
    </row>
    <row r="6699" spans="18:18" s="2" customFormat="1" ht="12.75" x14ac:dyDescent="0.2">
      <c r="R6699" s="1288"/>
    </row>
    <row r="6700" spans="18:18" s="2" customFormat="1" ht="12.75" x14ac:dyDescent="0.2">
      <c r="R6700" s="1288"/>
    </row>
    <row r="6701" spans="18:18" s="2" customFormat="1" ht="12.75" x14ac:dyDescent="0.2">
      <c r="R6701" s="1288"/>
    </row>
    <row r="6702" spans="18:18" s="2" customFormat="1" ht="12.75" x14ac:dyDescent="0.2">
      <c r="R6702" s="1288"/>
    </row>
    <row r="6703" spans="18:18" s="2" customFormat="1" ht="12.75" x14ac:dyDescent="0.2">
      <c r="R6703" s="1288"/>
    </row>
    <row r="6704" spans="18:18" s="2" customFormat="1" ht="12.75" x14ac:dyDescent="0.2">
      <c r="R6704" s="1288"/>
    </row>
    <row r="6705" spans="18:18" s="2" customFormat="1" ht="12.75" x14ac:dyDescent="0.2">
      <c r="R6705" s="1288"/>
    </row>
    <row r="6706" spans="18:18" s="2" customFormat="1" ht="12.75" x14ac:dyDescent="0.2">
      <c r="R6706" s="1288"/>
    </row>
    <row r="6707" spans="18:18" s="2" customFormat="1" ht="12.75" x14ac:dyDescent="0.2">
      <c r="R6707" s="1288"/>
    </row>
    <row r="6708" spans="18:18" s="2" customFormat="1" ht="12.75" x14ac:dyDescent="0.2">
      <c r="R6708" s="1288"/>
    </row>
    <row r="6709" spans="18:18" s="2" customFormat="1" ht="12.75" x14ac:dyDescent="0.2">
      <c r="R6709" s="1288"/>
    </row>
    <row r="6710" spans="18:18" s="2" customFormat="1" ht="12.75" x14ac:dyDescent="0.2">
      <c r="R6710" s="1288"/>
    </row>
    <row r="6711" spans="18:18" s="2" customFormat="1" ht="12.75" x14ac:dyDescent="0.2">
      <c r="R6711" s="1288"/>
    </row>
    <row r="6712" spans="18:18" s="2" customFormat="1" ht="12.75" x14ac:dyDescent="0.2">
      <c r="R6712" s="1288"/>
    </row>
    <row r="6713" spans="18:18" s="2" customFormat="1" ht="12.75" x14ac:dyDescent="0.2">
      <c r="R6713" s="1288"/>
    </row>
    <row r="6714" spans="18:18" s="2" customFormat="1" ht="12.75" x14ac:dyDescent="0.2">
      <c r="R6714" s="1288"/>
    </row>
    <row r="6715" spans="18:18" s="2" customFormat="1" ht="12.75" x14ac:dyDescent="0.2">
      <c r="R6715" s="1288"/>
    </row>
    <row r="6716" spans="18:18" s="2" customFormat="1" ht="12.75" x14ac:dyDescent="0.2">
      <c r="R6716" s="1288"/>
    </row>
    <row r="6717" spans="18:18" s="2" customFormat="1" ht="12.75" x14ac:dyDescent="0.2">
      <c r="R6717" s="1288"/>
    </row>
    <row r="6718" spans="18:18" s="2" customFormat="1" ht="12.75" x14ac:dyDescent="0.2">
      <c r="R6718" s="1288"/>
    </row>
    <row r="6719" spans="18:18" s="2" customFormat="1" ht="12.75" x14ac:dyDescent="0.2">
      <c r="R6719" s="1288"/>
    </row>
    <row r="6720" spans="18:18" s="2" customFormat="1" ht="12.75" x14ac:dyDescent="0.2">
      <c r="R6720" s="1288"/>
    </row>
    <row r="6721" spans="18:18" s="2" customFormat="1" ht="12.75" x14ac:dyDescent="0.2">
      <c r="R6721" s="1288"/>
    </row>
    <row r="6722" spans="18:18" s="2" customFormat="1" ht="12.75" x14ac:dyDescent="0.2">
      <c r="R6722" s="1288"/>
    </row>
    <row r="6723" spans="18:18" s="2" customFormat="1" ht="12.75" x14ac:dyDescent="0.2">
      <c r="R6723" s="1288"/>
    </row>
    <row r="6724" spans="18:18" s="2" customFormat="1" ht="12.75" x14ac:dyDescent="0.2">
      <c r="R6724" s="1288"/>
    </row>
    <row r="6725" spans="18:18" s="2" customFormat="1" ht="12.75" x14ac:dyDescent="0.2">
      <c r="R6725" s="1288"/>
    </row>
    <row r="6726" spans="18:18" s="2" customFormat="1" ht="12.75" x14ac:dyDescent="0.2">
      <c r="R6726" s="1288"/>
    </row>
    <row r="6727" spans="18:18" s="2" customFormat="1" ht="12.75" x14ac:dyDescent="0.2">
      <c r="R6727" s="1288"/>
    </row>
    <row r="6728" spans="18:18" s="2" customFormat="1" ht="12.75" x14ac:dyDescent="0.2">
      <c r="R6728" s="1288"/>
    </row>
    <row r="6729" spans="18:18" s="2" customFormat="1" ht="12.75" x14ac:dyDescent="0.2">
      <c r="R6729" s="1288"/>
    </row>
    <row r="6730" spans="18:18" s="2" customFormat="1" ht="12.75" x14ac:dyDescent="0.2">
      <c r="R6730" s="1288"/>
    </row>
    <row r="6731" spans="18:18" s="2" customFormat="1" ht="12.75" x14ac:dyDescent="0.2">
      <c r="R6731" s="1288"/>
    </row>
    <row r="6732" spans="18:18" s="2" customFormat="1" ht="12.75" x14ac:dyDescent="0.2">
      <c r="R6732" s="1288"/>
    </row>
    <row r="6733" spans="18:18" s="2" customFormat="1" ht="12.75" x14ac:dyDescent="0.2">
      <c r="R6733" s="1288"/>
    </row>
    <row r="6734" spans="18:18" s="2" customFormat="1" ht="12.75" x14ac:dyDescent="0.2">
      <c r="R6734" s="1288"/>
    </row>
    <row r="6735" spans="18:18" s="2" customFormat="1" ht="12.75" x14ac:dyDescent="0.2">
      <c r="R6735" s="1288"/>
    </row>
    <row r="6736" spans="18:18" s="2" customFormat="1" ht="12.75" x14ac:dyDescent="0.2">
      <c r="R6736" s="1288"/>
    </row>
    <row r="6737" spans="18:18" s="2" customFormat="1" ht="12.75" x14ac:dyDescent="0.2">
      <c r="R6737" s="1288"/>
    </row>
    <row r="6738" spans="18:18" s="2" customFormat="1" ht="12.75" x14ac:dyDescent="0.2">
      <c r="R6738" s="1288"/>
    </row>
    <row r="6739" spans="18:18" s="2" customFormat="1" ht="12.75" x14ac:dyDescent="0.2">
      <c r="R6739" s="1288"/>
    </row>
    <row r="6740" spans="18:18" s="2" customFormat="1" ht="12.75" x14ac:dyDescent="0.2">
      <c r="R6740" s="1288"/>
    </row>
    <row r="6741" spans="18:18" s="2" customFormat="1" ht="12.75" x14ac:dyDescent="0.2">
      <c r="R6741" s="1288"/>
    </row>
    <row r="6742" spans="18:18" s="2" customFormat="1" ht="12.75" x14ac:dyDescent="0.2">
      <c r="R6742" s="1288"/>
    </row>
    <row r="6743" spans="18:18" s="2" customFormat="1" ht="12.75" x14ac:dyDescent="0.2">
      <c r="R6743" s="1288"/>
    </row>
    <row r="6744" spans="18:18" s="2" customFormat="1" ht="12.75" x14ac:dyDescent="0.2">
      <c r="R6744" s="1288"/>
    </row>
    <row r="6745" spans="18:18" s="2" customFormat="1" ht="12.75" x14ac:dyDescent="0.2">
      <c r="R6745" s="1288"/>
    </row>
    <row r="6746" spans="18:18" s="2" customFormat="1" ht="12.75" x14ac:dyDescent="0.2">
      <c r="R6746" s="1288"/>
    </row>
    <row r="6747" spans="18:18" s="2" customFormat="1" ht="12.75" x14ac:dyDescent="0.2">
      <c r="R6747" s="1288"/>
    </row>
    <row r="6748" spans="18:18" s="2" customFormat="1" ht="12.75" x14ac:dyDescent="0.2">
      <c r="R6748" s="1288"/>
    </row>
    <row r="6749" spans="18:18" s="2" customFormat="1" ht="12.75" x14ac:dyDescent="0.2">
      <c r="R6749" s="1288"/>
    </row>
    <row r="6750" spans="18:18" s="2" customFormat="1" ht="12.75" x14ac:dyDescent="0.2">
      <c r="R6750" s="1288"/>
    </row>
    <row r="6751" spans="18:18" s="2" customFormat="1" ht="12.75" x14ac:dyDescent="0.2">
      <c r="R6751" s="1288"/>
    </row>
    <row r="6752" spans="18:18" s="2" customFormat="1" ht="12.75" x14ac:dyDescent="0.2">
      <c r="R6752" s="1288"/>
    </row>
    <row r="6753" spans="18:18" s="2" customFormat="1" ht="12.75" x14ac:dyDescent="0.2">
      <c r="R6753" s="1288"/>
    </row>
    <row r="6754" spans="18:18" s="2" customFormat="1" ht="12.75" x14ac:dyDescent="0.2">
      <c r="R6754" s="1288"/>
    </row>
    <row r="6755" spans="18:18" s="2" customFormat="1" ht="12.75" x14ac:dyDescent="0.2">
      <c r="R6755" s="1288"/>
    </row>
    <row r="6756" spans="18:18" s="2" customFormat="1" ht="12.75" x14ac:dyDescent="0.2">
      <c r="R6756" s="1288"/>
    </row>
    <row r="6757" spans="18:18" s="2" customFormat="1" ht="12.75" x14ac:dyDescent="0.2">
      <c r="R6757" s="1288"/>
    </row>
    <row r="6758" spans="18:18" s="2" customFormat="1" ht="12.75" x14ac:dyDescent="0.2">
      <c r="R6758" s="1288"/>
    </row>
    <row r="6759" spans="18:18" s="2" customFormat="1" ht="12.75" x14ac:dyDescent="0.2">
      <c r="R6759" s="1288"/>
    </row>
    <row r="6760" spans="18:18" s="2" customFormat="1" ht="12.75" x14ac:dyDescent="0.2">
      <c r="R6760" s="1288"/>
    </row>
    <row r="6761" spans="18:18" s="2" customFormat="1" ht="12.75" x14ac:dyDescent="0.2">
      <c r="R6761" s="1288"/>
    </row>
    <row r="6762" spans="18:18" s="2" customFormat="1" ht="12.75" x14ac:dyDescent="0.2">
      <c r="R6762" s="1288"/>
    </row>
    <row r="6763" spans="18:18" s="2" customFormat="1" ht="12.75" x14ac:dyDescent="0.2">
      <c r="R6763" s="1288"/>
    </row>
    <row r="6764" spans="18:18" s="2" customFormat="1" ht="12.75" x14ac:dyDescent="0.2">
      <c r="R6764" s="1288"/>
    </row>
    <row r="6765" spans="18:18" s="2" customFormat="1" ht="12.75" x14ac:dyDescent="0.2">
      <c r="R6765" s="1288"/>
    </row>
    <row r="6766" spans="18:18" s="2" customFormat="1" ht="12.75" x14ac:dyDescent="0.2">
      <c r="R6766" s="1288"/>
    </row>
    <row r="6767" spans="18:18" s="2" customFormat="1" ht="12.75" x14ac:dyDescent="0.2">
      <c r="R6767" s="1288"/>
    </row>
    <row r="6768" spans="18:18" s="2" customFormat="1" ht="12.75" x14ac:dyDescent="0.2">
      <c r="R6768" s="1288"/>
    </row>
    <row r="6769" spans="18:18" s="2" customFormat="1" ht="12.75" x14ac:dyDescent="0.2">
      <c r="R6769" s="1288"/>
    </row>
    <row r="6770" spans="18:18" s="2" customFormat="1" ht="12.75" x14ac:dyDescent="0.2">
      <c r="R6770" s="1288"/>
    </row>
    <row r="6771" spans="18:18" s="2" customFormat="1" ht="12.75" x14ac:dyDescent="0.2">
      <c r="R6771" s="1288"/>
    </row>
    <row r="6772" spans="18:18" s="2" customFormat="1" ht="12.75" x14ac:dyDescent="0.2">
      <c r="R6772" s="1288"/>
    </row>
    <row r="6773" spans="18:18" s="2" customFormat="1" ht="12.75" x14ac:dyDescent="0.2">
      <c r="R6773" s="1288"/>
    </row>
    <row r="6774" spans="18:18" s="2" customFormat="1" ht="12.75" x14ac:dyDescent="0.2">
      <c r="R6774" s="1288"/>
    </row>
    <row r="6775" spans="18:18" s="2" customFormat="1" ht="12.75" x14ac:dyDescent="0.2">
      <c r="R6775" s="1288"/>
    </row>
    <row r="6776" spans="18:18" s="2" customFormat="1" ht="12.75" x14ac:dyDescent="0.2">
      <c r="R6776" s="1288"/>
    </row>
    <row r="6777" spans="18:18" s="2" customFormat="1" ht="12.75" x14ac:dyDescent="0.2">
      <c r="R6777" s="1288"/>
    </row>
    <row r="6778" spans="18:18" s="2" customFormat="1" ht="12.75" x14ac:dyDescent="0.2">
      <c r="R6778" s="1288"/>
    </row>
    <row r="6779" spans="18:18" s="2" customFormat="1" ht="12.75" x14ac:dyDescent="0.2">
      <c r="R6779" s="1288"/>
    </row>
    <row r="6780" spans="18:18" s="2" customFormat="1" ht="12.75" x14ac:dyDescent="0.2">
      <c r="R6780" s="1288"/>
    </row>
    <row r="6781" spans="18:18" s="2" customFormat="1" ht="12.75" x14ac:dyDescent="0.2">
      <c r="R6781" s="1288"/>
    </row>
    <row r="6782" spans="18:18" s="2" customFormat="1" ht="12.75" x14ac:dyDescent="0.2">
      <c r="R6782" s="1288"/>
    </row>
    <row r="6783" spans="18:18" s="2" customFormat="1" ht="12.75" x14ac:dyDescent="0.2">
      <c r="R6783" s="1288"/>
    </row>
    <row r="6784" spans="18:18" s="2" customFormat="1" ht="12.75" x14ac:dyDescent="0.2">
      <c r="R6784" s="1288"/>
    </row>
    <row r="6785" spans="18:18" s="2" customFormat="1" ht="12.75" x14ac:dyDescent="0.2">
      <c r="R6785" s="1288"/>
    </row>
    <row r="6786" spans="18:18" s="2" customFormat="1" ht="12.75" x14ac:dyDescent="0.2">
      <c r="R6786" s="1288"/>
    </row>
    <row r="6787" spans="18:18" s="2" customFormat="1" ht="12.75" x14ac:dyDescent="0.2">
      <c r="R6787" s="1288"/>
    </row>
    <row r="6788" spans="18:18" s="2" customFormat="1" ht="12.75" x14ac:dyDescent="0.2">
      <c r="R6788" s="1288"/>
    </row>
    <row r="6789" spans="18:18" s="2" customFormat="1" ht="12.75" x14ac:dyDescent="0.2">
      <c r="R6789" s="1288"/>
    </row>
    <row r="6790" spans="18:18" s="2" customFormat="1" ht="12.75" x14ac:dyDescent="0.2">
      <c r="R6790" s="1288"/>
    </row>
    <row r="6791" spans="18:18" s="2" customFormat="1" ht="12.75" x14ac:dyDescent="0.2">
      <c r="R6791" s="1288"/>
    </row>
    <row r="6792" spans="18:18" s="2" customFormat="1" ht="12.75" x14ac:dyDescent="0.2">
      <c r="R6792" s="1288"/>
    </row>
    <row r="6793" spans="18:18" s="2" customFormat="1" ht="12.75" x14ac:dyDescent="0.2">
      <c r="R6793" s="1288"/>
    </row>
    <row r="6794" spans="18:18" s="2" customFormat="1" ht="12.75" x14ac:dyDescent="0.2">
      <c r="R6794" s="1288"/>
    </row>
    <row r="6795" spans="18:18" s="2" customFormat="1" ht="12.75" x14ac:dyDescent="0.2">
      <c r="R6795" s="1288"/>
    </row>
    <row r="6796" spans="18:18" s="2" customFormat="1" ht="12.75" x14ac:dyDescent="0.2">
      <c r="R6796" s="1288"/>
    </row>
    <row r="6797" spans="18:18" s="2" customFormat="1" ht="12.75" x14ac:dyDescent="0.2">
      <c r="R6797" s="1288"/>
    </row>
    <row r="6798" spans="18:18" s="2" customFormat="1" ht="12.75" x14ac:dyDescent="0.2">
      <c r="R6798" s="1288"/>
    </row>
    <row r="6799" spans="18:18" s="2" customFormat="1" ht="12.75" x14ac:dyDescent="0.2">
      <c r="R6799" s="1288"/>
    </row>
    <row r="6800" spans="18:18" s="2" customFormat="1" ht="12.75" x14ac:dyDescent="0.2">
      <c r="R6800" s="1288"/>
    </row>
    <row r="6801" spans="18:18" s="2" customFormat="1" ht="12.75" x14ac:dyDescent="0.2">
      <c r="R6801" s="1288"/>
    </row>
    <row r="6802" spans="18:18" s="2" customFormat="1" ht="12.75" x14ac:dyDescent="0.2">
      <c r="R6802" s="1288"/>
    </row>
    <row r="6803" spans="18:18" s="2" customFormat="1" ht="12.75" x14ac:dyDescent="0.2">
      <c r="R6803" s="1288"/>
    </row>
    <row r="6804" spans="18:18" s="2" customFormat="1" ht="12.75" x14ac:dyDescent="0.2">
      <c r="R6804" s="1288"/>
    </row>
    <row r="6805" spans="18:18" s="2" customFormat="1" ht="12.75" x14ac:dyDescent="0.2">
      <c r="R6805" s="1288"/>
    </row>
    <row r="6806" spans="18:18" s="2" customFormat="1" ht="12.75" x14ac:dyDescent="0.2">
      <c r="R6806" s="1288"/>
    </row>
    <row r="6807" spans="18:18" s="2" customFormat="1" ht="12.75" x14ac:dyDescent="0.2">
      <c r="R6807" s="1288"/>
    </row>
    <row r="6808" spans="18:18" s="2" customFormat="1" ht="12.75" x14ac:dyDescent="0.2">
      <c r="R6808" s="1288"/>
    </row>
    <row r="6809" spans="18:18" s="2" customFormat="1" ht="12.75" x14ac:dyDescent="0.2">
      <c r="R6809" s="1288"/>
    </row>
    <row r="6810" spans="18:18" s="2" customFormat="1" ht="12.75" x14ac:dyDescent="0.2">
      <c r="R6810" s="1288"/>
    </row>
    <row r="6811" spans="18:18" s="2" customFormat="1" ht="12.75" x14ac:dyDescent="0.2">
      <c r="R6811" s="1288"/>
    </row>
    <row r="6812" spans="18:18" s="2" customFormat="1" ht="12.75" x14ac:dyDescent="0.2">
      <c r="R6812" s="1288"/>
    </row>
    <row r="6813" spans="18:18" s="2" customFormat="1" ht="12.75" x14ac:dyDescent="0.2">
      <c r="R6813" s="1288"/>
    </row>
    <row r="6814" spans="18:18" s="2" customFormat="1" ht="12.75" x14ac:dyDescent="0.2">
      <c r="R6814" s="1288"/>
    </row>
    <row r="6815" spans="18:18" s="2" customFormat="1" ht="12.75" x14ac:dyDescent="0.2">
      <c r="R6815" s="1288"/>
    </row>
    <row r="6816" spans="18:18" s="2" customFormat="1" ht="12.75" x14ac:dyDescent="0.2">
      <c r="R6816" s="1288"/>
    </row>
    <row r="6817" spans="18:18" s="2" customFormat="1" ht="12.75" x14ac:dyDescent="0.2">
      <c r="R6817" s="1288"/>
    </row>
    <row r="6818" spans="18:18" s="2" customFormat="1" ht="12.75" x14ac:dyDescent="0.2">
      <c r="R6818" s="1288"/>
    </row>
    <row r="6819" spans="18:18" s="2" customFormat="1" ht="12.75" x14ac:dyDescent="0.2">
      <c r="R6819" s="1288"/>
    </row>
    <row r="6820" spans="18:18" s="2" customFormat="1" ht="12.75" x14ac:dyDescent="0.2">
      <c r="R6820" s="1288"/>
    </row>
    <row r="6821" spans="18:18" s="2" customFormat="1" ht="12.75" x14ac:dyDescent="0.2">
      <c r="R6821" s="1288"/>
    </row>
    <row r="6822" spans="18:18" s="2" customFormat="1" ht="12.75" x14ac:dyDescent="0.2">
      <c r="R6822" s="1288"/>
    </row>
    <row r="6823" spans="18:18" s="2" customFormat="1" ht="12.75" x14ac:dyDescent="0.2">
      <c r="R6823" s="1288"/>
    </row>
    <row r="6824" spans="18:18" s="2" customFormat="1" ht="12.75" x14ac:dyDescent="0.2">
      <c r="R6824" s="1288"/>
    </row>
    <row r="6825" spans="18:18" s="2" customFormat="1" ht="12.75" x14ac:dyDescent="0.2">
      <c r="R6825" s="1288"/>
    </row>
    <row r="6826" spans="18:18" s="2" customFormat="1" ht="12.75" x14ac:dyDescent="0.2">
      <c r="R6826" s="1288"/>
    </row>
    <row r="6827" spans="18:18" s="2" customFormat="1" ht="12.75" x14ac:dyDescent="0.2">
      <c r="R6827" s="1288"/>
    </row>
    <row r="6828" spans="18:18" s="2" customFormat="1" ht="12.75" x14ac:dyDescent="0.2">
      <c r="R6828" s="1288"/>
    </row>
    <row r="6829" spans="18:18" s="2" customFormat="1" ht="12.75" x14ac:dyDescent="0.2">
      <c r="R6829" s="1288"/>
    </row>
    <row r="6830" spans="18:18" s="2" customFormat="1" ht="12.75" x14ac:dyDescent="0.2">
      <c r="R6830" s="1288"/>
    </row>
    <row r="6831" spans="18:18" s="2" customFormat="1" ht="12.75" x14ac:dyDescent="0.2">
      <c r="R6831" s="1288"/>
    </row>
    <row r="6832" spans="18:18" s="2" customFormat="1" ht="12.75" x14ac:dyDescent="0.2">
      <c r="R6832" s="1288"/>
    </row>
    <row r="6833" spans="18:18" s="2" customFormat="1" ht="12.75" x14ac:dyDescent="0.2">
      <c r="R6833" s="1288"/>
    </row>
    <row r="6834" spans="18:18" s="2" customFormat="1" ht="12.75" x14ac:dyDescent="0.2">
      <c r="R6834" s="1288"/>
    </row>
    <row r="6835" spans="18:18" s="2" customFormat="1" ht="12.75" x14ac:dyDescent="0.2">
      <c r="R6835" s="1288"/>
    </row>
    <row r="6836" spans="18:18" s="2" customFormat="1" ht="12.75" x14ac:dyDescent="0.2">
      <c r="R6836" s="1288"/>
    </row>
    <row r="6837" spans="18:18" s="2" customFormat="1" ht="12.75" x14ac:dyDescent="0.2">
      <c r="R6837" s="1288"/>
    </row>
    <row r="6838" spans="18:18" s="2" customFormat="1" ht="12.75" x14ac:dyDescent="0.2">
      <c r="R6838" s="1288"/>
    </row>
    <row r="6839" spans="18:18" s="2" customFormat="1" ht="12.75" x14ac:dyDescent="0.2">
      <c r="R6839" s="1288"/>
    </row>
    <row r="6840" spans="18:18" s="2" customFormat="1" ht="12.75" x14ac:dyDescent="0.2">
      <c r="R6840" s="1288"/>
    </row>
    <row r="6841" spans="18:18" s="2" customFormat="1" ht="12.75" x14ac:dyDescent="0.2">
      <c r="R6841" s="1288"/>
    </row>
    <row r="6842" spans="18:18" s="2" customFormat="1" ht="12.75" x14ac:dyDescent="0.2">
      <c r="R6842" s="1288"/>
    </row>
    <row r="6843" spans="18:18" s="2" customFormat="1" ht="12.75" x14ac:dyDescent="0.2">
      <c r="R6843" s="1288"/>
    </row>
    <row r="6844" spans="18:18" s="2" customFormat="1" ht="12.75" x14ac:dyDescent="0.2">
      <c r="R6844" s="1288"/>
    </row>
    <row r="6845" spans="18:18" s="2" customFormat="1" ht="12.75" x14ac:dyDescent="0.2">
      <c r="R6845" s="1288"/>
    </row>
    <row r="6846" spans="18:18" s="2" customFormat="1" ht="12.75" x14ac:dyDescent="0.2">
      <c r="R6846" s="1288"/>
    </row>
    <row r="6847" spans="18:18" s="2" customFormat="1" ht="12.75" x14ac:dyDescent="0.2">
      <c r="R6847" s="1288"/>
    </row>
    <row r="6848" spans="18:18" s="2" customFormat="1" ht="12.75" x14ac:dyDescent="0.2">
      <c r="R6848" s="1288"/>
    </row>
    <row r="6849" spans="18:18" s="2" customFormat="1" ht="12.75" x14ac:dyDescent="0.2">
      <c r="R6849" s="1288"/>
    </row>
    <row r="6850" spans="18:18" s="2" customFormat="1" ht="12.75" x14ac:dyDescent="0.2">
      <c r="R6850" s="1288"/>
    </row>
    <row r="6851" spans="18:18" s="2" customFormat="1" ht="12.75" x14ac:dyDescent="0.2">
      <c r="R6851" s="1288"/>
    </row>
    <row r="6852" spans="18:18" s="2" customFormat="1" ht="12.75" x14ac:dyDescent="0.2">
      <c r="R6852" s="1288"/>
    </row>
    <row r="6853" spans="18:18" s="2" customFormat="1" ht="12.75" x14ac:dyDescent="0.2">
      <c r="R6853" s="1288"/>
    </row>
    <row r="6854" spans="18:18" s="2" customFormat="1" ht="12.75" x14ac:dyDescent="0.2">
      <c r="R6854" s="1288"/>
    </row>
    <row r="6855" spans="18:18" s="2" customFormat="1" ht="12.75" x14ac:dyDescent="0.2">
      <c r="R6855" s="1288"/>
    </row>
    <row r="6856" spans="18:18" s="2" customFormat="1" ht="12.75" x14ac:dyDescent="0.2">
      <c r="R6856" s="1288"/>
    </row>
    <row r="6857" spans="18:18" s="2" customFormat="1" ht="12.75" x14ac:dyDescent="0.2">
      <c r="R6857" s="1288"/>
    </row>
    <row r="6858" spans="18:18" s="2" customFormat="1" ht="12.75" x14ac:dyDescent="0.2">
      <c r="R6858" s="1288"/>
    </row>
    <row r="6859" spans="18:18" s="2" customFormat="1" ht="12.75" x14ac:dyDescent="0.2">
      <c r="R6859" s="1288"/>
    </row>
    <row r="6860" spans="18:18" s="2" customFormat="1" ht="12.75" x14ac:dyDescent="0.2">
      <c r="R6860" s="1288"/>
    </row>
    <row r="6861" spans="18:18" s="2" customFormat="1" ht="12.75" x14ac:dyDescent="0.2">
      <c r="R6861" s="1288"/>
    </row>
    <row r="6862" spans="18:18" s="2" customFormat="1" ht="12.75" x14ac:dyDescent="0.2">
      <c r="R6862" s="1288"/>
    </row>
    <row r="6863" spans="18:18" s="2" customFormat="1" ht="12.75" x14ac:dyDescent="0.2">
      <c r="R6863" s="1288"/>
    </row>
    <row r="6864" spans="18:18" s="2" customFormat="1" ht="12.75" x14ac:dyDescent="0.2">
      <c r="R6864" s="1288"/>
    </row>
    <row r="6865" spans="18:18" s="2" customFormat="1" ht="12.75" x14ac:dyDescent="0.2">
      <c r="R6865" s="1288"/>
    </row>
    <row r="6866" spans="18:18" s="2" customFormat="1" ht="12.75" x14ac:dyDescent="0.2">
      <c r="R6866" s="1288"/>
    </row>
    <row r="6867" spans="18:18" s="2" customFormat="1" ht="12.75" x14ac:dyDescent="0.2">
      <c r="R6867" s="1288"/>
    </row>
    <row r="6868" spans="18:18" s="2" customFormat="1" ht="12.75" x14ac:dyDescent="0.2">
      <c r="R6868" s="1288"/>
    </row>
    <row r="6869" spans="18:18" s="2" customFormat="1" ht="12.75" x14ac:dyDescent="0.2">
      <c r="R6869" s="1288"/>
    </row>
    <row r="6870" spans="18:18" s="2" customFormat="1" ht="12.75" x14ac:dyDescent="0.2">
      <c r="R6870" s="1288"/>
    </row>
    <row r="6871" spans="18:18" s="2" customFormat="1" ht="12.75" x14ac:dyDescent="0.2">
      <c r="R6871" s="1288"/>
    </row>
    <row r="6872" spans="18:18" s="2" customFormat="1" ht="12.75" x14ac:dyDescent="0.2">
      <c r="R6872" s="1288"/>
    </row>
    <row r="6873" spans="18:18" s="2" customFormat="1" ht="12.75" x14ac:dyDescent="0.2">
      <c r="R6873" s="1288"/>
    </row>
    <row r="6874" spans="18:18" s="2" customFormat="1" ht="12.75" x14ac:dyDescent="0.2">
      <c r="R6874" s="1288"/>
    </row>
    <row r="6875" spans="18:18" s="2" customFormat="1" ht="12.75" x14ac:dyDescent="0.2">
      <c r="R6875" s="1288"/>
    </row>
    <row r="6876" spans="18:18" s="2" customFormat="1" ht="12.75" x14ac:dyDescent="0.2">
      <c r="R6876" s="1288"/>
    </row>
    <row r="6877" spans="18:18" s="2" customFormat="1" ht="12.75" x14ac:dyDescent="0.2">
      <c r="R6877" s="1288"/>
    </row>
    <row r="6878" spans="18:18" s="2" customFormat="1" ht="12.75" x14ac:dyDescent="0.2">
      <c r="R6878" s="1288"/>
    </row>
    <row r="6879" spans="18:18" s="2" customFormat="1" ht="12.75" x14ac:dyDescent="0.2">
      <c r="R6879" s="1288"/>
    </row>
    <row r="6880" spans="18:18" s="2" customFormat="1" ht="12.75" x14ac:dyDescent="0.2">
      <c r="R6880" s="1288"/>
    </row>
    <row r="6881" spans="18:18" s="2" customFormat="1" ht="12.75" x14ac:dyDescent="0.2">
      <c r="R6881" s="1288"/>
    </row>
    <row r="6882" spans="18:18" s="2" customFormat="1" ht="12.75" x14ac:dyDescent="0.2">
      <c r="R6882" s="1288"/>
    </row>
    <row r="6883" spans="18:18" s="2" customFormat="1" ht="12.75" x14ac:dyDescent="0.2">
      <c r="R6883" s="1288"/>
    </row>
    <row r="6884" spans="18:18" s="2" customFormat="1" ht="12.75" x14ac:dyDescent="0.2">
      <c r="R6884" s="1288"/>
    </row>
    <row r="6885" spans="18:18" s="2" customFormat="1" ht="12.75" x14ac:dyDescent="0.2">
      <c r="R6885" s="1288"/>
    </row>
    <row r="6886" spans="18:18" s="2" customFormat="1" ht="12.75" x14ac:dyDescent="0.2">
      <c r="R6886" s="1288"/>
    </row>
    <row r="6887" spans="18:18" s="2" customFormat="1" ht="12.75" x14ac:dyDescent="0.2">
      <c r="R6887" s="1288"/>
    </row>
    <row r="6888" spans="18:18" s="2" customFormat="1" ht="12.75" x14ac:dyDescent="0.2">
      <c r="R6888" s="1288"/>
    </row>
    <row r="6889" spans="18:18" s="2" customFormat="1" ht="12.75" x14ac:dyDescent="0.2">
      <c r="R6889" s="1288"/>
    </row>
    <row r="6890" spans="18:18" s="2" customFormat="1" ht="12.75" x14ac:dyDescent="0.2">
      <c r="R6890" s="1288"/>
    </row>
    <row r="6891" spans="18:18" s="2" customFormat="1" ht="12.75" x14ac:dyDescent="0.2">
      <c r="R6891" s="1288"/>
    </row>
    <row r="6892" spans="18:18" s="2" customFormat="1" ht="12.75" x14ac:dyDescent="0.2">
      <c r="R6892" s="1288"/>
    </row>
    <row r="6893" spans="18:18" s="2" customFormat="1" ht="12.75" x14ac:dyDescent="0.2">
      <c r="R6893" s="1288"/>
    </row>
    <row r="6894" spans="18:18" s="2" customFormat="1" ht="12.75" x14ac:dyDescent="0.2">
      <c r="R6894" s="1288"/>
    </row>
    <row r="6895" spans="18:18" s="2" customFormat="1" ht="12.75" x14ac:dyDescent="0.2">
      <c r="R6895" s="1288"/>
    </row>
    <row r="6896" spans="18:18" s="2" customFormat="1" ht="12.75" x14ac:dyDescent="0.2">
      <c r="R6896" s="1288"/>
    </row>
    <row r="6897" spans="18:18" s="2" customFormat="1" ht="12.75" x14ac:dyDescent="0.2">
      <c r="R6897" s="1288"/>
    </row>
    <row r="6898" spans="18:18" s="2" customFormat="1" ht="12.75" x14ac:dyDescent="0.2">
      <c r="R6898" s="1288"/>
    </row>
    <row r="6899" spans="18:18" s="2" customFormat="1" ht="12.75" x14ac:dyDescent="0.2">
      <c r="R6899" s="1288"/>
    </row>
    <row r="6900" spans="18:18" s="2" customFormat="1" ht="12.75" x14ac:dyDescent="0.2">
      <c r="R6900" s="1288"/>
    </row>
    <row r="6901" spans="18:18" s="2" customFormat="1" ht="12.75" x14ac:dyDescent="0.2">
      <c r="R6901" s="1288"/>
    </row>
    <row r="6902" spans="18:18" s="2" customFormat="1" ht="12.75" x14ac:dyDescent="0.2">
      <c r="R6902" s="1288"/>
    </row>
    <row r="6903" spans="18:18" s="2" customFormat="1" ht="12.75" x14ac:dyDescent="0.2">
      <c r="R6903" s="1288"/>
    </row>
    <row r="6904" spans="18:18" s="2" customFormat="1" ht="12.75" x14ac:dyDescent="0.2">
      <c r="R6904" s="1288"/>
    </row>
    <row r="6905" spans="18:18" s="2" customFormat="1" ht="12.75" x14ac:dyDescent="0.2">
      <c r="R6905" s="1288"/>
    </row>
    <row r="6906" spans="18:18" s="2" customFormat="1" ht="12.75" x14ac:dyDescent="0.2">
      <c r="R6906" s="1288"/>
    </row>
    <row r="6907" spans="18:18" s="2" customFormat="1" ht="12.75" x14ac:dyDescent="0.2">
      <c r="R6907" s="1288"/>
    </row>
    <row r="6908" spans="18:18" s="2" customFormat="1" ht="12.75" x14ac:dyDescent="0.2">
      <c r="R6908" s="1288"/>
    </row>
    <row r="6909" spans="18:18" s="2" customFormat="1" ht="12.75" x14ac:dyDescent="0.2">
      <c r="R6909" s="1288"/>
    </row>
    <row r="6910" spans="18:18" s="2" customFormat="1" ht="12.75" x14ac:dyDescent="0.2">
      <c r="R6910" s="1288"/>
    </row>
    <row r="6911" spans="18:18" s="2" customFormat="1" ht="12.75" x14ac:dyDescent="0.2">
      <c r="R6911" s="1288"/>
    </row>
    <row r="6912" spans="18:18" s="2" customFormat="1" ht="12.75" x14ac:dyDescent="0.2">
      <c r="R6912" s="1288"/>
    </row>
    <row r="6913" spans="18:18" s="2" customFormat="1" ht="12.75" x14ac:dyDescent="0.2">
      <c r="R6913" s="1288"/>
    </row>
    <row r="6914" spans="18:18" s="2" customFormat="1" ht="12.75" x14ac:dyDescent="0.2">
      <c r="R6914" s="1288"/>
    </row>
    <row r="6915" spans="18:18" s="2" customFormat="1" ht="12.75" x14ac:dyDescent="0.2">
      <c r="R6915" s="1288"/>
    </row>
    <row r="6916" spans="18:18" s="2" customFormat="1" ht="12.75" x14ac:dyDescent="0.2">
      <c r="R6916" s="1288"/>
    </row>
    <row r="6917" spans="18:18" s="2" customFormat="1" ht="12.75" x14ac:dyDescent="0.2">
      <c r="R6917" s="1288"/>
    </row>
    <row r="6918" spans="18:18" s="2" customFormat="1" ht="12.75" x14ac:dyDescent="0.2">
      <c r="R6918" s="1288"/>
    </row>
    <row r="6919" spans="18:18" s="2" customFormat="1" ht="12.75" x14ac:dyDescent="0.2">
      <c r="R6919" s="1288"/>
    </row>
    <row r="6920" spans="18:18" s="2" customFormat="1" ht="12.75" x14ac:dyDescent="0.2">
      <c r="R6920" s="1288"/>
    </row>
    <row r="6921" spans="18:18" s="2" customFormat="1" ht="12.75" x14ac:dyDescent="0.2">
      <c r="R6921" s="1288"/>
    </row>
    <row r="6922" spans="18:18" s="2" customFormat="1" ht="12.75" x14ac:dyDescent="0.2">
      <c r="R6922" s="1288"/>
    </row>
    <row r="6923" spans="18:18" s="2" customFormat="1" ht="12.75" x14ac:dyDescent="0.2">
      <c r="R6923" s="1288"/>
    </row>
    <row r="6924" spans="18:18" s="2" customFormat="1" ht="12.75" x14ac:dyDescent="0.2">
      <c r="R6924" s="1288"/>
    </row>
    <row r="6925" spans="18:18" s="2" customFormat="1" ht="12.75" x14ac:dyDescent="0.2">
      <c r="R6925" s="1288"/>
    </row>
    <row r="6926" spans="18:18" s="2" customFormat="1" ht="12.75" x14ac:dyDescent="0.2">
      <c r="R6926" s="1288"/>
    </row>
    <row r="6927" spans="18:18" s="2" customFormat="1" ht="12.75" x14ac:dyDescent="0.2">
      <c r="R6927" s="1288"/>
    </row>
    <row r="6928" spans="18:18" s="2" customFormat="1" ht="12.75" x14ac:dyDescent="0.2">
      <c r="R6928" s="1288"/>
    </row>
    <row r="6929" spans="18:18" s="2" customFormat="1" ht="12.75" x14ac:dyDescent="0.2">
      <c r="R6929" s="1288"/>
    </row>
    <row r="6930" spans="18:18" s="2" customFormat="1" ht="12.75" x14ac:dyDescent="0.2">
      <c r="R6930" s="1288"/>
    </row>
    <row r="6931" spans="18:18" s="2" customFormat="1" ht="12.75" x14ac:dyDescent="0.2">
      <c r="R6931" s="1288"/>
    </row>
    <row r="6932" spans="18:18" s="2" customFormat="1" ht="12.75" x14ac:dyDescent="0.2">
      <c r="R6932" s="1288"/>
    </row>
    <row r="6933" spans="18:18" s="2" customFormat="1" ht="12.75" x14ac:dyDescent="0.2">
      <c r="R6933" s="1288"/>
    </row>
    <row r="6934" spans="18:18" s="2" customFormat="1" ht="12.75" x14ac:dyDescent="0.2">
      <c r="R6934" s="1288"/>
    </row>
    <row r="6935" spans="18:18" s="2" customFormat="1" ht="12.75" x14ac:dyDescent="0.2">
      <c r="R6935" s="1288"/>
    </row>
    <row r="6936" spans="18:18" s="2" customFormat="1" ht="12.75" x14ac:dyDescent="0.2">
      <c r="R6936" s="1288"/>
    </row>
    <row r="6937" spans="18:18" s="2" customFormat="1" ht="12.75" x14ac:dyDescent="0.2">
      <c r="R6937" s="1288"/>
    </row>
    <row r="6938" spans="18:18" s="2" customFormat="1" ht="12.75" x14ac:dyDescent="0.2">
      <c r="R6938" s="1288"/>
    </row>
    <row r="6939" spans="18:18" s="2" customFormat="1" ht="12.75" x14ac:dyDescent="0.2">
      <c r="R6939" s="1288"/>
    </row>
    <row r="6940" spans="18:18" s="2" customFormat="1" ht="12.75" x14ac:dyDescent="0.2">
      <c r="R6940" s="1288"/>
    </row>
    <row r="6941" spans="18:18" s="2" customFormat="1" ht="12.75" x14ac:dyDescent="0.2">
      <c r="R6941" s="1288"/>
    </row>
    <row r="6942" spans="18:18" s="2" customFormat="1" ht="12.75" x14ac:dyDescent="0.2">
      <c r="R6942" s="1288"/>
    </row>
    <row r="6943" spans="18:18" s="2" customFormat="1" ht="12.75" x14ac:dyDescent="0.2">
      <c r="R6943" s="1288"/>
    </row>
    <row r="6944" spans="18:18" s="2" customFormat="1" ht="12.75" x14ac:dyDescent="0.2">
      <c r="R6944" s="1288"/>
    </row>
    <row r="6945" spans="18:18" s="2" customFormat="1" ht="12.75" x14ac:dyDescent="0.2">
      <c r="R6945" s="1288"/>
    </row>
    <row r="6946" spans="18:18" s="2" customFormat="1" ht="12.75" x14ac:dyDescent="0.2">
      <c r="R6946" s="1288"/>
    </row>
    <row r="6947" spans="18:18" s="2" customFormat="1" ht="12.75" x14ac:dyDescent="0.2">
      <c r="R6947" s="1288"/>
    </row>
    <row r="6948" spans="18:18" s="2" customFormat="1" ht="12.75" x14ac:dyDescent="0.2">
      <c r="R6948" s="1288"/>
    </row>
    <row r="6949" spans="18:18" s="2" customFormat="1" ht="12.75" x14ac:dyDescent="0.2">
      <c r="R6949" s="1288"/>
    </row>
    <row r="6950" spans="18:18" s="2" customFormat="1" ht="12.75" x14ac:dyDescent="0.2">
      <c r="R6950" s="1288"/>
    </row>
    <row r="6951" spans="18:18" s="2" customFormat="1" ht="12.75" x14ac:dyDescent="0.2">
      <c r="R6951" s="1288"/>
    </row>
    <row r="6952" spans="18:18" s="2" customFormat="1" ht="12.75" x14ac:dyDescent="0.2">
      <c r="R6952" s="1288"/>
    </row>
    <row r="6953" spans="18:18" s="2" customFormat="1" ht="12.75" x14ac:dyDescent="0.2">
      <c r="R6953" s="1288"/>
    </row>
    <row r="6954" spans="18:18" s="2" customFormat="1" ht="12.75" x14ac:dyDescent="0.2">
      <c r="R6954" s="1288"/>
    </row>
    <row r="6955" spans="18:18" s="2" customFormat="1" ht="12.75" x14ac:dyDescent="0.2">
      <c r="R6955" s="1288"/>
    </row>
    <row r="6956" spans="18:18" s="2" customFormat="1" ht="12.75" x14ac:dyDescent="0.2">
      <c r="R6956" s="1288"/>
    </row>
    <row r="6957" spans="18:18" s="2" customFormat="1" ht="12.75" x14ac:dyDescent="0.2">
      <c r="R6957" s="1288"/>
    </row>
    <row r="6958" spans="18:18" s="2" customFormat="1" ht="12.75" x14ac:dyDescent="0.2">
      <c r="R6958" s="1288"/>
    </row>
    <row r="6959" spans="18:18" s="2" customFormat="1" ht="12.75" x14ac:dyDescent="0.2">
      <c r="R6959" s="1288"/>
    </row>
    <row r="6960" spans="18:18" s="2" customFormat="1" ht="12.75" x14ac:dyDescent="0.2">
      <c r="R6960" s="1288"/>
    </row>
    <row r="6961" spans="18:18" s="2" customFormat="1" ht="12.75" x14ac:dyDescent="0.2">
      <c r="R6961" s="1288"/>
    </row>
    <row r="6962" spans="18:18" s="2" customFormat="1" ht="12.75" x14ac:dyDescent="0.2">
      <c r="R6962" s="1288"/>
    </row>
    <row r="6963" spans="18:18" s="2" customFormat="1" ht="12.75" x14ac:dyDescent="0.2">
      <c r="R6963" s="1288"/>
    </row>
    <row r="6964" spans="18:18" s="2" customFormat="1" ht="12.75" x14ac:dyDescent="0.2">
      <c r="R6964" s="1288"/>
    </row>
    <row r="6965" spans="18:18" s="2" customFormat="1" ht="12.75" x14ac:dyDescent="0.2">
      <c r="R6965" s="1288"/>
    </row>
    <row r="6966" spans="18:18" s="2" customFormat="1" ht="12.75" x14ac:dyDescent="0.2">
      <c r="R6966" s="1288"/>
    </row>
    <row r="6967" spans="18:18" s="2" customFormat="1" ht="12.75" x14ac:dyDescent="0.2">
      <c r="R6967" s="1288"/>
    </row>
    <row r="6968" spans="18:18" s="2" customFormat="1" ht="12.75" x14ac:dyDescent="0.2">
      <c r="R6968" s="1288"/>
    </row>
    <row r="6969" spans="18:18" s="2" customFormat="1" ht="12.75" x14ac:dyDescent="0.2">
      <c r="R6969" s="1288"/>
    </row>
    <row r="6970" spans="18:18" s="2" customFormat="1" ht="12.75" x14ac:dyDescent="0.2">
      <c r="R6970" s="1288"/>
    </row>
    <row r="6971" spans="18:18" s="2" customFormat="1" ht="12.75" x14ac:dyDescent="0.2">
      <c r="R6971" s="1288"/>
    </row>
    <row r="6972" spans="18:18" s="2" customFormat="1" ht="12.75" x14ac:dyDescent="0.2">
      <c r="R6972" s="1288"/>
    </row>
    <row r="6973" spans="18:18" s="2" customFormat="1" ht="12.75" x14ac:dyDescent="0.2">
      <c r="R6973" s="1288"/>
    </row>
    <row r="6974" spans="18:18" s="2" customFormat="1" ht="12.75" x14ac:dyDescent="0.2">
      <c r="R6974" s="1288"/>
    </row>
    <row r="6975" spans="18:18" s="2" customFormat="1" ht="12.75" x14ac:dyDescent="0.2">
      <c r="R6975" s="1288"/>
    </row>
    <row r="6976" spans="18:18" s="2" customFormat="1" ht="12.75" x14ac:dyDescent="0.2">
      <c r="R6976" s="1288"/>
    </row>
    <row r="6977" spans="18:18" s="2" customFormat="1" ht="12.75" x14ac:dyDescent="0.2">
      <c r="R6977" s="1288"/>
    </row>
    <row r="6978" spans="18:18" s="2" customFormat="1" ht="12.75" x14ac:dyDescent="0.2">
      <c r="R6978" s="1288"/>
    </row>
    <row r="6979" spans="18:18" s="2" customFormat="1" ht="12.75" x14ac:dyDescent="0.2">
      <c r="R6979" s="1288"/>
    </row>
    <row r="6980" spans="18:18" s="2" customFormat="1" ht="12.75" x14ac:dyDescent="0.2">
      <c r="R6980" s="1288"/>
    </row>
    <row r="6981" spans="18:18" s="2" customFormat="1" ht="12.75" x14ac:dyDescent="0.2">
      <c r="R6981" s="1288"/>
    </row>
    <row r="6982" spans="18:18" s="2" customFormat="1" ht="12.75" x14ac:dyDescent="0.2">
      <c r="R6982" s="1288"/>
    </row>
    <row r="6983" spans="18:18" s="2" customFormat="1" ht="12.75" x14ac:dyDescent="0.2">
      <c r="R6983" s="1288"/>
    </row>
    <row r="6984" spans="18:18" s="2" customFormat="1" ht="12.75" x14ac:dyDescent="0.2">
      <c r="R6984" s="1288"/>
    </row>
    <row r="6985" spans="18:18" s="2" customFormat="1" ht="12.75" x14ac:dyDescent="0.2">
      <c r="R6985" s="1288"/>
    </row>
    <row r="6986" spans="18:18" s="2" customFormat="1" ht="12.75" x14ac:dyDescent="0.2">
      <c r="R6986" s="1288"/>
    </row>
    <row r="6987" spans="18:18" s="2" customFormat="1" ht="12.75" x14ac:dyDescent="0.2">
      <c r="R6987" s="1288"/>
    </row>
    <row r="6988" spans="18:18" s="2" customFormat="1" ht="12.75" x14ac:dyDescent="0.2">
      <c r="R6988" s="1288"/>
    </row>
    <row r="6989" spans="18:18" s="2" customFormat="1" ht="12.75" x14ac:dyDescent="0.2">
      <c r="R6989" s="1288"/>
    </row>
    <row r="6990" spans="18:18" s="2" customFormat="1" ht="12.75" x14ac:dyDescent="0.2">
      <c r="R6990" s="1288"/>
    </row>
    <row r="6991" spans="18:18" s="2" customFormat="1" ht="12.75" x14ac:dyDescent="0.2">
      <c r="R6991" s="1288"/>
    </row>
    <row r="6992" spans="18:18" s="2" customFormat="1" ht="12.75" x14ac:dyDescent="0.2">
      <c r="R6992" s="1288"/>
    </row>
    <row r="6993" spans="18:18" s="2" customFormat="1" ht="12.75" x14ac:dyDescent="0.2">
      <c r="R6993" s="1288"/>
    </row>
    <row r="6994" spans="18:18" s="2" customFormat="1" ht="12.75" x14ac:dyDescent="0.2">
      <c r="R6994" s="1288"/>
    </row>
    <row r="6995" spans="18:18" s="2" customFormat="1" ht="12.75" x14ac:dyDescent="0.2">
      <c r="R6995" s="1288"/>
    </row>
    <row r="6996" spans="18:18" s="2" customFormat="1" ht="12.75" x14ac:dyDescent="0.2">
      <c r="R6996" s="1288"/>
    </row>
    <row r="6997" spans="18:18" s="2" customFormat="1" ht="12.75" x14ac:dyDescent="0.2">
      <c r="R6997" s="1288"/>
    </row>
    <row r="6998" spans="18:18" s="2" customFormat="1" ht="12.75" x14ac:dyDescent="0.2">
      <c r="R6998" s="1288"/>
    </row>
    <row r="6999" spans="18:18" s="2" customFormat="1" ht="12.75" x14ac:dyDescent="0.2">
      <c r="R6999" s="1288"/>
    </row>
    <row r="7000" spans="18:18" s="2" customFormat="1" ht="12.75" x14ac:dyDescent="0.2">
      <c r="R7000" s="1288"/>
    </row>
    <row r="7001" spans="18:18" s="2" customFormat="1" ht="12.75" x14ac:dyDescent="0.2">
      <c r="R7001" s="1288"/>
    </row>
    <row r="7002" spans="18:18" s="2" customFormat="1" ht="12.75" x14ac:dyDescent="0.2">
      <c r="R7002" s="1288"/>
    </row>
    <row r="7003" spans="18:18" s="2" customFormat="1" ht="12.75" x14ac:dyDescent="0.2">
      <c r="R7003" s="1288"/>
    </row>
    <row r="7004" spans="18:18" s="2" customFormat="1" ht="12.75" x14ac:dyDescent="0.2">
      <c r="R7004" s="1288"/>
    </row>
    <row r="7005" spans="18:18" s="2" customFormat="1" ht="12.75" x14ac:dyDescent="0.2">
      <c r="R7005" s="1288"/>
    </row>
    <row r="7006" spans="18:18" s="2" customFormat="1" ht="12.75" x14ac:dyDescent="0.2">
      <c r="R7006" s="1288"/>
    </row>
    <row r="7007" spans="18:18" s="2" customFormat="1" ht="12.75" x14ac:dyDescent="0.2">
      <c r="R7007" s="1288"/>
    </row>
    <row r="7008" spans="18:18" s="2" customFormat="1" ht="12.75" x14ac:dyDescent="0.2">
      <c r="R7008" s="1288"/>
    </row>
    <row r="7009" spans="18:18" s="2" customFormat="1" ht="12.75" x14ac:dyDescent="0.2">
      <c r="R7009" s="1288"/>
    </row>
    <row r="7010" spans="18:18" s="2" customFormat="1" ht="12.75" x14ac:dyDescent="0.2">
      <c r="R7010" s="1288"/>
    </row>
    <row r="7011" spans="18:18" s="2" customFormat="1" ht="12.75" x14ac:dyDescent="0.2">
      <c r="R7011" s="1288"/>
    </row>
    <row r="7012" spans="18:18" s="2" customFormat="1" ht="12.75" x14ac:dyDescent="0.2">
      <c r="R7012" s="1288"/>
    </row>
    <row r="7013" spans="18:18" s="2" customFormat="1" ht="12.75" x14ac:dyDescent="0.2">
      <c r="R7013" s="1288"/>
    </row>
    <row r="7014" spans="18:18" s="2" customFormat="1" ht="12.75" x14ac:dyDescent="0.2">
      <c r="R7014" s="1288"/>
    </row>
    <row r="7015" spans="18:18" s="2" customFormat="1" ht="12.75" x14ac:dyDescent="0.2">
      <c r="R7015" s="1288"/>
    </row>
    <row r="7016" spans="18:18" s="2" customFormat="1" ht="12.75" x14ac:dyDescent="0.2">
      <c r="R7016" s="1288"/>
    </row>
    <row r="7017" spans="18:18" s="2" customFormat="1" ht="12.75" x14ac:dyDescent="0.2">
      <c r="R7017" s="1288"/>
    </row>
    <row r="7018" spans="18:18" s="2" customFormat="1" ht="12.75" x14ac:dyDescent="0.2">
      <c r="R7018" s="1288"/>
    </row>
    <row r="7019" spans="18:18" s="2" customFormat="1" ht="12.75" x14ac:dyDescent="0.2">
      <c r="R7019" s="1288"/>
    </row>
    <row r="7020" spans="18:18" s="2" customFormat="1" ht="12.75" x14ac:dyDescent="0.2">
      <c r="R7020" s="1288"/>
    </row>
    <row r="7021" spans="18:18" s="2" customFormat="1" ht="12.75" x14ac:dyDescent="0.2">
      <c r="R7021" s="1288"/>
    </row>
    <row r="7022" spans="18:18" s="2" customFormat="1" ht="12.75" x14ac:dyDescent="0.2">
      <c r="R7022" s="1288"/>
    </row>
    <row r="7023" spans="18:18" s="2" customFormat="1" ht="12.75" x14ac:dyDescent="0.2">
      <c r="R7023" s="1288"/>
    </row>
    <row r="7024" spans="18:18" s="2" customFormat="1" ht="12.75" x14ac:dyDescent="0.2">
      <c r="R7024" s="1288"/>
    </row>
    <row r="7025" spans="18:18" s="2" customFormat="1" ht="12.75" x14ac:dyDescent="0.2">
      <c r="R7025" s="1288"/>
    </row>
    <row r="7026" spans="18:18" s="2" customFormat="1" ht="12.75" x14ac:dyDescent="0.2">
      <c r="R7026" s="1288"/>
    </row>
    <row r="7027" spans="18:18" s="2" customFormat="1" ht="12.75" x14ac:dyDescent="0.2">
      <c r="R7027" s="1288"/>
    </row>
    <row r="7028" spans="18:18" s="2" customFormat="1" ht="12.75" x14ac:dyDescent="0.2">
      <c r="R7028" s="1288"/>
    </row>
    <row r="7029" spans="18:18" s="2" customFormat="1" ht="12.75" x14ac:dyDescent="0.2">
      <c r="R7029" s="1288"/>
    </row>
    <row r="7030" spans="18:18" s="2" customFormat="1" ht="12.75" x14ac:dyDescent="0.2">
      <c r="R7030" s="1288"/>
    </row>
    <row r="7031" spans="18:18" s="2" customFormat="1" ht="12.75" x14ac:dyDescent="0.2">
      <c r="R7031" s="1288"/>
    </row>
    <row r="7032" spans="18:18" s="2" customFormat="1" ht="12.75" x14ac:dyDescent="0.2">
      <c r="R7032" s="1288"/>
    </row>
    <row r="7033" spans="18:18" s="2" customFormat="1" ht="12.75" x14ac:dyDescent="0.2">
      <c r="R7033" s="1288"/>
    </row>
    <row r="7034" spans="18:18" s="2" customFormat="1" ht="12.75" x14ac:dyDescent="0.2">
      <c r="R7034" s="1288"/>
    </row>
    <row r="7035" spans="18:18" s="2" customFormat="1" ht="12.75" x14ac:dyDescent="0.2">
      <c r="R7035" s="1288"/>
    </row>
    <row r="7036" spans="18:18" s="2" customFormat="1" ht="12.75" x14ac:dyDescent="0.2">
      <c r="R7036" s="1288"/>
    </row>
    <row r="7037" spans="18:18" s="2" customFormat="1" ht="12.75" x14ac:dyDescent="0.2">
      <c r="R7037" s="1288"/>
    </row>
    <row r="7038" spans="18:18" s="2" customFormat="1" ht="12.75" x14ac:dyDescent="0.2">
      <c r="R7038" s="1288"/>
    </row>
    <row r="7039" spans="18:18" s="2" customFormat="1" ht="12.75" x14ac:dyDescent="0.2">
      <c r="R7039" s="1288"/>
    </row>
    <row r="7040" spans="18:18" s="2" customFormat="1" ht="12.75" x14ac:dyDescent="0.2">
      <c r="R7040" s="1288"/>
    </row>
    <row r="7041" spans="18:18" s="2" customFormat="1" ht="12.75" x14ac:dyDescent="0.2">
      <c r="R7041" s="1288"/>
    </row>
    <row r="7042" spans="18:18" s="2" customFormat="1" ht="12.75" x14ac:dyDescent="0.2">
      <c r="R7042" s="1288"/>
    </row>
    <row r="7043" spans="18:18" s="2" customFormat="1" ht="12.75" x14ac:dyDescent="0.2">
      <c r="R7043" s="1288"/>
    </row>
    <row r="7044" spans="18:18" s="2" customFormat="1" ht="12.75" x14ac:dyDescent="0.2">
      <c r="R7044" s="1288"/>
    </row>
    <row r="7045" spans="18:18" s="2" customFormat="1" ht="12.75" x14ac:dyDescent="0.2">
      <c r="R7045" s="1288"/>
    </row>
    <row r="7046" spans="18:18" s="2" customFormat="1" ht="12.75" x14ac:dyDescent="0.2">
      <c r="R7046" s="1288"/>
    </row>
    <row r="7047" spans="18:18" s="2" customFormat="1" ht="12.75" x14ac:dyDescent="0.2">
      <c r="R7047" s="1288"/>
    </row>
    <row r="7048" spans="18:18" s="2" customFormat="1" ht="12.75" x14ac:dyDescent="0.2">
      <c r="R7048" s="1288"/>
    </row>
    <row r="7049" spans="18:18" s="2" customFormat="1" ht="12.75" x14ac:dyDescent="0.2">
      <c r="R7049" s="1288"/>
    </row>
    <row r="7050" spans="18:18" s="2" customFormat="1" ht="12.75" x14ac:dyDescent="0.2">
      <c r="R7050" s="1288"/>
    </row>
    <row r="7051" spans="18:18" s="2" customFormat="1" ht="12.75" x14ac:dyDescent="0.2">
      <c r="R7051" s="1288"/>
    </row>
    <row r="7052" spans="18:18" s="2" customFormat="1" ht="12.75" x14ac:dyDescent="0.2">
      <c r="R7052" s="1288"/>
    </row>
    <row r="7053" spans="18:18" s="2" customFormat="1" ht="12.75" x14ac:dyDescent="0.2">
      <c r="R7053" s="1288"/>
    </row>
    <row r="7054" spans="18:18" s="2" customFormat="1" ht="12.75" x14ac:dyDescent="0.2">
      <c r="R7054" s="1288"/>
    </row>
    <row r="7055" spans="18:18" s="2" customFormat="1" ht="12.75" x14ac:dyDescent="0.2">
      <c r="R7055" s="1288"/>
    </row>
    <row r="7056" spans="18:18" s="2" customFormat="1" ht="12.75" x14ac:dyDescent="0.2">
      <c r="R7056" s="1288"/>
    </row>
    <row r="7057" spans="18:18" s="2" customFormat="1" ht="12.75" x14ac:dyDescent="0.2">
      <c r="R7057" s="1288"/>
    </row>
    <row r="7058" spans="18:18" s="2" customFormat="1" ht="12.75" x14ac:dyDescent="0.2">
      <c r="R7058" s="1288"/>
    </row>
    <row r="7059" spans="18:18" s="2" customFormat="1" ht="12.75" x14ac:dyDescent="0.2">
      <c r="R7059" s="1288"/>
    </row>
    <row r="7060" spans="18:18" s="2" customFormat="1" ht="12.75" x14ac:dyDescent="0.2">
      <c r="R7060" s="1288"/>
    </row>
    <row r="7061" spans="18:18" s="2" customFormat="1" ht="12.75" x14ac:dyDescent="0.2">
      <c r="R7061" s="1288"/>
    </row>
    <row r="7062" spans="18:18" s="2" customFormat="1" ht="12.75" x14ac:dyDescent="0.2">
      <c r="R7062" s="1288"/>
    </row>
    <row r="7063" spans="18:18" s="2" customFormat="1" ht="12.75" x14ac:dyDescent="0.2">
      <c r="R7063" s="1288"/>
    </row>
    <row r="7064" spans="18:18" s="2" customFormat="1" ht="12.75" x14ac:dyDescent="0.2">
      <c r="R7064" s="1288"/>
    </row>
    <row r="7065" spans="18:18" s="2" customFormat="1" ht="12.75" x14ac:dyDescent="0.2">
      <c r="R7065" s="1288"/>
    </row>
    <row r="7066" spans="18:18" s="2" customFormat="1" ht="12.75" x14ac:dyDescent="0.2">
      <c r="R7066" s="1288"/>
    </row>
    <row r="7067" spans="18:18" s="2" customFormat="1" ht="12.75" x14ac:dyDescent="0.2">
      <c r="R7067" s="1288"/>
    </row>
    <row r="7068" spans="18:18" s="2" customFormat="1" ht="12.75" x14ac:dyDescent="0.2">
      <c r="R7068" s="1288"/>
    </row>
    <row r="7069" spans="18:18" s="2" customFormat="1" ht="12.75" x14ac:dyDescent="0.2">
      <c r="R7069" s="1288"/>
    </row>
    <row r="7070" spans="18:18" s="2" customFormat="1" ht="12.75" x14ac:dyDescent="0.2">
      <c r="R7070" s="1288"/>
    </row>
    <row r="7071" spans="18:18" s="2" customFormat="1" ht="12.75" x14ac:dyDescent="0.2">
      <c r="R7071" s="1288"/>
    </row>
    <row r="7072" spans="18:18" s="2" customFormat="1" ht="12.75" x14ac:dyDescent="0.2">
      <c r="R7072" s="1288"/>
    </row>
    <row r="7073" spans="18:18" s="2" customFormat="1" ht="12.75" x14ac:dyDescent="0.2">
      <c r="R7073" s="1288"/>
    </row>
    <row r="7074" spans="18:18" s="2" customFormat="1" ht="12.75" x14ac:dyDescent="0.2">
      <c r="R7074" s="1288"/>
    </row>
    <row r="7075" spans="18:18" s="2" customFormat="1" ht="12.75" x14ac:dyDescent="0.2">
      <c r="R7075" s="1288"/>
    </row>
    <row r="7076" spans="18:18" s="2" customFormat="1" ht="12.75" x14ac:dyDescent="0.2">
      <c r="R7076" s="1288"/>
    </row>
    <row r="7077" spans="18:18" s="2" customFormat="1" ht="12.75" x14ac:dyDescent="0.2">
      <c r="R7077" s="1288"/>
    </row>
    <row r="7078" spans="18:18" s="2" customFormat="1" ht="12.75" x14ac:dyDescent="0.2">
      <c r="R7078" s="1288"/>
    </row>
    <row r="7079" spans="18:18" s="2" customFormat="1" ht="12.75" x14ac:dyDescent="0.2">
      <c r="R7079" s="1288"/>
    </row>
    <row r="7080" spans="18:18" s="2" customFormat="1" ht="12.75" x14ac:dyDescent="0.2">
      <c r="R7080" s="1288"/>
    </row>
    <row r="7081" spans="18:18" s="2" customFormat="1" ht="12.75" x14ac:dyDescent="0.2">
      <c r="R7081" s="1288"/>
    </row>
    <row r="7082" spans="18:18" s="2" customFormat="1" ht="12.75" x14ac:dyDescent="0.2">
      <c r="R7082" s="1288"/>
    </row>
    <row r="7083" spans="18:18" s="2" customFormat="1" ht="12.75" x14ac:dyDescent="0.2">
      <c r="R7083" s="1288"/>
    </row>
    <row r="7084" spans="18:18" s="2" customFormat="1" ht="12.75" x14ac:dyDescent="0.2">
      <c r="R7084" s="1288"/>
    </row>
    <row r="7085" spans="18:18" s="2" customFormat="1" ht="12.75" x14ac:dyDescent="0.2">
      <c r="R7085" s="1288"/>
    </row>
    <row r="7086" spans="18:18" s="2" customFormat="1" ht="12.75" x14ac:dyDescent="0.2">
      <c r="R7086" s="1288"/>
    </row>
    <row r="7087" spans="18:18" s="2" customFormat="1" ht="12.75" x14ac:dyDescent="0.2">
      <c r="R7087" s="1288"/>
    </row>
    <row r="7088" spans="18:18" s="2" customFormat="1" ht="12.75" x14ac:dyDescent="0.2">
      <c r="R7088" s="1288"/>
    </row>
    <row r="7089" spans="18:18" s="2" customFormat="1" ht="12.75" x14ac:dyDescent="0.2">
      <c r="R7089" s="1288"/>
    </row>
    <row r="7090" spans="18:18" s="2" customFormat="1" ht="12.75" x14ac:dyDescent="0.2">
      <c r="R7090" s="1288"/>
    </row>
    <row r="7091" spans="18:18" s="2" customFormat="1" ht="12.75" x14ac:dyDescent="0.2">
      <c r="R7091" s="1288"/>
    </row>
    <row r="7092" spans="18:18" s="2" customFormat="1" ht="12.75" x14ac:dyDescent="0.2">
      <c r="R7092" s="1288"/>
    </row>
    <row r="7093" spans="18:18" s="2" customFormat="1" ht="12.75" x14ac:dyDescent="0.2">
      <c r="R7093" s="1288"/>
    </row>
    <row r="7094" spans="18:18" s="2" customFormat="1" ht="12.75" x14ac:dyDescent="0.2">
      <c r="R7094" s="1288"/>
    </row>
    <row r="7095" spans="18:18" s="2" customFormat="1" ht="12.75" x14ac:dyDescent="0.2">
      <c r="R7095" s="1288"/>
    </row>
    <row r="7096" spans="18:18" s="2" customFormat="1" ht="12.75" x14ac:dyDescent="0.2">
      <c r="R7096" s="1288"/>
    </row>
    <row r="7097" spans="18:18" s="2" customFormat="1" ht="12.75" x14ac:dyDescent="0.2">
      <c r="R7097" s="1288"/>
    </row>
    <row r="7098" spans="18:18" s="2" customFormat="1" ht="12.75" x14ac:dyDescent="0.2">
      <c r="R7098" s="1288"/>
    </row>
    <row r="7099" spans="18:18" s="2" customFormat="1" ht="12.75" x14ac:dyDescent="0.2">
      <c r="R7099" s="1288"/>
    </row>
    <row r="7100" spans="18:18" s="2" customFormat="1" ht="12.75" x14ac:dyDescent="0.2">
      <c r="R7100" s="1288"/>
    </row>
    <row r="7101" spans="18:18" s="2" customFormat="1" ht="12.75" x14ac:dyDescent="0.2">
      <c r="R7101" s="1288"/>
    </row>
    <row r="7102" spans="18:18" s="2" customFormat="1" ht="12.75" x14ac:dyDescent="0.2">
      <c r="R7102" s="1288"/>
    </row>
    <row r="7103" spans="18:18" s="2" customFormat="1" ht="12.75" x14ac:dyDescent="0.2">
      <c r="R7103" s="1288"/>
    </row>
    <row r="7104" spans="18:18" s="2" customFormat="1" ht="12.75" x14ac:dyDescent="0.2">
      <c r="R7104" s="1288"/>
    </row>
    <row r="7105" spans="18:18" s="2" customFormat="1" ht="12.75" x14ac:dyDescent="0.2">
      <c r="R7105" s="1288"/>
    </row>
    <row r="7106" spans="18:18" s="2" customFormat="1" ht="12.75" x14ac:dyDescent="0.2">
      <c r="R7106" s="1288"/>
    </row>
    <row r="7107" spans="18:18" s="2" customFormat="1" ht="12.75" x14ac:dyDescent="0.2">
      <c r="R7107" s="1288"/>
    </row>
    <row r="7108" spans="18:18" s="2" customFormat="1" ht="12.75" x14ac:dyDescent="0.2">
      <c r="R7108" s="1288"/>
    </row>
    <row r="7109" spans="18:18" s="2" customFormat="1" ht="12.75" x14ac:dyDescent="0.2">
      <c r="R7109" s="1288"/>
    </row>
    <row r="7110" spans="18:18" s="2" customFormat="1" ht="12.75" x14ac:dyDescent="0.2">
      <c r="R7110" s="1288"/>
    </row>
    <row r="7111" spans="18:18" s="2" customFormat="1" ht="12.75" x14ac:dyDescent="0.2">
      <c r="R7111" s="1288"/>
    </row>
    <row r="7112" spans="18:18" s="2" customFormat="1" ht="12.75" x14ac:dyDescent="0.2">
      <c r="R7112" s="1288"/>
    </row>
    <row r="7113" spans="18:18" s="2" customFormat="1" ht="12.75" x14ac:dyDescent="0.2">
      <c r="R7113" s="1288"/>
    </row>
    <row r="7114" spans="18:18" s="2" customFormat="1" ht="12.75" x14ac:dyDescent="0.2">
      <c r="R7114" s="1288"/>
    </row>
    <row r="7115" spans="18:18" s="2" customFormat="1" ht="12.75" x14ac:dyDescent="0.2">
      <c r="R7115" s="1288"/>
    </row>
    <row r="7116" spans="18:18" s="2" customFormat="1" ht="12.75" x14ac:dyDescent="0.2">
      <c r="R7116" s="1288"/>
    </row>
    <row r="7117" spans="18:18" s="2" customFormat="1" ht="12.75" x14ac:dyDescent="0.2">
      <c r="R7117" s="1288"/>
    </row>
    <row r="7118" spans="18:18" s="2" customFormat="1" ht="12.75" x14ac:dyDescent="0.2">
      <c r="R7118" s="1288"/>
    </row>
    <row r="7119" spans="18:18" s="2" customFormat="1" ht="12.75" x14ac:dyDescent="0.2">
      <c r="R7119" s="1288"/>
    </row>
    <row r="7120" spans="18:18" s="2" customFormat="1" ht="12.75" x14ac:dyDescent="0.2">
      <c r="R7120" s="1288"/>
    </row>
    <row r="7121" spans="18:18" s="2" customFormat="1" ht="12.75" x14ac:dyDescent="0.2">
      <c r="R7121" s="1288"/>
    </row>
    <row r="7122" spans="18:18" s="2" customFormat="1" ht="12.75" x14ac:dyDescent="0.2">
      <c r="R7122" s="1288"/>
    </row>
    <row r="7123" spans="18:18" s="2" customFormat="1" ht="12.75" x14ac:dyDescent="0.2">
      <c r="R7123" s="1288"/>
    </row>
    <row r="7124" spans="18:18" s="2" customFormat="1" ht="12.75" x14ac:dyDescent="0.2">
      <c r="R7124" s="1288"/>
    </row>
    <row r="7125" spans="18:18" s="2" customFormat="1" ht="12.75" x14ac:dyDescent="0.2">
      <c r="R7125" s="1288"/>
    </row>
    <row r="7126" spans="18:18" s="2" customFormat="1" ht="12.75" x14ac:dyDescent="0.2">
      <c r="R7126" s="1288"/>
    </row>
    <row r="7127" spans="18:18" s="2" customFormat="1" ht="12.75" x14ac:dyDescent="0.2">
      <c r="R7127" s="1288"/>
    </row>
    <row r="7128" spans="18:18" s="2" customFormat="1" ht="12.75" x14ac:dyDescent="0.2">
      <c r="R7128" s="1288"/>
    </row>
    <row r="7129" spans="18:18" s="2" customFormat="1" ht="12.75" x14ac:dyDescent="0.2">
      <c r="R7129" s="1288"/>
    </row>
    <row r="7130" spans="18:18" s="2" customFormat="1" ht="12.75" x14ac:dyDescent="0.2">
      <c r="R7130" s="1288"/>
    </row>
    <row r="7131" spans="18:18" s="2" customFormat="1" ht="12.75" x14ac:dyDescent="0.2">
      <c r="R7131" s="1288"/>
    </row>
    <row r="7132" spans="18:18" s="2" customFormat="1" ht="12.75" x14ac:dyDescent="0.2">
      <c r="R7132" s="1288"/>
    </row>
    <row r="7133" spans="18:18" s="2" customFormat="1" ht="12.75" x14ac:dyDescent="0.2">
      <c r="R7133" s="1288"/>
    </row>
    <row r="7134" spans="18:18" s="2" customFormat="1" ht="12.75" x14ac:dyDescent="0.2">
      <c r="R7134" s="1288"/>
    </row>
    <row r="7135" spans="18:18" s="2" customFormat="1" ht="12.75" x14ac:dyDescent="0.2">
      <c r="R7135" s="1288"/>
    </row>
    <row r="7136" spans="18:18" s="2" customFormat="1" ht="12.75" x14ac:dyDescent="0.2">
      <c r="R7136" s="1288"/>
    </row>
    <row r="7137" spans="18:18" s="2" customFormat="1" ht="12.75" x14ac:dyDescent="0.2">
      <c r="R7137" s="1288"/>
    </row>
    <row r="7138" spans="18:18" s="2" customFormat="1" ht="12.75" x14ac:dyDescent="0.2">
      <c r="R7138" s="1288"/>
    </row>
    <row r="7139" spans="18:18" s="2" customFormat="1" ht="12.75" x14ac:dyDescent="0.2">
      <c r="R7139" s="1288"/>
    </row>
    <row r="7140" spans="18:18" s="2" customFormat="1" ht="12.75" x14ac:dyDescent="0.2">
      <c r="R7140" s="1288"/>
    </row>
    <row r="7141" spans="18:18" s="2" customFormat="1" ht="12.75" x14ac:dyDescent="0.2">
      <c r="R7141" s="1288"/>
    </row>
    <row r="7142" spans="18:18" s="2" customFormat="1" ht="12.75" x14ac:dyDescent="0.2">
      <c r="R7142" s="1288"/>
    </row>
    <row r="7143" spans="18:18" s="2" customFormat="1" ht="12.75" x14ac:dyDescent="0.2">
      <c r="R7143" s="1288"/>
    </row>
    <row r="7144" spans="18:18" s="2" customFormat="1" ht="12.75" x14ac:dyDescent="0.2">
      <c r="R7144" s="1288"/>
    </row>
    <row r="7145" spans="18:18" s="2" customFormat="1" ht="12.75" x14ac:dyDescent="0.2">
      <c r="R7145" s="1288"/>
    </row>
    <row r="7146" spans="18:18" s="2" customFormat="1" ht="12.75" x14ac:dyDescent="0.2">
      <c r="R7146" s="1288"/>
    </row>
    <row r="7147" spans="18:18" s="2" customFormat="1" ht="12.75" x14ac:dyDescent="0.2">
      <c r="R7147" s="1288"/>
    </row>
    <row r="7148" spans="18:18" s="2" customFormat="1" ht="12.75" x14ac:dyDescent="0.2">
      <c r="R7148" s="1288"/>
    </row>
    <row r="7149" spans="18:18" s="2" customFormat="1" ht="12.75" x14ac:dyDescent="0.2">
      <c r="R7149" s="1288"/>
    </row>
    <row r="7150" spans="18:18" s="2" customFormat="1" ht="12.75" x14ac:dyDescent="0.2">
      <c r="R7150" s="1288"/>
    </row>
    <row r="7151" spans="18:18" s="2" customFormat="1" ht="12.75" x14ac:dyDescent="0.2">
      <c r="R7151" s="1288"/>
    </row>
    <row r="7152" spans="18:18" s="2" customFormat="1" ht="12.75" x14ac:dyDescent="0.2">
      <c r="R7152" s="1288"/>
    </row>
    <row r="7153" spans="18:18" s="2" customFormat="1" ht="12.75" x14ac:dyDescent="0.2">
      <c r="R7153" s="1288"/>
    </row>
    <row r="7154" spans="18:18" s="2" customFormat="1" ht="12.75" x14ac:dyDescent="0.2">
      <c r="R7154" s="1288"/>
    </row>
    <row r="7155" spans="18:18" s="2" customFormat="1" ht="12.75" x14ac:dyDescent="0.2">
      <c r="R7155" s="1288"/>
    </row>
    <row r="7156" spans="18:18" s="2" customFormat="1" ht="12.75" x14ac:dyDescent="0.2">
      <c r="R7156" s="1288"/>
    </row>
    <row r="7157" spans="18:18" s="2" customFormat="1" ht="12.75" x14ac:dyDescent="0.2">
      <c r="R7157" s="1288"/>
    </row>
    <row r="7158" spans="18:18" s="2" customFormat="1" ht="12.75" x14ac:dyDescent="0.2">
      <c r="R7158" s="1288"/>
    </row>
    <row r="7159" spans="18:18" s="2" customFormat="1" ht="12.75" x14ac:dyDescent="0.2">
      <c r="R7159" s="1288"/>
    </row>
    <row r="7160" spans="18:18" s="2" customFormat="1" ht="12.75" x14ac:dyDescent="0.2">
      <c r="R7160" s="1288"/>
    </row>
    <row r="7161" spans="18:18" s="2" customFormat="1" ht="12.75" x14ac:dyDescent="0.2">
      <c r="R7161" s="1288"/>
    </row>
    <row r="7162" spans="18:18" s="2" customFormat="1" ht="12.75" x14ac:dyDescent="0.2">
      <c r="R7162" s="1288"/>
    </row>
    <row r="7163" spans="18:18" s="2" customFormat="1" ht="12.75" x14ac:dyDescent="0.2">
      <c r="R7163" s="1288"/>
    </row>
    <row r="7164" spans="18:18" s="2" customFormat="1" ht="12.75" x14ac:dyDescent="0.2">
      <c r="R7164" s="1288"/>
    </row>
    <row r="7165" spans="18:18" s="2" customFormat="1" ht="12.75" x14ac:dyDescent="0.2">
      <c r="R7165" s="1288"/>
    </row>
    <row r="7166" spans="18:18" s="2" customFormat="1" ht="12.75" x14ac:dyDescent="0.2">
      <c r="R7166" s="1288"/>
    </row>
    <row r="7167" spans="18:18" s="2" customFormat="1" ht="12.75" x14ac:dyDescent="0.2">
      <c r="R7167" s="1288"/>
    </row>
    <row r="7168" spans="18:18" s="2" customFormat="1" ht="12.75" x14ac:dyDescent="0.2">
      <c r="R7168" s="1288"/>
    </row>
    <row r="7169" spans="18:18" s="2" customFormat="1" ht="12.75" x14ac:dyDescent="0.2">
      <c r="R7169" s="1288"/>
    </row>
    <row r="7170" spans="18:18" s="2" customFormat="1" ht="12.75" x14ac:dyDescent="0.2">
      <c r="R7170" s="1288"/>
    </row>
    <row r="7171" spans="18:18" s="2" customFormat="1" ht="12.75" x14ac:dyDescent="0.2">
      <c r="R7171" s="1288"/>
    </row>
    <row r="7172" spans="18:18" s="2" customFormat="1" ht="12.75" x14ac:dyDescent="0.2">
      <c r="R7172" s="1288"/>
    </row>
    <row r="7173" spans="18:18" s="2" customFormat="1" ht="12.75" x14ac:dyDescent="0.2">
      <c r="R7173" s="1288"/>
    </row>
    <row r="7174" spans="18:18" s="2" customFormat="1" ht="12.75" x14ac:dyDescent="0.2">
      <c r="R7174" s="1288"/>
    </row>
    <row r="7175" spans="18:18" s="2" customFormat="1" ht="12.75" x14ac:dyDescent="0.2">
      <c r="R7175" s="1288"/>
    </row>
    <row r="7176" spans="18:18" s="2" customFormat="1" ht="12.75" x14ac:dyDescent="0.2">
      <c r="R7176" s="1288"/>
    </row>
    <row r="7177" spans="18:18" s="2" customFormat="1" ht="12.75" x14ac:dyDescent="0.2">
      <c r="R7177" s="1288"/>
    </row>
    <row r="7178" spans="18:18" s="2" customFormat="1" ht="12.75" x14ac:dyDescent="0.2">
      <c r="R7178" s="1288"/>
    </row>
    <row r="7179" spans="18:18" s="2" customFormat="1" ht="12.75" x14ac:dyDescent="0.2">
      <c r="R7179" s="1288"/>
    </row>
    <row r="7180" spans="18:18" s="2" customFormat="1" ht="12.75" x14ac:dyDescent="0.2">
      <c r="R7180" s="1288"/>
    </row>
    <row r="7181" spans="18:18" s="2" customFormat="1" ht="12.75" x14ac:dyDescent="0.2">
      <c r="R7181" s="1288"/>
    </row>
    <row r="7182" spans="18:18" s="2" customFormat="1" ht="12.75" x14ac:dyDescent="0.2">
      <c r="R7182" s="1288"/>
    </row>
    <row r="7183" spans="18:18" s="2" customFormat="1" ht="12.75" x14ac:dyDescent="0.2">
      <c r="R7183" s="1288"/>
    </row>
    <row r="7184" spans="18:18" s="2" customFormat="1" ht="12.75" x14ac:dyDescent="0.2">
      <c r="R7184" s="1288"/>
    </row>
    <row r="7185" spans="18:18" s="2" customFormat="1" ht="12.75" x14ac:dyDescent="0.2">
      <c r="R7185" s="1288"/>
    </row>
    <row r="7186" spans="18:18" s="2" customFormat="1" ht="12.75" x14ac:dyDescent="0.2">
      <c r="R7186" s="1288"/>
    </row>
    <row r="7187" spans="18:18" s="2" customFormat="1" ht="12.75" x14ac:dyDescent="0.2">
      <c r="R7187" s="1288"/>
    </row>
    <row r="7188" spans="18:18" s="2" customFormat="1" ht="12.75" x14ac:dyDescent="0.2">
      <c r="R7188" s="1288"/>
    </row>
    <row r="7189" spans="18:18" s="2" customFormat="1" ht="12.75" x14ac:dyDescent="0.2">
      <c r="R7189" s="1288"/>
    </row>
    <row r="7190" spans="18:18" s="2" customFormat="1" ht="12.75" x14ac:dyDescent="0.2">
      <c r="R7190" s="1288"/>
    </row>
    <row r="7191" spans="18:18" s="2" customFormat="1" ht="12.75" x14ac:dyDescent="0.2">
      <c r="R7191" s="1288"/>
    </row>
    <row r="7192" spans="18:18" s="2" customFormat="1" ht="12.75" x14ac:dyDescent="0.2">
      <c r="R7192" s="1288"/>
    </row>
    <row r="7193" spans="18:18" s="2" customFormat="1" ht="12.75" x14ac:dyDescent="0.2">
      <c r="R7193" s="1288"/>
    </row>
    <row r="7194" spans="18:18" s="2" customFormat="1" ht="12.75" x14ac:dyDescent="0.2">
      <c r="R7194" s="1288"/>
    </row>
    <row r="7195" spans="18:18" s="2" customFormat="1" ht="12.75" x14ac:dyDescent="0.2">
      <c r="R7195" s="1288"/>
    </row>
    <row r="7196" spans="18:18" s="2" customFormat="1" ht="12.75" x14ac:dyDescent="0.2">
      <c r="R7196" s="1288"/>
    </row>
    <row r="7197" spans="18:18" s="2" customFormat="1" ht="12.75" x14ac:dyDescent="0.2">
      <c r="R7197" s="1288"/>
    </row>
    <row r="7198" spans="18:18" s="2" customFormat="1" ht="12.75" x14ac:dyDescent="0.2">
      <c r="R7198" s="1288"/>
    </row>
    <row r="7199" spans="18:18" s="2" customFormat="1" ht="12.75" x14ac:dyDescent="0.2">
      <c r="R7199" s="1288"/>
    </row>
    <row r="7200" spans="18:18" s="2" customFormat="1" ht="12.75" x14ac:dyDescent="0.2">
      <c r="R7200" s="1288"/>
    </row>
    <row r="7201" spans="18:18" s="2" customFormat="1" ht="12.75" x14ac:dyDescent="0.2">
      <c r="R7201" s="1288"/>
    </row>
    <row r="7202" spans="18:18" s="2" customFormat="1" ht="12.75" x14ac:dyDescent="0.2">
      <c r="R7202" s="1288"/>
    </row>
    <row r="7203" spans="18:18" s="2" customFormat="1" ht="12.75" x14ac:dyDescent="0.2">
      <c r="R7203" s="1288"/>
    </row>
    <row r="7204" spans="18:18" s="2" customFormat="1" ht="12.75" x14ac:dyDescent="0.2">
      <c r="R7204" s="1288"/>
    </row>
    <row r="7205" spans="18:18" s="2" customFormat="1" ht="12.75" x14ac:dyDescent="0.2">
      <c r="R7205" s="1288"/>
    </row>
    <row r="7206" spans="18:18" s="2" customFormat="1" ht="12.75" x14ac:dyDescent="0.2">
      <c r="R7206" s="1288"/>
    </row>
    <row r="7207" spans="18:18" s="2" customFormat="1" ht="12.75" x14ac:dyDescent="0.2">
      <c r="R7207" s="1288"/>
    </row>
    <row r="7208" spans="18:18" s="2" customFormat="1" ht="12.75" x14ac:dyDescent="0.2">
      <c r="R7208" s="1288"/>
    </row>
    <row r="7209" spans="18:18" s="2" customFormat="1" ht="12.75" x14ac:dyDescent="0.2">
      <c r="R7209" s="1288"/>
    </row>
    <row r="7210" spans="18:18" s="2" customFormat="1" ht="12.75" x14ac:dyDescent="0.2">
      <c r="R7210" s="1288"/>
    </row>
    <row r="7211" spans="18:18" s="2" customFormat="1" ht="12.75" x14ac:dyDescent="0.2">
      <c r="R7211" s="1288"/>
    </row>
    <row r="7212" spans="18:18" s="2" customFormat="1" ht="12.75" x14ac:dyDescent="0.2">
      <c r="R7212" s="1288"/>
    </row>
    <row r="7213" spans="18:18" s="2" customFormat="1" ht="12.75" x14ac:dyDescent="0.2">
      <c r="R7213" s="1288"/>
    </row>
    <row r="7214" spans="18:18" s="2" customFormat="1" ht="12.75" x14ac:dyDescent="0.2">
      <c r="R7214" s="1288"/>
    </row>
    <row r="7215" spans="18:18" s="2" customFormat="1" ht="12.75" x14ac:dyDescent="0.2">
      <c r="R7215" s="1288"/>
    </row>
    <row r="7216" spans="18:18" s="2" customFormat="1" ht="12.75" x14ac:dyDescent="0.2">
      <c r="R7216" s="1288"/>
    </row>
    <row r="7217" spans="18:18" s="2" customFormat="1" ht="12.75" x14ac:dyDescent="0.2">
      <c r="R7217" s="1288"/>
    </row>
    <row r="7218" spans="18:18" s="2" customFormat="1" ht="12.75" x14ac:dyDescent="0.2">
      <c r="R7218" s="1288"/>
    </row>
    <row r="7219" spans="18:18" s="2" customFormat="1" ht="12.75" x14ac:dyDescent="0.2">
      <c r="R7219" s="1288"/>
    </row>
    <row r="7220" spans="18:18" s="2" customFormat="1" ht="12.75" x14ac:dyDescent="0.2">
      <c r="R7220" s="1288"/>
    </row>
    <row r="7221" spans="18:18" s="2" customFormat="1" ht="12.75" x14ac:dyDescent="0.2">
      <c r="R7221" s="1288"/>
    </row>
    <row r="7222" spans="18:18" s="2" customFormat="1" ht="12.75" x14ac:dyDescent="0.2">
      <c r="R7222" s="1288"/>
    </row>
    <row r="7223" spans="18:18" s="2" customFormat="1" ht="12.75" x14ac:dyDescent="0.2">
      <c r="R7223" s="1288"/>
    </row>
    <row r="7224" spans="18:18" s="2" customFormat="1" ht="12.75" x14ac:dyDescent="0.2">
      <c r="R7224" s="1288"/>
    </row>
    <row r="7225" spans="18:18" s="2" customFormat="1" ht="12.75" x14ac:dyDescent="0.2">
      <c r="R7225" s="1288"/>
    </row>
    <row r="7226" spans="18:18" s="2" customFormat="1" ht="12.75" x14ac:dyDescent="0.2">
      <c r="R7226" s="1288"/>
    </row>
    <row r="7227" spans="18:18" s="2" customFormat="1" ht="12.75" x14ac:dyDescent="0.2">
      <c r="R7227" s="1288"/>
    </row>
    <row r="7228" spans="18:18" s="2" customFormat="1" ht="12.75" x14ac:dyDescent="0.2">
      <c r="R7228" s="1288"/>
    </row>
    <row r="7229" spans="18:18" s="2" customFormat="1" ht="12.75" x14ac:dyDescent="0.2">
      <c r="R7229" s="1288"/>
    </row>
    <row r="7230" spans="18:18" s="2" customFormat="1" ht="12.75" x14ac:dyDescent="0.2">
      <c r="R7230" s="1288"/>
    </row>
    <row r="7231" spans="18:18" s="2" customFormat="1" ht="12.75" x14ac:dyDescent="0.2">
      <c r="R7231" s="1288"/>
    </row>
    <row r="7232" spans="18:18" s="2" customFormat="1" ht="12.75" x14ac:dyDescent="0.2">
      <c r="R7232" s="1288"/>
    </row>
    <row r="7233" spans="18:18" s="2" customFormat="1" ht="12.75" x14ac:dyDescent="0.2">
      <c r="R7233" s="1288"/>
    </row>
    <row r="7234" spans="18:18" s="2" customFormat="1" ht="12.75" x14ac:dyDescent="0.2">
      <c r="R7234" s="1288"/>
    </row>
    <row r="7235" spans="18:18" s="2" customFormat="1" ht="12.75" x14ac:dyDescent="0.2">
      <c r="R7235" s="1288"/>
    </row>
    <row r="7236" spans="18:18" s="2" customFormat="1" ht="12.75" x14ac:dyDescent="0.2">
      <c r="R7236" s="1288"/>
    </row>
    <row r="7237" spans="18:18" s="2" customFormat="1" ht="12.75" x14ac:dyDescent="0.2">
      <c r="R7237" s="1288"/>
    </row>
    <row r="7238" spans="18:18" s="2" customFormat="1" ht="12.75" x14ac:dyDescent="0.2">
      <c r="R7238" s="1288"/>
    </row>
    <row r="7239" spans="18:18" s="2" customFormat="1" ht="12.75" x14ac:dyDescent="0.2">
      <c r="R7239" s="1288"/>
    </row>
    <row r="7240" spans="18:18" s="2" customFormat="1" ht="12.75" x14ac:dyDescent="0.2">
      <c r="R7240" s="1288"/>
    </row>
    <row r="7241" spans="18:18" s="2" customFormat="1" ht="12.75" x14ac:dyDescent="0.2">
      <c r="R7241" s="1288"/>
    </row>
    <row r="7242" spans="18:18" s="2" customFormat="1" ht="12.75" x14ac:dyDescent="0.2">
      <c r="R7242" s="1288"/>
    </row>
    <row r="7243" spans="18:18" s="2" customFormat="1" ht="12.75" x14ac:dyDescent="0.2">
      <c r="R7243" s="1288"/>
    </row>
    <row r="7244" spans="18:18" s="2" customFormat="1" ht="12.75" x14ac:dyDescent="0.2">
      <c r="R7244" s="1288"/>
    </row>
    <row r="7245" spans="18:18" s="2" customFormat="1" ht="12.75" x14ac:dyDescent="0.2">
      <c r="R7245" s="1288"/>
    </row>
    <row r="7246" spans="18:18" s="2" customFormat="1" ht="12.75" x14ac:dyDescent="0.2">
      <c r="R7246" s="1288"/>
    </row>
    <row r="7247" spans="18:18" s="2" customFormat="1" ht="12.75" x14ac:dyDescent="0.2">
      <c r="R7247" s="1288"/>
    </row>
    <row r="7248" spans="18:18" s="2" customFormat="1" ht="12.75" x14ac:dyDescent="0.2">
      <c r="R7248" s="1288"/>
    </row>
    <row r="7249" spans="18:18" s="2" customFormat="1" ht="12.75" x14ac:dyDescent="0.2">
      <c r="R7249" s="1288"/>
    </row>
    <row r="7250" spans="18:18" s="2" customFormat="1" ht="12.75" x14ac:dyDescent="0.2">
      <c r="R7250" s="1288"/>
    </row>
    <row r="7251" spans="18:18" s="2" customFormat="1" ht="12.75" x14ac:dyDescent="0.2">
      <c r="R7251" s="1288"/>
    </row>
    <row r="7252" spans="18:18" s="2" customFormat="1" ht="12.75" x14ac:dyDescent="0.2">
      <c r="R7252" s="1288"/>
    </row>
    <row r="7253" spans="18:18" s="2" customFormat="1" ht="12.75" x14ac:dyDescent="0.2">
      <c r="R7253" s="1288"/>
    </row>
    <row r="7254" spans="18:18" s="2" customFormat="1" ht="12.75" x14ac:dyDescent="0.2">
      <c r="R7254" s="1288"/>
    </row>
    <row r="7255" spans="18:18" s="2" customFormat="1" ht="12.75" x14ac:dyDescent="0.2">
      <c r="R7255" s="1288"/>
    </row>
    <row r="7256" spans="18:18" s="2" customFormat="1" ht="12.75" x14ac:dyDescent="0.2">
      <c r="R7256" s="1288"/>
    </row>
    <row r="7257" spans="18:18" s="2" customFormat="1" ht="12.75" x14ac:dyDescent="0.2">
      <c r="R7257" s="1288"/>
    </row>
    <row r="7258" spans="18:18" s="2" customFormat="1" ht="12.75" x14ac:dyDescent="0.2">
      <c r="R7258" s="1288"/>
    </row>
    <row r="7259" spans="18:18" s="2" customFormat="1" ht="12.75" x14ac:dyDescent="0.2">
      <c r="R7259" s="1288"/>
    </row>
    <row r="7260" spans="18:18" s="2" customFormat="1" ht="12.75" x14ac:dyDescent="0.2">
      <c r="R7260" s="1288"/>
    </row>
    <row r="7261" spans="18:18" s="2" customFormat="1" ht="12.75" x14ac:dyDescent="0.2">
      <c r="R7261" s="1288"/>
    </row>
    <row r="7262" spans="18:18" s="2" customFormat="1" ht="12.75" x14ac:dyDescent="0.2">
      <c r="R7262" s="1288"/>
    </row>
    <row r="7263" spans="18:18" s="2" customFormat="1" ht="12.75" x14ac:dyDescent="0.2">
      <c r="R7263" s="1288"/>
    </row>
    <row r="7264" spans="18:18" s="2" customFormat="1" ht="12.75" x14ac:dyDescent="0.2">
      <c r="R7264" s="1288"/>
    </row>
    <row r="7265" spans="18:18" s="2" customFormat="1" ht="12.75" x14ac:dyDescent="0.2">
      <c r="R7265" s="1288"/>
    </row>
    <row r="7266" spans="18:18" s="2" customFormat="1" ht="12.75" x14ac:dyDescent="0.2">
      <c r="R7266" s="1288"/>
    </row>
    <row r="7267" spans="18:18" s="2" customFormat="1" ht="12.75" x14ac:dyDescent="0.2">
      <c r="R7267" s="1288"/>
    </row>
    <row r="7268" spans="18:18" s="2" customFormat="1" ht="12.75" x14ac:dyDescent="0.2">
      <c r="R7268" s="1288"/>
    </row>
    <row r="7269" spans="18:18" s="2" customFormat="1" ht="12.75" x14ac:dyDescent="0.2">
      <c r="R7269" s="1288"/>
    </row>
    <row r="7270" spans="18:18" s="2" customFormat="1" ht="12.75" x14ac:dyDescent="0.2">
      <c r="R7270" s="1288"/>
    </row>
    <row r="7271" spans="18:18" s="2" customFormat="1" ht="12.75" x14ac:dyDescent="0.2">
      <c r="R7271" s="1288"/>
    </row>
    <row r="7272" spans="18:18" s="2" customFormat="1" ht="12.75" x14ac:dyDescent="0.2">
      <c r="R7272" s="1288"/>
    </row>
    <row r="7273" spans="18:18" s="2" customFormat="1" ht="12.75" x14ac:dyDescent="0.2">
      <c r="R7273" s="1288"/>
    </row>
    <row r="7274" spans="18:18" s="2" customFormat="1" ht="12.75" x14ac:dyDescent="0.2">
      <c r="R7274" s="1288"/>
    </row>
    <row r="7275" spans="18:18" s="2" customFormat="1" ht="12.75" x14ac:dyDescent="0.2">
      <c r="R7275" s="1288"/>
    </row>
    <row r="7276" spans="18:18" s="2" customFormat="1" ht="12.75" x14ac:dyDescent="0.2">
      <c r="R7276" s="1288"/>
    </row>
    <row r="7277" spans="18:18" s="2" customFormat="1" ht="12.75" x14ac:dyDescent="0.2">
      <c r="R7277" s="1288"/>
    </row>
    <row r="7278" spans="18:18" s="2" customFormat="1" ht="12.75" x14ac:dyDescent="0.2">
      <c r="R7278" s="1288"/>
    </row>
    <row r="7279" spans="18:18" s="2" customFormat="1" ht="12.75" x14ac:dyDescent="0.2">
      <c r="R7279" s="1288"/>
    </row>
    <row r="7280" spans="18:18" s="2" customFormat="1" ht="12.75" x14ac:dyDescent="0.2">
      <c r="R7280" s="1288"/>
    </row>
    <row r="7281" spans="18:18" s="2" customFormat="1" ht="12.75" x14ac:dyDescent="0.2">
      <c r="R7281" s="1288"/>
    </row>
    <row r="7282" spans="18:18" s="2" customFormat="1" ht="12.75" x14ac:dyDescent="0.2">
      <c r="R7282" s="1288"/>
    </row>
    <row r="7283" spans="18:18" s="2" customFormat="1" ht="12.75" x14ac:dyDescent="0.2">
      <c r="R7283" s="1288"/>
    </row>
    <row r="7284" spans="18:18" s="2" customFormat="1" ht="12.75" x14ac:dyDescent="0.2">
      <c r="R7284" s="1288"/>
    </row>
    <row r="7285" spans="18:18" s="2" customFormat="1" ht="12.75" x14ac:dyDescent="0.2">
      <c r="R7285" s="1288"/>
    </row>
    <row r="7286" spans="18:18" s="2" customFormat="1" ht="12.75" x14ac:dyDescent="0.2">
      <c r="R7286" s="1288"/>
    </row>
    <row r="7287" spans="18:18" s="2" customFormat="1" ht="12.75" x14ac:dyDescent="0.2">
      <c r="R7287" s="1288"/>
    </row>
    <row r="7288" spans="18:18" s="2" customFormat="1" ht="12.75" x14ac:dyDescent="0.2">
      <c r="R7288" s="1288"/>
    </row>
    <row r="7289" spans="18:18" s="2" customFormat="1" ht="12.75" x14ac:dyDescent="0.2">
      <c r="R7289" s="1288"/>
    </row>
    <row r="7290" spans="18:18" s="2" customFormat="1" ht="12.75" x14ac:dyDescent="0.2">
      <c r="R7290" s="1288"/>
    </row>
    <row r="7291" spans="18:18" s="2" customFormat="1" ht="12.75" x14ac:dyDescent="0.2">
      <c r="R7291" s="1288"/>
    </row>
    <row r="7292" spans="18:18" s="2" customFormat="1" ht="12.75" x14ac:dyDescent="0.2">
      <c r="R7292" s="1288"/>
    </row>
    <row r="7293" spans="18:18" s="2" customFormat="1" ht="12.75" x14ac:dyDescent="0.2">
      <c r="R7293" s="1288"/>
    </row>
    <row r="7294" spans="18:18" s="2" customFormat="1" ht="12.75" x14ac:dyDescent="0.2">
      <c r="R7294" s="1288"/>
    </row>
    <row r="7295" spans="18:18" s="2" customFormat="1" ht="12.75" x14ac:dyDescent="0.2">
      <c r="R7295" s="1288"/>
    </row>
    <row r="7296" spans="18:18" s="2" customFormat="1" ht="12.75" x14ac:dyDescent="0.2">
      <c r="R7296" s="1288"/>
    </row>
    <row r="7297" spans="18:18" s="2" customFormat="1" ht="12.75" x14ac:dyDescent="0.2">
      <c r="R7297" s="1288"/>
    </row>
    <row r="7298" spans="18:18" s="2" customFormat="1" ht="12.75" x14ac:dyDescent="0.2">
      <c r="R7298" s="1288"/>
    </row>
    <row r="7299" spans="18:18" s="2" customFormat="1" ht="12.75" x14ac:dyDescent="0.2">
      <c r="R7299" s="1288"/>
    </row>
    <row r="7300" spans="18:18" s="2" customFormat="1" ht="12.75" x14ac:dyDescent="0.2">
      <c r="R7300" s="1288"/>
    </row>
    <row r="7301" spans="18:18" s="2" customFormat="1" ht="12.75" x14ac:dyDescent="0.2">
      <c r="R7301" s="1288"/>
    </row>
    <row r="7302" spans="18:18" s="2" customFormat="1" ht="12.75" x14ac:dyDescent="0.2">
      <c r="R7302" s="1288"/>
    </row>
    <row r="7303" spans="18:18" s="2" customFormat="1" ht="12.75" x14ac:dyDescent="0.2">
      <c r="R7303" s="1288"/>
    </row>
    <row r="7304" spans="18:18" s="2" customFormat="1" ht="12.75" x14ac:dyDescent="0.2">
      <c r="R7304" s="1288"/>
    </row>
    <row r="7305" spans="18:18" s="2" customFormat="1" ht="12.75" x14ac:dyDescent="0.2">
      <c r="R7305" s="1288"/>
    </row>
    <row r="7306" spans="18:18" s="2" customFormat="1" ht="12.75" x14ac:dyDescent="0.2">
      <c r="R7306" s="1288"/>
    </row>
    <row r="7307" spans="18:18" s="2" customFormat="1" ht="12.75" x14ac:dyDescent="0.2">
      <c r="R7307" s="1288"/>
    </row>
    <row r="7308" spans="18:18" s="2" customFormat="1" ht="12.75" x14ac:dyDescent="0.2">
      <c r="R7308" s="1288"/>
    </row>
    <row r="7309" spans="18:18" s="2" customFormat="1" ht="12.75" x14ac:dyDescent="0.2">
      <c r="R7309" s="1288"/>
    </row>
    <row r="7310" spans="18:18" s="2" customFormat="1" ht="12.75" x14ac:dyDescent="0.2">
      <c r="R7310" s="1288"/>
    </row>
    <row r="7311" spans="18:18" s="2" customFormat="1" ht="12.75" x14ac:dyDescent="0.2">
      <c r="R7311" s="1288"/>
    </row>
    <row r="7312" spans="18:18" s="2" customFormat="1" ht="12.75" x14ac:dyDescent="0.2">
      <c r="R7312" s="1288"/>
    </row>
    <row r="7313" spans="18:18" s="2" customFormat="1" ht="12.75" x14ac:dyDescent="0.2">
      <c r="R7313" s="1288"/>
    </row>
    <row r="7314" spans="18:18" s="2" customFormat="1" ht="12.75" x14ac:dyDescent="0.2">
      <c r="R7314" s="1288"/>
    </row>
    <row r="7315" spans="18:18" s="2" customFormat="1" ht="12.75" x14ac:dyDescent="0.2">
      <c r="R7315" s="1288"/>
    </row>
    <row r="7316" spans="18:18" s="2" customFormat="1" ht="12.75" x14ac:dyDescent="0.2">
      <c r="R7316" s="1288"/>
    </row>
    <row r="7317" spans="18:18" s="2" customFormat="1" ht="12.75" x14ac:dyDescent="0.2">
      <c r="R7317" s="1288"/>
    </row>
    <row r="7318" spans="18:18" s="2" customFormat="1" ht="12.75" x14ac:dyDescent="0.2">
      <c r="R7318" s="1288"/>
    </row>
    <row r="7319" spans="18:18" s="2" customFormat="1" ht="12.75" x14ac:dyDescent="0.2">
      <c r="R7319" s="1288"/>
    </row>
    <row r="7320" spans="18:18" s="2" customFormat="1" ht="12.75" x14ac:dyDescent="0.2">
      <c r="R7320" s="1288"/>
    </row>
    <row r="7321" spans="18:18" s="2" customFormat="1" ht="12.75" x14ac:dyDescent="0.2">
      <c r="R7321" s="1288"/>
    </row>
    <row r="7322" spans="18:18" s="2" customFormat="1" ht="12.75" x14ac:dyDescent="0.2">
      <c r="R7322" s="1288"/>
    </row>
    <row r="7323" spans="18:18" s="2" customFormat="1" ht="12.75" x14ac:dyDescent="0.2">
      <c r="R7323" s="1288"/>
    </row>
    <row r="7324" spans="18:18" s="2" customFormat="1" ht="12.75" x14ac:dyDescent="0.2">
      <c r="R7324" s="1288"/>
    </row>
    <row r="7325" spans="18:18" s="2" customFormat="1" ht="12.75" x14ac:dyDescent="0.2">
      <c r="R7325" s="1288"/>
    </row>
    <row r="7326" spans="18:18" s="2" customFormat="1" ht="12.75" x14ac:dyDescent="0.2">
      <c r="R7326" s="1288"/>
    </row>
    <row r="7327" spans="18:18" s="2" customFormat="1" ht="12.75" x14ac:dyDescent="0.2">
      <c r="R7327" s="1288"/>
    </row>
    <row r="7328" spans="18:18" s="2" customFormat="1" ht="12.75" x14ac:dyDescent="0.2">
      <c r="R7328" s="1288"/>
    </row>
    <row r="7329" spans="18:18" s="2" customFormat="1" ht="12.75" x14ac:dyDescent="0.2">
      <c r="R7329" s="1288"/>
    </row>
    <row r="7330" spans="18:18" s="2" customFormat="1" ht="12.75" x14ac:dyDescent="0.2">
      <c r="R7330" s="1288"/>
    </row>
    <row r="7331" spans="18:18" s="2" customFormat="1" ht="12.75" x14ac:dyDescent="0.2">
      <c r="R7331" s="1288"/>
    </row>
    <row r="7332" spans="18:18" s="2" customFormat="1" ht="12.75" x14ac:dyDescent="0.2">
      <c r="R7332" s="1288"/>
    </row>
    <row r="7333" spans="18:18" s="2" customFormat="1" ht="12.75" x14ac:dyDescent="0.2">
      <c r="R7333" s="1288"/>
    </row>
    <row r="7334" spans="18:18" s="2" customFormat="1" ht="12.75" x14ac:dyDescent="0.2">
      <c r="R7334" s="1288"/>
    </row>
    <row r="7335" spans="18:18" s="2" customFormat="1" ht="12.75" x14ac:dyDescent="0.2">
      <c r="R7335" s="1288"/>
    </row>
    <row r="7336" spans="18:18" s="2" customFormat="1" ht="12.75" x14ac:dyDescent="0.2">
      <c r="R7336" s="1288"/>
    </row>
    <row r="7337" spans="18:18" s="2" customFormat="1" ht="12.75" x14ac:dyDescent="0.2">
      <c r="R7337" s="1288"/>
    </row>
    <row r="7338" spans="18:18" s="2" customFormat="1" ht="12.75" x14ac:dyDescent="0.2">
      <c r="R7338" s="1288"/>
    </row>
    <row r="7339" spans="18:18" s="2" customFormat="1" ht="12.75" x14ac:dyDescent="0.2">
      <c r="R7339" s="1288"/>
    </row>
    <row r="7340" spans="18:18" s="2" customFormat="1" ht="12.75" x14ac:dyDescent="0.2">
      <c r="R7340" s="1288"/>
    </row>
    <row r="7341" spans="18:18" s="2" customFormat="1" ht="12.75" x14ac:dyDescent="0.2">
      <c r="R7341" s="1288"/>
    </row>
    <row r="7342" spans="18:18" s="2" customFormat="1" ht="12.75" x14ac:dyDescent="0.2">
      <c r="R7342" s="1288"/>
    </row>
    <row r="7343" spans="18:18" s="2" customFormat="1" ht="12.75" x14ac:dyDescent="0.2">
      <c r="R7343" s="1288"/>
    </row>
    <row r="7344" spans="18:18" s="2" customFormat="1" ht="12.75" x14ac:dyDescent="0.2">
      <c r="R7344" s="1288"/>
    </row>
    <row r="7345" spans="18:18" s="2" customFormat="1" ht="12.75" x14ac:dyDescent="0.2">
      <c r="R7345" s="1288"/>
    </row>
    <row r="7346" spans="18:18" s="2" customFormat="1" ht="12.75" x14ac:dyDescent="0.2">
      <c r="R7346" s="1288"/>
    </row>
    <row r="7347" spans="18:18" s="2" customFormat="1" ht="12.75" x14ac:dyDescent="0.2">
      <c r="R7347" s="1288"/>
    </row>
    <row r="7348" spans="18:18" s="2" customFormat="1" ht="12.75" x14ac:dyDescent="0.2">
      <c r="R7348" s="1288"/>
    </row>
    <row r="7349" spans="18:18" s="2" customFormat="1" ht="12.75" x14ac:dyDescent="0.2">
      <c r="R7349" s="1288"/>
    </row>
    <row r="7350" spans="18:18" s="2" customFormat="1" ht="12.75" x14ac:dyDescent="0.2">
      <c r="R7350" s="1288"/>
    </row>
    <row r="7351" spans="18:18" s="2" customFormat="1" ht="12.75" x14ac:dyDescent="0.2">
      <c r="R7351" s="1288"/>
    </row>
    <row r="7352" spans="18:18" s="2" customFormat="1" ht="12.75" x14ac:dyDescent="0.2">
      <c r="R7352" s="1288"/>
    </row>
    <row r="7353" spans="18:18" s="2" customFormat="1" ht="12.75" x14ac:dyDescent="0.2">
      <c r="R7353" s="1288"/>
    </row>
    <row r="7354" spans="18:18" s="2" customFormat="1" ht="12.75" x14ac:dyDescent="0.2">
      <c r="R7354" s="1288"/>
    </row>
    <row r="7355" spans="18:18" s="2" customFormat="1" ht="12.75" x14ac:dyDescent="0.2">
      <c r="R7355" s="1288"/>
    </row>
    <row r="7356" spans="18:18" s="2" customFormat="1" ht="12.75" x14ac:dyDescent="0.2">
      <c r="R7356" s="1288"/>
    </row>
    <row r="7357" spans="18:18" s="2" customFormat="1" ht="12.75" x14ac:dyDescent="0.2">
      <c r="R7357" s="1288"/>
    </row>
    <row r="7358" spans="18:18" s="2" customFormat="1" ht="12.75" x14ac:dyDescent="0.2">
      <c r="R7358" s="1288"/>
    </row>
    <row r="7359" spans="18:18" s="2" customFormat="1" ht="12.75" x14ac:dyDescent="0.2">
      <c r="R7359" s="1288"/>
    </row>
    <row r="7360" spans="18:18" s="2" customFormat="1" ht="12.75" x14ac:dyDescent="0.2">
      <c r="R7360" s="1288"/>
    </row>
    <row r="7361" spans="18:18" s="2" customFormat="1" ht="12.75" x14ac:dyDescent="0.2">
      <c r="R7361" s="1288"/>
    </row>
    <row r="7362" spans="18:18" s="2" customFormat="1" ht="12.75" x14ac:dyDescent="0.2">
      <c r="R7362" s="1288"/>
    </row>
    <row r="7363" spans="18:18" s="2" customFormat="1" ht="12.75" x14ac:dyDescent="0.2">
      <c r="R7363" s="1288"/>
    </row>
    <row r="7364" spans="18:18" s="2" customFormat="1" ht="12.75" x14ac:dyDescent="0.2">
      <c r="R7364" s="1288"/>
    </row>
    <row r="7365" spans="18:18" s="2" customFormat="1" ht="12.75" x14ac:dyDescent="0.2">
      <c r="R7365" s="1288"/>
    </row>
    <row r="7366" spans="18:18" s="2" customFormat="1" ht="12.75" x14ac:dyDescent="0.2">
      <c r="R7366" s="1288"/>
    </row>
    <row r="7367" spans="18:18" s="2" customFormat="1" ht="12.75" x14ac:dyDescent="0.2">
      <c r="R7367" s="1288"/>
    </row>
    <row r="7368" spans="18:18" s="2" customFormat="1" ht="12.75" x14ac:dyDescent="0.2">
      <c r="R7368" s="1288"/>
    </row>
    <row r="7369" spans="18:18" s="2" customFormat="1" ht="12.75" x14ac:dyDescent="0.2">
      <c r="R7369" s="1288"/>
    </row>
    <row r="7370" spans="18:18" s="2" customFormat="1" ht="12.75" x14ac:dyDescent="0.2">
      <c r="R7370" s="1288"/>
    </row>
    <row r="7371" spans="18:18" s="2" customFormat="1" ht="12.75" x14ac:dyDescent="0.2">
      <c r="R7371" s="1288"/>
    </row>
    <row r="7372" spans="18:18" s="2" customFormat="1" ht="12.75" x14ac:dyDescent="0.2">
      <c r="R7372" s="1288"/>
    </row>
    <row r="7373" spans="18:18" s="2" customFormat="1" ht="12.75" x14ac:dyDescent="0.2">
      <c r="R7373" s="1288"/>
    </row>
    <row r="7374" spans="18:18" s="2" customFormat="1" ht="12.75" x14ac:dyDescent="0.2">
      <c r="R7374" s="1288"/>
    </row>
    <row r="7375" spans="18:18" s="2" customFormat="1" ht="12.75" x14ac:dyDescent="0.2">
      <c r="R7375" s="1288"/>
    </row>
    <row r="7376" spans="18:18" s="2" customFormat="1" ht="12.75" x14ac:dyDescent="0.2">
      <c r="R7376" s="1288"/>
    </row>
    <row r="7377" spans="18:18" s="2" customFormat="1" ht="12.75" x14ac:dyDescent="0.2">
      <c r="R7377" s="1288"/>
    </row>
    <row r="7378" spans="18:18" s="2" customFormat="1" ht="12.75" x14ac:dyDescent="0.2">
      <c r="R7378" s="1288"/>
    </row>
    <row r="7379" spans="18:18" s="2" customFormat="1" ht="12.75" x14ac:dyDescent="0.2">
      <c r="R7379" s="1288"/>
    </row>
    <row r="7380" spans="18:18" s="2" customFormat="1" ht="12.75" x14ac:dyDescent="0.2">
      <c r="R7380" s="1288"/>
    </row>
    <row r="7381" spans="18:18" s="2" customFormat="1" ht="12.75" x14ac:dyDescent="0.2">
      <c r="R7381" s="1288"/>
    </row>
    <row r="7382" spans="18:18" s="2" customFormat="1" ht="12.75" x14ac:dyDescent="0.2">
      <c r="R7382" s="1288"/>
    </row>
    <row r="7383" spans="18:18" s="2" customFormat="1" ht="12.75" x14ac:dyDescent="0.2">
      <c r="R7383" s="1288"/>
    </row>
    <row r="7384" spans="18:18" s="2" customFormat="1" ht="12.75" x14ac:dyDescent="0.2">
      <c r="R7384" s="1288"/>
    </row>
    <row r="7385" spans="18:18" s="2" customFormat="1" ht="12.75" x14ac:dyDescent="0.2">
      <c r="R7385" s="1288"/>
    </row>
    <row r="7386" spans="18:18" s="2" customFormat="1" ht="12.75" x14ac:dyDescent="0.2">
      <c r="R7386" s="1288"/>
    </row>
    <row r="7387" spans="18:18" s="2" customFormat="1" ht="12.75" x14ac:dyDescent="0.2">
      <c r="R7387" s="1288"/>
    </row>
    <row r="7388" spans="18:18" s="2" customFormat="1" ht="12.75" x14ac:dyDescent="0.2">
      <c r="R7388" s="1288"/>
    </row>
    <row r="7389" spans="18:18" s="2" customFormat="1" ht="12.75" x14ac:dyDescent="0.2">
      <c r="R7389" s="1288"/>
    </row>
    <row r="7390" spans="18:18" s="2" customFormat="1" ht="12.75" x14ac:dyDescent="0.2">
      <c r="R7390" s="1288"/>
    </row>
    <row r="7391" spans="18:18" s="2" customFormat="1" ht="12.75" x14ac:dyDescent="0.2">
      <c r="R7391" s="1288"/>
    </row>
    <row r="7392" spans="18:18" s="2" customFormat="1" ht="12.75" x14ac:dyDescent="0.2">
      <c r="R7392" s="1288"/>
    </row>
    <row r="7393" spans="18:18" s="2" customFormat="1" ht="12.75" x14ac:dyDescent="0.2">
      <c r="R7393" s="1288"/>
    </row>
    <row r="7394" spans="18:18" s="2" customFormat="1" ht="12.75" x14ac:dyDescent="0.2">
      <c r="R7394" s="1288"/>
    </row>
    <row r="7395" spans="18:18" s="2" customFormat="1" ht="12.75" x14ac:dyDescent="0.2">
      <c r="R7395" s="1288"/>
    </row>
    <row r="7396" spans="18:18" s="2" customFormat="1" ht="12.75" x14ac:dyDescent="0.2">
      <c r="R7396" s="1288"/>
    </row>
    <row r="7397" spans="18:18" s="2" customFormat="1" ht="12.75" x14ac:dyDescent="0.2">
      <c r="R7397" s="1288"/>
    </row>
    <row r="7398" spans="18:18" s="2" customFormat="1" ht="12.75" x14ac:dyDescent="0.2">
      <c r="R7398" s="1288"/>
    </row>
    <row r="7399" spans="18:18" s="2" customFormat="1" ht="12.75" x14ac:dyDescent="0.2">
      <c r="R7399" s="1288"/>
    </row>
    <row r="7400" spans="18:18" s="2" customFormat="1" ht="12.75" x14ac:dyDescent="0.2">
      <c r="R7400" s="1288"/>
    </row>
    <row r="7401" spans="18:18" s="2" customFormat="1" ht="12.75" x14ac:dyDescent="0.2">
      <c r="R7401" s="1288"/>
    </row>
    <row r="7402" spans="18:18" s="2" customFormat="1" ht="12.75" x14ac:dyDescent="0.2">
      <c r="R7402" s="1288"/>
    </row>
    <row r="7403" spans="18:18" s="2" customFormat="1" ht="12.75" x14ac:dyDescent="0.2">
      <c r="R7403" s="1288"/>
    </row>
    <row r="7404" spans="18:18" s="2" customFormat="1" ht="12.75" x14ac:dyDescent="0.2">
      <c r="R7404" s="1288"/>
    </row>
    <row r="7405" spans="18:18" s="2" customFormat="1" ht="12.75" x14ac:dyDescent="0.2">
      <c r="R7405" s="1288"/>
    </row>
    <row r="7406" spans="18:18" s="2" customFormat="1" ht="12.75" x14ac:dyDescent="0.2">
      <c r="R7406" s="1288"/>
    </row>
    <row r="7407" spans="18:18" s="2" customFormat="1" ht="12.75" x14ac:dyDescent="0.2">
      <c r="R7407" s="1288"/>
    </row>
    <row r="7408" spans="18:18" s="2" customFormat="1" ht="12.75" x14ac:dyDescent="0.2">
      <c r="R7408" s="1288"/>
    </row>
    <row r="7409" spans="18:18" s="2" customFormat="1" ht="12.75" x14ac:dyDescent="0.2">
      <c r="R7409" s="1288"/>
    </row>
    <row r="7410" spans="18:18" s="2" customFormat="1" ht="12.75" x14ac:dyDescent="0.2">
      <c r="R7410" s="1288"/>
    </row>
    <row r="7411" spans="18:18" s="2" customFormat="1" ht="12.75" x14ac:dyDescent="0.2">
      <c r="R7411" s="1288"/>
    </row>
    <row r="7412" spans="18:18" s="2" customFormat="1" ht="12.75" x14ac:dyDescent="0.2">
      <c r="R7412" s="1288"/>
    </row>
    <row r="7413" spans="18:18" s="2" customFormat="1" ht="12.75" x14ac:dyDescent="0.2">
      <c r="R7413" s="1288"/>
    </row>
    <row r="7414" spans="18:18" s="2" customFormat="1" ht="12.75" x14ac:dyDescent="0.2">
      <c r="R7414" s="1288"/>
    </row>
    <row r="7415" spans="18:18" s="2" customFormat="1" ht="12.75" x14ac:dyDescent="0.2">
      <c r="R7415" s="1288"/>
    </row>
    <row r="7416" spans="18:18" s="2" customFormat="1" ht="12.75" x14ac:dyDescent="0.2">
      <c r="R7416" s="1288"/>
    </row>
    <row r="7417" spans="18:18" s="2" customFormat="1" ht="12.75" x14ac:dyDescent="0.2">
      <c r="R7417" s="1288"/>
    </row>
    <row r="7418" spans="18:18" s="2" customFormat="1" ht="12.75" x14ac:dyDescent="0.2">
      <c r="R7418" s="1288"/>
    </row>
    <row r="7419" spans="18:18" s="2" customFormat="1" ht="12.75" x14ac:dyDescent="0.2">
      <c r="R7419" s="1288"/>
    </row>
    <row r="7420" spans="18:18" s="2" customFormat="1" ht="12.75" x14ac:dyDescent="0.2">
      <c r="R7420" s="1288"/>
    </row>
    <row r="7421" spans="18:18" s="2" customFormat="1" ht="12.75" x14ac:dyDescent="0.2">
      <c r="R7421" s="1288"/>
    </row>
    <row r="7422" spans="18:18" s="2" customFormat="1" ht="12.75" x14ac:dyDescent="0.2">
      <c r="R7422" s="1288"/>
    </row>
    <row r="7423" spans="18:18" s="2" customFormat="1" ht="12.75" x14ac:dyDescent="0.2">
      <c r="R7423" s="1288"/>
    </row>
    <row r="7424" spans="18:18" s="2" customFormat="1" ht="12.75" x14ac:dyDescent="0.2">
      <c r="R7424" s="1288"/>
    </row>
    <row r="7425" spans="18:18" s="2" customFormat="1" ht="12.75" x14ac:dyDescent="0.2">
      <c r="R7425" s="1288"/>
    </row>
    <row r="7426" spans="18:18" s="2" customFormat="1" ht="12.75" x14ac:dyDescent="0.2">
      <c r="R7426" s="1288"/>
    </row>
    <row r="7427" spans="18:18" s="2" customFormat="1" ht="12.75" x14ac:dyDescent="0.2">
      <c r="R7427" s="1288"/>
    </row>
    <row r="7428" spans="18:18" s="2" customFormat="1" ht="12.75" x14ac:dyDescent="0.2">
      <c r="R7428" s="1288"/>
    </row>
    <row r="7429" spans="18:18" s="2" customFormat="1" ht="12.75" x14ac:dyDescent="0.2">
      <c r="R7429" s="1288"/>
    </row>
    <row r="7430" spans="18:18" s="2" customFormat="1" ht="12.75" x14ac:dyDescent="0.2">
      <c r="R7430" s="1288"/>
    </row>
    <row r="7431" spans="18:18" s="2" customFormat="1" ht="12.75" x14ac:dyDescent="0.2">
      <c r="R7431" s="1288"/>
    </row>
    <row r="7432" spans="18:18" s="2" customFormat="1" ht="12.75" x14ac:dyDescent="0.2">
      <c r="R7432" s="1288"/>
    </row>
    <row r="7433" spans="18:18" s="2" customFormat="1" ht="12.75" x14ac:dyDescent="0.2">
      <c r="R7433" s="1288"/>
    </row>
    <row r="7434" spans="18:18" s="2" customFormat="1" ht="12.75" x14ac:dyDescent="0.2">
      <c r="R7434" s="1288"/>
    </row>
    <row r="7435" spans="18:18" s="2" customFormat="1" ht="12.75" x14ac:dyDescent="0.2">
      <c r="R7435" s="1288"/>
    </row>
    <row r="7436" spans="18:18" s="2" customFormat="1" ht="12.75" x14ac:dyDescent="0.2">
      <c r="R7436" s="1288"/>
    </row>
    <row r="7437" spans="18:18" s="2" customFormat="1" ht="12.75" x14ac:dyDescent="0.2">
      <c r="R7437" s="1288"/>
    </row>
    <row r="7438" spans="18:18" s="2" customFormat="1" ht="12.75" x14ac:dyDescent="0.2">
      <c r="R7438" s="1288"/>
    </row>
    <row r="7439" spans="18:18" s="2" customFormat="1" ht="12.75" x14ac:dyDescent="0.2">
      <c r="R7439" s="1288"/>
    </row>
    <row r="7440" spans="18:18" s="2" customFormat="1" ht="12.75" x14ac:dyDescent="0.2">
      <c r="R7440" s="1288"/>
    </row>
    <row r="7441" spans="18:18" s="2" customFormat="1" ht="12.75" x14ac:dyDescent="0.2">
      <c r="R7441" s="1288"/>
    </row>
    <row r="7442" spans="18:18" s="2" customFormat="1" ht="12.75" x14ac:dyDescent="0.2">
      <c r="R7442" s="1288"/>
    </row>
    <row r="7443" spans="18:18" s="2" customFormat="1" ht="12.75" x14ac:dyDescent="0.2">
      <c r="R7443" s="1288"/>
    </row>
    <row r="7444" spans="18:18" s="2" customFormat="1" ht="12.75" x14ac:dyDescent="0.2">
      <c r="R7444" s="1288"/>
    </row>
    <row r="7445" spans="18:18" s="2" customFormat="1" ht="12.75" x14ac:dyDescent="0.2">
      <c r="R7445" s="1288"/>
    </row>
    <row r="7446" spans="18:18" s="2" customFormat="1" ht="12.75" x14ac:dyDescent="0.2">
      <c r="R7446" s="1288"/>
    </row>
    <row r="7447" spans="18:18" s="2" customFormat="1" ht="12.75" x14ac:dyDescent="0.2">
      <c r="R7447" s="1288"/>
    </row>
    <row r="7448" spans="18:18" s="2" customFormat="1" ht="12.75" x14ac:dyDescent="0.2">
      <c r="R7448" s="1288"/>
    </row>
    <row r="7449" spans="18:18" s="2" customFormat="1" ht="12.75" x14ac:dyDescent="0.2">
      <c r="R7449" s="1288"/>
    </row>
    <row r="7450" spans="18:18" s="2" customFormat="1" ht="12.75" x14ac:dyDescent="0.2">
      <c r="R7450" s="1288"/>
    </row>
    <row r="7451" spans="18:18" s="2" customFormat="1" ht="12.75" x14ac:dyDescent="0.2">
      <c r="R7451" s="1288"/>
    </row>
    <row r="7452" spans="18:18" s="2" customFormat="1" ht="12.75" x14ac:dyDescent="0.2">
      <c r="R7452" s="1288"/>
    </row>
    <row r="7453" spans="18:18" s="2" customFormat="1" ht="12.75" x14ac:dyDescent="0.2">
      <c r="R7453" s="1288"/>
    </row>
    <row r="7454" spans="18:18" s="2" customFormat="1" ht="12.75" x14ac:dyDescent="0.2">
      <c r="R7454" s="1288"/>
    </row>
    <row r="7455" spans="18:18" s="2" customFormat="1" ht="12.75" x14ac:dyDescent="0.2">
      <c r="R7455" s="1288"/>
    </row>
    <row r="7456" spans="18:18" s="2" customFormat="1" ht="12.75" x14ac:dyDescent="0.2">
      <c r="R7456" s="1288"/>
    </row>
    <row r="7457" spans="18:18" s="2" customFormat="1" ht="12.75" x14ac:dyDescent="0.2">
      <c r="R7457" s="1288"/>
    </row>
    <row r="7458" spans="18:18" s="2" customFormat="1" ht="12.75" x14ac:dyDescent="0.2">
      <c r="R7458" s="1288"/>
    </row>
    <row r="7459" spans="18:18" s="2" customFormat="1" ht="12.75" x14ac:dyDescent="0.2">
      <c r="R7459" s="1288"/>
    </row>
    <row r="7460" spans="18:18" s="2" customFormat="1" ht="12.75" x14ac:dyDescent="0.2">
      <c r="R7460" s="1288"/>
    </row>
    <row r="7461" spans="18:18" s="2" customFormat="1" ht="12.75" x14ac:dyDescent="0.2">
      <c r="R7461" s="1288"/>
    </row>
    <row r="7462" spans="18:18" s="2" customFormat="1" ht="12.75" x14ac:dyDescent="0.2">
      <c r="R7462" s="1288"/>
    </row>
    <row r="7463" spans="18:18" s="2" customFormat="1" ht="12.75" x14ac:dyDescent="0.2">
      <c r="R7463" s="1288"/>
    </row>
    <row r="7464" spans="18:18" s="2" customFormat="1" ht="12.75" x14ac:dyDescent="0.2">
      <c r="R7464" s="1288"/>
    </row>
    <row r="7465" spans="18:18" s="2" customFormat="1" ht="12.75" x14ac:dyDescent="0.2">
      <c r="R7465" s="1288"/>
    </row>
    <row r="7466" spans="18:18" s="2" customFormat="1" ht="12.75" x14ac:dyDescent="0.2">
      <c r="R7466" s="1288"/>
    </row>
    <row r="7467" spans="18:18" s="2" customFormat="1" ht="12.75" x14ac:dyDescent="0.2">
      <c r="R7467" s="1288"/>
    </row>
    <row r="7468" spans="18:18" s="2" customFormat="1" ht="12.75" x14ac:dyDescent="0.2">
      <c r="R7468" s="1288"/>
    </row>
    <row r="7469" spans="18:18" s="2" customFormat="1" ht="12.75" x14ac:dyDescent="0.2">
      <c r="R7469" s="1288"/>
    </row>
    <row r="7470" spans="18:18" s="2" customFormat="1" ht="12.75" x14ac:dyDescent="0.2">
      <c r="R7470" s="1288"/>
    </row>
    <row r="7471" spans="18:18" s="2" customFormat="1" ht="12.75" x14ac:dyDescent="0.2">
      <c r="R7471" s="1288"/>
    </row>
    <row r="7472" spans="18:18" s="2" customFormat="1" ht="12.75" x14ac:dyDescent="0.2">
      <c r="R7472" s="1288"/>
    </row>
    <row r="7473" spans="18:18" s="2" customFormat="1" ht="12.75" x14ac:dyDescent="0.2">
      <c r="R7473" s="1288"/>
    </row>
    <row r="7474" spans="18:18" s="2" customFormat="1" ht="12.75" x14ac:dyDescent="0.2">
      <c r="R7474" s="1288"/>
    </row>
    <row r="7475" spans="18:18" s="2" customFormat="1" ht="12.75" x14ac:dyDescent="0.2">
      <c r="R7475" s="1288"/>
    </row>
    <row r="7476" spans="18:18" s="2" customFormat="1" ht="12.75" x14ac:dyDescent="0.2">
      <c r="R7476" s="1288"/>
    </row>
    <row r="7477" spans="18:18" s="2" customFormat="1" ht="12.75" x14ac:dyDescent="0.2">
      <c r="R7477" s="1288"/>
    </row>
    <row r="7478" spans="18:18" s="2" customFormat="1" ht="12.75" x14ac:dyDescent="0.2">
      <c r="R7478" s="1288"/>
    </row>
    <row r="7479" spans="18:18" s="2" customFormat="1" ht="12.75" x14ac:dyDescent="0.2">
      <c r="R7479" s="1288"/>
    </row>
    <row r="7480" spans="18:18" s="2" customFormat="1" ht="12.75" x14ac:dyDescent="0.2">
      <c r="R7480" s="1288"/>
    </row>
    <row r="7481" spans="18:18" s="2" customFormat="1" ht="12.75" x14ac:dyDescent="0.2">
      <c r="R7481" s="1288"/>
    </row>
    <row r="7482" spans="18:18" s="2" customFormat="1" ht="12.75" x14ac:dyDescent="0.2">
      <c r="R7482" s="1288"/>
    </row>
    <row r="7483" spans="18:18" s="2" customFormat="1" ht="12.75" x14ac:dyDescent="0.2">
      <c r="R7483" s="1288"/>
    </row>
    <row r="7484" spans="18:18" s="2" customFormat="1" ht="12.75" x14ac:dyDescent="0.2">
      <c r="R7484" s="1288"/>
    </row>
    <row r="7485" spans="18:18" s="2" customFormat="1" ht="12.75" x14ac:dyDescent="0.2">
      <c r="R7485" s="1288"/>
    </row>
    <row r="7486" spans="18:18" s="2" customFormat="1" ht="12.75" x14ac:dyDescent="0.2">
      <c r="R7486" s="1288"/>
    </row>
    <row r="7487" spans="18:18" s="2" customFormat="1" ht="12.75" x14ac:dyDescent="0.2">
      <c r="R7487" s="1288"/>
    </row>
    <row r="7488" spans="18:18" s="2" customFormat="1" ht="12.75" x14ac:dyDescent="0.2">
      <c r="R7488" s="1288"/>
    </row>
    <row r="7489" spans="18:18" s="2" customFormat="1" ht="12.75" x14ac:dyDescent="0.2">
      <c r="R7489" s="1288"/>
    </row>
    <row r="7490" spans="18:18" s="2" customFormat="1" ht="12.75" x14ac:dyDescent="0.2">
      <c r="R7490" s="1288"/>
    </row>
    <row r="7491" spans="18:18" s="2" customFormat="1" ht="12.75" x14ac:dyDescent="0.2">
      <c r="R7491" s="1288"/>
    </row>
    <row r="7492" spans="18:18" s="2" customFormat="1" ht="12.75" x14ac:dyDescent="0.2">
      <c r="R7492" s="1288"/>
    </row>
    <row r="7493" spans="18:18" s="2" customFormat="1" ht="12.75" x14ac:dyDescent="0.2">
      <c r="R7493" s="1288"/>
    </row>
    <row r="7494" spans="18:18" s="2" customFormat="1" ht="12.75" x14ac:dyDescent="0.2">
      <c r="R7494" s="1288"/>
    </row>
    <row r="7495" spans="18:18" s="2" customFormat="1" ht="12.75" x14ac:dyDescent="0.2">
      <c r="R7495" s="1288"/>
    </row>
    <row r="7496" spans="18:18" s="2" customFormat="1" ht="12.75" x14ac:dyDescent="0.2">
      <c r="R7496" s="1288"/>
    </row>
    <row r="7497" spans="18:18" s="2" customFormat="1" ht="12.75" x14ac:dyDescent="0.2">
      <c r="R7497" s="1288"/>
    </row>
    <row r="7498" spans="18:18" s="2" customFormat="1" ht="12.75" x14ac:dyDescent="0.2">
      <c r="R7498" s="1288"/>
    </row>
    <row r="7499" spans="18:18" s="2" customFormat="1" ht="12.75" x14ac:dyDescent="0.2">
      <c r="R7499" s="1288"/>
    </row>
    <row r="7500" spans="18:18" s="2" customFormat="1" ht="12.75" x14ac:dyDescent="0.2">
      <c r="R7500" s="1288"/>
    </row>
    <row r="7501" spans="18:18" s="2" customFormat="1" ht="12.75" x14ac:dyDescent="0.2">
      <c r="R7501" s="1288"/>
    </row>
    <row r="7502" spans="18:18" s="2" customFormat="1" ht="12.75" x14ac:dyDescent="0.2">
      <c r="R7502" s="1288"/>
    </row>
    <row r="7503" spans="18:18" s="2" customFormat="1" ht="12.75" x14ac:dyDescent="0.2">
      <c r="R7503" s="1288"/>
    </row>
    <row r="7504" spans="18:18" s="2" customFormat="1" ht="12.75" x14ac:dyDescent="0.2">
      <c r="R7504" s="1288"/>
    </row>
    <row r="7505" spans="18:18" s="2" customFormat="1" ht="12.75" x14ac:dyDescent="0.2">
      <c r="R7505" s="1288"/>
    </row>
    <row r="7506" spans="18:18" s="2" customFormat="1" ht="12.75" x14ac:dyDescent="0.2">
      <c r="R7506" s="1288"/>
    </row>
    <row r="7507" spans="18:18" s="2" customFormat="1" ht="12.75" x14ac:dyDescent="0.2">
      <c r="R7507" s="1288"/>
    </row>
    <row r="7508" spans="18:18" s="2" customFormat="1" ht="12.75" x14ac:dyDescent="0.2">
      <c r="R7508" s="1288"/>
    </row>
    <row r="7509" spans="18:18" s="2" customFormat="1" ht="12.75" x14ac:dyDescent="0.2">
      <c r="R7509" s="1288"/>
    </row>
    <row r="7510" spans="18:18" s="2" customFormat="1" ht="12.75" x14ac:dyDescent="0.2">
      <c r="R7510" s="1288"/>
    </row>
    <row r="7511" spans="18:18" s="2" customFormat="1" ht="12.75" x14ac:dyDescent="0.2">
      <c r="R7511" s="1288"/>
    </row>
    <row r="7512" spans="18:18" s="2" customFormat="1" ht="12.75" x14ac:dyDescent="0.2">
      <c r="R7512" s="1288"/>
    </row>
    <row r="7513" spans="18:18" s="2" customFormat="1" ht="12.75" x14ac:dyDescent="0.2">
      <c r="R7513" s="1288"/>
    </row>
    <row r="7514" spans="18:18" s="2" customFormat="1" ht="12.75" x14ac:dyDescent="0.2">
      <c r="R7514" s="1288"/>
    </row>
    <row r="7515" spans="18:18" s="2" customFormat="1" ht="12.75" x14ac:dyDescent="0.2">
      <c r="R7515" s="1288"/>
    </row>
    <row r="7516" spans="18:18" s="2" customFormat="1" ht="12.75" x14ac:dyDescent="0.2">
      <c r="R7516" s="1288"/>
    </row>
    <row r="7517" spans="18:18" s="2" customFormat="1" ht="12.75" x14ac:dyDescent="0.2">
      <c r="R7517" s="1288"/>
    </row>
    <row r="7518" spans="18:18" s="2" customFormat="1" ht="12.75" x14ac:dyDescent="0.2">
      <c r="R7518" s="1288"/>
    </row>
    <row r="7519" spans="18:18" s="2" customFormat="1" ht="12.75" x14ac:dyDescent="0.2">
      <c r="R7519" s="1288"/>
    </row>
    <row r="7520" spans="18:18" s="2" customFormat="1" ht="12.75" x14ac:dyDescent="0.2">
      <c r="R7520" s="1288"/>
    </row>
    <row r="7521" spans="18:18" s="2" customFormat="1" ht="12.75" x14ac:dyDescent="0.2">
      <c r="R7521" s="1288"/>
    </row>
    <row r="7522" spans="18:18" s="2" customFormat="1" ht="12.75" x14ac:dyDescent="0.2">
      <c r="R7522" s="1288"/>
    </row>
    <row r="7523" spans="18:18" s="2" customFormat="1" ht="12.75" x14ac:dyDescent="0.2">
      <c r="R7523" s="1288"/>
    </row>
    <row r="7524" spans="18:18" s="2" customFormat="1" ht="12.75" x14ac:dyDescent="0.2">
      <c r="R7524" s="1288"/>
    </row>
    <row r="7525" spans="18:18" s="2" customFormat="1" ht="12.75" x14ac:dyDescent="0.2">
      <c r="R7525" s="1288"/>
    </row>
    <row r="7526" spans="18:18" s="2" customFormat="1" ht="12.75" x14ac:dyDescent="0.2">
      <c r="R7526" s="1288"/>
    </row>
    <row r="7527" spans="18:18" s="2" customFormat="1" ht="12.75" x14ac:dyDescent="0.2">
      <c r="R7527" s="1288"/>
    </row>
    <row r="7528" spans="18:18" s="2" customFormat="1" ht="12.75" x14ac:dyDescent="0.2">
      <c r="R7528" s="1288"/>
    </row>
    <row r="7529" spans="18:18" s="2" customFormat="1" ht="12.75" x14ac:dyDescent="0.2">
      <c r="R7529" s="1288"/>
    </row>
    <row r="7530" spans="18:18" s="2" customFormat="1" ht="12.75" x14ac:dyDescent="0.2">
      <c r="R7530" s="1288"/>
    </row>
    <row r="7531" spans="18:18" s="2" customFormat="1" ht="12.75" x14ac:dyDescent="0.2">
      <c r="R7531" s="1288"/>
    </row>
    <row r="7532" spans="18:18" s="2" customFormat="1" ht="12.75" x14ac:dyDescent="0.2">
      <c r="R7532" s="1288"/>
    </row>
    <row r="7533" spans="18:18" s="2" customFormat="1" ht="12.75" x14ac:dyDescent="0.2">
      <c r="R7533" s="1288"/>
    </row>
    <row r="7534" spans="18:18" s="2" customFormat="1" ht="12.75" x14ac:dyDescent="0.2">
      <c r="R7534" s="1288"/>
    </row>
    <row r="7535" spans="18:18" s="2" customFormat="1" ht="12.75" x14ac:dyDescent="0.2">
      <c r="R7535" s="1288"/>
    </row>
    <row r="7536" spans="18:18" s="2" customFormat="1" ht="12.75" x14ac:dyDescent="0.2">
      <c r="R7536" s="1288"/>
    </row>
    <row r="7537" spans="18:18" s="2" customFormat="1" ht="12.75" x14ac:dyDescent="0.2">
      <c r="R7537" s="1288"/>
    </row>
    <row r="7538" spans="18:18" s="2" customFormat="1" ht="12.75" x14ac:dyDescent="0.2">
      <c r="R7538" s="1288"/>
    </row>
    <row r="7539" spans="18:18" s="2" customFormat="1" ht="12.75" x14ac:dyDescent="0.2">
      <c r="R7539" s="1288"/>
    </row>
    <row r="7540" spans="18:18" s="2" customFormat="1" ht="12.75" x14ac:dyDescent="0.2">
      <c r="R7540" s="1288"/>
    </row>
    <row r="7541" spans="18:18" s="2" customFormat="1" ht="12.75" x14ac:dyDescent="0.2">
      <c r="R7541" s="1288"/>
    </row>
    <row r="7542" spans="18:18" s="2" customFormat="1" ht="12.75" x14ac:dyDescent="0.2">
      <c r="R7542" s="1288"/>
    </row>
    <row r="7543" spans="18:18" s="2" customFormat="1" ht="12.75" x14ac:dyDescent="0.2">
      <c r="R7543" s="1288"/>
    </row>
    <row r="7544" spans="18:18" s="2" customFormat="1" ht="12.75" x14ac:dyDescent="0.2">
      <c r="R7544" s="1288"/>
    </row>
    <row r="7545" spans="18:18" s="2" customFormat="1" ht="12.75" x14ac:dyDescent="0.2">
      <c r="R7545" s="1288"/>
    </row>
    <row r="7546" spans="18:18" s="2" customFormat="1" ht="12.75" x14ac:dyDescent="0.2">
      <c r="R7546" s="1288"/>
    </row>
    <row r="7547" spans="18:18" s="2" customFormat="1" ht="12.75" x14ac:dyDescent="0.2">
      <c r="R7547" s="1288"/>
    </row>
    <row r="7548" spans="18:18" s="2" customFormat="1" ht="12.75" x14ac:dyDescent="0.2">
      <c r="R7548" s="1288"/>
    </row>
    <row r="7549" spans="18:18" s="2" customFormat="1" ht="12.75" x14ac:dyDescent="0.2">
      <c r="R7549" s="1288"/>
    </row>
    <row r="7550" spans="18:18" s="2" customFormat="1" ht="12.75" x14ac:dyDescent="0.2">
      <c r="R7550" s="1288"/>
    </row>
    <row r="7551" spans="18:18" s="2" customFormat="1" ht="12.75" x14ac:dyDescent="0.2">
      <c r="R7551" s="1288"/>
    </row>
    <row r="7552" spans="18:18" s="2" customFormat="1" ht="12.75" x14ac:dyDescent="0.2">
      <c r="R7552" s="1288"/>
    </row>
    <row r="7553" spans="18:18" s="2" customFormat="1" ht="12.75" x14ac:dyDescent="0.2">
      <c r="R7553" s="1288"/>
    </row>
    <row r="7554" spans="18:18" s="2" customFormat="1" ht="12.75" x14ac:dyDescent="0.2">
      <c r="R7554" s="1288"/>
    </row>
    <row r="7555" spans="18:18" s="2" customFormat="1" ht="12.75" x14ac:dyDescent="0.2">
      <c r="R7555" s="1288"/>
    </row>
    <row r="7556" spans="18:18" s="2" customFormat="1" ht="12.75" x14ac:dyDescent="0.2">
      <c r="R7556" s="1288"/>
    </row>
    <row r="7557" spans="18:18" s="2" customFormat="1" ht="12.75" x14ac:dyDescent="0.2">
      <c r="R7557" s="1288"/>
    </row>
    <row r="7558" spans="18:18" s="2" customFormat="1" ht="12.75" x14ac:dyDescent="0.2">
      <c r="R7558" s="1288"/>
    </row>
    <row r="7559" spans="18:18" s="2" customFormat="1" ht="12.75" x14ac:dyDescent="0.2">
      <c r="R7559" s="1288"/>
    </row>
    <row r="7560" spans="18:18" s="2" customFormat="1" ht="12.75" x14ac:dyDescent="0.2">
      <c r="R7560" s="1288"/>
    </row>
    <row r="7561" spans="18:18" s="2" customFormat="1" ht="12.75" x14ac:dyDescent="0.2">
      <c r="R7561" s="1288"/>
    </row>
    <row r="7562" spans="18:18" s="2" customFormat="1" ht="12.75" x14ac:dyDescent="0.2">
      <c r="R7562" s="1288"/>
    </row>
    <row r="7563" spans="18:18" s="2" customFormat="1" ht="12.75" x14ac:dyDescent="0.2">
      <c r="R7563" s="1288"/>
    </row>
    <row r="7564" spans="18:18" s="2" customFormat="1" ht="12.75" x14ac:dyDescent="0.2">
      <c r="R7564" s="1288"/>
    </row>
    <row r="7565" spans="18:18" s="2" customFormat="1" ht="12.75" x14ac:dyDescent="0.2">
      <c r="R7565" s="1288"/>
    </row>
    <row r="7566" spans="18:18" s="2" customFormat="1" ht="12.75" x14ac:dyDescent="0.2">
      <c r="R7566" s="1288"/>
    </row>
    <row r="7567" spans="18:18" s="2" customFormat="1" ht="12.75" x14ac:dyDescent="0.2">
      <c r="R7567" s="1288"/>
    </row>
    <row r="7568" spans="18:18" s="2" customFormat="1" ht="12.75" x14ac:dyDescent="0.2">
      <c r="R7568" s="1288"/>
    </row>
    <row r="7569" spans="18:18" s="2" customFormat="1" ht="12.75" x14ac:dyDescent="0.2">
      <c r="R7569" s="1288"/>
    </row>
    <row r="7570" spans="18:18" s="2" customFormat="1" ht="12.75" x14ac:dyDescent="0.2">
      <c r="R7570" s="1288"/>
    </row>
    <row r="7571" spans="18:18" s="2" customFormat="1" ht="12.75" x14ac:dyDescent="0.2">
      <c r="R7571" s="1288"/>
    </row>
    <row r="7572" spans="18:18" s="2" customFormat="1" ht="12.75" x14ac:dyDescent="0.2">
      <c r="R7572" s="1288"/>
    </row>
    <row r="7573" spans="18:18" s="2" customFormat="1" ht="12.75" x14ac:dyDescent="0.2">
      <c r="R7573" s="1288"/>
    </row>
    <row r="7574" spans="18:18" s="2" customFormat="1" ht="12.75" x14ac:dyDescent="0.2">
      <c r="R7574" s="1288"/>
    </row>
    <row r="7575" spans="18:18" s="2" customFormat="1" ht="12.75" x14ac:dyDescent="0.2">
      <c r="R7575" s="1288"/>
    </row>
    <row r="7576" spans="18:18" s="2" customFormat="1" ht="12.75" x14ac:dyDescent="0.2">
      <c r="R7576" s="1288"/>
    </row>
    <row r="7577" spans="18:18" s="2" customFormat="1" ht="12.75" x14ac:dyDescent="0.2">
      <c r="R7577" s="1288"/>
    </row>
    <row r="7578" spans="18:18" s="2" customFormat="1" ht="12.75" x14ac:dyDescent="0.2">
      <c r="R7578" s="1288"/>
    </row>
    <row r="7579" spans="18:18" s="2" customFormat="1" ht="12.75" x14ac:dyDescent="0.2">
      <c r="R7579" s="1288"/>
    </row>
    <row r="7580" spans="18:18" s="2" customFormat="1" ht="12.75" x14ac:dyDescent="0.2">
      <c r="R7580" s="1288"/>
    </row>
    <row r="7581" spans="18:18" s="2" customFormat="1" ht="12.75" x14ac:dyDescent="0.2">
      <c r="R7581" s="1288"/>
    </row>
    <row r="7582" spans="18:18" s="2" customFormat="1" ht="12.75" x14ac:dyDescent="0.2">
      <c r="R7582" s="1288"/>
    </row>
    <row r="7583" spans="18:18" s="2" customFormat="1" ht="12.75" x14ac:dyDescent="0.2">
      <c r="R7583" s="1288"/>
    </row>
    <row r="7584" spans="18:18" s="2" customFormat="1" ht="12.75" x14ac:dyDescent="0.2">
      <c r="R7584" s="1288"/>
    </row>
    <row r="7585" spans="18:18" s="2" customFormat="1" ht="12.75" x14ac:dyDescent="0.2">
      <c r="R7585" s="1288"/>
    </row>
    <row r="7586" spans="18:18" s="2" customFormat="1" ht="12.75" x14ac:dyDescent="0.2">
      <c r="R7586" s="1288"/>
    </row>
    <row r="7587" spans="18:18" s="2" customFormat="1" ht="12.75" x14ac:dyDescent="0.2">
      <c r="R7587" s="1288"/>
    </row>
    <row r="7588" spans="18:18" s="2" customFormat="1" ht="12.75" x14ac:dyDescent="0.2">
      <c r="R7588" s="1288"/>
    </row>
    <row r="7589" spans="18:18" s="2" customFormat="1" ht="12.75" x14ac:dyDescent="0.2">
      <c r="R7589" s="1288"/>
    </row>
    <row r="7590" spans="18:18" s="2" customFormat="1" ht="12.75" x14ac:dyDescent="0.2">
      <c r="R7590" s="1288"/>
    </row>
    <row r="7591" spans="18:18" s="2" customFormat="1" ht="12.75" x14ac:dyDescent="0.2">
      <c r="R7591" s="1288"/>
    </row>
    <row r="7592" spans="18:18" s="2" customFormat="1" ht="12.75" x14ac:dyDescent="0.2">
      <c r="R7592" s="1288"/>
    </row>
    <row r="7593" spans="18:18" s="2" customFormat="1" ht="12.75" x14ac:dyDescent="0.2">
      <c r="R7593" s="1288"/>
    </row>
    <row r="7594" spans="18:18" s="2" customFormat="1" ht="12.75" x14ac:dyDescent="0.2">
      <c r="R7594" s="1288"/>
    </row>
    <row r="7595" spans="18:18" s="2" customFormat="1" ht="12.75" x14ac:dyDescent="0.2">
      <c r="R7595" s="1288"/>
    </row>
    <row r="7596" spans="18:18" s="2" customFormat="1" ht="12.75" x14ac:dyDescent="0.2">
      <c r="R7596" s="1288"/>
    </row>
    <row r="7597" spans="18:18" s="2" customFormat="1" ht="12.75" x14ac:dyDescent="0.2">
      <c r="R7597" s="1288"/>
    </row>
    <row r="7598" spans="18:18" s="2" customFormat="1" ht="12.75" x14ac:dyDescent="0.2">
      <c r="R7598" s="1288"/>
    </row>
    <row r="7599" spans="18:18" s="2" customFormat="1" ht="12.75" x14ac:dyDescent="0.2">
      <c r="R7599" s="1288"/>
    </row>
    <row r="7600" spans="18:18" s="2" customFormat="1" ht="12.75" x14ac:dyDescent="0.2">
      <c r="R7600" s="1288"/>
    </row>
    <row r="7601" spans="18:18" s="2" customFormat="1" ht="12.75" x14ac:dyDescent="0.2">
      <c r="R7601" s="1288"/>
    </row>
    <row r="7602" spans="18:18" s="2" customFormat="1" ht="12.75" x14ac:dyDescent="0.2">
      <c r="R7602" s="1288"/>
    </row>
    <row r="7603" spans="18:18" s="2" customFormat="1" ht="12.75" x14ac:dyDescent="0.2">
      <c r="R7603" s="1288"/>
    </row>
    <row r="7604" spans="18:18" s="2" customFormat="1" ht="12.75" x14ac:dyDescent="0.2">
      <c r="R7604" s="1288"/>
    </row>
    <row r="7605" spans="18:18" s="2" customFormat="1" ht="12.75" x14ac:dyDescent="0.2">
      <c r="R7605" s="1288"/>
    </row>
    <row r="7606" spans="18:18" s="2" customFormat="1" ht="12.75" x14ac:dyDescent="0.2">
      <c r="R7606" s="1288"/>
    </row>
    <row r="7607" spans="18:18" s="2" customFormat="1" ht="12.75" x14ac:dyDescent="0.2">
      <c r="R7607" s="1288"/>
    </row>
    <row r="7608" spans="18:18" s="2" customFormat="1" ht="12.75" x14ac:dyDescent="0.2">
      <c r="R7608" s="1288"/>
    </row>
    <row r="7609" spans="18:18" s="2" customFormat="1" ht="12.75" x14ac:dyDescent="0.2">
      <c r="R7609" s="1288"/>
    </row>
    <row r="7610" spans="18:18" s="2" customFormat="1" ht="12.75" x14ac:dyDescent="0.2">
      <c r="R7610" s="1288"/>
    </row>
    <row r="7611" spans="18:18" s="2" customFormat="1" ht="12.75" x14ac:dyDescent="0.2">
      <c r="R7611" s="1288"/>
    </row>
    <row r="7612" spans="18:18" s="2" customFormat="1" ht="12.75" x14ac:dyDescent="0.2">
      <c r="R7612" s="1288"/>
    </row>
    <row r="7613" spans="18:18" s="2" customFormat="1" ht="12.75" x14ac:dyDescent="0.2">
      <c r="R7613" s="1288"/>
    </row>
    <row r="7614" spans="18:18" s="2" customFormat="1" ht="12.75" x14ac:dyDescent="0.2">
      <c r="R7614" s="1288"/>
    </row>
    <row r="7615" spans="18:18" s="2" customFormat="1" ht="12.75" x14ac:dyDescent="0.2">
      <c r="R7615" s="1288"/>
    </row>
    <row r="7616" spans="18:18" s="2" customFormat="1" ht="12.75" x14ac:dyDescent="0.2">
      <c r="R7616" s="1288"/>
    </row>
    <row r="7617" spans="18:18" s="2" customFormat="1" ht="12.75" x14ac:dyDescent="0.2">
      <c r="R7617" s="1288"/>
    </row>
    <row r="7618" spans="18:18" s="2" customFormat="1" ht="12.75" x14ac:dyDescent="0.2">
      <c r="R7618" s="1288"/>
    </row>
    <row r="7619" spans="18:18" s="2" customFormat="1" ht="12.75" x14ac:dyDescent="0.2">
      <c r="R7619" s="1288"/>
    </row>
    <row r="7620" spans="18:18" s="2" customFormat="1" ht="12.75" x14ac:dyDescent="0.2">
      <c r="R7620" s="1288"/>
    </row>
    <row r="7621" spans="18:18" s="2" customFormat="1" ht="12.75" x14ac:dyDescent="0.2">
      <c r="R7621" s="1288"/>
    </row>
    <row r="7622" spans="18:18" s="2" customFormat="1" ht="12.75" x14ac:dyDescent="0.2">
      <c r="R7622" s="1288"/>
    </row>
    <row r="7623" spans="18:18" s="2" customFormat="1" ht="12.75" x14ac:dyDescent="0.2">
      <c r="R7623" s="1288"/>
    </row>
    <row r="7624" spans="18:18" s="2" customFormat="1" ht="12.75" x14ac:dyDescent="0.2">
      <c r="R7624" s="1288"/>
    </row>
    <row r="7625" spans="18:18" s="2" customFormat="1" ht="12.75" x14ac:dyDescent="0.2">
      <c r="R7625" s="1288"/>
    </row>
    <row r="7626" spans="18:18" s="2" customFormat="1" ht="12.75" x14ac:dyDescent="0.2">
      <c r="R7626" s="1288"/>
    </row>
    <row r="7627" spans="18:18" s="2" customFormat="1" ht="12.75" x14ac:dyDescent="0.2">
      <c r="R7627" s="1288"/>
    </row>
    <row r="7628" spans="18:18" s="2" customFormat="1" ht="12.75" x14ac:dyDescent="0.2">
      <c r="R7628" s="1288"/>
    </row>
    <row r="7629" spans="18:18" s="2" customFormat="1" ht="12.75" x14ac:dyDescent="0.2">
      <c r="R7629" s="1288"/>
    </row>
    <row r="7630" spans="18:18" s="2" customFormat="1" ht="12.75" x14ac:dyDescent="0.2">
      <c r="R7630" s="1288"/>
    </row>
    <row r="7631" spans="18:18" s="2" customFormat="1" ht="12.75" x14ac:dyDescent="0.2">
      <c r="R7631" s="1288"/>
    </row>
    <row r="7632" spans="18:18" s="2" customFormat="1" ht="12.75" x14ac:dyDescent="0.2">
      <c r="R7632" s="1288"/>
    </row>
    <row r="7633" spans="18:18" s="2" customFormat="1" ht="12.75" x14ac:dyDescent="0.2">
      <c r="R7633" s="1288"/>
    </row>
    <row r="7634" spans="18:18" s="2" customFormat="1" ht="12.75" x14ac:dyDescent="0.2">
      <c r="R7634" s="1288"/>
    </row>
    <row r="7635" spans="18:18" s="2" customFormat="1" ht="12.75" x14ac:dyDescent="0.2">
      <c r="R7635" s="1288"/>
    </row>
    <row r="7636" spans="18:18" s="2" customFormat="1" ht="12.75" x14ac:dyDescent="0.2">
      <c r="R7636" s="1288"/>
    </row>
    <row r="7637" spans="18:18" s="2" customFormat="1" ht="12.75" x14ac:dyDescent="0.2">
      <c r="R7637" s="1288"/>
    </row>
    <row r="7638" spans="18:18" s="2" customFormat="1" ht="12.75" x14ac:dyDescent="0.2">
      <c r="R7638" s="1288"/>
    </row>
    <row r="7639" spans="18:18" s="2" customFormat="1" ht="12.75" x14ac:dyDescent="0.2">
      <c r="R7639" s="1288"/>
    </row>
    <row r="7640" spans="18:18" s="2" customFormat="1" ht="12.75" x14ac:dyDescent="0.2">
      <c r="R7640" s="1288"/>
    </row>
    <row r="7641" spans="18:18" s="2" customFormat="1" ht="12.75" x14ac:dyDescent="0.2">
      <c r="R7641" s="1288"/>
    </row>
    <row r="7642" spans="18:18" s="2" customFormat="1" ht="12.75" x14ac:dyDescent="0.2">
      <c r="R7642" s="1288"/>
    </row>
    <row r="7643" spans="18:18" s="2" customFormat="1" ht="12.75" x14ac:dyDescent="0.2">
      <c r="R7643" s="1288"/>
    </row>
    <row r="7644" spans="18:18" s="2" customFormat="1" ht="12.75" x14ac:dyDescent="0.2">
      <c r="R7644" s="1288"/>
    </row>
    <row r="7645" spans="18:18" s="2" customFormat="1" ht="12.75" x14ac:dyDescent="0.2">
      <c r="R7645" s="1288"/>
    </row>
    <row r="7646" spans="18:18" s="2" customFormat="1" ht="12.75" x14ac:dyDescent="0.2">
      <c r="R7646" s="1288"/>
    </row>
    <row r="7647" spans="18:18" s="2" customFormat="1" ht="12.75" x14ac:dyDescent="0.2">
      <c r="R7647" s="1288"/>
    </row>
    <row r="7648" spans="18:18" s="2" customFormat="1" ht="12.75" x14ac:dyDescent="0.2">
      <c r="R7648" s="1288"/>
    </row>
    <row r="7649" spans="18:18" s="2" customFormat="1" ht="12.75" x14ac:dyDescent="0.2">
      <c r="R7649" s="1288"/>
    </row>
    <row r="7650" spans="18:18" s="2" customFormat="1" ht="12.75" x14ac:dyDescent="0.2">
      <c r="R7650" s="1288"/>
    </row>
    <row r="7651" spans="18:18" s="2" customFormat="1" ht="12.75" x14ac:dyDescent="0.2">
      <c r="R7651" s="1288"/>
    </row>
    <row r="7652" spans="18:18" s="2" customFormat="1" ht="12.75" x14ac:dyDescent="0.2">
      <c r="R7652" s="1288"/>
    </row>
    <row r="7653" spans="18:18" s="2" customFormat="1" ht="12.75" x14ac:dyDescent="0.2">
      <c r="R7653" s="1288"/>
    </row>
    <row r="7654" spans="18:18" s="2" customFormat="1" ht="12.75" x14ac:dyDescent="0.2">
      <c r="R7654" s="1288"/>
    </row>
    <row r="7655" spans="18:18" s="2" customFormat="1" ht="12.75" x14ac:dyDescent="0.2">
      <c r="R7655" s="1288"/>
    </row>
    <row r="7656" spans="18:18" s="2" customFormat="1" ht="12.75" x14ac:dyDescent="0.2">
      <c r="R7656" s="1288"/>
    </row>
    <row r="7657" spans="18:18" s="2" customFormat="1" ht="12.75" x14ac:dyDescent="0.2">
      <c r="R7657" s="1288"/>
    </row>
    <row r="7658" spans="18:18" s="2" customFormat="1" ht="12.75" x14ac:dyDescent="0.2">
      <c r="R7658" s="1288"/>
    </row>
    <row r="7659" spans="18:18" s="2" customFormat="1" ht="12.75" x14ac:dyDescent="0.2">
      <c r="R7659" s="1288"/>
    </row>
    <row r="7660" spans="18:18" s="2" customFormat="1" ht="12.75" x14ac:dyDescent="0.2">
      <c r="R7660" s="1288"/>
    </row>
    <row r="7661" spans="18:18" s="2" customFormat="1" ht="12.75" x14ac:dyDescent="0.2">
      <c r="R7661" s="1288"/>
    </row>
    <row r="7662" spans="18:18" s="2" customFormat="1" ht="12.75" x14ac:dyDescent="0.2">
      <c r="R7662" s="1288"/>
    </row>
    <row r="7663" spans="18:18" s="2" customFormat="1" ht="12.75" x14ac:dyDescent="0.2">
      <c r="R7663" s="1288"/>
    </row>
    <row r="7664" spans="18:18" s="2" customFormat="1" ht="12.75" x14ac:dyDescent="0.2">
      <c r="R7664" s="1288"/>
    </row>
    <row r="7665" spans="18:18" s="2" customFormat="1" ht="12.75" x14ac:dyDescent="0.2">
      <c r="R7665" s="1288"/>
    </row>
    <row r="7666" spans="18:18" s="2" customFormat="1" ht="12.75" x14ac:dyDescent="0.2">
      <c r="R7666" s="1288"/>
    </row>
    <row r="7667" spans="18:18" s="2" customFormat="1" ht="12.75" x14ac:dyDescent="0.2">
      <c r="R7667" s="1288"/>
    </row>
    <row r="7668" spans="18:18" s="2" customFormat="1" ht="12.75" x14ac:dyDescent="0.2">
      <c r="R7668" s="1288"/>
    </row>
    <row r="7669" spans="18:18" s="2" customFormat="1" ht="12.75" x14ac:dyDescent="0.2">
      <c r="R7669" s="1288"/>
    </row>
    <row r="7670" spans="18:18" s="2" customFormat="1" ht="12.75" x14ac:dyDescent="0.2">
      <c r="R7670" s="1288"/>
    </row>
    <row r="7671" spans="18:18" s="2" customFormat="1" ht="12.75" x14ac:dyDescent="0.2">
      <c r="R7671" s="1288"/>
    </row>
    <row r="7672" spans="18:18" s="2" customFormat="1" ht="12.75" x14ac:dyDescent="0.2">
      <c r="R7672" s="1288"/>
    </row>
    <row r="7673" spans="18:18" s="2" customFormat="1" ht="12.75" x14ac:dyDescent="0.2">
      <c r="R7673" s="1288"/>
    </row>
    <row r="7674" spans="18:18" s="2" customFormat="1" ht="12.75" x14ac:dyDescent="0.2">
      <c r="R7674" s="1288"/>
    </row>
    <row r="7675" spans="18:18" s="2" customFormat="1" ht="12.75" x14ac:dyDescent="0.2">
      <c r="R7675" s="1288"/>
    </row>
    <row r="7676" spans="18:18" s="2" customFormat="1" ht="12.75" x14ac:dyDescent="0.2">
      <c r="R7676" s="1288"/>
    </row>
    <row r="7677" spans="18:18" s="2" customFormat="1" ht="12.75" x14ac:dyDescent="0.2">
      <c r="R7677" s="1288"/>
    </row>
    <row r="7678" spans="18:18" s="2" customFormat="1" ht="12.75" x14ac:dyDescent="0.2">
      <c r="R7678" s="1288"/>
    </row>
    <row r="7679" spans="18:18" s="2" customFormat="1" ht="12.75" x14ac:dyDescent="0.2">
      <c r="R7679" s="1288"/>
    </row>
    <row r="7680" spans="18:18" s="2" customFormat="1" ht="12.75" x14ac:dyDescent="0.2">
      <c r="R7680" s="1288"/>
    </row>
    <row r="7681" spans="18:18" s="2" customFormat="1" ht="12.75" x14ac:dyDescent="0.2">
      <c r="R7681" s="1288"/>
    </row>
    <row r="7682" spans="18:18" s="2" customFormat="1" ht="12.75" x14ac:dyDescent="0.2">
      <c r="R7682" s="1288"/>
    </row>
    <row r="7683" spans="18:18" s="2" customFormat="1" ht="12.75" x14ac:dyDescent="0.2">
      <c r="R7683" s="1288"/>
    </row>
    <row r="7684" spans="18:18" s="2" customFormat="1" ht="12.75" x14ac:dyDescent="0.2">
      <c r="R7684" s="1288"/>
    </row>
    <row r="7685" spans="18:18" s="2" customFormat="1" ht="12.75" x14ac:dyDescent="0.2">
      <c r="R7685" s="1288"/>
    </row>
    <row r="7686" spans="18:18" s="2" customFormat="1" ht="12.75" x14ac:dyDescent="0.2">
      <c r="R7686" s="1288"/>
    </row>
    <row r="7687" spans="18:18" s="2" customFormat="1" ht="12.75" x14ac:dyDescent="0.2">
      <c r="R7687" s="1288"/>
    </row>
    <row r="7688" spans="18:18" s="2" customFormat="1" ht="12.75" x14ac:dyDescent="0.2">
      <c r="R7688" s="1288"/>
    </row>
    <row r="7689" spans="18:18" s="2" customFormat="1" ht="12.75" x14ac:dyDescent="0.2">
      <c r="R7689" s="1288"/>
    </row>
    <row r="7690" spans="18:18" s="2" customFormat="1" ht="12.75" x14ac:dyDescent="0.2">
      <c r="R7690" s="1288"/>
    </row>
    <row r="7691" spans="18:18" s="2" customFormat="1" ht="12.75" x14ac:dyDescent="0.2">
      <c r="R7691" s="1288"/>
    </row>
    <row r="7692" spans="18:18" s="2" customFormat="1" ht="12.75" x14ac:dyDescent="0.2">
      <c r="R7692" s="1288"/>
    </row>
    <row r="7693" spans="18:18" s="2" customFormat="1" ht="12.75" x14ac:dyDescent="0.2">
      <c r="R7693" s="1288"/>
    </row>
    <row r="7694" spans="18:18" s="2" customFormat="1" ht="12.75" x14ac:dyDescent="0.2">
      <c r="R7694" s="1288"/>
    </row>
    <row r="7695" spans="18:18" s="2" customFormat="1" ht="12.75" x14ac:dyDescent="0.2">
      <c r="R7695" s="1288"/>
    </row>
    <row r="7696" spans="18:18" s="2" customFormat="1" ht="12.75" x14ac:dyDescent="0.2">
      <c r="R7696" s="1288"/>
    </row>
    <row r="7697" spans="18:18" s="2" customFormat="1" ht="12.75" x14ac:dyDescent="0.2">
      <c r="R7697" s="1288"/>
    </row>
    <row r="7698" spans="18:18" s="2" customFormat="1" ht="12.75" x14ac:dyDescent="0.2">
      <c r="R7698" s="1288"/>
    </row>
    <row r="7699" spans="18:18" s="2" customFormat="1" ht="12.75" x14ac:dyDescent="0.2">
      <c r="R7699" s="1288"/>
    </row>
    <row r="7700" spans="18:18" s="2" customFormat="1" ht="12.75" x14ac:dyDescent="0.2">
      <c r="R7700" s="1288"/>
    </row>
    <row r="7701" spans="18:18" s="2" customFormat="1" ht="12.75" x14ac:dyDescent="0.2">
      <c r="R7701" s="1288"/>
    </row>
    <row r="7702" spans="18:18" s="2" customFormat="1" ht="12.75" x14ac:dyDescent="0.2">
      <c r="R7702" s="1288"/>
    </row>
    <row r="7703" spans="18:18" s="2" customFormat="1" ht="12.75" x14ac:dyDescent="0.2">
      <c r="R7703" s="1288"/>
    </row>
    <row r="7704" spans="18:18" s="2" customFormat="1" ht="12.75" x14ac:dyDescent="0.2">
      <c r="R7704" s="1288"/>
    </row>
    <row r="7705" spans="18:18" s="2" customFormat="1" ht="12.75" x14ac:dyDescent="0.2">
      <c r="R7705" s="1288"/>
    </row>
    <row r="7706" spans="18:18" s="2" customFormat="1" ht="12.75" x14ac:dyDescent="0.2">
      <c r="R7706" s="1288"/>
    </row>
    <row r="7707" spans="18:18" s="2" customFormat="1" ht="12.75" x14ac:dyDescent="0.2">
      <c r="R7707" s="1288"/>
    </row>
    <row r="7708" spans="18:18" s="2" customFormat="1" ht="12.75" x14ac:dyDescent="0.2">
      <c r="R7708" s="1288"/>
    </row>
    <row r="7709" spans="18:18" s="2" customFormat="1" ht="12.75" x14ac:dyDescent="0.2">
      <c r="R7709" s="1288"/>
    </row>
    <row r="7710" spans="18:18" s="2" customFormat="1" ht="12.75" x14ac:dyDescent="0.2">
      <c r="R7710" s="1288"/>
    </row>
    <row r="7711" spans="18:18" s="2" customFormat="1" ht="12.75" x14ac:dyDescent="0.2">
      <c r="R7711" s="1288"/>
    </row>
    <row r="7712" spans="18:18" s="2" customFormat="1" ht="12.75" x14ac:dyDescent="0.2">
      <c r="R7712" s="1288"/>
    </row>
    <row r="7713" spans="18:18" s="2" customFormat="1" ht="12.75" x14ac:dyDescent="0.2">
      <c r="R7713" s="1288"/>
    </row>
    <row r="7714" spans="18:18" s="2" customFormat="1" ht="12.75" x14ac:dyDescent="0.2">
      <c r="R7714" s="1288"/>
    </row>
    <row r="7715" spans="18:18" s="2" customFormat="1" ht="12.75" x14ac:dyDescent="0.2">
      <c r="R7715" s="1288"/>
    </row>
    <row r="7716" spans="18:18" s="2" customFormat="1" ht="12.75" x14ac:dyDescent="0.2">
      <c r="R7716" s="1288"/>
    </row>
    <row r="7717" spans="18:18" s="2" customFormat="1" ht="12.75" x14ac:dyDescent="0.2">
      <c r="R7717" s="1288"/>
    </row>
    <row r="7718" spans="18:18" s="2" customFormat="1" ht="12.75" x14ac:dyDescent="0.2">
      <c r="R7718" s="1288"/>
    </row>
    <row r="7719" spans="18:18" s="2" customFormat="1" ht="12.75" x14ac:dyDescent="0.2">
      <c r="R7719" s="1288"/>
    </row>
    <row r="7720" spans="18:18" s="2" customFormat="1" ht="12.75" x14ac:dyDescent="0.2">
      <c r="R7720" s="1288"/>
    </row>
    <row r="7721" spans="18:18" s="2" customFormat="1" ht="12.75" x14ac:dyDescent="0.2">
      <c r="R7721" s="1288"/>
    </row>
    <row r="7722" spans="18:18" s="2" customFormat="1" ht="12.75" x14ac:dyDescent="0.2">
      <c r="R7722" s="1288"/>
    </row>
    <row r="7723" spans="18:18" s="2" customFormat="1" ht="12.75" x14ac:dyDescent="0.2">
      <c r="R7723" s="1288"/>
    </row>
    <row r="7724" spans="18:18" s="2" customFormat="1" ht="12.75" x14ac:dyDescent="0.2">
      <c r="R7724" s="1288"/>
    </row>
    <row r="7725" spans="18:18" s="2" customFormat="1" ht="12.75" x14ac:dyDescent="0.2">
      <c r="R7725" s="1288"/>
    </row>
    <row r="7726" spans="18:18" s="2" customFormat="1" ht="12.75" x14ac:dyDescent="0.2">
      <c r="R7726" s="1288"/>
    </row>
    <row r="7727" spans="18:18" s="2" customFormat="1" ht="12.75" x14ac:dyDescent="0.2">
      <c r="R7727" s="1288"/>
    </row>
    <row r="7728" spans="18:18" s="2" customFormat="1" ht="12.75" x14ac:dyDescent="0.2">
      <c r="R7728" s="1288"/>
    </row>
    <row r="7729" spans="18:18" s="2" customFormat="1" ht="12.75" x14ac:dyDescent="0.2">
      <c r="R7729" s="1288"/>
    </row>
    <row r="7730" spans="18:18" s="2" customFormat="1" ht="12.75" x14ac:dyDescent="0.2">
      <c r="R7730" s="1288"/>
    </row>
    <row r="7731" spans="18:18" s="2" customFormat="1" ht="12.75" x14ac:dyDescent="0.2">
      <c r="R7731" s="1288"/>
    </row>
    <row r="7732" spans="18:18" s="2" customFormat="1" ht="12.75" x14ac:dyDescent="0.2">
      <c r="R7732" s="1288"/>
    </row>
    <row r="7733" spans="18:18" s="2" customFormat="1" ht="12.75" x14ac:dyDescent="0.2">
      <c r="R7733" s="1288"/>
    </row>
    <row r="7734" spans="18:18" s="2" customFormat="1" ht="12.75" x14ac:dyDescent="0.2">
      <c r="R7734" s="1288"/>
    </row>
    <row r="7735" spans="18:18" s="2" customFormat="1" ht="12.75" x14ac:dyDescent="0.2">
      <c r="R7735" s="1288"/>
    </row>
    <row r="7736" spans="18:18" s="2" customFormat="1" ht="12.75" x14ac:dyDescent="0.2">
      <c r="R7736" s="1288"/>
    </row>
    <row r="7737" spans="18:18" s="2" customFormat="1" ht="12.75" x14ac:dyDescent="0.2">
      <c r="R7737" s="1288"/>
    </row>
    <row r="7738" spans="18:18" s="2" customFormat="1" ht="12.75" x14ac:dyDescent="0.2">
      <c r="R7738" s="1288"/>
    </row>
    <row r="7739" spans="18:18" s="2" customFormat="1" ht="12.75" x14ac:dyDescent="0.2">
      <c r="R7739" s="1288"/>
    </row>
    <row r="7740" spans="18:18" s="2" customFormat="1" ht="12.75" x14ac:dyDescent="0.2">
      <c r="R7740" s="1288"/>
    </row>
    <row r="7741" spans="18:18" s="2" customFormat="1" ht="12.75" x14ac:dyDescent="0.2">
      <c r="R7741" s="1288"/>
    </row>
    <row r="7742" spans="18:18" s="2" customFormat="1" ht="12.75" x14ac:dyDescent="0.2">
      <c r="R7742" s="1288"/>
    </row>
    <row r="7743" spans="18:18" s="2" customFormat="1" ht="12.75" x14ac:dyDescent="0.2">
      <c r="R7743" s="1288"/>
    </row>
    <row r="7744" spans="18:18" s="2" customFormat="1" ht="12.75" x14ac:dyDescent="0.2">
      <c r="R7744" s="1288"/>
    </row>
    <row r="7745" spans="18:18" s="2" customFormat="1" ht="12.75" x14ac:dyDescent="0.2">
      <c r="R7745" s="1288"/>
    </row>
    <row r="7746" spans="18:18" s="2" customFormat="1" ht="12.75" x14ac:dyDescent="0.2">
      <c r="R7746" s="1288"/>
    </row>
    <row r="7747" spans="18:18" s="2" customFormat="1" ht="12.75" x14ac:dyDescent="0.2">
      <c r="R7747" s="1288"/>
    </row>
    <row r="7748" spans="18:18" s="2" customFormat="1" ht="12.75" x14ac:dyDescent="0.2">
      <c r="R7748" s="1288"/>
    </row>
    <row r="7749" spans="18:18" s="2" customFormat="1" ht="12.75" x14ac:dyDescent="0.2">
      <c r="R7749" s="1288"/>
    </row>
    <row r="7750" spans="18:18" s="2" customFormat="1" ht="12.75" x14ac:dyDescent="0.2">
      <c r="R7750" s="1288"/>
    </row>
    <row r="7751" spans="18:18" s="2" customFormat="1" ht="12.75" x14ac:dyDescent="0.2">
      <c r="R7751" s="1288"/>
    </row>
    <row r="7752" spans="18:18" s="2" customFormat="1" ht="12.75" x14ac:dyDescent="0.2">
      <c r="R7752" s="1288"/>
    </row>
    <row r="7753" spans="18:18" s="2" customFormat="1" ht="12.75" x14ac:dyDescent="0.2">
      <c r="R7753" s="1288"/>
    </row>
    <row r="7754" spans="18:18" s="2" customFormat="1" ht="12.75" x14ac:dyDescent="0.2">
      <c r="R7754" s="1288"/>
    </row>
    <row r="7755" spans="18:18" s="2" customFormat="1" ht="12.75" x14ac:dyDescent="0.2">
      <c r="R7755" s="1288"/>
    </row>
    <row r="7756" spans="18:18" s="2" customFormat="1" ht="12.75" x14ac:dyDescent="0.2">
      <c r="R7756" s="1288"/>
    </row>
    <row r="7757" spans="18:18" s="2" customFormat="1" ht="12.75" x14ac:dyDescent="0.2">
      <c r="R7757" s="1288"/>
    </row>
    <row r="7758" spans="18:18" s="2" customFormat="1" ht="12.75" x14ac:dyDescent="0.2">
      <c r="R7758" s="1288"/>
    </row>
    <row r="7759" spans="18:18" s="2" customFormat="1" ht="12.75" x14ac:dyDescent="0.2">
      <c r="R7759" s="1288"/>
    </row>
    <row r="7760" spans="18:18" s="2" customFormat="1" ht="12.75" x14ac:dyDescent="0.2">
      <c r="R7760" s="1288"/>
    </row>
    <row r="7761" spans="18:18" s="2" customFormat="1" ht="12.75" x14ac:dyDescent="0.2">
      <c r="R7761" s="1288"/>
    </row>
    <row r="7762" spans="18:18" s="2" customFormat="1" ht="12.75" x14ac:dyDescent="0.2">
      <c r="R7762" s="1288"/>
    </row>
    <row r="7763" spans="18:18" s="2" customFormat="1" ht="12.75" x14ac:dyDescent="0.2">
      <c r="R7763" s="1288"/>
    </row>
    <row r="7764" spans="18:18" s="2" customFormat="1" ht="12.75" x14ac:dyDescent="0.2">
      <c r="R7764" s="1288"/>
    </row>
    <row r="7765" spans="18:18" s="2" customFormat="1" ht="12.75" x14ac:dyDescent="0.2">
      <c r="R7765" s="1288"/>
    </row>
    <row r="7766" spans="18:18" s="2" customFormat="1" ht="12.75" x14ac:dyDescent="0.2">
      <c r="R7766" s="1288"/>
    </row>
    <row r="7767" spans="18:18" s="2" customFormat="1" ht="12.75" x14ac:dyDescent="0.2">
      <c r="R7767" s="1288"/>
    </row>
    <row r="7768" spans="18:18" s="2" customFormat="1" ht="12.75" x14ac:dyDescent="0.2">
      <c r="R7768" s="1288"/>
    </row>
    <row r="7769" spans="18:18" s="2" customFormat="1" ht="12.75" x14ac:dyDescent="0.2">
      <c r="R7769" s="1288"/>
    </row>
    <row r="7770" spans="18:18" s="2" customFormat="1" ht="12.75" x14ac:dyDescent="0.2">
      <c r="R7770" s="1288"/>
    </row>
    <row r="7771" spans="18:18" s="2" customFormat="1" ht="12.75" x14ac:dyDescent="0.2">
      <c r="R7771" s="1288"/>
    </row>
    <row r="7772" spans="18:18" s="2" customFormat="1" ht="12.75" x14ac:dyDescent="0.2">
      <c r="R7772" s="1288"/>
    </row>
    <row r="7773" spans="18:18" s="2" customFormat="1" ht="12.75" x14ac:dyDescent="0.2">
      <c r="R7773" s="1288"/>
    </row>
    <row r="7774" spans="18:18" s="2" customFormat="1" ht="12.75" x14ac:dyDescent="0.2">
      <c r="R7774" s="1288"/>
    </row>
    <row r="7775" spans="18:18" s="2" customFormat="1" ht="12.75" x14ac:dyDescent="0.2">
      <c r="R7775" s="1288"/>
    </row>
    <row r="7776" spans="18:18" s="2" customFormat="1" ht="12.75" x14ac:dyDescent="0.2">
      <c r="R7776" s="1288"/>
    </row>
    <row r="7777" spans="18:18" s="2" customFormat="1" ht="12.75" x14ac:dyDescent="0.2">
      <c r="R7777" s="1288"/>
    </row>
    <row r="7778" spans="18:18" s="2" customFormat="1" ht="12.75" x14ac:dyDescent="0.2">
      <c r="R7778" s="1288"/>
    </row>
    <row r="7779" spans="18:18" s="2" customFormat="1" ht="12.75" x14ac:dyDescent="0.2">
      <c r="R7779" s="1288"/>
    </row>
    <row r="7780" spans="18:18" s="2" customFormat="1" ht="12.75" x14ac:dyDescent="0.2">
      <c r="R7780" s="1288"/>
    </row>
    <row r="7781" spans="18:18" s="2" customFormat="1" ht="12.75" x14ac:dyDescent="0.2">
      <c r="R7781" s="1288"/>
    </row>
    <row r="7782" spans="18:18" s="2" customFormat="1" ht="12.75" x14ac:dyDescent="0.2">
      <c r="R7782" s="1288"/>
    </row>
    <row r="7783" spans="18:18" s="2" customFormat="1" ht="12.75" x14ac:dyDescent="0.2">
      <c r="R7783" s="1288"/>
    </row>
    <row r="7784" spans="18:18" s="2" customFormat="1" ht="12.75" x14ac:dyDescent="0.2">
      <c r="R7784" s="1288"/>
    </row>
    <row r="7785" spans="18:18" s="2" customFormat="1" ht="12.75" x14ac:dyDescent="0.2">
      <c r="R7785" s="1288"/>
    </row>
    <row r="7786" spans="18:18" s="2" customFormat="1" ht="12.75" x14ac:dyDescent="0.2">
      <c r="R7786" s="1288"/>
    </row>
    <row r="7787" spans="18:18" s="2" customFormat="1" ht="12.75" x14ac:dyDescent="0.2">
      <c r="R7787" s="1288"/>
    </row>
    <row r="7788" spans="18:18" s="2" customFormat="1" ht="12.75" x14ac:dyDescent="0.2">
      <c r="R7788" s="1288"/>
    </row>
    <row r="7789" spans="18:18" s="2" customFormat="1" ht="12.75" x14ac:dyDescent="0.2">
      <c r="R7789" s="1288"/>
    </row>
    <row r="7790" spans="18:18" s="2" customFormat="1" ht="12.75" x14ac:dyDescent="0.2">
      <c r="R7790" s="1288"/>
    </row>
    <row r="7791" spans="18:18" s="2" customFormat="1" ht="12.75" x14ac:dyDescent="0.2">
      <c r="R7791" s="1288"/>
    </row>
    <row r="7792" spans="18:18" s="2" customFormat="1" ht="12.75" x14ac:dyDescent="0.2">
      <c r="R7792" s="1288"/>
    </row>
    <row r="7793" spans="18:18" s="2" customFormat="1" ht="12.75" x14ac:dyDescent="0.2">
      <c r="R7793" s="1288"/>
    </row>
    <row r="7794" spans="18:18" s="2" customFormat="1" ht="12.75" x14ac:dyDescent="0.2">
      <c r="R7794" s="1288"/>
    </row>
    <row r="7795" spans="18:18" s="2" customFormat="1" ht="12.75" x14ac:dyDescent="0.2">
      <c r="R7795" s="1288"/>
    </row>
    <row r="7796" spans="18:18" s="2" customFormat="1" ht="12.75" x14ac:dyDescent="0.2">
      <c r="R7796" s="1288"/>
    </row>
    <row r="7797" spans="18:18" s="2" customFormat="1" ht="12.75" x14ac:dyDescent="0.2">
      <c r="R7797" s="1288"/>
    </row>
    <row r="7798" spans="18:18" s="2" customFormat="1" ht="12.75" x14ac:dyDescent="0.2">
      <c r="R7798" s="1288"/>
    </row>
    <row r="7799" spans="18:18" s="2" customFormat="1" ht="12.75" x14ac:dyDescent="0.2">
      <c r="R7799" s="1288"/>
    </row>
    <row r="7800" spans="18:18" s="2" customFormat="1" ht="12.75" x14ac:dyDescent="0.2">
      <c r="R7800" s="1288"/>
    </row>
    <row r="7801" spans="18:18" s="2" customFormat="1" ht="12.75" x14ac:dyDescent="0.2">
      <c r="R7801" s="1288"/>
    </row>
    <row r="7802" spans="18:18" s="2" customFormat="1" ht="12.75" x14ac:dyDescent="0.2">
      <c r="R7802" s="1288"/>
    </row>
    <row r="7803" spans="18:18" s="2" customFormat="1" ht="12.75" x14ac:dyDescent="0.2">
      <c r="R7803" s="1288"/>
    </row>
    <row r="7804" spans="18:18" s="2" customFormat="1" ht="12.75" x14ac:dyDescent="0.2">
      <c r="R7804" s="1288"/>
    </row>
    <row r="7805" spans="18:18" s="2" customFormat="1" ht="12.75" x14ac:dyDescent="0.2">
      <c r="R7805" s="1288"/>
    </row>
    <row r="7806" spans="18:18" s="2" customFormat="1" ht="12.75" x14ac:dyDescent="0.2">
      <c r="R7806" s="1288"/>
    </row>
    <row r="7807" spans="18:18" s="2" customFormat="1" ht="12.75" x14ac:dyDescent="0.2">
      <c r="R7807" s="1288"/>
    </row>
    <row r="7808" spans="18:18" s="2" customFormat="1" ht="12.75" x14ac:dyDescent="0.2">
      <c r="R7808" s="1288"/>
    </row>
    <row r="7809" spans="18:18" s="2" customFormat="1" ht="12.75" x14ac:dyDescent="0.2">
      <c r="R7809" s="1288"/>
    </row>
    <row r="7810" spans="18:18" s="2" customFormat="1" ht="12.75" x14ac:dyDescent="0.2">
      <c r="R7810" s="1288"/>
    </row>
    <row r="7811" spans="18:18" s="2" customFormat="1" ht="12.75" x14ac:dyDescent="0.2">
      <c r="R7811" s="1288"/>
    </row>
    <row r="7812" spans="18:18" s="2" customFormat="1" ht="12.75" x14ac:dyDescent="0.2">
      <c r="R7812" s="1288"/>
    </row>
    <row r="7813" spans="18:18" s="2" customFormat="1" ht="12.75" x14ac:dyDescent="0.2">
      <c r="R7813" s="1288"/>
    </row>
    <row r="7814" spans="18:18" s="2" customFormat="1" ht="12.75" x14ac:dyDescent="0.2">
      <c r="R7814" s="1288"/>
    </row>
    <row r="7815" spans="18:18" s="2" customFormat="1" ht="12.75" x14ac:dyDescent="0.2">
      <c r="R7815" s="1288"/>
    </row>
    <row r="7816" spans="18:18" s="2" customFormat="1" ht="12.75" x14ac:dyDescent="0.2">
      <c r="R7816" s="1288"/>
    </row>
    <row r="7817" spans="18:18" s="2" customFormat="1" ht="12.75" x14ac:dyDescent="0.2">
      <c r="R7817" s="1288"/>
    </row>
    <row r="7818" spans="18:18" s="2" customFormat="1" ht="12.75" x14ac:dyDescent="0.2">
      <c r="R7818" s="1288"/>
    </row>
    <row r="7819" spans="18:18" s="2" customFormat="1" ht="12.75" x14ac:dyDescent="0.2">
      <c r="R7819" s="1288"/>
    </row>
    <row r="7820" spans="18:18" s="2" customFormat="1" ht="12.75" x14ac:dyDescent="0.2">
      <c r="R7820" s="1288"/>
    </row>
    <row r="7821" spans="18:18" s="2" customFormat="1" ht="12.75" x14ac:dyDescent="0.2">
      <c r="R7821" s="1288"/>
    </row>
    <row r="7822" spans="18:18" s="2" customFormat="1" ht="12.75" x14ac:dyDescent="0.2">
      <c r="R7822" s="1288"/>
    </row>
    <row r="7823" spans="18:18" s="2" customFormat="1" ht="12.75" x14ac:dyDescent="0.2">
      <c r="R7823" s="1288"/>
    </row>
    <row r="7824" spans="18:18" s="2" customFormat="1" ht="12.75" x14ac:dyDescent="0.2">
      <c r="R7824" s="1288"/>
    </row>
    <row r="7825" spans="18:18" s="2" customFormat="1" ht="12.75" x14ac:dyDescent="0.2">
      <c r="R7825" s="1288"/>
    </row>
    <row r="7826" spans="18:18" s="2" customFormat="1" ht="12.75" x14ac:dyDescent="0.2">
      <c r="R7826" s="1288"/>
    </row>
    <row r="7827" spans="18:18" s="2" customFormat="1" ht="12.75" x14ac:dyDescent="0.2">
      <c r="R7827" s="1288"/>
    </row>
    <row r="7828" spans="18:18" s="2" customFormat="1" ht="12.75" x14ac:dyDescent="0.2">
      <c r="R7828" s="1288"/>
    </row>
    <row r="7829" spans="18:18" s="2" customFormat="1" ht="12.75" x14ac:dyDescent="0.2">
      <c r="R7829" s="1288"/>
    </row>
    <row r="7830" spans="18:18" s="2" customFormat="1" ht="12.75" x14ac:dyDescent="0.2">
      <c r="R7830" s="1288"/>
    </row>
    <row r="7831" spans="18:18" s="2" customFormat="1" ht="12.75" x14ac:dyDescent="0.2">
      <c r="R7831" s="1288"/>
    </row>
    <row r="7832" spans="18:18" s="2" customFormat="1" ht="12.75" x14ac:dyDescent="0.2">
      <c r="R7832" s="1288"/>
    </row>
    <row r="7833" spans="18:18" s="2" customFormat="1" ht="12.75" x14ac:dyDescent="0.2">
      <c r="R7833" s="1288"/>
    </row>
    <row r="7834" spans="18:18" s="2" customFormat="1" ht="12.75" x14ac:dyDescent="0.2">
      <c r="R7834" s="1288"/>
    </row>
    <row r="7835" spans="18:18" s="2" customFormat="1" ht="12.75" x14ac:dyDescent="0.2">
      <c r="R7835" s="1288"/>
    </row>
    <row r="7836" spans="18:18" s="2" customFormat="1" ht="12.75" x14ac:dyDescent="0.2">
      <c r="R7836" s="1288"/>
    </row>
    <row r="7837" spans="18:18" s="2" customFormat="1" ht="12.75" x14ac:dyDescent="0.2">
      <c r="R7837" s="1288"/>
    </row>
    <row r="7838" spans="18:18" s="2" customFormat="1" ht="12.75" x14ac:dyDescent="0.2">
      <c r="R7838" s="1288"/>
    </row>
    <row r="7839" spans="18:18" s="2" customFormat="1" ht="12.75" x14ac:dyDescent="0.2">
      <c r="R7839" s="1288"/>
    </row>
    <row r="7840" spans="18:18" s="2" customFormat="1" ht="12.75" x14ac:dyDescent="0.2">
      <c r="R7840" s="1288"/>
    </row>
    <row r="7841" spans="18:18" s="2" customFormat="1" ht="12.75" x14ac:dyDescent="0.2">
      <c r="R7841" s="1288"/>
    </row>
    <row r="7842" spans="18:18" s="2" customFormat="1" ht="12.75" x14ac:dyDescent="0.2">
      <c r="R7842" s="1288"/>
    </row>
    <row r="7843" spans="18:18" s="2" customFormat="1" ht="12.75" x14ac:dyDescent="0.2">
      <c r="R7843" s="1288"/>
    </row>
    <row r="7844" spans="18:18" s="2" customFormat="1" ht="12.75" x14ac:dyDescent="0.2">
      <c r="R7844" s="1288"/>
    </row>
    <row r="7845" spans="18:18" s="2" customFormat="1" ht="12.75" x14ac:dyDescent="0.2">
      <c r="R7845" s="1288"/>
    </row>
    <row r="7846" spans="18:18" s="2" customFormat="1" ht="12.75" x14ac:dyDescent="0.2">
      <c r="R7846" s="1288"/>
    </row>
    <row r="7847" spans="18:18" s="2" customFormat="1" ht="12.75" x14ac:dyDescent="0.2">
      <c r="R7847" s="1288"/>
    </row>
    <row r="7848" spans="18:18" s="2" customFormat="1" ht="12.75" x14ac:dyDescent="0.2">
      <c r="R7848" s="1288"/>
    </row>
    <row r="7849" spans="18:18" s="2" customFormat="1" ht="12.75" x14ac:dyDescent="0.2">
      <c r="R7849" s="1288"/>
    </row>
    <row r="7850" spans="18:18" s="2" customFormat="1" ht="12.75" x14ac:dyDescent="0.2">
      <c r="R7850" s="1288"/>
    </row>
    <row r="7851" spans="18:18" s="2" customFormat="1" ht="12.75" x14ac:dyDescent="0.2">
      <c r="R7851" s="1288"/>
    </row>
    <row r="7852" spans="18:18" s="2" customFormat="1" ht="12.75" x14ac:dyDescent="0.2">
      <c r="R7852" s="1288"/>
    </row>
    <row r="7853" spans="18:18" s="2" customFormat="1" ht="12.75" x14ac:dyDescent="0.2">
      <c r="R7853" s="1288"/>
    </row>
    <row r="7854" spans="18:18" s="2" customFormat="1" ht="12.75" x14ac:dyDescent="0.2">
      <c r="R7854" s="1288"/>
    </row>
    <row r="7855" spans="18:18" s="2" customFormat="1" ht="12.75" x14ac:dyDescent="0.2">
      <c r="R7855" s="1288"/>
    </row>
    <row r="7856" spans="18:18" s="2" customFormat="1" ht="12.75" x14ac:dyDescent="0.2">
      <c r="R7856" s="1288"/>
    </row>
    <row r="7857" spans="18:18" s="2" customFormat="1" ht="12.75" x14ac:dyDescent="0.2">
      <c r="R7857" s="1288"/>
    </row>
    <row r="7858" spans="18:18" s="2" customFormat="1" ht="12.75" x14ac:dyDescent="0.2">
      <c r="R7858" s="1288"/>
    </row>
    <row r="7859" spans="18:18" s="2" customFormat="1" ht="12.75" x14ac:dyDescent="0.2">
      <c r="R7859" s="1288"/>
    </row>
    <row r="7860" spans="18:18" s="2" customFormat="1" ht="12.75" x14ac:dyDescent="0.2">
      <c r="R7860" s="1288"/>
    </row>
    <row r="7861" spans="18:18" s="2" customFormat="1" ht="12.75" x14ac:dyDescent="0.2">
      <c r="R7861" s="1288"/>
    </row>
    <row r="7862" spans="18:18" s="2" customFormat="1" ht="12.75" x14ac:dyDescent="0.2">
      <c r="R7862" s="1288"/>
    </row>
    <row r="7863" spans="18:18" s="2" customFormat="1" ht="12.75" x14ac:dyDescent="0.2">
      <c r="R7863" s="1288"/>
    </row>
    <row r="7864" spans="18:18" s="2" customFormat="1" ht="12.75" x14ac:dyDescent="0.2">
      <c r="R7864" s="1288"/>
    </row>
    <row r="7865" spans="18:18" s="2" customFormat="1" ht="12.75" x14ac:dyDescent="0.2">
      <c r="R7865" s="1288"/>
    </row>
    <row r="7866" spans="18:18" s="2" customFormat="1" ht="12.75" x14ac:dyDescent="0.2">
      <c r="R7866" s="1288"/>
    </row>
    <row r="7867" spans="18:18" s="2" customFormat="1" ht="12.75" x14ac:dyDescent="0.2">
      <c r="R7867" s="1288"/>
    </row>
    <row r="7868" spans="18:18" s="2" customFormat="1" ht="12.75" x14ac:dyDescent="0.2">
      <c r="R7868" s="1288"/>
    </row>
    <row r="7869" spans="18:18" s="2" customFormat="1" ht="12.75" x14ac:dyDescent="0.2">
      <c r="R7869" s="1288"/>
    </row>
    <row r="7870" spans="18:18" s="2" customFormat="1" ht="12.75" x14ac:dyDescent="0.2">
      <c r="R7870" s="1288"/>
    </row>
    <row r="7871" spans="18:18" s="2" customFormat="1" ht="12.75" x14ac:dyDescent="0.2">
      <c r="R7871" s="1288"/>
    </row>
    <row r="7872" spans="18:18" s="2" customFormat="1" ht="12.75" x14ac:dyDescent="0.2">
      <c r="R7872" s="1288"/>
    </row>
    <row r="7873" spans="18:18" s="2" customFormat="1" ht="12.75" x14ac:dyDescent="0.2">
      <c r="R7873" s="1288"/>
    </row>
    <row r="7874" spans="18:18" s="2" customFormat="1" ht="12.75" x14ac:dyDescent="0.2">
      <c r="R7874" s="1288"/>
    </row>
    <row r="7875" spans="18:18" s="2" customFormat="1" ht="12.75" x14ac:dyDescent="0.2">
      <c r="R7875" s="1288"/>
    </row>
    <row r="7876" spans="18:18" s="2" customFormat="1" ht="12.75" x14ac:dyDescent="0.2">
      <c r="R7876" s="1288"/>
    </row>
    <row r="7877" spans="18:18" s="2" customFormat="1" ht="12.75" x14ac:dyDescent="0.2">
      <c r="R7877" s="1288"/>
    </row>
    <row r="7878" spans="18:18" s="2" customFormat="1" ht="12.75" x14ac:dyDescent="0.2">
      <c r="R7878" s="1288"/>
    </row>
    <row r="7879" spans="18:18" s="2" customFormat="1" ht="12.75" x14ac:dyDescent="0.2">
      <c r="R7879" s="1288"/>
    </row>
    <row r="7880" spans="18:18" s="2" customFormat="1" ht="12.75" x14ac:dyDescent="0.2">
      <c r="R7880" s="1288"/>
    </row>
    <row r="7881" spans="18:18" s="2" customFormat="1" ht="12.75" x14ac:dyDescent="0.2">
      <c r="R7881" s="1288"/>
    </row>
    <row r="7882" spans="18:18" s="2" customFormat="1" ht="12.75" x14ac:dyDescent="0.2">
      <c r="R7882" s="1288"/>
    </row>
    <row r="7883" spans="18:18" s="2" customFormat="1" ht="12.75" x14ac:dyDescent="0.2">
      <c r="R7883" s="1288"/>
    </row>
    <row r="7884" spans="18:18" s="2" customFormat="1" ht="12.75" x14ac:dyDescent="0.2">
      <c r="R7884" s="1288"/>
    </row>
    <row r="7885" spans="18:18" s="2" customFormat="1" ht="12.75" x14ac:dyDescent="0.2">
      <c r="R7885" s="1288"/>
    </row>
    <row r="7886" spans="18:18" s="2" customFormat="1" ht="12.75" x14ac:dyDescent="0.2">
      <c r="R7886" s="1288"/>
    </row>
    <row r="7887" spans="18:18" s="2" customFormat="1" ht="12.75" x14ac:dyDescent="0.2">
      <c r="R7887" s="1288"/>
    </row>
    <row r="7888" spans="18:18" s="2" customFormat="1" ht="12.75" x14ac:dyDescent="0.2">
      <c r="R7888" s="1288"/>
    </row>
    <row r="7889" spans="18:18" s="2" customFormat="1" ht="12.75" x14ac:dyDescent="0.2">
      <c r="R7889" s="1288"/>
    </row>
    <row r="7890" spans="18:18" s="2" customFormat="1" ht="12.75" x14ac:dyDescent="0.2">
      <c r="R7890" s="1288"/>
    </row>
    <row r="7891" spans="18:18" s="2" customFormat="1" ht="12.75" x14ac:dyDescent="0.2">
      <c r="R7891" s="1288"/>
    </row>
    <row r="7892" spans="18:18" s="2" customFormat="1" ht="12.75" x14ac:dyDescent="0.2">
      <c r="R7892" s="1288"/>
    </row>
    <row r="7893" spans="18:18" s="2" customFormat="1" ht="12.75" x14ac:dyDescent="0.2">
      <c r="R7893" s="1288"/>
    </row>
    <row r="7894" spans="18:18" s="2" customFormat="1" ht="12.75" x14ac:dyDescent="0.2">
      <c r="R7894" s="1288"/>
    </row>
    <row r="7895" spans="18:18" s="2" customFormat="1" ht="12.75" x14ac:dyDescent="0.2">
      <c r="R7895" s="1288"/>
    </row>
    <row r="7896" spans="18:18" s="2" customFormat="1" ht="12.75" x14ac:dyDescent="0.2">
      <c r="R7896" s="1288"/>
    </row>
    <row r="7897" spans="18:18" s="2" customFormat="1" ht="12.75" x14ac:dyDescent="0.2">
      <c r="R7897" s="1288"/>
    </row>
    <row r="7898" spans="18:18" s="2" customFormat="1" ht="12.75" x14ac:dyDescent="0.2">
      <c r="R7898" s="1288"/>
    </row>
    <row r="7899" spans="18:18" s="2" customFormat="1" ht="12.75" x14ac:dyDescent="0.2">
      <c r="R7899" s="1288"/>
    </row>
    <row r="7900" spans="18:18" s="2" customFormat="1" ht="12.75" x14ac:dyDescent="0.2">
      <c r="R7900" s="1288"/>
    </row>
    <row r="7901" spans="18:18" s="2" customFormat="1" ht="12.75" x14ac:dyDescent="0.2">
      <c r="R7901" s="1288"/>
    </row>
    <row r="7902" spans="18:18" s="2" customFormat="1" ht="12.75" x14ac:dyDescent="0.2">
      <c r="R7902" s="1288"/>
    </row>
    <row r="7903" spans="18:18" s="2" customFormat="1" ht="12.75" x14ac:dyDescent="0.2">
      <c r="R7903" s="1288"/>
    </row>
    <row r="7904" spans="18:18" s="2" customFormat="1" ht="12.75" x14ac:dyDescent="0.2">
      <c r="R7904" s="1288"/>
    </row>
    <row r="7905" spans="18:18" s="2" customFormat="1" ht="12.75" x14ac:dyDescent="0.2">
      <c r="R7905" s="1288"/>
    </row>
    <row r="7906" spans="18:18" s="2" customFormat="1" ht="12.75" x14ac:dyDescent="0.2">
      <c r="R7906" s="1288"/>
    </row>
    <row r="7907" spans="18:18" s="2" customFormat="1" ht="12.75" x14ac:dyDescent="0.2">
      <c r="R7907" s="1288"/>
    </row>
    <row r="7908" spans="18:18" s="2" customFormat="1" ht="12.75" x14ac:dyDescent="0.2">
      <c r="R7908" s="1288"/>
    </row>
    <row r="7909" spans="18:18" s="2" customFormat="1" ht="12.75" x14ac:dyDescent="0.2">
      <c r="R7909" s="1288"/>
    </row>
    <row r="7910" spans="18:18" s="2" customFormat="1" ht="12.75" x14ac:dyDescent="0.2">
      <c r="R7910" s="1288"/>
    </row>
    <row r="7911" spans="18:18" s="2" customFormat="1" ht="12.75" x14ac:dyDescent="0.2">
      <c r="R7911" s="1288"/>
    </row>
    <row r="7912" spans="18:18" s="2" customFormat="1" ht="12.75" x14ac:dyDescent="0.2">
      <c r="R7912" s="1288"/>
    </row>
    <row r="7913" spans="18:18" s="2" customFormat="1" ht="12.75" x14ac:dyDescent="0.2">
      <c r="R7913" s="1288"/>
    </row>
    <row r="7914" spans="18:18" s="2" customFormat="1" ht="12.75" x14ac:dyDescent="0.2">
      <c r="R7914" s="1288"/>
    </row>
    <row r="7915" spans="18:18" s="2" customFormat="1" ht="12.75" x14ac:dyDescent="0.2">
      <c r="R7915" s="1288"/>
    </row>
    <row r="7916" spans="18:18" s="2" customFormat="1" ht="12.75" x14ac:dyDescent="0.2">
      <c r="R7916" s="1288"/>
    </row>
    <row r="7917" spans="18:18" s="2" customFormat="1" ht="12.75" x14ac:dyDescent="0.2">
      <c r="R7917" s="1288"/>
    </row>
    <row r="7918" spans="18:18" s="2" customFormat="1" ht="12.75" x14ac:dyDescent="0.2">
      <c r="R7918" s="1288"/>
    </row>
    <row r="7919" spans="18:18" s="2" customFormat="1" ht="12.75" x14ac:dyDescent="0.2">
      <c r="R7919" s="1288"/>
    </row>
    <row r="7920" spans="18:18" s="2" customFormat="1" ht="12.75" x14ac:dyDescent="0.2">
      <c r="R7920" s="1288"/>
    </row>
    <row r="7921" spans="18:18" s="2" customFormat="1" ht="12.75" x14ac:dyDescent="0.2">
      <c r="R7921" s="1288"/>
    </row>
    <row r="7922" spans="18:18" s="2" customFormat="1" ht="12.75" x14ac:dyDescent="0.2">
      <c r="R7922" s="1288"/>
    </row>
    <row r="7923" spans="18:18" s="2" customFormat="1" ht="12.75" x14ac:dyDescent="0.2">
      <c r="R7923" s="1288"/>
    </row>
    <row r="7924" spans="18:18" s="2" customFormat="1" ht="12.75" x14ac:dyDescent="0.2">
      <c r="R7924" s="1288"/>
    </row>
    <row r="7925" spans="18:18" s="2" customFormat="1" ht="12.75" x14ac:dyDescent="0.2">
      <c r="R7925" s="1288"/>
    </row>
    <row r="7926" spans="18:18" s="2" customFormat="1" ht="12.75" x14ac:dyDescent="0.2">
      <c r="R7926" s="1288"/>
    </row>
    <row r="7927" spans="18:18" s="2" customFormat="1" ht="12.75" x14ac:dyDescent="0.2">
      <c r="R7927" s="1288"/>
    </row>
    <row r="7928" spans="18:18" s="2" customFormat="1" ht="12.75" x14ac:dyDescent="0.2">
      <c r="R7928" s="1288"/>
    </row>
    <row r="7929" spans="18:18" s="2" customFormat="1" ht="12.75" x14ac:dyDescent="0.2">
      <c r="R7929" s="1288"/>
    </row>
    <row r="7930" spans="18:18" s="2" customFormat="1" ht="12.75" x14ac:dyDescent="0.2">
      <c r="R7930" s="1288"/>
    </row>
    <row r="7931" spans="18:18" s="2" customFormat="1" ht="12.75" x14ac:dyDescent="0.2">
      <c r="R7931" s="1288"/>
    </row>
    <row r="7932" spans="18:18" s="2" customFormat="1" ht="12.75" x14ac:dyDescent="0.2">
      <c r="R7932" s="1288"/>
    </row>
    <row r="7933" spans="18:18" s="2" customFormat="1" ht="12.75" x14ac:dyDescent="0.2">
      <c r="R7933" s="1288"/>
    </row>
    <row r="7934" spans="18:18" s="2" customFormat="1" ht="12.75" x14ac:dyDescent="0.2">
      <c r="R7934" s="1288"/>
    </row>
    <row r="7935" spans="18:18" s="2" customFormat="1" ht="12.75" x14ac:dyDescent="0.2">
      <c r="R7935" s="1288"/>
    </row>
    <row r="7936" spans="18:18" s="2" customFormat="1" ht="12.75" x14ac:dyDescent="0.2">
      <c r="R7936" s="1288"/>
    </row>
    <row r="7937" spans="18:18" s="2" customFormat="1" ht="12.75" x14ac:dyDescent="0.2">
      <c r="R7937" s="1288"/>
    </row>
    <row r="7938" spans="18:18" s="2" customFormat="1" ht="12.75" x14ac:dyDescent="0.2">
      <c r="R7938" s="1288"/>
    </row>
    <row r="7939" spans="18:18" s="2" customFormat="1" ht="12.75" x14ac:dyDescent="0.2">
      <c r="R7939" s="1288"/>
    </row>
    <row r="7940" spans="18:18" s="2" customFormat="1" ht="12.75" x14ac:dyDescent="0.2">
      <c r="R7940" s="1288"/>
    </row>
    <row r="7941" spans="18:18" s="2" customFormat="1" ht="12.75" x14ac:dyDescent="0.2">
      <c r="R7941" s="1288"/>
    </row>
    <row r="7942" spans="18:18" s="2" customFormat="1" ht="12.75" x14ac:dyDescent="0.2">
      <c r="R7942" s="1288"/>
    </row>
    <row r="7943" spans="18:18" s="2" customFormat="1" ht="12.75" x14ac:dyDescent="0.2">
      <c r="R7943" s="1288"/>
    </row>
    <row r="7944" spans="18:18" s="2" customFormat="1" ht="12.75" x14ac:dyDescent="0.2">
      <c r="R7944" s="1288"/>
    </row>
    <row r="7945" spans="18:18" s="2" customFormat="1" ht="12.75" x14ac:dyDescent="0.2">
      <c r="R7945" s="1288"/>
    </row>
    <row r="7946" spans="18:18" s="2" customFormat="1" ht="12.75" x14ac:dyDescent="0.2">
      <c r="R7946" s="1288"/>
    </row>
    <row r="7947" spans="18:18" s="2" customFormat="1" ht="12.75" x14ac:dyDescent="0.2">
      <c r="R7947" s="1288"/>
    </row>
    <row r="7948" spans="18:18" s="2" customFormat="1" ht="12.75" x14ac:dyDescent="0.2">
      <c r="R7948" s="1288"/>
    </row>
    <row r="7949" spans="18:18" s="2" customFormat="1" ht="12.75" x14ac:dyDescent="0.2">
      <c r="R7949" s="1288"/>
    </row>
    <row r="7950" spans="18:18" s="2" customFormat="1" ht="12.75" x14ac:dyDescent="0.2">
      <c r="R7950" s="1288"/>
    </row>
    <row r="7951" spans="18:18" s="2" customFormat="1" ht="12.75" x14ac:dyDescent="0.2">
      <c r="R7951" s="1288"/>
    </row>
    <row r="7952" spans="18:18" s="2" customFormat="1" ht="12.75" x14ac:dyDescent="0.2">
      <c r="R7952" s="1288"/>
    </row>
    <row r="7953" spans="18:18" s="2" customFormat="1" ht="12.75" x14ac:dyDescent="0.2">
      <c r="R7953" s="1288"/>
    </row>
    <row r="7954" spans="18:18" s="2" customFormat="1" ht="12.75" x14ac:dyDescent="0.2">
      <c r="R7954" s="1288"/>
    </row>
    <row r="7955" spans="18:18" s="2" customFormat="1" ht="12.75" x14ac:dyDescent="0.2">
      <c r="R7955" s="1288"/>
    </row>
    <row r="7956" spans="18:18" s="2" customFormat="1" ht="12.75" x14ac:dyDescent="0.2">
      <c r="R7956" s="1288"/>
    </row>
    <row r="7957" spans="18:18" s="2" customFormat="1" ht="12.75" x14ac:dyDescent="0.2">
      <c r="R7957" s="1288"/>
    </row>
    <row r="7958" spans="18:18" s="2" customFormat="1" ht="12.75" x14ac:dyDescent="0.2">
      <c r="R7958" s="1288"/>
    </row>
    <row r="7959" spans="18:18" s="2" customFormat="1" ht="12.75" x14ac:dyDescent="0.2">
      <c r="R7959" s="1288"/>
    </row>
    <row r="7960" spans="18:18" s="2" customFormat="1" ht="12.75" x14ac:dyDescent="0.2">
      <c r="R7960" s="1288"/>
    </row>
    <row r="7961" spans="18:18" s="2" customFormat="1" ht="12.75" x14ac:dyDescent="0.2">
      <c r="R7961" s="1288"/>
    </row>
    <row r="7962" spans="18:18" s="2" customFormat="1" ht="12.75" x14ac:dyDescent="0.2">
      <c r="R7962" s="1288"/>
    </row>
    <row r="7963" spans="18:18" s="2" customFormat="1" ht="12.75" x14ac:dyDescent="0.2">
      <c r="R7963" s="1288"/>
    </row>
    <row r="7964" spans="18:18" s="2" customFormat="1" ht="12.75" x14ac:dyDescent="0.2">
      <c r="R7964" s="1288"/>
    </row>
    <row r="7965" spans="18:18" s="2" customFormat="1" ht="12.75" x14ac:dyDescent="0.2">
      <c r="R7965" s="1288"/>
    </row>
    <row r="7966" spans="18:18" s="2" customFormat="1" ht="12.75" x14ac:dyDescent="0.2">
      <c r="R7966" s="1288"/>
    </row>
    <row r="7967" spans="18:18" s="2" customFormat="1" ht="12.75" x14ac:dyDescent="0.2">
      <c r="R7967" s="1288"/>
    </row>
    <row r="7968" spans="18:18" s="2" customFormat="1" ht="12.75" x14ac:dyDescent="0.2">
      <c r="R7968" s="1288"/>
    </row>
    <row r="7969" spans="18:18" s="2" customFormat="1" ht="12.75" x14ac:dyDescent="0.2">
      <c r="R7969" s="1288"/>
    </row>
    <row r="7970" spans="18:18" s="2" customFormat="1" ht="12.75" x14ac:dyDescent="0.2">
      <c r="R7970" s="1288"/>
    </row>
    <row r="7971" spans="18:18" s="2" customFormat="1" ht="12.75" x14ac:dyDescent="0.2">
      <c r="R7971" s="1288"/>
    </row>
    <row r="7972" spans="18:18" s="2" customFormat="1" ht="12.75" x14ac:dyDescent="0.2">
      <c r="R7972" s="1288"/>
    </row>
    <row r="7973" spans="18:18" s="2" customFormat="1" ht="12.75" x14ac:dyDescent="0.2">
      <c r="R7973" s="1288"/>
    </row>
    <row r="7974" spans="18:18" s="2" customFormat="1" ht="12.75" x14ac:dyDescent="0.2">
      <c r="R7974" s="1288"/>
    </row>
    <row r="7975" spans="18:18" s="2" customFormat="1" ht="12.75" x14ac:dyDescent="0.2">
      <c r="R7975" s="1288"/>
    </row>
    <row r="7976" spans="18:18" s="2" customFormat="1" ht="12.75" x14ac:dyDescent="0.2">
      <c r="R7976" s="1288"/>
    </row>
    <row r="7977" spans="18:18" s="2" customFormat="1" ht="12.75" x14ac:dyDescent="0.2">
      <c r="R7977" s="1288"/>
    </row>
    <row r="7978" spans="18:18" s="2" customFormat="1" ht="12.75" x14ac:dyDescent="0.2">
      <c r="R7978" s="1288"/>
    </row>
    <row r="7979" spans="18:18" s="2" customFormat="1" ht="12.75" x14ac:dyDescent="0.2">
      <c r="R7979" s="1288"/>
    </row>
    <row r="7980" spans="18:18" s="2" customFormat="1" ht="12.75" x14ac:dyDescent="0.2">
      <c r="R7980" s="1288"/>
    </row>
    <row r="7981" spans="18:18" s="2" customFormat="1" ht="12.75" x14ac:dyDescent="0.2">
      <c r="R7981" s="1288"/>
    </row>
    <row r="7982" spans="18:18" s="2" customFormat="1" ht="12.75" x14ac:dyDescent="0.2">
      <c r="R7982" s="1288"/>
    </row>
    <row r="7983" spans="18:18" s="2" customFormat="1" ht="12.75" x14ac:dyDescent="0.2">
      <c r="R7983" s="1288"/>
    </row>
    <row r="7984" spans="18:18" s="2" customFormat="1" ht="12.75" x14ac:dyDescent="0.2">
      <c r="R7984" s="1288"/>
    </row>
    <row r="7985" spans="18:18" s="2" customFormat="1" ht="12.75" x14ac:dyDescent="0.2">
      <c r="R7985" s="1288"/>
    </row>
    <row r="7986" spans="18:18" s="2" customFormat="1" ht="12.75" x14ac:dyDescent="0.2">
      <c r="R7986" s="1288"/>
    </row>
    <row r="7987" spans="18:18" s="2" customFormat="1" ht="12.75" x14ac:dyDescent="0.2">
      <c r="R7987" s="1288"/>
    </row>
    <row r="7988" spans="18:18" s="2" customFormat="1" ht="12.75" x14ac:dyDescent="0.2">
      <c r="R7988" s="1288"/>
    </row>
    <row r="7989" spans="18:18" s="2" customFormat="1" ht="12.75" x14ac:dyDescent="0.2">
      <c r="R7989" s="1288"/>
    </row>
    <row r="7990" spans="18:18" s="2" customFormat="1" ht="12.75" x14ac:dyDescent="0.2">
      <c r="R7990" s="1288"/>
    </row>
    <row r="7991" spans="18:18" s="2" customFormat="1" ht="12.75" x14ac:dyDescent="0.2">
      <c r="R7991" s="1288"/>
    </row>
    <row r="7992" spans="18:18" s="2" customFormat="1" ht="12.75" x14ac:dyDescent="0.2">
      <c r="R7992" s="1288"/>
    </row>
    <row r="7993" spans="18:18" s="2" customFormat="1" ht="12.75" x14ac:dyDescent="0.2">
      <c r="R7993" s="1288"/>
    </row>
    <row r="7994" spans="18:18" s="2" customFormat="1" ht="12.75" x14ac:dyDescent="0.2">
      <c r="R7994" s="1288"/>
    </row>
    <row r="7995" spans="18:18" s="2" customFormat="1" ht="12.75" x14ac:dyDescent="0.2">
      <c r="R7995" s="1288"/>
    </row>
    <row r="7996" spans="18:18" s="2" customFormat="1" ht="12.75" x14ac:dyDescent="0.2">
      <c r="R7996" s="1288"/>
    </row>
    <row r="7997" spans="18:18" s="2" customFormat="1" ht="12.75" x14ac:dyDescent="0.2">
      <c r="R7997" s="1288"/>
    </row>
    <row r="7998" spans="18:18" s="2" customFormat="1" ht="12.75" x14ac:dyDescent="0.2">
      <c r="R7998" s="1288"/>
    </row>
    <row r="7999" spans="18:18" s="2" customFormat="1" ht="12.75" x14ac:dyDescent="0.2">
      <c r="R7999" s="1288"/>
    </row>
    <row r="8000" spans="18:18" s="2" customFormat="1" ht="12.75" x14ac:dyDescent="0.2">
      <c r="R8000" s="1288"/>
    </row>
    <row r="8001" spans="18:18" s="2" customFormat="1" ht="12.75" x14ac:dyDescent="0.2">
      <c r="R8001" s="1288"/>
    </row>
    <row r="8002" spans="18:18" s="2" customFormat="1" ht="12.75" x14ac:dyDescent="0.2">
      <c r="R8002" s="1288"/>
    </row>
    <row r="8003" spans="18:18" s="2" customFormat="1" ht="12.75" x14ac:dyDescent="0.2">
      <c r="R8003" s="1288"/>
    </row>
    <row r="8004" spans="18:18" s="2" customFormat="1" ht="12.75" x14ac:dyDescent="0.2">
      <c r="R8004" s="1288"/>
    </row>
    <row r="8005" spans="18:18" s="2" customFormat="1" ht="12.75" x14ac:dyDescent="0.2">
      <c r="R8005" s="1288"/>
    </row>
    <row r="8006" spans="18:18" s="2" customFormat="1" ht="12.75" x14ac:dyDescent="0.2">
      <c r="R8006" s="1288"/>
    </row>
    <row r="8007" spans="18:18" s="2" customFormat="1" ht="12.75" x14ac:dyDescent="0.2">
      <c r="R8007" s="1288"/>
    </row>
    <row r="8008" spans="18:18" s="2" customFormat="1" ht="12.75" x14ac:dyDescent="0.2">
      <c r="R8008" s="1288"/>
    </row>
    <row r="8009" spans="18:18" s="2" customFormat="1" ht="12.75" x14ac:dyDescent="0.2">
      <c r="R8009" s="1288"/>
    </row>
    <row r="8010" spans="18:18" s="2" customFormat="1" ht="12.75" x14ac:dyDescent="0.2">
      <c r="R8010" s="1288"/>
    </row>
    <row r="8011" spans="18:18" s="2" customFormat="1" ht="12.75" x14ac:dyDescent="0.2">
      <c r="R8011" s="1288"/>
    </row>
    <row r="8012" spans="18:18" s="2" customFormat="1" ht="12.75" x14ac:dyDescent="0.2">
      <c r="R8012" s="1288"/>
    </row>
    <row r="8013" spans="18:18" s="2" customFormat="1" ht="12.75" x14ac:dyDescent="0.2">
      <c r="R8013" s="1288"/>
    </row>
    <row r="8014" spans="18:18" s="2" customFormat="1" ht="12.75" x14ac:dyDescent="0.2">
      <c r="R8014" s="1288"/>
    </row>
    <row r="8015" spans="18:18" s="2" customFormat="1" ht="12.75" x14ac:dyDescent="0.2">
      <c r="R8015" s="1288"/>
    </row>
    <row r="8016" spans="18:18" s="2" customFormat="1" ht="12.75" x14ac:dyDescent="0.2">
      <c r="R8016" s="1288"/>
    </row>
    <row r="8017" spans="18:18" s="2" customFormat="1" ht="12.75" x14ac:dyDescent="0.2">
      <c r="R8017" s="1288"/>
    </row>
    <row r="8018" spans="18:18" s="2" customFormat="1" ht="12.75" x14ac:dyDescent="0.2">
      <c r="R8018" s="1288"/>
    </row>
    <row r="8019" spans="18:18" s="2" customFormat="1" ht="12.75" x14ac:dyDescent="0.2">
      <c r="R8019" s="1288"/>
    </row>
    <row r="8020" spans="18:18" s="2" customFormat="1" ht="12.75" x14ac:dyDescent="0.2">
      <c r="R8020" s="1288"/>
    </row>
    <row r="8021" spans="18:18" s="2" customFormat="1" ht="12.75" x14ac:dyDescent="0.2">
      <c r="R8021" s="1288"/>
    </row>
    <row r="8022" spans="18:18" s="2" customFormat="1" ht="12.75" x14ac:dyDescent="0.2">
      <c r="R8022" s="1288"/>
    </row>
    <row r="8023" spans="18:18" s="2" customFormat="1" ht="12.75" x14ac:dyDescent="0.2">
      <c r="R8023" s="1288"/>
    </row>
    <row r="8024" spans="18:18" s="2" customFormat="1" ht="12.75" x14ac:dyDescent="0.2">
      <c r="R8024" s="1288"/>
    </row>
    <row r="8025" spans="18:18" s="2" customFormat="1" ht="12.75" x14ac:dyDescent="0.2">
      <c r="R8025" s="1288"/>
    </row>
    <row r="8026" spans="18:18" s="2" customFormat="1" ht="12.75" x14ac:dyDescent="0.2">
      <c r="R8026" s="1288"/>
    </row>
    <row r="8027" spans="18:18" s="2" customFormat="1" ht="12.75" x14ac:dyDescent="0.2">
      <c r="R8027" s="1288"/>
    </row>
    <row r="8028" spans="18:18" s="2" customFormat="1" ht="12.75" x14ac:dyDescent="0.2">
      <c r="R8028" s="1288"/>
    </row>
    <row r="8029" spans="18:18" s="2" customFormat="1" ht="12.75" x14ac:dyDescent="0.2">
      <c r="R8029" s="1288"/>
    </row>
    <row r="8030" spans="18:18" s="2" customFormat="1" ht="12.75" x14ac:dyDescent="0.2">
      <c r="R8030" s="1288"/>
    </row>
    <row r="8031" spans="18:18" s="2" customFormat="1" ht="12.75" x14ac:dyDescent="0.2">
      <c r="R8031" s="1288"/>
    </row>
    <row r="8032" spans="18:18" s="2" customFormat="1" ht="12.75" x14ac:dyDescent="0.2">
      <c r="R8032" s="1288"/>
    </row>
    <row r="8033" spans="18:18" s="2" customFormat="1" ht="12.75" x14ac:dyDescent="0.2">
      <c r="R8033" s="1288"/>
    </row>
    <row r="8034" spans="18:18" s="2" customFormat="1" ht="12.75" x14ac:dyDescent="0.2">
      <c r="R8034" s="1288"/>
    </row>
    <row r="8035" spans="18:18" s="2" customFormat="1" ht="12.75" x14ac:dyDescent="0.2">
      <c r="R8035" s="1288"/>
    </row>
    <row r="8036" spans="18:18" s="2" customFormat="1" ht="12.75" x14ac:dyDescent="0.2">
      <c r="R8036" s="1288"/>
    </row>
    <row r="8037" spans="18:18" s="2" customFormat="1" ht="12.75" x14ac:dyDescent="0.2">
      <c r="R8037" s="1288"/>
    </row>
    <row r="8038" spans="18:18" s="2" customFormat="1" ht="12.75" x14ac:dyDescent="0.2">
      <c r="R8038" s="1288"/>
    </row>
    <row r="8039" spans="18:18" s="2" customFormat="1" ht="12.75" x14ac:dyDescent="0.2">
      <c r="R8039" s="1288"/>
    </row>
    <row r="8040" spans="18:18" s="2" customFormat="1" ht="12.75" x14ac:dyDescent="0.2">
      <c r="R8040" s="1288"/>
    </row>
    <row r="8041" spans="18:18" s="2" customFormat="1" ht="12.75" x14ac:dyDescent="0.2">
      <c r="R8041" s="1288"/>
    </row>
    <row r="8042" spans="18:18" s="2" customFormat="1" ht="12.75" x14ac:dyDescent="0.2">
      <c r="R8042" s="1288"/>
    </row>
    <row r="8043" spans="18:18" s="2" customFormat="1" ht="12.75" x14ac:dyDescent="0.2">
      <c r="R8043" s="1288"/>
    </row>
    <row r="8044" spans="18:18" s="2" customFormat="1" ht="12.75" x14ac:dyDescent="0.2">
      <c r="R8044" s="1288"/>
    </row>
    <row r="8045" spans="18:18" s="2" customFormat="1" ht="12.75" x14ac:dyDescent="0.2">
      <c r="R8045" s="1288"/>
    </row>
    <row r="8046" spans="18:18" s="2" customFormat="1" ht="12.75" x14ac:dyDescent="0.2">
      <c r="R8046" s="1288"/>
    </row>
    <row r="8047" spans="18:18" s="2" customFormat="1" ht="12.75" x14ac:dyDescent="0.2">
      <c r="R8047" s="1288"/>
    </row>
    <row r="8048" spans="18:18" s="2" customFormat="1" ht="12.75" x14ac:dyDescent="0.2">
      <c r="R8048" s="1288"/>
    </row>
    <row r="8049" spans="18:18" s="2" customFormat="1" ht="12.75" x14ac:dyDescent="0.2">
      <c r="R8049" s="1288"/>
    </row>
    <row r="8050" spans="18:18" s="2" customFormat="1" ht="12.75" x14ac:dyDescent="0.2">
      <c r="R8050" s="1288"/>
    </row>
    <row r="8051" spans="18:18" s="2" customFormat="1" ht="12.75" x14ac:dyDescent="0.2">
      <c r="R8051" s="1288"/>
    </row>
    <row r="8052" spans="18:18" s="2" customFormat="1" ht="12.75" x14ac:dyDescent="0.2">
      <c r="R8052" s="1288"/>
    </row>
    <row r="8053" spans="18:18" s="2" customFormat="1" ht="12.75" x14ac:dyDescent="0.2">
      <c r="R8053" s="1288"/>
    </row>
    <row r="8054" spans="18:18" s="2" customFormat="1" ht="12.75" x14ac:dyDescent="0.2">
      <c r="R8054" s="1288"/>
    </row>
    <row r="8055" spans="18:18" s="2" customFormat="1" ht="12.75" x14ac:dyDescent="0.2">
      <c r="R8055" s="1288"/>
    </row>
    <row r="8056" spans="18:18" s="2" customFormat="1" ht="12.75" x14ac:dyDescent="0.2">
      <c r="R8056" s="1288"/>
    </row>
    <row r="8057" spans="18:18" s="2" customFormat="1" ht="12.75" x14ac:dyDescent="0.2">
      <c r="R8057" s="1288"/>
    </row>
    <row r="8058" spans="18:18" s="2" customFormat="1" ht="12.75" x14ac:dyDescent="0.2">
      <c r="R8058" s="1288"/>
    </row>
    <row r="8059" spans="18:18" s="2" customFormat="1" ht="12.75" x14ac:dyDescent="0.2">
      <c r="R8059" s="1288"/>
    </row>
    <row r="8060" spans="18:18" s="2" customFormat="1" ht="12.75" x14ac:dyDescent="0.2">
      <c r="R8060" s="1288"/>
    </row>
    <row r="8061" spans="18:18" s="2" customFormat="1" ht="12.75" x14ac:dyDescent="0.2">
      <c r="R8061" s="1288"/>
    </row>
    <row r="8062" spans="18:18" s="2" customFormat="1" ht="12.75" x14ac:dyDescent="0.2">
      <c r="R8062" s="1288"/>
    </row>
    <row r="8063" spans="18:18" s="2" customFormat="1" ht="12.75" x14ac:dyDescent="0.2">
      <c r="R8063" s="1288"/>
    </row>
    <row r="8064" spans="18:18" s="2" customFormat="1" ht="12.75" x14ac:dyDescent="0.2">
      <c r="R8064" s="1288"/>
    </row>
    <row r="8065" spans="18:18" s="2" customFormat="1" ht="12.75" x14ac:dyDescent="0.2">
      <c r="R8065" s="1288"/>
    </row>
    <row r="8066" spans="18:18" s="2" customFormat="1" ht="12.75" x14ac:dyDescent="0.2">
      <c r="R8066" s="1288"/>
    </row>
    <row r="8067" spans="18:18" s="2" customFormat="1" ht="12.75" x14ac:dyDescent="0.2">
      <c r="R8067" s="1288"/>
    </row>
    <row r="8068" spans="18:18" s="2" customFormat="1" ht="12.75" x14ac:dyDescent="0.2">
      <c r="R8068" s="1288"/>
    </row>
    <row r="8069" spans="18:18" s="2" customFormat="1" ht="12.75" x14ac:dyDescent="0.2">
      <c r="R8069" s="1288"/>
    </row>
    <row r="8070" spans="18:18" s="2" customFormat="1" ht="12.75" x14ac:dyDescent="0.2">
      <c r="R8070" s="1288"/>
    </row>
    <row r="8071" spans="18:18" s="2" customFormat="1" ht="12.75" x14ac:dyDescent="0.2">
      <c r="R8071" s="1288"/>
    </row>
    <row r="8072" spans="18:18" s="2" customFormat="1" ht="12.75" x14ac:dyDescent="0.2">
      <c r="R8072" s="1288"/>
    </row>
    <row r="8073" spans="18:18" s="2" customFormat="1" ht="12.75" x14ac:dyDescent="0.2">
      <c r="R8073" s="1288"/>
    </row>
    <row r="8074" spans="18:18" s="2" customFormat="1" ht="12.75" x14ac:dyDescent="0.2">
      <c r="R8074" s="1288"/>
    </row>
    <row r="8075" spans="18:18" s="2" customFormat="1" ht="12.75" x14ac:dyDescent="0.2">
      <c r="R8075" s="1288"/>
    </row>
    <row r="8076" spans="18:18" s="2" customFormat="1" ht="12.75" x14ac:dyDescent="0.2">
      <c r="R8076" s="1288"/>
    </row>
    <row r="8077" spans="18:18" s="2" customFormat="1" ht="12.75" x14ac:dyDescent="0.2">
      <c r="R8077" s="1288"/>
    </row>
    <row r="8078" spans="18:18" s="2" customFormat="1" ht="12.75" x14ac:dyDescent="0.2">
      <c r="R8078" s="1288"/>
    </row>
    <row r="8079" spans="18:18" s="2" customFormat="1" ht="12.75" x14ac:dyDescent="0.2">
      <c r="R8079" s="1288"/>
    </row>
    <row r="8080" spans="18:18" s="2" customFormat="1" ht="12.75" x14ac:dyDescent="0.2">
      <c r="R8080" s="1288"/>
    </row>
    <row r="8081" spans="18:18" s="2" customFormat="1" ht="12.75" x14ac:dyDescent="0.2">
      <c r="R8081" s="1288"/>
    </row>
    <row r="8082" spans="18:18" s="2" customFormat="1" ht="12.75" x14ac:dyDescent="0.2">
      <c r="R8082" s="1288"/>
    </row>
    <row r="8083" spans="18:18" s="2" customFormat="1" ht="12.75" x14ac:dyDescent="0.2">
      <c r="R8083" s="1288"/>
    </row>
    <row r="8084" spans="18:18" s="2" customFormat="1" ht="12.75" x14ac:dyDescent="0.2">
      <c r="R8084" s="1288"/>
    </row>
    <row r="8085" spans="18:18" s="2" customFormat="1" ht="12.75" x14ac:dyDescent="0.2">
      <c r="R8085" s="1288"/>
    </row>
    <row r="8086" spans="18:18" s="2" customFormat="1" ht="12.75" x14ac:dyDescent="0.2">
      <c r="R8086" s="1288"/>
    </row>
    <row r="8087" spans="18:18" s="2" customFormat="1" ht="12.75" x14ac:dyDescent="0.2">
      <c r="R8087" s="1288"/>
    </row>
    <row r="8088" spans="18:18" s="2" customFormat="1" ht="12.75" x14ac:dyDescent="0.2">
      <c r="R8088" s="1288"/>
    </row>
    <row r="8089" spans="18:18" s="2" customFormat="1" ht="12.75" x14ac:dyDescent="0.2">
      <c r="R8089" s="1288"/>
    </row>
    <row r="8090" spans="18:18" s="2" customFormat="1" ht="12.75" x14ac:dyDescent="0.2">
      <c r="R8090" s="1288"/>
    </row>
    <row r="8091" spans="18:18" s="2" customFormat="1" ht="12.75" x14ac:dyDescent="0.2">
      <c r="R8091" s="1288"/>
    </row>
    <row r="8092" spans="18:18" s="2" customFormat="1" ht="12.75" x14ac:dyDescent="0.2">
      <c r="R8092" s="1288"/>
    </row>
    <row r="8093" spans="18:18" s="2" customFormat="1" ht="12.75" x14ac:dyDescent="0.2">
      <c r="R8093" s="1288"/>
    </row>
    <row r="8094" spans="18:18" s="2" customFormat="1" ht="12.75" x14ac:dyDescent="0.2">
      <c r="R8094" s="1288"/>
    </row>
    <row r="8095" spans="18:18" s="2" customFormat="1" ht="12.75" x14ac:dyDescent="0.2">
      <c r="R8095" s="1288"/>
    </row>
    <row r="8096" spans="18:18" s="2" customFormat="1" ht="12.75" x14ac:dyDescent="0.2">
      <c r="R8096" s="1288"/>
    </row>
    <row r="8097" spans="18:18" s="2" customFormat="1" ht="12.75" x14ac:dyDescent="0.2">
      <c r="R8097" s="1288"/>
    </row>
    <row r="8098" spans="18:18" s="2" customFormat="1" ht="12.75" x14ac:dyDescent="0.2">
      <c r="R8098" s="1288"/>
    </row>
    <row r="8099" spans="18:18" s="2" customFormat="1" ht="12.75" x14ac:dyDescent="0.2">
      <c r="R8099" s="1288"/>
    </row>
    <row r="8100" spans="18:18" s="2" customFormat="1" ht="12.75" x14ac:dyDescent="0.2">
      <c r="R8100" s="1288"/>
    </row>
    <row r="8101" spans="18:18" s="2" customFormat="1" ht="12.75" x14ac:dyDescent="0.2">
      <c r="R8101" s="1288"/>
    </row>
    <row r="8102" spans="18:18" s="2" customFormat="1" ht="12.75" x14ac:dyDescent="0.2">
      <c r="R8102" s="1288"/>
    </row>
    <row r="8103" spans="18:18" s="2" customFormat="1" ht="12.75" x14ac:dyDescent="0.2">
      <c r="R8103" s="1288"/>
    </row>
    <row r="8104" spans="18:18" s="2" customFormat="1" ht="12.75" x14ac:dyDescent="0.2">
      <c r="R8104" s="1288"/>
    </row>
    <row r="8105" spans="18:18" s="2" customFormat="1" ht="12.75" x14ac:dyDescent="0.2">
      <c r="R8105" s="1288"/>
    </row>
    <row r="8106" spans="18:18" s="2" customFormat="1" ht="12.75" x14ac:dyDescent="0.2">
      <c r="R8106" s="1288"/>
    </row>
    <row r="8107" spans="18:18" s="2" customFormat="1" ht="12.75" x14ac:dyDescent="0.2">
      <c r="R8107" s="1288"/>
    </row>
    <row r="8108" spans="18:18" s="2" customFormat="1" ht="12.75" x14ac:dyDescent="0.2">
      <c r="R8108" s="1288"/>
    </row>
    <row r="8109" spans="18:18" s="2" customFormat="1" ht="12.75" x14ac:dyDescent="0.2">
      <c r="R8109" s="1288"/>
    </row>
    <row r="8110" spans="18:18" s="2" customFormat="1" ht="12.75" x14ac:dyDescent="0.2">
      <c r="R8110" s="1288"/>
    </row>
    <row r="8111" spans="18:18" s="2" customFormat="1" ht="12.75" x14ac:dyDescent="0.2">
      <c r="R8111" s="1288"/>
    </row>
    <row r="8112" spans="18:18" s="2" customFormat="1" ht="12.75" x14ac:dyDescent="0.2">
      <c r="R8112" s="1288"/>
    </row>
    <row r="8113" spans="18:18" s="2" customFormat="1" ht="12.75" x14ac:dyDescent="0.2">
      <c r="R8113" s="1288"/>
    </row>
    <row r="8114" spans="18:18" s="2" customFormat="1" ht="12.75" x14ac:dyDescent="0.2">
      <c r="R8114" s="1288"/>
    </row>
    <row r="8115" spans="18:18" s="2" customFormat="1" ht="12.75" x14ac:dyDescent="0.2">
      <c r="R8115" s="1288"/>
    </row>
    <row r="8116" spans="18:18" s="2" customFormat="1" ht="12.75" x14ac:dyDescent="0.2">
      <c r="R8116" s="1288"/>
    </row>
    <row r="8117" spans="18:18" s="2" customFormat="1" ht="12.75" x14ac:dyDescent="0.2">
      <c r="R8117" s="1288"/>
    </row>
    <row r="8118" spans="18:18" s="2" customFormat="1" ht="12.75" x14ac:dyDescent="0.2">
      <c r="R8118" s="1288"/>
    </row>
    <row r="8119" spans="18:18" s="2" customFormat="1" ht="12.75" x14ac:dyDescent="0.2">
      <c r="R8119" s="1288"/>
    </row>
    <row r="8120" spans="18:18" s="2" customFormat="1" ht="12.75" x14ac:dyDescent="0.2">
      <c r="R8120" s="1288"/>
    </row>
    <row r="8121" spans="18:18" s="2" customFormat="1" ht="12.75" x14ac:dyDescent="0.2">
      <c r="R8121" s="1288"/>
    </row>
    <row r="8122" spans="18:18" s="2" customFormat="1" ht="12.75" x14ac:dyDescent="0.2">
      <c r="R8122" s="1288"/>
    </row>
    <row r="8123" spans="18:18" s="2" customFormat="1" ht="12.75" x14ac:dyDescent="0.2">
      <c r="R8123" s="1288"/>
    </row>
    <row r="8124" spans="18:18" s="2" customFormat="1" ht="12.75" x14ac:dyDescent="0.2">
      <c r="R8124" s="1288"/>
    </row>
    <row r="8125" spans="18:18" s="2" customFormat="1" ht="12.75" x14ac:dyDescent="0.2">
      <c r="R8125" s="1288"/>
    </row>
    <row r="8126" spans="18:18" s="2" customFormat="1" ht="12.75" x14ac:dyDescent="0.2">
      <c r="R8126" s="1288"/>
    </row>
    <row r="8127" spans="18:18" s="2" customFormat="1" ht="12.75" x14ac:dyDescent="0.2">
      <c r="R8127" s="1288"/>
    </row>
    <row r="8128" spans="18:18" s="2" customFormat="1" ht="12.75" x14ac:dyDescent="0.2">
      <c r="R8128" s="1288"/>
    </row>
    <row r="8129" spans="18:18" s="2" customFormat="1" ht="12.75" x14ac:dyDescent="0.2">
      <c r="R8129" s="1288"/>
    </row>
    <row r="8130" spans="18:18" s="2" customFormat="1" ht="12.75" x14ac:dyDescent="0.2">
      <c r="R8130" s="1288"/>
    </row>
    <row r="8131" spans="18:18" s="2" customFormat="1" ht="12.75" x14ac:dyDescent="0.2">
      <c r="R8131" s="1288"/>
    </row>
    <row r="8132" spans="18:18" s="2" customFormat="1" ht="12.75" x14ac:dyDescent="0.2">
      <c r="R8132" s="1288"/>
    </row>
    <row r="8133" spans="18:18" s="2" customFormat="1" ht="12.75" x14ac:dyDescent="0.2">
      <c r="R8133" s="1288"/>
    </row>
    <row r="8134" spans="18:18" s="2" customFormat="1" ht="12.75" x14ac:dyDescent="0.2">
      <c r="R8134" s="1288"/>
    </row>
    <row r="8135" spans="18:18" s="2" customFormat="1" ht="12.75" x14ac:dyDescent="0.2">
      <c r="R8135" s="1288"/>
    </row>
    <row r="8136" spans="18:18" s="2" customFormat="1" ht="12.75" x14ac:dyDescent="0.2">
      <c r="R8136" s="1288"/>
    </row>
    <row r="8137" spans="18:18" s="2" customFormat="1" ht="12.75" x14ac:dyDescent="0.2">
      <c r="R8137" s="1288"/>
    </row>
    <row r="8138" spans="18:18" s="2" customFormat="1" ht="12.75" x14ac:dyDescent="0.2">
      <c r="R8138" s="1288"/>
    </row>
    <row r="8139" spans="18:18" s="2" customFormat="1" ht="12.75" x14ac:dyDescent="0.2">
      <c r="R8139" s="1288"/>
    </row>
    <row r="8140" spans="18:18" s="2" customFormat="1" ht="12.75" x14ac:dyDescent="0.2">
      <c r="R8140" s="1288"/>
    </row>
    <row r="8141" spans="18:18" s="2" customFormat="1" ht="12.75" x14ac:dyDescent="0.2">
      <c r="R8141" s="1288"/>
    </row>
    <row r="8142" spans="18:18" s="2" customFormat="1" ht="12.75" x14ac:dyDescent="0.2">
      <c r="R8142" s="1288"/>
    </row>
    <row r="8143" spans="18:18" s="2" customFormat="1" ht="12.75" x14ac:dyDescent="0.2">
      <c r="R8143" s="1288"/>
    </row>
    <row r="8144" spans="18:18" s="2" customFormat="1" ht="12.75" x14ac:dyDescent="0.2">
      <c r="R8144" s="1288"/>
    </row>
    <row r="8145" spans="18:18" s="2" customFormat="1" ht="12.75" x14ac:dyDescent="0.2">
      <c r="R8145" s="1288"/>
    </row>
    <row r="8146" spans="18:18" s="2" customFormat="1" ht="12.75" x14ac:dyDescent="0.2">
      <c r="R8146" s="1288"/>
    </row>
    <row r="8147" spans="18:18" s="2" customFormat="1" ht="12.75" x14ac:dyDescent="0.2">
      <c r="R8147" s="1288"/>
    </row>
    <row r="8148" spans="18:18" s="2" customFormat="1" ht="12.75" x14ac:dyDescent="0.2">
      <c r="R8148" s="1288"/>
    </row>
    <row r="8149" spans="18:18" s="2" customFormat="1" ht="12.75" x14ac:dyDescent="0.2">
      <c r="R8149" s="1288"/>
    </row>
    <row r="8150" spans="18:18" s="2" customFormat="1" ht="12.75" x14ac:dyDescent="0.2">
      <c r="R8150" s="1288"/>
    </row>
    <row r="8151" spans="18:18" s="2" customFormat="1" ht="12.75" x14ac:dyDescent="0.2">
      <c r="R8151" s="1288"/>
    </row>
    <row r="8152" spans="18:18" s="2" customFormat="1" ht="12.75" x14ac:dyDescent="0.2">
      <c r="R8152" s="1288"/>
    </row>
    <row r="8153" spans="18:18" s="2" customFormat="1" ht="12.75" x14ac:dyDescent="0.2">
      <c r="R8153" s="1288"/>
    </row>
    <row r="8154" spans="18:18" s="2" customFormat="1" ht="12.75" x14ac:dyDescent="0.2">
      <c r="R8154" s="1288"/>
    </row>
    <row r="8155" spans="18:18" s="2" customFormat="1" ht="12.75" x14ac:dyDescent="0.2">
      <c r="R8155" s="1288"/>
    </row>
    <row r="8156" spans="18:18" s="2" customFormat="1" ht="12.75" x14ac:dyDescent="0.2">
      <c r="R8156" s="1288"/>
    </row>
    <row r="8157" spans="18:18" s="2" customFormat="1" ht="12.75" x14ac:dyDescent="0.2">
      <c r="R8157" s="1288"/>
    </row>
    <row r="8158" spans="18:18" s="2" customFormat="1" ht="12.75" x14ac:dyDescent="0.2">
      <c r="R8158" s="1288"/>
    </row>
    <row r="8159" spans="18:18" s="2" customFormat="1" ht="12.75" x14ac:dyDescent="0.2">
      <c r="R8159" s="1288"/>
    </row>
    <row r="8160" spans="18:18" s="2" customFormat="1" ht="12.75" x14ac:dyDescent="0.2">
      <c r="R8160" s="1288"/>
    </row>
    <row r="8161" spans="18:18" s="2" customFormat="1" ht="12.75" x14ac:dyDescent="0.2">
      <c r="R8161" s="1288"/>
    </row>
    <row r="8162" spans="18:18" s="2" customFormat="1" ht="12.75" x14ac:dyDescent="0.2">
      <c r="R8162" s="1288"/>
    </row>
    <row r="8163" spans="18:18" s="2" customFormat="1" ht="12.75" x14ac:dyDescent="0.2">
      <c r="R8163" s="1288"/>
    </row>
    <row r="8164" spans="18:18" s="2" customFormat="1" ht="12.75" x14ac:dyDescent="0.2">
      <c r="R8164" s="1288"/>
    </row>
    <row r="8165" spans="18:18" s="2" customFormat="1" ht="12.75" x14ac:dyDescent="0.2">
      <c r="R8165" s="1288"/>
    </row>
    <row r="8166" spans="18:18" s="2" customFormat="1" ht="12.75" x14ac:dyDescent="0.2">
      <c r="R8166" s="1288"/>
    </row>
    <row r="8167" spans="18:18" s="2" customFormat="1" ht="12.75" x14ac:dyDescent="0.2">
      <c r="R8167" s="1288"/>
    </row>
    <row r="8168" spans="18:18" s="2" customFormat="1" ht="12.75" x14ac:dyDescent="0.2">
      <c r="R8168" s="1288"/>
    </row>
    <row r="8169" spans="18:18" s="2" customFormat="1" ht="12.75" x14ac:dyDescent="0.2">
      <c r="R8169" s="1288"/>
    </row>
    <row r="8170" spans="18:18" s="2" customFormat="1" ht="12.75" x14ac:dyDescent="0.2">
      <c r="R8170" s="1288"/>
    </row>
    <row r="8171" spans="18:18" s="2" customFormat="1" ht="12.75" x14ac:dyDescent="0.2">
      <c r="R8171" s="1288"/>
    </row>
    <row r="8172" spans="18:18" s="2" customFormat="1" ht="12.75" x14ac:dyDescent="0.2">
      <c r="R8172" s="1288"/>
    </row>
    <row r="8173" spans="18:18" s="2" customFormat="1" ht="12.75" x14ac:dyDescent="0.2">
      <c r="R8173" s="1288"/>
    </row>
    <row r="8174" spans="18:18" s="2" customFormat="1" ht="12.75" x14ac:dyDescent="0.2">
      <c r="R8174" s="1288"/>
    </row>
    <row r="8175" spans="18:18" s="2" customFormat="1" ht="12.75" x14ac:dyDescent="0.2">
      <c r="R8175" s="1288"/>
    </row>
    <row r="8176" spans="18:18" s="2" customFormat="1" ht="12.75" x14ac:dyDescent="0.2">
      <c r="R8176" s="1288"/>
    </row>
    <row r="8177" spans="18:18" s="2" customFormat="1" ht="12.75" x14ac:dyDescent="0.2">
      <c r="R8177" s="1288"/>
    </row>
    <row r="8178" spans="18:18" s="2" customFormat="1" ht="12.75" x14ac:dyDescent="0.2">
      <c r="R8178" s="1288"/>
    </row>
    <row r="8179" spans="18:18" s="2" customFormat="1" ht="12.75" x14ac:dyDescent="0.2">
      <c r="R8179" s="1288"/>
    </row>
    <row r="8180" spans="18:18" s="2" customFormat="1" ht="12.75" x14ac:dyDescent="0.2">
      <c r="R8180" s="1288"/>
    </row>
    <row r="8181" spans="18:18" s="2" customFormat="1" ht="12.75" x14ac:dyDescent="0.2">
      <c r="R8181" s="1288"/>
    </row>
    <row r="8182" spans="18:18" s="2" customFormat="1" ht="12.75" x14ac:dyDescent="0.2">
      <c r="R8182" s="1288"/>
    </row>
    <row r="8183" spans="18:18" s="2" customFormat="1" ht="12.75" x14ac:dyDescent="0.2">
      <c r="R8183" s="1288"/>
    </row>
    <row r="8184" spans="18:18" s="2" customFormat="1" ht="12.75" x14ac:dyDescent="0.2">
      <c r="R8184" s="1288"/>
    </row>
    <row r="8185" spans="18:18" s="2" customFormat="1" ht="12.75" x14ac:dyDescent="0.2">
      <c r="R8185" s="1288"/>
    </row>
    <row r="8186" spans="18:18" s="2" customFormat="1" ht="12.75" x14ac:dyDescent="0.2">
      <c r="R8186" s="1288"/>
    </row>
    <row r="8187" spans="18:18" s="2" customFormat="1" ht="12.75" x14ac:dyDescent="0.2">
      <c r="R8187" s="1288"/>
    </row>
    <row r="8188" spans="18:18" s="2" customFormat="1" ht="12.75" x14ac:dyDescent="0.2">
      <c r="R8188" s="1288"/>
    </row>
    <row r="8189" spans="18:18" s="2" customFormat="1" ht="12.75" x14ac:dyDescent="0.2">
      <c r="R8189" s="1288"/>
    </row>
    <row r="8190" spans="18:18" s="2" customFormat="1" ht="12.75" x14ac:dyDescent="0.2">
      <c r="R8190" s="1288"/>
    </row>
    <row r="8191" spans="18:18" s="2" customFormat="1" ht="12.75" x14ac:dyDescent="0.2">
      <c r="R8191" s="1288"/>
    </row>
    <row r="8192" spans="18:18" s="2" customFormat="1" ht="12.75" x14ac:dyDescent="0.2">
      <c r="R8192" s="1288"/>
    </row>
    <row r="8193" spans="18:18" s="2" customFormat="1" ht="12.75" x14ac:dyDescent="0.2">
      <c r="R8193" s="1288"/>
    </row>
    <row r="8194" spans="18:18" s="2" customFormat="1" ht="12.75" x14ac:dyDescent="0.2">
      <c r="R8194" s="1288"/>
    </row>
    <row r="8195" spans="18:18" s="2" customFormat="1" ht="12.75" x14ac:dyDescent="0.2">
      <c r="R8195" s="1288"/>
    </row>
    <row r="8196" spans="18:18" s="2" customFormat="1" ht="12.75" x14ac:dyDescent="0.2">
      <c r="R8196" s="1288"/>
    </row>
    <row r="8197" spans="18:18" s="2" customFormat="1" ht="12.75" x14ac:dyDescent="0.2">
      <c r="R8197" s="1288"/>
    </row>
    <row r="8198" spans="18:18" s="2" customFormat="1" ht="12.75" x14ac:dyDescent="0.2">
      <c r="R8198" s="1288"/>
    </row>
    <row r="8199" spans="18:18" s="2" customFormat="1" ht="12.75" x14ac:dyDescent="0.2">
      <c r="R8199" s="1288"/>
    </row>
    <row r="8200" spans="18:18" s="2" customFormat="1" ht="12.75" x14ac:dyDescent="0.2">
      <c r="R8200" s="1288"/>
    </row>
    <row r="8201" spans="18:18" s="2" customFormat="1" ht="12.75" x14ac:dyDescent="0.2">
      <c r="R8201" s="1288"/>
    </row>
    <row r="8202" spans="18:18" s="2" customFormat="1" ht="12.75" x14ac:dyDescent="0.2">
      <c r="R8202" s="1288"/>
    </row>
    <row r="8203" spans="18:18" s="2" customFormat="1" ht="12.75" x14ac:dyDescent="0.2">
      <c r="R8203" s="1288"/>
    </row>
    <row r="8204" spans="18:18" s="2" customFormat="1" ht="12.75" x14ac:dyDescent="0.2">
      <c r="R8204" s="1288"/>
    </row>
    <row r="8205" spans="18:18" s="2" customFormat="1" ht="12.75" x14ac:dyDescent="0.2">
      <c r="R8205" s="1288"/>
    </row>
    <row r="8206" spans="18:18" s="2" customFormat="1" ht="12.75" x14ac:dyDescent="0.2">
      <c r="R8206" s="1288"/>
    </row>
    <row r="8207" spans="18:18" s="2" customFormat="1" ht="12.75" x14ac:dyDescent="0.2">
      <c r="R8207" s="1288"/>
    </row>
    <row r="8208" spans="18:18" s="2" customFormat="1" ht="12.75" x14ac:dyDescent="0.2">
      <c r="R8208" s="1288"/>
    </row>
    <row r="8209" spans="18:18" s="2" customFormat="1" ht="12.75" x14ac:dyDescent="0.2">
      <c r="R8209" s="1288"/>
    </row>
    <row r="8210" spans="18:18" s="2" customFormat="1" ht="12.75" x14ac:dyDescent="0.2">
      <c r="R8210" s="1288"/>
    </row>
    <row r="8211" spans="18:18" s="2" customFormat="1" ht="12.75" x14ac:dyDescent="0.2">
      <c r="R8211" s="1288"/>
    </row>
    <row r="8212" spans="18:18" s="2" customFormat="1" ht="12.75" x14ac:dyDescent="0.2">
      <c r="R8212" s="1288"/>
    </row>
    <row r="8213" spans="18:18" s="2" customFormat="1" ht="12.75" x14ac:dyDescent="0.2">
      <c r="R8213" s="1288"/>
    </row>
    <row r="8214" spans="18:18" s="2" customFormat="1" ht="12.75" x14ac:dyDescent="0.2">
      <c r="R8214" s="1288"/>
    </row>
    <row r="8215" spans="18:18" s="2" customFormat="1" ht="12.75" x14ac:dyDescent="0.2">
      <c r="R8215" s="1288"/>
    </row>
    <row r="8216" spans="18:18" s="2" customFormat="1" ht="12.75" x14ac:dyDescent="0.2">
      <c r="R8216" s="1288"/>
    </row>
    <row r="8217" spans="18:18" s="2" customFormat="1" ht="12.75" x14ac:dyDescent="0.2">
      <c r="R8217" s="1288"/>
    </row>
    <row r="8218" spans="18:18" s="2" customFormat="1" ht="12.75" x14ac:dyDescent="0.2">
      <c r="R8218" s="1288"/>
    </row>
    <row r="8219" spans="18:18" s="2" customFormat="1" ht="12.75" x14ac:dyDescent="0.2">
      <c r="R8219" s="1288"/>
    </row>
    <row r="8220" spans="18:18" s="2" customFormat="1" ht="12.75" x14ac:dyDescent="0.2">
      <c r="R8220" s="1288"/>
    </row>
    <row r="8221" spans="18:18" s="2" customFormat="1" ht="12.75" x14ac:dyDescent="0.2">
      <c r="R8221" s="1288"/>
    </row>
    <row r="8222" spans="18:18" s="2" customFormat="1" ht="12.75" x14ac:dyDescent="0.2">
      <c r="R8222" s="1288"/>
    </row>
    <row r="8223" spans="18:18" s="2" customFormat="1" ht="12.75" x14ac:dyDescent="0.2">
      <c r="R8223" s="1288"/>
    </row>
    <row r="8224" spans="18:18" s="2" customFormat="1" ht="12.75" x14ac:dyDescent="0.2">
      <c r="R8224" s="1288"/>
    </row>
    <row r="8225" spans="18:18" s="2" customFormat="1" ht="12.75" x14ac:dyDescent="0.2">
      <c r="R8225" s="1288"/>
    </row>
    <row r="8226" spans="18:18" s="2" customFormat="1" ht="12.75" x14ac:dyDescent="0.2">
      <c r="R8226" s="1288"/>
    </row>
    <row r="8227" spans="18:18" s="2" customFormat="1" ht="12.75" x14ac:dyDescent="0.2">
      <c r="R8227" s="1288"/>
    </row>
    <row r="8228" spans="18:18" s="2" customFormat="1" ht="12.75" x14ac:dyDescent="0.2">
      <c r="R8228" s="1288"/>
    </row>
    <row r="8229" spans="18:18" s="2" customFormat="1" ht="12.75" x14ac:dyDescent="0.2">
      <c r="R8229" s="1288"/>
    </row>
    <row r="8230" spans="18:18" s="2" customFormat="1" ht="12.75" x14ac:dyDescent="0.2">
      <c r="R8230" s="1288"/>
    </row>
    <row r="8231" spans="18:18" s="2" customFormat="1" ht="12.75" x14ac:dyDescent="0.2">
      <c r="R8231" s="1288"/>
    </row>
    <row r="8232" spans="18:18" s="2" customFormat="1" ht="12.75" x14ac:dyDescent="0.2">
      <c r="R8232" s="1288"/>
    </row>
    <row r="8233" spans="18:18" s="2" customFormat="1" ht="12.75" x14ac:dyDescent="0.2">
      <c r="R8233" s="1288"/>
    </row>
    <row r="8234" spans="18:18" s="2" customFormat="1" ht="12.75" x14ac:dyDescent="0.2">
      <c r="R8234" s="1288"/>
    </row>
    <row r="8235" spans="18:18" s="2" customFormat="1" ht="12.75" x14ac:dyDescent="0.2">
      <c r="R8235" s="1288"/>
    </row>
    <row r="8236" spans="18:18" s="2" customFormat="1" ht="12.75" x14ac:dyDescent="0.2">
      <c r="R8236" s="1288"/>
    </row>
    <row r="8237" spans="18:18" s="2" customFormat="1" ht="12.75" x14ac:dyDescent="0.2">
      <c r="R8237" s="1288"/>
    </row>
    <row r="8238" spans="18:18" s="2" customFormat="1" ht="12.75" x14ac:dyDescent="0.2">
      <c r="R8238" s="1288"/>
    </row>
    <row r="8239" spans="18:18" s="2" customFormat="1" ht="12.75" x14ac:dyDescent="0.2">
      <c r="R8239" s="1288"/>
    </row>
    <row r="8240" spans="18:18" s="2" customFormat="1" ht="12.75" x14ac:dyDescent="0.2">
      <c r="R8240" s="1288"/>
    </row>
    <row r="8241" spans="18:18" s="2" customFormat="1" ht="12.75" x14ac:dyDescent="0.2">
      <c r="R8241" s="1288"/>
    </row>
    <row r="8242" spans="18:18" s="2" customFormat="1" ht="12.75" x14ac:dyDescent="0.2">
      <c r="R8242" s="1288"/>
    </row>
    <row r="8243" spans="18:18" s="2" customFormat="1" ht="12.75" x14ac:dyDescent="0.2">
      <c r="R8243" s="1288"/>
    </row>
    <row r="8244" spans="18:18" s="2" customFormat="1" ht="12.75" x14ac:dyDescent="0.2">
      <c r="R8244" s="1288"/>
    </row>
    <row r="8245" spans="18:18" s="2" customFormat="1" ht="12.75" x14ac:dyDescent="0.2">
      <c r="R8245" s="1288"/>
    </row>
    <row r="8246" spans="18:18" s="2" customFormat="1" ht="12.75" x14ac:dyDescent="0.2">
      <c r="R8246" s="1288"/>
    </row>
    <row r="8247" spans="18:18" s="2" customFormat="1" ht="12.75" x14ac:dyDescent="0.2">
      <c r="R8247" s="1288"/>
    </row>
    <row r="8248" spans="18:18" s="2" customFormat="1" ht="12.75" x14ac:dyDescent="0.2">
      <c r="R8248" s="1288"/>
    </row>
    <row r="8249" spans="18:18" s="2" customFormat="1" ht="12.75" x14ac:dyDescent="0.2">
      <c r="R8249" s="1288"/>
    </row>
    <row r="8250" spans="18:18" s="2" customFormat="1" ht="12.75" x14ac:dyDescent="0.2">
      <c r="R8250" s="1288"/>
    </row>
    <row r="8251" spans="18:18" s="2" customFormat="1" ht="12.75" x14ac:dyDescent="0.2">
      <c r="R8251" s="1288"/>
    </row>
    <row r="8252" spans="18:18" s="2" customFormat="1" ht="12.75" x14ac:dyDescent="0.2">
      <c r="R8252" s="1288"/>
    </row>
    <row r="8253" spans="18:18" s="2" customFormat="1" ht="12.75" x14ac:dyDescent="0.2">
      <c r="R8253" s="1288"/>
    </row>
    <row r="8254" spans="18:18" s="2" customFormat="1" ht="12.75" x14ac:dyDescent="0.2">
      <c r="R8254" s="1288"/>
    </row>
    <row r="8255" spans="18:18" s="2" customFormat="1" ht="12.75" x14ac:dyDescent="0.2">
      <c r="R8255" s="1288"/>
    </row>
    <row r="8256" spans="18:18" s="2" customFormat="1" ht="12.75" x14ac:dyDescent="0.2">
      <c r="R8256" s="1288"/>
    </row>
    <row r="8257" spans="18:18" s="2" customFormat="1" ht="12.75" x14ac:dyDescent="0.2">
      <c r="R8257" s="1288"/>
    </row>
    <row r="8258" spans="18:18" s="2" customFormat="1" ht="12.75" x14ac:dyDescent="0.2">
      <c r="R8258" s="1288"/>
    </row>
    <row r="8259" spans="18:18" s="2" customFormat="1" ht="12.75" x14ac:dyDescent="0.2">
      <c r="R8259" s="1288"/>
    </row>
    <row r="8260" spans="18:18" s="2" customFormat="1" ht="12.75" x14ac:dyDescent="0.2">
      <c r="R8260" s="1288"/>
    </row>
    <row r="8261" spans="18:18" s="2" customFormat="1" ht="12.75" x14ac:dyDescent="0.2">
      <c r="R8261" s="1288"/>
    </row>
    <row r="8262" spans="18:18" s="2" customFormat="1" ht="12.75" x14ac:dyDescent="0.2">
      <c r="R8262" s="1288"/>
    </row>
    <row r="8263" spans="18:18" s="2" customFormat="1" ht="12.75" x14ac:dyDescent="0.2">
      <c r="R8263" s="1288"/>
    </row>
    <row r="8264" spans="18:18" s="2" customFormat="1" ht="12.75" x14ac:dyDescent="0.2">
      <c r="R8264" s="1288"/>
    </row>
    <row r="8265" spans="18:18" s="2" customFormat="1" ht="12.75" x14ac:dyDescent="0.2">
      <c r="R8265" s="1288"/>
    </row>
    <row r="8266" spans="18:18" s="2" customFormat="1" ht="12.75" x14ac:dyDescent="0.2">
      <c r="R8266" s="1288"/>
    </row>
    <row r="8267" spans="18:18" s="2" customFormat="1" ht="12.75" x14ac:dyDescent="0.2">
      <c r="R8267" s="1288"/>
    </row>
    <row r="8268" spans="18:18" s="2" customFormat="1" ht="12.75" x14ac:dyDescent="0.2">
      <c r="R8268" s="1288"/>
    </row>
    <row r="8269" spans="18:18" s="2" customFormat="1" ht="12.75" x14ac:dyDescent="0.2">
      <c r="R8269" s="1288"/>
    </row>
    <row r="8270" spans="18:18" s="2" customFormat="1" ht="12.75" x14ac:dyDescent="0.2">
      <c r="R8270" s="1288"/>
    </row>
    <row r="8271" spans="18:18" s="2" customFormat="1" ht="12.75" x14ac:dyDescent="0.2">
      <c r="R8271" s="1288"/>
    </row>
    <row r="8272" spans="18:18" s="2" customFormat="1" ht="12.75" x14ac:dyDescent="0.2">
      <c r="R8272" s="1288"/>
    </row>
    <row r="8273" spans="18:18" s="2" customFormat="1" ht="12.75" x14ac:dyDescent="0.2">
      <c r="R8273" s="1288"/>
    </row>
    <row r="8274" spans="18:18" s="2" customFormat="1" ht="12.75" x14ac:dyDescent="0.2">
      <c r="R8274" s="1288"/>
    </row>
    <row r="8275" spans="18:18" s="2" customFormat="1" ht="12.75" x14ac:dyDescent="0.2">
      <c r="R8275" s="1288"/>
    </row>
    <row r="8276" spans="18:18" s="2" customFormat="1" ht="12.75" x14ac:dyDescent="0.2">
      <c r="R8276" s="1288"/>
    </row>
    <row r="8277" spans="18:18" s="2" customFormat="1" ht="12.75" x14ac:dyDescent="0.2">
      <c r="R8277" s="1288"/>
    </row>
    <row r="8278" spans="18:18" s="2" customFormat="1" ht="12.75" x14ac:dyDescent="0.2">
      <c r="R8278" s="1288"/>
    </row>
    <row r="8279" spans="18:18" s="2" customFormat="1" ht="12.75" x14ac:dyDescent="0.2">
      <c r="R8279" s="1288"/>
    </row>
    <row r="8280" spans="18:18" s="2" customFormat="1" ht="12.75" x14ac:dyDescent="0.2">
      <c r="R8280" s="1288"/>
    </row>
    <row r="8281" spans="18:18" s="2" customFormat="1" ht="12.75" x14ac:dyDescent="0.2">
      <c r="R8281" s="1288"/>
    </row>
    <row r="8282" spans="18:18" s="2" customFormat="1" ht="12.75" x14ac:dyDescent="0.2">
      <c r="R8282" s="1288"/>
    </row>
    <row r="8283" spans="18:18" s="2" customFormat="1" ht="12.75" x14ac:dyDescent="0.2">
      <c r="R8283" s="1288"/>
    </row>
    <row r="8284" spans="18:18" s="2" customFormat="1" ht="12.75" x14ac:dyDescent="0.2">
      <c r="R8284" s="1288"/>
    </row>
    <row r="8285" spans="18:18" s="2" customFormat="1" ht="12.75" x14ac:dyDescent="0.2">
      <c r="R8285" s="1288"/>
    </row>
    <row r="8286" spans="18:18" s="2" customFormat="1" ht="12.75" x14ac:dyDescent="0.2">
      <c r="R8286" s="1288"/>
    </row>
    <row r="8287" spans="18:18" s="2" customFormat="1" ht="12.75" x14ac:dyDescent="0.2">
      <c r="R8287" s="1288"/>
    </row>
    <row r="8288" spans="18:18" s="2" customFormat="1" ht="12.75" x14ac:dyDescent="0.2">
      <c r="R8288" s="1288"/>
    </row>
    <row r="8289" spans="18:18" s="2" customFormat="1" ht="12.75" x14ac:dyDescent="0.2">
      <c r="R8289" s="1288"/>
    </row>
    <row r="8290" spans="18:18" s="2" customFormat="1" ht="12.75" x14ac:dyDescent="0.2">
      <c r="R8290" s="1288"/>
    </row>
    <row r="8291" spans="18:18" s="2" customFormat="1" ht="12.75" x14ac:dyDescent="0.2">
      <c r="R8291" s="1288"/>
    </row>
    <row r="8292" spans="18:18" s="2" customFormat="1" ht="12.75" x14ac:dyDescent="0.2">
      <c r="R8292" s="1288"/>
    </row>
    <row r="8293" spans="18:18" s="2" customFormat="1" ht="12.75" x14ac:dyDescent="0.2">
      <c r="R8293" s="1288"/>
    </row>
    <row r="8294" spans="18:18" s="2" customFormat="1" ht="12.75" x14ac:dyDescent="0.2">
      <c r="R8294" s="1288"/>
    </row>
    <row r="8295" spans="18:18" s="2" customFormat="1" ht="12.75" x14ac:dyDescent="0.2">
      <c r="R8295" s="1288"/>
    </row>
    <row r="8296" spans="18:18" s="2" customFormat="1" ht="12.75" x14ac:dyDescent="0.2">
      <c r="R8296" s="1288"/>
    </row>
    <row r="8297" spans="18:18" s="2" customFormat="1" ht="12.75" x14ac:dyDescent="0.2">
      <c r="R8297" s="1288"/>
    </row>
    <row r="8298" spans="18:18" s="2" customFormat="1" ht="12.75" x14ac:dyDescent="0.2">
      <c r="R8298" s="1288"/>
    </row>
    <row r="8299" spans="18:18" s="2" customFormat="1" ht="12.75" x14ac:dyDescent="0.2">
      <c r="R8299" s="1288"/>
    </row>
    <row r="8300" spans="18:18" s="2" customFormat="1" ht="12.75" x14ac:dyDescent="0.2">
      <c r="R8300" s="1288"/>
    </row>
    <row r="8301" spans="18:18" s="2" customFormat="1" ht="12.75" x14ac:dyDescent="0.2">
      <c r="R8301" s="1288"/>
    </row>
    <row r="8302" spans="18:18" s="2" customFormat="1" ht="12.75" x14ac:dyDescent="0.2">
      <c r="R8302" s="1288"/>
    </row>
    <row r="8303" spans="18:18" s="2" customFormat="1" ht="12.75" x14ac:dyDescent="0.2">
      <c r="R8303" s="1288"/>
    </row>
    <row r="8304" spans="18:18" s="2" customFormat="1" ht="12.75" x14ac:dyDescent="0.2">
      <c r="R8304" s="1288"/>
    </row>
    <row r="8305" spans="18:18" s="2" customFormat="1" ht="12.75" x14ac:dyDescent="0.2">
      <c r="R8305" s="1288"/>
    </row>
    <row r="8306" spans="18:18" s="2" customFormat="1" ht="12.75" x14ac:dyDescent="0.2">
      <c r="R8306" s="1288"/>
    </row>
    <row r="8307" spans="18:18" s="2" customFormat="1" ht="12.75" x14ac:dyDescent="0.2">
      <c r="R8307" s="1288"/>
    </row>
    <row r="8308" spans="18:18" s="2" customFormat="1" ht="12.75" x14ac:dyDescent="0.2">
      <c r="R8308" s="1288"/>
    </row>
    <row r="8309" spans="18:18" s="2" customFormat="1" ht="12.75" x14ac:dyDescent="0.2">
      <c r="R8309" s="1288"/>
    </row>
    <row r="8310" spans="18:18" s="2" customFormat="1" ht="12.75" x14ac:dyDescent="0.2">
      <c r="R8310" s="1288"/>
    </row>
    <row r="8311" spans="18:18" s="2" customFormat="1" ht="12.75" x14ac:dyDescent="0.2">
      <c r="R8311" s="1288"/>
    </row>
    <row r="8312" spans="18:18" s="2" customFormat="1" ht="12.75" x14ac:dyDescent="0.2">
      <c r="R8312" s="1288"/>
    </row>
    <row r="8313" spans="18:18" s="2" customFormat="1" ht="12.75" x14ac:dyDescent="0.2">
      <c r="R8313" s="1288"/>
    </row>
    <row r="8314" spans="18:18" s="2" customFormat="1" ht="12.75" x14ac:dyDescent="0.2">
      <c r="R8314" s="1288"/>
    </row>
    <row r="8315" spans="18:18" s="2" customFormat="1" ht="12.75" x14ac:dyDescent="0.2">
      <c r="R8315" s="1288"/>
    </row>
    <row r="8316" spans="18:18" s="2" customFormat="1" ht="12.75" x14ac:dyDescent="0.2">
      <c r="R8316" s="1288"/>
    </row>
    <row r="8317" spans="18:18" s="2" customFormat="1" ht="12.75" x14ac:dyDescent="0.2">
      <c r="R8317" s="1288"/>
    </row>
    <row r="8318" spans="18:18" s="2" customFormat="1" ht="12.75" x14ac:dyDescent="0.2">
      <c r="R8318" s="1288"/>
    </row>
    <row r="8319" spans="18:18" s="2" customFormat="1" ht="12.75" x14ac:dyDescent="0.2">
      <c r="R8319" s="1288"/>
    </row>
    <row r="8320" spans="18:18" s="2" customFormat="1" ht="12.75" x14ac:dyDescent="0.2">
      <c r="R8320" s="1288"/>
    </row>
    <row r="8321" spans="18:18" s="2" customFormat="1" ht="12.75" x14ac:dyDescent="0.2">
      <c r="R8321" s="1288"/>
    </row>
    <row r="8322" spans="18:18" s="2" customFormat="1" ht="12.75" x14ac:dyDescent="0.2">
      <c r="R8322" s="1288"/>
    </row>
    <row r="8323" spans="18:18" s="2" customFormat="1" ht="12.75" x14ac:dyDescent="0.2">
      <c r="R8323" s="1288"/>
    </row>
    <row r="8324" spans="18:18" s="2" customFormat="1" ht="12.75" x14ac:dyDescent="0.2">
      <c r="R8324" s="1288"/>
    </row>
    <row r="8325" spans="18:18" s="2" customFormat="1" ht="12.75" x14ac:dyDescent="0.2">
      <c r="R8325" s="1288"/>
    </row>
    <row r="8326" spans="18:18" s="2" customFormat="1" ht="12.75" x14ac:dyDescent="0.2">
      <c r="R8326" s="1288"/>
    </row>
    <row r="8327" spans="18:18" s="2" customFormat="1" ht="12.75" x14ac:dyDescent="0.2">
      <c r="R8327" s="1288"/>
    </row>
    <row r="8328" spans="18:18" s="2" customFormat="1" ht="12.75" x14ac:dyDescent="0.2">
      <c r="R8328" s="1288"/>
    </row>
    <row r="8329" spans="18:18" s="2" customFormat="1" ht="12.75" x14ac:dyDescent="0.2">
      <c r="R8329" s="1288"/>
    </row>
    <row r="8330" spans="18:18" s="2" customFormat="1" ht="12.75" x14ac:dyDescent="0.2">
      <c r="R8330" s="1288"/>
    </row>
    <row r="8331" spans="18:18" s="2" customFormat="1" ht="12.75" x14ac:dyDescent="0.2">
      <c r="R8331" s="1288"/>
    </row>
    <row r="8332" spans="18:18" s="2" customFormat="1" ht="12.75" x14ac:dyDescent="0.2">
      <c r="R8332" s="1288"/>
    </row>
    <row r="8333" spans="18:18" s="2" customFormat="1" ht="12.75" x14ac:dyDescent="0.2">
      <c r="R8333" s="1288"/>
    </row>
    <row r="8334" spans="18:18" s="2" customFormat="1" ht="12.75" x14ac:dyDescent="0.2">
      <c r="R8334" s="1288"/>
    </row>
    <row r="8335" spans="18:18" s="2" customFormat="1" ht="12.75" x14ac:dyDescent="0.2">
      <c r="R8335" s="1288"/>
    </row>
    <row r="8336" spans="18:18" s="2" customFormat="1" ht="12.75" x14ac:dyDescent="0.2">
      <c r="R8336" s="1288"/>
    </row>
    <row r="8337" spans="18:18" s="2" customFormat="1" ht="12.75" x14ac:dyDescent="0.2">
      <c r="R8337" s="1288"/>
    </row>
    <row r="8338" spans="18:18" s="2" customFormat="1" ht="12.75" x14ac:dyDescent="0.2">
      <c r="R8338" s="1288"/>
    </row>
    <row r="8339" spans="18:18" s="2" customFormat="1" ht="12.75" x14ac:dyDescent="0.2">
      <c r="R8339" s="1288"/>
    </row>
    <row r="8340" spans="18:18" s="2" customFormat="1" ht="12.75" x14ac:dyDescent="0.2">
      <c r="R8340" s="1288"/>
    </row>
    <row r="8341" spans="18:18" s="2" customFormat="1" ht="12.75" x14ac:dyDescent="0.2">
      <c r="R8341" s="1288"/>
    </row>
    <row r="8342" spans="18:18" s="2" customFormat="1" ht="12.75" x14ac:dyDescent="0.2">
      <c r="R8342" s="1288"/>
    </row>
    <row r="8343" spans="18:18" s="2" customFormat="1" ht="12.75" x14ac:dyDescent="0.2">
      <c r="R8343" s="1288"/>
    </row>
    <row r="8344" spans="18:18" s="2" customFormat="1" ht="12.75" x14ac:dyDescent="0.2">
      <c r="R8344" s="1288"/>
    </row>
    <row r="8345" spans="18:18" s="2" customFormat="1" ht="12.75" x14ac:dyDescent="0.2">
      <c r="R8345" s="1288"/>
    </row>
    <row r="8346" spans="18:18" s="2" customFormat="1" ht="12.75" x14ac:dyDescent="0.2">
      <c r="R8346" s="1288"/>
    </row>
    <row r="8347" spans="18:18" s="2" customFormat="1" ht="12.75" x14ac:dyDescent="0.2">
      <c r="R8347" s="1288"/>
    </row>
    <row r="8348" spans="18:18" s="2" customFormat="1" ht="12.75" x14ac:dyDescent="0.2">
      <c r="R8348" s="1288"/>
    </row>
    <row r="8349" spans="18:18" s="2" customFormat="1" ht="12.75" x14ac:dyDescent="0.2">
      <c r="R8349" s="1288"/>
    </row>
    <row r="8350" spans="18:18" s="2" customFormat="1" ht="12.75" x14ac:dyDescent="0.2">
      <c r="R8350" s="1288"/>
    </row>
    <row r="8351" spans="18:18" s="2" customFormat="1" ht="12.75" x14ac:dyDescent="0.2">
      <c r="R8351" s="1288"/>
    </row>
    <row r="8352" spans="18:18" s="2" customFormat="1" ht="12.75" x14ac:dyDescent="0.2">
      <c r="R8352" s="1288"/>
    </row>
    <row r="8353" spans="18:18" s="2" customFormat="1" ht="12.75" x14ac:dyDescent="0.2">
      <c r="R8353" s="1288"/>
    </row>
    <row r="8354" spans="18:18" s="2" customFormat="1" ht="12.75" x14ac:dyDescent="0.2">
      <c r="R8354" s="1288"/>
    </row>
    <row r="8355" spans="18:18" s="2" customFormat="1" ht="12.75" x14ac:dyDescent="0.2">
      <c r="R8355" s="1288"/>
    </row>
    <row r="8356" spans="18:18" s="2" customFormat="1" ht="12.75" x14ac:dyDescent="0.2">
      <c r="R8356" s="1288"/>
    </row>
    <row r="8357" spans="18:18" s="2" customFormat="1" ht="12.75" x14ac:dyDescent="0.2">
      <c r="R8357" s="1288"/>
    </row>
    <row r="8358" spans="18:18" s="2" customFormat="1" ht="12.75" x14ac:dyDescent="0.2">
      <c r="R8358" s="1288"/>
    </row>
    <row r="8359" spans="18:18" s="2" customFormat="1" ht="12.75" x14ac:dyDescent="0.2">
      <c r="R8359" s="1288"/>
    </row>
    <row r="8360" spans="18:18" s="2" customFormat="1" ht="12.75" x14ac:dyDescent="0.2">
      <c r="R8360" s="1288"/>
    </row>
    <row r="8361" spans="18:18" s="2" customFormat="1" ht="12.75" x14ac:dyDescent="0.2">
      <c r="R8361" s="1288"/>
    </row>
    <row r="8362" spans="18:18" s="2" customFormat="1" ht="12.75" x14ac:dyDescent="0.2">
      <c r="R8362" s="1288"/>
    </row>
    <row r="8363" spans="18:18" s="2" customFormat="1" ht="12.75" x14ac:dyDescent="0.2">
      <c r="R8363" s="1288"/>
    </row>
    <row r="8364" spans="18:18" s="2" customFormat="1" ht="12.75" x14ac:dyDescent="0.2">
      <c r="R8364" s="1288"/>
    </row>
    <row r="8365" spans="18:18" s="2" customFormat="1" ht="12.75" x14ac:dyDescent="0.2">
      <c r="R8365" s="1288"/>
    </row>
    <row r="8366" spans="18:18" s="2" customFormat="1" ht="12.75" x14ac:dyDescent="0.2">
      <c r="R8366" s="1288"/>
    </row>
    <row r="8367" spans="18:18" s="2" customFormat="1" ht="12.75" x14ac:dyDescent="0.2">
      <c r="R8367" s="1288"/>
    </row>
    <row r="8368" spans="18:18" s="2" customFormat="1" ht="12.75" x14ac:dyDescent="0.2">
      <c r="R8368" s="1288"/>
    </row>
    <row r="8369" spans="18:18" s="2" customFormat="1" ht="12.75" x14ac:dyDescent="0.2">
      <c r="R8369" s="1288"/>
    </row>
    <row r="8370" spans="18:18" s="2" customFormat="1" ht="12.75" x14ac:dyDescent="0.2">
      <c r="R8370" s="1288"/>
    </row>
    <row r="8371" spans="18:18" s="2" customFormat="1" ht="12.75" x14ac:dyDescent="0.2">
      <c r="R8371" s="1288"/>
    </row>
    <row r="8372" spans="18:18" s="2" customFormat="1" ht="12.75" x14ac:dyDescent="0.2">
      <c r="R8372" s="1288"/>
    </row>
    <row r="8373" spans="18:18" s="2" customFormat="1" ht="12.75" x14ac:dyDescent="0.2">
      <c r="R8373" s="1288"/>
    </row>
    <row r="8374" spans="18:18" s="2" customFormat="1" ht="12.75" x14ac:dyDescent="0.2">
      <c r="R8374" s="1288"/>
    </row>
    <row r="8375" spans="18:18" s="2" customFormat="1" ht="12.75" x14ac:dyDescent="0.2">
      <c r="R8375" s="1288"/>
    </row>
    <row r="8376" spans="18:18" s="2" customFormat="1" ht="12.75" x14ac:dyDescent="0.2">
      <c r="R8376" s="1288"/>
    </row>
    <row r="8377" spans="18:18" s="2" customFormat="1" ht="12.75" x14ac:dyDescent="0.2">
      <c r="R8377" s="1288"/>
    </row>
    <row r="8378" spans="18:18" s="2" customFormat="1" ht="12.75" x14ac:dyDescent="0.2">
      <c r="R8378" s="1288"/>
    </row>
    <row r="8379" spans="18:18" s="2" customFormat="1" ht="12.75" x14ac:dyDescent="0.2">
      <c r="R8379" s="1288"/>
    </row>
    <row r="8380" spans="18:18" s="2" customFormat="1" ht="12.75" x14ac:dyDescent="0.2">
      <c r="R8380" s="1288"/>
    </row>
    <row r="8381" spans="18:18" s="2" customFormat="1" ht="12.75" x14ac:dyDescent="0.2">
      <c r="R8381" s="1288"/>
    </row>
    <row r="8382" spans="18:18" s="2" customFormat="1" ht="12.75" x14ac:dyDescent="0.2">
      <c r="R8382" s="1288"/>
    </row>
    <row r="8383" spans="18:18" s="2" customFormat="1" ht="12.75" x14ac:dyDescent="0.2">
      <c r="R8383" s="1288"/>
    </row>
    <row r="8384" spans="18:18" s="2" customFormat="1" ht="12.75" x14ac:dyDescent="0.2">
      <c r="R8384" s="1288"/>
    </row>
    <row r="8385" spans="18:18" s="2" customFormat="1" ht="12.75" x14ac:dyDescent="0.2">
      <c r="R8385" s="1288"/>
    </row>
    <row r="8386" spans="18:18" s="2" customFormat="1" ht="12.75" x14ac:dyDescent="0.2">
      <c r="R8386" s="1288"/>
    </row>
    <row r="8387" spans="18:18" s="2" customFormat="1" ht="12.75" x14ac:dyDescent="0.2">
      <c r="R8387" s="1288"/>
    </row>
    <row r="8388" spans="18:18" s="2" customFormat="1" ht="12.75" x14ac:dyDescent="0.2">
      <c r="R8388" s="1288"/>
    </row>
    <row r="8389" spans="18:18" s="2" customFormat="1" ht="12.75" x14ac:dyDescent="0.2">
      <c r="R8389" s="1288"/>
    </row>
    <row r="8390" spans="18:18" s="2" customFormat="1" ht="12.75" x14ac:dyDescent="0.2">
      <c r="R8390" s="1288"/>
    </row>
    <row r="8391" spans="18:18" s="2" customFormat="1" ht="12.75" x14ac:dyDescent="0.2">
      <c r="R8391" s="1288"/>
    </row>
    <row r="8392" spans="18:18" s="2" customFormat="1" ht="12.75" x14ac:dyDescent="0.2">
      <c r="R8392" s="1288"/>
    </row>
    <row r="8393" spans="18:18" s="2" customFormat="1" ht="12.75" x14ac:dyDescent="0.2">
      <c r="R8393" s="1288"/>
    </row>
    <row r="8394" spans="18:18" s="2" customFormat="1" ht="12.75" x14ac:dyDescent="0.2">
      <c r="R8394" s="1288"/>
    </row>
    <row r="8395" spans="18:18" s="2" customFormat="1" ht="12.75" x14ac:dyDescent="0.2">
      <c r="R8395" s="1288"/>
    </row>
    <row r="8396" spans="18:18" s="2" customFormat="1" ht="12.75" x14ac:dyDescent="0.2">
      <c r="R8396" s="1288"/>
    </row>
    <row r="8397" spans="18:18" s="2" customFormat="1" ht="12.75" x14ac:dyDescent="0.2">
      <c r="R8397" s="1288"/>
    </row>
    <row r="8398" spans="18:18" s="2" customFormat="1" ht="12.75" x14ac:dyDescent="0.2">
      <c r="R8398" s="1288"/>
    </row>
    <row r="8399" spans="18:18" s="2" customFormat="1" ht="12.75" x14ac:dyDescent="0.2">
      <c r="R8399" s="1288"/>
    </row>
    <row r="8400" spans="18:18" s="2" customFormat="1" ht="12.75" x14ac:dyDescent="0.2">
      <c r="R8400" s="1288"/>
    </row>
    <row r="8401" spans="18:18" s="2" customFormat="1" ht="12.75" x14ac:dyDescent="0.2">
      <c r="R8401" s="1288"/>
    </row>
    <row r="8402" spans="18:18" s="2" customFormat="1" ht="12.75" x14ac:dyDescent="0.2">
      <c r="R8402" s="1288"/>
    </row>
    <row r="8403" spans="18:18" s="2" customFormat="1" ht="12.75" x14ac:dyDescent="0.2">
      <c r="R8403" s="1288"/>
    </row>
    <row r="8404" spans="18:18" s="2" customFormat="1" ht="12.75" x14ac:dyDescent="0.2">
      <c r="R8404" s="1288"/>
    </row>
    <row r="8405" spans="18:18" s="2" customFormat="1" ht="12.75" x14ac:dyDescent="0.2">
      <c r="R8405" s="1288"/>
    </row>
    <row r="8406" spans="18:18" s="2" customFormat="1" ht="12.75" x14ac:dyDescent="0.2">
      <c r="R8406" s="1288"/>
    </row>
    <row r="8407" spans="18:18" s="2" customFormat="1" ht="12.75" x14ac:dyDescent="0.2">
      <c r="R8407" s="1288"/>
    </row>
    <row r="8408" spans="18:18" s="2" customFormat="1" ht="12.75" x14ac:dyDescent="0.2">
      <c r="R8408" s="1288"/>
    </row>
    <row r="8409" spans="18:18" s="2" customFormat="1" ht="12.75" x14ac:dyDescent="0.2">
      <c r="R8409" s="1288"/>
    </row>
    <row r="8410" spans="18:18" s="2" customFormat="1" ht="12.75" x14ac:dyDescent="0.2">
      <c r="R8410" s="1288"/>
    </row>
    <row r="8411" spans="18:18" s="2" customFormat="1" ht="12.75" x14ac:dyDescent="0.2">
      <c r="R8411" s="1288"/>
    </row>
    <row r="8412" spans="18:18" s="2" customFormat="1" ht="12.75" x14ac:dyDescent="0.2">
      <c r="R8412" s="1288"/>
    </row>
    <row r="8413" spans="18:18" s="2" customFormat="1" ht="12.75" x14ac:dyDescent="0.2">
      <c r="R8413" s="1288"/>
    </row>
    <row r="8414" spans="18:18" s="2" customFormat="1" ht="12.75" x14ac:dyDescent="0.2">
      <c r="R8414" s="1288"/>
    </row>
    <row r="8415" spans="18:18" s="2" customFormat="1" ht="12.75" x14ac:dyDescent="0.2">
      <c r="R8415" s="1288"/>
    </row>
    <row r="8416" spans="18:18" s="2" customFormat="1" ht="12.75" x14ac:dyDescent="0.2">
      <c r="R8416" s="1288"/>
    </row>
    <row r="8417" spans="18:18" s="2" customFormat="1" ht="12.75" x14ac:dyDescent="0.2">
      <c r="R8417" s="1288"/>
    </row>
    <row r="8418" spans="18:18" s="2" customFormat="1" ht="12.75" x14ac:dyDescent="0.2">
      <c r="R8418" s="1288"/>
    </row>
    <row r="8419" spans="18:18" s="2" customFormat="1" ht="12.75" x14ac:dyDescent="0.2">
      <c r="R8419" s="1288"/>
    </row>
    <row r="8420" spans="18:18" s="2" customFormat="1" ht="12.75" x14ac:dyDescent="0.2">
      <c r="R8420" s="1288"/>
    </row>
    <row r="8421" spans="18:18" s="2" customFormat="1" ht="12.75" x14ac:dyDescent="0.2">
      <c r="R8421" s="1288"/>
    </row>
    <row r="8422" spans="18:18" s="2" customFormat="1" ht="12.75" x14ac:dyDescent="0.2">
      <c r="R8422" s="1288"/>
    </row>
    <row r="8423" spans="18:18" s="2" customFormat="1" ht="12.75" x14ac:dyDescent="0.2">
      <c r="R8423" s="1288"/>
    </row>
    <row r="8424" spans="18:18" s="2" customFormat="1" ht="12.75" x14ac:dyDescent="0.2">
      <c r="R8424" s="1288"/>
    </row>
    <row r="8425" spans="18:18" s="2" customFormat="1" ht="12.75" x14ac:dyDescent="0.2">
      <c r="R8425" s="1288"/>
    </row>
    <row r="8426" spans="18:18" s="2" customFormat="1" ht="12.75" x14ac:dyDescent="0.2">
      <c r="R8426" s="1288"/>
    </row>
    <row r="8427" spans="18:18" s="2" customFormat="1" ht="12.75" x14ac:dyDescent="0.2">
      <c r="R8427" s="1288"/>
    </row>
    <row r="8428" spans="18:18" s="2" customFormat="1" ht="12.75" x14ac:dyDescent="0.2">
      <c r="R8428" s="1288"/>
    </row>
    <row r="8429" spans="18:18" s="2" customFormat="1" ht="12.75" x14ac:dyDescent="0.2">
      <c r="R8429" s="1288"/>
    </row>
    <row r="8430" spans="18:18" s="2" customFormat="1" ht="12.75" x14ac:dyDescent="0.2">
      <c r="R8430" s="1288"/>
    </row>
    <row r="8431" spans="18:18" s="2" customFormat="1" ht="12.75" x14ac:dyDescent="0.2">
      <c r="R8431" s="1288"/>
    </row>
    <row r="8432" spans="18:18" s="2" customFormat="1" ht="12.75" x14ac:dyDescent="0.2">
      <c r="R8432" s="1288"/>
    </row>
    <row r="8433" spans="18:18" s="2" customFormat="1" ht="12.75" x14ac:dyDescent="0.2">
      <c r="R8433" s="1288"/>
    </row>
    <row r="8434" spans="18:18" s="2" customFormat="1" ht="12.75" x14ac:dyDescent="0.2">
      <c r="R8434" s="1288"/>
    </row>
    <row r="8435" spans="18:18" s="2" customFormat="1" ht="12.75" x14ac:dyDescent="0.2">
      <c r="R8435" s="1288"/>
    </row>
    <row r="8436" spans="18:18" s="2" customFormat="1" ht="12.75" x14ac:dyDescent="0.2">
      <c r="R8436" s="1288"/>
    </row>
    <row r="8437" spans="18:18" s="2" customFormat="1" ht="12.75" x14ac:dyDescent="0.2">
      <c r="R8437" s="1288"/>
    </row>
    <row r="8438" spans="18:18" s="2" customFormat="1" ht="12.75" x14ac:dyDescent="0.2">
      <c r="R8438" s="1288"/>
    </row>
    <row r="8439" spans="18:18" s="2" customFormat="1" ht="12.75" x14ac:dyDescent="0.2">
      <c r="R8439" s="1288"/>
    </row>
    <row r="8440" spans="18:18" s="2" customFormat="1" ht="12.75" x14ac:dyDescent="0.2">
      <c r="R8440" s="1288"/>
    </row>
    <row r="8441" spans="18:18" s="2" customFormat="1" ht="12.75" x14ac:dyDescent="0.2">
      <c r="R8441" s="1288"/>
    </row>
    <row r="8442" spans="18:18" s="2" customFormat="1" ht="12.75" x14ac:dyDescent="0.2">
      <c r="R8442" s="1288"/>
    </row>
    <row r="8443" spans="18:18" s="2" customFormat="1" ht="12.75" x14ac:dyDescent="0.2">
      <c r="R8443" s="1288"/>
    </row>
    <row r="8444" spans="18:18" s="2" customFormat="1" ht="12.75" x14ac:dyDescent="0.2">
      <c r="R8444" s="1288"/>
    </row>
    <row r="8445" spans="18:18" s="2" customFormat="1" ht="12.75" x14ac:dyDescent="0.2">
      <c r="R8445" s="1288"/>
    </row>
    <row r="8446" spans="18:18" s="2" customFormat="1" ht="12.75" x14ac:dyDescent="0.2">
      <c r="R8446" s="1288"/>
    </row>
    <row r="8447" spans="18:18" s="2" customFormat="1" ht="12.75" x14ac:dyDescent="0.2">
      <c r="R8447" s="1288"/>
    </row>
    <row r="8448" spans="18:18" s="2" customFormat="1" ht="12.75" x14ac:dyDescent="0.2">
      <c r="R8448" s="1288"/>
    </row>
    <row r="8449" spans="18:18" s="2" customFormat="1" ht="12.75" x14ac:dyDescent="0.2">
      <c r="R8449" s="1288"/>
    </row>
    <row r="8450" spans="18:18" s="2" customFormat="1" ht="12.75" x14ac:dyDescent="0.2">
      <c r="R8450" s="1288"/>
    </row>
    <row r="8451" spans="18:18" s="2" customFormat="1" ht="12.75" x14ac:dyDescent="0.2">
      <c r="R8451" s="1288"/>
    </row>
    <row r="8452" spans="18:18" s="2" customFormat="1" ht="12.75" x14ac:dyDescent="0.2">
      <c r="R8452" s="1288"/>
    </row>
    <row r="8453" spans="18:18" s="2" customFormat="1" ht="12.75" x14ac:dyDescent="0.2">
      <c r="R8453" s="1288"/>
    </row>
    <row r="8454" spans="18:18" s="2" customFormat="1" ht="12.75" x14ac:dyDescent="0.2">
      <c r="R8454" s="1288"/>
    </row>
    <row r="8455" spans="18:18" s="2" customFormat="1" ht="12.75" x14ac:dyDescent="0.2">
      <c r="R8455" s="1288"/>
    </row>
    <row r="8456" spans="18:18" s="2" customFormat="1" ht="12.75" x14ac:dyDescent="0.2">
      <c r="R8456" s="1288"/>
    </row>
    <row r="8457" spans="18:18" s="2" customFormat="1" ht="12.75" x14ac:dyDescent="0.2">
      <c r="R8457" s="1288"/>
    </row>
    <row r="8458" spans="18:18" s="2" customFormat="1" ht="12.75" x14ac:dyDescent="0.2">
      <c r="R8458" s="1288"/>
    </row>
    <row r="8459" spans="18:18" s="2" customFormat="1" ht="12.75" x14ac:dyDescent="0.2">
      <c r="R8459" s="1288"/>
    </row>
    <row r="8460" spans="18:18" s="2" customFormat="1" ht="12.75" x14ac:dyDescent="0.2">
      <c r="R8460" s="1288"/>
    </row>
    <row r="8461" spans="18:18" s="2" customFormat="1" ht="12.75" x14ac:dyDescent="0.2">
      <c r="R8461" s="1288"/>
    </row>
    <row r="8462" spans="18:18" s="2" customFormat="1" ht="12.75" x14ac:dyDescent="0.2">
      <c r="R8462" s="1288"/>
    </row>
    <row r="8463" spans="18:18" s="2" customFormat="1" ht="12.75" x14ac:dyDescent="0.2">
      <c r="R8463" s="1288"/>
    </row>
    <row r="8464" spans="18:18" s="2" customFormat="1" ht="12.75" x14ac:dyDescent="0.2">
      <c r="R8464" s="1288"/>
    </row>
    <row r="8465" spans="18:18" s="2" customFormat="1" ht="12.75" x14ac:dyDescent="0.2">
      <c r="R8465" s="1288"/>
    </row>
    <row r="8466" spans="18:18" s="2" customFormat="1" ht="12.75" x14ac:dyDescent="0.2">
      <c r="R8466" s="1288"/>
    </row>
    <row r="8467" spans="18:18" s="2" customFormat="1" ht="12.75" x14ac:dyDescent="0.2">
      <c r="R8467" s="1288"/>
    </row>
    <row r="8468" spans="18:18" s="2" customFormat="1" ht="12.75" x14ac:dyDescent="0.2">
      <c r="R8468" s="1288"/>
    </row>
    <row r="8469" spans="18:18" s="2" customFormat="1" ht="12.75" x14ac:dyDescent="0.2">
      <c r="R8469" s="1288"/>
    </row>
    <row r="8470" spans="18:18" s="2" customFormat="1" ht="12.75" x14ac:dyDescent="0.2">
      <c r="R8470" s="1288"/>
    </row>
    <row r="8471" spans="18:18" s="2" customFormat="1" ht="12.75" x14ac:dyDescent="0.2">
      <c r="R8471" s="1288"/>
    </row>
    <row r="8472" spans="18:18" s="2" customFormat="1" ht="12.75" x14ac:dyDescent="0.2">
      <c r="R8472" s="1288"/>
    </row>
    <row r="8473" spans="18:18" s="2" customFormat="1" ht="12.75" x14ac:dyDescent="0.2">
      <c r="R8473" s="1288"/>
    </row>
    <row r="8474" spans="18:18" s="2" customFormat="1" ht="12.75" x14ac:dyDescent="0.2">
      <c r="R8474" s="1288"/>
    </row>
    <row r="8475" spans="18:18" s="2" customFormat="1" ht="12.75" x14ac:dyDescent="0.2">
      <c r="R8475" s="1288"/>
    </row>
    <row r="8476" spans="18:18" s="2" customFormat="1" ht="12.75" x14ac:dyDescent="0.2">
      <c r="R8476" s="1288"/>
    </row>
    <row r="8477" spans="18:18" s="2" customFormat="1" ht="12.75" x14ac:dyDescent="0.2">
      <c r="R8477" s="1288"/>
    </row>
    <row r="8478" spans="18:18" s="2" customFormat="1" ht="12.75" x14ac:dyDescent="0.2">
      <c r="R8478" s="1288"/>
    </row>
    <row r="8479" spans="18:18" s="2" customFormat="1" ht="12.75" x14ac:dyDescent="0.2">
      <c r="R8479" s="1288"/>
    </row>
    <row r="8480" spans="18:18" s="2" customFormat="1" ht="12.75" x14ac:dyDescent="0.2">
      <c r="R8480" s="1288"/>
    </row>
    <row r="8481" spans="18:18" s="2" customFormat="1" ht="12.75" x14ac:dyDescent="0.2">
      <c r="R8481" s="1288"/>
    </row>
    <row r="8482" spans="18:18" s="2" customFormat="1" ht="12.75" x14ac:dyDescent="0.2">
      <c r="R8482" s="1288"/>
    </row>
    <row r="8483" spans="18:18" s="2" customFormat="1" ht="12.75" x14ac:dyDescent="0.2">
      <c r="R8483" s="1288"/>
    </row>
    <row r="8484" spans="18:18" s="2" customFormat="1" ht="12.75" x14ac:dyDescent="0.2">
      <c r="R8484" s="1288"/>
    </row>
    <row r="8485" spans="18:18" s="2" customFormat="1" ht="12.75" x14ac:dyDescent="0.2">
      <c r="R8485" s="1288"/>
    </row>
    <row r="8486" spans="18:18" s="2" customFormat="1" ht="12.75" x14ac:dyDescent="0.2">
      <c r="R8486" s="1288"/>
    </row>
    <row r="8487" spans="18:18" s="2" customFormat="1" ht="12.75" x14ac:dyDescent="0.2">
      <c r="R8487" s="1288"/>
    </row>
    <row r="8488" spans="18:18" s="2" customFormat="1" ht="12.75" x14ac:dyDescent="0.2">
      <c r="R8488" s="1288"/>
    </row>
    <row r="8489" spans="18:18" s="2" customFormat="1" ht="12.75" x14ac:dyDescent="0.2">
      <c r="R8489" s="1288"/>
    </row>
    <row r="8490" spans="18:18" s="2" customFormat="1" ht="12.75" x14ac:dyDescent="0.2">
      <c r="R8490" s="1288"/>
    </row>
    <row r="8491" spans="18:18" s="2" customFormat="1" ht="12.75" x14ac:dyDescent="0.2">
      <c r="R8491" s="1288"/>
    </row>
    <row r="8492" spans="18:18" s="2" customFormat="1" ht="12.75" x14ac:dyDescent="0.2">
      <c r="R8492" s="1288"/>
    </row>
    <row r="8493" spans="18:18" s="2" customFormat="1" ht="12.75" x14ac:dyDescent="0.2">
      <c r="R8493" s="1288"/>
    </row>
    <row r="8494" spans="18:18" s="2" customFormat="1" ht="12.75" x14ac:dyDescent="0.2">
      <c r="R8494" s="1288"/>
    </row>
    <row r="8495" spans="18:18" s="2" customFormat="1" ht="12.75" x14ac:dyDescent="0.2">
      <c r="R8495" s="1288"/>
    </row>
    <row r="8496" spans="18:18" s="2" customFormat="1" ht="12.75" x14ac:dyDescent="0.2">
      <c r="R8496" s="1288"/>
    </row>
    <row r="8497" spans="18:18" s="2" customFormat="1" ht="12.75" x14ac:dyDescent="0.2">
      <c r="R8497" s="1288"/>
    </row>
    <row r="8498" spans="18:18" s="2" customFormat="1" ht="12.75" x14ac:dyDescent="0.2">
      <c r="R8498" s="1288"/>
    </row>
    <row r="8499" spans="18:18" s="2" customFormat="1" ht="12.75" x14ac:dyDescent="0.2">
      <c r="R8499" s="1288"/>
    </row>
    <row r="8500" spans="18:18" s="2" customFormat="1" ht="12.75" x14ac:dyDescent="0.2">
      <c r="R8500" s="1288"/>
    </row>
    <row r="8501" spans="18:18" s="2" customFormat="1" ht="12.75" x14ac:dyDescent="0.2">
      <c r="R8501" s="1288"/>
    </row>
    <row r="8502" spans="18:18" s="2" customFormat="1" ht="12.75" x14ac:dyDescent="0.2">
      <c r="R8502" s="1288"/>
    </row>
    <row r="8503" spans="18:18" s="2" customFormat="1" ht="12.75" x14ac:dyDescent="0.2">
      <c r="R8503" s="1288"/>
    </row>
    <row r="8504" spans="18:18" s="2" customFormat="1" ht="12.75" x14ac:dyDescent="0.2">
      <c r="R8504" s="1288"/>
    </row>
    <row r="8505" spans="18:18" s="2" customFormat="1" ht="12.75" x14ac:dyDescent="0.2">
      <c r="R8505" s="1288"/>
    </row>
    <row r="8506" spans="18:18" s="2" customFormat="1" ht="12.75" x14ac:dyDescent="0.2">
      <c r="R8506" s="1288"/>
    </row>
    <row r="8507" spans="18:18" s="2" customFormat="1" ht="12.75" x14ac:dyDescent="0.2">
      <c r="R8507" s="1288"/>
    </row>
    <row r="8508" spans="18:18" s="2" customFormat="1" ht="12.75" x14ac:dyDescent="0.2">
      <c r="R8508" s="1288"/>
    </row>
    <row r="8509" spans="18:18" s="2" customFormat="1" ht="12.75" x14ac:dyDescent="0.2">
      <c r="R8509" s="1288"/>
    </row>
    <row r="8510" spans="18:18" s="2" customFormat="1" ht="12.75" x14ac:dyDescent="0.2">
      <c r="R8510" s="1288"/>
    </row>
    <row r="8511" spans="18:18" s="2" customFormat="1" ht="12.75" x14ac:dyDescent="0.2">
      <c r="R8511" s="1288"/>
    </row>
    <row r="8512" spans="18:18" s="2" customFormat="1" ht="12.75" x14ac:dyDescent="0.2">
      <c r="R8512" s="1288"/>
    </row>
    <row r="8513" spans="18:18" s="2" customFormat="1" ht="12.75" x14ac:dyDescent="0.2">
      <c r="R8513" s="1288"/>
    </row>
    <row r="8514" spans="18:18" s="2" customFormat="1" ht="12.75" x14ac:dyDescent="0.2">
      <c r="R8514" s="1288"/>
    </row>
    <row r="8515" spans="18:18" s="2" customFormat="1" ht="12.75" x14ac:dyDescent="0.2">
      <c r="R8515" s="1288"/>
    </row>
    <row r="8516" spans="18:18" s="2" customFormat="1" ht="12.75" x14ac:dyDescent="0.2">
      <c r="R8516" s="1288"/>
    </row>
    <row r="8517" spans="18:18" s="2" customFormat="1" ht="12.75" x14ac:dyDescent="0.2">
      <c r="R8517" s="1288"/>
    </row>
    <row r="8518" spans="18:18" s="2" customFormat="1" ht="12.75" x14ac:dyDescent="0.2">
      <c r="R8518" s="1288"/>
    </row>
    <row r="8519" spans="18:18" s="2" customFormat="1" ht="12.75" x14ac:dyDescent="0.2">
      <c r="R8519" s="1288"/>
    </row>
    <row r="8520" spans="18:18" s="2" customFormat="1" ht="12.75" x14ac:dyDescent="0.2">
      <c r="R8520" s="1288"/>
    </row>
    <row r="8521" spans="18:18" s="2" customFormat="1" ht="12.75" x14ac:dyDescent="0.2">
      <c r="R8521" s="1288"/>
    </row>
    <row r="8522" spans="18:18" s="2" customFormat="1" ht="12.75" x14ac:dyDescent="0.2">
      <c r="R8522" s="1288"/>
    </row>
    <row r="8523" spans="18:18" s="2" customFormat="1" ht="12.75" x14ac:dyDescent="0.2">
      <c r="R8523" s="1288"/>
    </row>
    <row r="8524" spans="18:18" s="2" customFormat="1" ht="12.75" x14ac:dyDescent="0.2">
      <c r="R8524" s="1288"/>
    </row>
    <row r="8525" spans="18:18" s="2" customFormat="1" ht="12.75" x14ac:dyDescent="0.2">
      <c r="R8525" s="1288"/>
    </row>
    <row r="8526" spans="18:18" s="2" customFormat="1" ht="12.75" x14ac:dyDescent="0.2">
      <c r="R8526" s="1288"/>
    </row>
    <row r="8527" spans="18:18" s="2" customFormat="1" ht="12.75" x14ac:dyDescent="0.2">
      <c r="R8527" s="1288"/>
    </row>
    <row r="8528" spans="18:18" s="2" customFormat="1" ht="12.75" x14ac:dyDescent="0.2">
      <c r="R8528" s="1288"/>
    </row>
    <row r="8529" spans="18:18" s="2" customFormat="1" ht="12.75" x14ac:dyDescent="0.2">
      <c r="R8529" s="1288"/>
    </row>
    <row r="8530" spans="18:18" s="2" customFormat="1" ht="12.75" x14ac:dyDescent="0.2">
      <c r="R8530" s="1288"/>
    </row>
    <row r="8531" spans="18:18" s="2" customFormat="1" ht="12.75" x14ac:dyDescent="0.2">
      <c r="R8531" s="1288"/>
    </row>
    <row r="8532" spans="18:18" s="2" customFormat="1" ht="12.75" x14ac:dyDescent="0.2">
      <c r="R8532" s="1288"/>
    </row>
    <row r="8533" spans="18:18" s="2" customFormat="1" ht="12.75" x14ac:dyDescent="0.2">
      <c r="R8533" s="1288"/>
    </row>
    <row r="8534" spans="18:18" s="2" customFormat="1" ht="12.75" x14ac:dyDescent="0.2">
      <c r="R8534" s="1288"/>
    </row>
    <row r="8535" spans="18:18" s="2" customFormat="1" ht="12.75" x14ac:dyDescent="0.2">
      <c r="R8535" s="1288"/>
    </row>
    <row r="8536" spans="18:18" s="2" customFormat="1" ht="12.75" x14ac:dyDescent="0.2">
      <c r="R8536" s="1288"/>
    </row>
    <row r="8537" spans="18:18" s="2" customFormat="1" ht="12.75" x14ac:dyDescent="0.2">
      <c r="R8537" s="1288"/>
    </row>
    <row r="8538" spans="18:18" s="2" customFormat="1" ht="12.75" x14ac:dyDescent="0.2">
      <c r="R8538" s="1288"/>
    </row>
    <row r="8539" spans="18:18" s="2" customFormat="1" ht="12.75" x14ac:dyDescent="0.2">
      <c r="R8539" s="1288"/>
    </row>
    <row r="8540" spans="18:18" s="2" customFormat="1" ht="12.75" x14ac:dyDescent="0.2">
      <c r="R8540" s="1288"/>
    </row>
    <row r="8541" spans="18:18" s="2" customFormat="1" ht="12.75" x14ac:dyDescent="0.2">
      <c r="R8541" s="1288"/>
    </row>
    <row r="8542" spans="18:18" s="2" customFormat="1" ht="12.75" x14ac:dyDescent="0.2">
      <c r="R8542" s="1288"/>
    </row>
    <row r="8543" spans="18:18" s="2" customFormat="1" ht="12.75" x14ac:dyDescent="0.2">
      <c r="R8543" s="1288"/>
    </row>
    <row r="8544" spans="18:18" s="2" customFormat="1" ht="12.75" x14ac:dyDescent="0.2">
      <c r="R8544" s="1288"/>
    </row>
    <row r="8545" spans="18:18" s="2" customFormat="1" ht="12.75" x14ac:dyDescent="0.2">
      <c r="R8545" s="1288"/>
    </row>
    <row r="8546" spans="18:18" s="2" customFormat="1" ht="12.75" x14ac:dyDescent="0.2">
      <c r="R8546" s="1288"/>
    </row>
    <row r="8547" spans="18:18" s="2" customFormat="1" ht="12.75" x14ac:dyDescent="0.2">
      <c r="R8547" s="1288"/>
    </row>
    <row r="8548" spans="18:18" s="2" customFormat="1" ht="12.75" x14ac:dyDescent="0.2">
      <c r="R8548" s="1288"/>
    </row>
    <row r="8549" spans="18:18" s="2" customFormat="1" ht="12.75" x14ac:dyDescent="0.2">
      <c r="R8549" s="1288"/>
    </row>
    <row r="8550" spans="18:18" s="2" customFormat="1" ht="12.75" x14ac:dyDescent="0.2">
      <c r="R8550" s="1288"/>
    </row>
    <row r="8551" spans="18:18" s="2" customFormat="1" ht="12.75" x14ac:dyDescent="0.2">
      <c r="R8551" s="1288"/>
    </row>
    <row r="8552" spans="18:18" s="2" customFormat="1" ht="12.75" x14ac:dyDescent="0.2">
      <c r="R8552" s="1288"/>
    </row>
    <row r="8553" spans="18:18" s="2" customFormat="1" ht="12.75" x14ac:dyDescent="0.2">
      <c r="R8553" s="1288"/>
    </row>
    <row r="8554" spans="18:18" s="2" customFormat="1" ht="12.75" x14ac:dyDescent="0.2">
      <c r="R8554" s="1288"/>
    </row>
    <row r="8555" spans="18:18" s="2" customFormat="1" ht="12.75" x14ac:dyDescent="0.2">
      <c r="R8555" s="1288"/>
    </row>
    <row r="8556" spans="18:18" s="2" customFormat="1" ht="12.75" x14ac:dyDescent="0.2">
      <c r="R8556" s="1288"/>
    </row>
    <row r="8557" spans="18:18" s="2" customFormat="1" ht="12.75" x14ac:dyDescent="0.2">
      <c r="R8557" s="1288"/>
    </row>
    <row r="8558" spans="18:18" s="2" customFormat="1" ht="12.75" x14ac:dyDescent="0.2">
      <c r="R8558" s="1288"/>
    </row>
    <row r="8559" spans="18:18" s="2" customFormat="1" ht="12.75" x14ac:dyDescent="0.2">
      <c r="R8559" s="1288"/>
    </row>
    <row r="8560" spans="18:18" s="2" customFormat="1" ht="12.75" x14ac:dyDescent="0.2">
      <c r="R8560" s="1288"/>
    </row>
    <row r="8561" spans="18:18" s="2" customFormat="1" ht="12.75" x14ac:dyDescent="0.2">
      <c r="R8561" s="1288"/>
    </row>
    <row r="8562" spans="18:18" s="2" customFormat="1" ht="12.75" x14ac:dyDescent="0.2">
      <c r="R8562" s="1288"/>
    </row>
    <row r="8563" spans="18:18" s="2" customFormat="1" ht="12.75" x14ac:dyDescent="0.2">
      <c r="R8563" s="1288"/>
    </row>
    <row r="8564" spans="18:18" s="2" customFormat="1" ht="12.75" x14ac:dyDescent="0.2">
      <c r="R8564" s="1288"/>
    </row>
    <row r="8565" spans="18:18" s="2" customFormat="1" ht="12.75" x14ac:dyDescent="0.2">
      <c r="R8565" s="1288"/>
    </row>
    <row r="8566" spans="18:18" s="2" customFormat="1" ht="12.75" x14ac:dyDescent="0.2">
      <c r="R8566" s="1288"/>
    </row>
    <row r="8567" spans="18:18" s="2" customFormat="1" ht="12.75" x14ac:dyDescent="0.2">
      <c r="R8567" s="1288"/>
    </row>
    <row r="8568" spans="18:18" s="2" customFormat="1" ht="12.75" x14ac:dyDescent="0.2">
      <c r="R8568" s="1288"/>
    </row>
    <row r="8569" spans="18:18" s="2" customFormat="1" ht="12.75" x14ac:dyDescent="0.2">
      <c r="R8569" s="1288"/>
    </row>
    <row r="8570" spans="18:18" s="2" customFormat="1" ht="12.75" x14ac:dyDescent="0.2">
      <c r="R8570" s="1288"/>
    </row>
    <row r="8571" spans="18:18" s="2" customFormat="1" ht="12.75" x14ac:dyDescent="0.2">
      <c r="R8571" s="1288"/>
    </row>
    <row r="8572" spans="18:18" s="2" customFormat="1" ht="12.75" x14ac:dyDescent="0.2">
      <c r="R8572" s="1288"/>
    </row>
    <row r="8573" spans="18:18" s="2" customFormat="1" ht="12.75" x14ac:dyDescent="0.2">
      <c r="R8573" s="1288"/>
    </row>
    <row r="8574" spans="18:18" s="2" customFormat="1" ht="12.75" x14ac:dyDescent="0.2">
      <c r="R8574" s="1288"/>
    </row>
    <row r="8575" spans="18:18" s="2" customFormat="1" ht="12.75" x14ac:dyDescent="0.2">
      <c r="R8575" s="1288"/>
    </row>
    <row r="8576" spans="18:18" s="2" customFormat="1" ht="12.75" x14ac:dyDescent="0.2">
      <c r="R8576" s="1288"/>
    </row>
    <row r="8577" spans="18:18" s="2" customFormat="1" ht="12.75" x14ac:dyDescent="0.2">
      <c r="R8577" s="1288"/>
    </row>
    <row r="8578" spans="18:18" s="2" customFormat="1" ht="12.75" x14ac:dyDescent="0.2">
      <c r="R8578" s="1288"/>
    </row>
    <row r="8579" spans="18:18" s="2" customFormat="1" ht="12.75" x14ac:dyDescent="0.2">
      <c r="R8579" s="1288"/>
    </row>
    <row r="8580" spans="18:18" s="2" customFormat="1" ht="12.75" x14ac:dyDescent="0.2">
      <c r="R8580" s="1288"/>
    </row>
    <row r="8581" spans="18:18" s="2" customFormat="1" ht="12.75" x14ac:dyDescent="0.2">
      <c r="R8581" s="1288"/>
    </row>
    <row r="8582" spans="18:18" s="2" customFormat="1" ht="12.75" x14ac:dyDescent="0.2">
      <c r="R8582" s="1288"/>
    </row>
    <row r="8583" spans="18:18" s="2" customFormat="1" ht="12.75" x14ac:dyDescent="0.2">
      <c r="R8583" s="1288"/>
    </row>
    <row r="8584" spans="18:18" s="2" customFormat="1" ht="12.75" x14ac:dyDescent="0.2">
      <c r="R8584" s="1288"/>
    </row>
    <row r="8585" spans="18:18" s="2" customFormat="1" ht="12.75" x14ac:dyDescent="0.2">
      <c r="R8585" s="1288"/>
    </row>
    <row r="8586" spans="18:18" s="2" customFormat="1" ht="12.75" x14ac:dyDescent="0.2">
      <c r="R8586" s="1288"/>
    </row>
    <row r="8587" spans="18:18" s="2" customFormat="1" ht="12.75" x14ac:dyDescent="0.2">
      <c r="R8587" s="1288"/>
    </row>
    <row r="8588" spans="18:18" s="2" customFormat="1" ht="12.75" x14ac:dyDescent="0.2">
      <c r="R8588" s="1288"/>
    </row>
    <row r="8589" spans="18:18" s="2" customFormat="1" ht="12.75" x14ac:dyDescent="0.2">
      <c r="R8589" s="1288"/>
    </row>
    <row r="8590" spans="18:18" s="2" customFormat="1" ht="12.75" x14ac:dyDescent="0.2">
      <c r="R8590" s="1288"/>
    </row>
    <row r="8591" spans="18:18" s="2" customFormat="1" ht="12.75" x14ac:dyDescent="0.2">
      <c r="R8591" s="1288"/>
    </row>
    <row r="8592" spans="18:18" s="2" customFormat="1" ht="12.75" x14ac:dyDescent="0.2">
      <c r="R8592" s="1288"/>
    </row>
    <row r="8593" spans="18:18" s="2" customFormat="1" ht="12.75" x14ac:dyDescent="0.2">
      <c r="R8593" s="1288"/>
    </row>
    <row r="8594" spans="18:18" s="2" customFormat="1" ht="12.75" x14ac:dyDescent="0.2">
      <c r="R8594" s="1288"/>
    </row>
    <row r="8595" spans="18:18" s="2" customFormat="1" ht="12.75" x14ac:dyDescent="0.2">
      <c r="R8595" s="1288"/>
    </row>
    <row r="8596" spans="18:18" s="2" customFormat="1" ht="12.75" x14ac:dyDescent="0.2">
      <c r="R8596" s="1288"/>
    </row>
    <row r="8597" spans="18:18" s="2" customFormat="1" ht="12.75" x14ac:dyDescent="0.2">
      <c r="R8597" s="1288"/>
    </row>
    <row r="8598" spans="18:18" s="2" customFormat="1" ht="12.75" x14ac:dyDescent="0.2">
      <c r="R8598" s="1288"/>
    </row>
    <row r="8599" spans="18:18" s="2" customFormat="1" ht="12.75" x14ac:dyDescent="0.2">
      <c r="R8599" s="1288"/>
    </row>
    <row r="8600" spans="18:18" s="2" customFormat="1" ht="12.75" x14ac:dyDescent="0.2">
      <c r="R8600" s="1288"/>
    </row>
    <row r="8601" spans="18:18" s="2" customFormat="1" ht="12.75" x14ac:dyDescent="0.2">
      <c r="R8601" s="1288"/>
    </row>
    <row r="8602" spans="18:18" s="2" customFormat="1" ht="12.75" x14ac:dyDescent="0.2">
      <c r="R8602" s="1288"/>
    </row>
    <row r="8603" spans="18:18" s="2" customFormat="1" ht="12.75" x14ac:dyDescent="0.2">
      <c r="R8603" s="1288"/>
    </row>
    <row r="8604" spans="18:18" s="2" customFormat="1" ht="12.75" x14ac:dyDescent="0.2">
      <c r="R8604" s="1288"/>
    </row>
    <row r="8605" spans="18:18" s="2" customFormat="1" ht="12.75" x14ac:dyDescent="0.2">
      <c r="R8605" s="1288"/>
    </row>
    <row r="8606" spans="18:18" s="2" customFormat="1" ht="12.75" x14ac:dyDescent="0.2">
      <c r="R8606" s="1288"/>
    </row>
    <row r="8607" spans="18:18" s="2" customFormat="1" ht="12.75" x14ac:dyDescent="0.2">
      <c r="R8607" s="1288"/>
    </row>
    <row r="8608" spans="18:18" s="2" customFormat="1" ht="12.75" x14ac:dyDescent="0.2">
      <c r="R8608" s="1288"/>
    </row>
    <row r="8609" spans="18:18" s="2" customFormat="1" ht="12.75" x14ac:dyDescent="0.2">
      <c r="R8609" s="1288"/>
    </row>
    <row r="8610" spans="18:18" s="2" customFormat="1" ht="12.75" x14ac:dyDescent="0.2">
      <c r="R8610" s="1288"/>
    </row>
    <row r="8611" spans="18:18" s="2" customFormat="1" ht="12.75" x14ac:dyDescent="0.2">
      <c r="R8611" s="1288"/>
    </row>
    <row r="8612" spans="18:18" s="2" customFormat="1" ht="12.75" x14ac:dyDescent="0.2">
      <c r="R8612" s="1288"/>
    </row>
    <row r="8613" spans="18:18" s="2" customFormat="1" ht="12.75" x14ac:dyDescent="0.2">
      <c r="R8613" s="1288"/>
    </row>
    <row r="8614" spans="18:18" s="2" customFormat="1" ht="12.75" x14ac:dyDescent="0.2">
      <c r="R8614" s="1288"/>
    </row>
    <row r="8615" spans="18:18" s="2" customFormat="1" ht="12.75" x14ac:dyDescent="0.2">
      <c r="R8615" s="1288"/>
    </row>
    <row r="8616" spans="18:18" s="2" customFormat="1" ht="12.75" x14ac:dyDescent="0.2">
      <c r="R8616" s="1288"/>
    </row>
    <row r="8617" spans="18:18" s="2" customFormat="1" ht="12.75" x14ac:dyDescent="0.2">
      <c r="R8617" s="1288"/>
    </row>
    <row r="8618" spans="18:18" s="2" customFormat="1" ht="12.75" x14ac:dyDescent="0.2">
      <c r="R8618" s="1288"/>
    </row>
    <row r="8619" spans="18:18" s="2" customFormat="1" ht="12.75" x14ac:dyDescent="0.2">
      <c r="R8619" s="1288"/>
    </row>
    <row r="8620" spans="18:18" s="2" customFormat="1" ht="12.75" x14ac:dyDescent="0.2">
      <c r="R8620" s="1288"/>
    </row>
    <row r="8621" spans="18:18" s="2" customFormat="1" ht="12.75" x14ac:dyDescent="0.2">
      <c r="R8621" s="1288"/>
    </row>
    <row r="8622" spans="18:18" s="2" customFormat="1" ht="12.75" x14ac:dyDescent="0.2">
      <c r="R8622" s="1288"/>
    </row>
    <row r="8623" spans="18:18" s="2" customFormat="1" ht="12.75" x14ac:dyDescent="0.2">
      <c r="R8623" s="1288"/>
    </row>
    <row r="8624" spans="18:18" s="2" customFormat="1" ht="12.75" x14ac:dyDescent="0.2">
      <c r="R8624" s="1288"/>
    </row>
    <row r="8625" spans="18:18" s="2" customFormat="1" ht="12.75" x14ac:dyDescent="0.2">
      <c r="R8625" s="1288"/>
    </row>
    <row r="8626" spans="18:18" s="2" customFormat="1" ht="12.75" x14ac:dyDescent="0.2">
      <c r="R8626" s="1288"/>
    </row>
    <row r="8627" spans="18:18" s="2" customFormat="1" ht="12.75" x14ac:dyDescent="0.2">
      <c r="R8627" s="1288"/>
    </row>
    <row r="8628" spans="18:18" s="2" customFormat="1" ht="12.75" x14ac:dyDescent="0.2">
      <c r="R8628" s="1288"/>
    </row>
    <row r="8629" spans="18:18" s="2" customFormat="1" ht="12.75" x14ac:dyDescent="0.2">
      <c r="R8629" s="1288"/>
    </row>
    <row r="8630" spans="18:18" s="2" customFormat="1" ht="12.75" x14ac:dyDescent="0.2">
      <c r="R8630" s="1288"/>
    </row>
    <row r="8631" spans="18:18" s="2" customFormat="1" ht="12.75" x14ac:dyDescent="0.2">
      <c r="R8631" s="1288"/>
    </row>
    <row r="8632" spans="18:18" s="2" customFormat="1" ht="12.75" x14ac:dyDescent="0.2">
      <c r="R8632" s="1288"/>
    </row>
    <row r="8633" spans="18:18" s="2" customFormat="1" ht="12.75" x14ac:dyDescent="0.2">
      <c r="R8633" s="1288"/>
    </row>
    <row r="8634" spans="18:18" s="2" customFormat="1" ht="12.75" x14ac:dyDescent="0.2">
      <c r="R8634" s="1288"/>
    </row>
    <row r="8635" spans="18:18" s="2" customFormat="1" ht="12.75" x14ac:dyDescent="0.2">
      <c r="R8635" s="1288"/>
    </row>
    <row r="8636" spans="18:18" s="2" customFormat="1" ht="12.75" x14ac:dyDescent="0.2">
      <c r="R8636" s="1288"/>
    </row>
    <row r="8637" spans="18:18" s="2" customFormat="1" ht="12.75" x14ac:dyDescent="0.2">
      <c r="R8637" s="1288"/>
    </row>
    <row r="8638" spans="18:18" s="2" customFormat="1" ht="12.75" x14ac:dyDescent="0.2">
      <c r="R8638" s="1288"/>
    </row>
    <row r="8639" spans="18:18" s="2" customFormat="1" ht="12.75" x14ac:dyDescent="0.2">
      <c r="R8639" s="1288"/>
    </row>
    <row r="8640" spans="18:18" s="2" customFormat="1" ht="12.75" x14ac:dyDescent="0.2">
      <c r="R8640" s="1288"/>
    </row>
    <row r="8641" spans="18:18" s="2" customFormat="1" ht="12.75" x14ac:dyDescent="0.2">
      <c r="R8641" s="1288"/>
    </row>
    <row r="8642" spans="18:18" s="2" customFormat="1" ht="12.75" x14ac:dyDescent="0.2">
      <c r="R8642" s="1288"/>
    </row>
    <row r="8643" spans="18:18" s="2" customFormat="1" ht="12.75" x14ac:dyDescent="0.2">
      <c r="R8643" s="1288"/>
    </row>
    <row r="8644" spans="18:18" s="2" customFormat="1" ht="12.75" x14ac:dyDescent="0.2">
      <c r="R8644" s="1288"/>
    </row>
    <row r="8645" spans="18:18" s="2" customFormat="1" ht="12.75" x14ac:dyDescent="0.2">
      <c r="R8645" s="1288"/>
    </row>
    <row r="8646" spans="18:18" s="2" customFormat="1" ht="12.75" x14ac:dyDescent="0.2">
      <c r="R8646" s="1288"/>
    </row>
    <row r="8647" spans="18:18" s="2" customFormat="1" ht="12.75" x14ac:dyDescent="0.2">
      <c r="R8647" s="1288"/>
    </row>
    <row r="8648" spans="18:18" s="2" customFormat="1" ht="12.75" x14ac:dyDescent="0.2">
      <c r="R8648" s="1288"/>
    </row>
    <row r="8649" spans="18:18" s="2" customFormat="1" ht="12.75" x14ac:dyDescent="0.2">
      <c r="R8649" s="1288"/>
    </row>
    <row r="8650" spans="18:18" s="2" customFormat="1" ht="12.75" x14ac:dyDescent="0.2">
      <c r="R8650" s="1288"/>
    </row>
    <row r="8651" spans="18:18" s="2" customFormat="1" ht="12.75" x14ac:dyDescent="0.2">
      <c r="R8651" s="1288"/>
    </row>
    <row r="8652" spans="18:18" s="2" customFormat="1" ht="12.75" x14ac:dyDescent="0.2">
      <c r="R8652" s="1288"/>
    </row>
    <row r="8653" spans="18:18" s="2" customFormat="1" ht="12.75" x14ac:dyDescent="0.2">
      <c r="R8653" s="1288"/>
    </row>
    <row r="8654" spans="18:18" s="2" customFormat="1" ht="12.75" x14ac:dyDescent="0.2">
      <c r="R8654" s="1288"/>
    </row>
    <row r="8655" spans="18:18" s="2" customFormat="1" ht="12.75" x14ac:dyDescent="0.2">
      <c r="R8655" s="1288"/>
    </row>
    <row r="8656" spans="18:18" s="2" customFormat="1" ht="12.75" x14ac:dyDescent="0.2">
      <c r="R8656" s="1288"/>
    </row>
    <row r="8657" spans="18:18" s="2" customFormat="1" ht="12.75" x14ac:dyDescent="0.2">
      <c r="R8657" s="1288"/>
    </row>
    <row r="8658" spans="18:18" s="2" customFormat="1" ht="12.75" x14ac:dyDescent="0.2">
      <c r="R8658" s="1288"/>
    </row>
    <row r="8659" spans="18:18" s="2" customFormat="1" ht="12.75" x14ac:dyDescent="0.2">
      <c r="R8659" s="1288"/>
    </row>
    <row r="8660" spans="18:18" s="2" customFormat="1" ht="12.75" x14ac:dyDescent="0.2">
      <c r="R8660" s="1288"/>
    </row>
    <row r="8661" spans="18:18" s="2" customFormat="1" ht="12.75" x14ac:dyDescent="0.2">
      <c r="R8661" s="1288"/>
    </row>
    <row r="8662" spans="18:18" s="2" customFormat="1" ht="12.75" x14ac:dyDescent="0.2">
      <c r="R8662" s="1288"/>
    </row>
    <row r="8663" spans="18:18" s="2" customFormat="1" ht="12.75" x14ac:dyDescent="0.2">
      <c r="R8663" s="1288"/>
    </row>
    <row r="8664" spans="18:18" s="2" customFormat="1" ht="12.75" x14ac:dyDescent="0.2">
      <c r="R8664" s="1288"/>
    </row>
    <row r="8665" spans="18:18" s="2" customFormat="1" ht="12.75" x14ac:dyDescent="0.2">
      <c r="R8665" s="1288"/>
    </row>
    <row r="8666" spans="18:18" s="2" customFormat="1" ht="12.75" x14ac:dyDescent="0.2">
      <c r="R8666" s="1288"/>
    </row>
    <row r="8667" spans="18:18" s="2" customFormat="1" ht="12.75" x14ac:dyDescent="0.2">
      <c r="R8667" s="1288"/>
    </row>
    <row r="8668" spans="18:18" s="2" customFormat="1" ht="12.75" x14ac:dyDescent="0.2">
      <c r="R8668" s="1288"/>
    </row>
    <row r="8669" spans="18:18" s="2" customFormat="1" ht="12.75" x14ac:dyDescent="0.2">
      <c r="R8669" s="1288"/>
    </row>
    <row r="8670" spans="18:18" s="2" customFormat="1" ht="12.75" x14ac:dyDescent="0.2">
      <c r="R8670" s="1288"/>
    </row>
    <row r="8671" spans="18:18" s="2" customFormat="1" ht="12.75" x14ac:dyDescent="0.2">
      <c r="R8671" s="1288"/>
    </row>
    <row r="8672" spans="18:18" s="2" customFormat="1" ht="12.75" x14ac:dyDescent="0.2">
      <c r="R8672" s="1288"/>
    </row>
    <row r="8673" spans="18:18" s="2" customFormat="1" ht="12.75" x14ac:dyDescent="0.2">
      <c r="R8673" s="1288"/>
    </row>
    <row r="8674" spans="18:18" s="2" customFormat="1" ht="12.75" x14ac:dyDescent="0.2">
      <c r="R8674" s="1288"/>
    </row>
    <row r="8675" spans="18:18" s="2" customFormat="1" ht="12.75" x14ac:dyDescent="0.2">
      <c r="R8675" s="1288"/>
    </row>
    <row r="8676" spans="18:18" s="2" customFormat="1" ht="12.75" x14ac:dyDescent="0.2">
      <c r="R8676" s="1288"/>
    </row>
    <row r="8677" spans="18:18" s="2" customFormat="1" ht="12.75" x14ac:dyDescent="0.2">
      <c r="R8677" s="1288"/>
    </row>
    <row r="8678" spans="18:18" s="2" customFormat="1" ht="12.75" x14ac:dyDescent="0.2">
      <c r="R8678" s="1288"/>
    </row>
    <row r="8679" spans="18:18" s="2" customFormat="1" ht="12.75" x14ac:dyDescent="0.2">
      <c r="R8679" s="1288"/>
    </row>
    <row r="8680" spans="18:18" s="2" customFormat="1" ht="12.75" x14ac:dyDescent="0.2">
      <c r="R8680" s="1288"/>
    </row>
    <row r="8681" spans="18:18" s="2" customFormat="1" ht="12.75" x14ac:dyDescent="0.2">
      <c r="R8681" s="1288"/>
    </row>
    <row r="8682" spans="18:18" s="2" customFormat="1" ht="12.75" x14ac:dyDescent="0.2">
      <c r="R8682" s="1288"/>
    </row>
    <row r="8683" spans="18:18" s="2" customFormat="1" ht="12.75" x14ac:dyDescent="0.2">
      <c r="R8683" s="1288"/>
    </row>
    <row r="8684" spans="18:18" s="2" customFormat="1" ht="12.75" x14ac:dyDescent="0.2">
      <c r="R8684" s="1288"/>
    </row>
    <row r="8685" spans="18:18" s="2" customFormat="1" ht="12.75" x14ac:dyDescent="0.2">
      <c r="R8685" s="1288"/>
    </row>
    <row r="8686" spans="18:18" s="2" customFormat="1" ht="12.75" x14ac:dyDescent="0.2">
      <c r="R8686" s="1288"/>
    </row>
    <row r="8687" spans="18:18" s="2" customFormat="1" ht="12.75" x14ac:dyDescent="0.2">
      <c r="R8687" s="1288"/>
    </row>
    <row r="8688" spans="18:18" s="2" customFormat="1" ht="12.75" x14ac:dyDescent="0.2">
      <c r="R8688" s="1288"/>
    </row>
    <row r="8689" spans="18:18" s="2" customFormat="1" ht="12.75" x14ac:dyDescent="0.2">
      <c r="R8689" s="1288"/>
    </row>
    <row r="8690" spans="18:18" s="2" customFormat="1" ht="12.75" x14ac:dyDescent="0.2">
      <c r="R8690" s="1288"/>
    </row>
    <row r="8691" spans="18:18" s="2" customFormat="1" ht="12.75" x14ac:dyDescent="0.2">
      <c r="R8691" s="1288"/>
    </row>
    <row r="8692" spans="18:18" s="2" customFormat="1" ht="12.75" x14ac:dyDescent="0.2">
      <c r="R8692" s="1288"/>
    </row>
    <row r="8693" spans="18:18" s="2" customFormat="1" ht="12.75" x14ac:dyDescent="0.2">
      <c r="R8693" s="1288"/>
    </row>
    <row r="8694" spans="18:18" s="2" customFormat="1" ht="12.75" x14ac:dyDescent="0.2">
      <c r="R8694" s="1288"/>
    </row>
    <row r="8695" spans="18:18" s="2" customFormat="1" ht="12.75" x14ac:dyDescent="0.2">
      <c r="R8695" s="1288"/>
    </row>
    <row r="8696" spans="18:18" s="2" customFormat="1" ht="12.75" x14ac:dyDescent="0.2">
      <c r="R8696" s="1288"/>
    </row>
    <row r="8697" spans="18:18" s="2" customFormat="1" ht="12.75" x14ac:dyDescent="0.2">
      <c r="R8697" s="1288"/>
    </row>
    <row r="8698" spans="18:18" s="2" customFormat="1" ht="12.75" x14ac:dyDescent="0.2">
      <c r="R8698" s="1288"/>
    </row>
    <row r="8699" spans="18:18" s="2" customFormat="1" ht="12.75" x14ac:dyDescent="0.2">
      <c r="R8699" s="1288"/>
    </row>
    <row r="8700" spans="18:18" s="2" customFormat="1" ht="12.75" x14ac:dyDescent="0.2">
      <c r="R8700" s="1288"/>
    </row>
    <row r="8701" spans="18:18" s="2" customFormat="1" ht="12.75" x14ac:dyDescent="0.2">
      <c r="R8701" s="1288"/>
    </row>
    <row r="8702" spans="18:18" s="2" customFormat="1" ht="12.75" x14ac:dyDescent="0.2">
      <c r="R8702" s="1288"/>
    </row>
    <row r="8703" spans="18:18" s="2" customFormat="1" ht="12.75" x14ac:dyDescent="0.2">
      <c r="R8703" s="1288"/>
    </row>
    <row r="8704" spans="18:18" s="2" customFormat="1" ht="12.75" x14ac:dyDescent="0.2">
      <c r="R8704" s="1288"/>
    </row>
    <row r="8705" spans="18:18" s="2" customFormat="1" ht="12.75" x14ac:dyDescent="0.2">
      <c r="R8705" s="1288"/>
    </row>
    <row r="8706" spans="18:18" s="2" customFormat="1" ht="12.75" x14ac:dyDescent="0.2">
      <c r="R8706" s="1288"/>
    </row>
    <row r="8707" spans="18:18" s="2" customFormat="1" ht="12.75" x14ac:dyDescent="0.2">
      <c r="R8707" s="1288"/>
    </row>
    <row r="8708" spans="18:18" s="2" customFormat="1" ht="12.75" x14ac:dyDescent="0.2">
      <c r="R8708" s="1288"/>
    </row>
    <row r="8709" spans="18:18" s="2" customFormat="1" ht="12.75" x14ac:dyDescent="0.2">
      <c r="R8709" s="1288"/>
    </row>
    <row r="8710" spans="18:18" s="2" customFormat="1" ht="12.75" x14ac:dyDescent="0.2">
      <c r="R8710" s="1288"/>
    </row>
    <row r="8711" spans="18:18" s="2" customFormat="1" ht="12.75" x14ac:dyDescent="0.2">
      <c r="R8711" s="1288"/>
    </row>
    <row r="8712" spans="18:18" s="2" customFormat="1" ht="12.75" x14ac:dyDescent="0.2">
      <c r="R8712" s="1288"/>
    </row>
    <row r="8713" spans="18:18" s="2" customFormat="1" ht="12.75" x14ac:dyDescent="0.2">
      <c r="R8713" s="1288"/>
    </row>
    <row r="8714" spans="18:18" s="2" customFormat="1" ht="12.75" x14ac:dyDescent="0.2">
      <c r="R8714" s="1288"/>
    </row>
    <row r="8715" spans="18:18" s="2" customFormat="1" ht="12.75" x14ac:dyDescent="0.2">
      <c r="R8715" s="1288"/>
    </row>
    <row r="8716" spans="18:18" s="2" customFormat="1" ht="12.75" x14ac:dyDescent="0.2">
      <c r="R8716" s="1288"/>
    </row>
    <row r="8717" spans="18:18" s="2" customFormat="1" ht="12.75" x14ac:dyDescent="0.2">
      <c r="R8717" s="1288"/>
    </row>
    <row r="8718" spans="18:18" s="2" customFormat="1" ht="12.75" x14ac:dyDescent="0.2">
      <c r="R8718" s="1288"/>
    </row>
    <row r="8719" spans="18:18" s="2" customFormat="1" ht="12.75" x14ac:dyDescent="0.2">
      <c r="R8719" s="1288"/>
    </row>
    <row r="8720" spans="18:18" s="2" customFormat="1" ht="12.75" x14ac:dyDescent="0.2">
      <c r="R8720" s="1288"/>
    </row>
    <row r="8721" spans="18:18" s="2" customFormat="1" ht="12.75" x14ac:dyDescent="0.2">
      <c r="R8721" s="1288"/>
    </row>
    <row r="8722" spans="18:18" s="2" customFormat="1" ht="12.75" x14ac:dyDescent="0.2">
      <c r="R8722" s="1288"/>
    </row>
    <row r="8723" spans="18:18" s="2" customFormat="1" ht="12.75" x14ac:dyDescent="0.2">
      <c r="R8723" s="1288"/>
    </row>
    <row r="8724" spans="18:18" s="2" customFormat="1" ht="12.75" x14ac:dyDescent="0.2">
      <c r="R8724" s="1288"/>
    </row>
    <row r="8725" spans="18:18" s="2" customFormat="1" ht="12.75" x14ac:dyDescent="0.2">
      <c r="R8725" s="1288"/>
    </row>
    <row r="8726" spans="18:18" s="2" customFormat="1" ht="12.75" x14ac:dyDescent="0.2">
      <c r="R8726" s="1288"/>
    </row>
    <row r="8727" spans="18:18" s="2" customFormat="1" ht="12.75" x14ac:dyDescent="0.2">
      <c r="R8727" s="1288"/>
    </row>
    <row r="8728" spans="18:18" s="2" customFormat="1" ht="12.75" x14ac:dyDescent="0.2">
      <c r="R8728" s="1288"/>
    </row>
    <row r="8729" spans="18:18" s="2" customFormat="1" ht="12.75" x14ac:dyDescent="0.2">
      <c r="R8729" s="1288"/>
    </row>
    <row r="8730" spans="18:18" s="2" customFormat="1" ht="12.75" x14ac:dyDescent="0.2">
      <c r="R8730" s="1288"/>
    </row>
    <row r="8731" spans="18:18" s="2" customFormat="1" ht="12.75" x14ac:dyDescent="0.2">
      <c r="R8731" s="1288"/>
    </row>
    <row r="8732" spans="18:18" s="2" customFormat="1" ht="12.75" x14ac:dyDescent="0.2">
      <c r="R8732" s="1288"/>
    </row>
    <row r="8733" spans="18:18" s="2" customFormat="1" ht="12.75" x14ac:dyDescent="0.2">
      <c r="R8733" s="1288"/>
    </row>
    <row r="8734" spans="18:18" s="2" customFormat="1" ht="12.75" x14ac:dyDescent="0.2">
      <c r="R8734" s="1288"/>
    </row>
    <row r="8735" spans="18:18" s="2" customFormat="1" ht="12.75" x14ac:dyDescent="0.2">
      <c r="R8735" s="1288"/>
    </row>
    <row r="8736" spans="18:18" s="2" customFormat="1" ht="12.75" x14ac:dyDescent="0.2">
      <c r="R8736" s="1288"/>
    </row>
    <row r="8737" spans="18:18" s="2" customFormat="1" ht="12.75" x14ac:dyDescent="0.2">
      <c r="R8737" s="1288"/>
    </row>
    <row r="8738" spans="18:18" s="2" customFormat="1" ht="12.75" x14ac:dyDescent="0.2">
      <c r="R8738" s="1288"/>
    </row>
    <row r="8739" spans="18:18" s="2" customFormat="1" ht="12.75" x14ac:dyDescent="0.2">
      <c r="R8739" s="1288"/>
    </row>
    <row r="8740" spans="18:18" s="2" customFormat="1" ht="12.75" x14ac:dyDescent="0.2">
      <c r="R8740" s="1288"/>
    </row>
    <row r="8741" spans="18:18" s="2" customFormat="1" ht="12.75" x14ac:dyDescent="0.2">
      <c r="R8741" s="1288"/>
    </row>
    <row r="8742" spans="18:18" s="2" customFormat="1" ht="12.75" x14ac:dyDescent="0.2">
      <c r="R8742" s="1288"/>
    </row>
    <row r="8743" spans="18:18" s="2" customFormat="1" ht="12.75" x14ac:dyDescent="0.2">
      <c r="R8743" s="1288"/>
    </row>
    <row r="8744" spans="18:18" s="2" customFormat="1" ht="12.75" x14ac:dyDescent="0.2">
      <c r="R8744" s="1288"/>
    </row>
    <row r="8745" spans="18:18" s="2" customFormat="1" ht="12.75" x14ac:dyDescent="0.2">
      <c r="R8745" s="1288"/>
    </row>
    <row r="8746" spans="18:18" s="2" customFormat="1" ht="12.75" x14ac:dyDescent="0.2">
      <c r="R8746" s="1288"/>
    </row>
    <row r="8747" spans="18:18" s="2" customFormat="1" ht="12.75" x14ac:dyDescent="0.2">
      <c r="R8747" s="1288"/>
    </row>
    <row r="8748" spans="18:18" s="2" customFormat="1" ht="12.75" x14ac:dyDescent="0.2">
      <c r="R8748" s="1288"/>
    </row>
    <row r="8749" spans="18:18" s="2" customFormat="1" ht="12.75" x14ac:dyDescent="0.2">
      <c r="R8749" s="1288"/>
    </row>
    <row r="8750" spans="18:18" s="2" customFormat="1" ht="12.75" x14ac:dyDescent="0.2">
      <c r="R8750" s="1288"/>
    </row>
    <row r="8751" spans="18:18" s="2" customFormat="1" ht="12.75" x14ac:dyDescent="0.2">
      <c r="R8751" s="1288"/>
    </row>
    <row r="8752" spans="18:18" s="2" customFormat="1" ht="12.75" x14ac:dyDescent="0.2">
      <c r="R8752" s="1288"/>
    </row>
    <row r="8753" spans="18:18" s="2" customFormat="1" ht="12.75" x14ac:dyDescent="0.2">
      <c r="R8753" s="1288"/>
    </row>
    <row r="8754" spans="18:18" s="2" customFormat="1" ht="12.75" x14ac:dyDescent="0.2">
      <c r="R8754" s="1288"/>
    </row>
    <row r="8755" spans="18:18" s="2" customFormat="1" ht="12.75" x14ac:dyDescent="0.2">
      <c r="R8755" s="1288"/>
    </row>
    <row r="8756" spans="18:18" s="2" customFormat="1" ht="12.75" x14ac:dyDescent="0.2">
      <c r="R8756" s="1288"/>
    </row>
    <row r="8757" spans="18:18" s="2" customFormat="1" ht="12.75" x14ac:dyDescent="0.2">
      <c r="R8757" s="1288"/>
    </row>
    <row r="8758" spans="18:18" s="2" customFormat="1" ht="12.75" x14ac:dyDescent="0.2">
      <c r="R8758" s="1288"/>
    </row>
    <row r="8759" spans="18:18" s="2" customFormat="1" ht="12.75" x14ac:dyDescent="0.2">
      <c r="R8759" s="1288"/>
    </row>
    <row r="8760" spans="18:18" s="2" customFormat="1" ht="12.75" x14ac:dyDescent="0.2">
      <c r="R8760" s="1288"/>
    </row>
    <row r="8761" spans="18:18" s="2" customFormat="1" ht="12.75" x14ac:dyDescent="0.2">
      <c r="R8761" s="1288"/>
    </row>
    <row r="8762" spans="18:18" s="2" customFormat="1" ht="12.75" x14ac:dyDescent="0.2">
      <c r="R8762" s="1288"/>
    </row>
    <row r="8763" spans="18:18" s="2" customFormat="1" ht="12.75" x14ac:dyDescent="0.2">
      <c r="R8763" s="1288"/>
    </row>
    <row r="8764" spans="18:18" s="2" customFormat="1" ht="12.75" x14ac:dyDescent="0.2">
      <c r="R8764" s="1288"/>
    </row>
    <row r="8765" spans="18:18" s="2" customFormat="1" ht="12.75" x14ac:dyDescent="0.2">
      <c r="R8765" s="1288"/>
    </row>
    <row r="8766" spans="18:18" s="2" customFormat="1" ht="12.75" x14ac:dyDescent="0.2">
      <c r="R8766" s="1288"/>
    </row>
    <row r="8767" spans="18:18" s="2" customFormat="1" ht="12.75" x14ac:dyDescent="0.2">
      <c r="R8767" s="1288"/>
    </row>
    <row r="8768" spans="18:18" s="2" customFormat="1" ht="12.75" x14ac:dyDescent="0.2">
      <c r="R8768" s="1288"/>
    </row>
    <row r="8769" spans="18:18" s="2" customFormat="1" ht="12.75" x14ac:dyDescent="0.2">
      <c r="R8769" s="1288"/>
    </row>
    <row r="8770" spans="18:18" s="2" customFormat="1" ht="12.75" x14ac:dyDescent="0.2">
      <c r="R8770" s="1288"/>
    </row>
    <row r="8771" spans="18:18" s="2" customFormat="1" ht="12.75" x14ac:dyDescent="0.2">
      <c r="R8771" s="1288"/>
    </row>
    <row r="8772" spans="18:18" s="2" customFormat="1" ht="12.75" x14ac:dyDescent="0.2">
      <c r="R8772" s="1288"/>
    </row>
    <row r="8773" spans="18:18" s="2" customFormat="1" ht="12.75" x14ac:dyDescent="0.2">
      <c r="R8773" s="1288"/>
    </row>
    <row r="8774" spans="18:18" s="2" customFormat="1" ht="12.75" x14ac:dyDescent="0.2">
      <c r="R8774" s="1288"/>
    </row>
    <row r="8775" spans="18:18" s="2" customFormat="1" ht="12.75" x14ac:dyDescent="0.2">
      <c r="R8775" s="1288"/>
    </row>
    <row r="8776" spans="18:18" s="2" customFormat="1" ht="12.75" x14ac:dyDescent="0.2">
      <c r="R8776" s="1288"/>
    </row>
    <row r="8777" spans="18:18" s="2" customFormat="1" ht="12.75" x14ac:dyDescent="0.2">
      <c r="R8777" s="1288"/>
    </row>
    <row r="8778" spans="18:18" s="2" customFormat="1" ht="12.75" x14ac:dyDescent="0.2">
      <c r="R8778" s="1288"/>
    </row>
    <row r="8779" spans="18:18" s="2" customFormat="1" ht="12.75" x14ac:dyDescent="0.2">
      <c r="R8779" s="1288"/>
    </row>
    <row r="8780" spans="18:18" s="2" customFormat="1" ht="12.75" x14ac:dyDescent="0.2">
      <c r="R8780" s="1288"/>
    </row>
    <row r="8781" spans="18:18" s="2" customFormat="1" ht="12.75" x14ac:dyDescent="0.2">
      <c r="R8781" s="1288"/>
    </row>
    <row r="8782" spans="18:18" s="2" customFormat="1" ht="12.75" x14ac:dyDescent="0.2">
      <c r="R8782" s="1288"/>
    </row>
    <row r="8783" spans="18:18" s="2" customFormat="1" ht="12.75" x14ac:dyDescent="0.2">
      <c r="R8783" s="1288"/>
    </row>
    <row r="8784" spans="18:18" s="2" customFormat="1" ht="12.75" x14ac:dyDescent="0.2">
      <c r="R8784" s="1288"/>
    </row>
    <row r="8785" spans="18:18" s="2" customFormat="1" ht="12.75" x14ac:dyDescent="0.2">
      <c r="R8785" s="1288"/>
    </row>
    <row r="8786" spans="18:18" s="2" customFormat="1" ht="12.75" x14ac:dyDescent="0.2">
      <c r="R8786" s="1288"/>
    </row>
    <row r="8787" spans="18:18" s="2" customFormat="1" ht="12.75" x14ac:dyDescent="0.2">
      <c r="R8787" s="1288"/>
    </row>
    <row r="8788" spans="18:18" s="2" customFormat="1" ht="12.75" x14ac:dyDescent="0.2">
      <c r="R8788" s="1288"/>
    </row>
    <row r="8789" spans="18:18" s="2" customFormat="1" ht="12.75" x14ac:dyDescent="0.2">
      <c r="R8789" s="1288"/>
    </row>
    <row r="8790" spans="18:18" s="2" customFormat="1" ht="12.75" x14ac:dyDescent="0.2">
      <c r="R8790" s="1288"/>
    </row>
    <row r="8791" spans="18:18" s="2" customFormat="1" ht="12.75" x14ac:dyDescent="0.2">
      <c r="R8791" s="1288"/>
    </row>
    <row r="8792" spans="18:18" s="2" customFormat="1" ht="12.75" x14ac:dyDescent="0.2">
      <c r="R8792" s="1288"/>
    </row>
    <row r="8793" spans="18:18" s="2" customFormat="1" ht="12.75" x14ac:dyDescent="0.2">
      <c r="R8793" s="1288"/>
    </row>
    <row r="8794" spans="18:18" s="2" customFormat="1" ht="12.75" x14ac:dyDescent="0.2">
      <c r="R8794" s="1288"/>
    </row>
    <row r="8795" spans="18:18" s="2" customFormat="1" ht="12.75" x14ac:dyDescent="0.2">
      <c r="R8795" s="1288"/>
    </row>
    <row r="8796" spans="18:18" s="2" customFormat="1" ht="12.75" x14ac:dyDescent="0.2">
      <c r="R8796" s="1288"/>
    </row>
    <row r="8797" spans="18:18" s="2" customFormat="1" ht="12.75" x14ac:dyDescent="0.2">
      <c r="R8797" s="1288"/>
    </row>
    <row r="8798" spans="18:18" s="2" customFormat="1" ht="12.75" x14ac:dyDescent="0.2">
      <c r="R8798" s="1288"/>
    </row>
    <row r="8799" spans="18:18" s="2" customFormat="1" ht="12.75" x14ac:dyDescent="0.2">
      <c r="R8799" s="1288"/>
    </row>
    <row r="8800" spans="18:18" s="2" customFormat="1" ht="12.75" x14ac:dyDescent="0.2">
      <c r="R8800" s="1288"/>
    </row>
    <row r="8801" spans="18:18" s="2" customFormat="1" ht="12.75" x14ac:dyDescent="0.2">
      <c r="R8801" s="1288"/>
    </row>
    <row r="8802" spans="18:18" s="2" customFormat="1" ht="12.75" x14ac:dyDescent="0.2">
      <c r="R8802" s="1288"/>
    </row>
    <row r="8803" spans="18:18" s="2" customFormat="1" ht="12.75" x14ac:dyDescent="0.2">
      <c r="R8803" s="1288"/>
    </row>
    <row r="8804" spans="18:18" s="2" customFormat="1" ht="12.75" x14ac:dyDescent="0.2">
      <c r="R8804" s="1288"/>
    </row>
    <row r="8805" spans="18:18" s="2" customFormat="1" ht="12.75" x14ac:dyDescent="0.2">
      <c r="R8805" s="1288"/>
    </row>
    <row r="8806" spans="18:18" s="2" customFormat="1" ht="12.75" x14ac:dyDescent="0.2">
      <c r="R8806" s="1288"/>
    </row>
    <row r="8807" spans="18:18" s="2" customFormat="1" ht="12.75" x14ac:dyDescent="0.2">
      <c r="R8807" s="1288"/>
    </row>
    <row r="8808" spans="18:18" s="2" customFormat="1" ht="12.75" x14ac:dyDescent="0.2">
      <c r="R8808" s="1288"/>
    </row>
    <row r="8809" spans="18:18" s="2" customFormat="1" ht="12.75" x14ac:dyDescent="0.2">
      <c r="R8809" s="1288"/>
    </row>
    <row r="8810" spans="18:18" s="2" customFormat="1" ht="12.75" x14ac:dyDescent="0.2">
      <c r="R8810" s="1288"/>
    </row>
    <row r="8811" spans="18:18" s="2" customFormat="1" ht="12.75" x14ac:dyDescent="0.2">
      <c r="R8811" s="1288"/>
    </row>
    <row r="8812" spans="18:18" s="2" customFormat="1" ht="12.75" x14ac:dyDescent="0.2">
      <c r="R8812" s="1288"/>
    </row>
    <row r="8813" spans="18:18" s="2" customFormat="1" ht="12.75" x14ac:dyDescent="0.2">
      <c r="R8813" s="1288"/>
    </row>
    <row r="8814" spans="18:18" s="2" customFormat="1" ht="12.75" x14ac:dyDescent="0.2">
      <c r="R8814" s="1288"/>
    </row>
    <row r="8815" spans="18:18" s="2" customFormat="1" ht="12.75" x14ac:dyDescent="0.2">
      <c r="R8815" s="1288"/>
    </row>
    <row r="8816" spans="18:18" s="2" customFormat="1" ht="12.75" x14ac:dyDescent="0.2">
      <c r="R8816" s="1288"/>
    </row>
    <row r="8817" spans="18:18" s="2" customFormat="1" ht="12.75" x14ac:dyDescent="0.2">
      <c r="R8817" s="1288"/>
    </row>
    <row r="8818" spans="18:18" s="2" customFormat="1" ht="12.75" x14ac:dyDescent="0.2">
      <c r="R8818" s="1288"/>
    </row>
    <row r="8819" spans="18:18" s="2" customFormat="1" ht="12.75" x14ac:dyDescent="0.2">
      <c r="R8819" s="1288"/>
    </row>
    <row r="8820" spans="18:18" s="2" customFormat="1" ht="12.75" x14ac:dyDescent="0.2">
      <c r="R8820" s="1288"/>
    </row>
    <row r="8821" spans="18:18" s="2" customFormat="1" ht="12.75" x14ac:dyDescent="0.2">
      <c r="R8821" s="1288"/>
    </row>
    <row r="8822" spans="18:18" s="2" customFormat="1" ht="12.75" x14ac:dyDescent="0.2">
      <c r="R8822" s="1288"/>
    </row>
    <row r="8823" spans="18:18" s="2" customFormat="1" ht="12.75" x14ac:dyDescent="0.2">
      <c r="R8823" s="1288"/>
    </row>
    <row r="8824" spans="18:18" s="2" customFormat="1" ht="12.75" x14ac:dyDescent="0.2">
      <c r="R8824" s="1288"/>
    </row>
    <row r="8825" spans="18:18" s="2" customFormat="1" ht="12.75" x14ac:dyDescent="0.2">
      <c r="R8825" s="1288"/>
    </row>
    <row r="8826" spans="18:18" s="2" customFormat="1" ht="12.75" x14ac:dyDescent="0.2">
      <c r="R8826" s="1288"/>
    </row>
    <row r="8827" spans="18:18" s="2" customFormat="1" ht="12.75" x14ac:dyDescent="0.2">
      <c r="R8827" s="1288"/>
    </row>
    <row r="8828" spans="18:18" s="2" customFormat="1" ht="12.75" x14ac:dyDescent="0.2">
      <c r="R8828" s="1288"/>
    </row>
    <row r="8829" spans="18:18" s="2" customFormat="1" ht="12.75" x14ac:dyDescent="0.2">
      <c r="R8829" s="1288"/>
    </row>
    <row r="8830" spans="18:18" s="2" customFormat="1" ht="12.75" x14ac:dyDescent="0.2">
      <c r="R8830" s="1288"/>
    </row>
    <row r="8831" spans="18:18" s="2" customFormat="1" ht="12.75" x14ac:dyDescent="0.2">
      <c r="R8831" s="1288"/>
    </row>
    <row r="8832" spans="18:18" s="2" customFormat="1" ht="12.75" x14ac:dyDescent="0.2">
      <c r="R8832" s="1288"/>
    </row>
    <row r="8833" spans="18:18" s="2" customFormat="1" ht="12.75" x14ac:dyDescent="0.2">
      <c r="R8833" s="1288"/>
    </row>
    <row r="8834" spans="18:18" s="2" customFormat="1" ht="12.75" x14ac:dyDescent="0.2">
      <c r="R8834" s="1288"/>
    </row>
    <row r="8835" spans="18:18" s="2" customFormat="1" ht="12.75" x14ac:dyDescent="0.2">
      <c r="R8835" s="1288"/>
    </row>
    <row r="8836" spans="18:18" s="2" customFormat="1" ht="12.75" x14ac:dyDescent="0.2">
      <c r="R8836" s="1288"/>
    </row>
    <row r="8837" spans="18:18" s="2" customFormat="1" ht="12.75" x14ac:dyDescent="0.2">
      <c r="R8837" s="1288"/>
    </row>
    <row r="8838" spans="18:18" s="2" customFormat="1" ht="12.75" x14ac:dyDescent="0.2">
      <c r="R8838" s="1288"/>
    </row>
    <row r="8839" spans="18:18" s="2" customFormat="1" ht="12.75" x14ac:dyDescent="0.2">
      <c r="R8839" s="1288"/>
    </row>
    <row r="8840" spans="18:18" s="2" customFormat="1" ht="12.75" x14ac:dyDescent="0.2">
      <c r="R8840" s="1288"/>
    </row>
    <row r="8841" spans="18:18" s="2" customFormat="1" ht="12.75" x14ac:dyDescent="0.2">
      <c r="R8841" s="1288"/>
    </row>
    <row r="8842" spans="18:18" s="2" customFormat="1" ht="12.75" x14ac:dyDescent="0.2">
      <c r="R8842" s="1288"/>
    </row>
    <row r="8843" spans="18:18" s="2" customFormat="1" ht="12.75" x14ac:dyDescent="0.2">
      <c r="R8843" s="1288"/>
    </row>
    <row r="8844" spans="18:18" s="2" customFormat="1" ht="12.75" x14ac:dyDescent="0.2">
      <c r="R8844" s="1288"/>
    </row>
    <row r="8845" spans="18:18" s="2" customFormat="1" ht="12.75" x14ac:dyDescent="0.2">
      <c r="R8845" s="1288"/>
    </row>
    <row r="8846" spans="18:18" s="2" customFormat="1" ht="12.75" x14ac:dyDescent="0.2">
      <c r="R8846" s="1288"/>
    </row>
    <row r="8847" spans="18:18" s="2" customFormat="1" ht="12.75" x14ac:dyDescent="0.2">
      <c r="R8847" s="1288"/>
    </row>
    <row r="8848" spans="18:18" s="2" customFormat="1" ht="12.75" x14ac:dyDescent="0.2">
      <c r="R8848" s="1288"/>
    </row>
    <row r="8849" spans="18:18" s="2" customFormat="1" ht="12.75" x14ac:dyDescent="0.2">
      <c r="R8849" s="1288"/>
    </row>
    <row r="8850" spans="18:18" s="2" customFormat="1" ht="12.75" x14ac:dyDescent="0.2">
      <c r="R8850" s="1288"/>
    </row>
    <row r="8851" spans="18:18" s="2" customFormat="1" ht="12.75" x14ac:dyDescent="0.2">
      <c r="R8851" s="1288"/>
    </row>
    <row r="8852" spans="18:18" s="2" customFormat="1" ht="12.75" x14ac:dyDescent="0.2">
      <c r="R8852" s="1288"/>
    </row>
    <row r="8853" spans="18:18" s="2" customFormat="1" ht="12.75" x14ac:dyDescent="0.2">
      <c r="R8853" s="1288"/>
    </row>
    <row r="8854" spans="18:18" s="2" customFormat="1" ht="12.75" x14ac:dyDescent="0.2">
      <c r="R8854" s="1288"/>
    </row>
    <row r="8855" spans="18:18" s="2" customFormat="1" ht="12.75" x14ac:dyDescent="0.2">
      <c r="R8855" s="1288"/>
    </row>
    <row r="8856" spans="18:18" s="2" customFormat="1" ht="12.75" x14ac:dyDescent="0.2">
      <c r="R8856" s="1288"/>
    </row>
    <row r="8857" spans="18:18" s="2" customFormat="1" ht="12.75" x14ac:dyDescent="0.2">
      <c r="R8857" s="1288"/>
    </row>
    <row r="8858" spans="18:18" s="2" customFormat="1" ht="12.75" x14ac:dyDescent="0.2">
      <c r="R8858" s="1288"/>
    </row>
    <row r="8859" spans="18:18" s="2" customFormat="1" ht="12.75" x14ac:dyDescent="0.2">
      <c r="R8859" s="1288"/>
    </row>
    <row r="8860" spans="18:18" s="2" customFormat="1" ht="12.75" x14ac:dyDescent="0.2">
      <c r="R8860" s="1288"/>
    </row>
    <row r="8861" spans="18:18" s="2" customFormat="1" ht="12.75" x14ac:dyDescent="0.2">
      <c r="R8861" s="1288"/>
    </row>
    <row r="8862" spans="18:18" s="2" customFormat="1" ht="12.75" x14ac:dyDescent="0.2">
      <c r="R8862" s="1288"/>
    </row>
    <row r="8863" spans="18:18" s="2" customFormat="1" ht="12.75" x14ac:dyDescent="0.2">
      <c r="R8863" s="1288"/>
    </row>
    <row r="8864" spans="18:18" s="2" customFormat="1" ht="12.75" x14ac:dyDescent="0.2">
      <c r="R8864" s="1288"/>
    </row>
    <row r="8865" spans="18:18" s="2" customFormat="1" ht="12.75" x14ac:dyDescent="0.2">
      <c r="R8865" s="1288"/>
    </row>
    <row r="8866" spans="18:18" s="2" customFormat="1" ht="12.75" x14ac:dyDescent="0.2">
      <c r="R8866" s="1288"/>
    </row>
    <row r="8867" spans="18:18" s="2" customFormat="1" ht="12.75" x14ac:dyDescent="0.2">
      <c r="R8867" s="1288"/>
    </row>
    <row r="8868" spans="18:18" s="2" customFormat="1" ht="12.75" x14ac:dyDescent="0.2">
      <c r="R8868" s="1288"/>
    </row>
    <row r="8869" spans="18:18" s="2" customFormat="1" ht="12.75" x14ac:dyDescent="0.2">
      <c r="R8869" s="1288"/>
    </row>
    <row r="8870" spans="18:18" s="2" customFormat="1" ht="12.75" x14ac:dyDescent="0.2">
      <c r="R8870" s="1288"/>
    </row>
    <row r="8871" spans="18:18" s="2" customFormat="1" ht="12.75" x14ac:dyDescent="0.2">
      <c r="R8871" s="1288"/>
    </row>
    <row r="8872" spans="18:18" s="2" customFormat="1" ht="12.75" x14ac:dyDescent="0.2">
      <c r="R8872" s="1288"/>
    </row>
    <row r="8873" spans="18:18" s="2" customFormat="1" ht="12.75" x14ac:dyDescent="0.2">
      <c r="R8873" s="1288"/>
    </row>
    <row r="8874" spans="18:18" s="2" customFormat="1" ht="12.75" x14ac:dyDescent="0.2">
      <c r="R8874" s="1288"/>
    </row>
    <row r="8875" spans="18:18" s="2" customFormat="1" ht="12.75" x14ac:dyDescent="0.2">
      <c r="R8875" s="1288"/>
    </row>
    <row r="8876" spans="18:18" s="2" customFormat="1" ht="12.75" x14ac:dyDescent="0.2">
      <c r="R8876" s="1288"/>
    </row>
    <row r="8877" spans="18:18" s="2" customFormat="1" ht="12.75" x14ac:dyDescent="0.2">
      <c r="R8877" s="1288"/>
    </row>
    <row r="8878" spans="18:18" s="2" customFormat="1" ht="12.75" x14ac:dyDescent="0.2">
      <c r="R8878" s="1288"/>
    </row>
    <row r="8879" spans="18:18" s="2" customFormat="1" ht="12.75" x14ac:dyDescent="0.2">
      <c r="R8879" s="1288"/>
    </row>
    <row r="8880" spans="18:18" s="2" customFormat="1" ht="12.75" x14ac:dyDescent="0.2">
      <c r="R8880" s="1288"/>
    </row>
    <row r="8881" spans="18:18" s="2" customFormat="1" ht="12.75" x14ac:dyDescent="0.2">
      <c r="R8881" s="1288"/>
    </row>
    <row r="8882" spans="18:18" s="2" customFormat="1" ht="12.75" x14ac:dyDescent="0.2">
      <c r="R8882" s="1288"/>
    </row>
    <row r="8883" spans="18:18" s="2" customFormat="1" ht="12.75" x14ac:dyDescent="0.2">
      <c r="R8883" s="1288"/>
    </row>
    <row r="8884" spans="18:18" s="2" customFormat="1" ht="12.75" x14ac:dyDescent="0.2">
      <c r="R8884" s="1288"/>
    </row>
    <row r="8885" spans="18:18" s="2" customFormat="1" ht="12.75" x14ac:dyDescent="0.2">
      <c r="R8885" s="1288"/>
    </row>
    <row r="8886" spans="18:18" s="2" customFormat="1" ht="12.75" x14ac:dyDescent="0.2">
      <c r="R8886" s="1288"/>
    </row>
    <row r="8887" spans="18:18" s="2" customFormat="1" ht="12.75" x14ac:dyDescent="0.2">
      <c r="R8887" s="1288"/>
    </row>
    <row r="8888" spans="18:18" s="2" customFormat="1" ht="12.75" x14ac:dyDescent="0.2">
      <c r="R8888" s="1288"/>
    </row>
    <row r="8889" spans="18:18" s="2" customFormat="1" ht="12.75" x14ac:dyDescent="0.2">
      <c r="R8889" s="1288"/>
    </row>
    <row r="8890" spans="18:18" s="2" customFormat="1" ht="12.75" x14ac:dyDescent="0.2">
      <c r="R8890" s="1288"/>
    </row>
    <row r="8891" spans="18:18" s="2" customFormat="1" ht="12.75" x14ac:dyDescent="0.2">
      <c r="R8891" s="1288"/>
    </row>
    <row r="8892" spans="18:18" s="2" customFormat="1" ht="12.75" x14ac:dyDescent="0.2">
      <c r="R8892" s="1288"/>
    </row>
    <row r="8893" spans="18:18" s="2" customFormat="1" ht="12.75" x14ac:dyDescent="0.2">
      <c r="R8893" s="1288"/>
    </row>
    <row r="8894" spans="18:18" s="2" customFormat="1" ht="12.75" x14ac:dyDescent="0.2">
      <c r="R8894" s="1288"/>
    </row>
    <row r="8895" spans="18:18" s="2" customFormat="1" ht="12.75" x14ac:dyDescent="0.2">
      <c r="R8895" s="1288"/>
    </row>
    <row r="8896" spans="18:18" s="2" customFormat="1" ht="12.75" x14ac:dyDescent="0.2">
      <c r="R8896" s="1288"/>
    </row>
    <row r="8897" spans="18:18" s="2" customFormat="1" ht="12.75" x14ac:dyDescent="0.2">
      <c r="R8897" s="1288"/>
    </row>
    <row r="8898" spans="18:18" s="2" customFormat="1" ht="12.75" x14ac:dyDescent="0.2">
      <c r="R8898" s="1288"/>
    </row>
    <row r="8899" spans="18:18" s="2" customFormat="1" ht="12.75" x14ac:dyDescent="0.2">
      <c r="R8899" s="1288"/>
    </row>
    <row r="8900" spans="18:18" s="2" customFormat="1" ht="12.75" x14ac:dyDescent="0.2">
      <c r="R8900" s="1288"/>
    </row>
    <row r="8901" spans="18:18" s="2" customFormat="1" ht="12.75" x14ac:dyDescent="0.2">
      <c r="R8901" s="1288"/>
    </row>
    <row r="8902" spans="18:18" s="2" customFormat="1" ht="12.75" x14ac:dyDescent="0.2">
      <c r="R8902" s="1288"/>
    </row>
    <row r="8903" spans="18:18" s="2" customFormat="1" ht="12.75" x14ac:dyDescent="0.2">
      <c r="R8903" s="1288"/>
    </row>
    <row r="8904" spans="18:18" s="2" customFormat="1" ht="12.75" x14ac:dyDescent="0.2">
      <c r="R8904" s="1288"/>
    </row>
    <row r="8905" spans="18:18" s="2" customFormat="1" ht="12.75" x14ac:dyDescent="0.2">
      <c r="R8905" s="1288"/>
    </row>
    <row r="8906" spans="18:18" s="2" customFormat="1" ht="12.75" x14ac:dyDescent="0.2">
      <c r="R8906" s="1288"/>
    </row>
    <row r="8907" spans="18:18" s="2" customFormat="1" ht="12.75" x14ac:dyDescent="0.2">
      <c r="R8907" s="1288"/>
    </row>
    <row r="8908" spans="18:18" s="2" customFormat="1" ht="12.75" x14ac:dyDescent="0.2">
      <c r="R8908" s="1288"/>
    </row>
    <row r="8909" spans="18:18" s="2" customFormat="1" ht="12.75" x14ac:dyDescent="0.2">
      <c r="R8909" s="1288"/>
    </row>
    <row r="8910" spans="18:18" s="2" customFormat="1" ht="12.75" x14ac:dyDescent="0.2">
      <c r="R8910" s="1288"/>
    </row>
    <row r="8911" spans="18:18" s="2" customFormat="1" ht="12.75" x14ac:dyDescent="0.2">
      <c r="R8911" s="1288"/>
    </row>
    <row r="8912" spans="18:18" s="2" customFormat="1" ht="12.75" x14ac:dyDescent="0.2">
      <c r="R8912" s="1288"/>
    </row>
    <row r="8913" spans="18:18" s="2" customFormat="1" ht="12.75" x14ac:dyDescent="0.2">
      <c r="R8913" s="1288"/>
    </row>
    <row r="8914" spans="18:18" s="2" customFormat="1" ht="12.75" x14ac:dyDescent="0.2">
      <c r="R8914" s="1288"/>
    </row>
    <row r="8915" spans="18:18" s="2" customFormat="1" ht="12.75" x14ac:dyDescent="0.2">
      <c r="R8915" s="1288"/>
    </row>
    <row r="8916" spans="18:18" s="2" customFormat="1" ht="12.75" x14ac:dyDescent="0.2">
      <c r="R8916" s="1288"/>
    </row>
    <row r="8917" spans="18:18" s="2" customFormat="1" ht="12.75" x14ac:dyDescent="0.2">
      <c r="R8917" s="1288"/>
    </row>
    <row r="8918" spans="18:18" s="2" customFormat="1" ht="12.75" x14ac:dyDescent="0.2">
      <c r="R8918" s="1288"/>
    </row>
    <row r="8919" spans="18:18" s="2" customFormat="1" ht="12.75" x14ac:dyDescent="0.2">
      <c r="R8919" s="1288"/>
    </row>
    <row r="8920" spans="18:18" s="2" customFormat="1" ht="12.75" x14ac:dyDescent="0.2">
      <c r="R8920" s="1288"/>
    </row>
    <row r="8921" spans="18:18" s="2" customFormat="1" ht="12.75" x14ac:dyDescent="0.2">
      <c r="R8921" s="1288"/>
    </row>
    <row r="8922" spans="18:18" s="2" customFormat="1" ht="12.75" x14ac:dyDescent="0.2">
      <c r="R8922" s="1288"/>
    </row>
    <row r="8923" spans="18:18" s="2" customFormat="1" ht="12.75" x14ac:dyDescent="0.2">
      <c r="R8923" s="1288"/>
    </row>
    <row r="8924" spans="18:18" s="2" customFormat="1" ht="12.75" x14ac:dyDescent="0.2">
      <c r="R8924" s="1288"/>
    </row>
    <row r="8925" spans="18:18" s="2" customFormat="1" ht="12.75" x14ac:dyDescent="0.2">
      <c r="R8925" s="1288"/>
    </row>
    <row r="8926" spans="18:18" s="2" customFormat="1" ht="12.75" x14ac:dyDescent="0.2">
      <c r="R8926" s="1288"/>
    </row>
    <row r="8927" spans="18:18" s="2" customFormat="1" ht="12.75" x14ac:dyDescent="0.2">
      <c r="R8927" s="1288"/>
    </row>
    <row r="8928" spans="18:18" s="2" customFormat="1" ht="12.75" x14ac:dyDescent="0.2">
      <c r="R8928" s="1288"/>
    </row>
    <row r="8929" spans="18:18" s="2" customFormat="1" ht="12.75" x14ac:dyDescent="0.2">
      <c r="R8929" s="1288"/>
    </row>
    <row r="8930" spans="18:18" s="2" customFormat="1" ht="12.75" x14ac:dyDescent="0.2">
      <c r="R8930" s="1288"/>
    </row>
    <row r="8931" spans="18:18" s="2" customFormat="1" ht="12.75" x14ac:dyDescent="0.2">
      <c r="R8931" s="1288"/>
    </row>
    <row r="8932" spans="18:18" s="2" customFormat="1" ht="12.75" x14ac:dyDescent="0.2">
      <c r="R8932" s="1288"/>
    </row>
    <row r="8933" spans="18:18" s="2" customFormat="1" ht="12.75" x14ac:dyDescent="0.2">
      <c r="R8933" s="1288"/>
    </row>
    <row r="8934" spans="18:18" s="2" customFormat="1" ht="12.75" x14ac:dyDescent="0.2">
      <c r="R8934" s="1288"/>
    </row>
    <row r="8935" spans="18:18" s="2" customFormat="1" ht="12.75" x14ac:dyDescent="0.2">
      <c r="R8935" s="1288"/>
    </row>
    <row r="8936" spans="18:18" s="2" customFormat="1" ht="12.75" x14ac:dyDescent="0.2">
      <c r="R8936" s="1288"/>
    </row>
    <row r="8937" spans="18:18" s="2" customFormat="1" ht="12.75" x14ac:dyDescent="0.2">
      <c r="R8937" s="1288"/>
    </row>
    <row r="8938" spans="18:18" s="2" customFormat="1" ht="12.75" x14ac:dyDescent="0.2">
      <c r="R8938" s="1288"/>
    </row>
    <row r="8939" spans="18:18" s="2" customFormat="1" ht="12.75" x14ac:dyDescent="0.2">
      <c r="R8939" s="1288"/>
    </row>
    <row r="8940" spans="18:18" s="2" customFormat="1" ht="12.75" x14ac:dyDescent="0.2">
      <c r="R8940" s="1288"/>
    </row>
    <row r="8941" spans="18:18" s="2" customFormat="1" ht="12.75" x14ac:dyDescent="0.2">
      <c r="R8941" s="1288"/>
    </row>
    <row r="8942" spans="18:18" s="2" customFormat="1" ht="12.75" x14ac:dyDescent="0.2">
      <c r="R8942" s="1288"/>
    </row>
    <row r="8943" spans="18:18" s="2" customFormat="1" ht="12.75" x14ac:dyDescent="0.2">
      <c r="R8943" s="1288"/>
    </row>
    <row r="8944" spans="18:18" s="2" customFormat="1" ht="12.75" x14ac:dyDescent="0.2">
      <c r="R8944" s="1288"/>
    </row>
    <row r="8945" spans="18:18" s="2" customFormat="1" ht="12.75" x14ac:dyDescent="0.2">
      <c r="R8945" s="1288"/>
    </row>
    <row r="8946" spans="18:18" s="2" customFormat="1" ht="12.75" x14ac:dyDescent="0.2">
      <c r="R8946" s="1288"/>
    </row>
    <row r="8947" spans="18:18" s="2" customFormat="1" ht="12.75" x14ac:dyDescent="0.2">
      <c r="R8947" s="1288"/>
    </row>
    <row r="8948" spans="18:18" s="2" customFormat="1" ht="12.75" x14ac:dyDescent="0.2">
      <c r="R8948" s="1288"/>
    </row>
    <row r="8949" spans="18:18" s="2" customFormat="1" ht="12.75" x14ac:dyDescent="0.2">
      <c r="R8949" s="1288"/>
    </row>
    <row r="8950" spans="18:18" s="2" customFormat="1" ht="12.75" x14ac:dyDescent="0.2">
      <c r="R8950" s="1288"/>
    </row>
    <row r="8951" spans="18:18" s="2" customFormat="1" ht="12.75" x14ac:dyDescent="0.2">
      <c r="R8951" s="1288"/>
    </row>
    <row r="8952" spans="18:18" s="2" customFormat="1" ht="12.75" x14ac:dyDescent="0.2">
      <c r="R8952" s="1288"/>
    </row>
    <row r="8953" spans="18:18" s="2" customFormat="1" ht="12.75" x14ac:dyDescent="0.2">
      <c r="R8953" s="1288"/>
    </row>
    <row r="8954" spans="18:18" s="2" customFormat="1" ht="12.75" x14ac:dyDescent="0.2">
      <c r="R8954" s="1288"/>
    </row>
    <row r="8955" spans="18:18" s="2" customFormat="1" ht="12.75" x14ac:dyDescent="0.2">
      <c r="R8955" s="1288"/>
    </row>
    <row r="8956" spans="18:18" s="2" customFormat="1" ht="12.75" x14ac:dyDescent="0.2">
      <c r="R8956" s="1288"/>
    </row>
    <row r="8957" spans="18:18" s="2" customFormat="1" ht="12.75" x14ac:dyDescent="0.2">
      <c r="R8957" s="1288"/>
    </row>
    <row r="8958" spans="18:18" s="2" customFormat="1" ht="12.75" x14ac:dyDescent="0.2">
      <c r="R8958" s="1288"/>
    </row>
    <row r="8959" spans="18:18" s="2" customFormat="1" ht="12.75" x14ac:dyDescent="0.2">
      <c r="R8959" s="1288"/>
    </row>
    <row r="8960" spans="18:18" s="2" customFormat="1" ht="12.75" x14ac:dyDescent="0.2">
      <c r="R8960" s="1288"/>
    </row>
    <row r="8961" spans="18:18" s="2" customFormat="1" ht="12.75" x14ac:dyDescent="0.2">
      <c r="R8961" s="1288"/>
    </row>
    <row r="8962" spans="18:18" s="2" customFormat="1" ht="12.75" x14ac:dyDescent="0.2">
      <c r="R8962" s="1288"/>
    </row>
    <row r="8963" spans="18:18" s="2" customFormat="1" ht="12.75" x14ac:dyDescent="0.2">
      <c r="R8963" s="1288"/>
    </row>
    <row r="8964" spans="18:18" s="2" customFormat="1" ht="12.75" x14ac:dyDescent="0.2">
      <c r="R8964" s="1288"/>
    </row>
    <row r="8965" spans="18:18" s="2" customFormat="1" ht="12.75" x14ac:dyDescent="0.2">
      <c r="R8965" s="1288"/>
    </row>
    <row r="8966" spans="18:18" s="2" customFormat="1" ht="12.75" x14ac:dyDescent="0.2">
      <c r="R8966" s="1288"/>
    </row>
    <row r="8967" spans="18:18" s="2" customFormat="1" ht="12.75" x14ac:dyDescent="0.2">
      <c r="R8967" s="1288"/>
    </row>
    <row r="8968" spans="18:18" s="2" customFormat="1" ht="12.75" x14ac:dyDescent="0.2">
      <c r="R8968" s="1288"/>
    </row>
    <row r="8969" spans="18:18" s="2" customFormat="1" ht="12.75" x14ac:dyDescent="0.2">
      <c r="R8969" s="1288"/>
    </row>
    <row r="8970" spans="18:18" s="2" customFormat="1" ht="12.75" x14ac:dyDescent="0.2">
      <c r="R8970" s="1288"/>
    </row>
    <row r="8971" spans="18:18" s="2" customFormat="1" ht="12.75" x14ac:dyDescent="0.2">
      <c r="R8971" s="1288"/>
    </row>
    <row r="8972" spans="18:18" s="2" customFormat="1" ht="12.75" x14ac:dyDescent="0.2">
      <c r="R8972" s="1288"/>
    </row>
    <row r="8973" spans="18:18" s="2" customFormat="1" ht="12.75" x14ac:dyDescent="0.2">
      <c r="R8973" s="1288"/>
    </row>
    <row r="8974" spans="18:18" s="2" customFormat="1" ht="12.75" x14ac:dyDescent="0.2">
      <c r="R8974" s="1288"/>
    </row>
    <row r="8975" spans="18:18" s="2" customFormat="1" ht="12.75" x14ac:dyDescent="0.2">
      <c r="R8975" s="1288"/>
    </row>
    <row r="8976" spans="18:18" s="2" customFormat="1" ht="12.75" x14ac:dyDescent="0.2">
      <c r="R8976" s="1288"/>
    </row>
    <row r="8977" spans="18:18" s="2" customFormat="1" ht="12.75" x14ac:dyDescent="0.2">
      <c r="R8977" s="1288"/>
    </row>
    <row r="8978" spans="18:18" s="2" customFormat="1" ht="12.75" x14ac:dyDescent="0.2">
      <c r="R8978" s="1288"/>
    </row>
    <row r="8979" spans="18:18" s="2" customFormat="1" ht="12.75" x14ac:dyDescent="0.2">
      <c r="R8979" s="1288"/>
    </row>
    <row r="8980" spans="18:18" s="2" customFormat="1" ht="12.75" x14ac:dyDescent="0.2">
      <c r="R8980" s="1288"/>
    </row>
    <row r="8981" spans="18:18" s="2" customFormat="1" ht="12.75" x14ac:dyDescent="0.2">
      <c r="R8981" s="1288"/>
    </row>
    <row r="8982" spans="18:18" s="2" customFormat="1" ht="12.75" x14ac:dyDescent="0.2">
      <c r="R8982" s="1288"/>
    </row>
    <row r="8983" spans="18:18" s="2" customFormat="1" ht="12.75" x14ac:dyDescent="0.2">
      <c r="R8983" s="1288"/>
    </row>
    <row r="8984" spans="18:18" s="2" customFormat="1" ht="12.75" x14ac:dyDescent="0.2">
      <c r="R8984" s="1288"/>
    </row>
    <row r="8985" spans="18:18" s="2" customFormat="1" ht="12.75" x14ac:dyDescent="0.2">
      <c r="R8985" s="1288"/>
    </row>
    <row r="8986" spans="18:18" s="2" customFormat="1" ht="12.75" x14ac:dyDescent="0.2">
      <c r="R8986" s="1288"/>
    </row>
    <row r="8987" spans="18:18" s="2" customFormat="1" ht="12.75" x14ac:dyDescent="0.2">
      <c r="R8987" s="1288"/>
    </row>
    <row r="8988" spans="18:18" s="2" customFormat="1" ht="12.75" x14ac:dyDescent="0.2">
      <c r="R8988" s="1288"/>
    </row>
    <row r="8989" spans="18:18" s="2" customFormat="1" ht="12.75" x14ac:dyDescent="0.2">
      <c r="R8989" s="1288"/>
    </row>
    <row r="8990" spans="18:18" s="2" customFormat="1" ht="12.75" x14ac:dyDescent="0.2">
      <c r="R8990" s="1288"/>
    </row>
    <row r="8991" spans="18:18" s="2" customFormat="1" ht="12.75" x14ac:dyDescent="0.2">
      <c r="R8991" s="1288"/>
    </row>
    <row r="8992" spans="18:18" s="2" customFormat="1" ht="12.75" x14ac:dyDescent="0.2">
      <c r="R8992" s="1288"/>
    </row>
    <row r="8993" spans="18:18" s="2" customFormat="1" ht="12.75" x14ac:dyDescent="0.2">
      <c r="R8993" s="1288"/>
    </row>
    <row r="8994" spans="18:18" s="2" customFormat="1" ht="12.75" x14ac:dyDescent="0.2">
      <c r="R8994" s="1288"/>
    </row>
    <row r="8995" spans="18:18" s="2" customFormat="1" ht="12.75" x14ac:dyDescent="0.2">
      <c r="R8995" s="1288"/>
    </row>
    <row r="8996" spans="18:18" s="2" customFormat="1" ht="12.75" x14ac:dyDescent="0.2">
      <c r="R8996" s="1288"/>
    </row>
    <row r="8997" spans="18:18" s="2" customFormat="1" ht="12.75" x14ac:dyDescent="0.2">
      <c r="R8997" s="1288"/>
    </row>
    <row r="8998" spans="18:18" s="2" customFormat="1" ht="12.75" x14ac:dyDescent="0.2">
      <c r="R8998" s="1288"/>
    </row>
    <row r="8999" spans="18:18" s="2" customFormat="1" ht="12.75" x14ac:dyDescent="0.2">
      <c r="R8999" s="1288"/>
    </row>
    <row r="9000" spans="18:18" s="2" customFormat="1" ht="12.75" x14ac:dyDescent="0.2">
      <c r="R9000" s="1288"/>
    </row>
    <row r="9001" spans="18:18" s="2" customFormat="1" ht="12.75" x14ac:dyDescent="0.2">
      <c r="R9001" s="1288"/>
    </row>
    <row r="9002" spans="18:18" s="2" customFormat="1" ht="12.75" x14ac:dyDescent="0.2">
      <c r="R9002" s="1288"/>
    </row>
    <row r="9003" spans="18:18" s="2" customFormat="1" ht="12.75" x14ac:dyDescent="0.2">
      <c r="R9003" s="1288"/>
    </row>
    <row r="9004" spans="18:18" s="2" customFormat="1" ht="12.75" x14ac:dyDescent="0.2">
      <c r="R9004" s="1288"/>
    </row>
    <row r="9005" spans="18:18" s="2" customFormat="1" ht="12.75" x14ac:dyDescent="0.2">
      <c r="R9005" s="1288"/>
    </row>
    <row r="9006" spans="18:18" s="2" customFormat="1" ht="12.75" x14ac:dyDescent="0.2">
      <c r="R9006" s="1288"/>
    </row>
    <row r="9007" spans="18:18" s="2" customFormat="1" ht="12.75" x14ac:dyDescent="0.2">
      <c r="R9007" s="1288"/>
    </row>
    <row r="9008" spans="18:18" s="2" customFormat="1" ht="12.75" x14ac:dyDescent="0.2">
      <c r="R9008" s="1288"/>
    </row>
    <row r="9009" spans="18:18" s="2" customFormat="1" ht="12.75" x14ac:dyDescent="0.2">
      <c r="R9009" s="1288"/>
    </row>
    <row r="9010" spans="18:18" s="2" customFormat="1" ht="12.75" x14ac:dyDescent="0.2">
      <c r="R9010" s="1288"/>
    </row>
    <row r="9011" spans="18:18" s="2" customFormat="1" ht="12.75" x14ac:dyDescent="0.2">
      <c r="R9011" s="1288"/>
    </row>
    <row r="9012" spans="18:18" s="2" customFormat="1" ht="12.75" x14ac:dyDescent="0.2">
      <c r="R9012" s="1288"/>
    </row>
    <row r="9013" spans="18:18" s="2" customFormat="1" ht="12.75" x14ac:dyDescent="0.2">
      <c r="R9013" s="1288"/>
    </row>
    <row r="9014" spans="18:18" s="2" customFormat="1" ht="12.75" x14ac:dyDescent="0.2">
      <c r="R9014" s="1288"/>
    </row>
    <row r="9015" spans="18:18" s="2" customFormat="1" ht="12.75" x14ac:dyDescent="0.2">
      <c r="R9015" s="1288"/>
    </row>
    <row r="9016" spans="18:18" s="2" customFormat="1" ht="12.75" x14ac:dyDescent="0.2">
      <c r="R9016" s="1288"/>
    </row>
    <row r="9017" spans="18:18" s="2" customFormat="1" ht="12.75" x14ac:dyDescent="0.2">
      <c r="R9017" s="1288"/>
    </row>
    <row r="9018" spans="18:18" s="2" customFormat="1" ht="12.75" x14ac:dyDescent="0.2">
      <c r="R9018" s="1288"/>
    </row>
    <row r="9019" spans="18:18" s="2" customFormat="1" ht="12.75" x14ac:dyDescent="0.2">
      <c r="R9019" s="1288"/>
    </row>
    <row r="9020" spans="18:18" s="2" customFormat="1" ht="12.75" x14ac:dyDescent="0.2">
      <c r="R9020" s="1288"/>
    </row>
    <row r="9021" spans="18:18" s="2" customFormat="1" ht="12.75" x14ac:dyDescent="0.2">
      <c r="R9021" s="1288"/>
    </row>
    <row r="9022" spans="18:18" s="2" customFormat="1" ht="12.75" x14ac:dyDescent="0.2">
      <c r="R9022" s="1288"/>
    </row>
    <row r="9023" spans="18:18" s="2" customFormat="1" ht="12.75" x14ac:dyDescent="0.2">
      <c r="R9023" s="1288"/>
    </row>
    <row r="9024" spans="18:18" s="2" customFormat="1" ht="12.75" x14ac:dyDescent="0.2">
      <c r="R9024" s="1288"/>
    </row>
    <row r="9025" spans="18:18" s="2" customFormat="1" ht="12.75" x14ac:dyDescent="0.2">
      <c r="R9025" s="1288"/>
    </row>
    <row r="9026" spans="18:18" s="2" customFormat="1" ht="12.75" x14ac:dyDescent="0.2">
      <c r="R9026" s="1288"/>
    </row>
    <row r="9027" spans="18:18" s="2" customFormat="1" ht="12.75" x14ac:dyDescent="0.2">
      <c r="R9027" s="1288"/>
    </row>
    <row r="9028" spans="18:18" s="2" customFormat="1" ht="12.75" x14ac:dyDescent="0.2">
      <c r="R9028" s="1288"/>
    </row>
    <row r="9029" spans="18:18" s="2" customFormat="1" ht="12.75" x14ac:dyDescent="0.2">
      <c r="R9029" s="1288"/>
    </row>
    <row r="9030" spans="18:18" s="2" customFormat="1" ht="12.75" x14ac:dyDescent="0.2">
      <c r="R9030" s="1288"/>
    </row>
    <row r="9031" spans="18:18" s="2" customFormat="1" ht="12.75" x14ac:dyDescent="0.2">
      <c r="R9031" s="1288"/>
    </row>
    <row r="9032" spans="18:18" s="2" customFormat="1" ht="12.75" x14ac:dyDescent="0.2">
      <c r="R9032" s="1288"/>
    </row>
    <row r="9033" spans="18:18" s="2" customFormat="1" ht="12.75" x14ac:dyDescent="0.2">
      <c r="R9033" s="1288"/>
    </row>
    <row r="9034" spans="18:18" s="2" customFormat="1" ht="12.75" x14ac:dyDescent="0.2">
      <c r="R9034" s="1288"/>
    </row>
    <row r="9035" spans="18:18" s="2" customFormat="1" ht="12.75" x14ac:dyDescent="0.2">
      <c r="R9035" s="1288"/>
    </row>
    <row r="9036" spans="18:18" s="2" customFormat="1" ht="12.75" x14ac:dyDescent="0.2">
      <c r="R9036" s="1288"/>
    </row>
    <row r="9037" spans="18:18" s="2" customFormat="1" ht="12.75" x14ac:dyDescent="0.2">
      <c r="R9037" s="1288"/>
    </row>
    <row r="9038" spans="18:18" s="2" customFormat="1" ht="12.75" x14ac:dyDescent="0.2">
      <c r="R9038" s="1288"/>
    </row>
    <row r="9039" spans="18:18" s="2" customFormat="1" ht="12.75" x14ac:dyDescent="0.2">
      <c r="R9039" s="1288"/>
    </row>
    <row r="9040" spans="18:18" s="2" customFormat="1" ht="12.75" x14ac:dyDescent="0.2">
      <c r="R9040" s="1288"/>
    </row>
    <row r="9041" spans="18:18" s="2" customFormat="1" ht="12.75" x14ac:dyDescent="0.2">
      <c r="R9041" s="1288"/>
    </row>
    <row r="9042" spans="18:18" s="2" customFormat="1" ht="12.75" x14ac:dyDescent="0.2">
      <c r="R9042" s="1288"/>
    </row>
    <row r="9043" spans="18:18" s="2" customFormat="1" ht="12.75" x14ac:dyDescent="0.2">
      <c r="R9043" s="1288"/>
    </row>
    <row r="9044" spans="18:18" s="2" customFormat="1" ht="12.75" x14ac:dyDescent="0.2">
      <c r="R9044" s="1288"/>
    </row>
    <row r="9045" spans="18:18" s="2" customFormat="1" ht="12.75" x14ac:dyDescent="0.2">
      <c r="R9045" s="1288"/>
    </row>
    <row r="9046" spans="18:18" s="2" customFormat="1" ht="12.75" x14ac:dyDescent="0.2">
      <c r="R9046" s="1288"/>
    </row>
    <row r="9047" spans="18:18" s="2" customFormat="1" ht="12.75" x14ac:dyDescent="0.2">
      <c r="R9047" s="1288"/>
    </row>
    <row r="9048" spans="18:18" s="2" customFormat="1" ht="12.75" x14ac:dyDescent="0.2">
      <c r="R9048" s="1288"/>
    </row>
    <row r="9049" spans="18:18" s="2" customFormat="1" ht="12.75" x14ac:dyDescent="0.2">
      <c r="R9049" s="1288"/>
    </row>
    <row r="9050" spans="18:18" s="2" customFormat="1" ht="12.75" x14ac:dyDescent="0.2">
      <c r="R9050" s="1288"/>
    </row>
    <row r="9051" spans="18:18" s="2" customFormat="1" ht="12.75" x14ac:dyDescent="0.2">
      <c r="R9051" s="1288"/>
    </row>
    <row r="9052" spans="18:18" s="2" customFormat="1" ht="12.75" x14ac:dyDescent="0.2">
      <c r="R9052" s="1288"/>
    </row>
    <row r="9053" spans="18:18" s="2" customFormat="1" ht="12.75" x14ac:dyDescent="0.2">
      <c r="R9053" s="1288"/>
    </row>
    <row r="9054" spans="18:18" s="2" customFormat="1" ht="12.75" x14ac:dyDescent="0.2">
      <c r="R9054" s="1288"/>
    </row>
    <row r="9055" spans="18:18" s="2" customFormat="1" ht="12.75" x14ac:dyDescent="0.2">
      <c r="R9055" s="1288"/>
    </row>
    <row r="9056" spans="18:18" s="2" customFormat="1" ht="12.75" x14ac:dyDescent="0.2">
      <c r="R9056" s="1288"/>
    </row>
    <row r="9057" spans="18:18" s="2" customFormat="1" ht="12.75" x14ac:dyDescent="0.2">
      <c r="R9057" s="1288"/>
    </row>
    <row r="9058" spans="18:18" s="2" customFormat="1" ht="12.75" x14ac:dyDescent="0.2">
      <c r="R9058" s="1288"/>
    </row>
    <row r="9059" spans="18:18" s="2" customFormat="1" ht="12.75" x14ac:dyDescent="0.2">
      <c r="R9059" s="1288"/>
    </row>
    <row r="9060" spans="18:18" s="2" customFormat="1" ht="12.75" x14ac:dyDescent="0.2">
      <c r="R9060" s="1288"/>
    </row>
    <row r="9061" spans="18:18" s="2" customFormat="1" ht="12.75" x14ac:dyDescent="0.2">
      <c r="R9061" s="1288"/>
    </row>
    <row r="9062" spans="18:18" s="2" customFormat="1" ht="12.75" x14ac:dyDescent="0.2">
      <c r="R9062" s="1288"/>
    </row>
    <row r="9063" spans="18:18" s="2" customFormat="1" ht="12.75" x14ac:dyDescent="0.2">
      <c r="R9063" s="1288"/>
    </row>
    <row r="9064" spans="18:18" s="2" customFormat="1" ht="12.75" x14ac:dyDescent="0.2">
      <c r="R9064" s="1288"/>
    </row>
    <row r="9065" spans="18:18" s="2" customFormat="1" ht="12.75" x14ac:dyDescent="0.2">
      <c r="R9065" s="1288"/>
    </row>
    <row r="9066" spans="18:18" s="2" customFormat="1" ht="12.75" x14ac:dyDescent="0.2">
      <c r="R9066" s="1288"/>
    </row>
    <row r="9067" spans="18:18" s="2" customFormat="1" ht="12.75" x14ac:dyDescent="0.2">
      <c r="R9067" s="1288"/>
    </row>
    <row r="9068" spans="18:18" s="2" customFormat="1" ht="12.75" x14ac:dyDescent="0.2">
      <c r="R9068" s="1288"/>
    </row>
    <row r="9069" spans="18:18" s="2" customFormat="1" ht="12.75" x14ac:dyDescent="0.2">
      <c r="R9069" s="1288"/>
    </row>
    <row r="9070" spans="18:18" s="2" customFormat="1" ht="12.75" x14ac:dyDescent="0.2">
      <c r="R9070" s="1288"/>
    </row>
    <row r="9071" spans="18:18" s="2" customFormat="1" ht="12.75" x14ac:dyDescent="0.2">
      <c r="R9071" s="1288"/>
    </row>
    <row r="9072" spans="18:18" s="2" customFormat="1" ht="12.75" x14ac:dyDescent="0.2">
      <c r="R9072" s="1288"/>
    </row>
    <row r="9073" spans="18:18" s="2" customFormat="1" ht="12.75" x14ac:dyDescent="0.2">
      <c r="R9073" s="1288"/>
    </row>
    <row r="9074" spans="18:18" s="2" customFormat="1" ht="12.75" x14ac:dyDescent="0.2">
      <c r="R9074" s="1288"/>
    </row>
    <row r="9075" spans="18:18" s="2" customFormat="1" ht="12.75" x14ac:dyDescent="0.2">
      <c r="R9075" s="1288"/>
    </row>
    <row r="9076" spans="18:18" s="2" customFormat="1" ht="12.75" x14ac:dyDescent="0.2">
      <c r="R9076" s="1288"/>
    </row>
    <row r="9077" spans="18:18" s="2" customFormat="1" ht="12.75" x14ac:dyDescent="0.2">
      <c r="R9077" s="1288"/>
    </row>
    <row r="9078" spans="18:18" s="2" customFormat="1" ht="12.75" x14ac:dyDescent="0.2">
      <c r="R9078" s="1288"/>
    </row>
    <row r="9079" spans="18:18" s="2" customFormat="1" ht="12.75" x14ac:dyDescent="0.2">
      <c r="R9079" s="1288"/>
    </row>
    <row r="9080" spans="18:18" s="2" customFormat="1" ht="12.75" x14ac:dyDescent="0.2">
      <c r="R9080" s="1288"/>
    </row>
    <row r="9081" spans="18:18" s="2" customFormat="1" ht="12.75" x14ac:dyDescent="0.2">
      <c r="R9081" s="1288"/>
    </row>
    <row r="9082" spans="18:18" s="2" customFormat="1" ht="12.75" x14ac:dyDescent="0.2">
      <c r="R9082" s="1288"/>
    </row>
    <row r="9083" spans="18:18" s="2" customFormat="1" ht="12.75" x14ac:dyDescent="0.2">
      <c r="R9083" s="1288"/>
    </row>
    <row r="9084" spans="18:18" s="2" customFormat="1" ht="12.75" x14ac:dyDescent="0.2">
      <c r="R9084" s="1288"/>
    </row>
    <row r="9085" spans="18:18" s="2" customFormat="1" ht="12.75" x14ac:dyDescent="0.2">
      <c r="R9085" s="1288"/>
    </row>
    <row r="9086" spans="18:18" s="2" customFormat="1" ht="12.75" x14ac:dyDescent="0.2">
      <c r="R9086" s="1288"/>
    </row>
    <row r="9087" spans="18:18" s="2" customFormat="1" ht="12.75" x14ac:dyDescent="0.2">
      <c r="R9087" s="1288"/>
    </row>
    <row r="9088" spans="18:18" s="2" customFormat="1" ht="12.75" x14ac:dyDescent="0.2">
      <c r="R9088" s="1288"/>
    </row>
    <row r="9089" spans="18:18" s="2" customFormat="1" ht="12.75" x14ac:dyDescent="0.2">
      <c r="R9089" s="1288"/>
    </row>
    <row r="9090" spans="18:18" s="2" customFormat="1" ht="12.75" x14ac:dyDescent="0.2">
      <c r="R9090" s="1288"/>
    </row>
    <row r="9091" spans="18:18" s="2" customFormat="1" ht="12.75" x14ac:dyDescent="0.2">
      <c r="R9091" s="1288"/>
    </row>
    <row r="9092" spans="18:18" s="2" customFormat="1" ht="12.75" x14ac:dyDescent="0.2">
      <c r="R9092" s="1288"/>
    </row>
    <row r="9093" spans="18:18" s="2" customFormat="1" ht="12.75" x14ac:dyDescent="0.2">
      <c r="R9093" s="1288"/>
    </row>
    <row r="9094" spans="18:18" s="2" customFormat="1" ht="12.75" x14ac:dyDescent="0.2">
      <c r="R9094" s="1288"/>
    </row>
    <row r="9095" spans="18:18" s="2" customFormat="1" ht="12.75" x14ac:dyDescent="0.2">
      <c r="R9095" s="1288"/>
    </row>
    <row r="9096" spans="18:18" s="2" customFormat="1" ht="12.75" x14ac:dyDescent="0.2">
      <c r="R9096" s="1288"/>
    </row>
    <row r="9097" spans="18:18" s="2" customFormat="1" ht="12.75" x14ac:dyDescent="0.2">
      <c r="R9097" s="1288"/>
    </row>
    <row r="9098" spans="18:18" s="2" customFormat="1" ht="12.75" x14ac:dyDescent="0.2">
      <c r="R9098" s="1288"/>
    </row>
    <row r="9099" spans="18:18" s="2" customFormat="1" ht="12.75" x14ac:dyDescent="0.2">
      <c r="R9099" s="1288"/>
    </row>
    <row r="9100" spans="18:18" s="2" customFormat="1" ht="12.75" x14ac:dyDescent="0.2">
      <c r="R9100" s="1288"/>
    </row>
    <row r="9101" spans="18:18" s="2" customFormat="1" ht="12.75" x14ac:dyDescent="0.2">
      <c r="R9101" s="1288"/>
    </row>
    <row r="9102" spans="18:18" s="2" customFormat="1" ht="12.75" x14ac:dyDescent="0.2">
      <c r="R9102" s="1288"/>
    </row>
    <row r="9103" spans="18:18" s="2" customFormat="1" ht="12.75" x14ac:dyDescent="0.2">
      <c r="R9103" s="1288"/>
    </row>
    <row r="9104" spans="18:18" s="2" customFormat="1" ht="12.75" x14ac:dyDescent="0.2">
      <c r="R9104" s="1288"/>
    </row>
    <row r="9105" spans="18:18" s="2" customFormat="1" ht="12.75" x14ac:dyDescent="0.2">
      <c r="R9105" s="1288"/>
    </row>
    <row r="9106" spans="18:18" s="2" customFormat="1" ht="12.75" x14ac:dyDescent="0.2">
      <c r="R9106" s="1288"/>
    </row>
    <row r="9107" spans="18:18" s="2" customFormat="1" ht="12.75" x14ac:dyDescent="0.2">
      <c r="R9107" s="1288"/>
    </row>
    <row r="9108" spans="18:18" s="2" customFormat="1" ht="12.75" x14ac:dyDescent="0.2">
      <c r="R9108" s="1288"/>
    </row>
    <row r="9109" spans="18:18" s="2" customFormat="1" ht="12.75" x14ac:dyDescent="0.2">
      <c r="R9109" s="1288"/>
    </row>
    <row r="9110" spans="18:18" s="2" customFormat="1" ht="12.75" x14ac:dyDescent="0.2">
      <c r="R9110" s="1288"/>
    </row>
    <row r="9111" spans="18:18" s="2" customFormat="1" ht="12.75" x14ac:dyDescent="0.2">
      <c r="R9111" s="1288"/>
    </row>
    <row r="9112" spans="18:18" s="2" customFormat="1" ht="12.75" x14ac:dyDescent="0.2">
      <c r="R9112" s="1288"/>
    </row>
    <row r="9113" spans="18:18" s="2" customFormat="1" ht="12.75" x14ac:dyDescent="0.2">
      <c r="R9113" s="1288"/>
    </row>
    <row r="9114" spans="18:18" s="2" customFormat="1" ht="12.75" x14ac:dyDescent="0.2">
      <c r="R9114" s="1288"/>
    </row>
    <row r="9115" spans="18:18" s="2" customFormat="1" ht="12.75" x14ac:dyDescent="0.2">
      <c r="R9115" s="1288"/>
    </row>
    <row r="9116" spans="18:18" s="2" customFormat="1" ht="12.75" x14ac:dyDescent="0.2">
      <c r="R9116" s="1288"/>
    </row>
    <row r="9117" spans="18:18" s="2" customFormat="1" ht="12.75" x14ac:dyDescent="0.2">
      <c r="R9117" s="1288"/>
    </row>
    <row r="9118" spans="18:18" s="2" customFormat="1" ht="12.75" x14ac:dyDescent="0.2">
      <c r="R9118" s="1288"/>
    </row>
    <row r="9119" spans="18:18" s="2" customFormat="1" ht="12.75" x14ac:dyDescent="0.2">
      <c r="R9119" s="1288"/>
    </row>
    <row r="9120" spans="18:18" s="2" customFormat="1" ht="12.75" x14ac:dyDescent="0.2">
      <c r="R9120" s="1288"/>
    </row>
    <row r="9121" spans="18:18" s="2" customFormat="1" ht="12.75" x14ac:dyDescent="0.2">
      <c r="R9121" s="1288"/>
    </row>
    <row r="9122" spans="18:18" s="2" customFormat="1" ht="12.75" x14ac:dyDescent="0.2">
      <c r="R9122" s="1288"/>
    </row>
    <row r="9123" spans="18:18" s="2" customFormat="1" ht="12.75" x14ac:dyDescent="0.2">
      <c r="R9123" s="1288"/>
    </row>
    <row r="9124" spans="18:18" s="2" customFormat="1" ht="12.75" x14ac:dyDescent="0.2">
      <c r="R9124" s="1288"/>
    </row>
    <row r="9125" spans="18:18" s="2" customFormat="1" ht="12.75" x14ac:dyDescent="0.2">
      <c r="R9125" s="1288"/>
    </row>
    <row r="9126" spans="18:18" s="2" customFormat="1" ht="12.75" x14ac:dyDescent="0.2">
      <c r="R9126" s="1288"/>
    </row>
    <row r="9127" spans="18:18" s="2" customFormat="1" ht="12.75" x14ac:dyDescent="0.2">
      <c r="R9127" s="1288"/>
    </row>
    <row r="9128" spans="18:18" s="2" customFormat="1" ht="12.75" x14ac:dyDescent="0.2">
      <c r="R9128" s="1288"/>
    </row>
    <row r="9129" spans="18:18" s="2" customFormat="1" ht="12.75" x14ac:dyDescent="0.2">
      <c r="R9129" s="1288"/>
    </row>
    <row r="9130" spans="18:18" s="2" customFormat="1" ht="12.75" x14ac:dyDescent="0.2">
      <c r="R9130" s="1288"/>
    </row>
    <row r="9131" spans="18:18" s="2" customFormat="1" ht="12.75" x14ac:dyDescent="0.2">
      <c r="R9131" s="1288"/>
    </row>
    <row r="9132" spans="18:18" s="2" customFormat="1" ht="12.75" x14ac:dyDescent="0.2">
      <c r="R9132" s="1288"/>
    </row>
    <row r="9133" spans="18:18" s="2" customFormat="1" ht="12.75" x14ac:dyDescent="0.2">
      <c r="R9133" s="1288"/>
    </row>
    <row r="9134" spans="18:18" s="2" customFormat="1" ht="12.75" x14ac:dyDescent="0.2">
      <c r="R9134" s="1288"/>
    </row>
    <row r="9135" spans="18:18" s="2" customFormat="1" ht="12.75" x14ac:dyDescent="0.2">
      <c r="R9135" s="1288"/>
    </row>
    <row r="9136" spans="18:18" s="2" customFormat="1" ht="12.75" x14ac:dyDescent="0.2">
      <c r="R9136" s="1288"/>
    </row>
    <row r="9137" spans="18:18" s="2" customFormat="1" ht="12.75" x14ac:dyDescent="0.2">
      <c r="R9137" s="1288"/>
    </row>
    <row r="9138" spans="18:18" s="2" customFormat="1" ht="12.75" x14ac:dyDescent="0.2">
      <c r="R9138" s="1288"/>
    </row>
    <row r="9139" spans="18:18" s="2" customFormat="1" ht="12.75" x14ac:dyDescent="0.2">
      <c r="R9139" s="1288"/>
    </row>
    <row r="9140" spans="18:18" s="2" customFormat="1" ht="12.75" x14ac:dyDescent="0.2">
      <c r="R9140" s="1288"/>
    </row>
    <row r="9141" spans="18:18" s="2" customFormat="1" ht="12.75" x14ac:dyDescent="0.2">
      <c r="R9141" s="1288"/>
    </row>
    <row r="9142" spans="18:18" s="2" customFormat="1" ht="12.75" x14ac:dyDescent="0.2">
      <c r="R9142" s="1288"/>
    </row>
    <row r="9143" spans="18:18" s="2" customFormat="1" ht="12.75" x14ac:dyDescent="0.2">
      <c r="R9143" s="1288"/>
    </row>
    <row r="9144" spans="18:18" s="2" customFormat="1" ht="12.75" x14ac:dyDescent="0.2">
      <c r="R9144" s="1288"/>
    </row>
    <row r="9145" spans="18:18" s="2" customFormat="1" ht="12.75" x14ac:dyDescent="0.2">
      <c r="R9145" s="1288"/>
    </row>
    <row r="9146" spans="18:18" s="2" customFormat="1" ht="12.75" x14ac:dyDescent="0.2">
      <c r="R9146" s="1288"/>
    </row>
    <row r="9147" spans="18:18" s="2" customFormat="1" ht="12.75" x14ac:dyDescent="0.2">
      <c r="R9147" s="1288"/>
    </row>
    <row r="9148" spans="18:18" s="2" customFormat="1" ht="12.75" x14ac:dyDescent="0.2">
      <c r="R9148" s="1288"/>
    </row>
    <row r="9149" spans="18:18" s="2" customFormat="1" ht="12.75" x14ac:dyDescent="0.2">
      <c r="R9149" s="1288"/>
    </row>
    <row r="9150" spans="18:18" s="2" customFormat="1" ht="12.75" x14ac:dyDescent="0.2">
      <c r="R9150" s="1288"/>
    </row>
    <row r="9151" spans="18:18" s="2" customFormat="1" ht="12.75" x14ac:dyDescent="0.2">
      <c r="R9151" s="1288"/>
    </row>
    <row r="9152" spans="18:18" s="2" customFormat="1" ht="12.75" x14ac:dyDescent="0.2">
      <c r="R9152" s="1288"/>
    </row>
    <row r="9153" spans="18:18" s="2" customFormat="1" ht="12.75" x14ac:dyDescent="0.2">
      <c r="R9153" s="1288"/>
    </row>
    <row r="9154" spans="18:18" s="2" customFormat="1" ht="12.75" x14ac:dyDescent="0.2">
      <c r="R9154" s="1288"/>
    </row>
    <row r="9155" spans="18:18" s="2" customFormat="1" ht="12.75" x14ac:dyDescent="0.2">
      <c r="R9155" s="1288"/>
    </row>
    <row r="9156" spans="18:18" s="2" customFormat="1" ht="12.75" x14ac:dyDescent="0.2">
      <c r="R9156" s="1288"/>
    </row>
    <row r="9157" spans="18:18" s="2" customFormat="1" ht="12.75" x14ac:dyDescent="0.2">
      <c r="R9157" s="1288"/>
    </row>
    <row r="9158" spans="18:18" s="2" customFormat="1" ht="12.75" x14ac:dyDescent="0.2">
      <c r="R9158" s="1288"/>
    </row>
    <row r="9159" spans="18:18" s="2" customFormat="1" ht="12.75" x14ac:dyDescent="0.2">
      <c r="R9159" s="1288"/>
    </row>
    <row r="9160" spans="18:18" s="2" customFormat="1" ht="12.75" x14ac:dyDescent="0.2">
      <c r="R9160" s="1288"/>
    </row>
    <row r="9161" spans="18:18" s="2" customFormat="1" ht="12.75" x14ac:dyDescent="0.2">
      <c r="R9161" s="1288"/>
    </row>
    <row r="9162" spans="18:18" s="2" customFormat="1" ht="12.75" x14ac:dyDescent="0.2">
      <c r="R9162" s="1288"/>
    </row>
    <row r="9163" spans="18:18" s="2" customFormat="1" ht="12.75" x14ac:dyDescent="0.2">
      <c r="R9163" s="1288"/>
    </row>
    <row r="9164" spans="18:18" s="2" customFormat="1" ht="12.75" x14ac:dyDescent="0.2">
      <c r="R9164" s="1288"/>
    </row>
    <row r="9165" spans="18:18" s="2" customFormat="1" ht="12.75" x14ac:dyDescent="0.2">
      <c r="R9165" s="1288"/>
    </row>
    <row r="9166" spans="18:18" s="2" customFormat="1" ht="12.75" x14ac:dyDescent="0.2">
      <c r="R9166" s="1288"/>
    </row>
    <row r="9167" spans="18:18" s="2" customFormat="1" ht="12.75" x14ac:dyDescent="0.2">
      <c r="R9167" s="1288"/>
    </row>
    <row r="9168" spans="18:18" s="2" customFormat="1" ht="12.75" x14ac:dyDescent="0.2">
      <c r="R9168" s="1288"/>
    </row>
    <row r="9169" spans="18:18" s="2" customFormat="1" ht="12.75" x14ac:dyDescent="0.2">
      <c r="R9169" s="1288"/>
    </row>
    <row r="9170" spans="18:18" s="2" customFormat="1" ht="12.75" x14ac:dyDescent="0.2">
      <c r="R9170" s="1288"/>
    </row>
    <row r="9171" spans="18:18" s="2" customFormat="1" ht="12.75" x14ac:dyDescent="0.2">
      <c r="R9171" s="1288"/>
    </row>
    <row r="9172" spans="18:18" s="2" customFormat="1" ht="12.75" x14ac:dyDescent="0.2">
      <c r="R9172" s="1288"/>
    </row>
    <row r="9173" spans="18:18" s="2" customFormat="1" ht="12.75" x14ac:dyDescent="0.2">
      <c r="R9173" s="1288"/>
    </row>
    <row r="9174" spans="18:18" s="2" customFormat="1" ht="12.75" x14ac:dyDescent="0.2">
      <c r="R9174" s="1288"/>
    </row>
    <row r="9175" spans="18:18" s="2" customFormat="1" ht="12.75" x14ac:dyDescent="0.2">
      <c r="R9175" s="1288"/>
    </row>
    <row r="9176" spans="18:18" s="2" customFormat="1" ht="12.75" x14ac:dyDescent="0.2">
      <c r="R9176" s="1288"/>
    </row>
    <row r="9177" spans="18:18" s="2" customFormat="1" ht="12.75" x14ac:dyDescent="0.2">
      <c r="R9177" s="1288"/>
    </row>
    <row r="9178" spans="18:18" s="2" customFormat="1" ht="12.75" x14ac:dyDescent="0.2">
      <c r="R9178" s="1288"/>
    </row>
    <row r="9179" spans="18:18" s="2" customFormat="1" ht="12.75" x14ac:dyDescent="0.2">
      <c r="R9179" s="1288"/>
    </row>
    <row r="9180" spans="18:18" s="2" customFormat="1" ht="12.75" x14ac:dyDescent="0.2">
      <c r="R9180" s="1288"/>
    </row>
    <row r="9181" spans="18:18" s="2" customFormat="1" ht="12.75" x14ac:dyDescent="0.2">
      <c r="R9181" s="1288"/>
    </row>
    <row r="9182" spans="18:18" s="2" customFormat="1" ht="12.75" x14ac:dyDescent="0.2">
      <c r="R9182" s="1288"/>
    </row>
    <row r="9183" spans="18:18" s="2" customFormat="1" ht="12.75" x14ac:dyDescent="0.2">
      <c r="R9183" s="1288"/>
    </row>
    <row r="9184" spans="18:18" s="2" customFormat="1" ht="12.75" x14ac:dyDescent="0.2">
      <c r="R9184" s="1288"/>
    </row>
    <row r="9185" spans="18:18" s="2" customFormat="1" ht="12.75" x14ac:dyDescent="0.2">
      <c r="R9185" s="1288"/>
    </row>
    <row r="9186" spans="18:18" s="2" customFormat="1" ht="12.75" x14ac:dyDescent="0.2">
      <c r="R9186" s="1288"/>
    </row>
    <row r="9187" spans="18:18" s="2" customFormat="1" ht="12.75" x14ac:dyDescent="0.2">
      <c r="R9187" s="1288"/>
    </row>
    <row r="9188" spans="18:18" s="2" customFormat="1" ht="12.75" x14ac:dyDescent="0.2">
      <c r="R9188" s="1288"/>
    </row>
    <row r="9189" spans="18:18" s="2" customFormat="1" ht="12.75" x14ac:dyDescent="0.2">
      <c r="R9189" s="1288"/>
    </row>
    <row r="9190" spans="18:18" s="2" customFormat="1" ht="12.75" x14ac:dyDescent="0.2">
      <c r="R9190" s="1288"/>
    </row>
    <row r="9191" spans="18:18" s="2" customFormat="1" ht="12.75" x14ac:dyDescent="0.2">
      <c r="R9191" s="1288"/>
    </row>
    <row r="9192" spans="18:18" s="2" customFormat="1" ht="12.75" x14ac:dyDescent="0.2">
      <c r="R9192" s="1288"/>
    </row>
    <row r="9193" spans="18:18" s="2" customFormat="1" ht="12.75" x14ac:dyDescent="0.2">
      <c r="R9193" s="1288"/>
    </row>
    <row r="9194" spans="18:18" s="2" customFormat="1" ht="12.75" x14ac:dyDescent="0.2">
      <c r="R9194" s="1288"/>
    </row>
    <row r="9195" spans="18:18" s="2" customFormat="1" ht="12.75" x14ac:dyDescent="0.2">
      <c r="R9195" s="1288"/>
    </row>
    <row r="9196" spans="18:18" s="2" customFormat="1" ht="12.75" x14ac:dyDescent="0.2">
      <c r="R9196" s="1288"/>
    </row>
    <row r="9197" spans="18:18" s="2" customFormat="1" ht="12.75" x14ac:dyDescent="0.2">
      <c r="R9197" s="1288"/>
    </row>
    <row r="9198" spans="18:18" s="2" customFormat="1" ht="12.75" x14ac:dyDescent="0.2">
      <c r="R9198" s="1288"/>
    </row>
    <row r="9199" spans="18:18" s="2" customFormat="1" ht="12.75" x14ac:dyDescent="0.2">
      <c r="R9199" s="1288"/>
    </row>
    <row r="9200" spans="18:18" s="2" customFormat="1" ht="12.75" x14ac:dyDescent="0.2">
      <c r="R9200" s="1288"/>
    </row>
    <row r="9201" spans="18:18" s="2" customFormat="1" ht="12.75" x14ac:dyDescent="0.2">
      <c r="R9201" s="1288"/>
    </row>
    <row r="9202" spans="18:18" s="2" customFormat="1" ht="12.75" x14ac:dyDescent="0.2">
      <c r="R9202" s="1288"/>
    </row>
    <row r="9203" spans="18:18" s="2" customFormat="1" ht="12.75" x14ac:dyDescent="0.2">
      <c r="R9203" s="1288"/>
    </row>
    <row r="9204" spans="18:18" s="2" customFormat="1" ht="12.75" x14ac:dyDescent="0.2">
      <c r="R9204" s="1288"/>
    </row>
    <row r="9205" spans="18:18" s="2" customFormat="1" ht="12.75" x14ac:dyDescent="0.2">
      <c r="R9205" s="1288"/>
    </row>
    <row r="9206" spans="18:18" s="2" customFormat="1" ht="12.75" x14ac:dyDescent="0.2">
      <c r="R9206" s="1288"/>
    </row>
    <row r="9207" spans="18:18" s="2" customFormat="1" ht="12.75" x14ac:dyDescent="0.2">
      <c r="R9207" s="1288"/>
    </row>
    <row r="9208" spans="18:18" s="2" customFormat="1" ht="12.75" x14ac:dyDescent="0.2">
      <c r="R9208" s="1288"/>
    </row>
    <row r="9209" spans="18:18" s="2" customFormat="1" ht="12.75" x14ac:dyDescent="0.2">
      <c r="R9209" s="1288"/>
    </row>
    <row r="9210" spans="18:18" s="2" customFormat="1" ht="12.75" x14ac:dyDescent="0.2">
      <c r="R9210" s="1288"/>
    </row>
    <row r="9211" spans="18:18" s="2" customFormat="1" ht="12.75" x14ac:dyDescent="0.2">
      <c r="R9211" s="1288"/>
    </row>
    <row r="9212" spans="18:18" s="2" customFormat="1" ht="12.75" x14ac:dyDescent="0.2">
      <c r="R9212" s="1288"/>
    </row>
    <row r="9213" spans="18:18" s="2" customFormat="1" ht="12.75" x14ac:dyDescent="0.2">
      <c r="R9213" s="1288"/>
    </row>
    <row r="9214" spans="18:18" s="2" customFormat="1" ht="12.75" x14ac:dyDescent="0.2">
      <c r="R9214" s="1288"/>
    </row>
    <row r="9215" spans="18:18" s="2" customFormat="1" ht="12.75" x14ac:dyDescent="0.2">
      <c r="R9215" s="1288"/>
    </row>
    <row r="9216" spans="18:18" s="2" customFormat="1" ht="12.75" x14ac:dyDescent="0.2">
      <c r="R9216" s="1288"/>
    </row>
    <row r="9217" spans="18:18" s="2" customFormat="1" ht="12.75" x14ac:dyDescent="0.2">
      <c r="R9217" s="1288"/>
    </row>
    <row r="9218" spans="18:18" s="2" customFormat="1" ht="12.75" x14ac:dyDescent="0.2">
      <c r="R9218" s="1288"/>
    </row>
    <row r="9219" spans="18:18" s="2" customFormat="1" ht="12.75" x14ac:dyDescent="0.2">
      <c r="R9219" s="1288"/>
    </row>
    <row r="9220" spans="18:18" s="2" customFormat="1" ht="12.75" x14ac:dyDescent="0.2">
      <c r="R9220" s="1288"/>
    </row>
    <row r="9221" spans="18:18" s="2" customFormat="1" ht="12.75" x14ac:dyDescent="0.2">
      <c r="R9221" s="1288"/>
    </row>
    <row r="9222" spans="18:18" s="2" customFormat="1" ht="12.75" x14ac:dyDescent="0.2">
      <c r="R9222" s="1288"/>
    </row>
    <row r="9223" spans="18:18" s="2" customFormat="1" ht="12.75" x14ac:dyDescent="0.2">
      <c r="R9223" s="1288"/>
    </row>
    <row r="9224" spans="18:18" s="2" customFormat="1" ht="12.75" x14ac:dyDescent="0.2">
      <c r="R9224" s="1288"/>
    </row>
    <row r="9225" spans="18:18" s="2" customFormat="1" ht="12.75" x14ac:dyDescent="0.2">
      <c r="R9225" s="1288"/>
    </row>
    <row r="9226" spans="18:18" s="2" customFormat="1" ht="12.75" x14ac:dyDescent="0.2">
      <c r="R9226" s="1288"/>
    </row>
    <row r="9227" spans="18:18" s="2" customFormat="1" ht="12.75" x14ac:dyDescent="0.2">
      <c r="R9227" s="1288"/>
    </row>
    <row r="9228" spans="18:18" s="2" customFormat="1" ht="12.75" x14ac:dyDescent="0.2">
      <c r="R9228" s="1288"/>
    </row>
    <row r="9229" spans="18:18" s="2" customFormat="1" ht="12.75" x14ac:dyDescent="0.2">
      <c r="R9229" s="1288"/>
    </row>
    <row r="9230" spans="18:18" s="2" customFormat="1" ht="12.75" x14ac:dyDescent="0.2">
      <c r="R9230" s="1288"/>
    </row>
    <row r="9231" spans="18:18" s="2" customFormat="1" ht="12.75" x14ac:dyDescent="0.2">
      <c r="R9231" s="1288"/>
    </row>
    <row r="9232" spans="18:18" s="2" customFormat="1" ht="12.75" x14ac:dyDescent="0.2">
      <c r="R9232" s="1288"/>
    </row>
    <row r="9233" spans="18:18" s="2" customFormat="1" ht="12.75" x14ac:dyDescent="0.2">
      <c r="R9233" s="1288"/>
    </row>
    <row r="9234" spans="18:18" s="2" customFormat="1" ht="12.75" x14ac:dyDescent="0.2">
      <c r="R9234" s="1288"/>
    </row>
    <row r="9235" spans="18:18" s="2" customFormat="1" ht="12.75" x14ac:dyDescent="0.2">
      <c r="R9235" s="1288"/>
    </row>
    <row r="9236" spans="18:18" s="2" customFormat="1" ht="12.75" x14ac:dyDescent="0.2">
      <c r="R9236" s="1288"/>
    </row>
    <row r="9237" spans="18:18" s="2" customFormat="1" ht="12.75" x14ac:dyDescent="0.2">
      <c r="R9237" s="1288"/>
    </row>
    <row r="9238" spans="18:18" s="2" customFormat="1" ht="12.75" x14ac:dyDescent="0.2">
      <c r="R9238" s="1288"/>
    </row>
    <row r="9239" spans="18:18" s="2" customFormat="1" ht="12.75" x14ac:dyDescent="0.2">
      <c r="R9239" s="1288"/>
    </row>
    <row r="9240" spans="18:18" s="2" customFormat="1" ht="12.75" x14ac:dyDescent="0.2">
      <c r="R9240" s="1288"/>
    </row>
    <row r="9241" spans="18:18" s="2" customFormat="1" ht="12.75" x14ac:dyDescent="0.2">
      <c r="R9241" s="1288"/>
    </row>
    <row r="9242" spans="18:18" s="2" customFormat="1" ht="12.75" x14ac:dyDescent="0.2">
      <c r="R9242" s="1288"/>
    </row>
    <row r="9243" spans="18:18" s="2" customFormat="1" ht="12.75" x14ac:dyDescent="0.2">
      <c r="R9243" s="1288"/>
    </row>
    <row r="9244" spans="18:18" s="2" customFormat="1" ht="12.75" x14ac:dyDescent="0.2">
      <c r="R9244" s="1288"/>
    </row>
    <row r="9245" spans="18:18" s="2" customFormat="1" ht="12.75" x14ac:dyDescent="0.2">
      <c r="R9245" s="1288"/>
    </row>
    <row r="9246" spans="18:18" s="2" customFormat="1" ht="12.75" x14ac:dyDescent="0.2">
      <c r="R9246" s="1288"/>
    </row>
    <row r="9247" spans="18:18" s="2" customFormat="1" ht="12.75" x14ac:dyDescent="0.2">
      <c r="R9247" s="1288"/>
    </row>
    <row r="9248" spans="18:18" s="2" customFormat="1" ht="12.75" x14ac:dyDescent="0.2">
      <c r="R9248" s="1288"/>
    </row>
    <row r="9249" spans="18:18" s="2" customFormat="1" ht="12.75" x14ac:dyDescent="0.2">
      <c r="R9249" s="1288"/>
    </row>
    <row r="9250" spans="18:18" s="2" customFormat="1" ht="12.75" x14ac:dyDescent="0.2">
      <c r="R9250" s="1288"/>
    </row>
    <row r="9251" spans="18:18" s="2" customFormat="1" ht="12.75" x14ac:dyDescent="0.2">
      <c r="R9251" s="1288"/>
    </row>
    <row r="9252" spans="18:18" s="2" customFormat="1" ht="12.75" x14ac:dyDescent="0.2">
      <c r="R9252" s="1288"/>
    </row>
    <row r="9253" spans="18:18" s="2" customFormat="1" ht="12.75" x14ac:dyDescent="0.2">
      <c r="R9253" s="1288"/>
    </row>
    <row r="9254" spans="18:18" s="2" customFormat="1" ht="12.75" x14ac:dyDescent="0.2">
      <c r="R9254" s="1288"/>
    </row>
    <row r="9255" spans="18:18" s="2" customFormat="1" ht="12.75" x14ac:dyDescent="0.2">
      <c r="R9255" s="1288"/>
    </row>
    <row r="9256" spans="18:18" s="2" customFormat="1" ht="12.75" x14ac:dyDescent="0.2">
      <c r="R9256" s="1288"/>
    </row>
    <row r="9257" spans="18:18" s="2" customFormat="1" ht="12.75" x14ac:dyDescent="0.2">
      <c r="R9257" s="1288"/>
    </row>
    <row r="9258" spans="18:18" s="2" customFormat="1" ht="12.75" x14ac:dyDescent="0.2">
      <c r="R9258" s="1288"/>
    </row>
    <row r="9259" spans="18:18" s="2" customFormat="1" ht="12.75" x14ac:dyDescent="0.2">
      <c r="R9259" s="1288"/>
    </row>
    <row r="9260" spans="18:18" s="2" customFormat="1" ht="12.75" x14ac:dyDescent="0.2">
      <c r="R9260" s="1288"/>
    </row>
    <row r="9261" spans="18:18" s="2" customFormat="1" ht="12.75" x14ac:dyDescent="0.2">
      <c r="R9261" s="1288"/>
    </row>
    <row r="9262" spans="18:18" s="2" customFormat="1" ht="12.75" x14ac:dyDescent="0.2">
      <c r="R9262" s="1288"/>
    </row>
    <row r="9263" spans="18:18" s="2" customFormat="1" ht="12.75" x14ac:dyDescent="0.2">
      <c r="R9263" s="1288"/>
    </row>
    <row r="9264" spans="18:18" s="2" customFormat="1" ht="12.75" x14ac:dyDescent="0.2">
      <c r="R9264" s="1288"/>
    </row>
    <row r="9265" spans="18:18" s="2" customFormat="1" ht="12.75" x14ac:dyDescent="0.2">
      <c r="R9265" s="1288"/>
    </row>
    <row r="9266" spans="18:18" s="2" customFormat="1" ht="12.75" x14ac:dyDescent="0.2">
      <c r="R9266" s="1288"/>
    </row>
    <row r="9267" spans="18:18" s="2" customFormat="1" ht="12.75" x14ac:dyDescent="0.2">
      <c r="R9267" s="1288"/>
    </row>
    <row r="9268" spans="18:18" s="2" customFormat="1" ht="12.75" x14ac:dyDescent="0.2">
      <c r="R9268" s="1288"/>
    </row>
    <row r="9269" spans="18:18" s="2" customFormat="1" ht="12.75" x14ac:dyDescent="0.2">
      <c r="R9269" s="1288"/>
    </row>
    <row r="9270" spans="18:18" s="2" customFormat="1" ht="12.75" x14ac:dyDescent="0.2">
      <c r="R9270" s="1288"/>
    </row>
    <row r="9271" spans="18:18" s="2" customFormat="1" ht="12.75" x14ac:dyDescent="0.2">
      <c r="R9271" s="1288"/>
    </row>
    <row r="9272" spans="18:18" s="2" customFormat="1" ht="12.75" x14ac:dyDescent="0.2">
      <c r="R9272" s="1288"/>
    </row>
    <row r="9273" spans="18:18" s="2" customFormat="1" ht="12.75" x14ac:dyDescent="0.2">
      <c r="R9273" s="1288"/>
    </row>
    <row r="9274" spans="18:18" s="2" customFormat="1" ht="12.75" x14ac:dyDescent="0.2">
      <c r="R9274" s="1288"/>
    </row>
    <row r="9275" spans="18:18" s="2" customFormat="1" ht="12.75" x14ac:dyDescent="0.2">
      <c r="R9275" s="1288"/>
    </row>
    <row r="9276" spans="18:18" s="2" customFormat="1" ht="12.75" x14ac:dyDescent="0.2">
      <c r="R9276" s="1288"/>
    </row>
    <row r="9277" spans="18:18" s="2" customFormat="1" ht="12.75" x14ac:dyDescent="0.2">
      <c r="R9277" s="1288"/>
    </row>
    <row r="9278" spans="18:18" s="2" customFormat="1" ht="12.75" x14ac:dyDescent="0.2">
      <c r="R9278" s="1288"/>
    </row>
    <row r="9279" spans="18:18" s="2" customFormat="1" ht="12.75" x14ac:dyDescent="0.2">
      <c r="R9279" s="1288"/>
    </row>
    <row r="9280" spans="18:18" s="2" customFormat="1" ht="12.75" x14ac:dyDescent="0.2">
      <c r="R9280" s="1288"/>
    </row>
    <row r="9281" spans="18:18" s="2" customFormat="1" ht="12.75" x14ac:dyDescent="0.2">
      <c r="R9281" s="1288"/>
    </row>
    <row r="9282" spans="18:18" s="2" customFormat="1" ht="12.75" x14ac:dyDescent="0.2">
      <c r="R9282" s="1288"/>
    </row>
    <row r="9283" spans="18:18" s="2" customFormat="1" ht="12.75" x14ac:dyDescent="0.2">
      <c r="R9283" s="1288"/>
    </row>
    <row r="9284" spans="18:18" s="2" customFormat="1" ht="12.75" x14ac:dyDescent="0.2">
      <c r="R9284" s="1288"/>
    </row>
    <row r="9285" spans="18:18" s="2" customFormat="1" ht="12.75" x14ac:dyDescent="0.2">
      <c r="R9285" s="1288"/>
    </row>
    <row r="9286" spans="18:18" s="2" customFormat="1" ht="12.75" x14ac:dyDescent="0.2">
      <c r="R9286" s="1288"/>
    </row>
    <row r="9287" spans="18:18" s="2" customFormat="1" ht="12.75" x14ac:dyDescent="0.2">
      <c r="R9287" s="1288"/>
    </row>
    <row r="9288" spans="18:18" s="2" customFormat="1" ht="12.75" x14ac:dyDescent="0.2">
      <c r="R9288" s="1288"/>
    </row>
    <row r="9289" spans="18:18" s="2" customFormat="1" ht="12.75" x14ac:dyDescent="0.2">
      <c r="R9289" s="1288"/>
    </row>
    <row r="9290" spans="18:18" s="2" customFormat="1" ht="12.75" x14ac:dyDescent="0.2">
      <c r="R9290" s="1288"/>
    </row>
    <row r="9291" spans="18:18" s="2" customFormat="1" ht="12.75" x14ac:dyDescent="0.2">
      <c r="R9291" s="1288"/>
    </row>
    <row r="9292" spans="18:18" s="2" customFormat="1" ht="12.75" x14ac:dyDescent="0.2">
      <c r="R9292" s="1288"/>
    </row>
    <row r="9293" spans="18:18" s="2" customFormat="1" ht="12.75" x14ac:dyDescent="0.2">
      <c r="R9293" s="1288"/>
    </row>
    <row r="9294" spans="18:18" s="2" customFormat="1" ht="12.75" x14ac:dyDescent="0.2">
      <c r="R9294" s="1288"/>
    </row>
    <row r="9295" spans="18:18" s="2" customFormat="1" ht="12.75" x14ac:dyDescent="0.2">
      <c r="R9295" s="1288"/>
    </row>
    <row r="9296" spans="18:18" s="2" customFormat="1" ht="12.75" x14ac:dyDescent="0.2">
      <c r="R9296" s="1288"/>
    </row>
    <row r="9297" spans="18:18" s="2" customFormat="1" ht="12.75" x14ac:dyDescent="0.2">
      <c r="R9297" s="1288"/>
    </row>
    <row r="9298" spans="18:18" s="2" customFormat="1" ht="12.75" x14ac:dyDescent="0.2">
      <c r="R9298" s="1288"/>
    </row>
    <row r="9299" spans="18:18" s="2" customFormat="1" ht="12.75" x14ac:dyDescent="0.2">
      <c r="R9299" s="1288"/>
    </row>
    <row r="9300" spans="18:18" s="2" customFormat="1" ht="12.75" x14ac:dyDescent="0.2">
      <c r="R9300" s="1288"/>
    </row>
    <row r="9301" spans="18:18" s="2" customFormat="1" ht="12.75" x14ac:dyDescent="0.2">
      <c r="R9301" s="1288"/>
    </row>
    <row r="9302" spans="18:18" s="2" customFormat="1" ht="12.75" x14ac:dyDescent="0.2">
      <c r="R9302" s="1288"/>
    </row>
    <row r="9303" spans="18:18" s="2" customFormat="1" ht="12.75" x14ac:dyDescent="0.2">
      <c r="R9303" s="1288"/>
    </row>
    <row r="9304" spans="18:18" s="2" customFormat="1" ht="12.75" x14ac:dyDescent="0.2">
      <c r="R9304" s="1288"/>
    </row>
    <row r="9305" spans="18:18" s="2" customFormat="1" ht="12.75" x14ac:dyDescent="0.2">
      <c r="R9305" s="1288"/>
    </row>
    <row r="9306" spans="18:18" s="2" customFormat="1" ht="12.75" x14ac:dyDescent="0.2">
      <c r="R9306" s="1288"/>
    </row>
    <row r="9307" spans="18:18" s="2" customFormat="1" ht="12.75" x14ac:dyDescent="0.2">
      <c r="R9307" s="1288"/>
    </row>
    <row r="9308" spans="18:18" s="2" customFormat="1" ht="12.75" x14ac:dyDescent="0.2">
      <c r="R9308" s="1288"/>
    </row>
    <row r="9309" spans="18:18" s="2" customFormat="1" ht="12.75" x14ac:dyDescent="0.2">
      <c r="R9309" s="1288"/>
    </row>
    <row r="9310" spans="18:18" s="2" customFormat="1" ht="12.75" x14ac:dyDescent="0.2">
      <c r="R9310" s="1288"/>
    </row>
    <row r="9311" spans="18:18" s="2" customFormat="1" ht="12.75" x14ac:dyDescent="0.2">
      <c r="R9311" s="1288"/>
    </row>
    <row r="9312" spans="18:18" s="2" customFormat="1" ht="12.75" x14ac:dyDescent="0.2">
      <c r="R9312" s="1288"/>
    </row>
    <row r="9313" spans="18:18" s="2" customFormat="1" ht="12.75" x14ac:dyDescent="0.2">
      <c r="R9313" s="1288"/>
    </row>
    <row r="9314" spans="18:18" s="2" customFormat="1" ht="12.75" x14ac:dyDescent="0.2">
      <c r="R9314" s="1288"/>
    </row>
    <row r="9315" spans="18:18" s="2" customFormat="1" ht="12.75" x14ac:dyDescent="0.2">
      <c r="R9315" s="1288"/>
    </row>
    <row r="9316" spans="18:18" s="2" customFormat="1" ht="12.75" x14ac:dyDescent="0.2">
      <c r="R9316" s="1288"/>
    </row>
    <row r="9317" spans="18:18" s="2" customFormat="1" ht="12.75" x14ac:dyDescent="0.2">
      <c r="R9317" s="1288"/>
    </row>
    <row r="9318" spans="18:18" s="2" customFormat="1" ht="12.75" x14ac:dyDescent="0.2">
      <c r="R9318" s="1288"/>
    </row>
    <row r="9319" spans="18:18" s="2" customFormat="1" ht="12.75" x14ac:dyDescent="0.2">
      <c r="R9319" s="1288"/>
    </row>
    <row r="9320" spans="18:18" s="2" customFormat="1" ht="12.75" x14ac:dyDescent="0.2">
      <c r="R9320" s="1288"/>
    </row>
    <row r="9321" spans="18:18" s="2" customFormat="1" ht="12.75" x14ac:dyDescent="0.2">
      <c r="R9321" s="1288"/>
    </row>
    <row r="9322" spans="18:18" s="2" customFormat="1" ht="12.75" x14ac:dyDescent="0.2">
      <c r="R9322" s="1288"/>
    </row>
    <row r="9323" spans="18:18" s="2" customFormat="1" ht="12.75" x14ac:dyDescent="0.2">
      <c r="R9323" s="1288"/>
    </row>
    <row r="9324" spans="18:18" s="2" customFormat="1" ht="12.75" x14ac:dyDescent="0.2">
      <c r="R9324" s="1288"/>
    </row>
    <row r="9325" spans="18:18" s="2" customFormat="1" ht="12.75" x14ac:dyDescent="0.2">
      <c r="R9325" s="1288"/>
    </row>
    <row r="9326" spans="18:18" s="2" customFormat="1" ht="12.75" x14ac:dyDescent="0.2">
      <c r="R9326" s="1288"/>
    </row>
    <row r="9327" spans="18:18" s="2" customFormat="1" ht="12.75" x14ac:dyDescent="0.2">
      <c r="R9327" s="1288"/>
    </row>
    <row r="9328" spans="18:18" s="2" customFormat="1" ht="12.75" x14ac:dyDescent="0.2">
      <c r="R9328" s="1288"/>
    </row>
    <row r="9329" spans="18:18" s="2" customFormat="1" ht="12.75" x14ac:dyDescent="0.2">
      <c r="R9329" s="1288"/>
    </row>
    <row r="9330" spans="18:18" s="2" customFormat="1" ht="12.75" x14ac:dyDescent="0.2">
      <c r="R9330" s="1288"/>
    </row>
    <row r="9331" spans="18:18" s="2" customFormat="1" ht="12.75" x14ac:dyDescent="0.2">
      <c r="R9331" s="1288"/>
    </row>
    <row r="9332" spans="18:18" s="2" customFormat="1" ht="12.75" x14ac:dyDescent="0.2">
      <c r="R9332" s="1288"/>
    </row>
    <row r="9333" spans="18:18" s="2" customFormat="1" ht="12.75" x14ac:dyDescent="0.2">
      <c r="R9333" s="1288"/>
    </row>
    <row r="9334" spans="18:18" s="2" customFormat="1" ht="12.75" x14ac:dyDescent="0.2">
      <c r="R9334" s="1288"/>
    </row>
    <row r="9335" spans="18:18" s="2" customFormat="1" ht="12.75" x14ac:dyDescent="0.2">
      <c r="R9335" s="1288"/>
    </row>
    <row r="9336" spans="18:18" s="2" customFormat="1" ht="12.75" x14ac:dyDescent="0.2">
      <c r="R9336" s="1288"/>
    </row>
    <row r="9337" spans="18:18" s="2" customFormat="1" ht="12.75" x14ac:dyDescent="0.2">
      <c r="R9337" s="1288"/>
    </row>
    <row r="9338" spans="18:18" s="2" customFormat="1" ht="12.75" x14ac:dyDescent="0.2">
      <c r="R9338" s="1288"/>
    </row>
    <row r="9339" spans="18:18" s="2" customFormat="1" ht="12.75" x14ac:dyDescent="0.2">
      <c r="R9339" s="1288"/>
    </row>
    <row r="9340" spans="18:18" s="2" customFormat="1" ht="12.75" x14ac:dyDescent="0.2">
      <c r="R9340" s="1288"/>
    </row>
    <row r="9341" spans="18:18" s="2" customFormat="1" ht="12.75" x14ac:dyDescent="0.2">
      <c r="R9341" s="1288"/>
    </row>
    <row r="9342" spans="18:18" s="2" customFormat="1" ht="12.75" x14ac:dyDescent="0.2">
      <c r="R9342" s="1288"/>
    </row>
    <row r="9343" spans="18:18" s="2" customFormat="1" ht="12.75" x14ac:dyDescent="0.2">
      <c r="R9343" s="1288"/>
    </row>
    <row r="9344" spans="18:18" s="2" customFormat="1" ht="12.75" x14ac:dyDescent="0.2">
      <c r="R9344" s="1288"/>
    </row>
    <row r="9345" spans="18:18" s="2" customFormat="1" ht="12.75" x14ac:dyDescent="0.2">
      <c r="R9345" s="1288"/>
    </row>
    <row r="9346" spans="18:18" s="2" customFormat="1" ht="12.75" x14ac:dyDescent="0.2">
      <c r="R9346" s="1288"/>
    </row>
    <row r="9347" spans="18:18" s="2" customFormat="1" ht="12.75" x14ac:dyDescent="0.2">
      <c r="R9347" s="1288"/>
    </row>
    <row r="9348" spans="18:18" s="2" customFormat="1" ht="12.75" x14ac:dyDescent="0.2">
      <c r="R9348" s="1288"/>
    </row>
    <row r="9349" spans="18:18" s="2" customFormat="1" ht="12.75" x14ac:dyDescent="0.2">
      <c r="R9349" s="1288"/>
    </row>
    <row r="9350" spans="18:18" s="2" customFormat="1" ht="12.75" x14ac:dyDescent="0.2">
      <c r="R9350" s="1288"/>
    </row>
    <row r="9351" spans="18:18" s="2" customFormat="1" ht="12.75" x14ac:dyDescent="0.2">
      <c r="R9351" s="1288"/>
    </row>
    <row r="9352" spans="18:18" s="2" customFormat="1" ht="12.75" x14ac:dyDescent="0.2">
      <c r="R9352" s="1288"/>
    </row>
    <row r="9353" spans="18:18" s="2" customFormat="1" ht="12.75" x14ac:dyDescent="0.2">
      <c r="R9353" s="1288"/>
    </row>
    <row r="9354" spans="18:18" s="2" customFormat="1" ht="12.75" x14ac:dyDescent="0.2">
      <c r="R9354" s="1288"/>
    </row>
    <row r="9355" spans="18:18" s="2" customFormat="1" ht="12.75" x14ac:dyDescent="0.2">
      <c r="R9355" s="1288"/>
    </row>
    <row r="9356" spans="18:18" s="2" customFormat="1" ht="12.75" x14ac:dyDescent="0.2">
      <c r="R9356" s="1288"/>
    </row>
    <row r="9357" spans="18:18" s="2" customFormat="1" ht="12.75" x14ac:dyDescent="0.2">
      <c r="R9357" s="1288"/>
    </row>
    <row r="9358" spans="18:18" s="2" customFormat="1" ht="12.75" x14ac:dyDescent="0.2">
      <c r="R9358" s="1288"/>
    </row>
    <row r="9359" spans="18:18" s="2" customFormat="1" ht="12.75" x14ac:dyDescent="0.2">
      <c r="R9359" s="1288"/>
    </row>
    <row r="9360" spans="18:18" s="2" customFormat="1" ht="12.75" x14ac:dyDescent="0.2">
      <c r="R9360" s="1288"/>
    </row>
    <row r="9361" spans="18:18" s="2" customFormat="1" ht="12.75" x14ac:dyDescent="0.2">
      <c r="R9361" s="1288"/>
    </row>
    <row r="9362" spans="18:18" s="2" customFormat="1" ht="12.75" x14ac:dyDescent="0.2">
      <c r="R9362" s="1288"/>
    </row>
    <row r="9363" spans="18:18" s="2" customFormat="1" ht="12.75" x14ac:dyDescent="0.2">
      <c r="R9363" s="1288"/>
    </row>
    <row r="9364" spans="18:18" s="2" customFormat="1" ht="12.75" x14ac:dyDescent="0.2">
      <c r="R9364" s="1288"/>
    </row>
    <row r="9365" spans="18:18" s="2" customFormat="1" ht="12.75" x14ac:dyDescent="0.2">
      <c r="R9365" s="1288"/>
    </row>
    <row r="9366" spans="18:18" s="2" customFormat="1" ht="12.75" x14ac:dyDescent="0.2">
      <c r="R9366" s="1288"/>
    </row>
    <row r="9367" spans="18:18" s="2" customFormat="1" ht="12.75" x14ac:dyDescent="0.2">
      <c r="R9367" s="1288"/>
    </row>
    <row r="9368" spans="18:18" s="2" customFormat="1" ht="12.75" x14ac:dyDescent="0.2">
      <c r="R9368" s="1288"/>
    </row>
    <row r="9369" spans="18:18" s="2" customFormat="1" ht="12.75" x14ac:dyDescent="0.2">
      <c r="R9369" s="1288"/>
    </row>
    <row r="9370" spans="18:18" s="2" customFormat="1" ht="12.75" x14ac:dyDescent="0.2">
      <c r="R9370" s="1288"/>
    </row>
    <row r="9371" spans="18:18" s="2" customFormat="1" ht="12.75" x14ac:dyDescent="0.2">
      <c r="R9371" s="1288"/>
    </row>
    <row r="9372" spans="18:18" s="2" customFormat="1" ht="12.75" x14ac:dyDescent="0.2">
      <c r="R9372" s="1288"/>
    </row>
    <row r="9373" spans="18:18" s="2" customFormat="1" ht="12.75" x14ac:dyDescent="0.2">
      <c r="R9373" s="1288"/>
    </row>
    <row r="9374" spans="18:18" s="2" customFormat="1" ht="12.75" x14ac:dyDescent="0.2">
      <c r="R9374" s="1288"/>
    </row>
    <row r="9375" spans="18:18" s="2" customFormat="1" ht="12.75" x14ac:dyDescent="0.2">
      <c r="R9375" s="1288"/>
    </row>
    <row r="9376" spans="18:18" s="2" customFormat="1" ht="12.75" x14ac:dyDescent="0.2">
      <c r="R9376" s="1288"/>
    </row>
    <row r="9377" spans="18:18" s="2" customFormat="1" ht="12.75" x14ac:dyDescent="0.2">
      <c r="R9377" s="1288"/>
    </row>
    <row r="9378" spans="18:18" s="2" customFormat="1" ht="12.75" x14ac:dyDescent="0.2">
      <c r="R9378" s="1288"/>
    </row>
    <row r="9379" spans="18:18" s="2" customFormat="1" ht="12.75" x14ac:dyDescent="0.2">
      <c r="R9379" s="1288"/>
    </row>
    <row r="9380" spans="18:18" s="2" customFormat="1" ht="12.75" x14ac:dyDescent="0.2">
      <c r="R9380" s="1288"/>
    </row>
    <row r="9381" spans="18:18" s="2" customFormat="1" ht="12.75" x14ac:dyDescent="0.2">
      <c r="R9381" s="1288"/>
    </row>
    <row r="9382" spans="18:18" s="2" customFormat="1" ht="12.75" x14ac:dyDescent="0.2">
      <c r="R9382" s="1288"/>
    </row>
    <row r="9383" spans="18:18" s="2" customFormat="1" ht="12.75" x14ac:dyDescent="0.2">
      <c r="R9383" s="1288"/>
    </row>
    <row r="9384" spans="18:18" s="2" customFormat="1" ht="12.75" x14ac:dyDescent="0.2">
      <c r="R9384" s="1288"/>
    </row>
    <row r="9385" spans="18:18" s="2" customFormat="1" ht="12.75" x14ac:dyDescent="0.2">
      <c r="R9385" s="1288"/>
    </row>
    <row r="9386" spans="18:18" s="2" customFormat="1" ht="12.75" x14ac:dyDescent="0.2">
      <c r="R9386" s="1288"/>
    </row>
    <row r="9387" spans="18:18" s="2" customFormat="1" ht="12.75" x14ac:dyDescent="0.2">
      <c r="R9387" s="1288"/>
    </row>
    <row r="9388" spans="18:18" s="2" customFormat="1" ht="12.75" x14ac:dyDescent="0.2">
      <c r="R9388" s="1288"/>
    </row>
    <row r="9389" spans="18:18" s="2" customFormat="1" ht="12.75" x14ac:dyDescent="0.2">
      <c r="R9389" s="1288"/>
    </row>
    <row r="9390" spans="18:18" s="2" customFormat="1" ht="12.75" x14ac:dyDescent="0.2">
      <c r="R9390" s="1288"/>
    </row>
    <row r="9391" spans="18:18" s="2" customFormat="1" ht="12.75" x14ac:dyDescent="0.2">
      <c r="R9391" s="1288"/>
    </row>
    <row r="9392" spans="18:18" s="2" customFormat="1" ht="12.75" x14ac:dyDescent="0.2">
      <c r="R9392" s="1288"/>
    </row>
    <row r="9393" spans="18:18" s="2" customFormat="1" ht="12.75" x14ac:dyDescent="0.2">
      <c r="R9393" s="1288"/>
    </row>
    <row r="9394" spans="18:18" s="2" customFormat="1" ht="12.75" x14ac:dyDescent="0.2">
      <c r="R9394" s="1288"/>
    </row>
    <row r="9395" spans="18:18" s="2" customFormat="1" ht="12.75" x14ac:dyDescent="0.2">
      <c r="R9395" s="1288"/>
    </row>
    <row r="9396" spans="18:18" s="2" customFormat="1" ht="12.75" x14ac:dyDescent="0.2">
      <c r="R9396" s="1288"/>
    </row>
    <row r="9397" spans="18:18" s="2" customFormat="1" ht="12.75" x14ac:dyDescent="0.2">
      <c r="R9397" s="1288"/>
    </row>
    <row r="9398" spans="18:18" s="2" customFormat="1" ht="12.75" x14ac:dyDescent="0.2">
      <c r="R9398" s="1288"/>
    </row>
    <row r="9399" spans="18:18" s="2" customFormat="1" ht="12.75" x14ac:dyDescent="0.2">
      <c r="R9399" s="1288"/>
    </row>
    <row r="9400" spans="18:18" s="2" customFormat="1" ht="12.75" x14ac:dyDescent="0.2">
      <c r="R9400" s="1288"/>
    </row>
    <row r="9401" spans="18:18" s="2" customFormat="1" ht="12.75" x14ac:dyDescent="0.2">
      <c r="R9401" s="1288"/>
    </row>
    <row r="9402" spans="18:18" s="2" customFormat="1" ht="12.75" x14ac:dyDescent="0.2">
      <c r="R9402" s="1288"/>
    </row>
    <row r="9403" spans="18:18" s="2" customFormat="1" ht="12.75" x14ac:dyDescent="0.2">
      <c r="R9403" s="1288"/>
    </row>
    <row r="9404" spans="18:18" s="2" customFormat="1" ht="12.75" x14ac:dyDescent="0.2">
      <c r="R9404" s="1288"/>
    </row>
    <row r="9405" spans="18:18" s="2" customFormat="1" ht="12.75" x14ac:dyDescent="0.2">
      <c r="R9405" s="1288"/>
    </row>
    <row r="9406" spans="18:18" s="2" customFormat="1" ht="12.75" x14ac:dyDescent="0.2">
      <c r="R9406" s="1288"/>
    </row>
    <row r="9407" spans="18:18" s="2" customFormat="1" ht="12.75" x14ac:dyDescent="0.2">
      <c r="R9407" s="1288"/>
    </row>
    <row r="9408" spans="18:18" s="2" customFormat="1" ht="12.75" x14ac:dyDescent="0.2">
      <c r="R9408" s="1288"/>
    </row>
    <row r="9409" spans="18:18" s="2" customFormat="1" ht="12.75" x14ac:dyDescent="0.2">
      <c r="R9409" s="1288"/>
    </row>
    <row r="9410" spans="18:18" s="2" customFormat="1" ht="12.75" x14ac:dyDescent="0.2">
      <c r="R9410" s="1288"/>
    </row>
    <row r="9411" spans="18:18" s="2" customFormat="1" ht="12.75" x14ac:dyDescent="0.2">
      <c r="R9411" s="1288"/>
    </row>
    <row r="9412" spans="18:18" s="2" customFormat="1" ht="12.75" x14ac:dyDescent="0.2">
      <c r="R9412" s="1288"/>
    </row>
    <row r="9413" spans="18:18" s="2" customFormat="1" ht="12.75" x14ac:dyDescent="0.2">
      <c r="R9413" s="1288"/>
    </row>
    <row r="9414" spans="18:18" s="2" customFormat="1" ht="12.75" x14ac:dyDescent="0.2">
      <c r="R9414" s="1288"/>
    </row>
    <row r="9415" spans="18:18" s="2" customFormat="1" ht="12.75" x14ac:dyDescent="0.2">
      <c r="R9415" s="1288"/>
    </row>
    <row r="9416" spans="18:18" s="2" customFormat="1" ht="12.75" x14ac:dyDescent="0.2">
      <c r="R9416" s="1288"/>
    </row>
    <row r="9417" spans="18:18" s="2" customFormat="1" ht="12.75" x14ac:dyDescent="0.2">
      <c r="R9417" s="1288"/>
    </row>
    <row r="9418" spans="18:18" s="2" customFormat="1" ht="12.75" x14ac:dyDescent="0.2">
      <c r="R9418" s="1288"/>
    </row>
    <row r="9419" spans="18:18" s="2" customFormat="1" ht="12.75" x14ac:dyDescent="0.2">
      <c r="R9419" s="1288"/>
    </row>
    <row r="9420" spans="18:18" s="2" customFormat="1" ht="12.75" x14ac:dyDescent="0.2">
      <c r="R9420" s="1288"/>
    </row>
    <row r="9421" spans="18:18" s="2" customFormat="1" ht="12.75" x14ac:dyDescent="0.2">
      <c r="R9421" s="1288"/>
    </row>
    <row r="9422" spans="18:18" s="2" customFormat="1" ht="12.75" x14ac:dyDescent="0.2">
      <c r="R9422" s="1288"/>
    </row>
    <row r="9423" spans="18:18" s="2" customFormat="1" ht="12.75" x14ac:dyDescent="0.2">
      <c r="R9423" s="1288"/>
    </row>
    <row r="9424" spans="18:18" s="2" customFormat="1" ht="12.75" x14ac:dyDescent="0.2">
      <c r="R9424" s="1288"/>
    </row>
    <row r="9425" spans="18:18" s="2" customFormat="1" ht="12.75" x14ac:dyDescent="0.2">
      <c r="R9425" s="1288"/>
    </row>
    <row r="9426" spans="18:18" s="2" customFormat="1" ht="12.75" x14ac:dyDescent="0.2">
      <c r="R9426" s="1288"/>
    </row>
    <row r="9427" spans="18:18" s="2" customFormat="1" ht="12.75" x14ac:dyDescent="0.2">
      <c r="R9427" s="1288"/>
    </row>
    <row r="9428" spans="18:18" s="2" customFormat="1" ht="12.75" x14ac:dyDescent="0.2">
      <c r="R9428" s="1288"/>
    </row>
    <row r="9429" spans="18:18" s="2" customFormat="1" ht="12.75" x14ac:dyDescent="0.2">
      <c r="R9429" s="1288"/>
    </row>
    <row r="9430" spans="18:18" s="2" customFormat="1" ht="12.75" x14ac:dyDescent="0.2">
      <c r="R9430" s="1288"/>
    </row>
    <row r="9431" spans="18:18" s="2" customFormat="1" ht="12.75" x14ac:dyDescent="0.2">
      <c r="R9431" s="1288"/>
    </row>
    <row r="9432" spans="18:18" s="2" customFormat="1" ht="12.75" x14ac:dyDescent="0.2">
      <c r="R9432" s="1288"/>
    </row>
    <row r="9433" spans="18:18" s="2" customFormat="1" ht="12.75" x14ac:dyDescent="0.2">
      <c r="R9433" s="1288"/>
    </row>
    <row r="9434" spans="18:18" s="2" customFormat="1" ht="12.75" x14ac:dyDescent="0.2">
      <c r="R9434" s="1288"/>
    </row>
    <row r="9435" spans="18:18" s="2" customFormat="1" ht="12.75" x14ac:dyDescent="0.2">
      <c r="R9435" s="1288"/>
    </row>
    <row r="9436" spans="18:18" s="2" customFormat="1" ht="12.75" x14ac:dyDescent="0.2">
      <c r="R9436" s="1288"/>
    </row>
    <row r="9437" spans="18:18" s="2" customFormat="1" ht="12.75" x14ac:dyDescent="0.2">
      <c r="R9437" s="1288"/>
    </row>
    <row r="9438" spans="18:18" s="2" customFormat="1" ht="12.75" x14ac:dyDescent="0.2">
      <c r="R9438" s="1288"/>
    </row>
    <row r="9439" spans="18:18" s="2" customFormat="1" ht="12.75" x14ac:dyDescent="0.2">
      <c r="R9439" s="1288"/>
    </row>
    <row r="9440" spans="18:18" s="2" customFormat="1" ht="12.75" x14ac:dyDescent="0.2">
      <c r="R9440" s="1288"/>
    </row>
    <row r="9441" spans="18:18" s="2" customFormat="1" ht="12.75" x14ac:dyDescent="0.2">
      <c r="R9441" s="1288"/>
    </row>
    <row r="9442" spans="18:18" s="2" customFormat="1" ht="12.75" x14ac:dyDescent="0.2">
      <c r="R9442" s="1288"/>
    </row>
    <row r="9443" spans="18:18" s="2" customFormat="1" ht="12.75" x14ac:dyDescent="0.2">
      <c r="R9443" s="1288"/>
    </row>
    <row r="9444" spans="18:18" s="2" customFormat="1" ht="12.75" x14ac:dyDescent="0.2">
      <c r="R9444" s="1288"/>
    </row>
    <row r="9445" spans="18:18" s="2" customFormat="1" ht="12.75" x14ac:dyDescent="0.2">
      <c r="R9445" s="1288"/>
    </row>
    <row r="9446" spans="18:18" s="2" customFormat="1" ht="12.75" x14ac:dyDescent="0.2">
      <c r="R9446" s="1288"/>
    </row>
    <row r="9447" spans="18:18" s="2" customFormat="1" ht="12.75" x14ac:dyDescent="0.2">
      <c r="R9447" s="1288"/>
    </row>
    <row r="9448" spans="18:18" s="2" customFormat="1" ht="12.75" x14ac:dyDescent="0.2">
      <c r="R9448" s="1288"/>
    </row>
    <row r="9449" spans="18:18" s="2" customFormat="1" ht="12.75" x14ac:dyDescent="0.2">
      <c r="R9449" s="1288"/>
    </row>
    <row r="9450" spans="18:18" s="2" customFormat="1" ht="12.75" x14ac:dyDescent="0.2">
      <c r="R9450" s="1288"/>
    </row>
    <row r="9451" spans="18:18" s="2" customFormat="1" ht="12.75" x14ac:dyDescent="0.2">
      <c r="R9451" s="1288"/>
    </row>
    <row r="9452" spans="18:18" s="2" customFormat="1" ht="12.75" x14ac:dyDescent="0.2">
      <c r="R9452" s="1288"/>
    </row>
    <row r="9453" spans="18:18" s="2" customFormat="1" ht="12.75" x14ac:dyDescent="0.2">
      <c r="R9453" s="1288"/>
    </row>
    <row r="9454" spans="18:18" s="2" customFormat="1" ht="12.75" x14ac:dyDescent="0.2">
      <c r="R9454" s="1288"/>
    </row>
    <row r="9455" spans="18:18" s="2" customFormat="1" ht="12.75" x14ac:dyDescent="0.2">
      <c r="R9455" s="1288"/>
    </row>
    <row r="9456" spans="18:18" s="2" customFormat="1" ht="12.75" x14ac:dyDescent="0.2">
      <c r="R9456" s="1288"/>
    </row>
    <row r="9457" spans="18:18" s="2" customFormat="1" ht="12.75" x14ac:dyDescent="0.2">
      <c r="R9457" s="1288"/>
    </row>
    <row r="9458" spans="18:18" s="2" customFormat="1" ht="12.75" x14ac:dyDescent="0.2">
      <c r="R9458" s="1288"/>
    </row>
    <row r="9459" spans="18:18" s="2" customFormat="1" ht="12.75" x14ac:dyDescent="0.2">
      <c r="R9459" s="1288"/>
    </row>
    <row r="9460" spans="18:18" s="2" customFormat="1" ht="12.75" x14ac:dyDescent="0.2">
      <c r="R9460" s="1288"/>
    </row>
    <row r="9461" spans="18:18" s="2" customFormat="1" ht="12.75" x14ac:dyDescent="0.2">
      <c r="R9461" s="1288"/>
    </row>
    <row r="9462" spans="18:18" s="2" customFormat="1" ht="12.75" x14ac:dyDescent="0.2">
      <c r="R9462" s="1288"/>
    </row>
    <row r="9463" spans="18:18" s="2" customFormat="1" ht="12.75" x14ac:dyDescent="0.2">
      <c r="R9463" s="1288"/>
    </row>
    <row r="9464" spans="18:18" s="2" customFormat="1" ht="12.75" x14ac:dyDescent="0.2">
      <c r="R9464" s="1288"/>
    </row>
    <row r="9465" spans="18:18" s="2" customFormat="1" ht="12.75" x14ac:dyDescent="0.2">
      <c r="R9465" s="1288"/>
    </row>
    <row r="9466" spans="18:18" s="2" customFormat="1" ht="12.75" x14ac:dyDescent="0.2">
      <c r="R9466" s="1288"/>
    </row>
    <row r="9467" spans="18:18" s="2" customFormat="1" ht="12.75" x14ac:dyDescent="0.2">
      <c r="R9467" s="1288"/>
    </row>
    <row r="9468" spans="18:18" s="2" customFormat="1" ht="12.75" x14ac:dyDescent="0.2">
      <c r="R9468" s="1288"/>
    </row>
    <row r="9469" spans="18:18" s="2" customFormat="1" ht="12.75" x14ac:dyDescent="0.2">
      <c r="R9469" s="1288"/>
    </row>
    <row r="9470" spans="18:18" s="2" customFormat="1" ht="12.75" x14ac:dyDescent="0.2">
      <c r="R9470" s="1288"/>
    </row>
    <row r="9471" spans="18:18" s="2" customFormat="1" ht="12.75" x14ac:dyDescent="0.2">
      <c r="R9471" s="1288"/>
    </row>
    <row r="9472" spans="18:18" s="2" customFormat="1" ht="12.75" x14ac:dyDescent="0.2">
      <c r="R9472" s="1288"/>
    </row>
    <row r="9473" spans="18:18" s="2" customFormat="1" ht="12.75" x14ac:dyDescent="0.2">
      <c r="R9473" s="1288"/>
    </row>
    <row r="9474" spans="18:18" s="2" customFormat="1" ht="12.75" x14ac:dyDescent="0.2">
      <c r="R9474" s="1288"/>
    </row>
    <row r="9475" spans="18:18" s="2" customFormat="1" ht="12.75" x14ac:dyDescent="0.2">
      <c r="R9475" s="1288"/>
    </row>
    <row r="9476" spans="18:18" s="2" customFormat="1" ht="12.75" x14ac:dyDescent="0.2">
      <c r="R9476" s="1288"/>
    </row>
    <row r="9477" spans="18:18" s="2" customFormat="1" ht="12.75" x14ac:dyDescent="0.2">
      <c r="R9477" s="1288"/>
    </row>
    <row r="9478" spans="18:18" s="2" customFormat="1" ht="12.75" x14ac:dyDescent="0.2">
      <c r="R9478" s="1288"/>
    </row>
    <row r="9479" spans="18:18" s="2" customFormat="1" ht="12.75" x14ac:dyDescent="0.2">
      <c r="R9479" s="1288"/>
    </row>
    <row r="9480" spans="18:18" s="2" customFormat="1" ht="12.75" x14ac:dyDescent="0.2">
      <c r="R9480" s="1288"/>
    </row>
    <row r="9481" spans="18:18" s="2" customFormat="1" ht="12.75" x14ac:dyDescent="0.2">
      <c r="R9481" s="1288"/>
    </row>
    <row r="9482" spans="18:18" s="2" customFormat="1" ht="12.75" x14ac:dyDescent="0.2">
      <c r="R9482" s="1288"/>
    </row>
    <row r="9483" spans="18:18" s="2" customFormat="1" ht="12.75" x14ac:dyDescent="0.2">
      <c r="R9483" s="1288"/>
    </row>
    <row r="9484" spans="18:18" s="2" customFormat="1" ht="12.75" x14ac:dyDescent="0.2">
      <c r="R9484" s="1288"/>
    </row>
    <row r="9485" spans="18:18" s="2" customFormat="1" ht="12.75" x14ac:dyDescent="0.2">
      <c r="R9485" s="1288"/>
    </row>
    <row r="9486" spans="18:18" s="2" customFormat="1" ht="12.75" x14ac:dyDescent="0.2">
      <c r="R9486" s="1288"/>
    </row>
    <row r="9487" spans="18:18" s="2" customFormat="1" ht="12.75" x14ac:dyDescent="0.2">
      <c r="R9487" s="1288"/>
    </row>
    <row r="9488" spans="18:18" s="2" customFormat="1" ht="12.75" x14ac:dyDescent="0.2">
      <c r="R9488" s="1288"/>
    </row>
    <row r="9489" spans="18:18" s="2" customFormat="1" ht="12.75" x14ac:dyDescent="0.2">
      <c r="R9489" s="1288"/>
    </row>
    <row r="9490" spans="18:18" s="2" customFormat="1" ht="12.75" x14ac:dyDescent="0.2">
      <c r="R9490" s="1288"/>
    </row>
    <row r="9491" spans="18:18" s="2" customFormat="1" ht="12.75" x14ac:dyDescent="0.2">
      <c r="R9491" s="1288"/>
    </row>
    <row r="9492" spans="18:18" s="2" customFormat="1" ht="12.75" x14ac:dyDescent="0.2">
      <c r="R9492" s="1288"/>
    </row>
    <row r="9493" spans="18:18" s="2" customFormat="1" ht="12.75" x14ac:dyDescent="0.2">
      <c r="R9493" s="1288"/>
    </row>
    <row r="9494" spans="18:18" s="2" customFormat="1" ht="12.75" x14ac:dyDescent="0.2">
      <c r="R9494" s="1288"/>
    </row>
    <row r="9495" spans="18:18" s="2" customFormat="1" ht="12.75" x14ac:dyDescent="0.2">
      <c r="R9495" s="1288"/>
    </row>
    <row r="9496" spans="18:18" s="2" customFormat="1" ht="12.75" x14ac:dyDescent="0.2">
      <c r="R9496" s="1288"/>
    </row>
    <row r="9497" spans="18:18" s="2" customFormat="1" ht="12.75" x14ac:dyDescent="0.2">
      <c r="R9497" s="1288"/>
    </row>
    <row r="9498" spans="18:18" s="2" customFormat="1" ht="12.75" x14ac:dyDescent="0.2">
      <c r="R9498" s="1288"/>
    </row>
    <row r="9499" spans="18:18" s="2" customFormat="1" ht="12.75" x14ac:dyDescent="0.2">
      <c r="R9499" s="1288"/>
    </row>
    <row r="9500" spans="18:18" s="2" customFormat="1" ht="12.75" x14ac:dyDescent="0.2">
      <c r="R9500" s="1288"/>
    </row>
    <row r="9501" spans="18:18" s="2" customFormat="1" ht="12.75" x14ac:dyDescent="0.2">
      <c r="R9501" s="1288"/>
    </row>
    <row r="9502" spans="18:18" s="2" customFormat="1" ht="12.75" x14ac:dyDescent="0.2">
      <c r="R9502" s="1288"/>
    </row>
    <row r="9503" spans="18:18" s="2" customFormat="1" ht="12.75" x14ac:dyDescent="0.2">
      <c r="R9503" s="1288"/>
    </row>
    <row r="9504" spans="18:18" s="2" customFormat="1" ht="12.75" x14ac:dyDescent="0.2">
      <c r="R9504" s="1288"/>
    </row>
    <row r="9505" spans="18:18" s="2" customFormat="1" ht="12.75" x14ac:dyDescent="0.2">
      <c r="R9505" s="1288"/>
    </row>
    <row r="9506" spans="18:18" s="2" customFormat="1" ht="12.75" x14ac:dyDescent="0.2">
      <c r="R9506" s="1288"/>
    </row>
    <row r="9507" spans="18:18" s="2" customFormat="1" ht="12.75" x14ac:dyDescent="0.2">
      <c r="R9507" s="1288"/>
    </row>
    <row r="9508" spans="18:18" s="2" customFormat="1" ht="12.75" x14ac:dyDescent="0.2">
      <c r="R9508" s="1288"/>
    </row>
    <row r="9509" spans="18:18" s="2" customFormat="1" ht="12.75" x14ac:dyDescent="0.2">
      <c r="R9509" s="1288"/>
    </row>
    <row r="9510" spans="18:18" s="2" customFormat="1" ht="12.75" x14ac:dyDescent="0.2">
      <c r="R9510" s="1288"/>
    </row>
    <row r="9511" spans="18:18" s="2" customFormat="1" ht="12.75" x14ac:dyDescent="0.2">
      <c r="R9511" s="1288"/>
    </row>
    <row r="9512" spans="18:18" s="2" customFormat="1" ht="12.75" x14ac:dyDescent="0.2">
      <c r="R9512" s="1288"/>
    </row>
    <row r="9513" spans="18:18" s="2" customFormat="1" ht="12.75" x14ac:dyDescent="0.2">
      <c r="R9513" s="1288"/>
    </row>
    <row r="9514" spans="18:18" s="2" customFormat="1" ht="12.75" x14ac:dyDescent="0.2">
      <c r="R9514" s="1288"/>
    </row>
    <row r="9515" spans="18:18" s="2" customFormat="1" ht="12.75" x14ac:dyDescent="0.2">
      <c r="R9515" s="1288"/>
    </row>
    <row r="9516" spans="18:18" s="2" customFormat="1" ht="12.75" x14ac:dyDescent="0.2">
      <c r="R9516" s="1288"/>
    </row>
    <row r="9517" spans="18:18" s="2" customFormat="1" ht="12.75" x14ac:dyDescent="0.2">
      <c r="R9517" s="1288"/>
    </row>
    <row r="9518" spans="18:18" s="2" customFormat="1" ht="12.75" x14ac:dyDescent="0.2">
      <c r="R9518" s="1288"/>
    </row>
    <row r="9519" spans="18:18" s="2" customFormat="1" ht="12.75" x14ac:dyDescent="0.2">
      <c r="R9519" s="1288"/>
    </row>
    <row r="9520" spans="18:18" s="2" customFormat="1" ht="12.75" x14ac:dyDescent="0.2">
      <c r="R9520" s="1288"/>
    </row>
    <row r="9521" spans="18:18" s="2" customFormat="1" ht="12.75" x14ac:dyDescent="0.2">
      <c r="R9521" s="1288"/>
    </row>
    <row r="9522" spans="18:18" s="2" customFormat="1" ht="12.75" x14ac:dyDescent="0.2">
      <c r="R9522" s="1288"/>
    </row>
    <row r="9523" spans="18:18" s="2" customFormat="1" ht="12.75" x14ac:dyDescent="0.2">
      <c r="R9523" s="1288"/>
    </row>
    <row r="9524" spans="18:18" s="2" customFormat="1" ht="12.75" x14ac:dyDescent="0.2">
      <c r="R9524" s="1288"/>
    </row>
    <row r="9525" spans="18:18" s="2" customFormat="1" ht="12.75" x14ac:dyDescent="0.2">
      <c r="R9525" s="1288"/>
    </row>
    <row r="9526" spans="18:18" s="2" customFormat="1" ht="12.75" x14ac:dyDescent="0.2">
      <c r="R9526" s="1288"/>
    </row>
    <row r="9527" spans="18:18" s="2" customFormat="1" ht="12.75" x14ac:dyDescent="0.2">
      <c r="R9527" s="1288"/>
    </row>
    <row r="9528" spans="18:18" s="2" customFormat="1" ht="12.75" x14ac:dyDescent="0.2">
      <c r="R9528" s="1288"/>
    </row>
    <row r="9529" spans="18:18" s="2" customFormat="1" ht="12.75" x14ac:dyDescent="0.2">
      <c r="R9529" s="1288"/>
    </row>
    <row r="9530" spans="18:18" s="2" customFormat="1" ht="12.75" x14ac:dyDescent="0.2">
      <c r="R9530" s="1288"/>
    </row>
    <row r="9531" spans="18:18" s="2" customFormat="1" ht="12.75" x14ac:dyDescent="0.2">
      <c r="R9531" s="1288"/>
    </row>
    <row r="9532" spans="18:18" s="2" customFormat="1" ht="12.75" x14ac:dyDescent="0.2">
      <c r="R9532" s="1288"/>
    </row>
    <row r="9533" spans="18:18" s="2" customFormat="1" ht="12.75" x14ac:dyDescent="0.2">
      <c r="R9533" s="1288"/>
    </row>
    <row r="9534" spans="18:18" s="2" customFormat="1" ht="12.75" x14ac:dyDescent="0.2">
      <c r="R9534" s="1288"/>
    </row>
    <row r="9535" spans="18:18" s="2" customFormat="1" ht="12.75" x14ac:dyDescent="0.2">
      <c r="R9535" s="1288"/>
    </row>
    <row r="9536" spans="18:18" s="2" customFormat="1" ht="12.75" x14ac:dyDescent="0.2">
      <c r="R9536" s="1288"/>
    </row>
    <row r="9537" spans="18:18" s="2" customFormat="1" ht="12.75" x14ac:dyDescent="0.2">
      <c r="R9537" s="1288"/>
    </row>
    <row r="9538" spans="18:18" s="2" customFormat="1" ht="12.75" x14ac:dyDescent="0.2">
      <c r="R9538" s="1288"/>
    </row>
    <row r="9539" spans="18:18" s="2" customFormat="1" ht="12.75" x14ac:dyDescent="0.2">
      <c r="R9539" s="1288"/>
    </row>
    <row r="9540" spans="18:18" s="2" customFormat="1" ht="12.75" x14ac:dyDescent="0.2">
      <c r="R9540" s="1288"/>
    </row>
    <row r="9541" spans="18:18" s="2" customFormat="1" ht="12.75" x14ac:dyDescent="0.2">
      <c r="R9541" s="1288"/>
    </row>
    <row r="9542" spans="18:18" s="2" customFormat="1" ht="12.75" x14ac:dyDescent="0.2">
      <c r="R9542" s="1288"/>
    </row>
    <row r="9543" spans="18:18" s="2" customFormat="1" ht="12.75" x14ac:dyDescent="0.2">
      <c r="R9543" s="1288"/>
    </row>
    <row r="9544" spans="18:18" s="2" customFormat="1" ht="12.75" x14ac:dyDescent="0.2">
      <c r="R9544" s="1288"/>
    </row>
    <row r="9545" spans="18:18" s="2" customFormat="1" ht="12.75" x14ac:dyDescent="0.2">
      <c r="R9545" s="1288"/>
    </row>
    <row r="9546" spans="18:18" s="2" customFormat="1" ht="12.75" x14ac:dyDescent="0.2">
      <c r="R9546" s="1288"/>
    </row>
    <row r="9547" spans="18:18" s="2" customFormat="1" ht="12.75" x14ac:dyDescent="0.2">
      <c r="R9547" s="1288"/>
    </row>
    <row r="9548" spans="18:18" s="2" customFormat="1" ht="12.75" x14ac:dyDescent="0.2">
      <c r="R9548" s="1288"/>
    </row>
    <row r="9549" spans="18:18" s="2" customFormat="1" ht="12.75" x14ac:dyDescent="0.2">
      <c r="R9549" s="1288"/>
    </row>
    <row r="9550" spans="18:18" s="2" customFormat="1" ht="12.75" x14ac:dyDescent="0.2">
      <c r="R9550" s="1288"/>
    </row>
    <row r="9551" spans="18:18" s="2" customFormat="1" ht="12.75" x14ac:dyDescent="0.2">
      <c r="R9551" s="1288"/>
    </row>
    <row r="9552" spans="18:18" s="2" customFormat="1" ht="12.75" x14ac:dyDescent="0.2">
      <c r="R9552" s="1288"/>
    </row>
    <row r="9553" spans="18:18" s="2" customFormat="1" ht="12.75" x14ac:dyDescent="0.2">
      <c r="R9553" s="1288"/>
    </row>
    <row r="9554" spans="18:18" s="2" customFormat="1" ht="12.75" x14ac:dyDescent="0.2">
      <c r="R9554" s="1288"/>
    </row>
    <row r="9555" spans="18:18" s="2" customFormat="1" ht="12.75" x14ac:dyDescent="0.2">
      <c r="R9555" s="1288"/>
    </row>
    <row r="9556" spans="18:18" s="2" customFormat="1" ht="12.75" x14ac:dyDescent="0.2">
      <c r="R9556" s="1288"/>
    </row>
    <row r="9557" spans="18:18" s="2" customFormat="1" ht="12.75" x14ac:dyDescent="0.2">
      <c r="R9557" s="1288"/>
    </row>
    <row r="9558" spans="18:18" s="2" customFormat="1" ht="12.75" x14ac:dyDescent="0.2">
      <c r="R9558" s="1288"/>
    </row>
    <row r="9559" spans="18:18" s="2" customFormat="1" ht="12.75" x14ac:dyDescent="0.2">
      <c r="R9559" s="1288"/>
    </row>
    <row r="9560" spans="18:18" s="2" customFormat="1" ht="12.75" x14ac:dyDescent="0.2">
      <c r="R9560" s="1288"/>
    </row>
    <row r="9561" spans="18:18" s="2" customFormat="1" ht="12.75" x14ac:dyDescent="0.2">
      <c r="R9561" s="1288"/>
    </row>
    <row r="9562" spans="18:18" s="2" customFormat="1" ht="12.75" x14ac:dyDescent="0.2">
      <c r="R9562" s="1288"/>
    </row>
    <row r="9563" spans="18:18" s="2" customFormat="1" ht="12.75" x14ac:dyDescent="0.2">
      <c r="R9563" s="1288"/>
    </row>
    <row r="9564" spans="18:18" s="2" customFormat="1" ht="12.75" x14ac:dyDescent="0.2">
      <c r="R9564" s="1288"/>
    </row>
    <row r="9565" spans="18:18" s="2" customFormat="1" ht="12.75" x14ac:dyDescent="0.2">
      <c r="R9565" s="1288"/>
    </row>
    <row r="9566" spans="18:18" s="2" customFormat="1" ht="12.75" x14ac:dyDescent="0.2">
      <c r="R9566" s="1288"/>
    </row>
    <row r="9567" spans="18:18" s="2" customFormat="1" ht="12.75" x14ac:dyDescent="0.2">
      <c r="R9567" s="1288"/>
    </row>
    <row r="9568" spans="18:18" s="2" customFormat="1" ht="12.75" x14ac:dyDescent="0.2">
      <c r="R9568" s="1288"/>
    </row>
    <row r="9569" spans="18:18" s="2" customFormat="1" ht="12.75" x14ac:dyDescent="0.2">
      <c r="R9569" s="1288"/>
    </row>
    <row r="9570" spans="18:18" s="2" customFormat="1" ht="12.75" x14ac:dyDescent="0.2">
      <c r="R9570" s="1288"/>
    </row>
    <row r="9571" spans="18:18" s="2" customFormat="1" ht="12.75" x14ac:dyDescent="0.2">
      <c r="R9571" s="1288"/>
    </row>
    <row r="9572" spans="18:18" s="2" customFormat="1" ht="12.75" x14ac:dyDescent="0.2">
      <c r="R9572" s="1288"/>
    </row>
    <row r="9573" spans="18:18" s="2" customFormat="1" ht="12.75" x14ac:dyDescent="0.2">
      <c r="R9573" s="1288"/>
    </row>
    <row r="9574" spans="18:18" s="2" customFormat="1" ht="12.75" x14ac:dyDescent="0.2">
      <c r="R9574" s="1288"/>
    </row>
    <row r="9575" spans="18:18" s="2" customFormat="1" ht="12.75" x14ac:dyDescent="0.2">
      <c r="R9575" s="1288"/>
    </row>
    <row r="9576" spans="18:18" s="2" customFormat="1" ht="12.75" x14ac:dyDescent="0.2">
      <c r="R9576" s="1288"/>
    </row>
    <row r="9577" spans="18:18" s="2" customFormat="1" ht="12.75" x14ac:dyDescent="0.2">
      <c r="R9577" s="1288"/>
    </row>
    <row r="9578" spans="18:18" s="2" customFormat="1" ht="12.75" x14ac:dyDescent="0.2">
      <c r="R9578" s="1288"/>
    </row>
    <row r="9579" spans="18:18" s="2" customFormat="1" ht="12.75" x14ac:dyDescent="0.2">
      <c r="R9579" s="1288"/>
    </row>
    <row r="9580" spans="18:18" s="2" customFormat="1" ht="12.75" x14ac:dyDescent="0.2">
      <c r="R9580" s="1288"/>
    </row>
    <row r="9581" spans="18:18" s="2" customFormat="1" ht="12.75" x14ac:dyDescent="0.2">
      <c r="R9581" s="1288"/>
    </row>
    <row r="9582" spans="18:18" s="2" customFormat="1" ht="12.75" x14ac:dyDescent="0.2">
      <c r="R9582" s="1288"/>
    </row>
    <row r="9583" spans="18:18" s="2" customFormat="1" ht="12.75" x14ac:dyDescent="0.2">
      <c r="R9583" s="1288"/>
    </row>
    <row r="9584" spans="18:18" s="2" customFormat="1" ht="12.75" x14ac:dyDescent="0.2">
      <c r="R9584" s="1288"/>
    </row>
    <row r="9585" spans="18:18" s="2" customFormat="1" ht="12.75" x14ac:dyDescent="0.2">
      <c r="R9585" s="1288"/>
    </row>
    <row r="9586" spans="18:18" s="2" customFormat="1" ht="12.75" x14ac:dyDescent="0.2">
      <c r="R9586" s="1288"/>
    </row>
    <row r="9587" spans="18:18" s="2" customFormat="1" ht="12.75" x14ac:dyDescent="0.2">
      <c r="R9587" s="1288"/>
    </row>
    <row r="9588" spans="18:18" s="2" customFormat="1" ht="12.75" x14ac:dyDescent="0.2">
      <c r="R9588" s="1288"/>
    </row>
    <row r="9589" spans="18:18" s="2" customFormat="1" ht="12.75" x14ac:dyDescent="0.2">
      <c r="R9589" s="1288"/>
    </row>
    <row r="9590" spans="18:18" s="2" customFormat="1" ht="12.75" x14ac:dyDescent="0.2">
      <c r="R9590" s="1288"/>
    </row>
    <row r="9591" spans="18:18" s="2" customFormat="1" ht="12.75" x14ac:dyDescent="0.2">
      <c r="R9591" s="1288"/>
    </row>
    <row r="9592" spans="18:18" s="2" customFormat="1" ht="12.75" x14ac:dyDescent="0.2">
      <c r="R9592" s="1288"/>
    </row>
    <row r="9593" spans="18:18" s="2" customFormat="1" ht="12.75" x14ac:dyDescent="0.2">
      <c r="R9593" s="1288"/>
    </row>
    <row r="9594" spans="18:18" s="2" customFormat="1" ht="12.75" x14ac:dyDescent="0.2">
      <c r="R9594" s="1288"/>
    </row>
    <row r="9595" spans="18:18" s="2" customFormat="1" ht="12.75" x14ac:dyDescent="0.2">
      <c r="R9595" s="1288"/>
    </row>
    <row r="9596" spans="18:18" s="2" customFormat="1" ht="12.75" x14ac:dyDescent="0.2">
      <c r="R9596" s="1288"/>
    </row>
    <row r="9597" spans="18:18" s="2" customFormat="1" ht="12.75" x14ac:dyDescent="0.2">
      <c r="R9597" s="1288"/>
    </row>
    <row r="9598" spans="18:18" s="2" customFormat="1" ht="12.75" x14ac:dyDescent="0.2">
      <c r="R9598" s="1288"/>
    </row>
    <row r="9599" spans="18:18" s="2" customFormat="1" ht="12.75" x14ac:dyDescent="0.2">
      <c r="R9599" s="1288"/>
    </row>
    <row r="9600" spans="18:18" s="2" customFormat="1" ht="12.75" x14ac:dyDescent="0.2">
      <c r="R9600" s="1288"/>
    </row>
    <row r="9601" spans="18:18" s="2" customFormat="1" ht="12.75" x14ac:dyDescent="0.2">
      <c r="R9601" s="1288"/>
    </row>
    <row r="9602" spans="18:18" s="2" customFormat="1" ht="12.75" x14ac:dyDescent="0.2">
      <c r="R9602" s="1288"/>
    </row>
    <row r="9603" spans="18:18" s="2" customFormat="1" ht="12.75" x14ac:dyDescent="0.2">
      <c r="R9603" s="1288"/>
    </row>
    <row r="9604" spans="18:18" s="2" customFormat="1" ht="12.75" x14ac:dyDescent="0.2">
      <c r="R9604" s="1288"/>
    </row>
    <row r="9605" spans="18:18" s="2" customFormat="1" ht="12.75" x14ac:dyDescent="0.2">
      <c r="R9605" s="1288"/>
    </row>
    <row r="9606" spans="18:18" s="2" customFormat="1" ht="12.75" x14ac:dyDescent="0.2">
      <c r="R9606" s="1288"/>
    </row>
    <row r="9607" spans="18:18" s="2" customFormat="1" ht="12.75" x14ac:dyDescent="0.2">
      <c r="R9607" s="1288"/>
    </row>
    <row r="9608" spans="18:18" s="2" customFormat="1" ht="12.75" x14ac:dyDescent="0.2">
      <c r="R9608" s="1288"/>
    </row>
    <row r="9609" spans="18:18" s="2" customFormat="1" ht="12.75" x14ac:dyDescent="0.2">
      <c r="R9609" s="1288"/>
    </row>
    <row r="9610" spans="18:18" s="2" customFormat="1" ht="12.75" x14ac:dyDescent="0.2">
      <c r="R9610" s="1288"/>
    </row>
    <row r="9611" spans="18:18" s="2" customFormat="1" ht="12.75" x14ac:dyDescent="0.2">
      <c r="R9611" s="1288"/>
    </row>
    <row r="9612" spans="18:18" s="2" customFormat="1" ht="12.75" x14ac:dyDescent="0.2">
      <c r="R9612" s="1288"/>
    </row>
    <row r="9613" spans="18:18" s="2" customFormat="1" ht="12.75" x14ac:dyDescent="0.2">
      <c r="R9613" s="1288"/>
    </row>
    <row r="9614" spans="18:18" s="2" customFormat="1" ht="12.75" x14ac:dyDescent="0.2">
      <c r="R9614" s="1288"/>
    </row>
    <row r="9615" spans="18:18" s="2" customFormat="1" ht="12.75" x14ac:dyDescent="0.2">
      <c r="R9615" s="1288"/>
    </row>
    <row r="9616" spans="18:18" s="2" customFormat="1" ht="12.75" x14ac:dyDescent="0.2">
      <c r="R9616" s="1288"/>
    </row>
    <row r="9617" spans="18:18" s="2" customFormat="1" ht="12.75" x14ac:dyDescent="0.2">
      <c r="R9617" s="1288"/>
    </row>
    <row r="9618" spans="18:18" s="2" customFormat="1" ht="12.75" x14ac:dyDescent="0.2">
      <c r="R9618" s="1288"/>
    </row>
    <row r="9619" spans="18:18" s="2" customFormat="1" ht="12.75" x14ac:dyDescent="0.2">
      <c r="R9619" s="1288"/>
    </row>
    <row r="9620" spans="18:18" s="2" customFormat="1" ht="12.75" x14ac:dyDescent="0.2">
      <c r="R9620" s="1288"/>
    </row>
    <row r="9621" spans="18:18" s="2" customFormat="1" ht="12.75" x14ac:dyDescent="0.2">
      <c r="R9621" s="1288"/>
    </row>
    <row r="9622" spans="18:18" s="2" customFormat="1" ht="12.75" x14ac:dyDescent="0.2">
      <c r="R9622" s="1288"/>
    </row>
    <row r="9623" spans="18:18" s="2" customFormat="1" ht="12.75" x14ac:dyDescent="0.2">
      <c r="R9623" s="1288"/>
    </row>
    <row r="9624" spans="18:18" s="2" customFormat="1" ht="12.75" x14ac:dyDescent="0.2">
      <c r="R9624" s="1288"/>
    </row>
    <row r="9625" spans="18:18" s="2" customFormat="1" ht="12.75" x14ac:dyDescent="0.2">
      <c r="R9625" s="1288"/>
    </row>
    <row r="9626" spans="18:18" s="2" customFormat="1" ht="12.75" x14ac:dyDescent="0.2">
      <c r="R9626" s="1288"/>
    </row>
    <row r="9627" spans="18:18" s="2" customFormat="1" ht="12.75" x14ac:dyDescent="0.2">
      <c r="R9627" s="1288"/>
    </row>
    <row r="9628" spans="18:18" s="2" customFormat="1" ht="12.75" x14ac:dyDescent="0.2">
      <c r="R9628" s="1288"/>
    </row>
    <row r="9629" spans="18:18" s="2" customFormat="1" ht="12.75" x14ac:dyDescent="0.2">
      <c r="R9629" s="1288"/>
    </row>
    <row r="9630" spans="18:18" s="2" customFormat="1" ht="12.75" x14ac:dyDescent="0.2">
      <c r="R9630" s="1288"/>
    </row>
    <row r="9631" spans="18:18" s="2" customFormat="1" ht="12.75" x14ac:dyDescent="0.2">
      <c r="R9631" s="1288"/>
    </row>
    <row r="9632" spans="18:18" s="2" customFormat="1" ht="12.75" x14ac:dyDescent="0.2">
      <c r="R9632" s="1288"/>
    </row>
    <row r="9633" spans="18:18" s="2" customFormat="1" ht="12.75" x14ac:dyDescent="0.2">
      <c r="R9633" s="1288"/>
    </row>
    <row r="9634" spans="18:18" s="2" customFormat="1" ht="12.75" x14ac:dyDescent="0.2">
      <c r="R9634" s="1288"/>
    </row>
    <row r="9635" spans="18:18" s="2" customFormat="1" ht="12.75" x14ac:dyDescent="0.2">
      <c r="R9635" s="1288"/>
    </row>
    <row r="9636" spans="18:18" s="2" customFormat="1" ht="12.75" x14ac:dyDescent="0.2">
      <c r="R9636" s="1288"/>
    </row>
    <row r="9637" spans="18:18" s="2" customFormat="1" ht="12.75" x14ac:dyDescent="0.2">
      <c r="R9637" s="1288"/>
    </row>
    <row r="9638" spans="18:18" s="2" customFormat="1" ht="12.75" x14ac:dyDescent="0.2">
      <c r="R9638" s="1288"/>
    </row>
    <row r="9639" spans="18:18" s="2" customFormat="1" ht="12.75" x14ac:dyDescent="0.2">
      <c r="R9639" s="1288"/>
    </row>
    <row r="9640" spans="18:18" s="2" customFormat="1" ht="12.75" x14ac:dyDescent="0.2">
      <c r="R9640" s="1288"/>
    </row>
    <row r="9641" spans="18:18" s="2" customFormat="1" ht="12.75" x14ac:dyDescent="0.2">
      <c r="R9641" s="1288"/>
    </row>
    <row r="9642" spans="18:18" s="2" customFormat="1" ht="12.75" x14ac:dyDescent="0.2">
      <c r="R9642" s="1288"/>
    </row>
    <row r="9643" spans="18:18" s="2" customFormat="1" ht="12.75" x14ac:dyDescent="0.2">
      <c r="R9643" s="1288"/>
    </row>
    <row r="9644" spans="18:18" s="2" customFormat="1" ht="12.75" x14ac:dyDescent="0.2">
      <c r="R9644" s="1288"/>
    </row>
    <row r="9645" spans="18:18" s="2" customFormat="1" ht="12.75" x14ac:dyDescent="0.2">
      <c r="R9645" s="1288"/>
    </row>
    <row r="9646" spans="18:18" s="2" customFormat="1" ht="12.75" x14ac:dyDescent="0.2">
      <c r="R9646" s="1288"/>
    </row>
    <row r="9647" spans="18:18" s="2" customFormat="1" ht="12.75" x14ac:dyDescent="0.2">
      <c r="R9647" s="1288"/>
    </row>
    <row r="9648" spans="18:18" s="2" customFormat="1" ht="12.75" x14ac:dyDescent="0.2">
      <c r="R9648" s="1288"/>
    </row>
    <row r="9649" spans="18:18" s="2" customFormat="1" ht="12.75" x14ac:dyDescent="0.2">
      <c r="R9649" s="1288"/>
    </row>
    <row r="9650" spans="18:18" s="2" customFormat="1" ht="12.75" x14ac:dyDescent="0.2">
      <c r="R9650" s="1288"/>
    </row>
    <row r="9651" spans="18:18" s="2" customFormat="1" ht="12.75" x14ac:dyDescent="0.2">
      <c r="R9651" s="1288"/>
    </row>
    <row r="9652" spans="18:18" s="2" customFormat="1" ht="12.75" x14ac:dyDescent="0.2">
      <c r="R9652" s="1288"/>
    </row>
    <row r="9653" spans="18:18" s="2" customFormat="1" ht="12.75" x14ac:dyDescent="0.2">
      <c r="R9653" s="1288"/>
    </row>
    <row r="9654" spans="18:18" s="2" customFormat="1" ht="12.75" x14ac:dyDescent="0.2">
      <c r="R9654" s="1288"/>
    </row>
    <row r="9655" spans="18:18" s="2" customFormat="1" ht="12.75" x14ac:dyDescent="0.2">
      <c r="R9655" s="1288"/>
    </row>
    <row r="9656" spans="18:18" s="2" customFormat="1" ht="12.75" x14ac:dyDescent="0.2">
      <c r="R9656" s="1288"/>
    </row>
    <row r="9657" spans="18:18" s="2" customFormat="1" ht="12.75" x14ac:dyDescent="0.2">
      <c r="R9657" s="1288"/>
    </row>
    <row r="9658" spans="18:18" s="2" customFormat="1" ht="12.75" x14ac:dyDescent="0.2">
      <c r="R9658" s="1288"/>
    </row>
    <row r="9659" spans="18:18" s="2" customFormat="1" ht="12.75" x14ac:dyDescent="0.2">
      <c r="R9659" s="1288"/>
    </row>
    <row r="9660" spans="18:18" s="2" customFormat="1" ht="12.75" x14ac:dyDescent="0.2">
      <c r="R9660" s="1288"/>
    </row>
    <row r="9661" spans="18:18" s="2" customFormat="1" ht="12.75" x14ac:dyDescent="0.2">
      <c r="R9661" s="1288"/>
    </row>
    <row r="9662" spans="18:18" s="2" customFormat="1" ht="12.75" x14ac:dyDescent="0.2">
      <c r="R9662" s="1288"/>
    </row>
    <row r="9663" spans="18:18" s="2" customFormat="1" ht="12.75" x14ac:dyDescent="0.2">
      <c r="R9663" s="1288"/>
    </row>
    <row r="9664" spans="18:18" s="2" customFormat="1" ht="12.75" x14ac:dyDescent="0.2">
      <c r="R9664" s="1288"/>
    </row>
    <row r="9665" spans="18:18" s="2" customFormat="1" ht="12.75" x14ac:dyDescent="0.2">
      <c r="R9665" s="1288"/>
    </row>
    <row r="9666" spans="18:18" s="2" customFormat="1" ht="12.75" x14ac:dyDescent="0.2">
      <c r="R9666" s="1288"/>
    </row>
    <row r="9667" spans="18:18" s="2" customFormat="1" ht="12.75" x14ac:dyDescent="0.2">
      <c r="R9667" s="1288"/>
    </row>
    <row r="9668" spans="18:18" s="2" customFormat="1" ht="12.75" x14ac:dyDescent="0.2">
      <c r="R9668" s="1288"/>
    </row>
    <row r="9669" spans="18:18" s="2" customFormat="1" ht="12.75" x14ac:dyDescent="0.2">
      <c r="R9669" s="1288"/>
    </row>
    <row r="9670" spans="18:18" s="2" customFormat="1" ht="12.75" x14ac:dyDescent="0.2">
      <c r="R9670" s="1288"/>
    </row>
    <row r="9671" spans="18:18" s="2" customFormat="1" ht="12.75" x14ac:dyDescent="0.2">
      <c r="R9671" s="1288"/>
    </row>
    <row r="9672" spans="18:18" s="2" customFormat="1" ht="12.75" x14ac:dyDescent="0.2">
      <c r="R9672" s="1288"/>
    </row>
    <row r="9673" spans="18:18" s="2" customFormat="1" ht="12.75" x14ac:dyDescent="0.2">
      <c r="R9673" s="1288"/>
    </row>
    <row r="9674" spans="18:18" s="2" customFormat="1" ht="12.75" x14ac:dyDescent="0.2">
      <c r="R9674" s="1288"/>
    </row>
    <row r="9675" spans="18:18" s="2" customFormat="1" ht="12.75" x14ac:dyDescent="0.2">
      <c r="R9675" s="1288"/>
    </row>
    <row r="9676" spans="18:18" s="2" customFormat="1" ht="12.75" x14ac:dyDescent="0.2">
      <c r="R9676" s="1288"/>
    </row>
    <row r="9677" spans="18:18" s="2" customFormat="1" ht="12.75" x14ac:dyDescent="0.2">
      <c r="R9677" s="1288"/>
    </row>
    <row r="9678" spans="18:18" s="2" customFormat="1" ht="12.75" x14ac:dyDescent="0.2">
      <c r="R9678" s="1288"/>
    </row>
    <row r="9679" spans="18:18" s="2" customFormat="1" ht="12.75" x14ac:dyDescent="0.2">
      <c r="R9679" s="1288"/>
    </row>
    <row r="9680" spans="18:18" s="2" customFormat="1" ht="12.75" x14ac:dyDescent="0.2">
      <c r="R9680" s="1288"/>
    </row>
    <row r="9681" spans="18:18" s="2" customFormat="1" ht="12.75" x14ac:dyDescent="0.2">
      <c r="R9681" s="1288"/>
    </row>
    <row r="9682" spans="18:18" s="2" customFormat="1" ht="12.75" x14ac:dyDescent="0.2">
      <c r="R9682" s="1288"/>
    </row>
    <row r="9683" spans="18:18" s="2" customFormat="1" ht="12.75" x14ac:dyDescent="0.2">
      <c r="R9683" s="1288"/>
    </row>
    <row r="9684" spans="18:18" s="2" customFormat="1" ht="12.75" x14ac:dyDescent="0.2">
      <c r="R9684" s="1288"/>
    </row>
    <row r="9685" spans="18:18" s="2" customFormat="1" ht="12.75" x14ac:dyDescent="0.2">
      <c r="R9685" s="1288"/>
    </row>
    <row r="9686" spans="18:18" s="2" customFormat="1" ht="12.75" x14ac:dyDescent="0.2">
      <c r="R9686" s="1288"/>
    </row>
    <row r="9687" spans="18:18" s="2" customFormat="1" ht="12.75" x14ac:dyDescent="0.2">
      <c r="R9687" s="1288"/>
    </row>
    <row r="9688" spans="18:18" s="2" customFormat="1" ht="12.75" x14ac:dyDescent="0.2">
      <c r="R9688" s="1288"/>
    </row>
    <row r="9689" spans="18:18" s="2" customFormat="1" ht="12.75" x14ac:dyDescent="0.2">
      <c r="R9689" s="1288"/>
    </row>
    <row r="9690" spans="18:18" s="2" customFormat="1" ht="12.75" x14ac:dyDescent="0.2">
      <c r="R9690" s="1288"/>
    </row>
    <row r="9691" spans="18:18" s="2" customFormat="1" ht="12.75" x14ac:dyDescent="0.2">
      <c r="R9691" s="1288"/>
    </row>
    <row r="9692" spans="18:18" s="2" customFormat="1" ht="12.75" x14ac:dyDescent="0.2">
      <c r="R9692" s="1288"/>
    </row>
    <row r="9693" spans="18:18" s="2" customFormat="1" ht="12.75" x14ac:dyDescent="0.2">
      <c r="R9693" s="1288"/>
    </row>
    <row r="9694" spans="18:18" s="2" customFormat="1" ht="12.75" x14ac:dyDescent="0.2">
      <c r="R9694" s="1288"/>
    </row>
    <row r="9695" spans="18:18" s="2" customFormat="1" ht="12.75" x14ac:dyDescent="0.2">
      <c r="R9695" s="1288"/>
    </row>
    <row r="9696" spans="18:18" s="2" customFormat="1" ht="12.75" x14ac:dyDescent="0.2">
      <c r="R9696" s="1288"/>
    </row>
    <row r="9697" spans="18:18" s="2" customFormat="1" ht="12.75" x14ac:dyDescent="0.2">
      <c r="R9697" s="1288"/>
    </row>
    <row r="9698" spans="18:18" s="2" customFormat="1" ht="12.75" x14ac:dyDescent="0.2">
      <c r="R9698" s="1288"/>
    </row>
    <row r="9699" spans="18:18" s="2" customFormat="1" ht="12.75" x14ac:dyDescent="0.2">
      <c r="R9699" s="1288"/>
    </row>
    <row r="9700" spans="18:18" s="2" customFormat="1" ht="12.75" x14ac:dyDescent="0.2">
      <c r="R9700" s="1288"/>
    </row>
    <row r="9701" spans="18:18" s="2" customFormat="1" ht="12.75" x14ac:dyDescent="0.2">
      <c r="R9701" s="1288"/>
    </row>
    <row r="9702" spans="18:18" s="2" customFormat="1" ht="12.75" x14ac:dyDescent="0.2">
      <c r="R9702" s="1288"/>
    </row>
    <row r="9703" spans="18:18" s="2" customFormat="1" ht="12.75" x14ac:dyDescent="0.2">
      <c r="R9703" s="1288"/>
    </row>
    <row r="9704" spans="18:18" s="2" customFormat="1" ht="12.75" x14ac:dyDescent="0.2">
      <c r="R9704" s="1288"/>
    </row>
    <row r="9705" spans="18:18" s="2" customFormat="1" ht="12.75" x14ac:dyDescent="0.2">
      <c r="R9705" s="1288"/>
    </row>
    <row r="9706" spans="18:18" s="2" customFormat="1" ht="12.75" x14ac:dyDescent="0.2">
      <c r="R9706" s="1288"/>
    </row>
    <row r="9707" spans="18:18" s="2" customFormat="1" ht="12.75" x14ac:dyDescent="0.2">
      <c r="R9707" s="1288"/>
    </row>
    <row r="9708" spans="18:18" s="2" customFormat="1" ht="12.75" x14ac:dyDescent="0.2">
      <c r="R9708" s="1288"/>
    </row>
    <row r="9709" spans="18:18" s="2" customFormat="1" ht="12.75" x14ac:dyDescent="0.2">
      <c r="R9709" s="1288"/>
    </row>
    <row r="9710" spans="18:18" s="2" customFormat="1" ht="12.75" x14ac:dyDescent="0.2">
      <c r="R9710" s="1288"/>
    </row>
    <row r="9711" spans="18:18" s="2" customFormat="1" ht="12.75" x14ac:dyDescent="0.2">
      <c r="R9711" s="1288"/>
    </row>
    <row r="9712" spans="18:18" s="2" customFormat="1" ht="12.75" x14ac:dyDescent="0.2">
      <c r="R9712" s="1288"/>
    </row>
    <row r="9713" spans="18:18" s="2" customFormat="1" ht="12.75" x14ac:dyDescent="0.2">
      <c r="R9713" s="1288"/>
    </row>
    <row r="9714" spans="18:18" s="2" customFormat="1" ht="12.75" x14ac:dyDescent="0.2">
      <c r="R9714" s="1288"/>
    </row>
    <row r="9715" spans="18:18" s="2" customFormat="1" ht="12.75" x14ac:dyDescent="0.2">
      <c r="R9715" s="1288"/>
    </row>
    <row r="9716" spans="18:18" s="2" customFormat="1" ht="12.75" x14ac:dyDescent="0.2">
      <c r="R9716" s="1288"/>
    </row>
    <row r="9717" spans="18:18" s="2" customFormat="1" ht="12.75" x14ac:dyDescent="0.2">
      <c r="R9717" s="1288"/>
    </row>
    <row r="9718" spans="18:18" s="2" customFormat="1" ht="12.75" x14ac:dyDescent="0.2">
      <c r="R9718" s="1288"/>
    </row>
    <row r="9719" spans="18:18" s="2" customFormat="1" ht="12.75" x14ac:dyDescent="0.2">
      <c r="R9719" s="1288"/>
    </row>
    <row r="9720" spans="18:18" s="2" customFormat="1" ht="12.75" x14ac:dyDescent="0.2">
      <c r="R9720" s="1288"/>
    </row>
    <row r="9721" spans="18:18" s="2" customFormat="1" ht="12.75" x14ac:dyDescent="0.2">
      <c r="R9721" s="1288"/>
    </row>
    <row r="9722" spans="18:18" s="2" customFormat="1" ht="12.75" x14ac:dyDescent="0.2">
      <c r="R9722" s="1288"/>
    </row>
    <row r="9723" spans="18:18" s="2" customFormat="1" ht="12.75" x14ac:dyDescent="0.2">
      <c r="R9723" s="1288"/>
    </row>
    <row r="9724" spans="18:18" s="2" customFormat="1" ht="12.75" x14ac:dyDescent="0.2">
      <c r="R9724" s="1288"/>
    </row>
    <row r="9725" spans="18:18" s="2" customFormat="1" ht="12.75" x14ac:dyDescent="0.2">
      <c r="R9725" s="1288"/>
    </row>
    <row r="9726" spans="18:18" s="2" customFormat="1" ht="12.75" x14ac:dyDescent="0.2">
      <c r="R9726" s="1288"/>
    </row>
    <row r="9727" spans="18:18" s="2" customFormat="1" ht="12.75" x14ac:dyDescent="0.2">
      <c r="R9727" s="1288"/>
    </row>
    <row r="9728" spans="18:18" s="2" customFormat="1" ht="12.75" x14ac:dyDescent="0.2">
      <c r="R9728" s="1288"/>
    </row>
    <row r="9729" spans="18:18" s="2" customFormat="1" ht="12.75" x14ac:dyDescent="0.2">
      <c r="R9729" s="1288"/>
    </row>
    <row r="9730" spans="18:18" s="2" customFormat="1" ht="12.75" x14ac:dyDescent="0.2">
      <c r="R9730" s="1288"/>
    </row>
    <row r="9731" spans="18:18" s="2" customFormat="1" ht="12.75" x14ac:dyDescent="0.2">
      <c r="R9731" s="1288"/>
    </row>
    <row r="9732" spans="18:18" s="2" customFormat="1" ht="12.75" x14ac:dyDescent="0.2">
      <c r="R9732" s="1288"/>
    </row>
    <row r="9733" spans="18:18" s="2" customFormat="1" ht="12.75" x14ac:dyDescent="0.2">
      <c r="R9733" s="1288"/>
    </row>
    <row r="9734" spans="18:18" s="2" customFormat="1" ht="12.75" x14ac:dyDescent="0.2">
      <c r="R9734" s="1288"/>
    </row>
    <row r="9735" spans="18:18" s="2" customFormat="1" ht="12.75" x14ac:dyDescent="0.2">
      <c r="R9735" s="1288"/>
    </row>
    <row r="9736" spans="18:18" s="2" customFormat="1" ht="12.75" x14ac:dyDescent="0.2">
      <c r="R9736" s="1288"/>
    </row>
    <row r="9737" spans="18:18" s="2" customFormat="1" ht="12.75" x14ac:dyDescent="0.2">
      <c r="R9737" s="1288"/>
    </row>
    <row r="9738" spans="18:18" s="2" customFormat="1" ht="12.75" x14ac:dyDescent="0.2">
      <c r="R9738" s="1288"/>
    </row>
    <row r="9739" spans="18:18" s="2" customFormat="1" ht="12.75" x14ac:dyDescent="0.2">
      <c r="R9739" s="1288"/>
    </row>
    <row r="9740" spans="18:18" s="2" customFormat="1" ht="12.75" x14ac:dyDescent="0.2">
      <c r="R9740" s="1288"/>
    </row>
    <row r="9741" spans="18:18" s="2" customFormat="1" ht="12.75" x14ac:dyDescent="0.2">
      <c r="R9741" s="1288"/>
    </row>
    <row r="9742" spans="18:18" s="2" customFormat="1" ht="12.75" x14ac:dyDescent="0.2">
      <c r="R9742" s="1288"/>
    </row>
    <row r="9743" spans="18:18" s="2" customFormat="1" ht="12.75" x14ac:dyDescent="0.2">
      <c r="R9743" s="1288"/>
    </row>
    <row r="9744" spans="18:18" s="2" customFormat="1" ht="12.75" x14ac:dyDescent="0.2">
      <c r="R9744" s="1288"/>
    </row>
    <row r="9745" spans="18:18" s="2" customFormat="1" ht="12.75" x14ac:dyDescent="0.2">
      <c r="R9745" s="1288"/>
    </row>
    <row r="9746" spans="18:18" s="2" customFormat="1" ht="12.75" x14ac:dyDescent="0.2">
      <c r="R9746" s="1288"/>
    </row>
    <row r="9747" spans="18:18" s="2" customFormat="1" ht="12.75" x14ac:dyDescent="0.2">
      <c r="R9747" s="1288"/>
    </row>
    <row r="9748" spans="18:18" s="2" customFormat="1" ht="12.75" x14ac:dyDescent="0.2">
      <c r="R9748" s="1288"/>
    </row>
    <row r="9749" spans="18:18" s="2" customFormat="1" ht="12.75" x14ac:dyDescent="0.2">
      <c r="R9749" s="1288"/>
    </row>
    <row r="9750" spans="18:18" s="2" customFormat="1" ht="12.75" x14ac:dyDescent="0.2">
      <c r="R9750" s="1288"/>
    </row>
    <row r="9751" spans="18:18" s="2" customFormat="1" ht="12.75" x14ac:dyDescent="0.2">
      <c r="R9751" s="1288"/>
    </row>
    <row r="9752" spans="18:18" s="2" customFormat="1" ht="12.75" x14ac:dyDescent="0.2">
      <c r="R9752" s="1288"/>
    </row>
    <row r="9753" spans="18:18" s="2" customFormat="1" ht="12.75" x14ac:dyDescent="0.2">
      <c r="R9753" s="1288"/>
    </row>
    <row r="9754" spans="18:18" s="2" customFormat="1" ht="12.75" x14ac:dyDescent="0.2">
      <c r="R9754" s="1288"/>
    </row>
    <row r="9755" spans="18:18" s="2" customFormat="1" ht="12.75" x14ac:dyDescent="0.2">
      <c r="R9755" s="1288"/>
    </row>
    <row r="9756" spans="18:18" s="2" customFormat="1" ht="12.75" x14ac:dyDescent="0.2">
      <c r="R9756" s="1288"/>
    </row>
    <row r="9757" spans="18:18" s="2" customFormat="1" ht="12.75" x14ac:dyDescent="0.2">
      <c r="R9757" s="1288"/>
    </row>
    <row r="9758" spans="18:18" s="2" customFormat="1" ht="12.75" x14ac:dyDescent="0.2">
      <c r="R9758" s="1288"/>
    </row>
    <row r="9759" spans="18:18" s="2" customFormat="1" ht="12.75" x14ac:dyDescent="0.2">
      <c r="R9759" s="1288"/>
    </row>
    <row r="9760" spans="18:18" s="2" customFormat="1" ht="12.75" x14ac:dyDescent="0.2">
      <c r="R9760" s="1288"/>
    </row>
    <row r="9761" spans="18:18" s="2" customFormat="1" ht="12.75" x14ac:dyDescent="0.2">
      <c r="R9761" s="1288"/>
    </row>
    <row r="9762" spans="18:18" s="2" customFormat="1" ht="12.75" x14ac:dyDescent="0.2">
      <c r="R9762" s="1288"/>
    </row>
    <row r="9763" spans="18:18" s="2" customFormat="1" ht="12.75" x14ac:dyDescent="0.2">
      <c r="R9763" s="1288"/>
    </row>
    <row r="9764" spans="18:18" s="2" customFormat="1" ht="12.75" x14ac:dyDescent="0.2">
      <c r="R9764" s="1288"/>
    </row>
    <row r="9765" spans="18:18" s="2" customFormat="1" ht="12.75" x14ac:dyDescent="0.2">
      <c r="R9765" s="1288"/>
    </row>
    <row r="9766" spans="18:18" s="2" customFormat="1" ht="12.75" x14ac:dyDescent="0.2">
      <c r="R9766" s="1288"/>
    </row>
    <row r="9767" spans="18:18" s="2" customFormat="1" ht="12.75" x14ac:dyDescent="0.2">
      <c r="R9767" s="1288"/>
    </row>
    <row r="9768" spans="18:18" s="2" customFormat="1" ht="12.75" x14ac:dyDescent="0.2">
      <c r="R9768" s="1288"/>
    </row>
    <row r="9769" spans="18:18" s="2" customFormat="1" ht="12.75" x14ac:dyDescent="0.2">
      <c r="R9769" s="1288"/>
    </row>
    <row r="9770" spans="18:18" s="2" customFormat="1" ht="12.75" x14ac:dyDescent="0.2">
      <c r="R9770" s="1288"/>
    </row>
    <row r="9771" spans="18:18" s="2" customFormat="1" ht="12.75" x14ac:dyDescent="0.2">
      <c r="R9771" s="1288"/>
    </row>
    <row r="9772" spans="18:18" s="2" customFormat="1" ht="12.75" x14ac:dyDescent="0.2">
      <c r="R9772" s="1288"/>
    </row>
    <row r="9773" spans="18:18" s="2" customFormat="1" ht="12.75" x14ac:dyDescent="0.2">
      <c r="R9773" s="1288"/>
    </row>
    <row r="9774" spans="18:18" s="2" customFormat="1" ht="12.75" x14ac:dyDescent="0.2">
      <c r="R9774" s="1288"/>
    </row>
    <row r="9775" spans="18:18" s="2" customFormat="1" ht="12.75" x14ac:dyDescent="0.2">
      <c r="R9775" s="1288"/>
    </row>
    <row r="9776" spans="18:18" s="2" customFormat="1" ht="12.75" x14ac:dyDescent="0.2">
      <c r="R9776" s="1288"/>
    </row>
    <row r="9777" spans="18:18" s="2" customFormat="1" ht="12.75" x14ac:dyDescent="0.2">
      <c r="R9777" s="1288"/>
    </row>
    <row r="9778" spans="18:18" s="2" customFormat="1" ht="12.75" x14ac:dyDescent="0.2">
      <c r="R9778" s="1288"/>
    </row>
    <row r="9779" spans="18:18" s="2" customFormat="1" ht="12.75" x14ac:dyDescent="0.2">
      <c r="R9779" s="1288"/>
    </row>
    <row r="9780" spans="18:18" s="2" customFormat="1" ht="12.75" x14ac:dyDescent="0.2">
      <c r="R9780" s="1288"/>
    </row>
    <row r="9781" spans="18:18" s="2" customFormat="1" ht="12.75" x14ac:dyDescent="0.2">
      <c r="R9781" s="1288"/>
    </row>
    <row r="9782" spans="18:18" s="2" customFormat="1" ht="12.75" x14ac:dyDescent="0.2">
      <c r="R9782" s="1288"/>
    </row>
    <row r="9783" spans="18:18" s="2" customFormat="1" ht="12.75" x14ac:dyDescent="0.2">
      <c r="R9783" s="1288"/>
    </row>
    <row r="9784" spans="18:18" s="2" customFormat="1" ht="12.75" x14ac:dyDescent="0.2">
      <c r="R9784" s="1288"/>
    </row>
    <row r="9785" spans="18:18" s="2" customFormat="1" ht="12.75" x14ac:dyDescent="0.2">
      <c r="R9785" s="1288"/>
    </row>
    <row r="9786" spans="18:18" s="2" customFormat="1" ht="12.75" x14ac:dyDescent="0.2">
      <c r="R9786" s="1288"/>
    </row>
    <row r="9787" spans="18:18" s="2" customFormat="1" ht="12.75" x14ac:dyDescent="0.2">
      <c r="R9787" s="1288"/>
    </row>
    <row r="9788" spans="18:18" s="2" customFormat="1" ht="12.75" x14ac:dyDescent="0.2">
      <c r="R9788" s="1288"/>
    </row>
    <row r="9789" spans="18:18" s="2" customFormat="1" ht="12.75" x14ac:dyDescent="0.2">
      <c r="R9789" s="1288"/>
    </row>
    <row r="9790" spans="18:18" s="2" customFormat="1" ht="12.75" x14ac:dyDescent="0.2">
      <c r="R9790" s="1288"/>
    </row>
    <row r="9791" spans="18:18" s="2" customFormat="1" ht="12.75" x14ac:dyDescent="0.2">
      <c r="R9791" s="1288"/>
    </row>
    <row r="9792" spans="18:18" s="2" customFormat="1" ht="12.75" x14ac:dyDescent="0.2">
      <c r="R9792" s="1288"/>
    </row>
    <row r="9793" spans="18:18" s="2" customFormat="1" ht="12.75" x14ac:dyDescent="0.2">
      <c r="R9793" s="1288"/>
    </row>
    <row r="9794" spans="18:18" s="2" customFormat="1" ht="12.75" x14ac:dyDescent="0.2">
      <c r="R9794" s="1288"/>
    </row>
    <row r="9795" spans="18:18" s="2" customFormat="1" ht="12.75" x14ac:dyDescent="0.2">
      <c r="R9795" s="1288"/>
    </row>
    <row r="9796" spans="18:18" s="2" customFormat="1" ht="12.75" x14ac:dyDescent="0.2">
      <c r="R9796" s="1288"/>
    </row>
    <row r="9797" spans="18:18" s="2" customFormat="1" ht="12.75" x14ac:dyDescent="0.2">
      <c r="R9797" s="1288"/>
    </row>
    <row r="9798" spans="18:18" s="2" customFormat="1" ht="12.75" x14ac:dyDescent="0.2">
      <c r="R9798" s="1288"/>
    </row>
    <row r="9799" spans="18:18" s="2" customFormat="1" ht="12.75" x14ac:dyDescent="0.2">
      <c r="R9799" s="1288"/>
    </row>
    <row r="9800" spans="18:18" s="2" customFormat="1" ht="12.75" x14ac:dyDescent="0.2">
      <c r="R9800" s="1288"/>
    </row>
    <row r="9801" spans="18:18" s="2" customFormat="1" ht="12.75" x14ac:dyDescent="0.2">
      <c r="R9801" s="1288"/>
    </row>
    <row r="9802" spans="18:18" s="2" customFormat="1" ht="12.75" x14ac:dyDescent="0.2">
      <c r="R9802" s="1288"/>
    </row>
    <row r="9803" spans="18:18" s="2" customFormat="1" ht="12.75" x14ac:dyDescent="0.2">
      <c r="R9803" s="1288"/>
    </row>
    <row r="9804" spans="18:18" s="2" customFormat="1" ht="12.75" x14ac:dyDescent="0.2">
      <c r="R9804" s="1288"/>
    </row>
    <row r="9805" spans="18:18" s="2" customFormat="1" ht="12.75" x14ac:dyDescent="0.2">
      <c r="R9805" s="1288"/>
    </row>
    <row r="9806" spans="18:18" s="2" customFormat="1" ht="12.75" x14ac:dyDescent="0.2">
      <c r="R9806" s="1288"/>
    </row>
    <row r="9807" spans="18:18" s="2" customFormat="1" ht="12.75" x14ac:dyDescent="0.2">
      <c r="R9807" s="1288"/>
    </row>
    <row r="9808" spans="18:18" s="2" customFormat="1" ht="12.75" x14ac:dyDescent="0.2">
      <c r="R9808" s="1288"/>
    </row>
    <row r="9809" spans="18:18" s="2" customFormat="1" ht="12.75" x14ac:dyDescent="0.2">
      <c r="R9809" s="1288"/>
    </row>
    <row r="9810" spans="18:18" s="2" customFormat="1" ht="12.75" x14ac:dyDescent="0.2">
      <c r="R9810" s="1288"/>
    </row>
    <row r="9811" spans="18:18" s="2" customFormat="1" ht="12.75" x14ac:dyDescent="0.2">
      <c r="R9811" s="1288"/>
    </row>
    <row r="9812" spans="18:18" s="2" customFormat="1" ht="12.75" x14ac:dyDescent="0.2">
      <c r="R9812" s="1288"/>
    </row>
    <row r="9813" spans="18:18" s="2" customFormat="1" ht="12.75" x14ac:dyDescent="0.2">
      <c r="R9813" s="1288"/>
    </row>
    <row r="9814" spans="18:18" s="2" customFormat="1" ht="12.75" x14ac:dyDescent="0.2">
      <c r="R9814" s="1288"/>
    </row>
    <row r="9815" spans="18:18" s="2" customFormat="1" ht="12.75" x14ac:dyDescent="0.2">
      <c r="R9815" s="1288"/>
    </row>
    <row r="9816" spans="18:18" s="2" customFormat="1" ht="12.75" x14ac:dyDescent="0.2">
      <c r="R9816" s="1288"/>
    </row>
    <row r="9817" spans="18:18" s="2" customFormat="1" ht="12.75" x14ac:dyDescent="0.2">
      <c r="R9817" s="1288"/>
    </row>
    <row r="9818" spans="18:18" s="2" customFormat="1" ht="12.75" x14ac:dyDescent="0.2">
      <c r="R9818" s="1288"/>
    </row>
    <row r="9819" spans="18:18" s="2" customFormat="1" ht="12.75" x14ac:dyDescent="0.2">
      <c r="R9819" s="1288"/>
    </row>
    <row r="9820" spans="18:18" s="2" customFormat="1" ht="12.75" x14ac:dyDescent="0.2">
      <c r="R9820" s="1288"/>
    </row>
    <row r="9821" spans="18:18" s="2" customFormat="1" ht="12.75" x14ac:dyDescent="0.2">
      <c r="R9821" s="1288"/>
    </row>
    <row r="9822" spans="18:18" s="2" customFormat="1" ht="12.75" x14ac:dyDescent="0.2">
      <c r="R9822" s="1288"/>
    </row>
    <row r="9823" spans="18:18" s="2" customFormat="1" ht="12.75" x14ac:dyDescent="0.2">
      <c r="R9823" s="1288"/>
    </row>
    <row r="9824" spans="18:18" s="2" customFormat="1" ht="12.75" x14ac:dyDescent="0.2">
      <c r="R9824" s="1288"/>
    </row>
    <row r="9825" spans="18:18" s="2" customFormat="1" ht="12.75" x14ac:dyDescent="0.2">
      <c r="R9825" s="1288"/>
    </row>
    <row r="9826" spans="18:18" s="2" customFormat="1" ht="12.75" x14ac:dyDescent="0.2">
      <c r="R9826" s="1288"/>
    </row>
    <row r="9827" spans="18:18" s="2" customFormat="1" ht="12.75" x14ac:dyDescent="0.2">
      <c r="R9827" s="1288"/>
    </row>
    <row r="9828" spans="18:18" s="2" customFormat="1" ht="12.75" x14ac:dyDescent="0.2">
      <c r="R9828" s="1288"/>
    </row>
    <row r="9829" spans="18:18" s="2" customFormat="1" ht="12.75" x14ac:dyDescent="0.2">
      <c r="R9829" s="1288"/>
    </row>
    <row r="9830" spans="18:18" s="2" customFormat="1" ht="12.75" x14ac:dyDescent="0.2">
      <c r="R9830" s="1288"/>
    </row>
    <row r="9831" spans="18:18" s="2" customFormat="1" ht="12.75" x14ac:dyDescent="0.2">
      <c r="R9831" s="1288"/>
    </row>
    <row r="9832" spans="18:18" s="2" customFormat="1" ht="12.75" x14ac:dyDescent="0.2">
      <c r="R9832" s="1288"/>
    </row>
    <row r="9833" spans="18:18" s="2" customFormat="1" ht="12.75" x14ac:dyDescent="0.2">
      <c r="R9833" s="1288"/>
    </row>
    <row r="9834" spans="18:18" s="2" customFormat="1" ht="12.75" x14ac:dyDescent="0.2">
      <c r="R9834" s="1288"/>
    </row>
    <row r="9835" spans="18:18" s="2" customFormat="1" ht="12.75" x14ac:dyDescent="0.2">
      <c r="R9835" s="1288"/>
    </row>
    <row r="9836" spans="18:18" s="2" customFormat="1" ht="12.75" x14ac:dyDescent="0.2">
      <c r="R9836" s="1288"/>
    </row>
    <row r="9837" spans="18:18" s="2" customFormat="1" ht="12.75" x14ac:dyDescent="0.2">
      <c r="R9837" s="1288"/>
    </row>
    <row r="9838" spans="18:18" s="2" customFormat="1" ht="12.75" x14ac:dyDescent="0.2">
      <c r="R9838" s="1288"/>
    </row>
    <row r="9839" spans="18:18" s="2" customFormat="1" ht="12.75" x14ac:dyDescent="0.2">
      <c r="R9839" s="1288"/>
    </row>
    <row r="9840" spans="18:18" s="2" customFormat="1" ht="12.75" x14ac:dyDescent="0.2">
      <c r="R9840" s="1288"/>
    </row>
    <row r="9841" spans="18:18" s="2" customFormat="1" ht="12.75" x14ac:dyDescent="0.2">
      <c r="R9841" s="1288"/>
    </row>
    <row r="9842" spans="18:18" s="2" customFormat="1" ht="12.75" x14ac:dyDescent="0.2">
      <c r="R9842" s="1288"/>
    </row>
    <row r="9843" spans="18:18" s="2" customFormat="1" ht="12.75" x14ac:dyDescent="0.2">
      <c r="R9843" s="1288"/>
    </row>
    <row r="9844" spans="18:18" s="2" customFormat="1" ht="12.75" x14ac:dyDescent="0.2">
      <c r="R9844" s="1288"/>
    </row>
    <row r="9845" spans="18:18" s="2" customFormat="1" ht="12.75" x14ac:dyDescent="0.2">
      <c r="R9845" s="1288"/>
    </row>
    <row r="9846" spans="18:18" s="2" customFormat="1" ht="12.75" x14ac:dyDescent="0.2">
      <c r="R9846" s="1288"/>
    </row>
    <row r="9847" spans="18:18" s="2" customFormat="1" ht="12.75" x14ac:dyDescent="0.2">
      <c r="R9847" s="1288"/>
    </row>
    <row r="9848" spans="18:18" s="2" customFormat="1" ht="12.75" x14ac:dyDescent="0.2">
      <c r="R9848" s="1288"/>
    </row>
    <row r="9849" spans="18:18" s="2" customFormat="1" ht="12.75" x14ac:dyDescent="0.2">
      <c r="R9849" s="1288"/>
    </row>
    <row r="9850" spans="18:18" s="2" customFormat="1" ht="12.75" x14ac:dyDescent="0.2">
      <c r="R9850" s="1288"/>
    </row>
    <row r="9851" spans="18:18" s="2" customFormat="1" ht="12.75" x14ac:dyDescent="0.2">
      <c r="R9851" s="1288"/>
    </row>
    <row r="9852" spans="18:18" s="2" customFormat="1" ht="12.75" x14ac:dyDescent="0.2">
      <c r="R9852" s="1288"/>
    </row>
    <row r="9853" spans="18:18" s="2" customFormat="1" ht="12.75" x14ac:dyDescent="0.2">
      <c r="R9853" s="1288"/>
    </row>
    <row r="9854" spans="18:18" s="2" customFormat="1" ht="12.75" x14ac:dyDescent="0.2">
      <c r="R9854" s="1288"/>
    </row>
    <row r="9855" spans="18:18" s="2" customFormat="1" ht="12.75" x14ac:dyDescent="0.2">
      <c r="R9855" s="1288"/>
    </row>
    <row r="9856" spans="18:18" s="2" customFormat="1" ht="12.75" x14ac:dyDescent="0.2">
      <c r="R9856" s="1288"/>
    </row>
    <row r="9857" spans="18:18" s="2" customFormat="1" ht="12.75" x14ac:dyDescent="0.2">
      <c r="R9857" s="1288"/>
    </row>
    <row r="9858" spans="18:18" s="2" customFormat="1" ht="12.75" x14ac:dyDescent="0.2">
      <c r="R9858" s="1288"/>
    </row>
    <row r="9859" spans="18:18" s="2" customFormat="1" ht="12.75" x14ac:dyDescent="0.2">
      <c r="R9859" s="1288"/>
    </row>
    <row r="9860" spans="18:18" s="2" customFormat="1" ht="12.75" x14ac:dyDescent="0.2">
      <c r="R9860" s="1288"/>
    </row>
    <row r="9861" spans="18:18" s="2" customFormat="1" ht="12.75" x14ac:dyDescent="0.2">
      <c r="R9861" s="1288"/>
    </row>
    <row r="9862" spans="18:18" s="2" customFormat="1" ht="12.75" x14ac:dyDescent="0.2">
      <c r="R9862" s="1288"/>
    </row>
    <row r="9863" spans="18:18" s="2" customFormat="1" ht="12.75" x14ac:dyDescent="0.2">
      <c r="R9863" s="1288"/>
    </row>
    <row r="9864" spans="18:18" s="2" customFormat="1" ht="12.75" x14ac:dyDescent="0.2">
      <c r="R9864" s="1288"/>
    </row>
    <row r="9865" spans="18:18" s="2" customFormat="1" ht="12.75" x14ac:dyDescent="0.2">
      <c r="R9865" s="1288"/>
    </row>
    <row r="9866" spans="18:18" s="2" customFormat="1" ht="12.75" x14ac:dyDescent="0.2">
      <c r="R9866" s="1288"/>
    </row>
    <row r="9867" spans="18:18" s="2" customFormat="1" ht="12.75" x14ac:dyDescent="0.2">
      <c r="R9867" s="1288"/>
    </row>
    <row r="9868" spans="18:18" s="2" customFormat="1" ht="12.75" x14ac:dyDescent="0.2">
      <c r="R9868" s="1288"/>
    </row>
    <row r="9869" spans="18:18" s="2" customFormat="1" ht="12.75" x14ac:dyDescent="0.2">
      <c r="R9869" s="1288"/>
    </row>
    <row r="9870" spans="18:18" s="2" customFormat="1" ht="12.75" x14ac:dyDescent="0.2">
      <c r="R9870" s="1288"/>
    </row>
    <row r="9871" spans="18:18" s="2" customFormat="1" ht="12.75" x14ac:dyDescent="0.2">
      <c r="R9871" s="1288"/>
    </row>
    <row r="9872" spans="18:18" s="2" customFormat="1" ht="12.75" x14ac:dyDescent="0.2">
      <c r="R9872" s="1288"/>
    </row>
    <row r="9873" spans="18:18" s="2" customFormat="1" ht="12.75" x14ac:dyDescent="0.2">
      <c r="R9873" s="1288"/>
    </row>
    <row r="9874" spans="18:18" s="2" customFormat="1" ht="12.75" x14ac:dyDescent="0.2">
      <c r="R9874" s="1288"/>
    </row>
    <row r="9875" spans="18:18" s="2" customFormat="1" ht="12.75" x14ac:dyDescent="0.2">
      <c r="R9875" s="1288"/>
    </row>
    <row r="9876" spans="18:18" s="2" customFormat="1" ht="12.75" x14ac:dyDescent="0.2">
      <c r="R9876" s="1288"/>
    </row>
    <row r="9877" spans="18:18" s="2" customFormat="1" ht="12.75" x14ac:dyDescent="0.2">
      <c r="R9877" s="1288"/>
    </row>
    <row r="9878" spans="18:18" s="2" customFormat="1" ht="12.75" x14ac:dyDescent="0.2">
      <c r="R9878" s="1288"/>
    </row>
    <row r="9879" spans="18:18" s="2" customFormat="1" ht="12.75" x14ac:dyDescent="0.2">
      <c r="R9879" s="1288"/>
    </row>
    <row r="9880" spans="18:18" s="2" customFormat="1" ht="12.75" x14ac:dyDescent="0.2">
      <c r="R9880" s="1288"/>
    </row>
    <row r="9881" spans="18:18" s="2" customFormat="1" ht="12.75" x14ac:dyDescent="0.2">
      <c r="R9881" s="1288"/>
    </row>
    <row r="9882" spans="18:18" s="2" customFormat="1" ht="12.75" x14ac:dyDescent="0.2">
      <c r="R9882" s="1288"/>
    </row>
    <row r="9883" spans="18:18" s="2" customFormat="1" ht="12.75" x14ac:dyDescent="0.2">
      <c r="R9883" s="1288"/>
    </row>
    <row r="9884" spans="18:18" s="2" customFormat="1" ht="12.75" x14ac:dyDescent="0.2">
      <c r="R9884" s="1288"/>
    </row>
    <row r="9885" spans="18:18" s="2" customFormat="1" ht="12.75" x14ac:dyDescent="0.2">
      <c r="R9885" s="1288"/>
    </row>
    <row r="9886" spans="18:18" s="2" customFormat="1" ht="12.75" x14ac:dyDescent="0.2">
      <c r="R9886" s="1288"/>
    </row>
    <row r="9887" spans="18:18" s="2" customFormat="1" ht="12.75" x14ac:dyDescent="0.2">
      <c r="R9887" s="1288"/>
    </row>
    <row r="9888" spans="18:18" s="2" customFormat="1" ht="12.75" x14ac:dyDescent="0.2">
      <c r="R9888" s="1288"/>
    </row>
    <row r="9889" spans="18:18" s="2" customFormat="1" ht="12.75" x14ac:dyDescent="0.2">
      <c r="R9889" s="1288"/>
    </row>
    <row r="9890" spans="18:18" s="2" customFormat="1" ht="12.75" x14ac:dyDescent="0.2">
      <c r="R9890" s="1288"/>
    </row>
    <row r="9891" spans="18:18" s="2" customFormat="1" ht="12.75" x14ac:dyDescent="0.2">
      <c r="R9891" s="1288"/>
    </row>
    <row r="9892" spans="18:18" s="2" customFormat="1" ht="12.75" x14ac:dyDescent="0.2">
      <c r="R9892" s="1288"/>
    </row>
    <row r="9893" spans="18:18" s="2" customFormat="1" ht="12.75" x14ac:dyDescent="0.2">
      <c r="R9893" s="1288"/>
    </row>
    <row r="9894" spans="18:18" s="2" customFormat="1" ht="12.75" x14ac:dyDescent="0.2">
      <c r="R9894" s="1288"/>
    </row>
    <row r="9895" spans="18:18" s="2" customFormat="1" ht="12.75" x14ac:dyDescent="0.2">
      <c r="R9895" s="1288"/>
    </row>
    <row r="9896" spans="18:18" s="2" customFormat="1" ht="12.75" x14ac:dyDescent="0.2">
      <c r="R9896" s="1288"/>
    </row>
    <row r="9897" spans="18:18" s="2" customFormat="1" ht="12.75" x14ac:dyDescent="0.2">
      <c r="R9897" s="1288"/>
    </row>
    <row r="9898" spans="18:18" s="2" customFormat="1" ht="12.75" x14ac:dyDescent="0.2">
      <c r="R9898" s="1288"/>
    </row>
    <row r="9899" spans="18:18" s="2" customFormat="1" ht="12.75" x14ac:dyDescent="0.2">
      <c r="R9899" s="1288"/>
    </row>
    <row r="9900" spans="18:18" s="2" customFormat="1" ht="12.75" x14ac:dyDescent="0.2">
      <c r="R9900" s="1288"/>
    </row>
    <row r="9901" spans="18:18" s="2" customFormat="1" ht="12.75" x14ac:dyDescent="0.2">
      <c r="R9901" s="1288"/>
    </row>
    <row r="9902" spans="18:18" s="2" customFormat="1" ht="12.75" x14ac:dyDescent="0.2">
      <c r="R9902" s="1288"/>
    </row>
    <row r="9903" spans="18:18" s="2" customFormat="1" ht="12.75" x14ac:dyDescent="0.2">
      <c r="R9903" s="1288"/>
    </row>
    <row r="9904" spans="18:18" s="2" customFormat="1" ht="12.75" x14ac:dyDescent="0.2">
      <c r="R9904" s="1288"/>
    </row>
    <row r="9905" spans="18:18" s="2" customFormat="1" ht="12.75" x14ac:dyDescent="0.2">
      <c r="R9905" s="1288"/>
    </row>
    <row r="9906" spans="18:18" s="2" customFormat="1" ht="12.75" x14ac:dyDescent="0.2">
      <c r="R9906" s="1288"/>
    </row>
    <row r="9907" spans="18:18" s="2" customFormat="1" ht="12.75" x14ac:dyDescent="0.2">
      <c r="R9907" s="1288"/>
    </row>
    <row r="9908" spans="18:18" s="2" customFormat="1" ht="12.75" x14ac:dyDescent="0.2">
      <c r="R9908" s="1288"/>
    </row>
    <row r="9909" spans="18:18" s="2" customFormat="1" ht="12.75" x14ac:dyDescent="0.2">
      <c r="R9909" s="1288"/>
    </row>
    <row r="9910" spans="18:18" s="2" customFormat="1" ht="12.75" x14ac:dyDescent="0.2">
      <c r="R9910" s="1288"/>
    </row>
    <row r="9911" spans="18:18" s="2" customFormat="1" ht="12.75" x14ac:dyDescent="0.2">
      <c r="R9911" s="1288"/>
    </row>
    <row r="9912" spans="18:18" s="2" customFormat="1" ht="12.75" x14ac:dyDescent="0.2">
      <c r="R9912" s="1288"/>
    </row>
    <row r="9913" spans="18:18" s="2" customFormat="1" ht="12.75" x14ac:dyDescent="0.2">
      <c r="R9913" s="1288"/>
    </row>
    <row r="9914" spans="18:18" s="2" customFormat="1" ht="12.75" x14ac:dyDescent="0.2">
      <c r="R9914" s="1288"/>
    </row>
    <row r="9915" spans="18:18" s="2" customFormat="1" ht="12.75" x14ac:dyDescent="0.2">
      <c r="R9915" s="1288"/>
    </row>
    <row r="9916" spans="18:18" s="2" customFormat="1" ht="12.75" x14ac:dyDescent="0.2">
      <c r="R9916" s="1288"/>
    </row>
    <row r="9917" spans="18:18" s="2" customFormat="1" ht="12.75" x14ac:dyDescent="0.2">
      <c r="R9917" s="1288"/>
    </row>
    <row r="9918" spans="18:18" s="2" customFormat="1" ht="12.75" x14ac:dyDescent="0.2">
      <c r="R9918" s="1288"/>
    </row>
    <row r="9919" spans="18:18" s="2" customFormat="1" ht="12.75" x14ac:dyDescent="0.2">
      <c r="R9919" s="1288"/>
    </row>
    <row r="9920" spans="18:18" s="2" customFormat="1" ht="12.75" x14ac:dyDescent="0.2">
      <c r="R9920" s="1288"/>
    </row>
    <row r="9921" spans="18:18" s="2" customFormat="1" ht="12.75" x14ac:dyDescent="0.2">
      <c r="R9921" s="1288"/>
    </row>
    <row r="9922" spans="18:18" s="2" customFormat="1" ht="12.75" x14ac:dyDescent="0.2">
      <c r="R9922" s="1288"/>
    </row>
    <row r="9923" spans="18:18" s="2" customFormat="1" ht="12.75" x14ac:dyDescent="0.2">
      <c r="R9923" s="1288"/>
    </row>
    <row r="9924" spans="18:18" s="2" customFormat="1" ht="12.75" x14ac:dyDescent="0.2">
      <c r="R9924" s="1288"/>
    </row>
    <row r="9925" spans="18:18" s="2" customFormat="1" ht="12.75" x14ac:dyDescent="0.2">
      <c r="R9925" s="1288"/>
    </row>
    <row r="9926" spans="18:18" s="2" customFormat="1" ht="12.75" x14ac:dyDescent="0.2">
      <c r="R9926" s="1288"/>
    </row>
    <row r="9927" spans="18:18" s="2" customFormat="1" ht="12.75" x14ac:dyDescent="0.2">
      <c r="R9927" s="1288"/>
    </row>
    <row r="9928" spans="18:18" s="2" customFormat="1" ht="12.75" x14ac:dyDescent="0.2">
      <c r="R9928" s="1288"/>
    </row>
    <row r="9929" spans="18:18" s="2" customFormat="1" ht="12.75" x14ac:dyDescent="0.2">
      <c r="R9929" s="1288"/>
    </row>
    <row r="9930" spans="18:18" s="2" customFormat="1" ht="12.75" x14ac:dyDescent="0.2">
      <c r="R9930" s="1288"/>
    </row>
    <row r="9931" spans="18:18" s="2" customFormat="1" ht="12.75" x14ac:dyDescent="0.2">
      <c r="R9931" s="1288"/>
    </row>
    <row r="9932" spans="18:18" s="2" customFormat="1" ht="12.75" x14ac:dyDescent="0.2">
      <c r="R9932" s="1288"/>
    </row>
    <row r="9933" spans="18:18" s="2" customFormat="1" ht="12.75" x14ac:dyDescent="0.2">
      <c r="R9933" s="1288"/>
    </row>
    <row r="9934" spans="18:18" s="2" customFormat="1" ht="12.75" x14ac:dyDescent="0.2">
      <c r="R9934" s="1288"/>
    </row>
    <row r="9935" spans="18:18" s="2" customFormat="1" ht="12.75" x14ac:dyDescent="0.2">
      <c r="R9935" s="1288"/>
    </row>
    <row r="9936" spans="18:18" s="2" customFormat="1" ht="12.75" x14ac:dyDescent="0.2">
      <c r="R9936" s="1288"/>
    </row>
    <row r="9937" spans="18:18" s="2" customFormat="1" ht="12.75" x14ac:dyDescent="0.2">
      <c r="R9937" s="1288"/>
    </row>
    <row r="9938" spans="18:18" s="2" customFormat="1" ht="12.75" x14ac:dyDescent="0.2">
      <c r="R9938" s="1288"/>
    </row>
    <row r="9939" spans="18:18" s="2" customFormat="1" ht="12.75" x14ac:dyDescent="0.2">
      <c r="R9939" s="1288"/>
    </row>
    <row r="9940" spans="18:18" s="2" customFormat="1" ht="12.75" x14ac:dyDescent="0.2">
      <c r="R9940" s="1288"/>
    </row>
    <row r="9941" spans="18:18" s="2" customFormat="1" ht="12.75" x14ac:dyDescent="0.2">
      <c r="R9941" s="1288"/>
    </row>
    <row r="9942" spans="18:18" s="2" customFormat="1" ht="12.75" x14ac:dyDescent="0.2">
      <c r="R9942" s="1288"/>
    </row>
    <row r="9943" spans="18:18" s="2" customFormat="1" ht="12.75" x14ac:dyDescent="0.2">
      <c r="R9943" s="1288"/>
    </row>
    <row r="9944" spans="18:18" s="2" customFormat="1" ht="12.75" x14ac:dyDescent="0.2">
      <c r="R9944" s="1288"/>
    </row>
    <row r="9945" spans="18:18" s="2" customFormat="1" ht="12.75" x14ac:dyDescent="0.2">
      <c r="R9945" s="1288"/>
    </row>
    <row r="9946" spans="18:18" s="2" customFormat="1" ht="12.75" x14ac:dyDescent="0.2">
      <c r="R9946" s="1288"/>
    </row>
    <row r="9947" spans="18:18" s="2" customFormat="1" ht="12.75" x14ac:dyDescent="0.2">
      <c r="R9947" s="1288"/>
    </row>
    <row r="9948" spans="18:18" s="2" customFormat="1" ht="12.75" x14ac:dyDescent="0.2">
      <c r="R9948" s="1288"/>
    </row>
    <row r="9949" spans="18:18" s="2" customFormat="1" ht="12.75" x14ac:dyDescent="0.2">
      <c r="R9949" s="1288"/>
    </row>
    <row r="9950" spans="18:18" s="2" customFormat="1" ht="12.75" x14ac:dyDescent="0.2">
      <c r="R9950" s="1288"/>
    </row>
    <row r="9951" spans="18:18" s="2" customFormat="1" ht="12.75" x14ac:dyDescent="0.2">
      <c r="R9951" s="1288"/>
    </row>
    <row r="9952" spans="18:18" s="2" customFormat="1" ht="12.75" x14ac:dyDescent="0.2">
      <c r="R9952" s="1288"/>
    </row>
    <row r="9953" spans="18:18" s="2" customFormat="1" ht="12.75" x14ac:dyDescent="0.2">
      <c r="R9953" s="1288"/>
    </row>
    <row r="9954" spans="18:18" s="2" customFormat="1" ht="12.75" x14ac:dyDescent="0.2">
      <c r="R9954" s="1288"/>
    </row>
    <row r="9955" spans="18:18" s="2" customFormat="1" ht="12.75" x14ac:dyDescent="0.2">
      <c r="R9955" s="1288"/>
    </row>
    <row r="9956" spans="18:18" s="2" customFormat="1" ht="12.75" x14ac:dyDescent="0.2">
      <c r="R9956" s="1288"/>
    </row>
    <row r="9957" spans="18:18" s="2" customFormat="1" ht="12.75" x14ac:dyDescent="0.2">
      <c r="R9957" s="1288"/>
    </row>
    <row r="9958" spans="18:18" s="2" customFormat="1" ht="12.75" x14ac:dyDescent="0.2">
      <c r="R9958" s="1288"/>
    </row>
    <row r="9959" spans="18:18" s="2" customFormat="1" ht="12.75" x14ac:dyDescent="0.2">
      <c r="R9959" s="1288"/>
    </row>
    <row r="9960" spans="18:18" s="2" customFormat="1" ht="12.75" x14ac:dyDescent="0.2">
      <c r="R9960" s="1288"/>
    </row>
    <row r="9961" spans="18:18" s="2" customFormat="1" ht="12.75" x14ac:dyDescent="0.2">
      <c r="R9961" s="1288"/>
    </row>
    <row r="9962" spans="18:18" s="2" customFormat="1" ht="12.75" x14ac:dyDescent="0.2">
      <c r="R9962" s="1288"/>
    </row>
    <row r="9963" spans="18:18" s="2" customFormat="1" ht="12.75" x14ac:dyDescent="0.2">
      <c r="R9963" s="1288"/>
    </row>
    <row r="9964" spans="18:18" s="2" customFormat="1" ht="12.75" x14ac:dyDescent="0.2">
      <c r="R9964" s="1288"/>
    </row>
    <row r="9965" spans="18:18" s="2" customFormat="1" ht="12.75" x14ac:dyDescent="0.2">
      <c r="R9965" s="1288"/>
    </row>
    <row r="9966" spans="18:18" s="2" customFormat="1" ht="12.75" x14ac:dyDescent="0.2">
      <c r="R9966" s="1288"/>
    </row>
    <row r="9967" spans="18:18" s="2" customFormat="1" ht="12.75" x14ac:dyDescent="0.2">
      <c r="R9967" s="1288"/>
    </row>
    <row r="9968" spans="18:18" s="2" customFormat="1" ht="12.75" x14ac:dyDescent="0.2">
      <c r="R9968" s="1288"/>
    </row>
    <row r="9969" spans="18:18" s="2" customFormat="1" ht="12.75" x14ac:dyDescent="0.2">
      <c r="R9969" s="1288"/>
    </row>
    <row r="9970" spans="18:18" s="2" customFormat="1" ht="12.75" x14ac:dyDescent="0.2">
      <c r="R9970" s="1288"/>
    </row>
    <row r="9971" spans="18:18" s="2" customFormat="1" ht="12.75" x14ac:dyDescent="0.2">
      <c r="R9971" s="1288"/>
    </row>
    <row r="9972" spans="18:18" s="2" customFormat="1" ht="12.75" x14ac:dyDescent="0.2">
      <c r="R9972" s="1288"/>
    </row>
    <row r="9973" spans="18:18" s="2" customFormat="1" ht="12.75" x14ac:dyDescent="0.2">
      <c r="R9973" s="1288"/>
    </row>
    <row r="9974" spans="18:18" s="2" customFormat="1" ht="12.75" x14ac:dyDescent="0.2">
      <c r="R9974" s="1288"/>
    </row>
    <row r="9975" spans="18:18" s="2" customFormat="1" ht="12.75" x14ac:dyDescent="0.2">
      <c r="R9975" s="1288"/>
    </row>
    <row r="9976" spans="18:18" s="2" customFormat="1" ht="12.75" x14ac:dyDescent="0.2">
      <c r="R9976" s="1288"/>
    </row>
    <row r="9977" spans="18:18" s="2" customFormat="1" ht="12.75" x14ac:dyDescent="0.2">
      <c r="R9977" s="1288"/>
    </row>
    <row r="9978" spans="18:18" s="2" customFormat="1" ht="12.75" x14ac:dyDescent="0.2">
      <c r="R9978" s="1288"/>
    </row>
    <row r="9979" spans="18:18" s="2" customFormat="1" ht="12.75" x14ac:dyDescent="0.2">
      <c r="R9979" s="1288"/>
    </row>
    <row r="9980" spans="18:18" s="2" customFormat="1" ht="12.75" x14ac:dyDescent="0.2">
      <c r="R9980" s="1288"/>
    </row>
    <row r="9981" spans="18:18" s="2" customFormat="1" ht="12.75" x14ac:dyDescent="0.2">
      <c r="R9981" s="1288"/>
    </row>
    <row r="9982" spans="18:18" s="2" customFormat="1" ht="12.75" x14ac:dyDescent="0.2">
      <c r="R9982" s="1288"/>
    </row>
    <row r="9983" spans="18:18" s="2" customFormat="1" ht="12.75" x14ac:dyDescent="0.2">
      <c r="R9983" s="1288"/>
    </row>
    <row r="9984" spans="18:18" s="2" customFormat="1" ht="12.75" x14ac:dyDescent="0.2">
      <c r="R9984" s="1288"/>
    </row>
    <row r="9985" spans="18:18" s="2" customFormat="1" ht="12.75" x14ac:dyDescent="0.2">
      <c r="R9985" s="1288"/>
    </row>
    <row r="9986" spans="18:18" s="2" customFormat="1" ht="12.75" x14ac:dyDescent="0.2">
      <c r="R9986" s="1288"/>
    </row>
    <row r="9987" spans="18:18" s="2" customFormat="1" ht="12.75" x14ac:dyDescent="0.2">
      <c r="R9987" s="1288"/>
    </row>
    <row r="9988" spans="18:18" s="2" customFormat="1" ht="12.75" x14ac:dyDescent="0.2">
      <c r="R9988" s="1288"/>
    </row>
    <row r="9989" spans="18:18" s="2" customFormat="1" ht="12.75" x14ac:dyDescent="0.2">
      <c r="R9989" s="1288"/>
    </row>
    <row r="9990" spans="18:18" s="2" customFormat="1" ht="12.75" x14ac:dyDescent="0.2">
      <c r="R9990" s="1288"/>
    </row>
    <row r="9991" spans="18:18" s="2" customFormat="1" ht="12.75" x14ac:dyDescent="0.2">
      <c r="R9991" s="1288"/>
    </row>
    <row r="9992" spans="18:18" s="2" customFormat="1" ht="12.75" x14ac:dyDescent="0.2">
      <c r="R9992" s="1288"/>
    </row>
    <row r="9993" spans="18:18" s="2" customFormat="1" ht="12.75" x14ac:dyDescent="0.2">
      <c r="R9993" s="1288"/>
    </row>
    <row r="9994" spans="18:18" s="2" customFormat="1" ht="12.75" x14ac:dyDescent="0.2">
      <c r="R9994" s="1288"/>
    </row>
    <row r="9995" spans="18:18" s="2" customFormat="1" ht="12.75" x14ac:dyDescent="0.2">
      <c r="R9995" s="1288"/>
    </row>
    <row r="9996" spans="18:18" s="2" customFormat="1" ht="12.75" x14ac:dyDescent="0.2">
      <c r="R9996" s="1288"/>
    </row>
    <row r="9997" spans="18:18" s="2" customFormat="1" ht="12.75" x14ac:dyDescent="0.2">
      <c r="R9997" s="1288"/>
    </row>
    <row r="9998" spans="18:18" s="2" customFormat="1" ht="12.75" x14ac:dyDescent="0.2">
      <c r="R9998" s="1288"/>
    </row>
    <row r="9999" spans="18:18" s="2" customFormat="1" ht="12.75" x14ac:dyDescent="0.2">
      <c r="R9999" s="1288"/>
    </row>
    <row r="10000" spans="18:18" s="2" customFormat="1" ht="12.75" x14ac:dyDescent="0.2">
      <c r="R10000" s="1288"/>
    </row>
    <row r="10001" spans="18:18" s="2" customFormat="1" ht="12.75" x14ac:dyDescent="0.2">
      <c r="R10001" s="1288"/>
    </row>
    <row r="10002" spans="18:18" s="2" customFormat="1" ht="12.75" x14ac:dyDescent="0.2">
      <c r="R10002" s="1288"/>
    </row>
    <row r="10003" spans="18:18" s="2" customFormat="1" ht="12.75" x14ac:dyDescent="0.2">
      <c r="R10003" s="1288"/>
    </row>
    <row r="10004" spans="18:18" s="2" customFormat="1" ht="12.75" x14ac:dyDescent="0.2">
      <c r="R10004" s="1288"/>
    </row>
    <row r="10005" spans="18:18" s="2" customFormat="1" ht="12.75" x14ac:dyDescent="0.2">
      <c r="R10005" s="1288"/>
    </row>
    <row r="10006" spans="18:18" s="2" customFormat="1" ht="12.75" x14ac:dyDescent="0.2">
      <c r="R10006" s="1288"/>
    </row>
    <row r="10007" spans="18:18" s="2" customFormat="1" ht="12.75" x14ac:dyDescent="0.2">
      <c r="R10007" s="1288"/>
    </row>
    <row r="10008" spans="18:18" s="2" customFormat="1" ht="12.75" x14ac:dyDescent="0.2">
      <c r="R10008" s="1288"/>
    </row>
    <row r="10009" spans="18:18" s="2" customFormat="1" ht="12.75" x14ac:dyDescent="0.2">
      <c r="R10009" s="1288"/>
    </row>
    <row r="10010" spans="18:18" s="2" customFormat="1" ht="12.75" x14ac:dyDescent="0.2">
      <c r="R10010" s="1288"/>
    </row>
    <row r="10011" spans="18:18" s="2" customFormat="1" ht="12.75" x14ac:dyDescent="0.2">
      <c r="R10011" s="1288"/>
    </row>
    <row r="10012" spans="18:18" s="2" customFormat="1" ht="12.75" x14ac:dyDescent="0.2">
      <c r="R10012" s="1288"/>
    </row>
    <row r="10013" spans="18:18" s="2" customFormat="1" ht="12.75" x14ac:dyDescent="0.2">
      <c r="R10013" s="1288"/>
    </row>
    <row r="10014" spans="18:18" s="2" customFormat="1" ht="12.75" x14ac:dyDescent="0.2">
      <c r="R10014" s="1288"/>
    </row>
    <row r="10015" spans="18:18" s="2" customFormat="1" ht="12.75" x14ac:dyDescent="0.2">
      <c r="R10015" s="1288"/>
    </row>
    <row r="10016" spans="18:18" s="2" customFormat="1" ht="12.75" x14ac:dyDescent="0.2">
      <c r="R10016" s="1288"/>
    </row>
    <row r="10017" spans="18:18" s="2" customFormat="1" ht="12.75" x14ac:dyDescent="0.2">
      <c r="R10017" s="1288"/>
    </row>
    <row r="10018" spans="18:18" s="2" customFormat="1" ht="12.75" x14ac:dyDescent="0.2">
      <c r="R10018" s="1288"/>
    </row>
    <row r="10019" spans="18:18" s="2" customFormat="1" ht="12.75" x14ac:dyDescent="0.2">
      <c r="R10019" s="1288"/>
    </row>
    <row r="10020" spans="18:18" s="2" customFormat="1" ht="12.75" x14ac:dyDescent="0.2">
      <c r="R10020" s="1288"/>
    </row>
    <row r="10021" spans="18:18" s="2" customFormat="1" ht="12.75" x14ac:dyDescent="0.2">
      <c r="R10021" s="1288"/>
    </row>
    <row r="10022" spans="18:18" s="2" customFormat="1" ht="12.75" x14ac:dyDescent="0.2">
      <c r="R10022" s="1288"/>
    </row>
    <row r="10023" spans="18:18" s="2" customFormat="1" ht="12.75" x14ac:dyDescent="0.2">
      <c r="R10023" s="1288"/>
    </row>
    <row r="10024" spans="18:18" s="2" customFormat="1" ht="12.75" x14ac:dyDescent="0.2">
      <c r="R10024" s="1288"/>
    </row>
    <row r="10025" spans="18:18" s="2" customFormat="1" ht="12.75" x14ac:dyDescent="0.2">
      <c r="R10025" s="1288"/>
    </row>
    <row r="10026" spans="18:18" s="2" customFormat="1" ht="12.75" x14ac:dyDescent="0.2">
      <c r="R10026" s="1288"/>
    </row>
    <row r="10027" spans="18:18" s="2" customFormat="1" ht="12.75" x14ac:dyDescent="0.2">
      <c r="R10027" s="1288"/>
    </row>
    <row r="10028" spans="18:18" s="2" customFormat="1" ht="12.75" x14ac:dyDescent="0.2">
      <c r="R10028" s="1288"/>
    </row>
    <row r="10029" spans="18:18" s="2" customFormat="1" ht="12.75" x14ac:dyDescent="0.2">
      <c r="R10029" s="1288"/>
    </row>
    <row r="10030" spans="18:18" s="2" customFormat="1" ht="12.75" x14ac:dyDescent="0.2">
      <c r="R10030" s="1288"/>
    </row>
    <row r="10031" spans="18:18" s="2" customFormat="1" ht="12.75" x14ac:dyDescent="0.2">
      <c r="R10031" s="1288"/>
    </row>
    <row r="10032" spans="18:18" s="2" customFormat="1" ht="12.75" x14ac:dyDescent="0.2">
      <c r="R10032" s="1288"/>
    </row>
    <row r="10033" spans="18:18" s="2" customFormat="1" ht="12.75" x14ac:dyDescent="0.2">
      <c r="R10033" s="1288"/>
    </row>
    <row r="10034" spans="18:18" s="2" customFormat="1" ht="12.75" x14ac:dyDescent="0.2">
      <c r="R10034" s="1288"/>
    </row>
    <row r="10035" spans="18:18" s="2" customFormat="1" ht="12.75" x14ac:dyDescent="0.2">
      <c r="R10035" s="1288"/>
    </row>
    <row r="10036" spans="18:18" s="2" customFormat="1" ht="12.75" x14ac:dyDescent="0.2">
      <c r="R10036" s="1288"/>
    </row>
    <row r="10037" spans="18:18" s="2" customFormat="1" ht="12.75" x14ac:dyDescent="0.2">
      <c r="R10037" s="1288"/>
    </row>
    <row r="10038" spans="18:18" s="2" customFormat="1" ht="12.75" x14ac:dyDescent="0.2">
      <c r="R10038" s="1288"/>
    </row>
    <row r="10039" spans="18:18" s="2" customFormat="1" ht="12.75" x14ac:dyDescent="0.2">
      <c r="R10039" s="1288"/>
    </row>
    <row r="10040" spans="18:18" s="2" customFormat="1" ht="12.75" x14ac:dyDescent="0.2">
      <c r="R10040" s="1288"/>
    </row>
    <row r="10041" spans="18:18" s="2" customFormat="1" ht="12.75" x14ac:dyDescent="0.2">
      <c r="R10041" s="1288"/>
    </row>
    <row r="10042" spans="18:18" s="2" customFormat="1" ht="12.75" x14ac:dyDescent="0.2">
      <c r="R10042" s="1288"/>
    </row>
    <row r="10043" spans="18:18" s="2" customFormat="1" ht="12.75" x14ac:dyDescent="0.2">
      <c r="R10043" s="1288"/>
    </row>
    <row r="10044" spans="18:18" s="2" customFormat="1" ht="12.75" x14ac:dyDescent="0.2">
      <c r="R10044" s="1288"/>
    </row>
    <row r="10045" spans="18:18" s="2" customFormat="1" ht="12.75" x14ac:dyDescent="0.2">
      <c r="R10045" s="1288"/>
    </row>
    <row r="10046" spans="18:18" s="2" customFormat="1" ht="12.75" x14ac:dyDescent="0.2">
      <c r="R10046" s="1288"/>
    </row>
    <row r="10047" spans="18:18" s="2" customFormat="1" ht="12.75" x14ac:dyDescent="0.2">
      <c r="R10047" s="1288"/>
    </row>
    <row r="10048" spans="18:18" s="2" customFormat="1" ht="12.75" x14ac:dyDescent="0.2">
      <c r="R10048" s="1288"/>
    </row>
    <row r="10049" spans="18:18" s="2" customFormat="1" ht="12.75" x14ac:dyDescent="0.2">
      <c r="R10049" s="1288"/>
    </row>
    <row r="10050" spans="18:18" s="2" customFormat="1" ht="12.75" x14ac:dyDescent="0.2">
      <c r="R10050" s="1288"/>
    </row>
    <row r="10051" spans="18:18" s="2" customFormat="1" ht="12.75" x14ac:dyDescent="0.2">
      <c r="R10051" s="1288"/>
    </row>
    <row r="10052" spans="18:18" s="2" customFormat="1" ht="12.75" x14ac:dyDescent="0.2">
      <c r="R10052" s="1288"/>
    </row>
    <row r="10053" spans="18:18" s="2" customFormat="1" ht="12.75" x14ac:dyDescent="0.2">
      <c r="R10053" s="1288"/>
    </row>
    <row r="10054" spans="18:18" s="2" customFormat="1" ht="12.75" x14ac:dyDescent="0.2">
      <c r="R10054" s="1288"/>
    </row>
    <row r="10055" spans="18:18" s="2" customFormat="1" ht="12.75" x14ac:dyDescent="0.2">
      <c r="R10055" s="1288"/>
    </row>
    <row r="10056" spans="18:18" s="2" customFormat="1" ht="12.75" x14ac:dyDescent="0.2">
      <c r="R10056" s="1288"/>
    </row>
    <row r="10057" spans="18:18" s="2" customFormat="1" ht="12.75" x14ac:dyDescent="0.2">
      <c r="R10057" s="1288"/>
    </row>
    <row r="10058" spans="18:18" s="2" customFormat="1" ht="12.75" x14ac:dyDescent="0.2">
      <c r="R10058" s="1288"/>
    </row>
    <row r="10059" spans="18:18" s="2" customFormat="1" ht="12.75" x14ac:dyDescent="0.2">
      <c r="R10059" s="1288"/>
    </row>
    <row r="10060" spans="18:18" s="2" customFormat="1" ht="12.75" x14ac:dyDescent="0.2">
      <c r="R10060" s="1288"/>
    </row>
    <row r="10061" spans="18:18" s="2" customFormat="1" ht="12.75" x14ac:dyDescent="0.2">
      <c r="R10061" s="1288"/>
    </row>
    <row r="10062" spans="18:18" s="2" customFormat="1" ht="12.75" x14ac:dyDescent="0.2">
      <c r="R10062" s="1288"/>
    </row>
    <row r="10063" spans="18:18" s="2" customFormat="1" ht="12.75" x14ac:dyDescent="0.2">
      <c r="R10063" s="1288"/>
    </row>
    <row r="10064" spans="18:18" s="2" customFormat="1" ht="12.75" x14ac:dyDescent="0.2">
      <c r="R10064" s="1288"/>
    </row>
    <row r="10065" spans="18:18" s="2" customFormat="1" ht="12.75" x14ac:dyDescent="0.2">
      <c r="R10065" s="1288"/>
    </row>
    <row r="10066" spans="18:18" s="2" customFormat="1" ht="12.75" x14ac:dyDescent="0.2">
      <c r="R10066" s="1288"/>
    </row>
    <row r="10067" spans="18:18" s="2" customFormat="1" ht="12.75" x14ac:dyDescent="0.2">
      <c r="R10067" s="1288"/>
    </row>
    <row r="10068" spans="18:18" s="2" customFormat="1" ht="12.75" x14ac:dyDescent="0.2">
      <c r="R10068" s="1288"/>
    </row>
    <row r="10069" spans="18:18" s="2" customFormat="1" ht="12.75" x14ac:dyDescent="0.2">
      <c r="R10069" s="1288"/>
    </row>
    <row r="10070" spans="18:18" s="2" customFormat="1" ht="12.75" x14ac:dyDescent="0.2">
      <c r="R10070" s="1288"/>
    </row>
    <row r="10071" spans="18:18" s="2" customFormat="1" ht="12.75" x14ac:dyDescent="0.2">
      <c r="R10071" s="1288"/>
    </row>
    <row r="10072" spans="18:18" s="2" customFormat="1" ht="12.75" x14ac:dyDescent="0.2">
      <c r="R10072" s="1288"/>
    </row>
    <row r="10073" spans="18:18" s="2" customFormat="1" ht="12.75" x14ac:dyDescent="0.2">
      <c r="R10073" s="1288"/>
    </row>
    <row r="10074" spans="18:18" s="2" customFormat="1" ht="12.75" x14ac:dyDescent="0.2">
      <c r="R10074" s="1288"/>
    </row>
    <row r="10075" spans="18:18" s="2" customFormat="1" ht="12.75" x14ac:dyDescent="0.2">
      <c r="R10075" s="1288"/>
    </row>
    <row r="10076" spans="18:18" s="2" customFormat="1" ht="12.75" x14ac:dyDescent="0.2">
      <c r="R10076" s="1288"/>
    </row>
    <row r="10077" spans="18:18" s="2" customFormat="1" ht="12.75" x14ac:dyDescent="0.2">
      <c r="R10077" s="1288"/>
    </row>
    <row r="10078" spans="18:18" s="2" customFormat="1" ht="12.75" x14ac:dyDescent="0.2">
      <c r="R10078" s="1288"/>
    </row>
    <row r="10079" spans="18:18" s="2" customFormat="1" ht="12.75" x14ac:dyDescent="0.2">
      <c r="R10079" s="1288"/>
    </row>
    <row r="10080" spans="18:18" s="2" customFormat="1" ht="12.75" x14ac:dyDescent="0.2">
      <c r="R10080" s="1288"/>
    </row>
    <row r="10081" spans="18:18" s="2" customFormat="1" ht="12.75" x14ac:dyDescent="0.2">
      <c r="R10081" s="1288"/>
    </row>
    <row r="10082" spans="18:18" s="2" customFormat="1" ht="12.75" x14ac:dyDescent="0.2">
      <c r="R10082" s="1288"/>
    </row>
    <row r="10083" spans="18:18" s="2" customFormat="1" ht="12.75" x14ac:dyDescent="0.2">
      <c r="R10083" s="1288"/>
    </row>
    <row r="10084" spans="18:18" s="2" customFormat="1" ht="12.75" x14ac:dyDescent="0.2">
      <c r="R10084" s="1288"/>
    </row>
    <row r="10085" spans="18:18" s="2" customFormat="1" ht="12.75" x14ac:dyDescent="0.2">
      <c r="R10085" s="1288"/>
    </row>
    <row r="10086" spans="18:18" s="2" customFormat="1" ht="12.75" x14ac:dyDescent="0.2">
      <c r="R10086" s="1288"/>
    </row>
    <row r="10087" spans="18:18" s="2" customFormat="1" ht="12.75" x14ac:dyDescent="0.2">
      <c r="R10087" s="1288"/>
    </row>
    <row r="10088" spans="18:18" s="2" customFormat="1" ht="12.75" x14ac:dyDescent="0.2">
      <c r="R10088" s="1288"/>
    </row>
    <row r="10089" spans="18:18" s="2" customFormat="1" ht="12.75" x14ac:dyDescent="0.2">
      <c r="R10089" s="1288"/>
    </row>
    <row r="10090" spans="18:18" s="2" customFormat="1" ht="12.75" x14ac:dyDescent="0.2">
      <c r="R10090" s="1288"/>
    </row>
    <row r="10091" spans="18:18" s="2" customFormat="1" ht="12.75" x14ac:dyDescent="0.2">
      <c r="R10091" s="1288"/>
    </row>
    <row r="10092" spans="18:18" s="2" customFormat="1" ht="12.75" x14ac:dyDescent="0.2">
      <c r="R10092" s="1288"/>
    </row>
    <row r="10093" spans="18:18" s="2" customFormat="1" ht="12.75" x14ac:dyDescent="0.2">
      <c r="R10093" s="1288"/>
    </row>
    <row r="10094" spans="18:18" s="2" customFormat="1" ht="12.75" x14ac:dyDescent="0.2">
      <c r="R10094" s="1288"/>
    </row>
    <row r="10095" spans="18:18" s="2" customFormat="1" ht="12.75" x14ac:dyDescent="0.2">
      <c r="R10095" s="1288"/>
    </row>
    <row r="10096" spans="18:18" s="2" customFormat="1" ht="12.75" x14ac:dyDescent="0.2">
      <c r="R10096" s="1288"/>
    </row>
    <row r="10097" spans="18:18" s="2" customFormat="1" ht="12.75" x14ac:dyDescent="0.2">
      <c r="R10097" s="1288"/>
    </row>
    <row r="10098" spans="18:18" s="2" customFormat="1" ht="12.75" x14ac:dyDescent="0.2">
      <c r="R10098" s="1288"/>
    </row>
    <row r="10099" spans="18:18" s="2" customFormat="1" ht="12.75" x14ac:dyDescent="0.2">
      <c r="R10099" s="1288"/>
    </row>
    <row r="10100" spans="18:18" s="2" customFormat="1" ht="12.75" x14ac:dyDescent="0.2">
      <c r="R10100" s="1288"/>
    </row>
    <row r="10101" spans="18:18" s="2" customFormat="1" ht="12.75" x14ac:dyDescent="0.2">
      <c r="R10101" s="1288"/>
    </row>
    <row r="10102" spans="18:18" s="2" customFormat="1" ht="12.75" x14ac:dyDescent="0.2">
      <c r="R10102" s="1288"/>
    </row>
    <row r="10103" spans="18:18" s="2" customFormat="1" ht="12.75" x14ac:dyDescent="0.2">
      <c r="R10103" s="1288"/>
    </row>
    <row r="10104" spans="18:18" s="2" customFormat="1" ht="12.75" x14ac:dyDescent="0.2">
      <c r="R10104" s="1288"/>
    </row>
    <row r="10105" spans="18:18" s="2" customFormat="1" ht="12.75" x14ac:dyDescent="0.2">
      <c r="R10105" s="1288"/>
    </row>
    <row r="10106" spans="18:18" s="2" customFormat="1" ht="12.75" x14ac:dyDescent="0.2">
      <c r="R10106" s="1288"/>
    </row>
    <row r="10107" spans="18:18" s="2" customFormat="1" ht="12.75" x14ac:dyDescent="0.2">
      <c r="R10107" s="1288"/>
    </row>
    <row r="10108" spans="18:18" s="2" customFormat="1" ht="12.75" x14ac:dyDescent="0.2">
      <c r="R10108" s="1288"/>
    </row>
    <row r="10109" spans="18:18" s="2" customFormat="1" ht="12.75" x14ac:dyDescent="0.2">
      <c r="R10109" s="1288"/>
    </row>
    <row r="10110" spans="18:18" s="2" customFormat="1" ht="12.75" x14ac:dyDescent="0.2">
      <c r="R10110" s="1288"/>
    </row>
    <row r="10111" spans="18:18" s="2" customFormat="1" ht="12.75" x14ac:dyDescent="0.2">
      <c r="R10111" s="1288"/>
    </row>
    <row r="10112" spans="18:18" s="2" customFormat="1" ht="12.75" x14ac:dyDescent="0.2">
      <c r="R10112" s="1288"/>
    </row>
    <row r="10113" spans="18:18" s="2" customFormat="1" ht="12.75" x14ac:dyDescent="0.2">
      <c r="R10113" s="1288"/>
    </row>
    <row r="10114" spans="18:18" s="2" customFormat="1" ht="12.75" x14ac:dyDescent="0.2">
      <c r="R10114" s="1288"/>
    </row>
    <row r="10115" spans="18:18" s="2" customFormat="1" ht="12.75" x14ac:dyDescent="0.2">
      <c r="R10115" s="1288"/>
    </row>
    <row r="10116" spans="18:18" s="2" customFormat="1" ht="12.75" x14ac:dyDescent="0.2">
      <c r="R10116" s="1288"/>
    </row>
    <row r="10117" spans="18:18" s="2" customFormat="1" ht="12.75" x14ac:dyDescent="0.2">
      <c r="R10117" s="1288"/>
    </row>
    <row r="10118" spans="18:18" s="2" customFormat="1" ht="12.75" x14ac:dyDescent="0.2">
      <c r="R10118" s="1288"/>
    </row>
    <row r="10119" spans="18:18" s="2" customFormat="1" ht="12.75" x14ac:dyDescent="0.2">
      <c r="R10119" s="1288"/>
    </row>
    <row r="10120" spans="18:18" s="2" customFormat="1" ht="12.75" x14ac:dyDescent="0.2">
      <c r="R10120" s="1288"/>
    </row>
    <row r="10121" spans="18:18" s="2" customFormat="1" ht="12.75" x14ac:dyDescent="0.2">
      <c r="R10121" s="1288"/>
    </row>
    <row r="10122" spans="18:18" s="2" customFormat="1" ht="12.75" x14ac:dyDescent="0.2">
      <c r="R10122" s="1288"/>
    </row>
    <row r="10123" spans="18:18" s="2" customFormat="1" ht="12.75" x14ac:dyDescent="0.2">
      <c r="R10123" s="1288"/>
    </row>
    <row r="10124" spans="18:18" s="2" customFormat="1" ht="12.75" x14ac:dyDescent="0.2">
      <c r="R10124" s="1288"/>
    </row>
    <row r="10125" spans="18:18" s="2" customFormat="1" ht="12.75" x14ac:dyDescent="0.2">
      <c r="R10125" s="1288"/>
    </row>
    <row r="10126" spans="18:18" s="2" customFormat="1" ht="12.75" x14ac:dyDescent="0.2">
      <c r="R10126" s="1288"/>
    </row>
    <row r="10127" spans="18:18" s="2" customFormat="1" ht="12.75" x14ac:dyDescent="0.2">
      <c r="R10127" s="1288"/>
    </row>
    <row r="10128" spans="18:18" s="2" customFormat="1" ht="12.75" x14ac:dyDescent="0.2">
      <c r="R10128" s="1288"/>
    </row>
    <row r="10129" spans="18:18" s="2" customFormat="1" ht="12.75" x14ac:dyDescent="0.2">
      <c r="R10129" s="1288"/>
    </row>
    <row r="10130" spans="18:18" s="2" customFormat="1" ht="12.75" x14ac:dyDescent="0.2">
      <c r="R10130" s="1288"/>
    </row>
    <row r="10131" spans="18:18" s="2" customFormat="1" ht="12.75" x14ac:dyDescent="0.2">
      <c r="R10131" s="1288"/>
    </row>
    <row r="10132" spans="18:18" s="2" customFormat="1" ht="12.75" x14ac:dyDescent="0.2">
      <c r="R10132" s="1288"/>
    </row>
    <row r="10133" spans="18:18" s="2" customFormat="1" ht="12.75" x14ac:dyDescent="0.2">
      <c r="R10133" s="1288"/>
    </row>
    <row r="10134" spans="18:18" s="2" customFormat="1" ht="12.75" x14ac:dyDescent="0.2">
      <c r="R10134" s="1288"/>
    </row>
    <row r="10135" spans="18:18" s="2" customFormat="1" ht="12.75" x14ac:dyDescent="0.2">
      <c r="R10135" s="1288"/>
    </row>
    <row r="10136" spans="18:18" s="2" customFormat="1" ht="12.75" x14ac:dyDescent="0.2">
      <c r="R10136" s="1288"/>
    </row>
    <row r="10137" spans="18:18" s="2" customFormat="1" ht="12.75" x14ac:dyDescent="0.2">
      <c r="R10137" s="1288"/>
    </row>
    <row r="10138" spans="18:18" s="2" customFormat="1" ht="12.75" x14ac:dyDescent="0.2">
      <c r="R10138" s="1288"/>
    </row>
    <row r="10139" spans="18:18" s="2" customFormat="1" ht="12.75" x14ac:dyDescent="0.2">
      <c r="R10139" s="1288"/>
    </row>
    <row r="10140" spans="18:18" s="2" customFormat="1" ht="12.75" x14ac:dyDescent="0.2">
      <c r="R10140" s="1288"/>
    </row>
    <row r="10141" spans="18:18" s="2" customFormat="1" ht="12.75" x14ac:dyDescent="0.2">
      <c r="R10141" s="1288"/>
    </row>
    <row r="10142" spans="18:18" s="2" customFormat="1" ht="12.75" x14ac:dyDescent="0.2">
      <c r="R10142" s="1288"/>
    </row>
    <row r="10143" spans="18:18" s="2" customFormat="1" ht="12.75" x14ac:dyDescent="0.2">
      <c r="R10143" s="1288"/>
    </row>
    <row r="10144" spans="18:18" s="2" customFormat="1" ht="12.75" x14ac:dyDescent="0.2">
      <c r="R10144" s="1288"/>
    </row>
    <row r="10145" spans="18:18" s="2" customFormat="1" ht="12.75" x14ac:dyDescent="0.2">
      <c r="R10145" s="1288"/>
    </row>
    <row r="10146" spans="18:18" s="2" customFormat="1" ht="12.75" x14ac:dyDescent="0.2">
      <c r="R10146" s="1288"/>
    </row>
    <row r="10147" spans="18:18" s="2" customFormat="1" ht="12.75" x14ac:dyDescent="0.2">
      <c r="R10147" s="1288"/>
    </row>
    <row r="10148" spans="18:18" s="2" customFormat="1" ht="12.75" x14ac:dyDescent="0.2">
      <c r="R10148" s="1288"/>
    </row>
    <row r="10149" spans="18:18" s="2" customFormat="1" ht="12.75" x14ac:dyDescent="0.2">
      <c r="R10149" s="1288"/>
    </row>
    <row r="10150" spans="18:18" s="2" customFormat="1" ht="12.75" x14ac:dyDescent="0.2">
      <c r="R10150" s="1288"/>
    </row>
    <row r="10151" spans="18:18" s="2" customFormat="1" ht="12.75" x14ac:dyDescent="0.2">
      <c r="R10151" s="1288"/>
    </row>
    <row r="10152" spans="18:18" s="2" customFormat="1" ht="12.75" x14ac:dyDescent="0.2">
      <c r="R10152" s="1288"/>
    </row>
    <row r="10153" spans="18:18" s="2" customFormat="1" ht="12.75" x14ac:dyDescent="0.2">
      <c r="R10153" s="1288"/>
    </row>
    <row r="10154" spans="18:18" s="2" customFormat="1" ht="12.75" x14ac:dyDescent="0.2">
      <c r="R10154" s="1288"/>
    </row>
    <row r="10155" spans="18:18" s="2" customFormat="1" ht="12.75" x14ac:dyDescent="0.2">
      <c r="R10155" s="1288"/>
    </row>
    <row r="10156" spans="18:18" s="2" customFormat="1" ht="12.75" x14ac:dyDescent="0.2">
      <c r="R10156" s="1288"/>
    </row>
    <row r="10157" spans="18:18" s="2" customFormat="1" ht="12.75" x14ac:dyDescent="0.2">
      <c r="R10157" s="1288"/>
    </row>
    <row r="10158" spans="18:18" s="2" customFormat="1" ht="12.75" x14ac:dyDescent="0.2">
      <c r="R10158" s="1288"/>
    </row>
    <row r="10159" spans="18:18" s="2" customFormat="1" ht="12.75" x14ac:dyDescent="0.2">
      <c r="R10159" s="1288"/>
    </row>
    <row r="10160" spans="18:18" s="2" customFormat="1" ht="12.75" x14ac:dyDescent="0.2">
      <c r="R10160" s="1288"/>
    </row>
    <row r="10161" spans="18:18" s="2" customFormat="1" ht="12.75" x14ac:dyDescent="0.2">
      <c r="R10161" s="1288"/>
    </row>
    <row r="10162" spans="18:18" s="2" customFormat="1" ht="12.75" x14ac:dyDescent="0.2">
      <c r="R10162" s="1288"/>
    </row>
    <row r="10163" spans="18:18" s="2" customFormat="1" ht="12.75" x14ac:dyDescent="0.2">
      <c r="R10163" s="1288"/>
    </row>
    <row r="10164" spans="18:18" s="2" customFormat="1" ht="12.75" x14ac:dyDescent="0.2">
      <c r="R10164" s="1288"/>
    </row>
    <row r="10165" spans="18:18" s="2" customFormat="1" ht="12.75" x14ac:dyDescent="0.2">
      <c r="R10165" s="1288"/>
    </row>
    <row r="10166" spans="18:18" s="2" customFormat="1" ht="12.75" x14ac:dyDescent="0.2">
      <c r="R10166" s="1288"/>
    </row>
    <row r="10167" spans="18:18" s="2" customFormat="1" ht="12.75" x14ac:dyDescent="0.2">
      <c r="R10167" s="1288"/>
    </row>
    <row r="10168" spans="18:18" s="2" customFormat="1" ht="12.75" x14ac:dyDescent="0.2">
      <c r="R10168" s="1288"/>
    </row>
    <row r="10169" spans="18:18" s="2" customFormat="1" ht="12.75" x14ac:dyDescent="0.2">
      <c r="R10169" s="1288"/>
    </row>
    <row r="10170" spans="18:18" s="2" customFormat="1" ht="12.75" x14ac:dyDescent="0.2">
      <c r="R10170" s="1288"/>
    </row>
    <row r="10171" spans="18:18" s="2" customFormat="1" ht="12.75" x14ac:dyDescent="0.2">
      <c r="R10171" s="1288"/>
    </row>
    <row r="10172" spans="18:18" s="2" customFormat="1" ht="12.75" x14ac:dyDescent="0.2">
      <c r="R10172" s="1288"/>
    </row>
    <row r="10173" spans="18:18" s="2" customFormat="1" ht="12.75" x14ac:dyDescent="0.2">
      <c r="R10173" s="1288"/>
    </row>
    <row r="10174" spans="18:18" s="2" customFormat="1" ht="12.75" x14ac:dyDescent="0.2">
      <c r="R10174" s="1288"/>
    </row>
    <row r="10175" spans="18:18" s="2" customFormat="1" ht="12.75" x14ac:dyDescent="0.2">
      <c r="R10175" s="1288"/>
    </row>
    <row r="10176" spans="18:18" s="2" customFormat="1" ht="12.75" x14ac:dyDescent="0.2">
      <c r="R10176" s="1288"/>
    </row>
    <row r="10177" spans="18:18" s="2" customFormat="1" ht="12.75" x14ac:dyDescent="0.2">
      <c r="R10177" s="1288"/>
    </row>
    <row r="10178" spans="18:18" s="2" customFormat="1" ht="12.75" x14ac:dyDescent="0.2">
      <c r="R10178" s="1288"/>
    </row>
    <row r="10179" spans="18:18" s="2" customFormat="1" ht="12.75" x14ac:dyDescent="0.2">
      <c r="R10179" s="1288"/>
    </row>
    <row r="10180" spans="18:18" s="2" customFormat="1" ht="12.75" x14ac:dyDescent="0.2">
      <c r="R10180" s="1288"/>
    </row>
    <row r="10181" spans="18:18" s="2" customFormat="1" ht="12.75" x14ac:dyDescent="0.2">
      <c r="R10181" s="1288"/>
    </row>
    <row r="10182" spans="18:18" s="2" customFormat="1" ht="12.75" x14ac:dyDescent="0.2">
      <c r="R10182" s="1288"/>
    </row>
    <row r="10183" spans="18:18" s="2" customFormat="1" ht="12.75" x14ac:dyDescent="0.2">
      <c r="R10183" s="1288"/>
    </row>
    <row r="10184" spans="18:18" s="2" customFormat="1" ht="12.75" x14ac:dyDescent="0.2">
      <c r="R10184" s="1288"/>
    </row>
    <row r="10185" spans="18:18" s="2" customFormat="1" ht="12.75" x14ac:dyDescent="0.2">
      <c r="R10185" s="1288"/>
    </row>
    <row r="10186" spans="18:18" s="2" customFormat="1" ht="12.75" x14ac:dyDescent="0.2">
      <c r="R10186" s="1288"/>
    </row>
    <row r="10187" spans="18:18" s="2" customFormat="1" ht="12.75" x14ac:dyDescent="0.2">
      <c r="R10187" s="1288"/>
    </row>
    <row r="10188" spans="18:18" s="2" customFormat="1" ht="12.75" x14ac:dyDescent="0.2">
      <c r="R10188" s="1288"/>
    </row>
    <row r="10189" spans="18:18" s="2" customFormat="1" ht="12.75" x14ac:dyDescent="0.2">
      <c r="R10189" s="1288"/>
    </row>
    <row r="10190" spans="18:18" s="2" customFormat="1" ht="12.75" x14ac:dyDescent="0.2">
      <c r="R10190" s="1288"/>
    </row>
    <row r="10191" spans="18:18" s="2" customFormat="1" ht="12.75" x14ac:dyDescent="0.2">
      <c r="R10191" s="1288"/>
    </row>
    <row r="10192" spans="18:18" s="2" customFormat="1" ht="12.75" x14ac:dyDescent="0.2">
      <c r="R10192" s="1288"/>
    </row>
    <row r="10193" spans="18:18" s="2" customFormat="1" ht="12.75" x14ac:dyDescent="0.2">
      <c r="R10193" s="1288"/>
    </row>
    <row r="10194" spans="18:18" s="2" customFormat="1" ht="12.75" x14ac:dyDescent="0.2">
      <c r="R10194" s="1288"/>
    </row>
    <row r="10195" spans="18:18" s="2" customFormat="1" ht="12.75" x14ac:dyDescent="0.2">
      <c r="R10195" s="1288"/>
    </row>
    <row r="10196" spans="18:18" s="2" customFormat="1" ht="12.75" x14ac:dyDescent="0.2">
      <c r="R10196" s="1288"/>
    </row>
    <row r="10197" spans="18:18" s="2" customFormat="1" ht="12.75" x14ac:dyDescent="0.2">
      <c r="R10197" s="1288"/>
    </row>
    <row r="10198" spans="18:18" s="2" customFormat="1" ht="12.75" x14ac:dyDescent="0.2">
      <c r="R10198" s="1288"/>
    </row>
    <row r="10199" spans="18:18" s="2" customFormat="1" ht="12.75" x14ac:dyDescent="0.2">
      <c r="R10199" s="1288"/>
    </row>
    <row r="10200" spans="18:18" s="2" customFormat="1" ht="12.75" x14ac:dyDescent="0.2">
      <c r="R10200" s="1288"/>
    </row>
    <row r="10201" spans="18:18" s="2" customFormat="1" ht="12.75" x14ac:dyDescent="0.2">
      <c r="R10201" s="1288"/>
    </row>
    <row r="10202" spans="18:18" s="2" customFormat="1" ht="12.75" x14ac:dyDescent="0.2">
      <c r="R10202" s="1288"/>
    </row>
    <row r="10203" spans="18:18" s="2" customFormat="1" ht="12.75" x14ac:dyDescent="0.2">
      <c r="R10203" s="1288"/>
    </row>
    <row r="10204" spans="18:18" s="2" customFormat="1" ht="12.75" x14ac:dyDescent="0.2">
      <c r="R10204" s="1288"/>
    </row>
    <row r="10205" spans="18:18" s="2" customFormat="1" ht="12.75" x14ac:dyDescent="0.2">
      <c r="R10205" s="1288"/>
    </row>
    <row r="10206" spans="18:18" s="2" customFormat="1" ht="12.75" x14ac:dyDescent="0.2">
      <c r="R10206" s="1288"/>
    </row>
    <row r="10207" spans="18:18" s="2" customFormat="1" ht="12.75" x14ac:dyDescent="0.2">
      <c r="R10207" s="1288"/>
    </row>
    <row r="10208" spans="18:18" s="2" customFormat="1" ht="12.75" x14ac:dyDescent="0.2">
      <c r="R10208" s="1288"/>
    </row>
    <row r="10209" spans="18:18" s="2" customFormat="1" ht="12.75" x14ac:dyDescent="0.2">
      <c r="R10209" s="1288"/>
    </row>
    <row r="10210" spans="18:18" s="2" customFormat="1" ht="12.75" x14ac:dyDescent="0.2">
      <c r="R10210" s="1288"/>
    </row>
    <row r="10211" spans="18:18" s="2" customFormat="1" ht="12.75" x14ac:dyDescent="0.2">
      <c r="R10211" s="1288"/>
    </row>
    <row r="10212" spans="18:18" s="2" customFormat="1" ht="12.75" x14ac:dyDescent="0.2">
      <c r="R10212" s="1288"/>
    </row>
    <row r="10213" spans="18:18" s="2" customFormat="1" ht="12.75" x14ac:dyDescent="0.2">
      <c r="R10213" s="1288"/>
    </row>
    <row r="10214" spans="18:18" s="2" customFormat="1" ht="12.75" x14ac:dyDescent="0.2">
      <c r="R10214" s="1288"/>
    </row>
    <row r="10215" spans="18:18" s="2" customFormat="1" ht="12.75" x14ac:dyDescent="0.2">
      <c r="R10215" s="1288"/>
    </row>
    <row r="10216" spans="18:18" s="2" customFormat="1" ht="12.75" x14ac:dyDescent="0.2">
      <c r="R10216" s="1288"/>
    </row>
    <row r="10217" spans="18:18" s="2" customFormat="1" ht="12.75" x14ac:dyDescent="0.2">
      <c r="R10217" s="1288"/>
    </row>
    <row r="10218" spans="18:18" s="2" customFormat="1" ht="12.75" x14ac:dyDescent="0.2">
      <c r="R10218" s="1288"/>
    </row>
    <row r="10219" spans="18:18" s="2" customFormat="1" ht="12.75" x14ac:dyDescent="0.2">
      <c r="R10219" s="1288"/>
    </row>
    <row r="10220" spans="18:18" s="2" customFormat="1" ht="12.75" x14ac:dyDescent="0.2">
      <c r="R10220" s="1288"/>
    </row>
    <row r="10221" spans="18:18" s="2" customFormat="1" ht="12.75" x14ac:dyDescent="0.2">
      <c r="R10221" s="1288"/>
    </row>
    <row r="10222" spans="18:18" s="2" customFormat="1" ht="12.75" x14ac:dyDescent="0.2">
      <c r="R10222" s="1288"/>
    </row>
    <row r="10223" spans="18:18" s="2" customFormat="1" ht="12.75" x14ac:dyDescent="0.2">
      <c r="R10223" s="1288"/>
    </row>
    <row r="10224" spans="18:18" s="2" customFormat="1" ht="12.75" x14ac:dyDescent="0.2">
      <c r="R10224" s="1288"/>
    </row>
    <row r="10225" spans="18:18" s="2" customFormat="1" ht="12.75" x14ac:dyDescent="0.2">
      <c r="R10225" s="1288"/>
    </row>
    <row r="10226" spans="18:18" s="2" customFormat="1" ht="12.75" x14ac:dyDescent="0.2">
      <c r="R10226" s="1288"/>
    </row>
    <row r="10227" spans="18:18" s="2" customFormat="1" ht="12.75" x14ac:dyDescent="0.2">
      <c r="R10227" s="1288"/>
    </row>
    <row r="10228" spans="18:18" s="2" customFormat="1" ht="12.75" x14ac:dyDescent="0.2">
      <c r="R10228" s="1288"/>
    </row>
    <row r="10229" spans="18:18" s="2" customFormat="1" ht="12.75" x14ac:dyDescent="0.2">
      <c r="R10229" s="1288"/>
    </row>
    <row r="10230" spans="18:18" s="2" customFormat="1" ht="12.75" x14ac:dyDescent="0.2">
      <c r="R10230" s="1288"/>
    </row>
    <row r="10231" spans="18:18" s="2" customFormat="1" ht="12.75" x14ac:dyDescent="0.2">
      <c r="R10231" s="1288"/>
    </row>
    <row r="10232" spans="18:18" s="2" customFormat="1" ht="12.75" x14ac:dyDescent="0.2">
      <c r="R10232" s="1288"/>
    </row>
    <row r="10233" spans="18:18" s="2" customFormat="1" ht="12.75" x14ac:dyDescent="0.2">
      <c r="R10233" s="1288"/>
    </row>
    <row r="10234" spans="18:18" s="2" customFormat="1" ht="12.75" x14ac:dyDescent="0.2">
      <c r="R10234" s="1288"/>
    </row>
    <row r="10235" spans="18:18" s="2" customFormat="1" ht="12.75" x14ac:dyDescent="0.2">
      <c r="R10235" s="1288"/>
    </row>
    <row r="10236" spans="18:18" s="2" customFormat="1" ht="12.75" x14ac:dyDescent="0.2">
      <c r="R10236" s="1288"/>
    </row>
    <row r="10237" spans="18:18" s="2" customFormat="1" ht="12.75" x14ac:dyDescent="0.2">
      <c r="R10237" s="1288"/>
    </row>
    <row r="10238" spans="18:18" s="2" customFormat="1" ht="12.75" x14ac:dyDescent="0.2">
      <c r="R10238" s="1288"/>
    </row>
    <row r="10239" spans="18:18" s="2" customFormat="1" ht="12.75" x14ac:dyDescent="0.2">
      <c r="R10239" s="1288"/>
    </row>
    <row r="10240" spans="18:18" s="2" customFormat="1" ht="12.75" x14ac:dyDescent="0.2">
      <c r="R10240" s="1288"/>
    </row>
    <row r="10241" spans="18:18" s="2" customFormat="1" ht="12.75" x14ac:dyDescent="0.2">
      <c r="R10241" s="1288"/>
    </row>
    <row r="10242" spans="18:18" s="2" customFormat="1" ht="12.75" x14ac:dyDescent="0.2">
      <c r="R10242" s="1288"/>
    </row>
    <row r="10243" spans="18:18" s="2" customFormat="1" ht="12.75" x14ac:dyDescent="0.2">
      <c r="R10243" s="1288"/>
    </row>
    <row r="10244" spans="18:18" s="2" customFormat="1" ht="12.75" x14ac:dyDescent="0.2">
      <c r="R10244" s="1288"/>
    </row>
    <row r="10245" spans="18:18" s="2" customFormat="1" ht="12.75" x14ac:dyDescent="0.2">
      <c r="R10245" s="1288"/>
    </row>
    <row r="10246" spans="18:18" s="2" customFormat="1" ht="12.75" x14ac:dyDescent="0.2">
      <c r="R10246" s="1288"/>
    </row>
    <row r="10247" spans="18:18" s="2" customFormat="1" ht="12.75" x14ac:dyDescent="0.2">
      <c r="R10247" s="1288"/>
    </row>
    <row r="10248" spans="18:18" s="2" customFormat="1" ht="12.75" x14ac:dyDescent="0.2">
      <c r="R10248" s="1288"/>
    </row>
    <row r="10249" spans="18:18" s="2" customFormat="1" ht="12.75" x14ac:dyDescent="0.2">
      <c r="R10249" s="1288"/>
    </row>
    <row r="10250" spans="18:18" s="2" customFormat="1" ht="12.75" x14ac:dyDescent="0.2">
      <c r="R10250" s="1288"/>
    </row>
    <row r="10251" spans="18:18" s="2" customFormat="1" ht="12.75" x14ac:dyDescent="0.2">
      <c r="R10251" s="1288"/>
    </row>
    <row r="10252" spans="18:18" s="2" customFormat="1" ht="12.75" x14ac:dyDescent="0.2">
      <c r="R10252" s="1288"/>
    </row>
    <row r="10253" spans="18:18" s="2" customFormat="1" ht="12.75" x14ac:dyDescent="0.2">
      <c r="R10253" s="1288"/>
    </row>
    <row r="10254" spans="18:18" s="2" customFormat="1" ht="12.75" x14ac:dyDescent="0.2">
      <c r="R10254" s="1288"/>
    </row>
    <row r="10255" spans="18:18" s="2" customFormat="1" ht="12.75" x14ac:dyDescent="0.2">
      <c r="R10255" s="1288"/>
    </row>
    <row r="10256" spans="18:18" s="2" customFormat="1" ht="12.75" x14ac:dyDescent="0.2">
      <c r="R10256" s="1288"/>
    </row>
    <row r="10257" spans="18:18" s="2" customFormat="1" ht="12.75" x14ac:dyDescent="0.2">
      <c r="R10257" s="1288"/>
    </row>
    <row r="10258" spans="18:18" s="2" customFormat="1" ht="12.75" x14ac:dyDescent="0.2">
      <c r="R10258" s="1288"/>
    </row>
    <row r="10259" spans="18:18" s="2" customFormat="1" ht="12.75" x14ac:dyDescent="0.2">
      <c r="R10259" s="1288"/>
    </row>
    <row r="10260" spans="18:18" s="2" customFormat="1" ht="12.75" x14ac:dyDescent="0.2">
      <c r="R10260" s="1288"/>
    </row>
    <row r="10261" spans="18:18" s="2" customFormat="1" ht="12.75" x14ac:dyDescent="0.2">
      <c r="R10261" s="1288"/>
    </row>
    <row r="10262" spans="18:18" s="2" customFormat="1" ht="12.75" x14ac:dyDescent="0.2">
      <c r="R10262" s="1288"/>
    </row>
    <row r="10263" spans="18:18" s="2" customFormat="1" ht="12.75" x14ac:dyDescent="0.2">
      <c r="R10263" s="1288"/>
    </row>
    <row r="10264" spans="18:18" s="2" customFormat="1" ht="12.75" x14ac:dyDescent="0.2">
      <c r="R10264" s="1288"/>
    </row>
    <row r="10265" spans="18:18" s="2" customFormat="1" ht="12.75" x14ac:dyDescent="0.2">
      <c r="R10265" s="1288"/>
    </row>
    <row r="10266" spans="18:18" s="2" customFormat="1" ht="12.75" x14ac:dyDescent="0.2">
      <c r="R10266" s="1288"/>
    </row>
    <row r="10267" spans="18:18" s="2" customFormat="1" ht="12.75" x14ac:dyDescent="0.2">
      <c r="R10267" s="1288"/>
    </row>
    <row r="10268" spans="18:18" s="2" customFormat="1" ht="12.75" x14ac:dyDescent="0.2">
      <c r="R10268" s="1288"/>
    </row>
    <row r="10269" spans="18:18" s="2" customFormat="1" ht="12.75" x14ac:dyDescent="0.2">
      <c r="R10269" s="1288"/>
    </row>
    <row r="10270" spans="18:18" s="2" customFormat="1" ht="12.75" x14ac:dyDescent="0.2">
      <c r="R10270" s="1288"/>
    </row>
    <row r="10271" spans="18:18" s="2" customFormat="1" ht="12.75" x14ac:dyDescent="0.2">
      <c r="R10271" s="1288"/>
    </row>
    <row r="10272" spans="18:18" s="2" customFormat="1" ht="12.75" x14ac:dyDescent="0.2">
      <c r="R10272" s="1288"/>
    </row>
    <row r="10273" spans="18:18" s="2" customFormat="1" ht="12.75" x14ac:dyDescent="0.2">
      <c r="R10273" s="1288"/>
    </row>
    <row r="10274" spans="18:18" s="2" customFormat="1" ht="12.75" x14ac:dyDescent="0.2">
      <c r="R10274" s="1288"/>
    </row>
    <row r="10275" spans="18:18" s="2" customFormat="1" ht="12.75" x14ac:dyDescent="0.2">
      <c r="R10275" s="1288"/>
    </row>
    <row r="10276" spans="18:18" s="2" customFormat="1" ht="12.75" x14ac:dyDescent="0.2">
      <c r="R10276" s="1288"/>
    </row>
    <row r="10277" spans="18:18" s="2" customFormat="1" ht="12.75" x14ac:dyDescent="0.2">
      <c r="R10277" s="1288"/>
    </row>
    <row r="10278" spans="18:18" s="2" customFormat="1" ht="12.75" x14ac:dyDescent="0.2">
      <c r="R10278" s="1288"/>
    </row>
    <row r="10279" spans="18:18" s="2" customFormat="1" ht="12.75" x14ac:dyDescent="0.2">
      <c r="R10279" s="1288"/>
    </row>
    <row r="10280" spans="18:18" s="2" customFormat="1" ht="12.75" x14ac:dyDescent="0.2">
      <c r="R10280" s="1288"/>
    </row>
    <row r="10281" spans="18:18" s="2" customFormat="1" ht="12.75" x14ac:dyDescent="0.2">
      <c r="R10281" s="1288"/>
    </row>
    <row r="10282" spans="18:18" s="2" customFormat="1" ht="12.75" x14ac:dyDescent="0.2">
      <c r="R10282" s="1288"/>
    </row>
    <row r="10283" spans="18:18" s="2" customFormat="1" ht="12.75" x14ac:dyDescent="0.2">
      <c r="R10283" s="1288"/>
    </row>
    <row r="10284" spans="18:18" s="2" customFormat="1" ht="12.75" x14ac:dyDescent="0.2">
      <c r="R10284" s="1288"/>
    </row>
    <row r="10285" spans="18:18" s="2" customFormat="1" ht="12.75" x14ac:dyDescent="0.2">
      <c r="R10285" s="1288"/>
    </row>
    <row r="10286" spans="18:18" s="2" customFormat="1" ht="12.75" x14ac:dyDescent="0.2">
      <c r="R10286" s="1288"/>
    </row>
    <row r="10287" spans="18:18" s="2" customFormat="1" ht="12.75" x14ac:dyDescent="0.2">
      <c r="R10287" s="1288"/>
    </row>
    <row r="10288" spans="18:18" s="2" customFormat="1" ht="12.75" x14ac:dyDescent="0.2">
      <c r="R10288" s="1288"/>
    </row>
    <row r="10289" spans="18:18" s="2" customFormat="1" ht="12.75" x14ac:dyDescent="0.2">
      <c r="R10289" s="1288"/>
    </row>
    <row r="10290" spans="18:18" s="2" customFormat="1" ht="12.75" x14ac:dyDescent="0.2">
      <c r="R10290" s="1288"/>
    </row>
    <row r="10291" spans="18:18" s="2" customFormat="1" ht="12.75" x14ac:dyDescent="0.2">
      <c r="R10291" s="1288"/>
    </row>
    <row r="10292" spans="18:18" s="2" customFormat="1" ht="12.75" x14ac:dyDescent="0.2">
      <c r="R10292" s="1288"/>
    </row>
    <row r="10293" spans="18:18" s="2" customFormat="1" ht="12.75" x14ac:dyDescent="0.2">
      <c r="R10293" s="1288"/>
    </row>
    <row r="10294" spans="18:18" s="2" customFormat="1" ht="12.75" x14ac:dyDescent="0.2">
      <c r="R10294" s="1288"/>
    </row>
    <row r="10295" spans="18:18" s="2" customFormat="1" ht="12.75" x14ac:dyDescent="0.2">
      <c r="R10295" s="1288"/>
    </row>
    <row r="10296" spans="18:18" s="2" customFormat="1" ht="12.75" x14ac:dyDescent="0.2">
      <c r="R10296" s="1288"/>
    </row>
    <row r="10297" spans="18:18" s="2" customFormat="1" ht="12.75" x14ac:dyDescent="0.2">
      <c r="R10297" s="1288"/>
    </row>
    <row r="10298" spans="18:18" s="2" customFormat="1" ht="12.75" x14ac:dyDescent="0.2">
      <c r="R10298" s="1288"/>
    </row>
    <row r="10299" spans="18:18" s="2" customFormat="1" ht="12.75" x14ac:dyDescent="0.2">
      <c r="R10299" s="1288"/>
    </row>
    <row r="10300" spans="18:18" s="2" customFormat="1" ht="12.75" x14ac:dyDescent="0.2">
      <c r="R10300" s="1288"/>
    </row>
    <row r="10301" spans="18:18" s="2" customFormat="1" ht="12.75" x14ac:dyDescent="0.2">
      <c r="R10301" s="1288"/>
    </row>
    <row r="10302" spans="18:18" s="2" customFormat="1" ht="12.75" x14ac:dyDescent="0.2">
      <c r="R10302" s="1288"/>
    </row>
    <row r="10303" spans="18:18" s="2" customFormat="1" ht="12.75" x14ac:dyDescent="0.2">
      <c r="R10303" s="1288"/>
    </row>
    <row r="10304" spans="18:18" s="2" customFormat="1" ht="12.75" x14ac:dyDescent="0.2">
      <c r="R10304" s="1288"/>
    </row>
    <row r="10305" spans="18:18" s="2" customFormat="1" ht="12.75" x14ac:dyDescent="0.2">
      <c r="R10305" s="1288"/>
    </row>
    <row r="10306" spans="18:18" s="2" customFormat="1" ht="12.75" x14ac:dyDescent="0.2">
      <c r="R10306" s="1288"/>
    </row>
    <row r="10307" spans="18:18" s="2" customFormat="1" ht="12.75" x14ac:dyDescent="0.2">
      <c r="R10307" s="1288"/>
    </row>
    <row r="10308" spans="18:18" s="2" customFormat="1" ht="12.75" x14ac:dyDescent="0.2">
      <c r="R10308" s="1288"/>
    </row>
    <row r="10309" spans="18:18" s="2" customFormat="1" ht="12.75" x14ac:dyDescent="0.2">
      <c r="R10309" s="1288"/>
    </row>
    <row r="10310" spans="18:18" s="2" customFormat="1" ht="12.75" x14ac:dyDescent="0.2">
      <c r="R10310" s="1288"/>
    </row>
    <row r="10311" spans="18:18" s="2" customFormat="1" ht="12.75" x14ac:dyDescent="0.2">
      <c r="R10311" s="1288"/>
    </row>
    <row r="10312" spans="18:18" s="2" customFormat="1" ht="12.75" x14ac:dyDescent="0.2">
      <c r="R10312" s="1288"/>
    </row>
    <row r="10313" spans="18:18" s="2" customFormat="1" ht="12.75" x14ac:dyDescent="0.2">
      <c r="R10313" s="1288"/>
    </row>
    <row r="10314" spans="18:18" s="2" customFormat="1" ht="12.75" x14ac:dyDescent="0.2">
      <c r="R10314" s="1288"/>
    </row>
    <row r="10315" spans="18:18" s="2" customFormat="1" ht="12.75" x14ac:dyDescent="0.2">
      <c r="R10315" s="1288"/>
    </row>
    <row r="10316" spans="18:18" s="2" customFormat="1" ht="12.75" x14ac:dyDescent="0.2">
      <c r="R10316" s="1288"/>
    </row>
    <row r="10317" spans="18:18" s="2" customFormat="1" ht="12.75" x14ac:dyDescent="0.2">
      <c r="R10317" s="1288"/>
    </row>
    <row r="10318" spans="18:18" s="2" customFormat="1" ht="12.75" x14ac:dyDescent="0.2">
      <c r="R10318" s="1288"/>
    </row>
    <row r="10319" spans="18:18" s="2" customFormat="1" ht="12.75" x14ac:dyDescent="0.2">
      <c r="R10319" s="1288"/>
    </row>
    <row r="10320" spans="18:18" s="2" customFormat="1" ht="12.75" x14ac:dyDescent="0.2">
      <c r="R10320" s="1288"/>
    </row>
    <row r="10321" spans="18:18" s="2" customFormat="1" ht="12.75" x14ac:dyDescent="0.2">
      <c r="R10321" s="1288"/>
    </row>
    <row r="10322" spans="18:18" s="2" customFormat="1" ht="12.75" x14ac:dyDescent="0.2">
      <c r="R10322" s="1288"/>
    </row>
    <row r="10323" spans="18:18" s="2" customFormat="1" ht="12.75" x14ac:dyDescent="0.2">
      <c r="R10323" s="1288"/>
    </row>
    <row r="10324" spans="18:18" s="2" customFormat="1" ht="12.75" x14ac:dyDescent="0.2">
      <c r="R10324" s="1288"/>
    </row>
    <row r="10325" spans="18:18" s="2" customFormat="1" ht="12.75" x14ac:dyDescent="0.2">
      <c r="R10325" s="1288"/>
    </row>
    <row r="10326" spans="18:18" s="2" customFormat="1" ht="12.75" x14ac:dyDescent="0.2">
      <c r="R10326" s="1288"/>
    </row>
    <row r="10327" spans="18:18" s="2" customFormat="1" ht="12.75" x14ac:dyDescent="0.2">
      <c r="R10327" s="1288"/>
    </row>
    <row r="10328" spans="18:18" s="2" customFormat="1" ht="12.75" x14ac:dyDescent="0.2">
      <c r="R10328" s="1288"/>
    </row>
    <row r="10329" spans="18:18" s="2" customFormat="1" ht="12.75" x14ac:dyDescent="0.2">
      <c r="R10329" s="1288"/>
    </row>
    <row r="10330" spans="18:18" s="2" customFormat="1" ht="12.75" x14ac:dyDescent="0.2">
      <c r="R10330" s="1288"/>
    </row>
    <row r="10331" spans="18:18" s="2" customFormat="1" ht="12.75" x14ac:dyDescent="0.2">
      <c r="R10331" s="1288"/>
    </row>
    <row r="10332" spans="18:18" s="2" customFormat="1" ht="12.75" x14ac:dyDescent="0.2">
      <c r="R10332" s="1288"/>
    </row>
    <row r="10333" spans="18:18" s="2" customFormat="1" ht="12.75" x14ac:dyDescent="0.2">
      <c r="R10333" s="1288"/>
    </row>
    <row r="10334" spans="18:18" s="2" customFormat="1" ht="12.75" x14ac:dyDescent="0.2">
      <c r="R10334" s="1288"/>
    </row>
    <row r="10335" spans="18:18" s="2" customFormat="1" ht="12.75" x14ac:dyDescent="0.2">
      <c r="R10335" s="1288"/>
    </row>
    <row r="10336" spans="18:18" s="2" customFormat="1" ht="12.75" x14ac:dyDescent="0.2">
      <c r="R10336" s="1288"/>
    </row>
    <row r="10337" spans="18:18" s="2" customFormat="1" ht="12.75" x14ac:dyDescent="0.2">
      <c r="R10337" s="1288"/>
    </row>
    <row r="10338" spans="18:18" s="2" customFormat="1" ht="12.75" x14ac:dyDescent="0.2">
      <c r="R10338" s="1288"/>
    </row>
    <row r="10339" spans="18:18" s="2" customFormat="1" ht="12.75" x14ac:dyDescent="0.2">
      <c r="R10339" s="1288"/>
    </row>
    <row r="10340" spans="18:18" s="2" customFormat="1" ht="12.75" x14ac:dyDescent="0.2">
      <c r="R10340" s="1288"/>
    </row>
    <row r="10341" spans="18:18" s="2" customFormat="1" ht="12.75" x14ac:dyDescent="0.2">
      <c r="R10341" s="1288"/>
    </row>
    <row r="10342" spans="18:18" s="2" customFormat="1" ht="12.75" x14ac:dyDescent="0.2">
      <c r="R10342" s="1288"/>
    </row>
    <row r="10343" spans="18:18" s="2" customFormat="1" ht="12.75" x14ac:dyDescent="0.2">
      <c r="R10343" s="1288"/>
    </row>
    <row r="10344" spans="18:18" s="2" customFormat="1" ht="12.75" x14ac:dyDescent="0.2">
      <c r="R10344" s="1288"/>
    </row>
    <row r="10345" spans="18:18" s="2" customFormat="1" ht="12.75" x14ac:dyDescent="0.2">
      <c r="R10345" s="1288"/>
    </row>
    <row r="10346" spans="18:18" s="2" customFormat="1" ht="12.75" x14ac:dyDescent="0.2">
      <c r="R10346" s="1288"/>
    </row>
    <row r="10347" spans="18:18" s="2" customFormat="1" ht="12.75" x14ac:dyDescent="0.2">
      <c r="R10347" s="1288"/>
    </row>
    <row r="10348" spans="18:18" s="2" customFormat="1" ht="12.75" x14ac:dyDescent="0.2">
      <c r="R10348" s="1288"/>
    </row>
    <row r="10349" spans="18:18" s="2" customFormat="1" ht="12.75" x14ac:dyDescent="0.2">
      <c r="R10349" s="1288"/>
    </row>
    <row r="10350" spans="18:18" s="2" customFormat="1" ht="12.75" x14ac:dyDescent="0.2">
      <c r="R10350" s="1288"/>
    </row>
    <row r="10351" spans="18:18" s="2" customFormat="1" ht="12.75" x14ac:dyDescent="0.2">
      <c r="R10351" s="1288"/>
    </row>
    <row r="10352" spans="18:18" s="2" customFormat="1" ht="12.75" x14ac:dyDescent="0.2">
      <c r="R10352" s="1288"/>
    </row>
    <row r="10353" spans="18:18" s="2" customFormat="1" ht="12.75" x14ac:dyDescent="0.2">
      <c r="R10353" s="1288"/>
    </row>
    <row r="10354" spans="18:18" s="2" customFormat="1" ht="12.75" x14ac:dyDescent="0.2">
      <c r="R10354" s="1288"/>
    </row>
    <row r="10355" spans="18:18" s="2" customFormat="1" ht="12.75" x14ac:dyDescent="0.2">
      <c r="R10355" s="1288"/>
    </row>
    <row r="10356" spans="18:18" s="2" customFormat="1" ht="12.75" x14ac:dyDescent="0.2">
      <c r="R10356" s="1288"/>
    </row>
    <row r="10357" spans="18:18" s="2" customFormat="1" ht="12.75" x14ac:dyDescent="0.2">
      <c r="R10357" s="1288"/>
    </row>
    <row r="10358" spans="18:18" s="2" customFormat="1" ht="12.75" x14ac:dyDescent="0.2">
      <c r="R10358" s="1288"/>
    </row>
    <row r="10359" spans="18:18" s="2" customFormat="1" ht="12.75" x14ac:dyDescent="0.2">
      <c r="R10359" s="1288"/>
    </row>
    <row r="10360" spans="18:18" s="2" customFormat="1" ht="12.75" x14ac:dyDescent="0.2">
      <c r="R10360" s="1288"/>
    </row>
    <row r="10361" spans="18:18" s="2" customFormat="1" ht="12.75" x14ac:dyDescent="0.2">
      <c r="R10361" s="1288"/>
    </row>
    <row r="10362" spans="18:18" s="2" customFormat="1" ht="12.75" x14ac:dyDescent="0.2">
      <c r="R10362" s="1288"/>
    </row>
    <row r="10363" spans="18:18" s="2" customFormat="1" ht="12.75" x14ac:dyDescent="0.2">
      <c r="R10363" s="1288"/>
    </row>
    <row r="10364" spans="18:18" s="2" customFormat="1" ht="12.75" x14ac:dyDescent="0.2">
      <c r="R10364" s="1288"/>
    </row>
    <row r="10365" spans="18:18" s="2" customFormat="1" ht="12.75" x14ac:dyDescent="0.2">
      <c r="R10365" s="1288"/>
    </row>
    <row r="10366" spans="18:18" s="2" customFormat="1" ht="12.75" x14ac:dyDescent="0.2">
      <c r="R10366" s="1288"/>
    </row>
    <row r="10367" spans="18:18" s="2" customFormat="1" ht="12.75" x14ac:dyDescent="0.2">
      <c r="R10367" s="1288"/>
    </row>
    <row r="10368" spans="18:18" s="2" customFormat="1" ht="12.75" x14ac:dyDescent="0.2">
      <c r="R10368" s="1288"/>
    </row>
    <row r="10369" spans="18:18" s="2" customFormat="1" ht="12.75" x14ac:dyDescent="0.2">
      <c r="R10369" s="1288"/>
    </row>
    <row r="10370" spans="18:18" s="2" customFormat="1" ht="12.75" x14ac:dyDescent="0.2">
      <c r="R10370" s="1288"/>
    </row>
    <row r="10371" spans="18:18" s="2" customFormat="1" ht="12.75" x14ac:dyDescent="0.2">
      <c r="R10371" s="1288"/>
    </row>
    <row r="10372" spans="18:18" s="2" customFormat="1" ht="12.75" x14ac:dyDescent="0.2">
      <c r="R10372" s="1288"/>
    </row>
    <row r="10373" spans="18:18" s="2" customFormat="1" ht="12.75" x14ac:dyDescent="0.2">
      <c r="R10373" s="1288"/>
    </row>
    <row r="10374" spans="18:18" s="2" customFormat="1" ht="12.75" x14ac:dyDescent="0.2">
      <c r="R10374" s="1288"/>
    </row>
    <row r="10375" spans="18:18" s="2" customFormat="1" ht="12.75" x14ac:dyDescent="0.2">
      <c r="R10375" s="1288"/>
    </row>
    <row r="10376" spans="18:18" s="2" customFormat="1" ht="12.75" x14ac:dyDescent="0.2">
      <c r="R10376" s="1288"/>
    </row>
    <row r="10377" spans="18:18" s="2" customFormat="1" ht="12.75" x14ac:dyDescent="0.2">
      <c r="R10377" s="1288"/>
    </row>
    <row r="10378" spans="18:18" s="2" customFormat="1" ht="12.75" x14ac:dyDescent="0.2">
      <c r="R10378" s="1288"/>
    </row>
    <row r="10379" spans="18:18" s="2" customFormat="1" ht="12.75" x14ac:dyDescent="0.2">
      <c r="R10379" s="1288"/>
    </row>
    <row r="10380" spans="18:18" s="2" customFormat="1" ht="12.75" x14ac:dyDescent="0.2">
      <c r="R10380" s="1288"/>
    </row>
    <row r="10381" spans="18:18" s="2" customFormat="1" ht="12.75" x14ac:dyDescent="0.2">
      <c r="R10381" s="1288"/>
    </row>
    <row r="10382" spans="18:18" s="2" customFormat="1" ht="12.75" x14ac:dyDescent="0.2">
      <c r="R10382" s="1288"/>
    </row>
    <row r="10383" spans="18:18" s="2" customFormat="1" ht="12.75" x14ac:dyDescent="0.2">
      <c r="R10383" s="1288"/>
    </row>
    <row r="10384" spans="18:18" s="2" customFormat="1" ht="12.75" x14ac:dyDescent="0.2">
      <c r="R10384" s="1288"/>
    </row>
    <row r="10385" spans="18:18" s="2" customFormat="1" ht="12.75" x14ac:dyDescent="0.2">
      <c r="R10385" s="1288"/>
    </row>
    <row r="10386" spans="18:18" s="2" customFormat="1" ht="12.75" x14ac:dyDescent="0.2">
      <c r="R10386" s="1288"/>
    </row>
    <row r="10387" spans="18:18" s="2" customFormat="1" ht="12.75" x14ac:dyDescent="0.2">
      <c r="R10387" s="1288"/>
    </row>
    <row r="10388" spans="18:18" s="2" customFormat="1" ht="12.75" x14ac:dyDescent="0.2">
      <c r="R10388" s="1288"/>
    </row>
    <row r="10389" spans="18:18" s="2" customFormat="1" ht="12.75" x14ac:dyDescent="0.2">
      <c r="R10389" s="1288"/>
    </row>
    <row r="10390" spans="18:18" s="2" customFormat="1" ht="12.75" x14ac:dyDescent="0.2">
      <c r="R10390" s="1288"/>
    </row>
    <row r="10391" spans="18:18" s="2" customFormat="1" ht="12.75" x14ac:dyDescent="0.2">
      <c r="R10391" s="1288"/>
    </row>
    <row r="10392" spans="18:18" s="2" customFormat="1" ht="12.75" x14ac:dyDescent="0.2">
      <c r="R10392" s="1288"/>
    </row>
    <row r="10393" spans="18:18" s="2" customFormat="1" ht="12.75" x14ac:dyDescent="0.2">
      <c r="R10393" s="1288"/>
    </row>
    <row r="10394" spans="18:18" s="2" customFormat="1" ht="12.75" x14ac:dyDescent="0.2">
      <c r="R10394" s="1288"/>
    </row>
    <row r="10395" spans="18:18" s="2" customFormat="1" ht="12.75" x14ac:dyDescent="0.2">
      <c r="R10395" s="1288"/>
    </row>
    <row r="10396" spans="18:18" s="2" customFormat="1" ht="12.75" x14ac:dyDescent="0.2">
      <c r="R10396" s="1288"/>
    </row>
    <row r="10397" spans="18:18" s="2" customFormat="1" ht="12.75" x14ac:dyDescent="0.2">
      <c r="R10397" s="1288"/>
    </row>
    <row r="10398" spans="18:18" s="2" customFormat="1" ht="12.75" x14ac:dyDescent="0.2">
      <c r="R10398" s="1288"/>
    </row>
    <row r="10399" spans="18:18" s="2" customFormat="1" ht="12.75" x14ac:dyDescent="0.2">
      <c r="R10399" s="1288"/>
    </row>
    <row r="10400" spans="18:18" s="2" customFormat="1" ht="12.75" x14ac:dyDescent="0.2">
      <c r="R10400" s="1288"/>
    </row>
    <row r="10401" spans="18:18" s="2" customFormat="1" ht="12.75" x14ac:dyDescent="0.2">
      <c r="R10401" s="1288"/>
    </row>
    <row r="10402" spans="18:18" s="2" customFormat="1" ht="12.75" x14ac:dyDescent="0.2">
      <c r="R10402" s="1288"/>
    </row>
    <row r="10403" spans="18:18" s="2" customFormat="1" ht="12.75" x14ac:dyDescent="0.2">
      <c r="R10403" s="1288"/>
    </row>
    <row r="10404" spans="18:18" s="2" customFormat="1" ht="12.75" x14ac:dyDescent="0.2">
      <c r="R10404" s="1288"/>
    </row>
    <row r="10405" spans="18:18" s="2" customFormat="1" ht="12.75" x14ac:dyDescent="0.2">
      <c r="R10405" s="1288"/>
    </row>
    <row r="10406" spans="18:18" s="2" customFormat="1" ht="12.75" x14ac:dyDescent="0.2">
      <c r="R10406" s="1288"/>
    </row>
    <row r="10407" spans="18:18" s="2" customFormat="1" ht="12.75" x14ac:dyDescent="0.2">
      <c r="R10407" s="1288"/>
    </row>
    <row r="10408" spans="18:18" s="2" customFormat="1" ht="12.75" x14ac:dyDescent="0.2">
      <c r="R10408" s="1288"/>
    </row>
    <row r="10409" spans="18:18" s="2" customFormat="1" ht="12.75" x14ac:dyDescent="0.2">
      <c r="R10409" s="1288"/>
    </row>
    <row r="10410" spans="18:18" s="2" customFormat="1" ht="12.75" x14ac:dyDescent="0.2">
      <c r="R10410" s="1288"/>
    </row>
    <row r="10411" spans="18:18" s="2" customFormat="1" ht="12.75" x14ac:dyDescent="0.2">
      <c r="R10411" s="1288"/>
    </row>
    <row r="10412" spans="18:18" s="2" customFormat="1" ht="12.75" x14ac:dyDescent="0.2">
      <c r="R10412" s="1288"/>
    </row>
    <row r="10413" spans="18:18" s="2" customFormat="1" ht="12.75" x14ac:dyDescent="0.2">
      <c r="R10413" s="1288"/>
    </row>
    <row r="10414" spans="18:18" s="2" customFormat="1" ht="12.75" x14ac:dyDescent="0.2">
      <c r="R10414" s="1288"/>
    </row>
    <row r="10415" spans="18:18" s="2" customFormat="1" ht="12.75" x14ac:dyDescent="0.2">
      <c r="R10415" s="1288"/>
    </row>
    <row r="10416" spans="18:18" s="2" customFormat="1" ht="12.75" x14ac:dyDescent="0.2">
      <c r="R10416" s="1288"/>
    </row>
    <row r="10417" spans="18:18" s="2" customFormat="1" ht="12.75" x14ac:dyDescent="0.2">
      <c r="R10417" s="1288"/>
    </row>
    <row r="10418" spans="18:18" s="2" customFormat="1" ht="12.75" x14ac:dyDescent="0.2">
      <c r="R10418" s="1288"/>
    </row>
    <row r="10419" spans="18:18" s="2" customFormat="1" ht="12.75" x14ac:dyDescent="0.2">
      <c r="R10419" s="1288"/>
    </row>
    <row r="10420" spans="18:18" s="2" customFormat="1" ht="12.75" x14ac:dyDescent="0.2">
      <c r="R10420" s="1288"/>
    </row>
    <row r="10421" spans="18:18" s="2" customFormat="1" ht="12.75" x14ac:dyDescent="0.2">
      <c r="R10421" s="1288"/>
    </row>
    <row r="10422" spans="18:18" s="2" customFormat="1" ht="12.75" x14ac:dyDescent="0.2">
      <c r="R10422" s="1288"/>
    </row>
    <row r="10423" spans="18:18" s="2" customFormat="1" ht="12.75" x14ac:dyDescent="0.2">
      <c r="R10423" s="1288"/>
    </row>
    <row r="10424" spans="18:18" s="2" customFormat="1" ht="12.75" x14ac:dyDescent="0.2">
      <c r="R10424" s="1288"/>
    </row>
    <row r="10425" spans="18:18" s="2" customFormat="1" ht="12.75" x14ac:dyDescent="0.2">
      <c r="R10425" s="1288"/>
    </row>
    <row r="10426" spans="18:18" s="2" customFormat="1" ht="12.75" x14ac:dyDescent="0.2">
      <c r="R10426" s="1288"/>
    </row>
    <row r="10427" spans="18:18" s="2" customFormat="1" ht="12.75" x14ac:dyDescent="0.2">
      <c r="R10427" s="1288"/>
    </row>
    <row r="10428" spans="18:18" s="2" customFormat="1" ht="12.75" x14ac:dyDescent="0.2">
      <c r="R10428" s="1288"/>
    </row>
    <row r="10429" spans="18:18" s="2" customFormat="1" ht="12.75" x14ac:dyDescent="0.2">
      <c r="R10429" s="1288"/>
    </row>
    <row r="10430" spans="18:18" s="2" customFormat="1" ht="12.75" x14ac:dyDescent="0.2">
      <c r="R10430" s="1288"/>
    </row>
    <row r="10431" spans="18:18" s="2" customFormat="1" ht="12.75" x14ac:dyDescent="0.2">
      <c r="R10431" s="1288"/>
    </row>
    <row r="10432" spans="18:18" s="2" customFormat="1" ht="12.75" x14ac:dyDescent="0.2">
      <c r="R10432" s="1288"/>
    </row>
    <row r="10433" spans="18:18" s="2" customFormat="1" ht="12.75" x14ac:dyDescent="0.2">
      <c r="R10433" s="1288"/>
    </row>
    <row r="10434" spans="18:18" s="2" customFormat="1" ht="12.75" x14ac:dyDescent="0.2">
      <c r="R10434" s="1288"/>
    </row>
    <row r="10435" spans="18:18" s="2" customFormat="1" ht="12.75" x14ac:dyDescent="0.2">
      <c r="R10435" s="1288"/>
    </row>
    <row r="10436" spans="18:18" s="2" customFormat="1" ht="12.75" x14ac:dyDescent="0.2">
      <c r="R10436" s="1288"/>
    </row>
    <row r="10437" spans="18:18" s="2" customFormat="1" ht="12.75" x14ac:dyDescent="0.2">
      <c r="R10437" s="1288"/>
    </row>
    <row r="10438" spans="18:18" s="2" customFormat="1" ht="12.75" x14ac:dyDescent="0.2">
      <c r="R10438" s="1288"/>
    </row>
    <row r="10439" spans="18:18" s="2" customFormat="1" ht="12.75" x14ac:dyDescent="0.2">
      <c r="R10439" s="1288"/>
    </row>
    <row r="10440" spans="18:18" s="2" customFormat="1" ht="12.75" x14ac:dyDescent="0.2">
      <c r="R10440" s="1288"/>
    </row>
    <row r="10441" spans="18:18" s="2" customFormat="1" ht="12.75" x14ac:dyDescent="0.2">
      <c r="R10441" s="1288"/>
    </row>
    <row r="10442" spans="18:18" s="2" customFormat="1" ht="12.75" x14ac:dyDescent="0.2">
      <c r="R10442" s="1288"/>
    </row>
    <row r="10443" spans="18:18" s="2" customFormat="1" ht="12.75" x14ac:dyDescent="0.2">
      <c r="R10443" s="1288"/>
    </row>
    <row r="10444" spans="18:18" s="2" customFormat="1" ht="12.75" x14ac:dyDescent="0.2">
      <c r="R10444" s="1288"/>
    </row>
    <row r="10445" spans="18:18" s="2" customFormat="1" ht="12.75" x14ac:dyDescent="0.2">
      <c r="R10445" s="1288"/>
    </row>
    <row r="10446" spans="18:18" s="2" customFormat="1" ht="12.75" x14ac:dyDescent="0.2">
      <c r="R10446" s="1288"/>
    </row>
    <row r="10447" spans="18:18" s="2" customFormat="1" ht="12.75" x14ac:dyDescent="0.2">
      <c r="R10447" s="1288"/>
    </row>
    <row r="10448" spans="18:18" s="2" customFormat="1" ht="12.75" x14ac:dyDescent="0.2">
      <c r="R10448" s="1288"/>
    </row>
    <row r="10449" spans="18:18" s="2" customFormat="1" ht="12.75" x14ac:dyDescent="0.2">
      <c r="R10449" s="1288"/>
    </row>
    <row r="10450" spans="18:18" s="2" customFormat="1" ht="12.75" x14ac:dyDescent="0.2">
      <c r="R10450" s="1288"/>
    </row>
    <row r="10451" spans="18:18" s="2" customFormat="1" ht="12.75" x14ac:dyDescent="0.2">
      <c r="R10451" s="1288"/>
    </row>
    <row r="10452" spans="18:18" s="2" customFormat="1" ht="12.75" x14ac:dyDescent="0.2">
      <c r="R10452" s="1288"/>
    </row>
    <row r="10453" spans="18:18" s="2" customFormat="1" ht="12.75" x14ac:dyDescent="0.2">
      <c r="R10453" s="1288"/>
    </row>
    <row r="10454" spans="18:18" s="2" customFormat="1" ht="12.75" x14ac:dyDescent="0.2">
      <c r="R10454" s="1288"/>
    </row>
    <row r="10455" spans="18:18" s="2" customFormat="1" ht="12.75" x14ac:dyDescent="0.2">
      <c r="R10455" s="1288"/>
    </row>
    <row r="10456" spans="18:18" s="2" customFormat="1" ht="12.75" x14ac:dyDescent="0.2">
      <c r="R10456" s="1288"/>
    </row>
    <row r="10457" spans="18:18" s="2" customFormat="1" ht="12.75" x14ac:dyDescent="0.2">
      <c r="R10457" s="1288"/>
    </row>
    <row r="10458" spans="18:18" s="2" customFormat="1" ht="12.75" x14ac:dyDescent="0.2">
      <c r="R10458" s="1288"/>
    </row>
    <row r="10459" spans="18:18" s="2" customFormat="1" ht="12.75" x14ac:dyDescent="0.2">
      <c r="R10459" s="1288"/>
    </row>
    <row r="10460" spans="18:18" s="2" customFormat="1" ht="12.75" x14ac:dyDescent="0.2">
      <c r="R10460" s="1288"/>
    </row>
    <row r="10461" spans="18:18" s="2" customFormat="1" ht="12.75" x14ac:dyDescent="0.2">
      <c r="R10461" s="1288"/>
    </row>
    <row r="10462" spans="18:18" s="2" customFormat="1" ht="12.75" x14ac:dyDescent="0.2">
      <c r="R10462" s="1288"/>
    </row>
    <row r="10463" spans="18:18" s="2" customFormat="1" ht="12.75" x14ac:dyDescent="0.2">
      <c r="R10463" s="1288"/>
    </row>
    <row r="10464" spans="18:18" s="2" customFormat="1" ht="12.75" x14ac:dyDescent="0.2">
      <c r="R10464" s="1288"/>
    </row>
    <row r="10465" spans="18:18" s="2" customFormat="1" ht="12.75" x14ac:dyDescent="0.2">
      <c r="R10465" s="1288"/>
    </row>
    <row r="10466" spans="18:18" s="2" customFormat="1" ht="12.75" x14ac:dyDescent="0.2">
      <c r="R10466" s="1288"/>
    </row>
    <row r="10467" spans="18:18" s="2" customFormat="1" ht="12.75" x14ac:dyDescent="0.2">
      <c r="R10467" s="1288"/>
    </row>
    <row r="10468" spans="18:18" s="2" customFormat="1" ht="12.75" x14ac:dyDescent="0.2">
      <c r="R10468" s="1288"/>
    </row>
    <row r="10469" spans="18:18" s="2" customFormat="1" ht="12.75" x14ac:dyDescent="0.2">
      <c r="R10469" s="1288"/>
    </row>
    <row r="10470" spans="18:18" s="2" customFormat="1" ht="12.75" x14ac:dyDescent="0.2">
      <c r="R10470" s="1288"/>
    </row>
    <row r="10471" spans="18:18" s="2" customFormat="1" ht="12.75" x14ac:dyDescent="0.2">
      <c r="R10471" s="1288"/>
    </row>
    <row r="10472" spans="18:18" s="2" customFormat="1" ht="12.75" x14ac:dyDescent="0.2">
      <c r="R10472" s="1288"/>
    </row>
    <row r="10473" spans="18:18" s="2" customFormat="1" ht="12.75" x14ac:dyDescent="0.2">
      <c r="R10473" s="1288"/>
    </row>
    <row r="10474" spans="18:18" s="2" customFormat="1" ht="12.75" x14ac:dyDescent="0.2">
      <c r="R10474" s="1288"/>
    </row>
    <row r="10475" spans="18:18" s="2" customFormat="1" ht="12.75" x14ac:dyDescent="0.2">
      <c r="R10475" s="1288"/>
    </row>
    <row r="10476" spans="18:18" s="2" customFormat="1" ht="12.75" x14ac:dyDescent="0.2">
      <c r="R10476" s="1288"/>
    </row>
    <row r="10477" spans="18:18" s="2" customFormat="1" ht="12.75" x14ac:dyDescent="0.2">
      <c r="R10477" s="1288"/>
    </row>
    <row r="10478" spans="18:18" s="2" customFormat="1" ht="12.75" x14ac:dyDescent="0.2">
      <c r="R10478" s="1288"/>
    </row>
    <row r="10479" spans="18:18" s="2" customFormat="1" ht="12.75" x14ac:dyDescent="0.2">
      <c r="R10479" s="1288"/>
    </row>
    <row r="10480" spans="18:18" s="2" customFormat="1" ht="12.75" x14ac:dyDescent="0.2">
      <c r="R10480" s="1288"/>
    </row>
    <row r="10481" spans="18:18" s="2" customFormat="1" ht="12.75" x14ac:dyDescent="0.2">
      <c r="R10481" s="1288"/>
    </row>
    <row r="10482" spans="18:18" s="2" customFormat="1" ht="12.75" x14ac:dyDescent="0.2">
      <c r="R10482" s="1288"/>
    </row>
    <row r="10483" spans="18:18" s="2" customFormat="1" ht="12.75" x14ac:dyDescent="0.2">
      <c r="R10483" s="1288"/>
    </row>
    <row r="10484" spans="18:18" s="2" customFormat="1" ht="12.75" x14ac:dyDescent="0.2">
      <c r="R10484" s="1288"/>
    </row>
    <row r="10485" spans="18:18" s="2" customFormat="1" ht="12.75" x14ac:dyDescent="0.2">
      <c r="R10485" s="1288"/>
    </row>
    <row r="10486" spans="18:18" s="2" customFormat="1" ht="12.75" x14ac:dyDescent="0.2">
      <c r="R10486" s="1288"/>
    </row>
    <row r="10487" spans="18:18" s="2" customFormat="1" ht="12.75" x14ac:dyDescent="0.2">
      <c r="R10487" s="1288"/>
    </row>
    <row r="10488" spans="18:18" s="2" customFormat="1" ht="12.75" x14ac:dyDescent="0.2">
      <c r="R10488" s="1288"/>
    </row>
    <row r="10489" spans="18:18" s="2" customFormat="1" ht="12.75" x14ac:dyDescent="0.2">
      <c r="R10489" s="1288"/>
    </row>
    <row r="10490" spans="18:18" s="2" customFormat="1" ht="12.75" x14ac:dyDescent="0.2">
      <c r="R10490" s="1288"/>
    </row>
    <row r="10491" spans="18:18" s="2" customFormat="1" ht="12.75" x14ac:dyDescent="0.2">
      <c r="R10491" s="1288"/>
    </row>
    <row r="10492" spans="18:18" s="2" customFormat="1" ht="12.75" x14ac:dyDescent="0.2">
      <c r="R10492" s="1288"/>
    </row>
    <row r="10493" spans="18:18" s="2" customFormat="1" ht="12.75" x14ac:dyDescent="0.2">
      <c r="R10493" s="1288"/>
    </row>
    <row r="10494" spans="18:18" s="2" customFormat="1" ht="12.75" x14ac:dyDescent="0.2">
      <c r="R10494" s="1288"/>
    </row>
    <row r="10495" spans="18:18" s="2" customFormat="1" ht="12.75" x14ac:dyDescent="0.2">
      <c r="R10495" s="1288"/>
    </row>
    <row r="10496" spans="18:18" s="2" customFormat="1" ht="12.75" x14ac:dyDescent="0.2">
      <c r="R10496" s="1288"/>
    </row>
    <row r="10497" spans="18:18" s="2" customFormat="1" ht="12.75" x14ac:dyDescent="0.2">
      <c r="R10497" s="1288"/>
    </row>
    <row r="10498" spans="18:18" s="2" customFormat="1" ht="12.75" x14ac:dyDescent="0.2">
      <c r="R10498" s="1288"/>
    </row>
    <row r="10499" spans="18:18" s="2" customFormat="1" ht="12.75" x14ac:dyDescent="0.2">
      <c r="R10499" s="1288"/>
    </row>
    <row r="10500" spans="18:18" s="2" customFormat="1" ht="12.75" x14ac:dyDescent="0.2">
      <c r="R10500" s="1288"/>
    </row>
    <row r="10501" spans="18:18" s="2" customFormat="1" ht="12.75" x14ac:dyDescent="0.2">
      <c r="R10501" s="1288"/>
    </row>
    <row r="10502" spans="18:18" s="2" customFormat="1" ht="12.75" x14ac:dyDescent="0.2">
      <c r="R10502" s="1288"/>
    </row>
    <row r="10503" spans="18:18" s="2" customFormat="1" ht="12.75" x14ac:dyDescent="0.2">
      <c r="R10503" s="1288"/>
    </row>
    <row r="10504" spans="18:18" s="2" customFormat="1" ht="12.75" x14ac:dyDescent="0.2">
      <c r="R10504" s="1288"/>
    </row>
    <row r="10505" spans="18:18" s="2" customFormat="1" ht="12.75" x14ac:dyDescent="0.2">
      <c r="R10505" s="1288"/>
    </row>
    <row r="10506" spans="18:18" s="2" customFormat="1" ht="12.75" x14ac:dyDescent="0.2">
      <c r="R10506" s="1288"/>
    </row>
    <row r="10507" spans="18:18" s="2" customFormat="1" ht="12.75" x14ac:dyDescent="0.2">
      <c r="R10507" s="1288"/>
    </row>
    <row r="10508" spans="18:18" s="2" customFormat="1" ht="12.75" x14ac:dyDescent="0.2">
      <c r="R10508" s="1288"/>
    </row>
    <row r="10509" spans="18:18" s="2" customFormat="1" ht="12.75" x14ac:dyDescent="0.2">
      <c r="R10509" s="1288"/>
    </row>
    <row r="10510" spans="18:18" s="2" customFormat="1" ht="12.75" x14ac:dyDescent="0.2">
      <c r="R10510" s="1288"/>
    </row>
    <row r="10511" spans="18:18" s="2" customFormat="1" ht="12.75" x14ac:dyDescent="0.2">
      <c r="R10511" s="1288"/>
    </row>
    <row r="10512" spans="18:18" s="2" customFormat="1" ht="12.75" x14ac:dyDescent="0.2">
      <c r="R10512" s="1288"/>
    </row>
    <row r="10513" spans="18:18" s="2" customFormat="1" ht="12.75" x14ac:dyDescent="0.2">
      <c r="R10513" s="1288"/>
    </row>
    <row r="10514" spans="18:18" s="2" customFormat="1" ht="12.75" x14ac:dyDescent="0.2">
      <c r="R10514" s="1288"/>
    </row>
    <row r="10515" spans="18:18" s="2" customFormat="1" ht="12.75" x14ac:dyDescent="0.2">
      <c r="R10515" s="1288"/>
    </row>
    <row r="10516" spans="18:18" s="2" customFormat="1" ht="12.75" x14ac:dyDescent="0.2">
      <c r="R10516" s="1288"/>
    </row>
    <row r="10517" spans="18:18" s="2" customFormat="1" ht="12.75" x14ac:dyDescent="0.2">
      <c r="R10517" s="1288"/>
    </row>
    <row r="10518" spans="18:18" s="2" customFormat="1" ht="12.75" x14ac:dyDescent="0.2">
      <c r="R10518" s="1288"/>
    </row>
    <row r="10519" spans="18:18" s="2" customFormat="1" ht="12.75" x14ac:dyDescent="0.2">
      <c r="R10519" s="1288"/>
    </row>
    <row r="10520" spans="18:18" s="2" customFormat="1" ht="12.75" x14ac:dyDescent="0.2">
      <c r="R10520" s="1288"/>
    </row>
    <row r="10521" spans="18:18" s="2" customFormat="1" ht="12.75" x14ac:dyDescent="0.2">
      <c r="R10521" s="1288"/>
    </row>
    <row r="10522" spans="18:18" s="2" customFormat="1" ht="12.75" x14ac:dyDescent="0.2">
      <c r="R10522" s="1288"/>
    </row>
    <row r="10523" spans="18:18" s="2" customFormat="1" ht="12.75" x14ac:dyDescent="0.2">
      <c r="R10523" s="1288"/>
    </row>
    <row r="10524" spans="18:18" s="2" customFormat="1" ht="12.75" x14ac:dyDescent="0.2">
      <c r="R10524" s="1288"/>
    </row>
    <row r="10525" spans="18:18" s="2" customFormat="1" ht="12.75" x14ac:dyDescent="0.2">
      <c r="R10525" s="1288"/>
    </row>
    <row r="10526" spans="18:18" s="2" customFormat="1" ht="12.75" x14ac:dyDescent="0.2">
      <c r="R10526" s="1288"/>
    </row>
    <row r="10527" spans="18:18" s="2" customFormat="1" ht="12.75" x14ac:dyDescent="0.2">
      <c r="R10527" s="1288"/>
    </row>
    <row r="10528" spans="18:18" s="2" customFormat="1" ht="12.75" x14ac:dyDescent="0.2">
      <c r="R10528" s="1288"/>
    </row>
    <row r="10529" spans="18:18" s="2" customFormat="1" ht="12.75" x14ac:dyDescent="0.2">
      <c r="R10529" s="1288"/>
    </row>
    <row r="10530" spans="18:18" s="2" customFormat="1" ht="12.75" x14ac:dyDescent="0.2">
      <c r="R10530" s="1288"/>
    </row>
    <row r="10531" spans="18:18" s="2" customFormat="1" ht="12.75" x14ac:dyDescent="0.2">
      <c r="R10531" s="1288"/>
    </row>
    <row r="10532" spans="18:18" s="2" customFormat="1" ht="12.75" x14ac:dyDescent="0.2">
      <c r="R10532" s="1288"/>
    </row>
    <row r="10533" spans="18:18" s="2" customFormat="1" ht="12.75" x14ac:dyDescent="0.2">
      <c r="R10533" s="1288"/>
    </row>
    <row r="10534" spans="18:18" s="2" customFormat="1" ht="12.75" x14ac:dyDescent="0.2">
      <c r="R10534" s="1288"/>
    </row>
    <row r="10535" spans="18:18" s="2" customFormat="1" ht="12.75" x14ac:dyDescent="0.2">
      <c r="R10535" s="1288"/>
    </row>
    <row r="10536" spans="18:18" s="2" customFormat="1" ht="12.75" x14ac:dyDescent="0.2">
      <c r="R10536" s="1288"/>
    </row>
    <row r="10537" spans="18:18" s="2" customFormat="1" ht="12.75" x14ac:dyDescent="0.2">
      <c r="R10537" s="1288"/>
    </row>
    <row r="10538" spans="18:18" s="2" customFormat="1" ht="12.75" x14ac:dyDescent="0.2">
      <c r="R10538" s="1288"/>
    </row>
    <row r="10539" spans="18:18" s="2" customFormat="1" ht="12.75" x14ac:dyDescent="0.2">
      <c r="R10539" s="1288"/>
    </row>
    <row r="10540" spans="18:18" s="2" customFormat="1" ht="12.75" x14ac:dyDescent="0.2">
      <c r="R10540" s="1288"/>
    </row>
    <row r="10541" spans="18:18" s="2" customFormat="1" ht="12.75" x14ac:dyDescent="0.2">
      <c r="R10541" s="1288"/>
    </row>
    <row r="10542" spans="18:18" s="2" customFormat="1" ht="12.75" x14ac:dyDescent="0.2">
      <c r="R10542" s="1288"/>
    </row>
    <row r="10543" spans="18:18" s="2" customFormat="1" ht="12.75" x14ac:dyDescent="0.2">
      <c r="R10543" s="1288"/>
    </row>
    <row r="10544" spans="18:18" s="2" customFormat="1" ht="12.75" x14ac:dyDescent="0.2">
      <c r="R10544" s="1288"/>
    </row>
    <row r="10545" spans="18:18" s="2" customFormat="1" ht="12.75" x14ac:dyDescent="0.2">
      <c r="R10545" s="1288"/>
    </row>
    <row r="10546" spans="18:18" s="2" customFormat="1" ht="12.75" x14ac:dyDescent="0.2">
      <c r="R10546" s="1288"/>
    </row>
    <row r="10547" spans="18:18" s="2" customFormat="1" ht="12.75" x14ac:dyDescent="0.2">
      <c r="R10547" s="1288"/>
    </row>
    <row r="10548" spans="18:18" s="2" customFormat="1" ht="12.75" x14ac:dyDescent="0.2">
      <c r="R10548" s="1288"/>
    </row>
    <row r="10549" spans="18:18" s="2" customFormat="1" ht="12.75" x14ac:dyDescent="0.2">
      <c r="R10549" s="1288"/>
    </row>
    <row r="10550" spans="18:18" s="2" customFormat="1" ht="12.75" x14ac:dyDescent="0.2">
      <c r="R10550" s="1288"/>
    </row>
    <row r="10551" spans="18:18" s="2" customFormat="1" ht="12.75" x14ac:dyDescent="0.2">
      <c r="R10551" s="1288"/>
    </row>
    <row r="10552" spans="18:18" s="2" customFormat="1" ht="12.75" x14ac:dyDescent="0.2">
      <c r="R10552" s="1288"/>
    </row>
    <row r="10553" spans="18:18" s="2" customFormat="1" ht="12.75" x14ac:dyDescent="0.2">
      <c r="R10553" s="1288"/>
    </row>
    <row r="10554" spans="18:18" s="2" customFormat="1" ht="12.75" x14ac:dyDescent="0.2">
      <c r="R10554" s="1288"/>
    </row>
    <row r="10555" spans="18:18" s="2" customFormat="1" ht="12.75" x14ac:dyDescent="0.2">
      <c r="R10555" s="1288"/>
    </row>
    <row r="10556" spans="18:18" s="2" customFormat="1" ht="12.75" x14ac:dyDescent="0.2">
      <c r="R10556" s="1288"/>
    </row>
    <row r="10557" spans="18:18" s="2" customFormat="1" ht="12.75" x14ac:dyDescent="0.2">
      <c r="R10557" s="1288"/>
    </row>
    <row r="10558" spans="18:18" s="2" customFormat="1" ht="12.75" x14ac:dyDescent="0.2">
      <c r="R10558" s="1288"/>
    </row>
    <row r="10559" spans="18:18" s="2" customFormat="1" ht="12.75" x14ac:dyDescent="0.2">
      <c r="R10559" s="1288"/>
    </row>
    <row r="10560" spans="18:18" s="2" customFormat="1" ht="12.75" x14ac:dyDescent="0.2">
      <c r="R10560" s="1288"/>
    </row>
    <row r="10561" spans="18:18" s="2" customFormat="1" ht="12.75" x14ac:dyDescent="0.2">
      <c r="R10561" s="1288"/>
    </row>
    <row r="10562" spans="18:18" s="2" customFormat="1" ht="12.75" x14ac:dyDescent="0.2">
      <c r="R10562" s="1288"/>
    </row>
    <row r="10563" spans="18:18" s="2" customFormat="1" ht="12.75" x14ac:dyDescent="0.2">
      <c r="R10563" s="1288"/>
    </row>
    <row r="10564" spans="18:18" s="2" customFormat="1" ht="12.75" x14ac:dyDescent="0.2">
      <c r="R10564" s="1288"/>
    </row>
    <row r="10565" spans="18:18" s="2" customFormat="1" ht="12.75" x14ac:dyDescent="0.2">
      <c r="R10565" s="1288"/>
    </row>
    <row r="10566" spans="18:18" s="2" customFormat="1" ht="12.75" x14ac:dyDescent="0.2">
      <c r="R10566" s="1288"/>
    </row>
    <row r="10567" spans="18:18" s="2" customFormat="1" ht="12.75" x14ac:dyDescent="0.2">
      <c r="R10567" s="1288"/>
    </row>
    <row r="10568" spans="18:18" s="2" customFormat="1" ht="12.75" x14ac:dyDescent="0.2">
      <c r="R10568" s="1288"/>
    </row>
    <row r="10569" spans="18:18" s="2" customFormat="1" ht="12.75" x14ac:dyDescent="0.2">
      <c r="R10569" s="1288"/>
    </row>
    <row r="10570" spans="18:18" s="2" customFormat="1" ht="12.75" x14ac:dyDescent="0.2">
      <c r="R10570" s="1288"/>
    </row>
    <row r="10571" spans="18:18" s="2" customFormat="1" ht="12.75" x14ac:dyDescent="0.2">
      <c r="R10571" s="1288"/>
    </row>
    <row r="10572" spans="18:18" s="2" customFormat="1" ht="12.75" x14ac:dyDescent="0.2">
      <c r="R10572" s="1288"/>
    </row>
    <row r="10573" spans="18:18" s="2" customFormat="1" ht="12.75" x14ac:dyDescent="0.2">
      <c r="R10573" s="1288"/>
    </row>
    <row r="10574" spans="18:18" s="2" customFormat="1" ht="12.75" x14ac:dyDescent="0.2">
      <c r="R10574" s="1288"/>
    </row>
    <row r="10575" spans="18:18" s="2" customFormat="1" ht="12.75" x14ac:dyDescent="0.2">
      <c r="R10575" s="1288"/>
    </row>
    <row r="10576" spans="18:18" s="2" customFormat="1" ht="12.75" x14ac:dyDescent="0.2">
      <c r="R10576" s="1288"/>
    </row>
    <row r="10577" spans="18:18" s="2" customFormat="1" ht="12.75" x14ac:dyDescent="0.2">
      <c r="R10577" s="1288"/>
    </row>
    <row r="10578" spans="18:18" s="2" customFormat="1" ht="12.75" x14ac:dyDescent="0.2">
      <c r="R10578" s="1288"/>
    </row>
    <row r="10579" spans="18:18" s="2" customFormat="1" ht="12.75" x14ac:dyDescent="0.2">
      <c r="R10579" s="1288"/>
    </row>
    <row r="10580" spans="18:18" s="2" customFormat="1" ht="12.75" x14ac:dyDescent="0.2">
      <c r="R10580" s="1288"/>
    </row>
    <row r="10581" spans="18:18" s="2" customFormat="1" ht="12.75" x14ac:dyDescent="0.2">
      <c r="R10581" s="1288"/>
    </row>
    <row r="10582" spans="18:18" s="2" customFormat="1" ht="12.75" x14ac:dyDescent="0.2">
      <c r="R10582" s="1288"/>
    </row>
    <row r="10583" spans="18:18" s="2" customFormat="1" ht="12.75" x14ac:dyDescent="0.2">
      <c r="R10583" s="1288"/>
    </row>
    <row r="10584" spans="18:18" s="2" customFormat="1" ht="12.75" x14ac:dyDescent="0.2">
      <c r="R10584" s="1288"/>
    </row>
    <row r="10585" spans="18:18" s="2" customFormat="1" ht="12.75" x14ac:dyDescent="0.2">
      <c r="R10585" s="1288"/>
    </row>
    <row r="10586" spans="18:18" s="2" customFormat="1" ht="12.75" x14ac:dyDescent="0.2">
      <c r="R10586" s="1288"/>
    </row>
    <row r="10587" spans="18:18" s="2" customFormat="1" ht="12.75" x14ac:dyDescent="0.2">
      <c r="R10587" s="1288"/>
    </row>
    <row r="10588" spans="18:18" s="2" customFormat="1" ht="12.75" x14ac:dyDescent="0.2">
      <c r="R10588" s="1288"/>
    </row>
    <row r="10589" spans="18:18" s="2" customFormat="1" ht="12.75" x14ac:dyDescent="0.2">
      <c r="R10589" s="1288"/>
    </row>
    <row r="10590" spans="18:18" s="2" customFormat="1" ht="12.75" x14ac:dyDescent="0.2">
      <c r="R10590" s="1288"/>
    </row>
    <row r="10591" spans="18:18" s="2" customFormat="1" ht="12.75" x14ac:dyDescent="0.2">
      <c r="R10591" s="1288"/>
    </row>
    <row r="10592" spans="18:18" s="2" customFormat="1" ht="12.75" x14ac:dyDescent="0.2">
      <c r="R10592" s="1288"/>
    </row>
    <row r="10593" spans="18:18" s="2" customFormat="1" ht="12.75" x14ac:dyDescent="0.2">
      <c r="R10593" s="1288"/>
    </row>
    <row r="10594" spans="18:18" s="2" customFormat="1" ht="12.75" x14ac:dyDescent="0.2">
      <c r="R10594" s="1288"/>
    </row>
    <row r="10595" spans="18:18" s="2" customFormat="1" ht="12.75" x14ac:dyDescent="0.2">
      <c r="R10595" s="1288"/>
    </row>
    <row r="10596" spans="18:18" s="2" customFormat="1" ht="12.75" x14ac:dyDescent="0.2">
      <c r="R10596" s="1288"/>
    </row>
    <row r="10597" spans="18:18" s="2" customFormat="1" ht="12.75" x14ac:dyDescent="0.2">
      <c r="R10597" s="1288"/>
    </row>
    <row r="10598" spans="18:18" s="2" customFormat="1" ht="12.75" x14ac:dyDescent="0.2">
      <c r="R10598" s="1288"/>
    </row>
    <row r="10599" spans="18:18" s="2" customFormat="1" ht="12.75" x14ac:dyDescent="0.2">
      <c r="R10599" s="1288"/>
    </row>
    <row r="10600" spans="18:18" s="2" customFormat="1" ht="12.75" x14ac:dyDescent="0.2">
      <c r="R10600" s="1288"/>
    </row>
    <row r="10601" spans="18:18" s="2" customFormat="1" ht="12.75" x14ac:dyDescent="0.2">
      <c r="R10601" s="1288"/>
    </row>
    <row r="10602" spans="18:18" s="2" customFormat="1" ht="12.75" x14ac:dyDescent="0.2">
      <c r="R10602" s="1288"/>
    </row>
    <row r="10603" spans="18:18" s="2" customFormat="1" ht="12.75" x14ac:dyDescent="0.2">
      <c r="R10603" s="1288"/>
    </row>
    <row r="10604" spans="18:18" s="2" customFormat="1" ht="12.75" x14ac:dyDescent="0.2">
      <c r="R10604" s="1288"/>
    </row>
    <row r="10605" spans="18:18" s="2" customFormat="1" ht="12.75" x14ac:dyDescent="0.2">
      <c r="R10605" s="1288"/>
    </row>
    <row r="10606" spans="18:18" s="2" customFormat="1" ht="12.75" x14ac:dyDescent="0.2">
      <c r="R10606" s="1288"/>
    </row>
    <row r="10607" spans="18:18" s="2" customFormat="1" ht="12.75" x14ac:dyDescent="0.2">
      <c r="R10607" s="1288"/>
    </row>
    <row r="10608" spans="18:18" s="2" customFormat="1" ht="12.75" x14ac:dyDescent="0.2">
      <c r="R10608" s="1288"/>
    </row>
    <row r="10609" spans="18:18" s="2" customFormat="1" ht="12.75" x14ac:dyDescent="0.2">
      <c r="R10609" s="1288"/>
    </row>
    <row r="10610" spans="18:18" s="2" customFormat="1" ht="12.75" x14ac:dyDescent="0.2">
      <c r="R10610" s="1288"/>
    </row>
    <row r="10611" spans="18:18" s="2" customFormat="1" ht="12.75" x14ac:dyDescent="0.2">
      <c r="R10611" s="1288"/>
    </row>
    <row r="10612" spans="18:18" s="2" customFormat="1" ht="12.75" x14ac:dyDescent="0.2">
      <c r="R10612" s="1288"/>
    </row>
    <row r="10613" spans="18:18" s="2" customFormat="1" ht="12.75" x14ac:dyDescent="0.2">
      <c r="R10613" s="1288"/>
    </row>
    <row r="10614" spans="18:18" s="2" customFormat="1" ht="12.75" x14ac:dyDescent="0.2">
      <c r="R10614" s="1288"/>
    </row>
    <row r="10615" spans="18:18" s="2" customFormat="1" ht="12.75" x14ac:dyDescent="0.2">
      <c r="R10615" s="1288"/>
    </row>
    <row r="10616" spans="18:18" s="2" customFormat="1" ht="12.75" x14ac:dyDescent="0.2">
      <c r="R10616" s="1288"/>
    </row>
    <row r="10617" spans="18:18" s="2" customFormat="1" ht="12.75" x14ac:dyDescent="0.2">
      <c r="R10617" s="1288"/>
    </row>
    <row r="10618" spans="18:18" s="2" customFormat="1" ht="12.75" x14ac:dyDescent="0.2">
      <c r="R10618" s="1288"/>
    </row>
    <row r="10619" spans="18:18" s="2" customFormat="1" ht="12.75" x14ac:dyDescent="0.2">
      <c r="R10619" s="1288"/>
    </row>
    <row r="10620" spans="18:18" s="2" customFormat="1" ht="12.75" x14ac:dyDescent="0.2">
      <c r="R10620" s="1288"/>
    </row>
    <row r="10621" spans="18:18" s="2" customFormat="1" ht="12.75" x14ac:dyDescent="0.2">
      <c r="R10621" s="1288"/>
    </row>
    <row r="10622" spans="18:18" s="2" customFormat="1" ht="12.75" x14ac:dyDescent="0.2">
      <c r="R10622" s="1288"/>
    </row>
    <row r="10623" spans="18:18" s="2" customFormat="1" ht="12.75" x14ac:dyDescent="0.2">
      <c r="R10623" s="1288"/>
    </row>
    <row r="10624" spans="18:18" s="2" customFormat="1" ht="12.75" x14ac:dyDescent="0.2">
      <c r="R10624" s="1288"/>
    </row>
    <row r="10625" spans="18:18" s="2" customFormat="1" ht="12.75" x14ac:dyDescent="0.2">
      <c r="R10625" s="1288"/>
    </row>
    <row r="10626" spans="18:18" s="2" customFormat="1" ht="12.75" x14ac:dyDescent="0.2">
      <c r="R10626" s="1288"/>
    </row>
    <row r="10627" spans="18:18" s="2" customFormat="1" ht="12.75" x14ac:dyDescent="0.2">
      <c r="R10627" s="1288"/>
    </row>
    <row r="10628" spans="18:18" s="2" customFormat="1" ht="12.75" x14ac:dyDescent="0.2">
      <c r="R10628" s="1288"/>
    </row>
    <row r="10629" spans="18:18" s="2" customFormat="1" ht="12.75" x14ac:dyDescent="0.2">
      <c r="R10629" s="1288"/>
    </row>
    <row r="10630" spans="18:18" s="2" customFormat="1" ht="12.75" x14ac:dyDescent="0.2">
      <c r="R10630" s="1288"/>
    </row>
    <row r="10631" spans="18:18" s="2" customFormat="1" ht="12.75" x14ac:dyDescent="0.2">
      <c r="R10631" s="1288"/>
    </row>
    <row r="10632" spans="18:18" s="2" customFormat="1" ht="12.75" x14ac:dyDescent="0.2">
      <c r="R10632" s="1288"/>
    </row>
    <row r="10633" spans="18:18" s="2" customFormat="1" ht="12.75" x14ac:dyDescent="0.2">
      <c r="R10633" s="1288"/>
    </row>
    <row r="10634" spans="18:18" s="2" customFormat="1" ht="12.75" x14ac:dyDescent="0.2">
      <c r="R10634" s="1288"/>
    </row>
    <row r="10635" spans="18:18" s="2" customFormat="1" ht="12.75" x14ac:dyDescent="0.2">
      <c r="R10635" s="1288"/>
    </row>
    <row r="10636" spans="18:18" s="2" customFormat="1" ht="12.75" x14ac:dyDescent="0.2">
      <c r="R10636" s="1288"/>
    </row>
    <row r="10637" spans="18:18" s="2" customFormat="1" ht="12.75" x14ac:dyDescent="0.2">
      <c r="R10637" s="1288"/>
    </row>
    <row r="10638" spans="18:18" s="2" customFormat="1" ht="12.75" x14ac:dyDescent="0.2">
      <c r="R10638" s="1288"/>
    </row>
    <row r="10639" spans="18:18" s="2" customFormat="1" ht="12.75" x14ac:dyDescent="0.2">
      <c r="R10639" s="1288"/>
    </row>
    <row r="10640" spans="18:18" s="2" customFormat="1" ht="12.75" x14ac:dyDescent="0.2">
      <c r="R10640" s="1288"/>
    </row>
    <row r="10641" spans="18:18" s="2" customFormat="1" ht="12.75" x14ac:dyDescent="0.2">
      <c r="R10641" s="1288"/>
    </row>
    <row r="10642" spans="18:18" s="2" customFormat="1" ht="12.75" x14ac:dyDescent="0.2">
      <c r="R10642" s="1288"/>
    </row>
    <row r="10643" spans="18:18" s="2" customFormat="1" ht="12.75" x14ac:dyDescent="0.2">
      <c r="R10643" s="1288"/>
    </row>
    <row r="10644" spans="18:18" s="2" customFormat="1" ht="12.75" x14ac:dyDescent="0.2">
      <c r="R10644" s="1288"/>
    </row>
    <row r="10645" spans="18:18" s="2" customFormat="1" ht="12.75" x14ac:dyDescent="0.2">
      <c r="R10645" s="1288"/>
    </row>
    <row r="10646" spans="18:18" s="2" customFormat="1" ht="12.75" x14ac:dyDescent="0.2">
      <c r="R10646" s="1288"/>
    </row>
    <row r="10647" spans="18:18" s="2" customFormat="1" ht="12.75" x14ac:dyDescent="0.2">
      <c r="R10647" s="1288"/>
    </row>
    <row r="10648" spans="18:18" s="2" customFormat="1" ht="12.75" x14ac:dyDescent="0.2">
      <c r="R10648" s="1288"/>
    </row>
    <row r="10649" spans="18:18" s="2" customFormat="1" ht="12.75" x14ac:dyDescent="0.2">
      <c r="R10649" s="1288"/>
    </row>
    <row r="10650" spans="18:18" s="2" customFormat="1" ht="12.75" x14ac:dyDescent="0.2">
      <c r="R10650" s="1288"/>
    </row>
    <row r="10651" spans="18:18" s="2" customFormat="1" ht="12.75" x14ac:dyDescent="0.2">
      <c r="R10651" s="1288"/>
    </row>
    <row r="10652" spans="18:18" s="2" customFormat="1" ht="12.75" x14ac:dyDescent="0.2">
      <c r="R10652" s="1288"/>
    </row>
    <row r="10653" spans="18:18" s="2" customFormat="1" ht="12.75" x14ac:dyDescent="0.2">
      <c r="R10653" s="1288"/>
    </row>
    <row r="10654" spans="18:18" s="2" customFormat="1" ht="12.75" x14ac:dyDescent="0.2">
      <c r="R10654" s="1288"/>
    </row>
    <row r="10655" spans="18:18" s="2" customFormat="1" ht="12.75" x14ac:dyDescent="0.2">
      <c r="R10655" s="1288"/>
    </row>
    <row r="10656" spans="18:18" s="2" customFormat="1" ht="12.75" x14ac:dyDescent="0.2">
      <c r="R10656" s="1288"/>
    </row>
    <row r="10657" spans="18:18" s="2" customFormat="1" ht="12.75" x14ac:dyDescent="0.2">
      <c r="R10657" s="1288"/>
    </row>
    <row r="10658" spans="18:18" s="2" customFormat="1" ht="12.75" x14ac:dyDescent="0.2">
      <c r="R10658" s="1288"/>
    </row>
    <row r="10659" spans="18:18" s="2" customFormat="1" ht="12.75" x14ac:dyDescent="0.2">
      <c r="R10659" s="1288"/>
    </row>
    <row r="10660" spans="18:18" s="2" customFormat="1" ht="12.75" x14ac:dyDescent="0.2">
      <c r="R10660" s="1288"/>
    </row>
    <row r="10661" spans="18:18" s="2" customFormat="1" ht="12.75" x14ac:dyDescent="0.2">
      <c r="R10661" s="1288"/>
    </row>
    <row r="10662" spans="18:18" s="2" customFormat="1" ht="12.75" x14ac:dyDescent="0.2">
      <c r="R10662" s="1288"/>
    </row>
    <row r="10663" spans="18:18" s="2" customFormat="1" ht="12.75" x14ac:dyDescent="0.2">
      <c r="R10663" s="1288"/>
    </row>
    <row r="10664" spans="18:18" s="2" customFormat="1" ht="12.75" x14ac:dyDescent="0.2">
      <c r="R10664" s="1288"/>
    </row>
    <row r="10665" spans="18:18" s="2" customFormat="1" ht="12.75" x14ac:dyDescent="0.2">
      <c r="R10665" s="1288"/>
    </row>
    <row r="10666" spans="18:18" s="2" customFormat="1" ht="12.75" x14ac:dyDescent="0.2">
      <c r="R10666" s="1288"/>
    </row>
    <row r="10667" spans="18:18" s="2" customFormat="1" ht="12.75" x14ac:dyDescent="0.2">
      <c r="R10667" s="1288"/>
    </row>
    <row r="10668" spans="18:18" s="2" customFormat="1" ht="12.75" x14ac:dyDescent="0.2">
      <c r="R10668" s="1288"/>
    </row>
    <row r="10669" spans="18:18" s="2" customFormat="1" ht="12.75" x14ac:dyDescent="0.2">
      <c r="R10669" s="1288"/>
    </row>
    <row r="10670" spans="18:18" s="2" customFormat="1" ht="12.75" x14ac:dyDescent="0.2">
      <c r="R10670" s="1288"/>
    </row>
    <row r="10671" spans="18:18" s="2" customFormat="1" ht="12.75" x14ac:dyDescent="0.2">
      <c r="R10671" s="1288"/>
    </row>
    <row r="10672" spans="18:18" s="2" customFormat="1" ht="12.75" x14ac:dyDescent="0.2">
      <c r="R10672" s="1288"/>
    </row>
    <row r="10673" spans="18:18" s="2" customFormat="1" ht="12.75" x14ac:dyDescent="0.2">
      <c r="R10673" s="1288"/>
    </row>
    <row r="10674" spans="18:18" s="2" customFormat="1" ht="12.75" x14ac:dyDescent="0.2">
      <c r="R10674" s="1288"/>
    </row>
    <row r="10675" spans="18:18" s="2" customFormat="1" ht="12.75" x14ac:dyDescent="0.2">
      <c r="R10675" s="1288"/>
    </row>
    <row r="10676" spans="18:18" s="2" customFormat="1" ht="12.75" x14ac:dyDescent="0.2">
      <c r="R10676" s="1288"/>
    </row>
    <row r="10677" spans="18:18" s="2" customFormat="1" ht="12.75" x14ac:dyDescent="0.2">
      <c r="R10677" s="1288"/>
    </row>
    <row r="10678" spans="18:18" s="2" customFormat="1" ht="12.75" x14ac:dyDescent="0.2">
      <c r="R10678" s="1288"/>
    </row>
    <row r="10679" spans="18:18" s="2" customFormat="1" ht="12.75" x14ac:dyDescent="0.2">
      <c r="R10679" s="1288"/>
    </row>
    <row r="10680" spans="18:18" s="2" customFormat="1" ht="12.75" x14ac:dyDescent="0.2">
      <c r="R10680" s="1288"/>
    </row>
    <row r="10681" spans="18:18" s="2" customFormat="1" ht="12.75" x14ac:dyDescent="0.2">
      <c r="R10681" s="1288"/>
    </row>
    <row r="10682" spans="18:18" s="2" customFormat="1" ht="12.75" x14ac:dyDescent="0.2">
      <c r="R10682" s="1288"/>
    </row>
    <row r="10683" spans="18:18" s="2" customFormat="1" ht="12.75" x14ac:dyDescent="0.2">
      <c r="R10683" s="1288"/>
    </row>
    <row r="10684" spans="18:18" s="2" customFormat="1" ht="12.75" x14ac:dyDescent="0.2">
      <c r="R10684" s="1288"/>
    </row>
    <row r="10685" spans="18:18" s="2" customFormat="1" ht="12.75" x14ac:dyDescent="0.2">
      <c r="R10685" s="1288"/>
    </row>
    <row r="10686" spans="18:18" s="2" customFormat="1" ht="12.75" x14ac:dyDescent="0.2">
      <c r="R10686" s="1288"/>
    </row>
    <row r="10687" spans="18:18" s="2" customFormat="1" ht="12.75" x14ac:dyDescent="0.2">
      <c r="R10687" s="1288"/>
    </row>
    <row r="10688" spans="18:18" s="2" customFormat="1" ht="12.75" x14ac:dyDescent="0.2">
      <c r="R10688" s="1288"/>
    </row>
    <row r="10689" spans="18:18" s="2" customFormat="1" ht="12.75" x14ac:dyDescent="0.2">
      <c r="R10689" s="1288"/>
    </row>
    <row r="10690" spans="18:18" s="2" customFormat="1" ht="12.75" x14ac:dyDescent="0.2">
      <c r="R10690" s="1288"/>
    </row>
    <row r="10691" spans="18:18" s="2" customFormat="1" ht="12.75" x14ac:dyDescent="0.2">
      <c r="R10691" s="1288"/>
    </row>
    <row r="10692" spans="18:18" s="2" customFormat="1" ht="12.75" x14ac:dyDescent="0.2">
      <c r="R10692" s="1288"/>
    </row>
    <row r="10693" spans="18:18" s="2" customFormat="1" ht="12.75" x14ac:dyDescent="0.2">
      <c r="R10693" s="1288"/>
    </row>
    <row r="10694" spans="18:18" s="2" customFormat="1" ht="12.75" x14ac:dyDescent="0.2">
      <c r="R10694" s="1288"/>
    </row>
    <row r="10695" spans="18:18" s="2" customFormat="1" ht="12.75" x14ac:dyDescent="0.2">
      <c r="R10695" s="1288"/>
    </row>
    <row r="10696" spans="18:18" s="2" customFormat="1" ht="12.75" x14ac:dyDescent="0.2">
      <c r="R10696" s="1288"/>
    </row>
    <row r="10697" spans="18:18" s="2" customFormat="1" ht="12.75" x14ac:dyDescent="0.2">
      <c r="R10697" s="1288"/>
    </row>
    <row r="10698" spans="18:18" s="2" customFormat="1" ht="12.75" x14ac:dyDescent="0.2">
      <c r="R10698" s="1288"/>
    </row>
    <row r="10699" spans="18:18" s="2" customFormat="1" ht="12.75" x14ac:dyDescent="0.2">
      <c r="R10699" s="1288"/>
    </row>
    <row r="10700" spans="18:18" s="2" customFormat="1" ht="12.75" x14ac:dyDescent="0.2">
      <c r="R10700" s="1288"/>
    </row>
    <row r="10701" spans="18:18" s="2" customFormat="1" ht="12.75" x14ac:dyDescent="0.2">
      <c r="R10701" s="1288"/>
    </row>
    <row r="10702" spans="18:18" s="2" customFormat="1" ht="12.75" x14ac:dyDescent="0.2">
      <c r="R10702" s="1288"/>
    </row>
    <row r="10703" spans="18:18" s="2" customFormat="1" ht="12.75" x14ac:dyDescent="0.2">
      <c r="R10703" s="1288"/>
    </row>
    <row r="10704" spans="18:18" s="2" customFormat="1" ht="12.75" x14ac:dyDescent="0.2">
      <c r="R10704" s="1288"/>
    </row>
    <row r="10705" spans="18:18" s="2" customFormat="1" ht="12.75" x14ac:dyDescent="0.2">
      <c r="R10705" s="1288"/>
    </row>
    <row r="10706" spans="18:18" s="2" customFormat="1" ht="12.75" x14ac:dyDescent="0.2">
      <c r="R10706" s="1288"/>
    </row>
    <row r="10707" spans="18:18" s="2" customFormat="1" ht="12.75" x14ac:dyDescent="0.2">
      <c r="R10707" s="1288"/>
    </row>
    <row r="10708" spans="18:18" s="2" customFormat="1" ht="12.75" x14ac:dyDescent="0.2">
      <c r="R10708" s="1288"/>
    </row>
    <row r="10709" spans="18:18" s="2" customFormat="1" ht="12.75" x14ac:dyDescent="0.2">
      <c r="R10709" s="1288"/>
    </row>
    <row r="10710" spans="18:18" s="2" customFormat="1" ht="12.75" x14ac:dyDescent="0.2">
      <c r="R10710" s="1288"/>
    </row>
    <row r="10711" spans="18:18" s="2" customFormat="1" ht="12.75" x14ac:dyDescent="0.2">
      <c r="R10711" s="1288"/>
    </row>
    <row r="10712" spans="18:18" s="2" customFormat="1" ht="12.75" x14ac:dyDescent="0.2">
      <c r="R10712" s="1288"/>
    </row>
    <row r="10713" spans="18:18" s="2" customFormat="1" ht="12.75" x14ac:dyDescent="0.2">
      <c r="R10713" s="1288"/>
    </row>
    <row r="10714" spans="18:18" s="2" customFormat="1" ht="12.75" x14ac:dyDescent="0.2">
      <c r="R10714" s="1288"/>
    </row>
    <row r="10715" spans="18:18" s="2" customFormat="1" ht="12.75" x14ac:dyDescent="0.2">
      <c r="R10715" s="1288"/>
    </row>
    <row r="10716" spans="18:18" s="2" customFormat="1" ht="12.75" x14ac:dyDescent="0.2">
      <c r="R10716" s="1288"/>
    </row>
    <row r="10717" spans="18:18" s="2" customFormat="1" ht="12.75" x14ac:dyDescent="0.2">
      <c r="R10717" s="1288"/>
    </row>
    <row r="10718" spans="18:18" s="2" customFormat="1" ht="12.75" x14ac:dyDescent="0.2">
      <c r="R10718" s="1288"/>
    </row>
    <row r="10719" spans="18:18" s="2" customFormat="1" ht="12.75" x14ac:dyDescent="0.2">
      <c r="R10719" s="1288"/>
    </row>
    <row r="10720" spans="18:18" s="2" customFormat="1" ht="12.75" x14ac:dyDescent="0.2">
      <c r="R10720" s="1288"/>
    </row>
    <row r="10721" spans="18:18" s="2" customFormat="1" ht="12.75" x14ac:dyDescent="0.2">
      <c r="R10721" s="1288"/>
    </row>
    <row r="10722" spans="18:18" s="2" customFormat="1" ht="12.75" x14ac:dyDescent="0.2">
      <c r="R10722" s="1288"/>
    </row>
    <row r="10723" spans="18:18" s="2" customFormat="1" ht="12.75" x14ac:dyDescent="0.2">
      <c r="R10723" s="1288"/>
    </row>
    <row r="10724" spans="18:18" s="2" customFormat="1" ht="12.75" x14ac:dyDescent="0.2">
      <c r="R10724" s="1288"/>
    </row>
    <row r="10725" spans="18:18" s="2" customFormat="1" ht="12.75" x14ac:dyDescent="0.2">
      <c r="R10725" s="1288"/>
    </row>
    <row r="10726" spans="18:18" s="2" customFormat="1" ht="12.75" x14ac:dyDescent="0.2">
      <c r="R10726" s="1288"/>
    </row>
    <row r="10727" spans="18:18" s="2" customFormat="1" ht="12.75" x14ac:dyDescent="0.2">
      <c r="R10727" s="1288"/>
    </row>
    <row r="10728" spans="18:18" s="2" customFormat="1" ht="12.75" x14ac:dyDescent="0.2">
      <c r="R10728" s="1288"/>
    </row>
    <row r="10729" spans="18:18" s="2" customFormat="1" ht="12.75" x14ac:dyDescent="0.2">
      <c r="R10729" s="1288"/>
    </row>
    <row r="10730" spans="18:18" s="2" customFormat="1" ht="12.75" x14ac:dyDescent="0.2">
      <c r="R10730" s="1288"/>
    </row>
    <row r="10731" spans="18:18" s="2" customFormat="1" ht="12.75" x14ac:dyDescent="0.2">
      <c r="R10731" s="1288"/>
    </row>
    <row r="10732" spans="18:18" s="2" customFormat="1" ht="12.75" x14ac:dyDescent="0.2">
      <c r="R10732" s="1288"/>
    </row>
    <row r="10733" spans="18:18" s="2" customFormat="1" ht="12.75" x14ac:dyDescent="0.2">
      <c r="R10733" s="1288"/>
    </row>
    <row r="10734" spans="18:18" s="2" customFormat="1" ht="12.75" x14ac:dyDescent="0.2">
      <c r="R10734" s="1288"/>
    </row>
    <row r="10735" spans="18:18" s="2" customFormat="1" ht="12.75" x14ac:dyDescent="0.2">
      <c r="R10735" s="1288"/>
    </row>
    <row r="10736" spans="18:18" s="2" customFormat="1" ht="12.75" x14ac:dyDescent="0.2">
      <c r="R10736" s="1288"/>
    </row>
    <row r="10737" spans="18:18" s="2" customFormat="1" ht="12.75" x14ac:dyDescent="0.2">
      <c r="R10737" s="1288"/>
    </row>
    <row r="10738" spans="18:18" s="2" customFormat="1" ht="12.75" x14ac:dyDescent="0.2">
      <c r="R10738" s="1288"/>
    </row>
    <row r="10739" spans="18:18" s="2" customFormat="1" ht="12.75" x14ac:dyDescent="0.2">
      <c r="R10739" s="1288"/>
    </row>
    <row r="10740" spans="18:18" s="2" customFormat="1" ht="12.75" x14ac:dyDescent="0.2">
      <c r="R10740" s="1288"/>
    </row>
    <row r="10741" spans="18:18" s="2" customFormat="1" ht="12.75" x14ac:dyDescent="0.2">
      <c r="R10741" s="1288"/>
    </row>
    <row r="10742" spans="18:18" s="2" customFormat="1" ht="12.75" x14ac:dyDescent="0.2">
      <c r="R10742" s="1288"/>
    </row>
    <row r="10743" spans="18:18" s="2" customFormat="1" ht="12.75" x14ac:dyDescent="0.2">
      <c r="R10743" s="1288"/>
    </row>
    <row r="10744" spans="18:18" s="2" customFormat="1" ht="12.75" x14ac:dyDescent="0.2">
      <c r="R10744" s="1288"/>
    </row>
    <row r="10745" spans="18:18" s="2" customFormat="1" ht="12.75" x14ac:dyDescent="0.2">
      <c r="R10745" s="1288"/>
    </row>
    <row r="10746" spans="18:18" s="2" customFormat="1" ht="12.75" x14ac:dyDescent="0.2">
      <c r="R10746" s="1288"/>
    </row>
    <row r="10747" spans="18:18" s="2" customFormat="1" ht="12.75" x14ac:dyDescent="0.2">
      <c r="R10747" s="1288"/>
    </row>
    <row r="10748" spans="18:18" s="2" customFormat="1" ht="12.75" x14ac:dyDescent="0.2">
      <c r="R10748" s="1288"/>
    </row>
    <row r="10749" spans="18:18" s="2" customFormat="1" ht="12.75" x14ac:dyDescent="0.2">
      <c r="R10749" s="1288"/>
    </row>
    <row r="10750" spans="18:18" s="2" customFormat="1" ht="12.75" x14ac:dyDescent="0.2">
      <c r="R10750" s="1288"/>
    </row>
    <row r="10751" spans="18:18" s="2" customFormat="1" ht="12.75" x14ac:dyDescent="0.2">
      <c r="R10751" s="1288"/>
    </row>
    <row r="10752" spans="18:18" s="2" customFormat="1" ht="12.75" x14ac:dyDescent="0.2">
      <c r="R10752" s="1288"/>
    </row>
    <row r="10753" spans="18:18" s="2" customFormat="1" ht="12.75" x14ac:dyDescent="0.2">
      <c r="R10753" s="1288"/>
    </row>
    <row r="10754" spans="18:18" s="2" customFormat="1" ht="12.75" x14ac:dyDescent="0.2">
      <c r="R10754" s="1288"/>
    </row>
    <row r="10755" spans="18:18" s="2" customFormat="1" ht="12.75" x14ac:dyDescent="0.2">
      <c r="R10755" s="1288"/>
    </row>
    <row r="10756" spans="18:18" s="2" customFormat="1" ht="12.75" x14ac:dyDescent="0.2">
      <c r="R10756" s="1288"/>
    </row>
    <row r="10757" spans="18:18" s="2" customFormat="1" ht="12.75" x14ac:dyDescent="0.2">
      <c r="R10757" s="1288"/>
    </row>
    <row r="10758" spans="18:18" s="2" customFormat="1" ht="12.75" x14ac:dyDescent="0.2">
      <c r="R10758" s="1288"/>
    </row>
    <row r="10759" spans="18:18" s="2" customFormat="1" ht="12.75" x14ac:dyDescent="0.2">
      <c r="R10759" s="1288"/>
    </row>
    <row r="10760" spans="18:18" s="2" customFormat="1" ht="12.75" x14ac:dyDescent="0.2">
      <c r="R10760" s="1288"/>
    </row>
    <row r="10761" spans="18:18" s="2" customFormat="1" ht="12.75" x14ac:dyDescent="0.2">
      <c r="R10761" s="1288"/>
    </row>
    <row r="10762" spans="18:18" s="2" customFormat="1" ht="12.75" x14ac:dyDescent="0.2">
      <c r="R10762" s="1288"/>
    </row>
    <row r="10763" spans="18:18" s="2" customFormat="1" ht="12.75" x14ac:dyDescent="0.2">
      <c r="R10763" s="1288"/>
    </row>
    <row r="10764" spans="18:18" s="2" customFormat="1" ht="12.75" x14ac:dyDescent="0.2">
      <c r="R10764" s="1288"/>
    </row>
    <row r="10765" spans="18:18" s="2" customFormat="1" ht="12.75" x14ac:dyDescent="0.2">
      <c r="R10765" s="1288"/>
    </row>
    <row r="10766" spans="18:18" s="2" customFormat="1" ht="12.75" x14ac:dyDescent="0.2">
      <c r="R10766" s="1288"/>
    </row>
    <row r="10767" spans="18:18" s="2" customFormat="1" ht="12.75" x14ac:dyDescent="0.2">
      <c r="R10767" s="1288"/>
    </row>
    <row r="10768" spans="18:18" s="2" customFormat="1" ht="12.75" x14ac:dyDescent="0.2">
      <c r="R10768" s="1288"/>
    </row>
    <row r="10769" spans="18:18" s="2" customFormat="1" ht="12.75" x14ac:dyDescent="0.2">
      <c r="R10769" s="1288"/>
    </row>
    <row r="10770" spans="18:18" s="2" customFormat="1" ht="12.75" x14ac:dyDescent="0.2">
      <c r="R10770" s="1288"/>
    </row>
    <row r="10771" spans="18:18" s="2" customFormat="1" ht="12.75" x14ac:dyDescent="0.2">
      <c r="R10771" s="1288"/>
    </row>
    <row r="10772" spans="18:18" s="2" customFormat="1" ht="12.75" x14ac:dyDescent="0.2">
      <c r="R10772" s="1288"/>
    </row>
    <row r="10773" spans="18:18" s="2" customFormat="1" ht="12.75" x14ac:dyDescent="0.2">
      <c r="R10773" s="1288"/>
    </row>
    <row r="10774" spans="18:18" s="2" customFormat="1" ht="12.75" x14ac:dyDescent="0.2">
      <c r="R10774" s="1288"/>
    </row>
    <row r="10775" spans="18:18" s="2" customFormat="1" ht="12.75" x14ac:dyDescent="0.2">
      <c r="R10775" s="1288"/>
    </row>
    <row r="10776" spans="18:18" s="2" customFormat="1" ht="12.75" x14ac:dyDescent="0.2">
      <c r="R10776" s="1288"/>
    </row>
    <row r="10777" spans="18:18" s="2" customFormat="1" ht="12.75" x14ac:dyDescent="0.2">
      <c r="R10777" s="1288"/>
    </row>
    <row r="10778" spans="18:18" s="2" customFormat="1" ht="12.75" x14ac:dyDescent="0.2">
      <c r="R10778" s="1288"/>
    </row>
    <row r="10779" spans="18:18" s="2" customFormat="1" ht="12.75" x14ac:dyDescent="0.2">
      <c r="R10779" s="1288"/>
    </row>
    <row r="10780" spans="18:18" s="2" customFormat="1" ht="12.75" x14ac:dyDescent="0.2">
      <c r="R10780" s="1288"/>
    </row>
    <row r="10781" spans="18:18" s="2" customFormat="1" ht="12.75" x14ac:dyDescent="0.2">
      <c r="R10781" s="1288"/>
    </row>
    <row r="10782" spans="18:18" s="2" customFormat="1" ht="12.75" x14ac:dyDescent="0.2">
      <c r="R10782" s="1288"/>
    </row>
    <row r="10783" spans="18:18" s="2" customFormat="1" ht="12.75" x14ac:dyDescent="0.2">
      <c r="R10783" s="1288"/>
    </row>
    <row r="10784" spans="18:18" s="2" customFormat="1" ht="12.75" x14ac:dyDescent="0.2">
      <c r="R10784" s="1288"/>
    </row>
    <row r="10785" spans="18:18" s="2" customFormat="1" ht="12.75" x14ac:dyDescent="0.2">
      <c r="R10785" s="1288"/>
    </row>
    <row r="10786" spans="18:18" s="2" customFormat="1" ht="12.75" x14ac:dyDescent="0.2">
      <c r="R10786" s="1288"/>
    </row>
    <row r="10787" spans="18:18" s="2" customFormat="1" ht="12.75" x14ac:dyDescent="0.2">
      <c r="R10787" s="1288"/>
    </row>
    <row r="10788" spans="18:18" s="2" customFormat="1" ht="12.75" x14ac:dyDescent="0.2">
      <c r="R10788" s="1288"/>
    </row>
    <row r="10789" spans="18:18" s="2" customFormat="1" ht="12.75" x14ac:dyDescent="0.2">
      <c r="R10789" s="1288"/>
    </row>
    <row r="10790" spans="18:18" s="2" customFormat="1" ht="12.75" x14ac:dyDescent="0.2">
      <c r="R10790" s="1288"/>
    </row>
    <row r="10791" spans="18:18" s="2" customFormat="1" ht="12.75" x14ac:dyDescent="0.2">
      <c r="R10791" s="1288"/>
    </row>
    <row r="10792" spans="18:18" s="2" customFormat="1" ht="12.75" x14ac:dyDescent="0.2">
      <c r="R10792" s="1288"/>
    </row>
    <row r="10793" spans="18:18" s="2" customFormat="1" ht="12.75" x14ac:dyDescent="0.2">
      <c r="R10793" s="1288"/>
    </row>
    <row r="10794" spans="18:18" s="2" customFormat="1" ht="12.75" x14ac:dyDescent="0.2">
      <c r="R10794" s="1288"/>
    </row>
    <row r="10795" spans="18:18" s="2" customFormat="1" ht="12.75" x14ac:dyDescent="0.2">
      <c r="R10795" s="1288"/>
    </row>
    <row r="10796" spans="18:18" s="2" customFormat="1" ht="12.75" x14ac:dyDescent="0.2">
      <c r="R10796" s="1288"/>
    </row>
    <row r="10797" spans="18:18" s="2" customFormat="1" ht="12.75" x14ac:dyDescent="0.2">
      <c r="R10797" s="1288"/>
    </row>
    <row r="10798" spans="18:18" s="2" customFormat="1" ht="12.75" x14ac:dyDescent="0.2">
      <c r="R10798" s="1288"/>
    </row>
    <row r="10799" spans="18:18" s="2" customFormat="1" ht="12.75" x14ac:dyDescent="0.2">
      <c r="R10799" s="1288"/>
    </row>
    <row r="10800" spans="18:18" s="2" customFormat="1" ht="12.75" x14ac:dyDescent="0.2">
      <c r="R10800" s="1288"/>
    </row>
    <row r="10801" spans="18:18" s="2" customFormat="1" ht="12.75" x14ac:dyDescent="0.2">
      <c r="R10801" s="1288"/>
    </row>
    <row r="10802" spans="18:18" s="2" customFormat="1" ht="12.75" x14ac:dyDescent="0.2">
      <c r="R10802" s="1288"/>
    </row>
    <row r="10803" spans="18:18" s="2" customFormat="1" ht="12.75" x14ac:dyDescent="0.2">
      <c r="R10803" s="1288"/>
    </row>
    <row r="10804" spans="18:18" s="2" customFormat="1" ht="12.75" x14ac:dyDescent="0.2">
      <c r="R10804" s="1288"/>
    </row>
    <row r="10805" spans="18:18" s="2" customFormat="1" ht="12.75" x14ac:dyDescent="0.2">
      <c r="R10805" s="1288"/>
    </row>
    <row r="10806" spans="18:18" s="2" customFormat="1" ht="12.75" x14ac:dyDescent="0.2">
      <c r="R10806" s="1288"/>
    </row>
    <row r="10807" spans="18:18" s="2" customFormat="1" ht="12.75" x14ac:dyDescent="0.2">
      <c r="R10807" s="1288"/>
    </row>
    <row r="10808" spans="18:18" s="2" customFormat="1" ht="12.75" x14ac:dyDescent="0.2">
      <c r="R10808" s="1288"/>
    </row>
    <row r="10809" spans="18:18" s="2" customFormat="1" ht="12.75" x14ac:dyDescent="0.2">
      <c r="R10809" s="1288"/>
    </row>
    <row r="10810" spans="18:18" s="2" customFormat="1" ht="12.75" x14ac:dyDescent="0.2">
      <c r="R10810" s="1288"/>
    </row>
    <row r="10811" spans="18:18" s="2" customFormat="1" ht="12.75" x14ac:dyDescent="0.2">
      <c r="R10811" s="1288"/>
    </row>
    <row r="10812" spans="18:18" s="2" customFormat="1" ht="12.75" x14ac:dyDescent="0.2">
      <c r="R10812" s="1288"/>
    </row>
    <row r="10813" spans="18:18" s="2" customFormat="1" ht="12.75" x14ac:dyDescent="0.2">
      <c r="R10813" s="1288"/>
    </row>
    <row r="10814" spans="18:18" s="2" customFormat="1" ht="12.75" x14ac:dyDescent="0.2">
      <c r="R10814" s="1288"/>
    </row>
    <row r="10815" spans="18:18" s="2" customFormat="1" ht="12.75" x14ac:dyDescent="0.2">
      <c r="R10815" s="1288"/>
    </row>
    <row r="10816" spans="18:18" s="2" customFormat="1" ht="12.75" x14ac:dyDescent="0.2">
      <c r="R10816" s="1288"/>
    </row>
    <row r="10817" spans="18:18" s="2" customFormat="1" ht="12.75" x14ac:dyDescent="0.2">
      <c r="R10817" s="1288"/>
    </row>
    <row r="10818" spans="18:18" s="2" customFormat="1" ht="12.75" x14ac:dyDescent="0.2">
      <c r="R10818" s="1288"/>
    </row>
    <row r="10819" spans="18:18" s="2" customFormat="1" ht="12.75" x14ac:dyDescent="0.2">
      <c r="R10819" s="1288"/>
    </row>
    <row r="10820" spans="18:18" s="2" customFormat="1" ht="12.75" x14ac:dyDescent="0.2">
      <c r="R10820" s="1288"/>
    </row>
    <row r="10821" spans="18:18" s="2" customFormat="1" ht="12.75" x14ac:dyDescent="0.2">
      <c r="R10821" s="1288"/>
    </row>
    <row r="10822" spans="18:18" s="2" customFormat="1" ht="12.75" x14ac:dyDescent="0.2">
      <c r="R10822" s="1288"/>
    </row>
    <row r="10823" spans="18:18" s="2" customFormat="1" ht="12.75" x14ac:dyDescent="0.2">
      <c r="R10823" s="1288"/>
    </row>
    <row r="10824" spans="18:18" s="2" customFormat="1" ht="12.75" x14ac:dyDescent="0.2">
      <c r="R10824" s="1288"/>
    </row>
    <row r="10825" spans="18:18" s="2" customFormat="1" ht="12.75" x14ac:dyDescent="0.2">
      <c r="R10825" s="1288"/>
    </row>
    <row r="10826" spans="18:18" s="2" customFormat="1" ht="12.75" x14ac:dyDescent="0.2">
      <c r="R10826" s="1288"/>
    </row>
    <row r="10827" spans="18:18" s="2" customFormat="1" ht="12.75" x14ac:dyDescent="0.2">
      <c r="R10827" s="1288"/>
    </row>
    <row r="10828" spans="18:18" s="2" customFormat="1" ht="12.75" x14ac:dyDescent="0.2">
      <c r="R10828" s="1288"/>
    </row>
    <row r="10829" spans="18:18" s="2" customFormat="1" ht="12.75" x14ac:dyDescent="0.2">
      <c r="R10829" s="1288"/>
    </row>
    <row r="10830" spans="18:18" s="2" customFormat="1" ht="12.75" x14ac:dyDescent="0.2">
      <c r="R10830" s="1288"/>
    </row>
    <row r="10831" spans="18:18" s="2" customFormat="1" ht="12.75" x14ac:dyDescent="0.2">
      <c r="R10831" s="1288"/>
    </row>
    <row r="10832" spans="18:18" s="2" customFormat="1" ht="12.75" x14ac:dyDescent="0.2">
      <c r="R10832" s="1288"/>
    </row>
    <row r="10833" spans="18:18" s="2" customFormat="1" ht="12.75" x14ac:dyDescent="0.2">
      <c r="R10833" s="1288"/>
    </row>
    <row r="10834" spans="18:18" s="2" customFormat="1" ht="12.75" x14ac:dyDescent="0.2">
      <c r="R10834" s="1288"/>
    </row>
    <row r="10835" spans="18:18" s="2" customFormat="1" ht="12.75" x14ac:dyDescent="0.2">
      <c r="R10835" s="1288"/>
    </row>
    <row r="10836" spans="18:18" s="2" customFormat="1" ht="12.75" x14ac:dyDescent="0.2">
      <c r="R10836" s="1288"/>
    </row>
    <row r="10837" spans="18:18" s="2" customFormat="1" ht="12.75" x14ac:dyDescent="0.2">
      <c r="R10837" s="1288"/>
    </row>
    <row r="10838" spans="18:18" s="2" customFormat="1" ht="12.75" x14ac:dyDescent="0.2">
      <c r="R10838" s="1288"/>
    </row>
    <row r="10839" spans="18:18" s="2" customFormat="1" ht="12.75" x14ac:dyDescent="0.2">
      <c r="R10839" s="1288"/>
    </row>
    <row r="10840" spans="18:18" s="2" customFormat="1" ht="12.75" x14ac:dyDescent="0.2">
      <c r="R10840" s="1288"/>
    </row>
    <row r="10841" spans="18:18" s="2" customFormat="1" ht="12.75" x14ac:dyDescent="0.2">
      <c r="R10841" s="1288"/>
    </row>
    <row r="10842" spans="18:18" s="2" customFormat="1" ht="12.75" x14ac:dyDescent="0.2">
      <c r="R10842" s="1288"/>
    </row>
    <row r="10843" spans="18:18" s="2" customFormat="1" ht="12.75" x14ac:dyDescent="0.2">
      <c r="R10843" s="1288"/>
    </row>
    <row r="10844" spans="18:18" s="2" customFormat="1" ht="12.75" x14ac:dyDescent="0.2">
      <c r="R10844" s="1288"/>
    </row>
    <row r="10845" spans="18:18" s="2" customFormat="1" ht="12.75" x14ac:dyDescent="0.2">
      <c r="R10845" s="1288"/>
    </row>
    <row r="10846" spans="18:18" s="2" customFormat="1" ht="12.75" x14ac:dyDescent="0.2">
      <c r="R10846" s="1288"/>
    </row>
    <row r="10847" spans="18:18" s="2" customFormat="1" ht="12.75" x14ac:dyDescent="0.2">
      <c r="R10847" s="1288"/>
    </row>
    <row r="10848" spans="18:18" s="2" customFormat="1" ht="12.75" x14ac:dyDescent="0.2">
      <c r="R10848" s="1288"/>
    </row>
    <row r="10849" spans="18:18" s="2" customFormat="1" ht="12.75" x14ac:dyDescent="0.2">
      <c r="R10849" s="1288"/>
    </row>
    <row r="10850" spans="18:18" s="2" customFormat="1" ht="12.75" x14ac:dyDescent="0.2">
      <c r="R10850" s="1288"/>
    </row>
    <row r="10851" spans="18:18" s="2" customFormat="1" ht="12.75" x14ac:dyDescent="0.2">
      <c r="R10851" s="1288"/>
    </row>
    <row r="10852" spans="18:18" s="2" customFormat="1" ht="12.75" x14ac:dyDescent="0.2">
      <c r="R10852" s="1288"/>
    </row>
    <row r="10853" spans="18:18" s="2" customFormat="1" ht="12.75" x14ac:dyDescent="0.2">
      <c r="R10853" s="1288"/>
    </row>
    <row r="10854" spans="18:18" s="2" customFormat="1" ht="12.75" x14ac:dyDescent="0.2">
      <c r="R10854" s="1288"/>
    </row>
    <row r="10855" spans="18:18" s="2" customFormat="1" ht="12.75" x14ac:dyDescent="0.2">
      <c r="R10855" s="1288"/>
    </row>
    <row r="10856" spans="18:18" s="2" customFormat="1" ht="12.75" x14ac:dyDescent="0.2">
      <c r="R10856" s="1288"/>
    </row>
    <row r="10857" spans="18:18" s="2" customFormat="1" ht="12.75" x14ac:dyDescent="0.2">
      <c r="R10857" s="1288"/>
    </row>
    <row r="10858" spans="18:18" s="2" customFormat="1" ht="12.75" x14ac:dyDescent="0.2">
      <c r="R10858" s="1288"/>
    </row>
    <row r="10859" spans="18:18" s="2" customFormat="1" ht="12.75" x14ac:dyDescent="0.2">
      <c r="R10859" s="1288"/>
    </row>
    <row r="10860" spans="18:18" s="2" customFormat="1" ht="12.75" x14ac:dyDescent="0.2">
      <c r="R10860" s="1288"/>
    </row>
    <row r="10861" spans="18:18" s="2" customFormat="1" ht="12.75" x14ac:dyDescent="0.2">
      <c r="R10861" s="1288"/>
    </row>
    <row r="10862" spans="18:18" s="2" customFormat="1" ht="12.75" x14ac:dyDescent="0.2">
      <c r="R10862" s="1288"/>
    </row>
    <row r="10863" spans="18:18" s="2" customFormat="1" ht="12.75" x14ac:dyDescent="0.2">
      <c r="R10863" s="1288"/>
    </row>
    <row r="10864" spans="18:18" s="2" customFormat="1" ht="12.75" x14ac:dyDescent="0.2">
      <c r="R10864" s="1288"/>
    </row>
    <row r="10865" spans="18:18" s="2" customFormat="1" ht="12.75" x14ac:dyDescent="0.2">
      <c r="R10865" s="1288"/>
    </row>
    <row r="10866" spans="18:18" s="2" customFormat="1" ht="12.75" x14ac:dyDescent="0.2">
      <c r="R10866" s="1288"/>
    </row>
    <row r="10867" spans="18:18" s="2" customFormat="1" ht="12.75" x14ac:dyDescent="0.2">
      <c r="R10867" s="1288"/>
    </row>
    <row r="10868" spans="18:18" s="2" customFormat="1" ht="12.75" x14ac:dyDescent="0.2">
      <c r="R10868" s="1288"/>
    </row>
    <row r="10869" spans="18:18" s="2" customFormat="1" ht="12.75" x14ac:dyDescent="0.2">
      <c r="R10869" s="1288"/>
    </row>
    <row r="10870" spans="18:18" s="2" customFormat="1" ht="12.75" x14ac:dyDescent="0.2">
      <c r="R10870" s="1288"/>
    </row>
    <row r="10871" spans="18:18" s="2" customFormat="1" ht="12.75" x14ac:dyDescent="0.2">
      <c r="R10871" s="1288"/>
    </row>
    <row r="10872" spans="18:18" s="2" customFormat="1" ht="12.75" x14ac:dyDescent="0.2">
      <c r="R10872" s="1288"/>
    </row>
    <row r="10873" spans="18:18" s="2" customFormat="1" ht="12.75" x14ac:dyDescent="0.2">
      <c r="R10873" s="1288"/>
    </row>
    <row r="10874" spans="18:18" s="2" customFormat="1" ht="12.75" x14ac:dyDescent="0.2">
      <c r="R10874" s="1288"/>
    </row>
    <row r="10875" spans="18:18" s="2" customFormat="1" ht="12.75" x14ac:dyDescent="0.2">
      <c r="R10875" s="1288"/>
    </row>
    <row r="10876" spans="18:18" s="2" customFormat="1" ht="12.75" x14ac:dyDescent="0.2">
      <c r="R10876" s="1288"/>
    </row>
    <row r="10877" spans="18:18" s="2" customFormat="1" ht="12.75" x14ac:dyDescent="0.2">
      <c r="R10877" s="1288"/>
    </row>
    <row r="10878" spans="18:18" s="2" customFormat="1" ht="12.75" x14ac:dyDescent="0.2">
      <c r="R10878" s="1288"/>
    </row>
    <row r="10879" spans="18:18" s="2" customFormat="1" ht="12.75" x14ac:dyDescent="0.2">
      <c r="R10879" s="1288"/>
    </row>
    <row r="10880" spans="18:18" s="2" customFormat="1" ht="12.75" x14ac:dyDescent="0.2">
      <c r="R10880" s="1288"/>
    </row>
    <row r="10881" spans="18:18" s="2" customFormat="1" ht="12.75" x14ac:dyDescent="0.2">
      <c r="R10881" s="1288"/>
    </row>
    <row r="10882" spans="18:18" s="2" customFormat="1" ht="12.75" x14ac:dyDescent="0.2">
      <c r="R10882" s="1288"/>
    </row>
    <row r="10883" spans="18:18" s="2" customFormat="1" ht="12.75" x14ac:dyDescent="0.2">
      <c r="R10883" s="1288"/>
    </row>
    <row r="10884" spans="18:18" s="2" customFormat="1" ht="12.75" x14ac:dyDescent="0.2">
      <c r="R10884" s="1288"/>
    </row>
    <row r="10885" spans="18:18" s="2" customFormat="1" ht="12.75" x14ac:dyDescent="0.2">
      <c r="R10885" s="1288"/>
    </row>
    <row r="10886" spans="18:18" s="2" customFormat="1" ht="12.75" x14ac:dyDescent="0.2">
      <c r="R10886" s="1288"/>
    </row>
    <row r="10887" spans="18:18" s="2" customFormat="1" ht="12.75" x14ac:dyDescent="0.2">
      <c r="R10887" s="1288"/>
    </row>
    <row r="10888" spans="18:18" s="2" customFormat="1" ht="12.75" x14ac:dyDescent="0.2">
      <c r="R10888" s="1288"/>
    </row>
    <row r="10889" spans="18:18" s="2" customFormat="1" ht="12.75" x14ac:dyDescent="0.2">
      <c r="R10889" s="1288"/>
    </row>
    <row r="10890" spans="18:18" s="2" customFormat="1" ht="12.75" x14ac:dyDescent="0.2">
      <c r="R10890" s="1288"/>
    </row>
    <row r="10891" spans="18:18" s="2" customFormat="1" ht="12.75" x14ac:dyDescent="0.2">
      <c r="R10891" s="1288"/>
    </row>
    <row r="10892" spans="18:18" s="2" customFormat="1" ht="12.75" x14ac:dyDescent="0.2">
      <c r="R10892" s="1288"/>
    </row>
    <row r="10893" spans="18:18" s="2" customFormat="1" ht="12.75" x14ac:dyDescent="0.2">
      <c r="R10893" s="1288"/>
    </row>
    <row r="10894" spans="18:18" s="2" customFormat="1" ht="12.75" x14ac:dyDescent="0.2">
      <c r="R10894" s="1288"/>
    </row>
    <row r="10895" spans="18:18" s="2" customFormat="1" ht="12.75" x14ac:dyDescent="0.2">
      <c r="R10895" s="1288"/>
    </row>
    <row r="10896" spans="18:18" s="2" customFormat="1" ht="12.75" x14ac:dyDescent="0.2">
      <c r="R10896" s="1288"/>
    </row>
    <row r="10897" spans="18:18" s="2" customFormat="1" ht="12.75" x14ac:dyDescent="0.2">
      <c r="R10897" s="1288"/>
    </row>
    <row r="10898" spans="18:18" s="2" customFormat="1" ht="12.75" x14ac:dyDescent="0.2">
      <c r="R10898" s="1288"/>
    </row>
    <row r="10899" spans="18:18" s="2" customFormat="1" ht="12.75" x14ac:dyDescent="0.2">
      <c r="R10899" s="1288"/>
    </row>
    <row r="10900" spans="18:18" s="2" customFormat="1" ht="12.75" x14ac:dyDescent="0.2">
      <c r="R10900" s="1288"/>
    </row>
    <row r="10901" spans="18:18" s="2" customFormat="1" ht="12.75" x14ac:dyDescent="0.2">
      <c r="R10901" s="1288"/>
    </row>
    <row r="10902" spans="18:18" s="2" customFormat="1" ht="12.75" x14ac:dyDescent="0.2">
      <c r="R10902" s="1288"/>
    </row>
    <row r="10903" spans="18:18" s="2" customFormat="1" ht="12.75" x14ac:dyDescent="0.2">
      <c r="R10903" s="1288"/>
    </row>
    <row r="10904" spans="18:18" s="2" customFormat="1" ht="12.75" x14ac:dyDescent="0.2">
      <c r="R10904" s="1288"/>
    </row>
    <row r="10905" spans="18:18" s="2" customFormat="1" ht="12.75" x14ac:dyDescent="0.2">
      <c r="R10905" s="1288"/>
    </row>
    <row r="10906" spans="18:18" s="2" customFormat="1" ht="12.75" x14ac:dyDescent="0.2">
      <c r="R10906" s="1288"/>
    </row>
    <row r="10907" spans="18:18" s="2" customFormat="1" ht="12.75" x14ac:dyDescent="0.2">
      <c r="R10907" s="1288"/>
    </row>
    <row r="10908" spans="18:18" s="2" customFormat="1" ht="12.75" x14ac:dyDescent="0.2">
      <c r="R10908" s="1288"/>
    </row>
    <row r="10909" spans="18:18" s="2" customFormat="1" ht="12.75" x14ac:dyDescent="0.2">
      <c r="R10909" s="1288"/>
    </row>
    <row r="10910" spans="18:18" s="2" customFormat="1" ht="12.75" x14ac:dyDescent="0.2">
      <c r="R10910" s="1288"/>
    </row>
    <row r="10911" spans="18:18" s="2" customFormat="1" ht="12.75" x14ac:dyDescent="0.2">
      <c r="R10911" s="1288"/>
    </row>
    <row r="10912" spans="18:18" s="2" customFormat="1" ht="12.75" x14ac:dyDescent="0.2">
      <c r="R10912" s="1288"/>
    </row>
    <row r="10913" spans="18:18" s="2" customFormat="1" ht="12.75" x14ac:dyDescent="0.2">
      <c r="R10913" s="1288"/>
    </row>
    <row r="10914" spans="18:18" s="2" customFormat="1" ht="12.75" x14ac:dyDescent="0.2">
      <c r="R10914" s="1288"/>
    </row>
    <row r="10915" spans="18:18" s="2" customFormat="1" ht="12.75" x14ac:dyDescent="0.2">
      <c r="R10915" s="1288"/>
    </row>
    <row r="10916" spans="18:18" s="2" customFormat="1" ht="12.75" x14ac:dyDescent="0.2">
      <c r="R10916" s="1288"/>
    </row>
    <row r="10917" spans="18:18" s="2" customFormat="1" ht="12.75" x14ac:dyDescent="0.2">
      <c r="R10917" s="1288"/>
    </row>
    <row r="10918" spans="18:18" s="2" customFormat="1" ht="12.75" x14ac:dyDescent="0.2">
      <c r="R10918" s="1288"/>
    </row>
    <row r="10919" spans="18:18" s="2" customFormat="1" ht="12.75" x14ac:dyDescent="0.2">
      <c r="R10919" s="1288"/>
    </row>
    <row r="10920" spans="18:18" s="2" customFormat="1" ht="12.75" x14ac:dyDescent="0.2">
      <c r="R10920" s="1288"/>
    </row>
    <row r="10921" spans="18:18" s="2" customFormat="1" ht="12.75" x14ac:dyDescent="0.2">
      <c r="R10921" s="1288"/>
    </row>
    <row r="10922" spans="18:18" s="2" customFormat="1" ht="12.75" x14ac:dyDescent="0.2">
      <c r="R10922" s="1288"/>
    </row>
    <row r="10923" spans="18:18" s="2" customFormat="1" ht="12.75" x14ac:dyDescent="0.2">
      <c r="R10923" s="1288"/>
    </row>
    <row r="10924" spans="18:18" s="2" customFormat="1" ht="12.75" x14ac:dyDescent="0.2">
      <c r="R10924" s="1288"/>
    </row>
    <row r="10925" spans="18:18" s="2" customFormat="1" ht="12.75" x14ac:dyDescent="0.2">
      <c r="R10925" s="1288"/>
    </row>
    <row r="10926" spans="18:18" s="2" customFormat="1" ht="12.75" x14ac:dyDescent="0.2">
      <c r="R10926" s="1288"/>
    </row>
    <row r="10927" spans="18:18" s="2" customFormat="1" ht="12.75" x14ac:dyDescent="0.2">
      <c r="R10927" s="1288"/>
    </row>
    <row r="10928" spans="18:18" s="2" customFormat="1" ht="12.75" x14ac:dyDescent="0.2">
      <c r="R10928" s="1288"/>
    </row>
    <row r="10929" spans="18:18" s="2" customFormat="1" ht="12.75" x14ac:dyDescent="0.2">
      <c r="R10929" s="1288"/>
    </row>
    <row r="10930" spans="18:18" s="2" customFormat="1" ht="12.75" x14ac:dyDescent="0.2">
      <c r="R10930" s="1288"/>
    </row>
    <row r="10931" spans="18:18" s="2" customFormat="1" ht="12.75" x14ac:dyDescent="0.2">
      <c r="R10931" s="1288"/>
    </row>
    <row r="10932" spans="18:18" s="2" customFormat="1" ht="12.75" x14ac:dyDescent="0.2">
      <c r="R10932" s="1288"/>
    </row>
    <row r="10933" spans="18:18" s="2" customFormat="1" ht="12.75" x14ac:dyDescent="0.2">
      <c r="R10933" s="1288"/>
    </row>
    <row r="10934" spans="18:18" s="2" customFormat="1" ht="12.75" x14ac:dyDescent="0.2">
      <c r="R10934" s="1288"/>
    </row>
    <row r="10935" spans="18:18" s="2" customFormat="1" ht="12.75" x14ac:dyDescent="0.2">
      <c r="R10935" s="1288"/>
    </row>
    <row r="10936" spans="18:18" s="2" customFormat="1" ht="12.75" x14ac:dyDescent="0.2">
      <c r="R10936" s="1288"/>
    </row>
    <row r="10937" spans="18:18" s="2" customFormat="1" ht="12.75" x14ac:dyDescent="0.2">
      <c r="R10937" s="1288"/>
    </row>
    <row r="10938" spans="18:18" s="2" customFormat="1" ht="12.75" x14ac:dyDescent="0.2">
      <c r="R10938" s="1288"/>
    </row>
    <row r="10939" spans="18:18" s="2" customFormat="1" ht="12.75" x14ac:dyDescent="0.2">
      <c r="R10939" s="1288"/>
    </row>
    <row r="10940" spans="18:18" s="2" customFormat="1" ht="12.75" x14ac:dyDescent="0.2">
      <c r="R10940" s="1288"/>
    </row>
    <row r="10941" spans="18:18" s="2" customFormat="1" ht="12.75" x14ac:dyDescent="0.2">
      <c r="R10941" s="1288"/>
    </row>
    <row r="10942" spans="18:18" s="2" customFormat="1" ht="12.75" x14ac:dyDescent="0.2">
      <c r="R10942" s="1288"/>
    </row>
    <row r="10943" spans="18:18" s="2" customFormat="1" ht="12.75" x14ac:dyDescent="0.2">
      <c r="R10943" s="1288"/>
    </row>
    <row r="10944" spans="18:18" s="2" customFormat="1" ht="12.75" x14ac:dyDescent="0.2">
      <c r="R10944" s="1288"/>
    </row>
    <row r="10945" spans="18:18" s="2" customFormat="1" ht="12.75" x14ac:dyDescent="0.2">
      <c r="R10945" s="1288"/>
    </row>
    <row r="10946" spans="18:18" s="2" customFormat="1" ht="12.75" x14ac:dyDescent="0.2">
      <c r="R10946" s="1288"/>
    </row>
    <row r="10947" spans="18:18" s="2" customFormat="1" ht="12.75" x14ac:dyDescent="0.2">
      <c r="R10947" s="1288"/>
    </row>
    <row r="10948" spans="18:18" s="2" customFormat="1" ht="12.75" x14ac:dyDescent="0.2">
      <c r="R10948" s="1288"/>
    </row>
    <row r="10949" spans="18:18" s="2" customFormat="1" ht="12.75" x14ac:dyDescent="0.2">
      <c r="R10949" s="1288"/>
    </row>
    <row r="10950" spans="18:18" s="2" customFormat="1" ht="12.75" x14ac:dyDescent="0.2">
      <c r="R10950" s="1288"/>
    </row>
    <row r="10951" spans="18:18" s="2" customFormat="1" ht="12.75" x14ac:dyDescent="0.2">
      <c r="R10951" s="1288"/>
    </row>
    <row r="10952" spans="18:18" s="2" customFormat="1" ht="12.75" x14ac:dyDescent="0.2">
      <c r="R10952" s="1288"/>
    </row>
    <row r="10953" spans="18:18" s="2" customFormat="1" ht="12.75" x14ac:dyDescent="0.2">
      <c r="R10953" s="1288"/>
    </row>
    <row r="10954" spans="18:18" s="2" customFormat="1" ht="12.75" x14ac:dyDescent="0.2">
      <c r="R10954" s="1288"/>
    </row>
    <row r="10955" spans="18:18" s="2" customFormat="1" ht="12.75" x14ac:dyDescent="0.2">
      <c r="R10955" s="1288"/>
    </row>
    <row r="10956" spans="18:18" s="2" customFormat="1" ht="12.75" x14ac:dyDescent="0.2">
      <c r="R10956" s="1288"/>
    </row>
    <row r="10957" spans="18:18" s="2" customFormat="1" ht="12.75" x14ac:dyDescent="0.2">
      <c r="R10957" s="1288"/>
    </row>
    <row r="10958" spans="18:18" s="2" customFormat="1" ht="12.75" x14ac:dyDescent="0.2">
      <c r="R10958" s="1288"/>
    </row>
    <row r="10959" spans="18:18" s="2" customFormat="1" ht="12.75" x14ac:dyDescent="0.2">
      <c r="R10959" s="1288"/>
    </row>
    <row r="10960" spans="18:18" s="2" customFormat="1" ht="12.75" x14ac:dyDescent="0.2">
      <c r="R10960" s="1288"/>
    </row>
    <row r="10961" spans="18:18" s="2" customFormat="1" ht="12.75" x14ac:dyDescent="0.2">
      <c r="R10961" s="1288"/>
    </row>
    <row r="10962" spans="18:18" s="2" customFormat="1" ht="12.75" x14ac:dyDescent="0.2">
      <c r="R10962" s="1288"/>
    </row>
    <row r="10963" spans="18:18" s="2" customFormat="1" ht="12.75" x14ac:dyDescent="0.2">
      <c r="R10963" s="1288"/>
    </row>
    <row r="10964" spans="18:18" s="2" customFormat="1" ht="12.75" x14ac:dyDescent="0.2">
      <c r="R10964" s="1288"/>
    </row>
    <row r="10965" spans="18:18" s="2" customFormat="1" ht="12.75" x14ac:dyDescent="0.2">
      <c r="R10965" s="1288"/>
    </row>
    <row r="10966" spans="18:18" s="2" customFormat="1" ht="12.75" x14ac:dyDescent="0.2">
      <c r="R10966" s="1288"/>
    </row>
    <row r="10967" spans="18:18" s="2" customFormat="1" ht="12.75" x14ac:dyDescent="0.2">
      <c r="R10967" s="1288"/>
    </row>
    <row r="10968" spans="18:18" s="2" customFormat="1" ht="12.75" x14ac:dyDescent="0.2">
      <c r="R10968" s="1288"/>
    </row>
    <row r="10969" spans="18:18" s="2" customFormat="1" ht="12.75" x14ac:dyDescent="0.2">
      <c r="R10969" s="1288"/>
    </row>
    <row r="10970" spans="18:18" s="2" customFormat="1" ht="12.75" x14ac:dyDescent="0.2">
      <c r="R10970" s="1288"/>
    </row>
    <row r="10971" spans="18:18" s="2" customFormat="1" ht="12.75" x14ac:dyDescent="0.2">
      <c r="R10971" s="1288"/>
    </row>
    <row r="10972" spans="18:18" s="2" customFormat="1" ht="12.75" x14ac:dyDescent="0.2">
      <c r="R10972" s="1288"/>
    </row>
    <row r="10973" spans="18:18" s="2" customFormat="1" ht="12.75" x14ac:dyDescent="0.2">
      <c r="R10973" s="1288"/>
    </row>
    <row r="10974" spans="18:18" s="2" customFormat="1" ht="12.75" x14ac:dyDescent="0.2">
      <c r="R10974" s="1288"/>
    </row>
    <row r="10975" spans="18:18" s="2" customFormat="1" ht="12.75" x14ac:dyDescent="0.2">
      <c r="R10975" s="1288"/>
    </row>
    <row r="10976" spans="18:18" s="2" customFormat="1" ht="12.75" x14ac:dyDescent="0.2">
      <c r="R10976" s="1288"/>
    </row>
    <row r="10977" spans="18:18" s="2" customFormat="1" ht="12.75" x14ac:dyDescent="0.2">
      <c r="R10977" s="1288"/>
    </row>
    <row r="10978" spans="18:18" s="2" customFormat="1" ht="12.75" x14ac:dyDescent="0.2">
      <c r="R10978" s="1288"/>
    </row>
    <row r="10979" spans="18:18" s="2" customFormat="1" ht="12.75" x14ac:dyDescent="0.2">
      <c r="R10979" s="1288"/>
    </row>
    <row r="10980" spans="18:18" s="2" customFormat="1" ht="12.75" x14ac:dyDescent="0.2">
      <c r="R10980" s="1288"/>
    </row>
    <row r="10981" spans="18:18" s="2" customFormat="1" ht="12.75" x14ac:dyDescent="0.2">
      <c r="R10981" s="1288"/>
    </row>
    <row r="10982" spans="18:18" s="2" customFormat="1" ht="12.75" x14ac:dyDescent="0.2">
      <c r="R10982" s="1288"/>
    </row>
    <row r="10983" spans="18:18" s="2" customFormat="1" ht="12.75" x14ac:dyDescent="0.2">
      <c r="R10983" s="1288"/>
    </row>
    <row r="10984" spans="18:18" s="2" customFormat="1" ht="12.75" x14ac:dyDescent="0.2">
      <c r="R10984" s="1288"/>
    </row>
    <row r="10985" spans="18:18" s="2" customFormat="1" ht="12.75" x14ac:dyDescent="0.2">
      <c r="R10985" s="1288"/>
    </row>
    <row r="10986" spans="18:18" s="2" customFormat="1" ht="12.75" x14ac:dyDescent="0.2">
      <c r="R10986" s="1288"/>
    </row>
    <row r="10987" spans="18:18" s="2" customFormat="1" ht="12.75" x14ac:dyDescent="0.2">
      <c r="R10987" s="1288"/>
    </row>
    <row r="10988" spans="18:18" s="2" customFormat="1" ht="12.75" x14ac:dyDescent="0.2">
      <c r="R10988" s="1288"/>
    </row>
    <row r="10989" spans="18:18" s="2" customFormat="1" ht="12.75" x14ac:dyDescent="0.2">
      <c r="R10989" s="1288"/>
    </row>
    <row r="10990" spans="18:18" s="2" customFormat="1" ht="12.75" x14ac:dyDescent="0.2">
      <c r="R10990" s="1288"/>
    </row>
    <row r="10991" spans="18:18" s="2" customFormat="1" ht="12.75" x14ac:dyDescent="0.2">
      <c r="R10991" s="1288"/>
    </row>
    <row r="10992" spans="18:18" s="2" customFormat="1" ht="12.75" x14ac:dyDescent="0.2">
      <c r="R10992" s="1288"/>
    </row>
    <row r="10993" spans="18:18" s="2" customFormat="1" ht="12.75" x14ac:dyDescent="0.2">
      <c r="R10993" s="1288"/>
    </row>
    <row r="10994" spans="18:18" s="2" customFormat="1" ht="12.75" x14ac:dyDescent="0.2">
      <c r="R10994" s="1288"/>
    </row>
    <row r="10995" spans="18:18" s="2" customFormat="1" ht="12.75" x14ac:dyDescent="0.2">
      <c r="R10995" s="1288"/>
    </row>
    <row r="10996" spans="18:18" s="2" customFormat="1" ht="12.75" x14ac:dyDescent="0.2">
      <c r="R10996" s="1288"/>
    </row>
    <row r="10997" spans="18:18" s="2" customFormat="1" ht="12.75" x14ac:dyDescent="0.2">
      <c r="R10997" s="1288"/>
    </row>
    <row r="10998" spans="18:18" s="2" customFormat="1" ht="12.75" x14ac:dyDescent="0.2">
      <c r="R10998" s="1288"/>
    </row>
    <row r="10999" spans="18:18" s="2" customFormat="1" ht="12.75" x14ac:dyDescent="0.2">
      <c r="R10999" s="1288"/>
    </row>
    <row r="11000" spans="18:18" s="2" customFormat="1" ht="12.75" x14ac:dyDescent="0.2">
      <c r="R11000" s="1288"/>
    </row>
    <row r="11001" spans="18:18" s="2" customFormat="1" ht="12.75" x14ac:dyDescent="0.2">
      <c r="R11001" s="1288"/>
    </row>
    <row r="11002" spans="18:18" s="2" customFormat="1" ht="12.75" x14ac:dyDescent="0.2">
      <c r="R11002" s="1288"/>
    </row>
    <row r="11003" spans="18:18" s="2" customFormat="1" ht="12.75" x14ac:dyDescent="0.2">
      <c r="R11003" s="1288"/>
    </row>
    <row r="11004" spans="18:18" s="2" customFormat="1" ht="12.75" x14ac:dyDescent="0.2">
      <c r="R11004" s="1288"/>
    </row>
    <row r="11005" spans="18:18" s="2" customFormat="1" ht="12.75" x14ac:dyDescent="0.2">
      <c r="R11005" s="1288"/>
    </row>
    <row r="11006" spans="18:18" s="2" customFormat="1" ht="12.75" x14ac:dyDescent="0.2">
      <c r="R11006" s="1288"/>
    </row>
    <row r="11007" spans="18:18" s="2" customFormat="1" ht="12.75" x14ac:dyDescent="0.2">
      <c r="R11007" s="1288"/>
    </row>
    <row r="11008" spans="18:18" s="2" customFormat="1" ht="12.75" x14ac:dyDescent="0.2">
      <c r="R11008" s="1288"/>
    </row>
    <row r="11009" spans="18:18" s="2" customFormat="1" ht="12.75" x14ac:dyDescent="0.2">
      <c r="R11009" s="1288"/>
    </row>
    <row r="11010" spans="18:18" s="2" customFormat="1" ht="12.75" x14ac:dyDescent="0.2">
      <c r="R11010" s="1288"/>
    </row>
    <row r="11011" spans="18:18" s="2" customFormat="1" ht="12.75" x14ac:dyDescent="0.2">
      <c r="R11011" s="1288"/>
    </row>
    <row r="11012" spans="18:18" s="2" customFormat="1" ht="12.75" x14ac:dyDescent="0.2">
      <c r="R11012" s="1288"/>
    </row>
    <row r="11013" spans="18:18" s="2" customFormat="1" ht="12.75" x14ac:dyDescent="0.2">
      <c r="R11013" s="1288"/>
    </row>
    <row r="11014" spans="18:18" s="2" customFormat="1" ht="12.75" x14ac:dyDescent="0.2">
      <c r="R11014" s="1288"/>
    </row>
    <row r="11015" spans="18:18" s="2" customFormat="1" ht="12.75" x14ac:dyDescent="0.2">
      <c r="R11015" s="1288"/>
    </row>
    <row r="11016" spans="18:18" s="2" customFormat="1" ht="12.75" x14ac:dyDescent="0.2">
      <c r="R11016" s="1288"/>
    </row>
    <row r="11017" spans="18:18" s="2" customFormat="1" ht="12.75" x14ac:dyDescent="0.2">
      <c r="R11017" s="1288"/>
    </row>
    <row r="11018" spans="18:18" s="2" customFormat="1" ht="12.75" x14ac:dyDescent="0.2">
      <c r="R11018" s="1288"/>
    </row>
    <row r="11019" spans="18:18" s="2" customFormat="1" ht="12.75" x14ac:dyDescent="0.2">
      <c r="R11019" s="1288"/>
    </row>
    <row r="11020" spans="18:18" s="2" customFormat="1" ht="12.75" x14ac:dyDescent="0.2">
      <c r="R11020" s="1288"/>
    </row>
    <row r="11021" spans="18:18" s="2" customFormat="1" ht="12.75" x14ac:dyDescent="0.2">
      <c r="R11021" s="1288"/>
    </row>
    <row r="11022" spans="18:18" s="2" customFormat="1" ht="12.75" x14ac:dyDescent="0.2">
      <c r="R11022" s="1288"/>
    </row>
    <row r="11023" spans="18:18" s="2" customFormat="1" ht="12.75" x14ac:dyDescent="0.2">
      <c r="R11023" s="1288"/>
    </row>
    <row r="11024" spans="18:18" s="2" customFormat="1" ht="12.75" x14ac:dyDescent="0.2">
      <c r="R11024" s="1288"/>
    </row>
    <row r="11025" spans="18:18" s="2" customFormat="1" ht="12.75" x14ac:dyDescent="0.2">
      <c r="R11025" s="1288"/>
    </row>
    <row r="11026" spans="18:18" s="2" customFormat="1" ht="12.75" x14ac:dyDescent="0.2">
      <c r="R11026" s="1288"/>
    </row>
    <row r="11027" spans="18:18" s="2" customFormat="1" ht="12.75" x14ac:dyDescent="0.2">
      <c r="R11027" s="1288"/>
    </row>
    <row r="11028" spans="18:18" s="2" customFormat="1" ht="12.75" x14ac:dyDescent="0.2">
      <c r="R11028" s="1288"/>
    </row>
    <row r="11029" spans="18:18" s="2" customFormat="1" ht="12.75" x14ac:dyDescent="0.2">
      <c r="R11029" s="1288"/>
    </row>
    <row r="11030" spans="18:18" s="2" customFormat="1" ht="12.75" x14ac:dyDescent="0.2">
      <c r="R11030" s="1288"/>
    </row>
    <row r="11031" spans="18:18" s="2" customFormat="1" ht="12.75" x14ac:dyDescent="0.2">
      <c r="R11031" s="1288"/>
    </row>
    <row r="11032" spans="18:18" s="2" customFormat="1" ht="12.75" x14ac:dyDescent="0.2">
      <c r="R11032" s="1288"/>
    </row>
    <row r="11033" spans="18:18" s="2" customFormat="1" ht="12.75" x14ac:dyDescent="0.2">
      <c r="R11033" s="1288"/>
    </row>
    <row r="11034" spans="18:18" s="2" customFormat="1" ht="12.75" x14ac:dyDescent="0.2">
      <c r="R11034" s="1288"/>
    </row>
    <row r="11035" spans="18:18" s="2" customFormat="1" ht="12.75" x14ac:dyDescent="0.2">
      <c r="R11035" s="1288"/>
    </row>
    <row r="11036" spans="18:18" s="2" customFormat="1" ht="12.75" x14ac:dyDescent="0.2">
      <c r="R11036" s="1288"/>
    </row>
    <row r="11037" spans="18:18" s="2" customFormat="1" ht="12.75" x14ac:dyDescent="0.2">
      <c r="R11037" s="1288"/>
    </row>
    <row r="11038" spans="18:18" s="2" customFormat="1" ht="12.75" x14ac:dyDescent="0.2">
      <c r="R11038" s="1288"/>
    </row>
    <row r="11039" spans="18:18" s="2" customFormat="1" ht="12.75" x14ac:dyDescent="0.2">
      <c r="R11039" s="1288"/>
    </row>
    <row r="11040" spans="18:18" s="2" customFormat="1" ht="12.75" x14ac:dyDescent="0.2">
      <c r="R11040" s="1288"/>
    </row>
    <row r="11041" spans="18:18" s="2" customFormat="1" ht="12.75" x14ac:dyDescent="0.2">
      <c r="R11041" s="1288"/>
    </row>
    <row r="11042" spans="18:18" s="2" customFormat="1" ht="12.75" x14ac:dyDescent="0.2">
      <c r="R11042" s="1288"/>
    </row>
    <row r="11043" spans="18:18" s="2" customFormat="1" ht="12.75" x14ac:dyDescent="0.2">
      <c r="R11043" s="1288"/>
    </row>
    <row r="11044" spans="18:18" s="2" customFormat="1" ht="12.75" x14ac:dyDescent="0.2">
      <c r="R11044" s="1288"/>
    </row>
    <row r="11045" spans="18:18" s="2" customFormat="1" ht="12.75" x14ac:dyDescent="0.2">
      <c r="R11045" s="1288"/>
    </row>
    <row r="11046" spans="18:18" s="2" customFormat="1" ht="12.75" x14ac:dyDescent="0.2">
      <c r="R11046" s="1288"/>
    </row>
    <row r="11047" spans="18:18" s="2" customFormat="1" ht="12.75" x14ac:dyDescent="0.2">
      <c r="R11047" s="1288"/>
    </row>
    <row r="11048" spans="18:18" s="2" customFormat="1" ht="12.75" x14ac:dyDescent="0.2">
      <c r="R11048" s="1288"/>
    </row>
    <row r="11049" spans="18:18" s="2" customFormat="1" ht="12.75" x14ac:dyDescent="0.2">
      <c r="R11049" s="1288"/>
    </row>
    <row r="11050" spans="18:18" s="2" customFormat="1" ht="12.75" x14ac:dyDescent="0.2">
      <c r="R11050" s="1288"/>
    </row>
    <row r="11051" spans="18:18" s="2" customFormat="1" ht="12.75" x14ac:dyDescent="0.2">
      <c r="R11051" s="1288"/>
    </row>
    <row r="11052" spans="18:18" s="2" customFormat="1" ht="12.75" x14ac:dyDescent="0.2">
      <c r="R11052" s="1288"/>
    </row>
    <row r="11053" spans="18:18" s="2" customFormat="1" ht="12.75" x14ac:dyDescent="0.2">
      <c r="R11053" s="1288"/>
    </row>
    <row r="11054" spans="18:18" s="2" customFormat="1" ht="12.75" x14ac:dyDescent="0.2">
      <c r="R11054" s="1288"/>
    </row>
    <row r="11055" spans="18:18" s="2" customFormat="1" ht="12.75" x14ac:dyDescent="0.2">
      <c r="R11055" s="1288"/>
    </row>
    <row r="11056" spans="18:18" s="2" customFormat="1" ht="12.75" x14ac:dyDescent="0.2">
      <c r="R11056" s="1288"/>
    </row>
    <row r="11057" spans="18:18" s="2" customFormat="1" ht="12.75" x14ac:dyDescent="0.2">
      <c r="R11057" s="1288"/>
    </row>
    <row r="11058" spans="18:18" s="2" customFormat="1" ht="12.75" x14ac:dyDescent="0.2">
      <c r="R11058" s="1288"/>
    </row>
    <row r="11059" spans="18:18" s="2" customFormat="1" ht="12.75" x14ac:dyDescent="0.2">
      <c r="R11059" s="1288"/>
    </row>
    <row r="11060" spans="18:18" s="2" customFormat="1" ht="12.75" x14ac:dyDescent="0.2">
      <c r="R11060" s="1288"/>
    </row>
    <row r="11061" spans="18:18" s="2" customFormat="1" ht="12.75" x14ac:dyDescent="0.2">
      <c r="R11061" s="1288"/>
    </row>
    <row r="11062" spans="18:18" s="2" customFormat="1" ht="12.75" x14ac:dyDescent="0.2">
      <c r="R11062" s="1288"/>
    </row>
    <row r="11063" spans="18:18" s="2" customFormat="1" ht="12.75" x14ac:dyDescent="0.2">
      <c r="R11063" s="1288"/>
    </row>
    <row r="11064" spans="18:18" s="2" customFormat="1" ht="12.75" x14ac:dyDescent="0.2">
      <c r="R11064" s="1288"/>
    </row>
    <row r="11065" spans="18:18" s="2" customFormat="1" ht="12.75" x14ac:dyDescent="0.2">
      <c r="R11065" s="1288"/>
    </row>
    <row r="11066" spans="18:18" s="2" customFormat="1" ht="12.75" x14ac:dyDescent="0.2">
      <c r="R11066" s="1288"/>
    </row>
    <row r="11067" spans="18:18" s="2" customFormat="1" ht="12.75" x14ac:dyDescent="0.2">
      <c r="R11067" s="1288"/>
    </row>
    <row r="11068" spans="18:18" s="2" customFormat="1" ht="12.75" x14ac:dyDescent="0.2">
      <c r="R11068" s="1288"/>
    </row>
    <row r="11069" spans="18:18" s="2" customFormat="1" ht="12.75" x14ac:dyDescent="0.2">
      <c r="R11069" s="1288"/>
    </row>
    <row r="11070" spans="18:18" s="2" customFormat="1" ht="12.75" x14ac:dyDescent="0.2">
      <c r="R11070" s="1288"/>
    </row>
    <row r="11071" spans="18:18" s="2" customFormat="1" ht="12.75" x14ac:dyDescent="0.2">
      <c r="R11071" s="1288"/>
    </row>
    <row r="11072" spans="18:18" s="2" customFormat="1" ht="12.75" x14ac:dyDescent="0.2">
      <c r="R11072" s="1288"/>
    </row>
    <row r="11073" spans="18:18" s="2" customFormat="1" ht="12.75" x14ac:dyDescent="0.2">
      <c r="R11073" s="1288"/>
    </row>
    <row r="11074" spans="18:18" s="2" customFormat="1" ht="12.75" x14ac:dyDescent="0.2">
      <c r="R11074" s="1288"/>
    </row>
    <row r="11075" spans="18:18" s="2" customFormat="1" ht="12.75" x14ac:dyDescent="0.2">
      <c r="R11075" s="1288"/>
    </row>
    <row r="11076" spans="18:18" s="2" customFormat="1" ht="12.75" x14ac:dyDescent="0.2">
      <c r="R11076" s="1288"/>
    </row>
    <row r="11077" spans="18:18" s="2" customFormat="1" ht="12.75" x14ac:dyDescent="0.2">
      <c r="R11077" s="1288"/>
    </row>
    <row r="11078" spans="18:18" s="2" customFormat="1" ht="12.75" x14ac:dyDescent="0.2">
      <c r="R11078" s="1288"/>
    </row>
    <row r="11079" spans="18:18" s="2" customFormat="1" ht="12.75" x14ac:dyDescent="0.2">
      <c r="R11079" s="1288"/>
    </row>
    <row r="11080" spans="18:18" s="2" customFormat="1" ht="12.75" x14ac:dyDescent="0.2">
      <c r="R11080" s="1288"/>
    </row>
    <row r="11081" spans="18:18" s="2" customFormat="1" ht="12.75" x14ac:dyDescent="0.2">
      <c r="R11081" s="1288"/>
    </row>
    <row r="11082" spans="18:18" s="2" customFormat="1" ht="12.75" x14ac:dyDescent="0.2">
      <c r="R11082" s="1288"/>
    </row>
    <row r="11083" spans="18:18" s="2" customFormat="1" ht="12.75" x14ac:dyDescent="0.2">
      <c r="R11083" s="1288"/>
    </row>
    <row r="11084" spans="18:18" s="2" customFormat="1" ht="12.75" x14ac:dyDescent="0.2">
      <c r="R11084" s="1288"/>
    </row>
    <row r="11085" spans="18:18" s="2" customFormat="1" ht="12.75" x14ac:dyDescent="0.2">
      <c r="R11085" s="1288"/>
    </row>
    <row r="11086" spans="18:18" s="2" customFormat="1" ht="12.75" x14ac:dyDescent="0.2">
      <c r="R11086" s="1288"/>
    </row>
    <row r="11087" spans="18:18" s="2" customFormat="1" ht="12.75" x14ac:dyDescent="0.2">
      <c r="R11087" s="1288"/>
    </row>
    <row r="11088" spans="18:18" s="2" customFormat="1" ht="12.75" x14ac:dyDescent="0.2">
      <c r="R11088" s="1288"/>
    </row>
    <row r="11089" spans="18:18" s="2" customFormat="1" ht="12.75" x14ac:dyDescent="0.2">
      <c r="R11089" s="1288"/>
    </row>
    <row r="11090" spans="18:18" s="2" customFormat="1" ht="12.75" x14ac:dyDescent="0.2">
      <c r="R11090" s="1288"/>
    </row>
    <row r="11091" spans="18:18" s="2" customFormat="1" ht="12.75" x14ac:dyDescent="0.2">
      <c r="R11091" s="1288"/>
    </row>
    <row r="11092" spans="18:18" s="2" customFormat="1" ht="12.75" x14ac:dyDescent="0.2">
      <c r="R11092" s="1288"/>
    </row>
    <row r="11093" spans="18:18" s="2" customFormat="1" ht="12.75" x14ac:dyDescent="0.2">
      <c r="R11093" s="1288"/>
    </row>
    <row r="11094" spans="18:18" s="2" customFormat="1" ht="12.75" x14ac:dyDescent="0.2">
      <c r="R11094" s="1288"/>
    </row>
    <row r="11095" spans="18:18" s="2" customFormat="1" ht="12.75" x14ac:dyDescent="0.2">
      <c r="R11095" s="1288"/>
    </row>
    <row r="11096" spans="18:18" s="2" customFormat="1" ht="12.75" x14ac:dyDescent="0.2">
      <c r="R11096" s="1288"/>
    </row>
    <row r="11097" spans="18:18" s="2" customFormat="1" ht="12.75" x14ac:dyDescent="0.2">
      <c r="R11097" s="1288"/>
    </row>
    <row r="11098" spans="18:18" s="2" customFormat="1" ht="12.75" x14ac:dyDescent="0.2">
      <c r="R11098" s="1288"/>
    </row>
    <row r="11099" spans="18:18" s="2" customFormat="1" ht="12.75" x14ac:dyDescent="0.2">
      <c r="R11099" s="1288"/>
    </row>
    <row r="11100" spans="18:18" s="2" customFormat="1" ht="12.75" x14ac:dyDescent="0.2">
      <c r="R11100" s="1288"/>
    </row>
    <row r="11101" spans="18:18" s="2" customFormat="1" ht="12.75" x14ac:dyDescent="0.2">
      <c r="R11101" s="1288"/>
    </row>
    <row r="11102" spans="18:18" s="2" customFormat="1" ht="12.75" x14ac:dyDescent="0.2">
      <c r="R11102" s="1288"/>
    </row>
    <row r="11103" spans="18:18" s="2" customFormat="1" ht="12.75" x14ac:dyDescent="0.2">
      <c r="R11103" s="1288"/>
    </row>
    <row r="11104" spans="18:18" s="2" customFormat="1" ht="12.75" x14ac:dyDescent="0.2">
      <c r="R11104" s="1288"/>
    </row>
    <row r="11105" spans="18:18" s="2" customFormat="1" ht="12.75" x14ac:dyDescent="0.2">
      <c r="R11105" s="1288"/>
    </row>
    <row r="11106" spans="18:18" s="2" customFormat="1" ht="12.75" x14ac:dyDescent="0.2">
      <c r="R11106" s="1288"/>
    </row>
    <row r="11107" spans="18:18" s="2" customFormat="1" ht="12.75" x14ac:dyDescent="0.2">
      <c r="R11107" s="1288"/>
    </row>
    <row r="11108" spans="18:18" s="2" customFormat="1" ht="12.75" x14ac:dyDescent="0.2">
      <c r="R11108" s="1288"/>
    </row>
    <row r="11109" spans="18:18" s="2" customFormat="1" ht="12.75" x14ac:dyDescent="0.2">
      <c r="R11109" s="1288"/>
    </row>
    <row r="11110" spans="18:18" s="2" customFormat="1" ht="12.75" x14ac:dyDescent="0.2">
      <c r="R11110" s="1288"/>
    </row>
    <row r="11111" spans="18:18" s="2" customFormat="1" ht="12.75" x14ac:dyDescent="0.2">
      <c r="R11111" s="1288"/>
    </row>
    <row r="11112" spans="18:18" s="2" customFormat="1" ht="12.75" x14ac:dyDescent="0.2">
      <c r="R11112" s="1288"/>
    </row>
    <row r="11113" spans="18:18" s="2" customFormat="1" ht="12.75" x14ac:dyDescent="0.2">
      <c r="R11113" s="1288"/>
    </row>
    <row r="11114" spans="18:18" s="2" customFormat="1" ht="12.75" x14ac:dyDescent="0.2">
      <c r="R11114" s="1288"/>
    </row>
    <row r="11115" spans="18:18" s="2" customFormat="1" ht="12.75" x14ac:dyDescent="0.2">
      <c r="R11115" s="1288"/>
    </row>
    <row r="11116" spans="18:18" s="2" customFormat="1" ht="12.75" x14ac:dyDescent="0.2">
      <c r="R11116" s="1288"/>
    </row>
    <row r="11117" spans="18:18" s="2" customFormat="1" ht="12.75" x14ac:dyDescent="0.2">
      <c r="R11117" s="1288"/>
    </row>
    <row r="11118" spans="18:18" s="2" customFormat="1" ht="12.75" x14ac:dyDescent="0.2">
      <c r="R11118" s="1288"/>
    </row>
    <row r="11119" spans="18:18" s="2" customFormat="1" ht="12.75" x14ac:dyDescent="0.2">
      <c r="R11119" s="1288"/>
    </row>
    <row r="11120" spans="18:18" s="2" customFormat="1" ht="12.75" x14ac:dyDescent="0.2">
      <c r="R11120" s="1288"/>
    </row>
    <row r="11121" spans="18:18" s="2" customFormat="1" ht="12.75" x14ac:dyDescent="0.2">
      <c r="R11121" s="1288"/>
    </row>
    <row r="11122" spans="18:18" s="2" customFormat="1" ht="12.75" x14ac:dyDescent="0.2">
      <c r="R11122" s="1288"/>
    </row>
    <row r="11123" spans="18:18" s="2" customFormat="1" ht="12.75" x14ac:dyDescent="0.2">
      <c r="R11123" s="1288"/>
    </row>
    <row r="11124" spans="18:18" s="2" customFormat="1" ht="12.75" x14ac:dyDescent="0.2">
      <c r="R11124" s="1288"/>
    </row>
    <row r="11125" spans="18:18" s="2" customFormat="1" ht="12.75" x14ac:dyDescent="0.2">
      <c r="R11125" s="1288"/>
    </row>
    <row r="11126" spans="18:18" s="2" customFormat="1" ht="12.75" x14ac:dyDescent="0.2">
      <c r="R11126" s="1288"/>
    </row>
    <row r="11127" spans="18:18" s="2" customFormat="1" ht="12.75" x14ac:dyDescent="0.2">
      <c r="R11127" s="1288"/>
    </row>
    <row r="11128" spans="18:18" s="2" customFormat="1" ht="12.75" x14ac:dyDescent="0.2">
      <c r="R11128" s="1288"/>
    </row>
    <row r="11129" spans="18:18" s="2" customFormat="1" ht="12.75" x14ac:dyDescent="0.2">
      <c r="R11129" s="1288"/>
    </row>
    <row r="11130" spans="18:18" s="2" customFormat="1" ht="12.75" x14ac:dyDescent="0.2">
      <c r="R11130" s="1288"/>
    </row>
    <row r="11131" spans="18:18" s="2" customFormat="1" ht="12.75" x14ac:dyDescent="0.2">
      <c r="R11131" s="1288"/>
    </row>
    <row r="11132" spans="18:18" s="2" customFormat="1" ht="12.75" x14ac:dyDescent="0.2">
      <c r="R11132" s="1288"/>
    </row>
    <row r="11133" spans="18:18" s="2" customFormat="1" ht="12.75" x14ac:dyDescent="0.2">
      <c r="R11133" s="1288"/>
    </row>
    <row r="11134" spans="18:18" s="2" customFormat="1" ht="12.75" x14ac:dyDescent="0.2">
      <c r="R11134" s="1288"/>
    </row>
    <row r="11135" spans="18:18" s="2" customFormat="1" ht="12.75" x14ac:dyDescent="0.2">
      <c r="R11135" s="1288"/>
    </row>
    <row r="11136" spans="18:18" s="2" customFormat="1" ht="12.75" x14ac:dyDescent="0.2">
      <c r="R11136" s="1288"/>
    </row>
    <row r="11137" spans="18:18" s="2" customFormat="1" ht="12.75" x14ac:dyDescent="0.2">
      <c r="R11137" s="1288"/>
    </row>
    <row r="11138" spans="18:18" s="2" customFormat="1" ht="12.75" x14ac:dyDescent="0.2">
      <c r="R11138" s="1288"/>
    </row>
    <row r="11139" spans="18:18" s="2" customFormat="1" ht="12.75" x14ac:dyDescent="0.2">
      <c r="R11139" s="1288"/>
    </row>
    <row r="11140" spans="18:18" s="2" customFormat="1" ht="12.75" x14ac:dyDescent="0.2">
      <c r="R11140" s="1288"/>
    </row>
    <row r="11141" spans="18:18" s="2" customFormat="1" ht="12.75" x14ac:dyDescent="0.2">
      <c r="R11141" s="1288"/>
    </row>
    <row r="11142" spans="18:18" s="2" customFormat="1" ht="12.75" x14ac:dyDescent="0.2">
      <c r="R11142" s="1288"/>
    </row>
    <row r="11143" spans="18:18" s="2" customFormat="1" ht="12.75" x14ac:dyDescent="0.2">
      <c r="R11143" s="1288"/>
    </row>
    <row r="11144" spans="18:18" s="2" customFormat="1" ht="12.75" x14ac:dyDescent="0.2">
      <c r="R11144" s="1288"/>
    </row>
    <row r="11145" spans="18:18" s="2" customFormat="1" ht="12.75" x14ac:dyDescent="0.2">
      <c r="R11145" s="1288"/>
    </row>
    <row r="11146" spans="18:18" s="2" customFormat="1" ht="12.75" x14ac:dyDescent="0.2">
      <c r="R11146" s="1288"/>
    </row>
    <row r="11147" spans="18:18" s="2" customFormat="1" ht="12.75" x14ac:dyDescent="0.2">
      <c r="R11147" s="1288"/>
    </row>
    <row r="11148" spans="18:18" s="2" customFormat="1" ht="12.75" x14ac:dyDescent="0.2">
      <c r="R11148" s="1288"/>
    </row>
    <row r="11149" spans="18:18" s="2" customFormat="1" ht="12.75" x14ac:dyDescent="0.2">
      <c r="R11149" s="1288"/>
    </row>
    <row r="11150" spans="18:18" s="2" customFormat="1" ht="12.75" x14ac:dyDescent="0.2">
      <c r="R11150" s="1288"/>
    </row>
    <row r="11151" spans="18:18" s="2" customFormat="1" ht="12.75" x14ac:dyDescent="0.2">
      <c r="R11151" s="1288"/>
    </row>
    <row r="11152" spans="18:18" s="2" customFormat="1" ht="12.75" x14ac:dyDescent="0.2">
      <c r="R11152" s="1288"/>
    </row>
    <row r="11153" spans="18:18" s="2" customFormat="1" ht="12.75" x14ac:dyDescent="0.2">
      <c r="R11153" s="1288"/>
    </row>
    <row r="11154" spans="18:18" s="2" customFormat="1" ht="12.75" x14ac:dyDescent="0.2">
      <c r="R11154" s="1288"/>
    </row>
    <row r="11155" spans="18:18" s="2" customFormat="1" ht="12.75" x14ac:dyDescent="0.2">
      <c r="R11155" s="1288"/>
    </row>
    <row r="11156" spans="18:18" s="2" customFormat="1" ht="12.75" x14ac:dyDescent="0.2">
      <c r="R11156" s="1288"/>
    </row>
    <row r="11157" spans="18:18" s="2" customFormat="1" ht="12.75" x14ac:dyDescent="0.2">
      <c r="R11157" s="1288"/>
    </row>
    <row r="11158" spans="18:18" s="2" customFormat="1" ht="12.75" x14ac:dyDescent="0.2">
      <c r="R11158" s="1288"/>
    </row>
    <row r="11159" spans="18:18" s="2" customFormat="1" ht="12.75" x14ac:dyDescent="0.2">
      <c r="R11159" s="1288"/>
    </row>
    <row r="11160" spans="18:18" s="2" customFormat="1" ht="12.75" x14ac:dyDescent="0.2">
      <c r="R11160" s="1288"/>
    </row>
    <row r="11161" spans="18:18" s="2" customFormat="1" ht="12.75" x14ac:dyDescent="0.2">
      <c r="R11161" s="1288"/>
    </row>
    <row r="11162" spans="18:18" s="2" customFormat="1" ht="12.75" x14ac:dyDescent="0.2">
      <c r="R11162" s="1288"/>
    </row>
    <row r="11163" spans="18:18" s="2" customFormat="1" ht="12.75" x14ac:dyDescent="0.2">
      <c r="R11163" s="1288"/>
    </row>
    <row r="11164" spans="18:18" s="2" customFormat="1" ht="12.75" x14ac:dyDescent="0.2">
      <c r="R11164" s="1288"/>
    </row>
    <row r="11165" spans="18:18" s="2" customFormat="1" ht="12.75" x14ac:dyDescent="0.2">
      <c r="R11165" s="1288"/>
    </row>
    <row r="11166" spans="18:18" s="2" customFormat="1" ht="12.75" x14ac:dyDescent="0.2">
      <c r="R11166" s="1288"/>
    </row>
    <row r="11167" spans="18:18" s="2" customFormat="1" ht="12.75" x14ac:dyDescent="0.2">
      <c r="R11167" s="1288"/>
    </row>
    <row r="11168" spans="18:18" s="2" customFormat="1" ht="12.75" x14ac:dyDescent="0.2">
      <c r="R11168" s="1288"/>
    </row>
    <row r="11169" spans="18:18" s="2" customFormat="1" ht="12.75" x14ac:dyDescent="0.2">
      <c r="R11169" s="1288"/>
    </row>
    <row r="11170" spans="18:18" s="2" customFormat="1" ht="12.75" x14ac:dyDescent="0.2">
      <c r="R11170" s="1288"/>
    </row>
    <row r="11171" spans="18:18" s="2" customFormat="1" ht="12.75" x14ac:dyDescent="0.2">
      <c r="R11171" s="1288"/>
    </row>
    <row r="11172" spans="18:18" s="2" customFormat="1" ht="12.75" x14ac:dyDescent="0.2">
      <c r="R11172" s="1288"/>
    </row>
    <row r="11173" spans="18:18" s="2" customFormat="1" ht="12.75" x14ac:dyDescent="0.2">
      <c r="R11173" s="1288"/>
    </row>
    <row r="11174" spans="18:18" s="2" customFormat="1" ht="12.75" x14ac:dyDescent="0.2">
      <c r="R11174" s="1288"/>
    </row>
    <row r="11175" spans="18:18" s="2" customFormat="1" ht="12.75" x14ac:dyDescent="0.2">
      <c r="R11175" s="1288"/>
    </row>
    <row r="11176" spans="18:18" s="2" customFormat="1" ht="12.75" x14ac:dyDescent="0.2">
      <c r="R11176" s="1288"/>
    </row>
    <row r="11177" spans="18:18" s="2" customFormat="1" ht="12.75" x14ac:dyDescent="0.2">
      <c r="R11177" s="1288"/>
    </row>
    <row r="11178" spans="18:18" s="2" customFormat="1" ht="12.75" x14ac:dyDescent="0.2">
      <c r="R11178" s="1288"/>
    </row>
    <row r="11179" spans="18:18" s="2" customFormat="1" ht="12.75" x14ac:dyDescent="0.2">
      <c r="R11179" s="1288"/>
    </row>
    <row r="11180" spans="18:18" s="2" customFormat="1" ht="12.75" x14ac:dyDescent="0.2">
      <c r="R11180" s="1288"/>
    </row>
    <row r="11181" spans="18:18" s="2" customFormat="1" ht="12.75" x14ac:dyDescent="0.2">
      <c r="R11181" s="1288"/>
    </row>
    <row r="11182" spans="18:18" s="2" customFormat="1" ht="12.75" x14ac:dyDescent="0.2">
      <c r="R11182" s="1288"/>
    </row>
    <row r="11183" spans="18:18" s="2" customFormat="1" ht="12.75" x14ac:dyDescent="0.2">
      <c r="R11183" s="1288"/>
    </row>
    <row r="11184" spans="18:18" s="2" customFormat="1" ht="12.75" x14ac:dyDescent="0.2">
      <c r="R11184" s="1288"/>
    </row>
    <row r="11185" spans="18:18" s="2" customFormat="1" ht="12.75" x14ac:dyDescent="0.2">
      <c r="R11185" s="1288"/>
    </row>
    <row r="11186" spans="18:18" s="2" customFormat="1" ht="12.75" x14ac:dyDescent="0.2">
      <c r="R11186" s="1288"/>
    </row>
    <row r="11187" spans="18:18" s="2" customFormat="1" ht="12.75" x14ac:dyDescent="0.2">
      <c r="R11187" s="1288"/>
    </row>
    <row r="11188" spans="18:18" s="2" customFormat="1" ht="12.75" x14ac:dyDescent="0.2">
      <c r="R11188" s="1288"/>
    </row>
    <row r="11189" spans="18:18" s="2" customFormat="1" ht="12.75" x14ac:dyDescent="0.2">
      <c r="R11189" s="1288"/>
    </row>
    <row r="11190" spans="18:18" s="2" customFormat="1" ht="12.75" x14ac:dyDescent="0.2">
      <c r="R11190" s="1288"/>
    </row>
    <row r="11191" spans="18:18" s="2" customFormat="1" ht="12.75" x14ac:dyDescent="0.2">
      <c r="R11191" s="1288"/>
    </row>
    <row r="11192" spans="18:18" s="2" customFormat="1" ht="12.75" x14ac:dyDescent="0.2">
      <c r="R11192" s="1288"/>
    </row>
    <row r="11193" spans="18:18" s="2" customFormat="1" ht="12.75" x14ac:dyDescent="0.2">
      <c r="R11193" s="1288"/>
    </row>
    <row r="11194" spans="18:18" s="2" customFormat="1" ht="12.75" x14ac:dyDescent="0.2">
      <c r="R11194" s="1288"/>
    </row>
    <row r="11195" spans="18:18" s="2" customFormat="1" ht="12.75" x14ac:dyDescent="0.2">
      <c r="R11195" s="1288"/>
    </row>
    <row r="11196" spans="18:18" s="2" customFormat="1" ht="12.75" x14ac:dyDescent="0.2">
      <c r="R11196" s="1288"/>
    </row>
    <row r="11197" spans="18:18" s="2" customFormat="1" ht="12.75" x14ac:dyDescent="0.2">
      <c r="R11197" s="1288"/>
    </row>
    <row r="11198" spans="18:18" s="2" customFormat="1" ht="12.75" x14ac:dyDescent="0.2">
      <c r="R11198" s="1288"/>
    </row>
    <row r="11199" spans="18:18" s="2" customFormat="1" ht="12.75" x14ac:dyDescent="0.2">
      <c r="R11199" s="1288"/>
    </row>
    <row r="11200" spans="18:18" s="2" customFormat="1" ht="12.75" x14ac:dyDescent="0.2">
      <c r="R11200" s="1288"/>
    </row>
    <row r="11201" spans="18:18" s="2" customFormat="1" ht="12.75" x14ac:dyDescent="0.2">
      <c r="R11201" s="1288"/>
    </row>
    <row r="11202" spans="18:18" s="2" customFormat="1" ht="12.75" x14ac:dyDescent="0.2">
      <c r="R11202" s="1288"/>
    </row>
    <row r="11203" spans="18:18" s="2" customFormat="1" ht="12.75" x14ac:dyDescent="0.2">
      <c r="R11203" s="1288"/>
    </row>
    <row r="11204" spans="18:18" s="2" customFormat="1" ht="12.75" x14ac:dyDescent="0.2">
      <c r="R11204" s="1288"/>
    </row>
    <row r="11205" spans="18:18" s="2" customFormat="1" ht="12.75" x14ac:dyDescent="0.2">
      <c r="R11205" s="1288"/>
    </row>
    <row r="11206" spans="18:18" s="2" customFormat="1" ht="12.75" x14ac:dyDescent="0.2">
      <c r="R11206" s="1288"/>
    </row>
    <row r="11207" spans="18:18" s="2" customFormat="1" ht="12.75" x14ac:dyDescent="0.2">
      <c r="R11207" s="1288"/>
    </row>
    <row r="11208" spans="18:18" s="2" customFormat="1" ht="12.75" x14ac:dyDescent="0.2">
      <c r="R11208" s="1288"/>
    </row>
    <row r="11209" spans="18:18" s="2" customFormat="1" ht="12.75" x14ac:dyDescent="0.2">
      <c r="R11209" s="1288"/>
    </row>
    <row r="11210" spans="18:18" s="2" customFormat="1" ht="12.75" x14ac:dyDescent="0.2">
      <c r="R11210" s="1288"/>
    </row>
    <row r="11211" spans="18:18" s="2" customFormat="1" ht="12.75" x14ac:dyDescent="0.2">
      <c r="R11211" s="1288"/>
    </row>
    <row r="11212" spans="18:18" s="2" customFormat="1" ht="12.75" x14ac:dyDescent="0.2">
      <c r="R11212" s="1288"/>
    </row>
    <row r="11213" spans="18:18" s="2" customFormat="1" ht="12.75" x14ac:dyDescent="0.2">
      <c r="R11213" s="1288"/>
    </row>
    <row r="11214" spans="18:18" s="2" customFormat="1" ht="12.75" x14ac:dyDescent="0.2">
      <c r="R11214" s="1288"/>
    </row>
    <row r="11215" spans="18:18" s="2" customFormat="1" ht="12.75" x14ac:dyDescent="0.2">
      <c r="R11215" s="1288"/>
    </row>
    <row r="11216" spans="18:18" s="2" customFormat="1" ht="12.75" x14ac:dyDescent="0.2">
      <c r="R11216" s="1288"/>
    </row>
    <row r="11217" spans="18:18" s="2" customFormat="1" ht="12.75" x14ac:dyDescent="0.2">
      <c r="R11217" s="1288"/>
    </row>
    <row r="11218" spans="18:18" s="2" customFormat="1" ht="12.75" x14ac:dyDescent="0.2">
      <c r="R11218" s="1288"/>
    </row>
    <row r="11219" spans="18:18" s="2" customFormat="1" ht="12.75" x14ac:dyDescent="0.2">
      <c r="R11219" s="1288"/>
    </row>
    <row r="11220" spans="18:18" s="2" customFormat="1" ht="12.75" x14ac:dyDescent="0.2">
      <c r="R11220" s="1288"/>
    </row>
    <row r="11221" spans="18:18" s="2" customFormat="1" ht="12.75" x14ac:dyDescent="0.2">
      <c r="R11221" s="1288"/>
    </row>
    <row r="11222" spans="18:18" s="2" customFormat="1" ht="12.75" x14ac:dyDescent="0.2">
      <c r="R11222" s="1288"/>
    </row>
    <row r="11223" spans="18:18" s="2" customFormat="1" ht="12.75" x14ac:dyDescent="0.2">
      <c r="R11223" s="1288"/>
    </row>
    <row r="11224" spans="18:18" s="2" customFormat="1" ht="12.75" x14ac:dyDescent="0.2">
      <c r="R11224" s="1288"/>
    </row>
    <row r="11225" spans="18:18" s="2" customFormat="1" ht="12.75" x14ac:dyDescent="0.2">
      <c r="R11225" s="1288"/>
    </row>
    <row r="11226" spans="18:18" s="2" customFormat="1" ht="12.75" x14ac:dyDescent="0.2">
      <c r="R11226" s="1288"/>
    </row>
    <row r="11227" spans="18:18" s="2" customFormat="1" ht="12.75" x14ac:dyDescent="0.2">
      <c r="R11227" s="1288"/>
    </row>
    <row r="11228" spans="18:18" s="2" customFormat="1" ht="12.75" x14ac:dyDescent="0.2">
      <c r="R11228" s="1288"/>
    </row>
    <row r="11229" spans="18:18" s="2" customFormat="1" ht="12.75" x14ac:dyDescent="0.2">
      <c r="R11229" s="1288"/>
    </row>
    <row r="11230" spans="18:18" s="2" customFormat="1" ht="12.75" x14ac:dyDescent="0.2">
      <c r="R11230" s="1288"/>
    </row>
    <row r="11231" spans="18:18" s="2" customFormat="1" ht="12.75" x14ac:dyDescent="0.2">
      <c r="R11231" s="1288"/>
    </row>
    <row r="11232" spans="18:18" s="2" customFormat="1" ht="12.75" x14ac:dyDescent="0.2">
      <c r="R11232" s="1288"/>
    </row>
    <row r="11233" spans="18:18" s="2" customFormat="1" ht="12.75" x14ac:dyDescent="0.2">
      <c r="R11233" s="1288"/>
    </row>
    <row r="11234" spans="18:18" s="2" customFormat="1" ht="12.75" x14ac:dyDescent="0.2">
      <c r="R11234" s="1288"/>
    </row>
    <row r="11235" spans="18:18" s="2" customFormat="1" ht="12.75" x14ac:dyDescent="0.2">
      <c r="R11235" s="1288"/>
    </row>
    <row r="11236" spans="18:18" s="2" customFormat="1" ht="12.75" x14ac:dyDescent="0.2">
      <c r="R11236" s="1288"/>
    </row>
    <row r="11237" spans="18:18" s="2" customFormat="1" ht="12.75" x14ac:dyDescent="0.2">
      <c r="R11237" s="1288"/>
    </row>
    <row r="11238" spans="18:18" s="2" customFormat="1" ht="12.75" x14ac:dyDescent="0.2">
      <c r="R11238" s="1288"/>
    </row>
    <row r="11239" spans="18:18" s="2" customFormat="1" ht="12.75" x14ac:dyDescent="0.2">
      <c r="R11239" s="1288"/>
    </row>
    <row r="11240" spans="18:18" s="2" customFormat="1" ht="12.75" x14ac:dyDescent="0.2">
      <c r="R11240" s="1288"/>
    </row>
    <row r="11241" spans="18:18" s="2" customFormat="1" ht="12.75" x14ac:dyDescent="0.2">
      <c r="R11241" s="1288"/>
    </row>
    <row r="11242" spans="18:18" s="2" customFormat="1" ht="12.75" x14ac:dyDescent="0.2">
      <c r="R11242" s="1288"/>
    </row>
    <row r="11243" spans="18:18" s="2" customFormat="1" ht="12.75" x14ac:dyDescent="0.2">
      <c r="R11243" s="1288"/>
    </row>
    <row r="11244" spans="18:18" s="2" customFormat="1" ht="12.75" x14ac:dyDescent="0.2">
      <c r="R11244" s="1288"/>
    </row>
    <row r="11245" spans="18:18" s="2" customFormat="1" ht="12.75" x14ac:dyDescent="0.2">
      <c r="R11245" s="1288"/>
    </row>
    <row r="11246" spans="18:18" s="2" customFormat="1" ht="12.75" x14ac:dyDescent="0.2">
      <c r="R11246" s="1288"/>
    </row>
    <row r="11247" spans="18:18" s="2" customFormat="1" ht="12.75" x14ac:dyDescent="0.2">
      <c r="R11247" s="1288"/>
    </row>
    <row r="11248" spans="18:18" s="2" customFormat="1" ht="12.75" x14ac:dyDescent="0.2">
      <c r="R11248" s="1288"/>
    </row>
    <row r="11249" spans="18:18" s="2" customFormat="1" ht="12.75" x14ac:dyDescent="0.2">
      <c r="R11249" s="1288"/>
    </row>
    <row r="11250" spans="18:18" s="2" customFormat="1" ht="12.75" x14ac:dyDescent="0.2">
      <c r="R11250" s="1288"/>
    </row>
    <row r="11251" spans="18:18" s="2" customFormat="1" ht="12.75" x14ac:dyDescent="0.2">
      <c r="R11251" s="1288"/>
    </row>
    <row r="11252" spans="18:18" s="2" customFormat="1" ht="12.75" x14ac:dyDescent="0.2">
      <c r="R11252" s="1288"/>
    </row>
    <row r="11253" spans="18:18" s="2" customFormat="1" ht="12.75" x14ac:dyDescent="0.2">
      <c r="R11253" s="1288"/>
    </row>
    <row r="11254" spans="18:18" s="2" customFormat="1" ht="12.75" x14ac:dyDescent="0.2">
      <c r="R11254" s="1288"/>
    </row>
    <row r="11255" spans="18:18" s="2" customFormat="1" ht="12.75" x14ac:dyDescent="0.2">
      <c r="R11255" s="1288"/>
    </row>
    <row r="11256" spans="18:18" s="2" customFormat="1" ht="12.75" x14ac:dyDescent="0.2">
      <c r="R11256" s="1288"/>
    </row>
    <row r="11257" spans="18:18" s="2" customFormat="1" ht="12.75" x14ac:dyDescent="0.2">
      <c r="R11257" s="1288"/>
    </row>
    <row r="11258" spans="18:18" s="2" customFormat="1" ht="12.75" x14ac:dyDescent="0.2">
      <c r="R11258" s="1288"/>
    </row>
    <row r="11259" spans="18:18" s="2" customFormat="1" ht="12.75" x14ac:dyDescent="0.2">
      <c r="R11259" s="1288"/>
    </row>
    <row r="11260" spans="18:18" s="2" customFormat="1" ht="12.75" x14ac:dyDescent="0.2">
      <c r="R11260" s="1288"/>
    </row>
    <row r="11261" spans="18:18" s="2" customFormat="1" ht="12.75" x14ac:dyDescent="0.2">
      <c r="R11261" s="1288"/>
    </row>
    <row r="11262" spans="18:18" s="2" customFormat="1" ht="12.75" x14ac:dyDescent="0.2">
      <c r="R11262" s="1288"/>
    </row>
    <row r="11263" spans="18:18" s="2" customFormat="1" ht="12.75" x14ac:dyDescent="0.2">
      <c r="R11263" s="1288"/>
    </row>
    <row r="11264" spans="18:18" s="2" customFormat="1" ht="12.75" x14ac:dyDescent="0.2">
      <c r="R11264" s="1288"/>
    </row>
    <row r="11265" spans="18:18" s="2" customFormat="1" ht="12.75" x14ac:dyDescent="0.2">
      <c r="R11265" s="1288"/>
    </row>
    <row r="11266" spans="18:18" s="2" customFormat="1" ht="12.75" x14ac:dyDescent="0.2">
      <c r="R11266" s="1288"/>
    </row>
    <row r="11267" spans="18:18" s="2" customFormat="1" ht="12.75" x14ac:dyDescent="0.2">
      <c r="R11267" s="1288"/>
    </row>
    <row r="11268" spans="18:18" s="2" customFormat="1" ht="12.75" x14ac:dyDescent="0.2">
      <c r="R11268" s="1288"/>
    </row>
    <row r="11269" spans="18:18" s="2" customFormat="1" ht="12.75" x14ac:dyDescent="0.2">
      <c r="R11269" s="1288"/>
    </row>
    <row r="11270" spans="18:18" s="2" customFormat="1" ht="12.75" x14ac:dyDescent="0.2">
      <c r="R11270" s="1288"/>
    </row>
    <row r="11271" spans="18:18" s="2" customFormat="1" ht="12.75" x14ac:dyDescent="0.2">
      <c r="R11271" s="1288"/>
    </row>
    <row r="11272" spans="18:18" s="2" customFormat="1" ht="12.75" x14ac:dyDescent="0.2">
      <c r="R11272" s="1288"/>
    </row>
    <row r="11273" spans="18:18" s="2" customFormat="1" ht="12.75" x14ac:dyDescent="0.2">
      <c r="R11273" s="1288"/>
    </row>
    <row r="11274" spans="18:18" s="2" customFormat="1" ht="12.75" x14ac:dyDescent="0.2">
      <c r="R11274" s="1288"/>
    </row>
    <row r="11275" spans="18:18" s="2" customFormat="1" ht="12.75" x14ac:dyDescent="0.2">
      <c r="R11275" s="1288"/>
    </row>
    <row r="11276" spans="18:18" s="2" customFormat="1" ht="12.75" x14ac:dyDescent="0.2">
      <c r="R11276" s="1288"/>
    </row>
    <row r="11277" spans="18:18" s="2" customFormat="1" ht="12.75" x14ac:dyDescent="0.2">
      <c r="R11277" s="1288"/>
    </row>
    <row r="11278" spans="18:18" s="2" customFormat="1" ht="12.75" x14ac:dyDescent="0.2">
      <c r="R11278" s="1288"/>
    </row>
    <row r="11279" spans="18:18" s="2" customFormat="1" ht="12.75" x14ac:dyDescent="0.2">
      <c r="R11279" s="1288"/>
    </row>
    <row r="11280" spans="18:18" s="2" customFormat="1" ht="12.75" x14ac:dyDescent="0.2">
      <c r="R11280" s="1288"/>
    </row>
    <row r="11281" spans="18:18" s="2" customFormat="1" ht="12.75" x14ac:dyDescent="0.2">
      <c r="R11281" s="1288"/>
    </row>
    <row r="11282" spans="18:18" s="2" customFormat="1" ht="12.75" x14ac:dyDescent="0.2">
      <c r="R11282" s="1288"/>
    </row>
    <row r="11283" spans="18:18" s="2" customFormat="1" ht="12.75" x14ac:dyDescent="0.2">
      <c r="R11283" s="1288"/>
    </row>
    <row r="11284" spans="18:18" s="2" customFormat="1" ht="12.75" x14ac:dyDescent="0.2">
      <c r="R11284" s="1288"/>
    </row>
    <row r="11285" spans="18:18" s="2" customFormat="1" ht="12.75" x14ac:dyDescent="0.2">
      <c r="R11285" s="1288"/>
    </row>
    <row r="11286" spans="18:18" s="2" customFormat="1" ht="12.75" x14ac:dyDescent="0.2">
      <c r="R11286" s="1288"/>
    </row>
    <row r="11287" spans="18:18" s="2" customFormat="1" ht="12.75" x14ac:dyDescent="0.2">
      <c r="R11287" s="1288"/>
    </row>
    <row r="11288" spans="18:18" s="2" customFormat="1" ht="12.75" x14ac:dyDescent="0.2">
      <c r="R11288" s="1288"/>
    </row>
    <row r="11289" spans="18:18" s="2" customFormat="1" ht="12.75" x14ac:dyDescent="0.2">
      <c r="R11289" s="1288"/>
    </row>
    <row r="11290" spans="18:18" s="2" customFormat="1" ht="12.75" x14ac:dyDescent="0.2">
      <c r="R11290" s="1288"/>
    </row>
    <row r="11291" spans="18:18" s="2" customFormat="1" ht="12.75" x14ac:dyDescent="0.2">
      <c r="R11291" s="1288"/>
    </row>
    <row r="11292" spans="18:18" s="2" customFormat="1" ht="12.75" x14ac:dyDescent="0.2">
      <c r="R11292" s="1288"/>
    </row>
    <row r="11293" spans="18:18" s="2" customFormat="1" ht="12.75" x14ac:dyDescent="0.2">
      <c r="R11293" s="1288"/>
    </row>
    <row r="11294" spans="18:18" s="2" customFormat="1" ht="12.75" x14ac:dyDescent="0.2">
      <c r="R11294" s="1288"/>
    </row>
    <row r="11295" spans="18:18" s="2" customFormat="1" ht="12.75" x14ac:dyDescent="0.2">
      <c r="R11295" s="1288"/>
    </row>
    <row r="11296" spans="18:18" s="2" customFormat="1" ht="12.75" x14ac:dyDescent="0.2">
      <c r="R11296" s="1288"/>
    </row>
    <row r="11297" spans="18:18" s="2" customFormat="1" ht="12.75" x14ac:dyDescent="0.2">
      <c r="R11297" s="1288"/>
    </row>
    <row r="11298" spans="18:18" s="2" customFormat="1" ht="12.75" x14ac:dyDescent="0.2">
      <c r="R11298" s="1288"/>
    </row>
    <row r="11299" spans="18:18" s="2" customFormat="1" ht="12.75" x14ac:dyDescent="0.2">
      <c r="R11299" s="1288"/>
    </row>
    <row r="11300" spans="18:18" s="2" customFormat="1" ht="12.75" x14ac:dyDescent="0.2">
      <c r="R11300" s="1288"/>
    </row>
    <row r="11301" spans="18:18" s="2" customFormat="1" ht="12.75" x14ac:dyDescent="0.2">
      <c r="R11301" s="1288"/>
    </row>
    <row r="11302" spans="18:18" s="2" customFormat="1" ht="12.75" x14ac:dyDescent="0.2">
      <c r="R11302" s="1288"/>
    </row>
    <row r="11303" spans="18:18" s="2" customFormat="1" ht="12.75" x14ac:dyDescent="0.2">
      <c r="R11303" s="1288"/>
    </row>
    <row r="11304" spans="18:18" s="2" customFormat="1" ht="12.75" x14ac:dyDescent="0.2">
      <c r="R11304" s="1288"/>
    </row>
    <row r="11305" spans="18:18" s="2" customFormat="1" ht="12.75" x14ac:dyDescent="0.2">
      <c r="R11305" s="1288"/>
    </row>
    <row r="11306" spans="18:18" s="2" customFormat="1" ht="12.75" x14ac:dyDescent="0.2">
      <c r="R11306" s="1288"/>
    </row>
    <row r="11307" spans="18:18" s="2" customFormat="1" ht="12.75" x14ac:dyDescent="0.2">
      <c r="R11307" s="1288"/>
    </row>
    <row r="11308" spans="18:18" s="2" customFormat="1" ht="12.75" x14ac:dyDescent="0.2">
      <c r="R11308" s="1288"/>
    </row>
    <row r="11309" spans="18:18" s="2" customFormat="1" ht="12.75" x14ac:dyDescent="0.2">
      <c r="R11309" s="1288"/>
    </row>
    <row r="11310" spans="18:18" s="2" customFormat="1" ht="12.75" x14ac:dyDescent="0.2">
      <c r="R11310" s="1288"/>
    </row>
    <row r="11311" spans="18:18" s="2" customFormat="1" ht="12.75" x14ac:dyDescent="0.2">
      <c r="R11311" s="1288"/>
    </row>
    <row r="11312" spans="18:18" s="2" customFormat="1" ht="12.75" x14ac:dyDescent="0.2">
      <c r="R11312" s="1288"/>
    </row>
    <row r="11313" spans="18:18" s="2" customFormat="1" ht="12.75" x14ac:dyDescent="0.2">
      <c r="R11313" s="1288"/>
    </row>
    <row r="11314" spans="18:18" s="2" customFormat="1" ht="12.75" x14ac:dyDescent="0.2">
      <c r="R11314" s="1288"/>
    </row>
    <row r="11315" spans="18:18" s="2" customFormat="1" ht="12.75" x14ac:dyDescent="0.2">
      <c r="R11315" s="1288"/>
    </row>
    <row r="11316" spans="18:18" s="2" customFormat="1" ht="12.75" x14ac:dyDescent="0.2">
      <c r="R11316" s="1288"/>
    </row>
    <row r="11317" spans="18:18" s="2" customFormat="1" ht="12.75" x14ac:dyDescent="0.2">
      <c r="R11317" s="1288"/>
    </row>
    <row r="11318" spans="18:18" s="2" customFormat="1" ht="12.75" x14ac:dyDescent="0.2">
      <c r="R11318" s="1288"/>
    </row>
    <row r="11319" spans="18:18" s="2" customFormat="1" ht="12.75" x14ac:dyDescent="0.2">
      <c r="R11319" s="1288"/>
    </row>
    <row r="11320" spans="18:18" s="2" customFormat="1" ht="12.75" x14ac:dyDescent="0.2">
      <c r="R11320" s="1288"/>
    </row>
    <row r="11321" spans="18:18" s="2" customFormat="1" ht="12.75" x14ac:dyDescent="0.2">
      <c r="R11321" s="1288"/>
    </row>
    <row r="11322" spans="18:18" s="2" customFormat="1" ht="12.75" x14ac:dyDescent="0.2">
      <c r="R11322" s="1288"/>
    </row>
    <row r="11323" spans="18:18" s="2" customFormat="1" ht="12.75" x14ac:dyDescent="0.2">
      <c r="R11323" s="1288"/>
    </row>
    <row r="11324" spans="18:18" s="2" customFormat="1" ht="12.75" x14ac:dyDescent="0.2">
      <c r="R11324" s="1288"/>
    </row>
    <row r="11325" spans="18:18" s="2" customFormat="1" ht="12.75" x14ac:dyDescent="0.2">
      <c r="R11325" s="1288"/>
    </row>
    <row r="11326" spans="18:18" s="2" customFormat="1" ht="12.75" x14ac:dyDescent="0.2">
      <c r="R11326" s="1288"/>
    </row>
    <row r="11327" spans="18:18" s="2" customFormat="1" ht="12.75" x14ac:dyDescent="0.2">
      <c r="R11327" s="1288"/>
    </row>
    <row r="11328" spans="18:18" s="2" customFormat="1" ht="12.75" x14ac:dyDescent="0.2">
      <c r="R11328" s="1288"/>
    </row>
    <row r="11329" spans="18:18" s="2" customFormat="1" ht="12.75" x14ac:dyDescent="0.2">
      <c r="R11329" s="1288"/>
    </row>
    <row r="11330" spans="18:18" s="2" customFormat="1" ht="12.75" x14ac:dyDescent="0.2">
      <c r="R11330" s="1288"/>
    </row>
    <row r="11331" spans="18:18" s="2" customFormat="1" ht="12.75" x14ac:dyDescent="0.2">
      <c r="R11331" s="1288"/>
    </row>
    <row r="11332" spans="18:18" s="2" customFormat="1" ht="12.75" x14ac:dyDescent="0.2">
      <c r="R11332" s="1288"/>
    </row>
    <row r="11333" spans="18:18" s="2" customFormat="1" ht="12.75" x14ac:dyDescent="0.2">
      <c r="R11333" s="1288"/>
    </row>
    <row r="11334" spans="18:18" s="2" customFormat="1" ht="12.75" x14ac:dyDescent="0.2">
      <c r="R11334" s="1288"/>
    </row>
    <row r="11335" spans="18:18" s="2" customFormat="1" ht="12.75" x14ac:dyDescent="0.2">
      <c r="R11335" s="1288"/>
    </row>
    <row r="11336" spans="18:18" s="2" customFormat="1" ht="12.75" x14ac:dyDescent="0.2">
      <c r="R11336" s="1288"/>
    </row>
    <row r="11337" spans="18:18" s="2" customFormat="1" ht="12.75" x14ac:dyDescent="0.2">
      <c r="R11337" s="1288"/>
    </row>
    <row r="11338" spans="18:18" s="2" customFormat="1" ht="12.75" x14ac:dyDescent="0.2">
      <c r="R11338" s="1288"/>
    </row>
    <row r="11339" spans="18:18" s="2" customFormat="1" ht="12.75" x14ac:dyDescent="0.2">
      <c r="R11339" s="1288"/>
    </row>
    <row r="11340" spans="18:18" s="2" customFormat="1" ht="12.75" x14ac:dyDescent="0.2">
      <c r="R11340" s="1288"/>
    </row>
    <row r="11341" spans="18:18" s="2" customFormat="1" ht="12.75" x14ac:dyDescent="0.2">
      <c r="R11341" s="1288"/>
    </row>
    <row r="11342" spans="18:18" s="2" customFormat="1" ht="12.75" x14ac:dyDescent="0.2">
      <c r="R11342" s="1288"/>
    </row>
    <row r="11343" spans="18:18" s="2" customFormat="1" ht="12.75" x14ac:dyDescent="0.2">
      <c r="R11343" s="1288"/>
    </row>
    <row r="11344" spans="18:18" s="2" customFormat="1" ht="12.75" x14ac:dyDescent="0.2">
      <c r="R11344" s="1288"/>
    </row>
    <row r="11345" spans="18:18" s="2" customFormat="1" ht="12.75" x14ac:dyDescent="0.2">
      <c r="R11345" s="1288"/>
    </row>
    <row r="11346" spans="18:18" s="2" customFormat="1" ht="12.75" x14ac:dyDescent="0.2">
      <c r="R11346" s="1288"/>
    </row>
    <row r="11347" spans="18:18" s="2" customFormat="1" ht="12.75" x14ac:dyDescent="0.2">
      <c r="R11347" s="1288"/>
    </row>
    <row r="11348" spans="18:18" s="2" customFormat="1" ht="12.75" x14ac:dyDescent="0.2">
      <c r="R11348" s="1288"/>
    </row>
    <row r="11349" spans="18:18" s="2" customFormat="1" ht="12.75" x14ac:dyDescent="0.2">
      <c r="R11349" s="1288"/>
    </row>
    <row r="11350" spans="18:18" s="2" customFormat="1" ht="12.75" x14ac:dyDescent="0.2">
      <c r="R11350" s="1288"/>
    </row>
    <row r="11351" spans="18:18" s="2" customFormat="1" ht="12.75" x14ac:dyDescent="0.2">
      <c r="R11351" s="1288"/>
    </row>
    <row r="11352" spans="18:18" s="2" customFormat="1" ht="12.75" x14ac:dyDescent="0.2">
      <c r="R11352" s="1288"/>
    </row>
    <row r="11353" spans="18:18" s="2" customFormat="1" ht="12.75" x14ac:dyDescent="0.2">
      <c r="R11353" s="1288"/>
    </row>
    <row r="11354" spans="18:18" s="2" customFormat="1" ht="12.75" x14ac:dyDescent="0.2">
      <c r="R11354" s="1288"/>
    </row>
    <row r="11355" spans="18:18" s="2" customFormat="1" ht="12.75" x14ac:dyDescent="0.2">
      <c r="R11355" s="1288"/>
    </row>
    <row r="11356" spans="18:18" s="2" customFormat="1" ht="12.75" x14ac:dyDescent="0.2">
      <c r="R11356" s="1288"/>
    </row>
    <row r="11357" spans="18:18" s="2" customFormat="1" ht="12.75" x14ac:dyDescent="0.2">
      <c r="R11357" s="1288"/>
    </row>
    <row r="11358" spans="18:18" s="2" customFormat="1" ht="12.75" x14ac:dyDescent="0.2">
      <c r="R11358" s="1288"/>
    </row>
    <row r="11359" spans="18:18" s="2" customFormat="1" ht="12.75" x14ac:dyDescent="0.2">
      <c r="R11359" s="1288"/>
    </row>
    <row r="11360" spans="18:18" s="2" customFormat="1" ht="12.75" x14ac:dyDescent="0.2">
      <c r="R11360" s="1288"/>
    </row>
    <row r="11361" spans="18:18" s="2" customFormat="1" ht="12.75" x14ac:dyDescent="0.2">
      <c r="R11361" s="1288"/>
    </row>
    <row r="11362" spans="18:18" s="2" customFormat="1" ht="12.75" x14ac:dyDescent="0.2">
      <c r="R11362" s="1288"/>
    </row>
    <row r="11363" spans="18:18" s="2" customFormat="1" ht="12.75" x14ac:dyDescent="0.2">
      <c r="R11363" s="1288"/>
    </row>
    <row r="11364" spans="18:18" s="2" customFormat="1" ht="12.75" x14ac:dyDescent="0.2">
      <c r="R11364" s="1288"/>
    </row>
    <row r="11365" spans="18:18" s="2" customFormat="1" ht="12.75" x14ac:dyDescent="0.2">
      <c r="R11365" s="1288"/>
    </row>
    <row r="11366" spans="18:18" s="2" customFormat="1" ht="12.75" x14ac:dyDescent="0.2">
      <c r="R11366" s="1288"/>
    </row>
    <row r="11367" spans="18:18" s="2" customFormat="1" ht="12.75" x14ac:dyDescent="0.2">
      <c r="R11367" s="1288"/>
    </row>
    <row r="11368" spans="18:18" s="2" customFormat="1" ht="12.75" x14ac:dyDescent="0.2">
      <c r="R11368" s="1288"/>
    </row>
    <row r="11369" spans="18:18" s="2" customFormat="1" ht="12.75" x14ac:dyDescent="0.2">
      <c r="R11369" s="1288"/>
    </row>
    <row r="11370" spans="18:18" s="2" customFormat="1" ht="12.75" x14ac:dyDescent="0.2">
      <c r="R11370" s="1288"/>
    </row>
    <row r="11371" spans="18:18" s="2" customFormat="1" ht="12.75" x14ac:dyDescent="0.2">
      <c r="R11371" s="1288"/>
    </row>
    <row r="11372" spans="18:18" s="2" customFormat="1" ht="12.75" x14ac:dyDescent="0.2">
      <c r="R11372" s="1288"/>
    </row>
    <row r="11373" spans="18:18" s="2" customFormat="1" ht="12.75" x14ac:dyDescent="0.2">
      <c r="R11373" s="1288"/>
    </row>
    <row r="11374" spans="18:18" s="2" customFormat="1" ht="12.75" x14ac:dyDescent="0.2">
      <c r="R11374" s="1288"/>
    </row>
    <row r="11375" spans="18:18" s="2" customFormat="1" ht="12.75" x14ac:dyDescent="0.2">
      <c r="R11375" s="1288"/>
    </row>
    <row r="11376" spans="18:18" s="2" customFormat="1" ht="12.75" x14ac:dyDescent="0.2">
      <c r="R11376" s="1288"/>
    </row>
    <row r="11377" spans="18:18" s="2" customFormat="1" ht="12.75" x14ac:dyDescent="0.2">
      <c r="R11377" s="1288"/>
    </row>
    <row r="11378" spans="18:18" s="2" customFormat="1" ht="12.75" x14ac:dyDescent="0.2">
      <c r="R11378" s="1288"/>
    </row>
    <row r="11379" spans="18:18" s="2" customFormat="1" ht="12.75" x14ac:dyDescent="0.2">
      <c r="R11379" s="1288"/>
    </row>
    <row r="11380" spans="18:18" s="2" customFormat="1" ht="12.75" x14ac:dyDescent="0.2">
      <c r="R11380" s="1288"/>
    </row>
    <row r="11381" spans="18:18" s="2" customFormat="1" ht="12.75" x14ac:dyDescent="0.2">
      <c r="R11381" s="1288"/>
    </row>
    <row r="11382" spans="18:18" s="2" customFormat="1" ht="12.75" x14ac:dyDescent="0.2">
      <c r="R11382" s="1288"/>
    </row>
    <row r="11383" spans="18:18" s="2" customFormat="1" ht="12.75" x14ac:dyDescent="0.2">
      <c r="R11383" s="1288"/>
    </row>
    <row r="11384" spans="18:18" s="2" customFormat="1" ht="12.75" x14ac:dyDescent="0.2">
      <c r="R11384" s="1288"/>
    </row>
    <row r="11385" spans="18:18" s="2" customFormat="1" ht="12.75" x14ac:dyDescent="0.2">
      <c r="R11385" s="1288"/>
    </row>
    <row r="11386" spans="18:18" s="2" customFormat="1" ht="12.75" x14ac:dyDescent="0.2">
      <c r="R11386" s="1288"/>
    </row>
    <row r="11387" spans="18:18" s="2" customFormat="1" ht="12.75" x14ac:dyDescent="0.2">
      <c r="R11387" s="1288"/>
    </row>
    <row r="11388" spans="18:18" s="2" customFormat="1" ht="12.75" x14ac:dyDescent="0.2">
      <c r="R11388" s="1288"/>
    </row>
    <row r="11389" spans="18:18" s="2" customFormat="1" ht="12.75" x14ac:dyDescent="0.2">
      <c r="R11389" s="1288"/>
    </row>
    <row r="11390" spans="18:18" s="2" customFormat="1" ht="12.75" x14ac:dyDescent="0.2">
      <c r="R11390" s="1288"/>
    </row>
    <row r="11391" spans="18:18" s="2" customFormat="1" ht="12.75" x14ac:dyDescent="0.2">
      <c r="R11391" s="1288"/>
    </row>
    <row r="11392" spans="18:18" s="2" customFormat="1" ht="12.75" x14ac:dyDescent="0.2">
      <c r="R11392" s="1288"/>
    </row>
    <row r="11393" spans="18:18" s="2" customFormat="1" ht="12.75" x14ac:dyDescent="0.2">
      <c r="R11393" s="1288"/>
    </row>
    <row r="11394" spans="18:18" s="2" customFormat="1" ht="12.75" x14ac:dyDescent="0.2">
      <c r="R11394" s="1288"/>
    </row>
    <row r="11395" spans="18:18" s="2" customFormat="1" ht="12.75" x14ac:dyDescent="0.2">
      <c r="R11395" s="1288"/>
    </row>
    <row r="11396" spans="18:18" s="2" customFormat="1" ht="12.75" x14ac:dyDescent="0.2">
      <c r="R11396" s="1288"/>
    </row>
    <row r="11397" spans="18:18" s="2" customFormat="1" ht="12.75" x14ac:dyDescent="0.2">
      <c r="R11397" s="1288"/>
    </row>
    <row r="11398" spans="18:18" s="2" customFormat="1" ht="12.75" x14ac:dyDescent="0.2">
      <c r="R11398" s="1288"/>
    </row>
    <row r="11399" spans="18:18" s="2" customFormat="1" ht="12.75" x14ac:dyDescent="0.2">
      <c r="R11399" s="1288"/>
    </row>
    <row r="11400" spans="18:18" s="2" customFormat="1" ht="12.75" x14ac:dyDescent="0.2">
      <c r="R11400" s="1288"/>
    </row>
    <row r="11401" spans="18:18" s="2" customFormat="1" ht="12.75" x14ac:dyDescent="0.2">
      <c r="R11401" s="1288"/>
    </row>
    <row r="11402" spans="18:18" s="2" customFormat="1" ht="12.75" x14ac:dyDescent="0.2">
      <c r="R11402" s="1288"/>
    </row>
    <row r="11403" spans="18:18" s="2" customFormat="1" ht="12.75" x14ac:dyDescent="0.2">
      <c r="R11403" s="1288"/>
    </row>
    <row r="11404" spans="18:18" s="2" customFormat="1" ht="12.75" x14ac:dyDescent="0.2">
      <c r="R11404" s="1288"/>
    </row>
    <row r="11405" spans="18:18" s="2" customFormat="1" ht="12.75" x14ac:dyDescent="0.2">
      <c r="R11405" s="1288"/>
    </row>
    <row r="11406" spans="18:18" s="2" customFormat="1" ht="12.75" x14ac:dyDescent="0.2">
      <c r="R11406" s="1288"/>
    </row>
    <row r="11407" spans="18:18" s="2" customFormat="1" ht="12.75" x14ac:dyDescent="0.2">
      <c r="R11407" s="1288"/>
    </row>
    <row r="11408" spans="18:18" s="2" customFormat="1" ht="12.75" x14ac:dyDescent="0.2">
      <c r="R11408" s="1288"/>
    </row>
    <row r="11409" spans="18:18" s="2" customFormat="1" ht="12.75" x14ac:dyDescent="0.2">
      <c r="R11409" s="1288"/>
    </row>
    <row r="11410" spans="18:18" s="2" customFormat="1" ht="12.75" x14ac:dyDescent="0.2">
      <c r="R11410" s="1288"/>
    </row>
    <row r="11411" spans="18:18" s="2" customFormat="1" ht="12.75" x14ac:dyDescent="0.2">
      <c r="R11411" s="1288"/>
    </row>
    <row r="11412" spans="18:18" s="2" customFormat="1" ht="12.75" x14ac:dyDescent="0.2">
      <c r="R11412" s="1288"/>
    </row>
    <row r="11413" spans="18:18" s="2" customFormat="1" ht="12.75" x14ac:dyDescent="0.2">
      <c r="R11413" s="1288"/>
    </row>
    <row r="11414" spans="18:18" s="2" customFormat="1" ht="12.75" x14ac:dyDescent="0.2">
      <c r="R11414" s="1288"/>
    </row>
    <row r="11415" spans="18:18" s="2" customFormat="1" ht="12.75" x14ac:dyDescent="0.2">
      <c r="R11415" s="1288"/>
    </row>
    <row r="11416" spans="18:18" s="2" customFormat="1" ht="12.75" x14ac:dyDescent="0.2">
      <c r="R11416" s="1288"/>
    </row>
    <row r="11417" spans="18:18" s="2" customFormat="1" ht="12.75" x14ac:dyDescent="0.2">
      <c r="R11417" s="1288"/>
    </row>
    <row r="11418" spans="18:18" s="2" customFormat="1" ht="12.75" x14ac:dyDescent="0.2">
      <c r="R11418" s="1288"/>
    </row>
    <row r="11419" spans="18:18" s="2" customFormat="1" ht="12.75" x14ac:dyDescent="0.2">
      <c r="R11419" s="1288"/>
    </row>
    <row r="11420" spans="18:18" s="2" customFormat="1" ht="12.75" x14ac:dyDescent="0.2">
      <c r="R11420" s="1288"/>
    </row>
    <row r="11421" spans="18:18" s="2" customFormat="1" ht="12.75" x14ac:dyDescent="0.2">
      <c r="R11421" s="1288"/>
    </row>
    <row r="11422" spans="18:18" s="2" customFormat="1" ht="12.75" x14ac:dyDescent="0.2">
      <c r="R11422" s="1288"/>
    </row>
    <row r="11423" spans="18:18" s="2" customFormat="1" ht="12.75" x14ac:dyDescent="0.2">
      <c r="R11423" s="1288"/>
    </row>
    <row r="11424" spans="18:18" s="2" customFormat="1" ht="12.75" x14ac:dyDescent="0.2">
      <c r="R11424" s="1288"/>
    </row>
    <row r="11425" spans="18:18" s="2" customFormat="1" ht="12.75" x14ac:dyDescent="0.2">
      <c r="R11425" s="1288"/>
    </row>
    <row r="11426" spans="18:18" s="2" customFormat="1" ht="12.75" x14ac:dyDescent="0.2">
      <c r="R11426" s="1288"/>
    </row>
    <row r="11427" spans="18:18" s="2" customFormat="1" ht="12.75" x14ac:dyDescent="0.2">
      <c r="R11427" s="1288"/>
    </row>
    <row r="11428" spans="18:18" s="2" customFormat="1" ht="12.75" x14ac:dyDescent="0.2">
      <c r="R11428" s="1288"/>
    </row>
    <row r="11429" spans="18:18" s="2" customFormat="1" ht="12.75" x14ac:dyDescent="0.2">
      <c r="R11429" s="1288"/>
    </row>
    <row r="11430" spans="18:18" s="2" customFormat="1" ht="12.75" x14ac:dyDescent="0.2">
      <c r="R11430" s="1288"/>
    </row>
    <row r="11431" spans="18:18" s="2" customFormat="1" ht="12.75" x14ac:dyDescent="0.2">
      <c r="R11431" s="1288"/>
    </row>
    <row r="11432" spans="18:18" s="2" customFormat="1" ht="12.75" x14ac:dyDescent="0.2">
      <c r="R11432" s="1288"/>
    </row>
    <row r="11433" spans="18:18" s="2" customFormat="1" ht="12.75" x14ac:dyDescent="0.2">
      <c r="R11433" s="1288"/>
    </row>
    <row r="11434" spans="18:18" s="2" customFormat="1" ht="12.75" x14ac:dyDescent="0.2">
      <c r="R11434" s="1288"/>
    </row>
    <row r="11435" spans="18:18" s="2" customFormat="1" ht="12.75" x14ac:dyDescent="0.2">
      <c r="R11435" s="1288"/>
    </row>
    <row r="11436" spans="18:18" s="2" customFormat="1" ht="12.75" x14ac:dyDescent="0.2">
      <c r="R11436" s="1288"/>
    </row>
    <row r="11437" spans="18:18" s="2" customFormat="1" ht="12.75" x14ac:dyDescent="0.2">
      <c r="R11437" s="1288"/>
    </row>
    <row r="11438" spans="18:18" s="2" customFormat="1" ht="12.75" x14ac:dyDescent="0.2">
      <c r="R11438" s="1288"/>
    </row>
    <row r="11439" spans="18:18" s="2" customFormat="1" ht="12.75" x14ac:dyDescent="0.2">
      <c r="R11439" s="1288"/>
    </row>
    <row r="11440" spans="18:18" s="2" customFormat="1" ht="12.75" x14ac:dyDescent="0.2">
      <c r="R11440" s="1288"/>
    </row>
    <row r="11441" spans="18:18" s="2" customFormat="1" ht="12.75" x14ac:dyDescent="0.2">
      <c r="R11441" s="1288"/>
    </row>
    <row r="11442" spans="18:18" s="2" customFormat="1" ht="12.75" x14ac:dyDescent="0.2">
      <c r="R11442" s="1288"/>
    </row>
    <row r="11443" spans="18:18" s="2" customFormat="1" ht="12.75" x14ac:dyDescent="0.2">
      <c r="R11443" s="1288"/>
    </row>
    <row r="11444" spans="18:18" s="2" customFormat="1" ht="12.75" x14ac:dyDescent="0.2">
      <c r="R11444" s="1288"/>
    </row>
    <row r="11445" spans="18:18" s="2" customFormat="1" ht="12.75" x14ac:dyDescent="0.2">
      <c r="R11445" s="1288"/>
    </row>
    <row r="11446" spans="18:18" s="2" customFormat="1" ht="12.75" x14ac:dyDescent="0.2">
      <c r="R11446" s="1288"/>
    </row>
    <row r="11447" spans="18:18" s="2" customFormat="1" ht="12.75" x14ac:dyDescent="0.2">
      <c r="R11447" s="1288"/>
    </row>
    <row r="11448" spans="18:18" s="2" customFormat="1" ht="12.75" x14ac:dyDescent="0.2">
      <c r="R11448" s="1288"/>
    </row>
    <row r="11449" spans="18:18" s="2" customFormat="1" ht="12.75" x14ac:dyDescent="0.2">
      <c r="R11449" s="1288"/>
    </row>
    <row r="11450" spans="18:18" s="2" customFormat="1" ht="12.75" x14ac:dyDescent="0.2">
      <c r="R11450" s="1288"/>
    </row>
    <row r="11451" spans="18:18" s="2" customFormat="1" ht="12.75" x14ac:dyDescent="0.2">
      <c r="R11451" s="1288"/>
    </row>
    <row r="11452" spans="18:18" s="2" customFormat="1" ht="12.75" x14ac:dyDescent="0.2">
      <c r="R11452" s="1288"/>
    </row>
    <row r="11453" spans="18:18" s="2" customFormat="1" ht="12.75" x14ac:dyDescent="0.2">
      <c r="R11453" s="1288"/>
    </row>
    <row r="11454" spans="18:18" s="2" customFormat="1" ht="12.75" x14ac:dyDescent="0.2">
      <c r="R11454" s="1288"/>
    </row>
    <row r="11455" spans="18:18" s="2" customFormat="1" ht="12.75" x14ac:dyDescent="0.2">
      <c r="R11455" s="1288"/>
    </row>
    <row r="11456" spans="18:18" s="2" customFormat="1" ht="12.75" x14ac:dyDescent="0.2">
      <c r="R11456" s="1288"/>
    </row>
    <row r="11457" spans="18:18" s="2" customFormat="1" ht="12.75" x14ac:dyDescent="0.2">
      <c r="R11457" s="1288"/>
    </row>
    <row r="11458" spans="18:18" s="2" customFormat="1" ht="12.75" x14ac:dyDescent="0.2">
      <c r="R11458" s="1288"/>
    </row>
    <row r="11459" spans="18:18" s="2" customFormat="1" ht="12.75" x14ac:dyDescent="0.2">
      <c r="R11459" s="1288"/>
    </row>
    <row r="11460" spans="18:18" s="2" customFormat="1" ht="12.75" x14ac:dyDescent="0.2">
      <c r="R11460" s="1288"/>
    </row>
    <row r="11461" spans="18:18" s="2" customFormat="1" ht="12.75" x14ac:dyDescent="0.2">
      <c r="R11461" s="1288"/>
    </row>
    <row r="11462" spans="18:18" s="2" customFormat="1" ht="12.75" x14ac:dyDescent="0.2">
      <c r="R11462" s="1288"/>
    </row>
    <row r="11463" spans="18:18" s="2" customFormat="1" ht="12.75" x14ac:dyDescent="0.2">
      <c r="R11463" s="1288"/>
    </row>
    <row r="11464" spans="18:18" s="2" customFormat="1" ht="12.75" x14ac:dyDescent="0.2">
      <c r="R11464" s="1288"/>
    </row>
    <row r="11465" spans="18:18" s="2" customFormat="1" ht="12.75" x14ac:dyDescent="0.2">
      <c r="R11465" s="1288"/>
    </row>
    <row r="11466" spans="18:18" s="2" customFormat="1" ht="12.75" x14ac:dyDescent="0.2">
      <c r="R11466" s="1288"/>
    </row>
    <row r="11467" spans="18:18" s="2" customFormat="1" ht="12.75" x14ac:dyDescent="0.2">
      <c r="R11467" s="1288"/>
    </row>
    <row r="11468" spans="18:18" s="2" customFormat="1" ht="12.75" x14ac:dyDescent="0.2">
      <c r="R11468" s="1288"/>
    </row>
    <row r="11469" spans="18:18" s="2" customFormat="1" ht="12.75" x14ac:dyDescent="0.2">
      <c r="R11469" s="1288"/>
    </row>
    <row r="11470" spans="18:18" s="2" customFormat="1" ht="12.75" x14ac:dyDescent="0.2">
      <c r="R11470" s="1288"/>
    </row>
    <row r="11471" spans="18:18" s="2" customFormat="1" ht="12.75" x14ac:dyDescent="0.2">
      <c r="R11471" s="1288"/>
    </row>
    <row r="11472" spans="18:18" s="2" customFormat="1" ht="12.75" x14ac:dyDescent="0.2">
      <c r="R11472" s="1288"/>
    </row>
    <row r="11473" spans="18:18" s="2" customFormat="1" ht="12.75" x14ac:dyDescent="0.2">
      <c r="R11473" s="1288"/>
    </row>
    <row r="11474" spans="18:18" s="2" customFormat="1" ht="12.75" x14ac:dyDescent="0.2">
      <c r="R11474" s="1288"/>
    </row>
    <row r="11475" spans="18:18" s="2" customFormat="1" ht="12.75" x14ac:dyDescent="0.2">
      <c r="R11475" s="1288"/>
    </row>
    <row r="11476" spans="18:18" s="2" customFormat="1" ht="12.75" x14ac:dyDescent="0.2">
      <c r="R11476" s="1288"/>
    </row>
    <row r="11477" spans="18:18" s="2" customFormat="1" ht="12.75" x14ac:dyDescent="0.2">
      <c r="R11477" s="1288"/>
    </row>
    <row r="11478" spans="18:18" s="2" customFormat="1" ht="12.75" x14ac:dyDescent="0.2">
      <c r="R11478" s="1288"/>
    </row>
    <row r="11479" spans="18:18" s="2" customFormat="1" ht="12.75" x14ac:dyDescent="0.2">
      <c r="R11479" s="1288"/>
    </row>
    <row r="11480" spans="18:18" s="2" customFormat="1" ht="12.75" x14ac:dyDescent="0.2">
      <c r="R11480" s="1288"/>
    </row>
    <row r="11481" spans="18:18" s="2" customFormat="1" ht="12.75" x14ac:dyDescent="0.2">
      <c r="R11481" s="1288"/>
    </row>
    <row r="11482" spans="18:18" s="2" customFormat="1" ht="12.75" x14ac:dyDescent="0.2">
      <c r="R11482" s="1288"/>
    </row>
    <row r="11483" spans="18:18" s="2" customFormat="1" ht="12.75" x14ac:dyDescent="0.2">
      <c r="R11483" s="1288"/>
    </row>
    <row r="11484" spans="18:18" s="2" customFormat="1" ht="12.75" x14ac:dyDescent="0.2">
      <c r="R11484" s="1288"/>
    </row>
    <row r="11485" spans="18:18" s="2" customFormat="1" ht="12.75" x14ac:dyDescent="0.2">
      <c r="R11485" s="1288"/>
    </row>
    <row r="11486" spans="18:18" s="2" customFormat="1" ht="12.75" x14ac:dyDescent="0.2">
      <c r="R11486" s="1288"/>
    </row>
    <row r="11487" spans="18:18" s="2" customFormat="1" ht="12.75" x14ac:dyDescent="0.2">
      <c r="R11487" s="1288"/>
    </row>
    <row r="11488" spans="18:18" s="2" customFormat="1" ht="12.75" x14ac:dyDescent="0.2">
      <c r="R11488" s="1288"/>
    </row>
    <row r="11489" spans="18:18" s="2" customFormat="1" ht="12.75" x14ac:dyDescent="0.2">
      <c r="R11489" s="1288"/>
    </row>
    <row r="11490" spans="18:18" s="2" customFormat="1" ht="12.75" x14ac:dyDescent="0.2">
      <c r="R11490" s="1288"/>
    </row>
    <row r="11491" spans="18:18" s="2" customFormat="1" ht="12.75" x14ac:dyDescent="0.2">
      <c r="R11491" s="1288"/>
    </row>
    <row r="11492" spans="18:18" s="2" customFormat="1" ht="12.75" x14ac:dyDescent="0.2">
      <c r="R11492" s="1288"/>
    </row>
    <row r="11493" spans="18:18" s="2" customFormat="1" ht="12.75" x14ac:dyDescent="0.2">
      <c r="R11493" s="1288"/>
    </row>
    <row r="11494" spans="18:18" s="2" customFormat="1" ht="12.75" x14ac:dyDescent="0.2">
      <c r="R11494" s="1288"/>
    </row>
    <row r="11495" spans="18:18" s="2" customFormat="1" ht="12.75" x14ac:dyDescent="0.2">
      <c r="R11495" s="1288"/>
    </row>
    <row r="11496" spans="18:18" s="2" customFormat="1" ht="12.75" x14ac:dyDescent="0.2">
      <c r="R11496" s="1288"/>
    </row>
    <row r="11497" spans="18:18" s="2" customFormat="1" ht="12.75" x14ac:dyDescent="0.2">
      <c r="R11497" s="1288"/>
    </row>
    <row r="11498" spans="18:18" s="2" customFormat="1" ht="12.75" x14ac:dyDescent="0.2">
      <c r="R11498" s="1288"/>
    </row>
    <row r="11499" spans="18:18" s="2" customFormat="1" ht="12.75" x14ac:dyDescent="0.2">
      <c r="R11499" s="1288"/>
    </row>
    <row r="11500" spans="18:18" s="2" customFormat="1" ht="12.75" x14ac:dyDescent="0.2">
      <c r="R11500" s="1288"/>
    </row>
    <row r="11501" spans="18:18" s="2" customFormat="1" ht="12.75" x14ac:dyDescent="0.2">
      <c r="R11501" s="1288"/>
    </row>
    <row r="11502" spans="18:18" s="2" customFormat="1" ht="12.75" x14ac:dyDescent="0.2">
      <c r="R11502" s="1288"/>
    </row>
    <row r="11503" spans="18:18" s="2" customFormat="1" ht="12.75" x14ac:dyDescent="0.2">
      <c r="R11503" s="1288"/>
    </row>
    <row r="11504" spans="18:18" s="2" customFormat="1" ht="12.75" x14ac:dyDescent="0.2">
      <c r="R11504" s="1288"/>
    </row>
    <row r="11505" spans="18:18" s="2" customFormat="1" ht="12.75" x14ac:dyDescent="0.2">
      <c r="R11505" s="1288"/>
    </row>
    <row r="11506" spans="18:18" s="2" customFormat="1" ht="12.75" x14ac:dyDescent="0.2">
      <c r="R11506" s="1288"/>
    </row>
    <row r="11507" spans="18:18" s="2" customFormat="1" ht="12.75" x14ac:dyDescent="0.2">
      <c r="R11507" s="1288"/>
    </row>
    <row r="11508" spans="18:18" s="2" customFormat="1" ht="12.75" x14ac:dyDescent="0.2">
      <c r="R11508" s="1288"/>
    </row>
    <row r="11509" spans="18:18" s="2" customFormat="1" ht="12.75" x14ac:dyDescent="0.2">
      <c r="R11509" s="1288"/>
    </row>
    <row r="11510" spans="18:18" s="2" customFormat="1" ht="12.75" x14ac:dyDescent="0.2">
      <c r="R11510" s="1288"/>
    </row>
    <row r="11511" spans="18:18" s="2" customFormat="1" ht="12.75" x14ac:dyDescent="0.2">
      <c r="R11511" s="1288"/>
    </row>
    <row r="11512" spans="18:18" s="2" customFormat="1" ht="12.75" x14ac:dyDescent="0.2">
      <c r="R11512" s="1288"/>
    </row>
    <row r="11513" spans="18:18" s="2" customFormat="1" ht="12.75" x14ac:dyDescent="0.2">
      <c r="R11513" s="1288"/>
    </row>
    <row r="11514" spans="18:18" s="2" customFormat="1" ht="12.75" x14ac:dyDescent="0.2">
      <c r="R11514" s="1288"/>
    </row>
    <row r="11515" spans="18:18" s="2" customFormat="1" ht="12.75" x14ac:dyDescent="0.2">
      <c r="R11515" s="1288"/>
    </row>
    <row r="11516" spans="18:18" s="2" customFormat="1" ht="12.75" x14ac:dyDescent="0.2">
      <c r="R11516" s="1288"/>
    </row>
    <row r="11517" spans="18:18" s="2" customFormat="1" ht="12.75" x14ac:dyDescent="0.2">
      <c r="R11517" s="1288"/>
    </row>
    <row r="11518" spans="18:18" s="2" customFormat="1" ht="12.75" x14ac:dyDescent="0.2">
      <c r="R11518" s="1288"/>
    </row>
    <row r="11519" spans="18:18" s="2" customFormat="1" ht="12.75" x14ac:dyDescent="0.2">
      <c r="R11519" s="1288"/>
    </row>
    <row r="11520" spans="18:18" s="2" customFormat="1" ht="12.75" x14ac:dyDescent="0.2">
      <c r="R11520" s="1288"/>
    </row>
    <row r="11521" spans="18:18" s="2" customFormat="1" ht="12.75" x14ac:dyDescent="0.2">
      <c r="R11521" s="1288"/>
    </row>
    <row r="11522" spans="18:18" s="2" customFormat="1" ht="12.75" x14ac:dyDescent="0.2">
      <c r="R11522" s="1288"/>
    </row>
    <row r="11523" spans="18:18" s="2" customFormat="1" ht="12.75" x14ac:dyDescent="0.2">
      <c r="R11523" s="1288"/>
    </row>
    <row r="11524" spans="18:18" s="2" customFormat="1" ht="12.75" x14ac:dyDescent="0.2">
      <c r="R11524" s="1288"/>
    </row>
    <row r="11525" spans="18:18" s="2" customFormat="1" ht="12.75" x14ac:dyDescent="0.2">
      <c r="R11525" s="1288"/>
    </row>
    <row r="11526" spans="18:18" s="2" customFormat="1" ht="12.75" x14ac:dyDescent="0.2">
      <c r="R11526" s="1288"/>
    </row>
    <row r="11527" spans="18:18" s="2" customFormat="1" ht="12.75" x14ac:dyDescent="0.2">
      <c r="R11527" s="1288"/>
    </row>
    <row r="11528" spans="18:18" s="2" customFormat="1" ht="12.75" x14ac:dyDescent="0.2">
      <c r="R11528" s="1288"/>
    </row>
    <row r="11529" spans="18:18" s="2" customFormat="1" ht="12.75" x14ac:dyDescent="0.2">
      <c r="R11529" s="1288"/>
    </row>
    <row r="11530" spans="18:18" s="2" customFormat="1" ht="12.75" x14ac:dyDescent="0.2">
      <c r="R11530" s="1288"/>
    </row>
    <row r="11531" spans="18:18" s="2" customFormat="1" ht="12.75" x14ac:dyDescent="0.2">
      <c r="R11531" s="1288"/>
    </row>
    <row r="11532" spans="18:18" s="2" customFormat="1" ht="12.75" x14ac:dyDescent="0.2">
      <c r="R11532" s="1288"/>
    </row>
    <row r="11533" spans="18:18" s="2" customFormat="1" ht="12.75" x14ac:dyDescent="0.2">
      <c r="R11533" s="1288"/>
    </row>
    <row r="11534" spans="18:18" s="2" customFormat="1" ht="12.75" x14ac:dyDescent="0.2">
      <c r="R11534" s="1288"/>
    </row>
    <row r="11535" spans="18:18" s="2" customFormat="1" ht="12.75" x14ac:dyDescent="0.2">
      <c r="R11535" s="1288"/>
    </row>
    <row r="11536" spans="18:18" s="2" customFormat="1" ht="12.75" x14ac:dyDescent="0.2">
      <c r="R11536" s="1288"/>
    </row>
    <row r="11537" spans="18:18" s="2" customFormat="1" ht="12.75" x14ac:dyDescent="0.2">
      <c r="R11537" s="1288"/>
    </row>
    <row r="11538" spans="18:18" s="2" customFormat="1" ht="12.75" x14ac:dyDescent="0.2">
      <c r="R11538" s="1288"/>
    </row>
    <row r="11539" spans="18:18" s="2" customFormat="1" ht="12.75" x14ac:dyDescent="0.2">
      <c r="R11539" s="1288"/>
    </row>
    <row r="11540" spans="18:18" s="2" customFormat="1" ht="12.75" x14ac:dyDescent="0.2">
      <c r="R11540" s="1288"/>
    </row>
    <row r="11541" spans="18:18" s="2" customFormat="1" ht="12.75" x14ac:dyDescent="0.2">
      <c r="R11541" s="1288"/>
    </row>
    <row r="11542" spans="18:18" s="2" customFormat="1" ht="12.75" x14ac:dyDescent="0.2">
      <c r="R11542" s="1288"/>
    </row>
    <row r="11543" spans="18:18" s="2" customFormat="1" ht="12.75" x14ac:dyDescent="0.2">
      <c r="R11543" s="1288"/>
    </row>
    <row r="11544" spans="18:18" s="2" customFormat="1" ht="12.75" x14ac:dyDescent="0.2">
      <c r="R11544" s="1288"/>
    </row>
    <row r="11545" spans="18:18" s="2" customFormat="1" ht="12.75" x14ac:dyDescent="0.2">
      <c r="R11545" s="1288"/>
    </row>
    <row r="11546" spans="18:18" s="2" customFormat="1" ht="12.75" x14ac:dyDescent="0.2">
      <c r="R11546" s="1288"/>
    </row>
    <row r="11547" spans="18:18" s="2" customFormat="1" ht="12.75" x14ac:dyDescent="0.2">
      <c r="R11547" s="1288"/>
    </row>
    <row r="11548" spans="18:18" s="2" customFormat="1" ht="12.75" x14ac:dyDescent="0.2">
      <c r="R11548" s="1288"/>
    </row>
    <row r="11549" spans="18:18" s="2" customFormat="1" ht="12.75" x14ac:dyDescent="0.2">
      <c r="R11549" s="1288"/>
    </row>
    <row r="11550" spans="18:18" s="2" customFormat="1" ht="12.75" x14ac:dyDescent="0.2">
      <c r="R11550" s="1288"/>
    </row>
    <row r="11551" spans="18:18" s="2" customFormat="1" ht="12.75" x14ac:dyDescent="0.2">
      <c r="R11551" s="1288"/>
    </row>
    <row r="11552" spans="18:18" s="2" customFormat="1" ht="12.75" x14ac:dyDescent="0.2">
      <c r="R11552" s="1288"/>
    </row>
    <row r="11553" spans="18:18" s="2" customFormat="1" ht="12.75" x14ac:dyDescent="0.2">
      <c r="R11553" s="1288"/>
    </row>
    <row r="11554" spans="18:18" s="2" customFormat="1" ht="12.75" x14ac:dyDescent="0.2">
      <c r="R11554" s="1288"/>
    </row>
    <row r="11555" spans="18:18" s="2" customFormat="1" ht="12.75" x14ac:dyDescent="0.2">
      <c r="R11555" s="1288"/>
    </row>
    <row r="11556" spans="18:18" s="2" customFormat="1" ht="12.75" x14ac:dyDescent="0.2">
      <c r="R11556" s="1288"/>
    </row>
    <row r="11557" spans="18:18" s="2" customFormat="1" ht="12.75" x14ac:dyDescent="0.2">
      <c r="R11557" s="1288"/>
    </row>
    <row r="11558" spans="18:18" s="2" customFormat="1" ht="12.75" x14ac:dyDescent="0.2">
      <c r="R11558" s="1288"/>
    </row>
    <row r="11559" spans="18:18" s="2" customFormat="1" ht="12.75" x14ac:dyDescent="0.2">
      <c r="R11559" s="1288"/>
    </row>
    <row r="11560" spans="18:18" s="2" customFormat="1" ht="12.75" x14ac:dyDescent="0.2">
      <c r="R11560" s="1288"/>
    </row>
    <row r="11561" spans="18:18" s="2" customFormat="1" ht="12.75" x14ac:dyDescent="0.2">
      <c r="R11561" s="1288"/>
    </row>
    <row r="11562" spans="18:18" s="2" customFormat="1" ht="12.75" x14ac:dyDescent="0.2">
      <c r="R11562" s="1288"/>
    </row>
    <row r="11563" spans="18:18" s="2" customFormat="1" ht="12.75" x14ac:dyDescent="0.2">
      <c r="R11563" s="1288"/>
    </row>
    <row r="11564" spans="18:18" s="2" customFormat="1" ht="12.75" x14ac:dyDescent="0.2">
      <c r="R11564" s="1288"/>
    </row>
    <row r="11565" spans="18:18" s="2" customFormat="1" ht="12.75" x14ac:dyDescent="0.2">
      <c r="R11565" s="1288"/>
    </row>
    <row r="11566" spans="18:18" s="2" customFormat="1" ht="12.75" x14ac:dyDescent="0.2">
      <c r="R11566" s="1288"/>
    </row>
    <row r="11567" spans="18:18" s="2" customFormat="1" ht="12.75" x14ac:dyDescent="0.2">
      <c r="R11567" s="1288"/>
    </row>
    <row r="11568" spans="18:18" s="2" customFormat="1" ht="12.75" x14ac:dyDescent="0.2">
      <c r="R11568" s="1288"/>
    </row>
    <row r="11569" spans="18:18" s="2" customFormat="1" ht="12.75" x14ac:dyDescent="0.2">
      <c r="R11569" s="1288"/>
    </row>
    <row r="11570" spans="18:18" s="2" customFormat="1" ht="12.75" x14ac:dyDescent="0.2">
      <c r="R11570" s="1288"/>
    </row>
    <row r="11571" spans="18:18" s="2" customFormat="1" ht="12.75" x14ac:dyDescent="0.2">
      <c r="R11571" s="1288"/>
    </row>
    <row r="11572" spans="18:18" s="2" customFormat="1" ht="12.75" x14ac:dyDescent="0.2">
      <c r="R11572" s="1288"/>
    </row>
    <row r="11573" spans="18:18" s="2" customFormat="1" ht="12.75" x14ac:dyDescent="0.2">
      <c r="R11573" s="1288"/>
    </row>
    <row r="11574" spans="18:18" s="2" customFormat="1" ht="12.75" x14ac:dyDescent="0.2">
      <c r="R11574" s="1288"/>
    </row>
    <row r="11575" spans="18:18" s="2" customFormat="1" ht="12.75" x14ac:dyDescent="0.2">
      <c r="R11575" s="1288"/>
    </row>
    <row r="11576" spans="18:18" s="2" customFormat="1" ht="12.75" x14ac:dyDescent="0.2">
      <c r="R11576" s="1288"/>
    </row>
    <row r="11577" spans="18:18" s="2" customFormat="1" ht="12.75" x14ac:dyDescent="0.2">
      <c r="R11577" s="1288"/>
    </row>
    <row r="11578" spans="18:18" s="2" customFormat="1" ht="12.75" x14ac:dyDescent="0.2">
      <c r="R11578" s="1288"/>
    </row>
    <row r="11579" spans="18:18" s="2" customFormat="1" ht="12.75" x14ac:dyDescent="0.2">
      <c r="R11579" s="1288"/>
    </row>
    <row r="11580" spans="18:18" s="2" customFormat="1" ht="12.75" x14ac:dyDescent="0.2">
      <c r="R11580" s="1288"/>
    </row>
    <row r="11581" spans="18:18" s="2" customFormat="1" ht="12.75" x14ac:dyDescent="0.2">
      <c r="R11581" s="1288"/>
    </row>
    <row r="11582" spans="18:18" s="2" customFormat="1" ht="12.75" x14ac:dyDescent="0.2">
      <c r="R11582" s="1288"/>
    </row>
    <row r="11583" spans="18:18" s="2" customFormat="1" ht="12.75" x14ac:dyDescent="0.2">
      <c r="R11583" s="1288"/>
    </row>
    <row r="11584" spans="18:18" s="2" customFormat="1" ht="12.75" x14ac:dyDescent="0.2">
      <c r="R11584" s="1288"/>
    </row>
    <row r="11585" spans="18:18" s="2" customFormat="1" ht="12.75" x14ac:dyDescent="0.2">
      <c r="R11585" s="1288"/>
    </row>
    <row r="11586" spans="18:18" s="2" customFormat="1" ht="12.75" x14ac:dyDescent="0.2">
      <c r="R11586" s="1288"/>
    </row>
    <row r="11587" spans="18:18" s="2" customFormat="1" ht="12.75" x14ac:dyDescent="0.2">
      <c r="R11587" s="1288"/>
    </row>
    <row r="11588" spans="18:18" s="2" customFormat="1" ht="12.75" x14ac:dyDescent="0.2">
      <c r="R11588" s="1288"/>
    </row>
    <row r="11589" spans="18:18" s="2" customFormat="1" ht="12.75" x14ac:dyDescent="0.2">
      <c r="R11589" s="1288"/>
    </row>
    <row r="11590" spans="18:18" s="2" customFormat="1" ht="12.75" x14ac:dyDescent="0.2">
      <c r="R11590" s="1288"/>
    </row>
    <row r="11591" spans="18:18" s="2" customFormat="1" ht="12.75" x14ac:dyDescent="0.2">
      <c r="R11591" s="1288"/>
    </row>
    <row r="11592" spans="18:18" s="2" customFormat="1" ht="12.75" x14ac:dyDescent="0.2">
      <c r="R11592" s="1288"/>
    </row>
    <row r="11593" spans="18:18" s="2" customFormat="1" ht="12.75" x14ac:dyDescent="0.2">
      <c r="R11593" s="1288"/>
    </row>
    <row r="11594" spans="18:18" s="2" customFormat="1" ht="12.75" x14ac:dyDescent="0.2">
      <c r="R11594" s="1288"/>
    </row>
    <row r="11595" spans="18:18" s="2" customFormat="1" ht="12.75" x14ac:dyDescent="0.2">
      <c r="R11595" s="1288"/>
    </row>
    <row r="11596" spans="18:18" s="2" customFormat="1" ht="12.75" x14ac:dyDescent="0.2">
      <c r="R11596" s="1288"/>
    </row>
    <row r="11597" spans="18:18" s="2" customFormat="1" ht="12.75" x14ac:dyDescent="0.2">
      <c r="R11597" s="1288"/>
    </row>
    <row r="11598" spans="18:18" s="2" customFormat="1" ht="12.75" x14ac:dyDescent="0.2">
      <c r="R11598" s="1288"/>
    </row>
    <row r="11599" spans="18:18" s="2" customFormat="1" ht="12.75" x14ac:dyDescent="0.2">
      <c r="R11599" s="1288"/>
    </row>
    <row r="11600" spans="18:18" s="2" customFormat="1" ht="12.75" x14ac:dyDescent="0.2">
      <c r="R11600" s="1288"/>
    </row>
    <row r="11601" spans="18:18" s="2" customFormat="1" ht="12.75" x14ac:dyDescent="0.2">
      <c r="R11601" s="1288"/>
    </row>
    <row r="11602" spans="18:18" s="2" customFormat="1" ht="12.75" x14ac:dyDescent="0.2">
      <c r="R11602" s="1288"/>
    </row>
    <row r="11603" spans="18:18" s="2" customFormat="1" ht="12.75" x14ac:dyDescent="0.2">
      <c r="R11603" s="1288"/>
    </row>
    <row r="11604" spans="18:18" s="2" customFormat="1" ht="12.75" x14ac:dyDescent="0.2">
      <c r="R11604" s="1288"/>
    </row>
    <row r="11605" spans="18:18" s="2" customFormat="1" ht="12.75" x14ac:dyDescent="0.2">
      <c r="R11605" s="1288"/>
    </row>
    <row r="11606" spans="18:18" s="2" customFormat="1" ht="12.75" x14ac:dyDescent="0.2">
      <c r="R11606" s="1288"/>
    </row>
    <row r="11607" spans="18:18" s="2" customFormat="1" ht="12.75" x14ac:dyDescent="0.2">
      <c r="R11607" s="1288"/>
    </row>
    <row r="11608" spans="18:18" s="2" customFormat="1" ht="12.75" x14ac:dyDescent="0.2">
      <c r="R11608" s="1288"/>
    </row>
    <row r="11609" spans="18:18" s="2" customFormat="1" ht="12.75" x14ac:dyDescent="0.2">
      <c r="R11609" s="1288"/>
    </row>
    <row r="11610" spans="18:18" s="2" customFormat="1" ht="12.75" x14ac:dyDescent="0.2">
      <c r="R11610" s="1288"/>
    </row>
    <row r="11611" spans="18:18" s="2" customFormat="1" ht="12.75" x14ac:dyDescent="0.2">
      <c r="R11611" s="1288"/>
    </row>
    <row r="11612" spans="18:18" s="2" customFormat="1" ht="12.75" x14ac:dyDescent="0.2">
      <c r="R11612" s="1288"/>
    </row>
    <row r="11613" spans="18:18" s="2" customFormat="1" ht="12.75" x14ac:dyDescent="0.2">
      <c r="R11613" s="1288"/>
    </row>
    <row r="11614" spans="18:18" s="2" customFormat="1" ht="12.75" x14ac:dyDescent="0.2">
      <c r="R11614" s="1288"/>
    </row>
    <row r="11615" spans="18:18" s="2" customFormat="1" ht="12.75" x14ac:dyDescent="0.2">
      <c r="R11615" s="1288"/>
    </row>
    <row r="11616" spans="18:18" s="2" customFormat="1" ht="12.75" x14ac:dyDescent="0.2">
      <c r="R11616" s="1288"/>
    </row>
    <row r="11617" spans="18:18" s="2" customFormat="1" ht="12.75" x14ac:dyDescent="0.2">
      <c r="R11617" s="1288"/>
    </row>
    <row r="11618" spans="18:18" s="2" customFormat="1" ht="12.75" x14ac:dyDescent="0.2">
      <c r="R11618" s="1288"/>
    </row>
    <row r="11619" spans="18:18" s="2" customFormat="1" ht="12.75" x14ac:dyDescent="0.2">
      <c r="R11619" s="1288"/>
    </row>
    <row r="11620" spans="18:18" s="2" customFormat="1" ht="12.75" x14ac:dyDescent="0.2">
      <c r="R11620" s="1288"/>
    </row>
    <row r="11621" spans="18:18" s="2" customFormat="1" ht="12.75" x14ac:dyDescent="0.2">
      <c r="R11621" s="1288"/>
    </row>
    <row r="11622" spans="18:18" s="2" customFormat="1" ht="12.75" x14ac:dyDescent="0.2">
      <c r="R11622" s="1288"/>
    </row>
    <row r="11623" spans="18:18" s="2" customFormat="1" ht="12.75" x14ac:dyDescent="0.2">
      <c r="R11623" s="1288"/>
    </row>
    <row r="11624" spans="18:18" s="2" customFormat="1" ht="12.75" x14ac:dyDescent="0.2">
      <c r="R11624" s="1288"/>
    </row>
    <row r="11625" spans="18:18" s="2" customFormat="1" ht="12.75" x14ac:dyDescent="0.2">
      <c r="R11625" s="1288"/>
    </row>
    <row r="11626" spans="18:18" s="2" customFormat="1" ht="12.75" x14ac:dyDescent="0.2">
      <c r="R11626" s="1288"/>
    </row>
    <row r="11627" spans="18:18" s="2" customFormat="1" ht="12.75" x14ac:dyDescent="0.2">
      <c r="R11627" s="1288"/>
    </row>
    <row r="11628" spans="18:18" s="2" customFormat="1" ht="12.75" x14ac:dyDescent="0.2">
      <c r="R11628" s="1288"/>
    </row>
    <row r="11629" spans="18:18" s="2" customFormat="1" ht="12.75" x14ac:dyDescent="0.2">
      <c r="R11629" s="1288"/>
    </row>
    <row r="11630" spans="18:18" s="2" customFormat="1" ht="12.75" x14ac:dyDescent="0.2">
      <c r="R11630" s="1288"/>
    </row>
    <row r="11631" spans="18:18" s="2" customFormat="1" ht="12.75" x14ac:dyDescent="0.2">
      <c r="R11631" s="1288"/>
    </row>
    <row r="11632" spans="18:18" s="2" customFormat="1" ht="12.75" x14ac:dyDescent="0.2">
      <c r="R11632" s="1288"/>
    </row>
    <row r="11633" spans="18:18" s="2" customFormat="1" ht="12.75" x14ac:dyDescent="0.2">
      <c r="R11633" s="1288"/>
    </row>
    <row r="11634" spans="18:18" s="2" customFormat="1" ht="12.75" x14ac:dyDescent="0.2">
      <c r="R11634" s="1288"/>
    </row>
    <row r="11635" spans="18:18" s="2" customFormat="1" ht="12.75" x14ac:dyDescent="0.2">
      <c r="R11635" s="1288"/>
    </row>
    <row r="11636" spans="18:18" s="2" customFormat="1" ht="12.75" x14ac:dyDescent="0.2">
      <c r="R11636" s="1288"/>
    </row>
    <row r="11637" spans="18:18" s="2" customFormat="1" ht="12.75" x14ac:dyDescent="0.2">
      <c r="R11637" s="1288"/>
    </row>
    <row r="11638" spans="18:18" s="2" customFormat="1" ht="12.75" x14ac:dyDescent="0.2">
      <c r="R11638" s="1288"/>
    </row>
    <row r="11639" spans="18:18" s="2" customFormat="1" ht="12.75" x14ac:dyDescent="0.2">
      <c r="R11639" s="1288"/>
    </row>
    <row r="11640" spans="18:18" s="2" customFormat="1" ht="12.75" x14ac:dyDescent="0.2">
      <c r="R11640" s="1288"/>
    </row>
    <row r="11641" spans="18:18" s="2" customFormat="1" ht="12.75" x14ac:dyDescent="0.2">
      <c r="R11641" s="1288"/>
    </row>
    <row r="11642" spans="18:18" s="2" customFormat="1" ht="12.75" x14ac:dyDescent="0.2">
      <c r="R11642" s="1288"/>
    </row>
    <row r="11643" spans="18:18" s="2" customFormat="1" ht="12.75" x14ac:dyDescent="0.2">
      <c r="R11643" s="1288"/>
    </row>
    <row r="11644" spans="18:18" s="2" customFormat="1" ht="12.75" x14ac:dyDescent="0.2">
      <c r="R11644" s="1288"/>
    </row>
    <row r="11645" spans="18:18" s="2" customFormat="1" ht="12.75" x14ac:dyDescent="0.2">
      <c r="R11645" s="1288"/>
    </row>
    <row r="11646" spans="18:18" s="2" customFormat="1" ht="12.75" x14ac:dyDescent="0.2">
      <c r="R11646" s="1288"/>
    </row>
    <row r="11647" spans="18:18" s="2" customFormat="1" ht="12.75" x14ac:dyDescent="0.2">
      <c r="R11647" s="1288"/>
    </row>
    <row r="11648" spans="18:18" s="2" customFormat="1" ht="12.75" x14ac:dyDescent="0.2">
      <c r="R11648" s="1288"/>
    </row>
    <row r="11649" spans="18:18" s="2" customFormat="1" ht="12.75" x14ac:dyDescent="0.2">
      <c r="R11649" s="1288"/>
    </row>
    <row r="11650" spans="18:18" s="2" customFormat="1" ht="12.75" x14ac:dyDescent="0.2">
      <c r="R11650" s="1288"/>
    </row>
    <row r="11651" spans="18:18" s="2" customFormat="1" ht="12.75" x14ac:dyDescent="0.2">
      <c r="R11651" s="1288"/>
    </row>
    <row r="11652" spans="18:18" s="2" customFormat="1" ht="12.75" x14ac:dyDescent="0.2">
      <c r="R11652" s="1288"/>
    </row>
    <row r="11653" spans="18:18" s="2" customFormat="1" ht="12.75" x14ac:dyDescent="0.2">
      <c r="R11653" s="1288"/>
    </row>
    <row r="11654" spans="18:18" s="2" customFormat="1" ht="12.75" x14ac:dyDescent="0.2">
      <c r="R11654" s="1288"/>
    </row>
    <row r="11655" spans="18:18" s="2" customFormat="1" ht="12.75" x14ac:dyDescent="0.2">
      <c r="R11655" s="1288"/>
    </row>
    <row r="11656" spans="18:18" s="2" customFormat="1" ht="12.75" x14ac:dyDescent="0.2">
      <c r="R11656" s="1288"/>
    </row>
    <row r="11657" spans="18:18" s="2" customFormat="1" ht="12.75" x14ac:dyDescent="0.2">
      <c r="R11657" s="1288"/>
    </row>
    <row r="11658" spans="18:18" s="2" customFormat="1" ht="12.75" x14ac:dyDescent="0.2">
      <c r="R11658" s="1288"/>
    </row>
    <row r="11659" spans="18:18" s="2" customFormat="1" ht="12.75" x14ac:dyDescent="0.2">
      <c r="R11659" s="1288"/>
    </row>
    <row r="11660" spans="18:18" s="2" customFormat="1" ht="12.75" x14ac:dyDescent="0.2">
      <c r="R11660" s="1288"/>
    </row>
    <row r="11661" spans="18:18" s="2" customFormat="1" ht="12.75" x14ac:dyDescent="0.2">
      <c r="R11661" s="1288"/>
    </row>
    <row r="11662" spans="18:18" s="2" customFormat="1" ht="12.75" x14ac:dyDescent="0.2">
      <c r="R11662" s="1288"/>
    </row>
    <row r="11663" spans="18:18" s="2" customFormat="1" ht="12.75" x14ac:dyDescent="0.2">
      <c r="R11663" s="1288"/>
    </row>
    <row r="11664" spans="18:18" s="2" customFormat="1" ht="12.75" x14ac:dyDescent="0.2">
      <c r="R11664" s="1288"/>
    </row>
    <row r="11665" spans="18:18" s="2" customFormat="1" ht="12.75" x14ac:dyDescent="0.2">
      <c r="R11665" s="1288"/>
    </row>
    <row r="11666" spans="18:18" s="2" customFormat="1" ht="12.75" x14ac:dyDescent="0.2">
      <c r="R11666" s="1288"/>
    </row>
    <row r="11667" spans="18:18" s="2" customFormat="1" ht="12.75" x14ac:dyDescent="0.2">
      <c r="R11667" s="1288"/>
    </row>
    <row r="11668" spans="18:18" s="2" customFormat="1" ht="12.75" x14ac:dyDescent="0.2">
      <c r="R11668" s="1288"/>
    </row>
    <row r="11669" spans="18:18" s="2" customFormat="1" ht="12.75" x14ac:dyDescent="0.2">
      <c r="R11669" s="1288"/>
    </row>
    <row r="11670" spans="18:18" s="2" customFormat="1" ht="12.75" x14ac:dyDescent="0.2">
      <c r="R11670" s="1288"/>
    </row>
    <row r="11671" spans="18:18" s="2" customFormat="1" ht="12.75" x14ac:dyDescent="0.2">
      <c r="R11671" s="1288"/>
    </row>
    <row r="11672" spans="18:18" s="2" customFormat="1" ht="12.75" x14ac:dyDescent="0.2">
      <c r="R11672" s="1288"/>
    </row>
    <row r="11673" spans="18:18" s="2" customFormat="1" ht="12.75" x14ac:dyDescent="0.2">
      <c r="R11673" s="1288"/>
    </row>
    <row r="11674" spans="18:18" s="2" customFormat="1" ht="12.75" x14ac:dyDescent="0.2">
      <c r="R11674" s="1288"/>
    </row>
    <row r="11675" spans="18:18" s="2" customFormat="1" ht="12.75" x14ac:dyDescent="0.2">
      <c r="R11675" s="1288"/>
    </row>
    <row r="11676" spans="18:18" s="2" customFormat="1" ht="12.75" x14ac:dyDescent="0.2">
      <c r="R11676" s="1288"/>
    </row>
    <row r="11677" spans="18:18" s="2" customFormat="1" ht="12.75" x14ac:dyDescent="0.2">
      <c r="R11677" s="1288"/>
    </row>
    <row r="11678" spans="18:18" s="2" customFormat="1" ht="12.75" x14ac:dyDescent="0.2">
      <c r="R11678" s="1288"/>
    </row>
    <row r="11679" spans="18:18" s="2" customFormat="1" ht="12.75" x14ac:dyDescent="0.2">
      <c r="R11679" s="1288"/>
    </row>
    <row r="11680" spans="18:18" s="2" customFormat="1" ht="12.75" x14ac:dyDescent="0.2">
      <c r="R11680" s="1288"/>
    </row>
    <row r="11681" spans="18:18" s="2" customFormat="1" ht="12.75" x14ac:dyDescent="0.2">
      <c r="R11681" s="1288"/>
    </row>
    <row r="11682" spans="18:18" s="2" customFormat="1" ht="12.75" x14ac:dyDescent="0.2">
      <c r="R11682" s="1288"/>
    </row>
    <row r="11683" spans="18:18" s="2" customFormat="1" ht="12.75" x14ac:dyDescent="0.2">
      <c r="R11683" s="1288"/>
    </row>
    <row r="11684" spans="18:18" s="2" customFormat="1" ht="12.75" x14ac:dyDescent="0.2">
      <c r="R11684" s="1288"/>
    </row>
    <row r="11685" spans="18:18" s="2" customFormat="1" ht="12.75" x14ac:dyDescent="0.2">
      <c r="R11685" s="1288"/>
    </row>
    <row r="11686" spans="18:18" s="2" customFormat="1" ht="12.75" x14ac:dyDescent="0.2">
      <c r="R11686" s="1288"/>
    </row>
    <row r="11687" spans="18:18" s="2" customFormat="1" ht="12.75" x14ac:dyDescent="0.2">
      <c r="R11687" s="1288"/>
    </row>
    <row r="11688" spans="18:18" s="2" customFormat="1" ht="12.75" x14ac:dyDescent="0.2">
      <c r="R11688" s="1288"/>
    </row>
    <row r="11689" spans="18:18" s="2" customFormat="1" ht="12.75" x14ac:dyDescent="0.2">
      <c r="R11689" s="1288"/>
    </row>
    <row r="11690" spans="18:18" s="2" customFormat="1" ht="12.75" x14ac:dyDescent="0.2">
      <c r="R11690" s="1288"/>
    </row>
    <row r="11691" spans="18:18" s="2" customFormat="1" ht="12.75" x14ac:dyDescent="0.2">
      <c r="R11691" s="1288"/>
    </row>
    <row r="11692" spans="18:18" s="2" customFormat="1" ht="12.75" x14ac:dyDescent="0.2">
      <c r="R11692" s="1288"/>
    </row>
    <row r="11693" spans="18:18" s="2" customFormat="1" ht="12.75" x14ac:dyDescent="0.2">
      <c r="R11693" s="1288"/>
    </row>
    <row r="11694" spans="18:18" s="2" customFormat="1" ht="12.75" x14ac:dyDescent="0.2">
      <c r="R11694" s="1288"/>
    </row>
    <row r="11695" spans="18:18" s="2" customFormat="1" ht="12.75" x14ac:dyDescent="0.2">
      <c r="R11695" s="1288"/>
    </row>
    <row r="11696" spans="18:18" s="2" customFormat="1" ht="12.75" x14ac:dyDescent="0.2">
      <c r="R11696" s="1288"/>
    </row>
    <row r="11697" spans="18:18" s="2" customFormat="1" ht="12.75" x14ac:dyDescent="0.2">
      <c r="R11697" s="1288"/>
    </row>
    <row r="11698" spans="18:18" s="2" customFormat="1" ht="12.75" x14ac:dyDescent="0.2">
      <c r="R11698" s="1288"/>
    </row>
    <row r="11699" spans="18:18" s="2" customFormat="1" ht="12.75" x14ac:dyDescent="0.2">
      <c r="R11699" s="1288"/>
    </row>
    <row r="11700" spans="18:18" s="2" customFormat="1" ht="12.75" x14ac:dyDescent="0.2">
      <c r="R11700" s="1288"/>
    </row>
    <row r="11701" spans="18:18" s="2" customFormat="1" ht="12.75" x14ac:dyDescent="0.2">
      <c r="R11701" s="1288"/>
    </row>
    <row r="11702" spans="18:18" s="2" customFormat="1" ht="12.75" x14ac:dyDescent="0.2">
      <c r="R11702" s="1288"/>
    </row>
    <row r="11703" spans="18:18" s="2" customFormat="1" ht="12.75" x14ac:dyDescent="0.2">
      <c r="R11703" s="1288"/>
    </row>
    <row r="11704" spans="18:18" s="2" customFormat="1" ht="12.75" x14ac:dyDescent="0.2">
      <c r="R11704" s="1288"/>
    </row>
    <row r="11705" spans="18:18" s="2" customFormat="1" ht="12.75" x14ac:dyDescent="0.2">
      <c r="R11705" s="1288"/>
    </row>
    <row r="11706" spans="18:18" s="2" customFormat="1" ht="12.75" x14ac:dyDescent="0.2">
      <c r="R11706" s="1288"/>
    </row>
    <row r="11707" spans="18:18" s="2" customFormat="1" ht="12.75" x14ac:dyDescent="0.2">
      <c r="R11707" s="1288"/>
    </row>
    <row r="11708" spans="18:18" s="2" customFormat="1" ht="12.75" x14ac:dyDescent="0.2">
      <c r="R11708" s="1288"/>
    </row>
    <row r="11709" spans="18:18" s="2" customFormat="1" ht="12.75" x14ac:dyDescent="0.2">
      <c r="R11709" s="1288"/>
    </row>
    <row r="11710" spans="18:18" s="2" customFormat="1" ht="12.75" x14ac:dyDescent="0.2">
      <c r="R11710" s="1288"/>
    </row>
    <row r="11711" spans="18:18" s="2" customFormat="1" ht="12.75" x14ac:dyDescent="0.2">
      <c r="R11711" s="1288"/>
    </row>
    <row r="11712" spans="18:18" s="2" customFormat="1" ht="12.75" x14ac:dyDescent="0.2">
      <c r="R11712" s="1288"/>
    </row>
    <row r="11713" spans="18:18" s="2" customFormat="1" ht="12.75" x14ac:dyDescent="0.2">
      <c r="R11713" s="1288"/>
    </row>
    <row r="11714" spans="18:18" s="2" customFormat="1" ht="12.75" x14ac:dyDescent="0.2">
      <c r="R11714" s="1288"/>
    </row>
    <row r="11715" spans="18:18" s="2" customFormat="1" ht="12.75" x14ac:dyDescent="0.2">
      <c r="R11715" s="1288"/>
    </row>
    <row r="11716" spans="18:18" s="2" customFormat="1" ht="12.75" x14ac:dyDescent="0.2">
      <c r="R11716" s="1288"/>
    </row>
    <row r="11717" spans="18:18" s="2" customFormat="1" ht="12.75" x14ac:dyDescent="0.2">
      <c r="R11717" s="1288"/>
    </row>
    <row r="11718" spans="18:18" s="2" customFormat="1" ht="12.75" x14ac:dyDescent="0.2">
      <c r="R11718" s="1288"/>
    </row>
    <row r="11719" spans="18:18" s="2" customFormat="1" ht="12.75" x14ac:dyDescent="0.2">
      <c r="R11719" s="1288"/>
    </row>
    <row r="11720" spans="18:18" s="2" customFormat="1" ht="12.75" x14ac:dyDescent="0.2">
      <c r="R11720" s="1288"/>
    </row>
    <row r="11721" spans="18:18" s="2" customFormat="1" ht="12.75" x14ac:dyDescent="0.2">
      <c r="R11721" s="1288"/>
    </row>
    <row r="11722" spans="18:18" s="2" customFormat="1" ht="12.75" x14ac:dyDescent="0.2">
      <c r="R11722" s="1288"/>
    </row>
    <row r="11723" spans="18:18" s="2" customFormat="1" ht="12.75" x14ac:dyDescent="0.2">
      <c r="R11723" s="1288"/>
    </row>
    <row r="11724" spans="18:18" s="2" customFormat="1" ht="12.75" x14ac:dyDescent="0.2">
      <c r="R11724" s="1288"/>
    </row>
    <row r="11725" spans="18:18" s="2" customFormat="1" ht="12.75" x14ac:dyDescent="0.2">
      <c r="R11725" s="1288"/>
    </row>
    <row r="11726" spans="18:18" s="2" customFormat="1" ht="12.75" x14ac:dyDescent="0.2">
      <c r="R11726" s="1288"/>
    </row>
    <row r="11727" spans="18:18" s="2" customFormat="1" ht="12.75" x14ac:dyDescent="0.2">
      <c r="R11727" s="1288"/>
    </row>
    <row r="11728" spans="18:18" s="2" customFormat="1" ht="12.75" x14ac:dyDescent="0.2">
      <c r="R11728" s="1288"/>
    </row>
    <row r="11729" spans="18:18" s="2" customFormat="1" ht="12.75" x14ac:dyDescent="0.2">
      <c r="R11729" s="1288"/>
    </row>
    <row r="11730" spans="18:18" s="2" customFormat="1" ht="12.75" x14ac:dyDescent="0.2">
      <c r="R11730" s="1288"/>
    </row>
    <row r="11731" spans="18:18" s="2" customFormat="1" ht="12.75" x14ac:dyDescent="0.2">
      <c r="R11731" s="1288"/>
    </row>
    <row r="11732" spans="18:18" s="2" customFormat="1" ht="12.75" x14ac:dyDescent="0.2">
      <c r="R11732" s="1288"/>
    </row>
    <row r="11733" spans="18:18" s="2" customFormat="1" ht="12.75" x14ac:dyDescent="0.2">
      <c r="R11733" s="1288"/>
    </row>
    <row r="11734" spans="18:18" s="2" customFormat="1" ht="12.75" x14ac:dyDescent="0.2">
      <c r="R11734" s="1288"/>
    </row>
    <row r="11735" spans="18:18" s="2" customFormat="1" ht="12.75" x14ac:dyDescent="0.2">
      <c r="R11735" s="1288"/>
    </row>
    <row r="11736" spans="18:18" s="2" customFormat="1" ht="12.75" x14ac:dyDescent="0.2">
      <c r="R11736" s="1288"/>
    </row>
    <row r="11737" spans="18:18" s="2" customFormat="1" ht="12.75" x14ac:dyDescent="0.2">
      <c r="R11737" s="1288"/>
    </row>
    <row r="11738" spans="18:18" s="2" customFormat="1" ht="12.75" x14ac:dyDescent="0.2">
      <c r="R11738" s="1288"/>
    </row>
    <row r="11739" spans="18:18" s="2" customFormat="1" ht="12.75" x14ac:dyDescent="0.2">
      <c r="R11739" s="1288"/>
    </row>
    <row r="11740" spans="18:18" s="2" customFormat="1" ht="12.75" x14ac:dyDescent="0.2">
      <c r="R11740" s="1288"/>
    </row>
    <row r="11741" spans="18:18" s="2" customFormat="1" ht="12.75" x14ac:dyDescent="0.2">
      <c r="R11741" s="1288"/>
    </row>
    <row r="11742" spans="18:18" s="2" customFormat="1" ht="12.75" x14ac:dyDescent="0.2">
      <c r="R11742" s="1288"/>
    </row>
    <row r="11743" spans="18:18" s="2" customFormat="1" ht="12.75" x14ac:dyDescent="0.2">
      <c r="R11743" s="1288"/>
    </row>
    <row r="11744" spans="18:18" s="2" customFormat="1" ht="12.75" x14ac:dyDescent="0.2">
      <c r="R11744" s="1288"/>
    </row>
    <row r="11745" spans="18:18" s="2" customFormat="1" ht="12.75" x14ac:dyDescent="0.2">
      <c r="R11745" s="1288"/>
    </row>
    <row r="11746" spans="18:18" s="2" customFormat="1" ht="12.75" x14ac:dyDescent="0.2">
      <c r="R11746" s="1288"/>
    </row>
    <row r="11747" spans="18:18" s="2" customFormat="1" ht="12.75" x14ac:dyDescent="0.2">
      <c r="R11747" s="1288"/>
    </row>
    <row r="11748" spans="18:18" s="2" customFormat="1" ht="12.75" x14ac:dyDescent="0.2">
      <c r="R11748" s="1288"/>
    </row>
    <row r="11749" spans="18:18" s="2" customFormat="1" ht="12.75" x14ac:dyDescent="0.2">
      <c r="R11749" s="1288"/>
    </row>
    <row r="11750" spans="18:18" s="2" customFormat="1" ht="12.75" x14ac:dyDescent="0.2">
      <c r="R11750" s="1288"/>
    </row>
    <row r="11751" spans="18:18" s="2" customFormat="1" ht="12.75" x14ac:dyDescent="0.2">
      <c r="R11751" s="1288"/>
    </row>
    <row r="11752" spans="18:18" s="2" customFormat="1" ht="12.75" x14ac:dyDescent="0.2">
      <c r="R11752" s="1288"/>
    </row>
    <row r="11753" spans="18:18" s="2" customFormat="1" ht="12.75" x14ac:dyDescent="0.2">
      <c r="R11753" s="1288"/>
    </row>
    <row r="11754" spans="18:18" s="2" customFormat="1" ht="12.75" x14ac:dyDescent="0.2">
      <c r="R11754" s="1288"/>
    </row>
    <row r="11755" spans="18:18" s="2" customFormat="1" ht="12.75" x14ac:dyDescent="0.2">
      <c r="R11755" s="1288"/>
    </row>
    <row r="11756" spans="18:18" s="2" customFormat="1" ht="12.75" x14ac:dyDescent="0.2">
      <c r="R11756" s="1288"/>
    </row>
    <row r="11757" spans="18:18" s="2" customFormat="1" ht="12.75" x14ac:dyDescent="0.2">
      <c r="R11757" s="1288"/>
    </row>
    <row r="11758" spans="18:18" s="2" customFormat="1" ht="12.75" x14ac:dyDescent="0.2">
      <c r="R11758" s="1288"/>
    </row>
    <row r="11759" spans="18:18" s="2" customFormat="1" ht="12.75" x14ac:dyDescent="0.2">
      <c r="R11759" s="1288"/>
    </row>
    <row r="11760" spans="18:18" s="2" customFormat="1" ht="12.75" x14ac:dyDescent="0.2">
      <c r="R11760" s="1288"/>
    </row>
    <row r="11761" spans="18:18" s="2" customFormat="1" ht="12.75" x14ac:dyDescent="0.2">
      <c r="R11761" s="1288"/>
    </row>
    <row r="11762" spans="18:18" s="2" customFormat="1" ht="12.75" x14ac:dyDescent="0.2">
      <c r="R11762" s="1288"/>
    </row>
    <row r="11763" spans="18:18" s="2" customFormat="1" ht="12.75" x14ac:dyDescent="0.2">
      <c r="R11763" s="1288"/>
    </row>
    <row r="11764" spans="18:18" s="2" customFormat="1" ht="12.75" x14ac:dyDescent="0.2">
      <c r="R11764" s="1288"/>
    </row>
    <row r="11765" spans="18:18" s="2" customFormat="1" ht="12.75" x14ac:dyDescent="0.2">
      <c r="R11765" s="1288"/>
    </row>
    <row r="11766" spans="18:18" s="2" customFormat="1" ht="12.75" x14ac:dyDescent="0.2">
      <c r="R11766" s="1288"/>
    </row>
    <row r="11767" spans="18:18" s="2" customFormat="1" ht="12.75" x14ac:dyDescent="0.2">
      <c r="R11767" s="1288"/>
    </row>
    <row r="11768" spans="18:18" s="2" customFormat="1" ht="12.75" x14ac:dyDescent="0.2">
      <c r="R11768" s="1288"/>
    </row>
    <row r="11769" spans="18:18" s="2" customFormat="1" ht="12.75" x14ac:dyDescent="0.2">
      <c r="R11769" s="1288"/>
    </row>
    <row r="11770" spans="18:18" s="2" customFormat="1" ht="12.75" x14ac:dyDescent="0.2">
      <c r="R11770" s="1288"/>
    </row>
    <row r="11771" spans="18:18" s="2" customFormat="1" ht="12.75" x14ac:dyDescent="0.2">
      <c r="R11771" s="1288"/>
    </row>
    <row r="11772" spans="18:18" s="2" customFormat="1" ht="12.75" x14ac:dyDescent="0.2">
      <c r="R11772" s="1288"/>
    </row>
    <row r="11773" spans="18:18" s="2" customFormat="1" ht="12.75" x14ac:dyDescent="0.2">
      <c r="R11773" s="1288"/>
    </row>
    <row r="11774" spans="18:18" s="2" customFormat="1" ht="12.75" x14ac:dyDescent="0.2">
      <c r="R11774" s="1288"/>
    </row>
    <row r="11775" spans="18:18" s="2" customFormat="1" ht="12.75" x14ac:dyDescent="0.2">
      <c r="R11775" s="1288"/>
    </row>
    <row r="11776" spans="18:18" s="2" customFormat="1" ht="12.75" x14ac:dyDescent="0.2">
      <c r="R11776" s="1288"/>
    </row>
    <row r="11777" spans="18:18" s="2" customFormat="1" ht="12.75" x14ac:dyDescent="0.2">
      <c r="R11777" s="1288"/>
    </row>
    <row r="11778" spans="18:18" s="2" customFormat="1" ht="12.75" x14ac:dyDescent="0.2">
      <c r="R11778" s="1288"/>
    </row>
    <row r="11779" spans="18:18" s="2" customFormat="1" ht="12.75" x14ac:dyDescent="0.2">
      <c r="R11779" s="1288"/>
    </row>
    <row r="11780" spans="18:18" s="2" customFormat="1" ht="12.75" x14ac:dyDescent="0.2">
      <c r="R11780" s="1288"/>
    </row>
    <row r="11781" spans="18:18" s="2" customFormat="1" ht="12.75" x14ac:dyDescent="0.2">
      <c r="R11781" s="1288"/>
    </row>
    <row r="11782" spans="18:18" s="2" customFormat="1" ht="12.75" x14ac:dyDescent="0.2">
      <c r="R11782" s="1288"/>
    </row>
    <row r="11783" spans="18:18" s="2" customFormat="1" ht="12.75" x14ac:dyDescent="0.2">
      <c r="R11783" s="1288"/>
    </row>
    <row r="11784" spans="18:18" s="2" customFormat="1" ht="12.75" x14ac:dyDescent="0.2">
      <c r="R11784" s="1288"/>
    </row>
    <row r="11785" spans="18:18" s="2" customFormat="1" ht="12.75" x14ac:dyDescent="0.2">
      <c r="R11785" s="1288"/>
    </row>
    <row r="11786" spans="18:18" s="2" customFormat="1" ht="12.75" x14ac:dyDescent="0.2">
      <c r="R11786" s="1288"/>
    </row>
    <row r="11787" spans="18:18" s="2" customFormat="1" ht="12.75" x14ac:dyDescent="0.2">
      <c r="R11787" s="1288"/>
    </row>
    <row r="11788" spans="18:18" s="2" customFormat="1" ht="12.75" x14ac:dyDescent="0.2">
      <c r="R11788" s="1288"/>
    </row>
    <row r="11789" spans="18:18" s="2" customFormat="1" ht="12.75" x14ac:dyDescent="0.2">
      <c r="R11789" s="1288"/>
    </row>
    <row r="11790" spans="18:18" s="2" customFormat="1" ht="12.75" x14ac:dyDescent="0.2">
      <c r="R11790" s="1288"/>
    </row>
    <row r="11791" spans="18:18" s="2" customFormat="1" ht="12.75" x14ac:dyDescent="0.2">
      <c r="R11791" s="1288"/>
    </row>
    <row r="11792" spans="18:18" s="2" customFormat="1" ht="12.75" x14ac:dyDescent="0.2">
      <c r="R11792" s="1288"/>
    </row>
    <row r="11793" spans="18:18" s="2" customFormat="1" ht="12.75" x14ac:dyDescent="0.2">
      <c r="R11793" s="1288"/>
    </row>
    <row r="11794" spans="18:18" s="2" customFormat="1" ht="12.75" x14ac:dyDescent="0.2">
      <c r="R11794" s="1288"/>
    </row>
    <row r="11795" spans="18:18" s="2" customFormat="1" ht="12.75" x14ac:dyDescent="0.2">
      <c r="R11795" s="1288"/>
    </row>
    <row r="11796" spans="18:18" s="2" customFormat="1" ht="12.75" x14ac:dyDescent="0.2">
      <c r="R11796" s="1288"/>
    </row>
    <row r="11797" spans="18:18" s="2" customFormat="1" ht="12.75" x14ac:dyDescent="0.2">
      <c r="R11797" s="1288"/>
    </row>
    <row r="11798" spans="18:18" s="2" customFormat="1" ht="12.75" x14ac:dyDescent="0.2">
      <c r="R11798" s="1288"/>
    </row>
    <row r="11799" spans="18:18" s="2" customFormat="1" ht="12.75" x14ac:dyDescent="0.2">
      <c r="R11799" s="1288"/>
    </row>
    <row r="11800" spans="18:18" s="2" customFormat="1" ht="12.75" x14ac:dyDescent="0.2">
      <c r="R11800" s="1288"/>
    </row>
    <row r="11801" spans="18:18" s="2" customFormat="1" ht="12.75" x14ac:dyDescent="0.2">
      <c r="R11801" s="1288"/>
    </row>
    <row r="11802" spans="18:18" s="2" customFormat="1" ht="12.75" x14ac:dyDescent="0.2">
      <c r="R11802" s="1288"/>
    </row>
    <row r="11803" spans="18:18" s="2" customFormat="1" ht="12.75" x14ac:dyDescent="0.2">
      <c r="R11803" s="1288"/>
    </row>
    <row r="11804" spans="18:18" s="2" customFormat="1" ht="12.75" x14ac:dyDescent="0.2">
      <c r="R11804" s="1288"/>
    </row>
    <row r="11805" spans="18:18" s="2" customFormat="1" ht="12.75" x14ac:dyDescent="0.2">
      <c r="R11805" s="1288"/>
    </row>
    <row r="11806" spans="18:18" s="2" customFormat="1" ht="12.75" x14ac:dyDescent="0.2">
      <c r="R11806" s="1288"/>
    </row>
    <row r="11807" spans="18:18" s="2" customFormat="1" ht="12.75" x14ac:dyDescent="0.2">
      <c r="R11807" s="1288"/>
    </row>
    <row r="11808" spans="18:18" s="2" customFormat="1" ht="12.75" x14ac:dyDescent="0.2">
      <c r="R11808" s="1288"/>
    </row>
    <row r="11809" spans="18:18" s="2" customFormat="1" ht="12.75" x14ac:dyDescent="0.2">
      <c r="R11809" s="1288"/>
    </row>
    <row r="11810" spans="18:18" s="2" customFormat="1" ht="12.75" x14ac:dyDescent="0.2">
      <c r="R11810" s="1288"/>
    </row>
    <row r="11811" spans="18:18" s="2" customFormat="1" ht="12.75" x14ac:dyDescent="0.2">
      <c r="R11811" s="1288"/>
    </row>
    <row r="11812" spans="18:18" s="2" customFormat="1" ht="12.75" x14ac:dyDescent="0.2">
      <c r="R11812" s="1288"/>
    </row>
    <row r="11813" spans="18:18" s="2" customFormat="1" ht="12.75" x14ac:dyDescent="0.2">
      <c r="R11813" s="1288"/>
    </row>
    <row r="11814" spans="18:18" s="2" customFormat="1" ht="12.75" x14ac:dyDescent="0.2">
      <c r="R11814" s="1288"/>
    </row>
    <row r="11815" spans="18:18" s="2" customFormat="1" ht="12.75" x14ac:dyDescent="0.2">
      <c r="R11815" s="1288"/>
    </row>
    <row r="11816" spans="18:18" s="2" customFormat="1" ht="12.75" x14ac:dyDescent="0.2">
      <c r="R11816" s="1288"/>
    </row>
    <row r="11817" spans="18:18" s="2" customFormat="1" ht="12.75" x14ac:dyDescent="0.2">
      <c r="R11817" s="1288"/>
    </row>
    <row r="11818" spans="18:18" s="2" customFormat="1" ht="12.75" x14ac:dyDescent="0.2">
      <c r="R11818" s="1288"/>
    </row>
    <row r="11819" spans="18:18" s="2" customFormat="1" ht="12.75" x14ac:dyDescent="0.2">
      <c r="R11819" s="1288"/>
    </row>
    <row r="11820" spans="18:18" s="2" customFormat="1" ht="12.75" x14ac:dyDescent="0.2">
      <c r="R11820" s="1288"/>
    </row>
    <row r="11821" spans="18:18" s="2" customFormat="1" ht="12.75" x14ac:dyDescent="0.2">
      <c r="R11821" s="1288"/>
    </row>
    <row r="11822" spans="18:18" s="2" customFormat="1" ht="12.75" x14ac:dyDescent="0.2">
      <c r="R11822" s="1288"/>
    </row>
    <row r="11823" spans="18:18" s="2" customFormat="1" ht="12.75" x14ac:dyDescent="0.2">
      <c r="R11823" s="1288"/>
    </row>
    <row r="11824" spans="18:18" s="2" customFormat="1" ht="12.75" x14ac:dyDescent="0.2">
      <c r="R11824" s="1288"/>
    </row>
    <row r="11825" spans="18:18" s="2" customFormat="1" ht="12.75" x14ac:dyDescent="0.2">
      <c r="R11825" s="1288"/>
    </row>
    <row r="11826" spans="18:18" s="2" customFormat="1" ht="12.75" x14ac:dyDescent="0.2">
      <c r="R11826" s="1288"/>
    </row>
    <row r="11827" spans="18:18" s="2" customFormat="1" ht="12.75" x14ac:dyDescent="0.2">
      <c r="R11827" s="1288"/>
    </row>
    <row r="11828" spans="18:18" s="2" customFormat="1" ht="12.75" x14ac:dyDescent="0.2">
      <c r="R11828" s="1288"/>
    </row>
    <row r="11829" spans="18:18" s="2" customFormat="1" ht="12.75" x14ac:dyDescent="0.2">
      <c r="R11829" s="1288"/>
    </row>
    <row r="11830" spans="18:18" s="2" customFormat="1" ht="12.75" x14ac:dyDescent="0.2">
      <c r="R11830" s="1288"/>
    </row>
    <row r="11831" spans="18:18" s="2" customFormat="1" ht="12.75" x14ac:dyDescent="0.2">
      <c r="R11831" s="1288"/>
    </row>
    <row r="11832" spans="18:18" s="2" customFormat="1" ht="12.75" x14ac:dyDescent="0.2">
      <c r="R11832" s="1288"/>
    </row>
    <row r="11833" spans="18:18" s="2" customFormat="1" ht="12.75" x14ac:dyDescent="0.2">
      <c r="R11833" s="1288"/>
    </row>
    <row r="11834" spans="18:18" s="2" customFormat="1" ht="12.75" x14ac:dyDescent="0.2">
      <c r="R11834" s="1288"/>
    </row>
    <row r="11835" spans="18:18" s="2" customFormat="1" ht="12.75" x14ac:dyDescent="0.2">
      <c r="R11835" s="1288"/>
    </row>
    <row r="11836" spans="18:18" s="2" customFormat="1" ht="12.75" x14ac:dyDescent="0.2">
      <c r="R11836" s="1288"/>
    </row>
    <row r="11837" spans="18:18" s="2" customFormat="1" ht="12.75" x14ac:dyDescent="0.2">
      <c r="R11837" s="1288"/>
    </row>
    <row r="11838" spans="18:18" s="2" customFormat="1" ht="12.75" x14ac:dyDescent="0.2">
      <c r="R11838" s="1288"/>
    </row>
    <row r="11839" spans="18:18" s="2" customFormat="1" ht="12.75" x14ac:dyDescent="0.2">
      <c r="R11839" s="1288"/>
    </row>
    <row r="11840" spans="18:18" s="2" customFormat="1" ht="12.75" x14ac:dyDescent="0.2">
      <c r="R11840" s="1288"/>
    </row>
    <row r="11841" spans="18:18" s="2" customFormat="1" ht="12.75" x14ac:dyDescent="0.2">
      <c r="R11841" s="1288"/>
    </row>
    <row r="11842" spans="18:18" s="2" customFormat="1" ht="12.75" x14ac:dyDescent="0.2">
      <c r="R11842" s="1288"/>
    </row>
    <row r="11843" spans="18:18" s="2" customFormat="1" ht="12.75" x14ac:dyDescent="0.2">
      <c r="R11843" s="1288"/>
    </row>
    <row r="11844" spans="18:18" s="2" customFormat="1" ht="12.75" x14ac:dyDescent="0.2">
      <c r="R11844" s="1288"/>
    </row>
    <row r="11845" spans="18:18" s="2" customFormat="1" ht="12.75" x14ac:dyDescent="0.2">
      <c r="R11845" s="1288"/>
    </row>
    <row r="11846" spans="18:18" s="2" customFormat="1" ht="12.75" x14ac:dyDescent="0.2">
      <c r="R11846" s="1288"/>
    </row>
    <row r="11847" spans="18:18" s="2" customFormat="1" ht="12.75" x14ac:dyDescent="0.2">
      <c r="R11847" s="1288"/>
    </row>
    <row r="11848" spans="18:18" s="2" customFormat="1" ht="12.75" x14ac:dyDescent="0.2">
      <c r="R11848" s="1288"/>
    </row>
    <row r="11849" spans="18:18" s="2" customFormat="1" ht="12.75" x14ac:dyDescent="0.2">
      <c r="R11849" s="1288"/>
    </row>
    <row r="11850" spans="18:18" s="2" customFormat="1" ht="12.75" x14ac:dyDescent="0.2">
      <c r="R11850" s="1288"/>
    </row>
    <row r="11851" spans="18:18" s="2" customFormat="1" ht="12.75" x14ac:dyDescent="0.2">
      <c r="R11851" s="1288"/>
    </row>
    <row r="11852" spans="18:18" s="2" customFormat="1" ht="12.75" x14ac:dyDescent="0.2">
      <c r="R11852" s="1288"/>
    </row>
    <row r="11853" spans="18:18" s="2" customFormat="1" ht="12.75" x14ac:dyDescent="0.2">
      <c r="R11853" s="1288"/>
    </row>
    <row r="11854" spans="18:18" s="2" customFormat="1" ht="12.75" x14ac:dyDescent="0.2">
      <c r="R11854" s="1288"/>
    </row>
    <row r="11855" spans="18:18" s="2" customFormat="1" ht="12.75" x14ac:dyDescent="0.2">
      <c r="R11855" s="1288"/>
    </row>
    <row r="11856" spans="18:18" s="2" customFormat="1" ht="12.75" x14ac:dyDescent="0.2">
      <c r="R11856" s="1288"/>
    </row>
    <row r="11857" spans="18:18" s="2" customFormat="1" ht="12.75" x14ac:dyDescent="0.2">
      <c r="R11857" s="1288"/>
    </row>
    <row r="11858" spans="18:18" s="2" customFormat="1" ht="12.75" x14ac:dyDescent="0.2">
      <c r="R11858" s="1288"/>
    </row>
    <row r="11859" spans="18:18" s="2" customFormat="1" ht="12.75" x14ac:dyDescent="0.2">
      <c r="R11859" s="1288"/>
    </row>
    <row r="11860" spans="18:18" s="2" customFormat="1" ht="12.75" x14ac:dyDescent="0.2">
      <c r="R11860" s="1288"/>
    </row>
    <row r="11861" spans="18:18" s="2" customFormat="1" ht="12.75" x14ac:dyDescent="0.2">
      <c r="R11861" s="1288"/>
    </row>
    <row r="11862" spans="18:18" s="2" customFormat="1" ht="12.75" x14ac:dyDescent="0.2">
      <c r="R11862" s="1288"/>
    </row>
    <row r="11863" spans="18:18" s="2" customFormat="1" ht="12.75" x14ac:dyDescent="0.2">
      <c r="R11863" s="1288"/>
    </row>
    <row r="11864" spans="18:18" s="2" customFormat="1" ht="12.75" x14ac:dyDescent="0.2">
      <c r="R11864" s="1288"/>
    </row>
    <row r="11865" spans="18:18" s="2" customFormat="1" ht="12.75" x14ac:dyDescent="0.2">
      <c r="R11865" s="1288"/>
    </row>
    <row r="11866" spans="18:18" s="2" customFormat="1" ht="12.75" x14ac:dyDescent="0.2">
      <c r="R11866" s="1288"/>
    </row>
    <row r="11867" spans="18:18" s="2" customFormat="1" ht="12.75" x14ac:dyDescent="0.2">
      <c r="R11867" s="1288"/>
    </row>
    <row r="11868" spans="18:18" s="2" customFormat="1" ht="12.75" x14ac:dyDescent="0.2">
      <c r="R11868" s="1288"/>
    </row>
    <row r="11869" spans="18:18" s="2" customFormat="1" ht="12.75" x14ac:dyDescent="0.2">
      <c r="R11869" s="1288"/>
    </row>
    <row r="11870" spans="18:18" s="2" customFormat="1" ht="12.75" x14ac:dyDescent="0.2">
      <c r="R11870" s="1288"/>
    </row>
    <row r="11871" spans="18:18" s="2" customFormat="1" ht="12.75" x14ac:dyDescent="0.2">
      <c r="R11871" s="1288"/>
    </row>
    <row r="11872" spans="18:18" s="2" customFormat="1" ht="12.75" x14ac:dyDescent="0.2">
      <c r="R11872" s="1288"/>
    </row>
    <row r="11873" spans="18:18" s="2" customFormat="1" ht="12.75" x14ac:dyDescent="0.2">
      <c r="R11873" s="1288"/>
    </row>
    <row r="11874" spans="18:18" s="2" customFormat="1" ht="12.75" x14ac:dyDescent="0.2">
      <c r="R11874" s="1288"/>
    </row>
    <row r="11875" spans="18:18" s="2" customFormat="1" ht="12.75" x14ac:dyDescent="0.2">
      <c r="R11875" s="1288"/>
    </row>
    <row r="11876" spans="18:18" s="2" customFormat="1" ht="12.75" x14ac:dyDescent="0.2">
      <c r="R11876" s="1288"/>
    </row>
    <row r="11877" spans="18:18" s="2" customFormat="1" ht="12.75" x14ac:dyDescent="0.2">
      <c r="R11877" s="1288"/>
    </row>
    <row r="11878" spans="18:18" s="2" customFormat="1" ht="12.75" x14ac:dyDescent="0.2">
      <c r="R11878" s="1288"/>
    </row>
    <row r="11879" spans="18:18" s="2" customFormat="1" ht="12.75" x14ac:dyDescent="0.2">
      <c r="R11879" s="1288"/>
    </row>
    <row r="11880" spans="18:18" s="2" customFormat="1" ht="12.75" x14ac:dyDescent="0.2">
      <c r="R11880" s="1288"/>
    </row>
    <row r="11881" spans="18:18" s="2" customFormat="1" ht="12.75" x14ac:dyDescent="0.2">
      <c r="R11881" s="1288"/>
    </row>
    <row r="11882" spans="18:18" s="2" customFormat="1" ht="12.75" x14ac:dyDescent="0.2">
      <c r="R11882" s="1288"/>
    </row>
    <row r="11883" spans="18:18" s="2" customFormat="1" ht="12.75" x14ac:dyDescent="0.2">
      <c r="R11883" s="1288"/>
    </row>
    <row r="11884" spans="18:18" s="2" customFormat="1" ht="12.75" x14ac:dyDescent="0.2">
      <c r="R11884" s="1288"/>
    </row>
    <row r="11885" spans="18:18" s="2" customFormat="1" ht="12.75" x14ac:dyDescent="0.2">
      <c r="R11885" s="1288"/>
    </row>
    <row r="11886" spans="18:18" s="2" customFormat="1" ht="12.75" x14ac:dyDescent="0.2">
      <c r="R11886" s="1288"/>
    </row>
    <row r="11887" spans="18:18" s="2" customFormat="1" ht="12.75" x14ac:dyDescent="0.2">
      <c r="R11887" s="1288"/>
    </row>
    <row r="11888" spans="18:18" s="2" customFormat="1" ht="12.75" x14ac:dyDescent="0.2">
      <c r="R11888" s="1288"/>
    </row>
    <row r="11889" spans="18:18" s="2" customFormat="1" ht="12.75" x14ac:dyDescent="0.2">
      <c r="R11889" s="1288"/>
    </row>
    <row r="11890" spans="18:18" s="2" customFormat="1" ht="12.75" x14ac:dyDescent="0.2">
      <c r="R11890" s="1288"/>
    </row>
    <row r="11891" spans="18:18" s="2" customFormat="1" ht="12.75" x14ac:dyDescent="0.2">
      <c r="R11891" s="1288"/>
    </row>
    <row r="11892" spans="18:18" s="2" customFormat="1" ht="12.75" x14ac:dyDescent="0.2">
      <c r="R11892" s="1288"/>
    </row>
    <row r="11893" spans="18:18" s="2" customFormat="1" ht="12.75" x14ac:dyDescent="0.2">
      <c r="R11893" s="1288"/>
    </row>
    <row r="11894" spans="18:18" s="2" customFormat="1" ht="12.75" x14ac:dyDescent="0.2">
      <c r="R11894" s="1288"/>
    </row>
    <row r="11895" spans="18:18" s="2" customFormat="1" ht="12.75" x14ac:dyDescent="0.2">
      <c r="R11895" s="1288"/>
    </row>
    <row r="11896" spans="18:18" s="2" customFormat="1" ht="12.75" x14ac:dyDescent="0.2">
      <c r="R11896" s="1288"/>
    </row>
    <row r="11897" spans="18:18" s="2" customFormat="1" ht="12.75" x14ac:dyDescent="0.2">
      <c r="R11897" s="1288"/>
    </row>
    <row r="11898" spans="18:18" s="2" customFormat="1" ht="12.75" x14ac:dyDescent="0.2">
      <c r="R11898" s="1288"/>
    </row>
    <row r="11899" spans="18:18" s="2" customFormat="1" ht="12.75" x14ac:dyDescent="0.2">
      <c r="R11899" s="1288"/>
    </row>
    <row r="11900" spans="18:18" s="2" customFormat="1" ht="12.75" x14ac:dyDescent="0.2">
      <c r="R11900" s="1288"/>
    </row>
    <row r="11901" spans="18:18" s="2" customFormat="1" ht="12.75" x14ac:dyDescent="0.2">
      <c r="R11901" s="1288"/>
    </row>
    <row r="11902" spans="18:18" s="2" customFormat="1" ht="12.75" x14ac:dyDescent="0.2">
      <c r="R11902" s="1288"/>
    </row>
    <row r="11903" spans="18:18" s="2" customFormat="1" ht="12.75" x14ac:dyDescent="0.2">
      <c r="R11903" s="1288"/>
    </row>
    <row r="11904" spans="18:18" s="2" customFormat="1" ht="12.75" x14ac:dyDescent="0.2">
      <c r="R11904" s="1288"/>
    </row>
    <row r="11905" spans="18:18" s="2" customFormat="1" ht="12.75" x14ac:dyDescent="0.2">
      <c r="R11905" s="1288"/>
    </row>
    <row r="11906" spans="18:18" s="2" customFormat="1" ht="12.75" x14ac:dyDescent="0.2">
      <c r="R11906" s="1288"/>
    </row>
    <row r="11907" spans="18:18" s="2" customFormat="1" ht="12.75" x14ac:dyDescent="0.2">
      <c r="R11907" s="1288"/>
    </row>
    <row r="11908" spans="18:18" s="2" customFormat="1" ht="12.75" x14ac:dyDescent="0.2">
      <c r="R11908" s="1288"/>
    </row>
    <row r="11909" spans="18:18" s="2" customFormat="1" ht="12.75" x14ac:dyDescent="0.2">
      <c r="R11909" s="1288"/>
    </row>
    <row r="11910" spans="18:18" s="2" customFormat="1" ht="12.75" x14ac:dyDescent="0.2">
      <c r="R11910" s="1288"/>
    </row>
    <row r="11911" spans="18:18" s="2" customFormat="1" ht="12.75" x14ac:dyDescent="0.2">
      <c r="R11911" s="1288"/>
    </row>
    <row r="11912" spans="18:18" s="2" customFormat="1" ht="12.75" x14ac:dyDescent="0.2">
      <c r="R11912" s="1288"/>
    </row>
    <row r="11913" spans="18:18" s="2" customFormat="1" ht="12.75" x14ac:dyDescent="0.2">
      <c r="R11913" s="1288"/>
    </row>
    <row r="11914" spans="18:18" s="2" customFormat="1" ht="12.75" x14ac:dyDescent="0.2">
      <c r="R11914" s="1288"/>
    </row>
    <row r="11915" spans="18:18" s="2" customFormat="1" ht="12.75" x14ac:dyDescent="0.2">
      <c r="R11915" s="1288"/>
    </row>
    <row r="11916" spans="18:18" s="2" customFormat="1" ht="12.75" x14ac:dyDescent="0.2">
      <c r="R11916" s="1288"/>
    </row>
    <row r="11917" spans="18:18" s="2" customFormat="1" ht="12.75" x14ac:dyDescent="0.2">
      <c r="R11917" s="1288"/>
    </row>
    <row r="11918" spans="18:18" s="2" customFormat="1" ht="12.75" x14ac:dyDescent="0.2">
      <c r="R11918" s="1288"/>
    </row>
    <row r="11919" spans="18:18" s="2" customFormat="1" ht="12.75" x14ac:dyDescent="0.2">
      <c r="R11919" s="1288"/>
    </row>
    <row r="11920" spans="18:18" s="2" customFormat="1" ht="12.75" x14ac:dyDescent="0.2">
      <c r="R11920" s="1288"/>
    </row>
    <row r="11921" spans="18:18" s="2" customFormat="1" ht="12.75" x14ac:dyDescent="0.2">
      <c r="R11921" s="1288"/>
    </row>
    <row r="11922" spans="18:18" s="2" customFormat="1" ht="12.75" x14ac:dyDescent="0.2">
      <c r="R11922" s="1288"/>
    </row>
    <row r="11923" spans="18:18" s="2" customFormat="1" ht="12.75" x14ac:dyDescent="0.2">
      <c r="R11923" s="1288"/>
    </row>
    <row r="11924" spans="18:18" s="2" customFormat="1" ht="12.75" x14ac:dyDescent="0.2">
      <c r="R11924" s="1288"/>
    </row>
    <row r="11925" spans="18:18" s="2" customFormat="1" ht="12.75" x14ac:dyDescent="0.2">
      <c r="R11925" s="1288"/>
    </row>
    <row r="11926" spans="18:18" s="2" customFormat="1" ht="12.75" x14ac:dyDescent="0.2">
      <c r="R11926" s="1288"/>
    </row>
    <row r="11927" spans="18:18" s="2" customFormat="1" ht="12.75" x14ac:dyDescent="0.2">
      <c r="R11927" s="1288"/>
    </row>
    <row r="11928" spans="18:18" s="2" customFormat="1" ht="12.75" x14ac:dyDescent="0.2">
      <c r="R11928" s="1288"/>
    </row>
    <row r="11929" spans="18:18" s="2" customFormat="1" ht="12.75" x14ac:dyDescent="0.2">
      <c r="R11929" s="1288"/>
    </row>
    <row r="11930" spans="18:18" s="2" customFormat="1" ht="12.75" x14ac:dyDescent="0.2">
      <c r="R11930" s="1288"/>
    </row>
    <row r="11931" spans="18:18" s="2" customFormat="1" ht="12.75" x14ac:dyDescent="0.2">
      <c r="R11931" s="1288"/>
    </row>
    <row r="11932" spans="18:18" s="2" customFormat="1" ht="12.75" x14ac:dyDescent="0.2">
      <c r="R11932" s="1288"/>
    </row>
    <row r="11933" spans="18:18" s="2" customFormat="1" ht="12.75" x14ac:dyDescent="0.2">
      <c r="R11933" s="1288"/>
    </row>
    <row r="11934" spans="18:18" s="2" customFormat="1" ht="12.75" x14ac:dyDescent="0.2">
      <c r="R11934" s="1288"/>
    </row>
    <row r="11935" spans="18:18" s="2" customFormat="1" ht="12.75" x14ac:dyDescent="0.2">
      <c r="R11935" s="1288"/>
    </row>
    <row r="11936" spans="18:18" s="2" customFormat="1" ht="12.75" x14ac:dyDescent="0.2">
      <c r="R11936" s="1288"/>
    </row>
    <row r="11937" spans="18:18" s="2" customFormat="1" ht="12.75" x14ac:dyDescent="0.2">
      <c r="R11937" s="1288"/>
    </row>
    <row r="11938" spans="18:18" s="2" customFormat="1" ht="12.75" x14ac:dyDescent="0.2">
      <c r="R11938" s="1288"/>
    </row>
    <row r="11939" spans="18:18" s="2" customFormat="1" ht="12.75" x14ac:dyDescent="0.2">
      <c r="R11939" s="1288"/>
    </row>
    <row r="11940" spans="18:18" s="2" customFormat="1" ht="12.75" x14ac:dyDescent="0.2">
      <c r="R11940" s="1288"/>
    </row>
    <row r="11941" spans="18:18" s="2" customFormat="1" ht="12.75" x14ac:dyDescent="0.2">
      <c r="R11941" s="1288"/>
    </row>
    <row r="11942" spans="18:18" s="2" customFormat="1" ht="12.75" x14ac:dyDescent="0.2">
      <c r="R11942" s="1288"/>
    </row>
    <row r="11943" spans="18:18" s="2" customFormat="1" ht="12.75" x14ac:dyDescent="0.2">
      <c r="R11943" s="1288"/>
    </row>
    <row r="11944" spans="18:18" s="2" customFormat="1" ht="12.75" x14ac:dyDescent="0.2">
      <c r="R11944" s="1288"/>
    </row>
    <row r="11945" spans="18:18" s="2" customFormat="1" ht="12.75" x14ac:dyDescent="0.2">
      <c r="R11945" s="1288"/>
    </row>
    <row r="11946" spans="18:18" s="2" customFormat="1" ht="12.75" x14ac:dyDescent="0.2">
      <c r="R11946" s="1288"/>
    </row>
    <row r="11947" spans="18:18" s="2" customFormat="1" ht="12.75" x14ac:dyDescent="0.2">
      <c r="R11947" s="1288"/>
    </row>
    <row r="11948" spans="18:18" s="2" customFormat="1" ht="12.75" x14ac:dyDescent="0.2">
      <c r="R11948" s="1288"/>
    </row>
    <row r="11949" spans="18:18" s="2" customFormat="1" ht="12.75" x14ac:dyDescent="0.2">
      <c r="R11949" s="1288"/>
    </row>
    <row r="11950" spans="18:18" s="2" customFormat="1" ht="12.75" x14ac:dyDescent="0.2">
      <c r="R11950" s="1288"/>
    </row>
    <row r="11951" spans="18:18" s="2" customFormat="1" ht="12.75" x14ac:dyDescent="0.2">
      <c r="R11951" s="1288"/>
    </row>
    <row r="11952" spans="18:18" s="2" customFormat="1" ht="12.75" x14ac:dyDescent="0.2">
      <c r="R11952" s="1288"/>
    </row>
    <row r="11953" spans="18:18" s="2" customFormat="1" ht="12.75" x14ac:dyDescent="0.2">
      <c r="R11953" s="1288"/>
    </row>
    <row r="11954" spans="18:18" s="2" customFormat="1" ht="12.75" x14ac:dyDescent="0.2">
      <c r="R11954" s="1288"/>
    </row>
    <row r="11955" spans="18:18" s="2" customFormat="1" ht="12.75" x14ac:dyDescent="0.2">
      <c r="R11955" s="1288"/>
    </row>
    <row r="11956" spans="18:18" s="2" customFormat="1" ht="12.75" x14ac:dyDescent="0.2">
      <c r="R11956" s="1288"/>
    </row>
    <row r="11957" spans="18:18" s="2" customFormat="1" ht="12.75" x14ac:dyDescent="0.2">
      <c r="R11957" s="1288"/>
    </row>
    <row r="11958" spans="18:18" s="2" customFormat="1" ht="12.75" x14ac:dyDescent="0.2">
      <c r="R11958" s="1288"/>
    </row>
    <row r="11959" spans="18:18" s="2" customFormat="1" ht="12.75" x14ac:dyDescent="0.2">
      <c r="R11959" s="1288"/>
    </row>
    <row r="11960" spans="18:18" s="2" customFormat="1" ht="12.75" x14ac:dyDescent="0.2">
      <c r="R11960" s="1288"/>
    </row>
    <row r="11961" spans="18:18" s="2" customFormat="1" ht="12.75" x14ac:dyDescent="0.2">
      <c r="R11961" s="1288"/>
    </row>
    <row r="11962" spans="18:18" s="2" customFormat="1" ht="12.75" x14ac:dyDescent="0.2">
      <c r="R11962" s="1288"/>
    </row>
    <row r="11963" spans="18:18" s="2" customFormat="1" ht="12.75" x14ac:dyDescent="0.2">
      <c r="R11963" s="1288"/>
    </row>
    <row r="11964" spans="18:18" s="2" customFormat="1" ht="12.75" x14ac:dyDescent="0.2">
      <c r="R11964" s="1288"/>
    </row>
    <row r="11965" spans="18:18" s="2" customFormat="1" ht="12.75" x14ac:dyDescent="0.2">
      <c r="R11965" s="1288"/>
    </row>
    <row r="11966" spans="18:18" s="2" customFormat="1" ht="12.75" x14ac:dyDescent="0.2">
      <c r="R11966" s="1288"/>
    </row>
    <row r="11967" spans="18:18" s="2" customFormat="1" ht="12.75" x14ac:dyDescent="0.2">
      <c r="R11967" s="1288"/>
    </row>
    <row r="11968" spans="18:18" s="2" customFormat="1" ht="12.75" x14ac:dyDescent="0.2">
      <c r="R11968" s="1288"/>
    </row>
    <row r="11969" spans="18:18" s="2" customFormat="1" ht="12.75" x14ac:dyDescent="0.2">
      <c r="R11969" s="1288"/>
    </row>
    <row r="11970" spans="18:18" s="2" customFormat="1" ht="12.75" x14ac:dyDescent="0.2">
      <c r="R11970" s="1288"/>
    </row>
    <row r="11971" spans="18:18" s="2" customFormat="1" ht="12.75" x14ac:dyDescent="0.2">
      <c r="R11971" s="1288"/>
    </row>
    <row r="11972" spans="18:18" s="2" customFormat="1" ht="12.75" x14ac:dyDescent="0.2">
      <c r="R11972" s="1288"/>
    </row>
    <row r="11973" spans="18:18" s="2" customFormat="1" ht="12.75" x14ac:dyDescent="0.2">
      <c r="R11973" s="1288"/>
    </row>
    <row r="11974" spans="18:18" s="2" customFormat="1" ht="12.75" x14ac:dyDescent="0.2">
      <c r="R11974" s="1288"/>
    </row>
    <row r="11975" spans="18:18" s="2" customFormat="1" ht="12.75" x14ac:dyDescent="0.2">
      <c r="R11975" s="1288"/>
    </row>
    <row r="11976" spans="18:18" s="2" customFormat="1" ht="12.75" x14ac:dyDescent="0.2">
      <c r="R11976" s="1288"/>
    </row>
    <row r="11977" spans="18:18" s="2" customFormat="1" ht="12.75" x14ac:dyDescent="0.2">
      <c r="R11977" s="1288"/>
    </row>
    <row r="11978" spans="18:18" s="2" customFormat="1" ht="12.75" x14ac:dyDescent="0.2">
      <c r="R11978" s="1288"/>
    </row>
    <row r="11979" spans="18:18" s="2" customFormat="1" ht="12.75" x14ac:dyDescent="0.2">
      <c r="R11979" s="1288"/>
    </row>
    <row r="11980" spans="18:18" s="2" customFormat="1" ht="12.75" x14ac:dyDescent="0.2">
      <c r="R11980" s="1288"/>
    </row>
    <row r="11981" spans="18:18" s="2" customFormat="1" ht="12.75" x14ac:dyDescent="0.2">
      <c r="R11981" s="1288"/>
    </row>
    <row r="11982" spans="18:18" s="2" customFormat="1" ht="12.75" x14ac:dyDescent="0.2">
      <c r="R11982" s="1288"/>
    </row>
    <row r="11983" spans="18:18" s="2" customFormat="1" ht="12.75" x14ac:dyDescent="0.2">
      <c r="R11983" s="1288"/>
    </row>
    <row r="11984" spans="18:18" s="2" customFormat="1" ht="12.75" x14ac:dyDescent="0.2">
      <c r="R11984" s="1288"/>
    </row>
    <row r="11985" spans="18:18" s="2" customFormat="1" ht="12.75" x14ac:dyDescent="0.2">
      <c r="R11985" s="1288"/>
    </row>
    <row r="11986" spans="18:18" s="2" customFormat="1" ht="12.75" x14ac:dyDescent="0.2">
      <c r="R11986" s="1288"/>
    </row>
    <row r="11987" spans="18:18" s="2" customFormat="1" ht="12.75" x14ac:dyDescent="0.2">
      <c r="R11987" s="1288"/>
    </row>
    <row r="11988" spans="18:18" s="2" customFormat="1" ht="12.75" x14ac:dyDescent="0.2">
      <c r="R11988" s="1288"/>
    </row>
    <row r="11989" spans="18:18" s="2" customFormat="1" ht="12.75" x14ac:dyDescent="0.2">
      <c r="R11989" s="1288"/>
    </row>
    <row r="11990" spans="18:18" s="2" customFormat="1" ht="12.75" x14ac:dyDescent="0.2">
      <c r="R11990" s="1288"/>
    </row>
    <row r="11991" spans="18:18" s="2" customFormat="1" ht="12.75" x14ac:dyDescent="0.2">
      <c r="R11991" s="1288"/>
    </row>
    <row r="11992" spans="18:18" s="2" customFormat="1" ht="12.75" x14ac:dyDescent="0.2">
      <c r="R11992" s="1288"/>
    </row>
    <row r="11993" spans="18:18" s="2" customFormat="1" ht="12.75" x14ac:dyDescent="0.2">
      <c r="R11993" s="1288"/>
    </row>
    <row r="11994" spans="18:18" s="2" customFormat="1" ht="12.75" x14ac:dyDescent="0.2">
      <c r="R11994" s="1288"/>
    </row>
    <row r="11995" spans="18:18" s="2" customFormat="1" ht="12.75" x14ac:dyDescent="0.2">
      <c r="R11995" s="1288"/>
    </row>
    <row r="11996" spans="18:18" s="2" customFormat="1" ht="12.75" x14ac:dyDescent="0.2">
      <c r="R11996" s="1288"/>
    </row>
    <row r="11997" spans="18:18" s="2" customFormat="1" ht="12.75" x14ac:dyDescent="0.2">
      <c r="R11997" s="1288"/>
    </row>
    <row r="11998" spans="18:18" s="2" customFormat="1" ht="12.75" x14ac:dyDescent="0.2">
      <c r="R11998" s="1288"/>
    </row>
    <row r="11999" spans="18:18" s="2" customFormat="1" ht="12.75" x14ac:dyDescent="0.2">
      <c r="R11999" s="1288"/>
    </row>
    <row r="12000" spans="18:18" s="2" customFormat="1" ht="12.75" x14ac:dyDescent="0.2">
      <c r="R12000" s="1288"/>
    </row>
    <row r="12001" spans="18:18" s="2" customFormat="1" ht="12.75" x14ac:dyDescent="0.2">
      <c r="R12001" s="1288"/>
    </row>
    <row r="12002" spans="18:18" s="2" customFormat="1" ht="12.75" x14ac:dyDescent="0.2">
      <c r="R12002" s="1288"/>
    </row>
    <row r="12003" spans="18:18" s="2" customFormat="1" ht="12.75" x14ac:dyDescent="0.2">
      <c r="R12003" s="1288"/>
    </row>
    <row r="12004" spans="18:18" s="2" customFormat="1" ht="12.75" x14ac:dyDescent="0.2">
      <c r="R12004" s="1288"/>
    </row>
    <row r="12005" spans="18:18" s="2" customFormat="1" ht="12.75" x14ac:dyDescent="0.2">
      <c r="R12005" s="1288"/>
    </row>
    <row r="12006" spans="18:18" s="2" customFormat="1" ht="12.75" x14ac:dyDescent="0.2">
      <c r="R12006" s="1288"/>
    </row>
    <row r="12007" spans="18:18" s="2" customFormat="1" ht="12.75" x14ac:dyDescent="0.2">
      <c r="R12007" s="1288"/>
    </row>
    <row r="12008" spans="18:18" s="2" customFormat="1" ht="12.75" x14ac:dyDescent="0.2">
      <c r="R12008" s="1288"/>
    </row>
    <row r="12009" spans="18:18" s="2" customFormat="1" ht="12.75" x14ac:dyDescent="0.2">
      <c r="R12009" s="1288"/>
    </row>
    <row r="12010" spans="18:18" s="2" customFormat="1" ht="12.75" x14ac:dyDescent="0.2">
      <c r="R12010" s="1288"/>
    </row>
    <row r="12011" spans="18:18" s="2" customFormat="1" ht="12.75" x14ac:dyDescent="0.2">
      <c r="R12011" s="1288"/>
    </row>
    <row r="12012" spans="18:18" s="2" customFormat="1" ht="12.75" x14ac:dyDescent="0.2">
      <c r="R12012" s="1288"/>
    </row>
    <row r="12013" spans="18:18" s="2" customFormat="1" ht="12.75" x14ac:dyDescent="0.2">
      <c r="R12013" s="1288"/>
    </row>
    <row r="12014" spans="18:18" s="2" customFormat="1" ht="12.75" x14ac:dyDescent="0.2">
      <c r="R12014" s="1288"/>
    </row>
    <row r="12015" spans="18:18" s="2" customFormat="1" ht="12.75" x14ac:dyDescent="0.2">
      <c r="R12015" s="1288"/>
    </row>
    <row r="12016" spans="18:18" s="2" customFormat="1" ht="12.75" x14ac:dyDescent="0.2">
      <c r="R12016" s="1288"/>
    </row>
    <row r="12017" spans="18:18" s="2" customFormat="1" ht="12.75" x14ac:dyDescent="0.2">
      <c r="R12017" s="1288"/>
    </row>
    <row r="12018" spans="18:18" s="2" customFormat="1" ht="12.75" x14ac:dyDescent="0.2">
      <c r="R12018" s="1288"/>
    </row>
    <row r="12019" spans="18:18" s="2" customFormat="1" ht="12.75" x14ac:dyDescent="0.2">
      <c r="R12019" s="1288"/>
    </row>
    <row r="12020" spans="18:18" s="2" customFormat="1" ht="12.75" x14ac:dyDescent="0.2">
      <c r="R12020" s="1288"/>
    </row>
    <row r="12021" spans="18:18" s="2" customFormat="1" ht="12.75" x14ac:dyDescent="0.2">
      <c r="R12021" s="1288"/>
    </row>
    <row r="12022" spans="18:18" s="2" customFormat="1" ht="12.75" x14ac:dyDescent="0.2">
      <c r="R12022" s="1288"/>
    </row>
    <row r="12023" spans="18:18" s="2" customFormat="1" ht="12.75" x14ac:dyDescent="0.2">
      <c r="R12023" s="1288"/>
    </row>
    <row r="12024" spans="18:18" s="2" customFormat="1" ht="12.75" x14ac:dyDescent="0.2">
      <c r="R12024" s="1288"/>
    </row>
    <row r="12025" spans="18:18" s="2" customFormat="1" ht="12.75" x14ac:dyDescent="0.2">
      <c r="R12025" s="1288"/>
    </row>
    <row r="12026" spans="18:18" s="2" customFormat="1" ht="12.75" x14ac:dyDescent="0.2">
      <c r="R12026" s="1288"/>
    </row>
    <row r="12027" spans="18:18" s="2" customFormat="1" ht="12.75" x14ac:dyDescent="0.2">
      <c r="R12027" s="1288"/>
    </row>
    <row r="12028" spans="18:18" s="2" customFormat="1" ht="12.75" x14ac:dyDescent="0.2">
      <c r="R12028" s="1288"/>
    </row>
    <row r="12029" spans="18:18" s="2" customFormat="1" ht="12.75" x14ac:dyDescent="0.2">
      <c r="R12029" s="1288"/>
    </row>
    <row r="12030" spans="18:18" s="2" customFormat="1" ht="12.75" x14ac:dyDescent="0.2">
      <c r="R12030" s="1288"/>
    </row>
    <row r="12031" spans="18:18" s="2" customFormat="1" ht="12.75" x14ac:dyDescent="0.2">
      <c r="R12031" s="1288"/>
    </row>
    <row r="12032" spans="18:18" s="2" customFormat="1" ht="12.75" x14ac:dyDescent="0.2">
      <c r="R12032" s="1288"/>
    </row>
    <row r="12033" spans="18:18" s="2" customFormat="1" ht="12.75" x14ac:dyDescent="0.2">
      <c r="R12033" s="1288"/>
    </row>
    <row r="12034" spans="18:18" s="2" customFormat="1" ht="12.75" x14ac:dyDescent="0.2">
      <c r="R12034" s="1288"/>
    </row>
    <row r="12035" spans="18:18" s="2" customFormat="1" ht="12.75" x14ac:dyDescent="0.2">
      <c r="R12035" s="1288"/>
    </row>
    <row r="12036" spans="18:18" s="2" customFormat="1" ht="12.75" x14ac:dyDescent="0.2">
      <c r="R12036" s="1288"/>
    </row>
    <row r="12037" spans="18:18" s="2" customFormat="1" ht="12.75" x14ac:dyDescent="0.2">
      <c r="R12037" s="1288"/>
    </row>
    <row r="12038" spans="18:18" s="2" customFormat="1" ht="12.75" x14ac:dyDescent="0.2">
      <c r="R12038" s="1288"/>
    </row>
    <row r="12039" spans="18:18" s="2" customFormat="1" ht="12.75" x14ac:dyDescent="0.2">
      <c r="R12039" s="1288"/>
    </row>
    <row r="12040" spans="18:18" s="2" customFormat="1" ht="12.75" x14ac:dyDescent="0.2">
      <c r="R12040" s="1288"/>
    </row>
    <row r="12041" spans="18:18" s="2" customFormat="1" ht="12.75" x14ac:dyDescent="0.2">
      <c r="R12041" s="1288"/>
    </row>
    <row r="12042" spans="18:18" s="2" customFormat="1" ht="12.75" x14ac:dyDescent="0.2">
      <c r="R12042" s="1288"/>
    </row>
    <row r="12043" spans="18:18" s="2" customFormat="1" ht="12.75" x14ac:dyDescent="0.2">
      <c r="R12043" s="1288"/>
    </row>
    <row r="12044" spans="18:18" s="2" customFormat="1" ht="12.75" x14ac:dyDescent="0.2">
      <c r="R12044" s="1288"/>
    </row>
    <row r="12045" spans="18:18" s="2" customFormat="1" ht="12.75" x14ac:dyDescent="0.2">
      <c r="R12045" s="1288"/>
    </row>
    <row r="12046" spans="18:18" s="2" customFormat="1" ht="12.75" x14ac:dyDescent="0.2">
      <c r="R12046" s="1288"/>
    </row>
    <row r="12047" spans="18:18" s="2" customFormat="1" ht="12.75" x14ac:dyDescent="0.2">
      <c r="R12047" s="1288"/>
    </row>
    <row r="12048" spans="18:18" s="2" customFormat="1" ht="12.75" x14ac:dyDescent="0.2">
      <c r="R12048" s="1288"/>
    </row>
    <row r="12049" spans="18:18" s="2" customFormat="1" ht="12.75" x14ac:dyDescent="0.2">
      <c r="R12049" s="1288"/>
    </row>
    <row r="12050" spans="18:18" s="2" customFormat="1" ht="12.75" x14ac:dyDescent="0.2">
      <c r="R12050" s="1288"/>
    </row>
    <row r="12051" spans="18:18" s="2" customFormat="1" ht="12.75" x14ac:dyDescent="0.2">
      <c r="R12051" s="1288"/>
    </row>
    <row r="12052" spans="18:18" s="2" customFormat="1" ht="12.75" x14ac:dyDescent="0.2">
      <c r="R12052" s="1288"/>
    </row>
    <row r="12053" spans="18:18" s="2" customFormat="1" ht="12.75" x14ac:dyDescent="0.2">
      <c r="R12053" s="1288"/>
    </row>
    <row r="12054" spans="18:18" s="2" customFormat="1" ht="12.75" x14ac:dyDescent="0.2">
      <c r="R12054" s="1288"/>
    </row>
    <row r="12055" spans="18:18" s="2" customFormat="1" ht="12.75" x14ac:dyDescent="0.2">
      <c r="R12055" s="1288"/>
    </row>
    <row r="12056" spans="18:18" s="2" customFormat="1" ht="12.75" x14ac:dyDescent="0.2">
      <c r="R12056" s="1288"/>
    </row>
    <row r="12057" spans="18:18" s="2" customFormat="1" ht="12.75" x14ac:dyDescent="0.2">
      <c r="R12057" s="1288"/>
    </row>
    <row r="12058" spans="18:18" s="2" customFormat="1" ht="12.75" x14ac:dyDescent="0.2">
      <c r="R12058" s="1288"/>
    </row>
    <row r="12059" spans="18:18" s="2" customFormat="1" ht="12.75" x14ac:dyDescent="0.2">
      <c r="R12059" s="1288"/>
    </row>
    <row r="12060" spans="18:18" s="2" customFormat="1" ht="12.75" x14ac:dyDescent="0.2">
      <c r="R12060" s="1288"/>
    </row>
    <row r="12061" spans="18:18" s="2" customFormat="1" ht="12.75" x14ac:dyDescent="0.2">
      <c r="R12061" s="1288"/>
    </row>
    <row r="12062" spans="18:18" s="2" customFormat="1" ht="12.75" x14ac:dyDescent="0.2">
      <c r="R12062" s="1288"/>
    </row>
    <row r="12063" spans="18:18" s="2" customFormat="1" ht="12.75" x14ac:dyDescent="0.2">
      <c r="R12063" s="1288"/>
    </row>
    <row r="12064" spans="18:18" s="2" customFormat="1" ht="12.75" x14ac:dyDescent="0.2">
      <c r="R12064" s="1288"/>
    </row>
    <row r="12065" spans="18:18" s="2" customFormat="1" ht="12.75" x14ac:dyDescent="0.2">
      <c r="R12065" s="1288"/>
    </row>
    <row r="12066" spans="18:18" s="2" customFormat="1" ht="12.75" x14ac:dyDescent="0.2">
      <c r="R12066" s="1288"/>
    </row>
    <row r="12067" spans="18:18" s="2" customFormat="1" ht="12.75" x14ac:dyDescent="0.2">
      <c r="R12067" s="1288"/>
    </row>
    <row r="12068" spans="18:18" s="2" customFormat="1" ht="12.75" x14ac:dyDescent="0.2">
      <c r="R12068" s="1288"/>
    </row>
    <row r="12069" spans="18:18" s="2" customFormat="1" ht="12.75" x14ac:dyDescent="0.2">
      <c r="R12069" s="1288"/>
    </row>
    <row r="12070" spans="18:18" s="2" customFormat="1" ht="12.75" x14ac:dyDescent="0.2">
      <c r="R12070" s="1288"/>
    </row>
    <row r="12071" spans="18:18" s="2" customFormat="1" ht="12.75" x14ac:dyDescent="0.2">
      <c r="R12071" s="1288"/>
    </row>
    <row r="12072" spans="18:18" s="2" customFormat="1" ht="12.75" x14ac:dyDescent="0.2">
      <c r="R12072" s="1288"/>
    </row>
    <row r="12073" spans="18:18" s="2" customFormat="1" ht="12.75" x14ac:dyDescent="0.2">
      <c r="R12073" s="1288"/>
    </row>
    <row r="12074" spans="18:18" s="2" customFormat="1" ht="12.75" x14ac:dyDescent="0.2">
      <c r="R12074" s="1288"/>
    </row>
    <row r="12075" spans="18:18" s="2" customFormat="1" ht="12.75" x14ac:dyDescent="0.2">
      <c r="R12075" s="1288"/>
    </row>
    <row r="12076" spans="18:18" s="2" customFormat="1" ht="12.75" x14ac:dyDescent="0.2">
      <c r="R12076" s="1288"/>
    </row>
    <row r="12077" spans="18:18" s="2" customFormat="1" ht="12.75" x14ac:dyDescent="0.2">
      <c r="R12077" s="1288"/>
    </row>
    <row r="12078" spans="18:18" s="2" customFormat="1" ht="12.75" x14ac:dyDescent="0.2">
      <c r="R12078" s="1288"/>
    </row>
    <row r="12079" spans="18:18" s="2" customFormat="1" ht="12.75" x14ac:dyDescent="0.2">
      <c r="R12079" s="1288"/>
    </row>
    <row r="12080" spans="18:18" s="2" customFormat="1" ht="12.75" x14ac:dyDescent="0.2">
      <c r="R12080" s="1288"/>
    </row>
    <row r="12081" spans="18:18" s="2" customFormat="1" ht="12.75" x14ac:dyDescent="0.2">
      <c r="R12081" s="1288"/>
    </row>
    <row r="12082" spans="18:18" s="2" customFormat="1" ht="12.75" x14ac:dyDescent="0.2">
      <c r="R12082" s="1288"/>
    </row>
    <row r="12083" spans="18:18" s="2" customFormat="1" ht="12.75" x14ac:dyDescent="0.2">
      <c r="R12083" s="1288"/>
    </row>
    <row r="12084" spans="18:18" s="2" customFormat="1" ht="12.75" x14ac:dyDescent="0.2">
      <c r="R12084" s="1288"/>
    </row>
    <row r="12085" spans="18:18" s="2" customFormat="1" ht="12.75" x14ac:dyDescent="0.2">
      <c r="R12085" s="1288"/>
    </row>
    <row r="12086" spans="18:18" s="2" customFormat="1" ht="12.75" x14ac:dyDescent="0.2">
      <c r="R12086" s="1288"/>
    </row>
    <row r="12087" spans="18:18" s="2" customFormat="1" ht="12.75" x14ac:dyDescent="0.2">
      <c r="R12087" s="1288"/>
    </row>
    <row r="12088" spans="18:18" s="2" customFormat="1" ht="12.75" x14ac:dyDescent="0.2">
      <c r="R12088" s="1288"/>
    </row>
    <row r="12089" spans="18:18" s="2" customFormat="1" ht="12.75" x14ac:dyDescent="0.2">
      <c r="R12089" s="1288"/>
    </row>
    <row r="12090" spans="18:18" s="2" customFormat="1" ht="12.75" x14ac:dyDescent="0.2">
      <c r="R12090" s="1288"/>
    </row>
    <row r="12091" spans="18:18" s="2" customFormat="1" ht="12.75" x14ac:dyDescent="0.2">
      <c r="R12091" s="1288"/>
    </row>
    <row r="12092" spans="18:18" s="2" customFormat="1" ht="12.75" x14ac:dyDescent="0.2">
      <c r="R12092" s="1288"/>
    </row>
    <row r="12093" spans="18:18" s="2" customFormat="1" ht="12.75" x14ac:dyDescent="0.2">
      <c r="R12093" s="1288"/>
    </row>
    <row r="12094" spans="18:18" s="2" customFormat="1" ht="12.75" x14ac:dyDescent="0.2">
      <c r="R12094" s="1288"/>
    </row>
    <row r="12095" spans="18:18" s="2" customFormat="1" ht="12.75" x14ac:dyDescent="0.2">
      <c r="R12095" s="1288"/>
    </row>
    <row r="12096" spans="18:18" s="2" customFormat="1" ht="12.75" x14ac:dyDescent="0.2">
      <c r="R12096" s="1288"/>
    </row>
    <row r="12097" spans="18:18" s="2" customFormat="1" ht="12.75" x14ac:dyDescent="0.2">
      <c r="R12097" s="1288"/>
    </row>
    <row r="12098" spans="18:18" s="2" customFormat="1" ht="12.75" x14ac:dyDescent="0.2">
      <c r="R12098" s="1288"/>
    </row>
    <row r="12099" spans="18:18" s="2" customFormat="1" ht="12.75" x14ac:dyDescent="0.2">
      <c r="R12099" s="1288"/>
    </row>
    <row r="12100" spans="18:18" s="2" customFormat="1" ht="12.75" x14ac:dyDescent="0.2">
      <c r="R12100" s="1288"/>
    </row>
    <row r="12101" spans="18:18" s="2" customFormat="1" ht="12.75" x14ac:dyDescent="0.2">
      <c r="R12101" s="1288"/>
    </row>
    <row r="12102" spans="18:18" s="2" customFormat="1" ht="12.75" x14ac:dyDescent="0.2">
      <c r="R12102" s="1288"/>
    </row>
    <row r="12103" spans="18:18" s="2" customFormat="1" ht="12.75" x14ac:dyDescent="0.2">
      <c r="R12103" s="1288"/>
    </row>
    <row r="12104" spans="18:18" s="2" customFormat="1" ht="12.75" x14ac:dyDescent="0.2">
      <c r="R12104" s="1288"/>
    </row>
    <row r="12105" spans="18:18" s="2" customFormat="1" ht="12.75" x14ac:dyDescent="0.2">
      <c r="R12105" s="1288"/>
    </row>
    <row r="12106" spans="18:18" s="2" customFormat="1" ht="12.75" x14ac:dyDescent="0.2">
      <c r="R12106" s="1288"/>
    </row>
    <row r="12107" spans="18:18" s="2" customFormat="1" ht="12.75" x14ac:dyDescent="0.2">
      <c r="R12107" s="1288"/>
    </row>
    <row r="12108" spans="18:18" s="2" customFormat="1" ht="12.75" x14ac:dyDescent="0.2">
      <c r="R12108" s="1288"/>
    </row>
    <row r="12109" spans="18:18" s="2" customFormat="1" ht="12.75" x14ac:dyDescent="0.2">
      <c r="R12109" s="1288"/>
    </row>
    <row r="12110" spans="18:18" s="2" customFormat="1" ht="12.75" x14ac:dyDescent="0.2">
      <c r="R12110" s="1288"/>
    </row>
    <row r="12111" spans="18:18" s="2" customFormat="1" ht="12.75" x14ac:dyDescent="0.2">
      <c r="R12111" s="1288"/>
    </row>
    <row r="12112" spans="18:18" s="2" customFormat="1" ht="12.75" x14ac:dyDescent="0.2">
      <c r="R12112" s="1288"/>
    </row>
    <row r="12113" spans="18:18" s="2" customFormat="1" ht="12.75" x14ac:dyDescent="0.2">
      <c r="R12113" s="1288"/>
    </row>
    <row r="12114" spans="18:18" s="2" customFormat="1" ht="12.75" x14ac:dyDescent="0.2">
      <c r="R12114" s="1288"/>
    </row>
    <row r="12115" spans="18:18" s="2" customFormat="1" ht="12.75" x14ac:dyDescent="0.2">
      <c r="R12115" s="1288"/>
    </row>
    <row r="12116" spans="18:18" s="2" customFormat="1" ht="12.75" x14ac:dyDescent="0.2">
      <c r="R12116" s="1288"/>
    </row>
    <row r="12117" spans="18:18" s="2" customFormat="1" ht="12.75" x14ac:dyDescent="0.2">
      <c r="R12117" s="1288"/>
    </row>
    <row r="12118" spans="18:18" s="2" customFormat="1" ht="12.75" x14ac:dyDescent="0.2">
      <c r="R12118" s="1288"/>
    </row>
    <row r="12119" spans="18:18" s="2" customFormat="1" ht="12.75" x14ac:dyDescent="0.2">
      <c r="R12119" s="1288"/>
    </row>
    <row r="12120" spans="18:18" s="2" customFormat="1" ht="12.75" x14ac:dyDescent="0.2">
      <c r="R12120" s="1288"/>
    </row>
    <row r="12121" spans="18:18" s="2" customFormat="1" ht="12.75" x14ac:dyDescent="0.2">
      <c r="R12121" s="1288"/>
    </row>
    <row r="12122" spans="18:18" s="2" customFormat="1" ht="12.75" x14ac:dyDescent="0.2">
      <c r="R12122" s="1288"/>
    </row>
    <row r="12123" spans="18:18" s="2" customFormat="1" ht="12.75" x14ac:dyDescent="0.2">
      <c r="R12123" s="1288"/>
    </row>
    <row r="12124" spans="18:18" s="2" customFormat="1" ht="12.75" x14ac:dyDescent="0.2">
      <c r="R12124" s="1288"/>
    </row>
    <row r="12125" spans="18:18" s="2" customFormat="1" ht="12.75" x14ac:dyDescent="0.2">
      <c r="R12125" s="1288"/>
    </row>
    <row r="12126" spans="18:18" s="2" customFormat="1" ht="12.75" x14ac:dyDescent="0.2">
      <c r="R12126" s="1288"/>
    </row>
    <row r="12127" spans="18:18" s="2" customFormat="1" ht="12.75" x14ac:dyDescent="0.2">
      <c r="R12127" s="1288"/>
    </row>
    <row r="12128" spans="18:18" s="2" customFormat="1" ht="12.75" x14ac:dyDescent="0.2">
      <c r="R12128" s="1288"/>
    </row>
    <row r="12129" spans="18:18" s="2" customFormat="1" ht="12.75" x14ac:dyDescent="0.2">
      <c r="R12129" s="1288"/>
    </row>
    <row r="12130" spans="18:18" s="2" customFormat="1" ht="12.75" x14ac:dyDescent="0.2">
      <c r="R12130" s="1288"/>
    </row>
    <row r="12131" spans="18:18" s="2" customFormat="1" ht="12.75" x14ac:dyDescent="0.2">
      <c r="R12131" s="1288"/>
    </row>
    <row r="12132" spans="18:18" s="2" customFormat="1" ht="12.75" x14ac:dyDescent="0.2">
      <c r="R12132" s="1288"/>
    </row>
    <row r="12133" spans="18:18" s="2" customFormat="1" ht="12.75" x14ac:dyDescent="0.2">
      <c r="R12133" s="1288"/>
    </row>
    <row r="12134" spans="18:18" s="2" customFormat="1" ht="12.75" x14ac:dyDescent="0.2">
      <c r="R12134" s="1288"/>
    </row>
    <row r="12135" spans="18:18" s="2" customFormat="1" ht="12.75" x14ac:dyDescent="0.2">
      <c r="R12135" s="1288"/>
    </row>
    <row r="12136" spans="18:18" s="2" customFormat="1" ht="12.75" x14ac:dyDescent="0.2">
      <c r="R12136" s="1288"/>
    </row>
    <row r="12137" spans="18:18" s="2" customFormat="1" ht="12.75" x14ac:dyDescent="0.2">
      <c r="R12137" s="1288"/>
    </row>
    <row r="12138" spans="18:18" s="2" customFormat="1" ht="12.75" x14ac:dyDescent="0.2">
      <c r="R12138" s="1288"/>
    </row>
    <row r="12139" spans="18:18" s="2" customFormat="1" ht="12.75" x14ac:dyDescent="0.2">
      <c r="R12139" s="1288"/>
    </row>
    <row r="12140" spans="18:18" s="2" customFormat="1" ht="12.75" x14ac:dyDescent="0.2">
      <c r="R12140" s="1288"/>
    </row>
    <row r="12141" spans="18:18" s="2" customFormat="1" ht="12.75" x14ac:dyDescent="0.2">
      <c r="R12141" s="1288"/>
    </row>
    <row r="12142" spans="18:18" s="2" customFormat="1" ht="12.75" x14ac:dyDescent="0.2">
      <c r="R12142" s="1288"/>
    </row>
    <row r="12143" spans="18:18" s="2" customFormat="1" ht="12.75" x14ac:dyDescent="0.2">
      <c r="R12143" s="1288"/>
    </row>
    <row r="12144" spans="18:18" s="2" customFormat="1" ht="12.75" x14ac:dyDescent="0.2">
      <c r="R12144" s="1288"/>
    </row>
    <row r="12145" spans="18:18" s="2" customFormat="1" ht="12.75" x14ac:dyDescent="0.2">
      <c r="R12145" s="1288"/>
    </row>
    <row r="12146" spans="18:18" s="2" customFormat="1" ht="12.75" x14ac:dyDescent="0.2">
      <c r="R12146" s="1288"/>
    </row>
    <row r="12147" spans="18:18" s="2" customFormat="1" ht="12.75" x14ac:dyDescent="0.2">
      <c r="R12147" s="1288"/>
    </row>
    <row r="12148" spans="18:18" s="2" customFormat="1" ht="12.75" x14ac:dyDescent="0.2">
      <c r="R12148" s="1288"/>
    </row>
    <row r="12149" spans="18:18" s="2" customFormat="1" ht="12.75" x14ac:dyDescent="0.2">
      <c r="R12149" s="1288"/>
    </row>
    <row r="12150" spans="18:18" s="2" customFormat="1" ht="12.75" x14ac:dyDescent="0.2">
      <c r="R12150" s="1288"/>
    </row>
    <row r="12151" spans="18:18" s="2" customFormat="1" ht="12.75" x14ac:dyDescent="0.2">
      <c r="R12151" s="1288"/>
    </row>
    <row r="12152" spans="18:18" s="2" customFormat="1" ht="12.75" x14ac:dyDescent="0.2">
      <c r="R12152" s="1288"/>
    </row>
    <row r="12153" spans="18:18" s="2" customFormat="1" ht="12.75" x14ac:dyDescent="0.2">
      <c r="R12153" s="1288"/>
    </row>
    <row r="12154" spans="18:18" s="2" customFormat="1" ht="12.75" x14ac:dyDescent="0.2">
      <c r="R12154" s="1288"/>
    </row>
    <row r="12155" spans="18:18" s="2" customFormat="1" ht="12.75" x14ac:dyDescent="0.2">
      <c r="R12155" s="1288"/>
    </row>
    <row r="12156" spans="18:18" s="2" customFormat="1" ht="12.75" x14ac:dyDescent="0.2">
      <c r="R12156" s="1288"/>
    </row>
    <row r="12157" spans="18:18" s="2" customFormat="1" ht="12.75" x14ac:dyDescent="0.2">
      <c r="R12157" s="1288"/>
    </row>
    <row r="12158" spans="18:18" s="2" customFormat="1" ht="12.75" x14ac:dyDescent="0.2">
      <c r="R12158" s="1288"/>
    </row>
    <row r="12159" spans="18:18" s="2" customFormat="1" ht="12.75" x14ac:dyDescent="0.2">
      <c r="R12159" s="1288"/>
    </row>
    <row r="12160" spans="18:18" s="2" customFormat="1" ht="12.75" x14ac:dyDescent="0.2">
      <c r="R12160" s="1288"/>
    </row>
    <row r="12161" spans="18:18" s="2" customFormat="1" ht="12.75" x14ac:dyDescent="0.2">
      <c r="R12161" s="1288"/>
    </row>
    <row r="12162" spans="18:18" s="2" customFormat="1" ht="12.75" x14ac:dyDescent="0.2">
      <c r="R12162" s="1288"/>
    </row>
    <row r="12163" spans="18:18" s="2" customFormat="1" ht="12.75" x14ac:dyDescent="0.2">
      <c r="R12163" s="1288"/>
    </row>
    <row r="12164" spans="18:18" s="2" customFormat="1" ht="12.75" x14ac:dyDescent="0.2">
      <c r="R12164" s="1288"/>
    </row>
    <row r="12165" spans="18:18" s="2" customFormat="1" ht="12.75" x14ac:dyDescent="0.2">
      <c r="R12165" s="1288"/>
    </row>
    <row r="12166" spans="18:18" s="2" customFormat="1" ht="12.75" x14ac:dyDescent="0.2">
      <c r="R12166" s="1288"/>
    </row>
    <row r="12167" spans="18:18" s="2" customFormat="1" ht="12.75" x14ac:dyDescent="0.2">
      <c r="R12167" s="1288"/>
    </row>
    <row r="12168" spans="18:18" s="2" customFormat="1" ht="12.75" x14ac:dyDescent="0.2">
      <c r="R12168" s="1288"/>
    </row>
    <row r="12169" spans="18:18" s="2" customFormat="1" ht="12.75" x14ac:dyDescent="0.2">
      <c r="R12169" s="1288"/>
    </row>
    <row r="12170" spans="18:18" s="2" customFormat="1" ht="12.75" x14ac:dyDescent="0.2">
      <c r="R12170" s="1288"/>
    </row>
    <row r="12171" spans="18:18" s="2" customFormat="1" ht="12.75" x14ac:dyDescent="0.2">
      <c r="R12171" s="1288"/>
    </row>
    <row r="12172" spans="18:18" s="2" customFormat="1" ht="12.75" x14ac:dyDescent="0.2">
      <c r="R12172" s="1288"/>
    </row>
    <row r="12173" spans="18:18" s="2" customFormat="1" ht="12.75" x14ac:dyDescent="0.2">
      <c r="R12173" s="1288"/>
    </row>
    <row r="12174" spans="18:18" s="2" customFormat="1" ht="12.75" x14ac:dyDescent="0.2">
      <c r="R12174" s="1288"/>
    </row>
    <row r="12175" spans="18:18" s="2" customFormat="1" ht="12.75" x14ac:dyDescent="0.2">
      <c r="R12175" s="1288"/>
    </row>
    <row r="12176" spans="18:18" s="2" customFormat="1" ht="12.75" x14ac:dyDescent="0.2">
      <c r="R12176" s="1288"/>
    </row>
    <row r="12177" spans="18:18" s="2" customFormat="1" ht="12.75" x14ac:dyDescent="0.2">
      <c r="R12177" s="1288"/>
    </row>
    <row r="12178" spans="18:18" s="2" customFormat="1" ht="12.75" x14ac:dyDescent="0.2">
      <c r="R12178" s="1288"/>
    </row>
    <row r="12179" spans="18:18" s="2" customFormat="1" ht="12.75" x14ac:dyDescent="0.2">
      <c r="R12179" s="1288"/>
    </row>
    <row r="12180" spans="18:18" s="2" customFormat="1" ht="12.75" x14ac:dyDescent="0.2">
      <c r="R12180" s="1288"/>
    </row>
    <row r="12181" spans="18:18" s="2" customFormat="1" ht="12.75" x14ac:dyDescent="0.2">
      <c r="R12181" s="1288"/>
    </row>
    <row r="12182" spans="18:18" s="2" customFormat="1" ht="12.75" x14ac:dyDescent="0.2">
      <c r="R12182" s="1288"/>
    </row>
    <row r="12183" spans="18:18" s="2" customFormat="1" ht="12.75" x14ac:dyDescent="0.2">
      <c r="R12183" s="1288"/>
    </row>
    <row r="12184" spans="18:18" s="2" customFormat="1" ht="12.75" x14ac:dyDescent="0.2">
      <c r="R12184" s="1288"/>
    </row>
    <row r="12185" spans="18:18" s="2" customFormat="1" ht="12.75" x14ac:dyDescent="0.2">
      <c r="R12185" s="1288"/>
    </row>
    <row r="12186" spans="18:18" s="2" customFormat="1" ht="12.75" x14ac:dyDescent="0.2">
      <c r="R12186" s="1288"/>
    </row>
    <row r="12187" spans="18:18" s="2" customFormat="1" ht="12.75" x14ac:dyDescent="0.2">
      <c r="R12187" s="1288"/>
    </row>
    <row r="12188" spans="18:18" s="2" customFormat="1" ht="12.75" x14ac:dyDescent="0.2">
      <c r="R12188" s="1288"/>
    </row>
    <row r="12189" spans="18:18" s="2" customFormat="1" ht="12.75" x14ac:dyDescent="0.2">
      <c r="R12189" s="1288"/>
    </row>
    <row r="12190" spans="18:18" s="2" customFormat="1" ht="12.75" x14ac:dyDescent="0.2">
      <c r="R12190" s="1288"/>
    </row>
    <row r="12191" spans="18:18" s="2" customFormat="1" ht="12.75" x14ac:dyDescent="0.2">
      <c r="R12191" s="1288"/>
    </row>
    <row r="12192" spans="18:18" s="2" customFormat="1" ht="12.75" x14ac:dyDescent="0.2">
      <c r="R12192" s="1288"/>
    </row>
    <row r="12193" spans="18:18" s="2" customFormat="1" ht="12.75" x14ac:dyDescent="0.2">
      <c r="R12193" s="1288"/>
    </row>
    <row r="12194" spans="18:18" s="2" customFormat="1" ht="12.75" x14ac:dyDescent="0.2">
      <c r="R12194" s="1288"/>
    </row>
    <row r="12195" spans="18:18" s="2" customFormat="1" ht="12.75" x14ac:dyDescent="0.2">
      <c r="R12195" s="1288"/>
    </row>
    <row r="12196" spans="18:18" s="2" customFormat="1" ht="12.75" x14ac:dyDescent="0.2">
      <c r="R12196" s="1288"/>
    </row>
    <row r="12197" spans="18:18" s="2" customFormat="1" ht="12.75" x14ac:dyDescent="0.2">
      <c r="R12197" s="1288"/>
    </row>
    <row r="12198" spans="18:18" s="2" customFormat="1" ht="12.75" x14ac:dyDescent="0.2">
      <c r="R12198" s="1288"/>
    </row>
    <row r="12199" spans="18:18" s="2" customFormat="1" ht="12.75" x14ac:dyDescent="0.2">
      <c r="R12199" s="1288"/>
    </row>
    <row r="12200" spans="18:18" s="2" customFormat="1" ht="12.75" x14ac:dyDescent="0.2">
      <c r="R12200" s="1288"/>
    </row>
    <row r="12201" spans="18:18" s="2" customFormat="1" ht="12.75" x14ac:dyDescent="0.2">
      <c r="R12201" s="1288"/>
    </row>
    <row r="12202" spans="18:18" s="2" customFormat="1" ht="12.75" x14ac:dyDescent="0.2">
      <c r="R12202" s="1288"/>
    </row>
    <row r="12203" spans="18:18" s="2" customFormat="1" ht="12.75" x14ac:dyDescent="0.2">
      <c r="R12203" s="1288"/>
    </row>
    <row r="12204" spans="18:18" s="2" customFormat="1" ht="12.75" x14ac:dyDescent="0.2">
      <c r="R12204" s="1288"/>
    </row>
    <row r="12205" spans="18:18" s="2" customFormat="1" ht="12.75" x14ac:dyDescent="0.2">
      <c r="R12205" s="1288"/>
    </row>
    <row r="12206" spans="18:18" s="2" customFormat="1" ht="12.75" x14ac:dyDescent="0.2">
      <c r="R12206" s="1288"/>
    </row>
    <row r="12207" spans="18:18" s="2" customFormat="1" ht="12.75" x14ac:dyDescent="0.2">
      <c r="R12207" s="1288"/>
    </row>
    <row r="12208" spans="18:18" s="2" customFormat="1" ht="12.75" x14ac:dyDescent="0.2">
      <c r="R12208" s="1288"/>
    </row>
    <row r="12209" spans="18:18" s="2" customFormat="1" ht="12.75" x14ac:dyDescent="0.2">
      <c r="R12209" s="1288"/>
    </row>
    <row r="12210" spans="18:18" s="2" customFormat="1" ht="12.75" x14ac:dyDescent="0.2">
      <c r="R12210" s="1288"/>
    </row>
    <row r="12211" spans="18:18" s="2" customFormat="1" ht="12.75" x14ac:dyDescent="0.2">
      <c r="R12211" s="1288"/>
    </row>
    <row r="12212" spans="18:18" s="2" customFormat="1" ht="12.75" x14ac:dyDescent="0.2">
      <c r="R12212" s="1288"/>
    </row>
    <row r="12213" spans="18:18" s="2" customFormat="1" ht="12.75" x14ac:dyDescent="0.2">
      <c r="R12213" s="1288"/>
    </row>
    <row r="12214" spans="18:18" s="2" customFormat="1" ht="12.75" x14ac:dyDescent="0.2">
      <c r="R12214" s="1288"/>
    </row>
    <row r="12215" spans="18:18" s="2" customFormat="1" ht="12.75" x14ac:dyDescent="0.2">
      <c r="R12215" s="1288"/>
    </row>
    <row r="12216" spans="18:18" s="2" customFormat="1" ht="12.75" x14ac:dyDescent="0.2">
      <c r="R12216" s="1288"/>
    </row>
    <row r="12217" spans="18:18" s="2" customFormat="1" ht="12.75" x14ac:dyDescent="0.2">
      <c r="R12217" s="1288"/>
    </row>
    <row r="12218" spans="18:18" s="2" customFormat="1" ht="12.75" x14ac:dyDescent="0.2">
      <c r="R12218" s="1288"/>
    </row>
    <row r="12219" spans="18:18" s="2" customFormat="1" ht="12.75" x14ac:dyDescent="0.2">
      <c r="R12219" s="1288"/>
    </row>
    <row r="12220" spans="18:18" s="2" customFormat="1" ht="12.75" x14ac:dyDescent="0.2">
      <c r="R12220" s="1288"/>
    </row>
    <row r="12221" spans="18:18" s="2" customFormat="1" ht="12.75" x14ac:dyDescent="0.2">
      <c r="R12221" s="1288"/>
    </row>
    <row r="12222" spans="18:18" s="2" customFormat="1" ht="12.75" x14ac:dyDescent="0.2">
      <c r="R12222" s="1288"/>
    </row>
    <row r="12223" spans="18:18" s="2" customFormat="1" ht="12.75" x14ac:dyDescent="0.2">
      <c r="R12223" s="1288"/>
    </row>
    <row r="12224" spans="18:18" s="2" customFormat="1" ht="12.75" x14ac:dyDescent="0.2">
      <c r="R12224" s="1288"/>
    </row>
    <row r="12225" spans="18:18" s="2" customFormat="1" ht="12.75" x14ac:dyDescent="0.2">
      <c r="R12225" s="1288"/>
    </row>
    <row r="12226" spans="18:18" s="2" customFormat="1" ht="12.75" x14ac:dyDescent="0.2">
      <c r="R12226" s="1288"/>
    </row>
    <row r="12227" spans="18:18" s="2" customFormat="1" ht="12.75" x14ac:dyDescent="0.2">
      <c r="R12227" s="1288"/>
    </row>
    <row r="12228" spans="18:18" s="2" customFormat="1" ht="12.75" x14ac:dyDescent="0.2">
      <c r="R12228" s="1288"/>
    </row>
    <row r="12229" spans="18:18" s="2" customFormat="1" ht="12.75" x14ac:dyDescent="0.2">
      <c r="R12229" s="1288"/>
    </row>
    <row r="12230" spans="18:18" s="2" customFormat="1" ht="12.75" x14ac:dyDescent="0.2">
      <c r="R12230" s="1288"/>
    </row>
    <row r="12231" spans="18:18" s="2" customFormat="1" ht="12.75" x14ac:dyDescent="0.2">
      <c r="R12231" s="1288"/>
    </row>
    <row r="12232" spans="18:18" s="2" customFormat="1" ht="12.75" x14ac:dyDescent="0.2">
      <c r="R12232" s="1288"/>
    </row>
    <row r="12233" spans="18:18" s="2" customFormat="1" ht="12.75" x14ac:dyDescent="0.2">
      <c r="R12233" s="1288"/>
    </row>
    <row r="12234" spans="18:18" s="2" customFormat="1" ht="12.75" x14ac:dyDescent="0.2">
      <c r="R12234" s="1288"/>
    </row>
    <row r="12235" spans="18:18" s="2" customFormat="1" ht="12.75" x14ac:dyDescent="0.2">
      <c r="R12235" s="1288"/>
    </row>
    <row r="12236" spans="18:18" s="2" customFormat="1" ht="12.75" x14ac:dyDescent="0.2">
      <c r="R12236" s="1288"/>
    </row>
    <row r="12237" spans="18:18" s="2" customFormat="1" ht="12.75" x14ac:dyDescent="0.2">
      <c r="R12237" s="1288"/>
    </row>
    <row r="12238" spans="18:18" s="2" customFormat="1" ht="12.75" x14ac:dyDescent="0.2">
      <c r="R12238" s="1288"/>
    </row>
    <row r="12239" spans="18:18" s="2" customFormat="1" ht="12.75" x14ac:dyDescent="0.2">
      <c r="R12239" s="1288"/>
    </row>
    <row r="12240" spans="18:18" s="2" customFormat="1" ht="12.75" x14ac:dyDescent="0.2">
      <c r="R12240" s="1288"/>
    </row>
    <row r="12241" spans="18:18" s="2" customFormat="1" ht="12.75" x14ac:dyDescent="0.2">
      <c r="R12241" s="1288"/>
    </row>
    <row r="12242" spans="18:18" s="2" customFormat="1" ht="12.75" x14ac:dyDescent="0.2">
      <c r="R12242" s="1288"/>
    </row>
    <row r="12243" spans="18:18" s="2" customFormat="1" ht="12.75" x14ac:dyDescent="0.2">
      <c r="R12243" s="1288"/>
    </row>
    <row r="12244" spans="18:18" s="2" customFormat="1" ht="12.75" x14ac:dyDescent="0.2">
      <c r="R12244" s="1288"/>
    </row>
    <row r="12245" spans="18:18" s="2" customFormat="1" ht="12.75" x14ac:dyDescent="0.2">
      <c r="R12245" s="1288"/>
    </row>
    <row r="12246" spans="18:18" s="2" customFormat="1" ht="12.75" x14ac:dyDescent="0.2">
      <c r="R12246" s="1288"/>
    </row>
    <row r="12247" spans="18:18" s="2" customFormat="1" ht="12.75" x14ac:dyDescent="0.2">
      <c r="R12247" s="1288"/>
    </row>
    <row r="12248" spans="18:18" s="2" customFormat="1" ht="12.75" x14ac:dyDescent="0.2">
      <c r="R12248" s="1288"/>
    </row>
    <row r="12249" spans="18:18" s="2" customFormat="1" ht="12.75" x14ac:dyDescent="0.2">
      <c r="R12249" s="1288"/>
    </row>
    <row r="12250" spans="18:18" s="2" customFormat="1" ht="12.75" x14ac:dyDescent="0.2">
      <c r="R12250" s="1288"/>
    </row>
    <row r="12251" spans="18:18" s="2" customFormat="1" ht="12.75" x14ac:dyDescent="0.2">
      <c r="R12251" s="1288"/>
    </row>
    <row r="12252" spans="18:18" s="2" customFormat="1" ht="12.75" x14ac:dyDescent="0.2">
      <c r="R12252" s="1288"/>
    </row>
    <row r="12253" spans="18:18" s="2" customFormat="1" ht="12.75" x14ac:dyDescent="0.2">
      <c r="R12253" s="1288"/>
    </row>
    <row r="12254" spans="18:18" s="2" customFormat="1" ht="12.75" x14ac:dyDescent="0.2">
      <c r="R12254" s="1288"/>
    </row>
    <row r="12255" spans="18:18" s="2" customFormat="1" ht="12.75" x14ac:dyDescent="0.2">
      <c r="R12255" s="1288"/>
    </row>
    <row r="12256" spans="18:18" s="2" customFormat="1" ht="12.75" x14ac:dyDescent="0.2">
      <c r="R12256" s="1288"/>
    </row>
    <row r="12257" spans="18:18" s="2" customFormat="1" ht="12.75" x14ac:dyDescent="0.2">
      <c r="R12257" s="1288"/>
    </row>
    <row r="12258" spans="18:18" s="2" customFormat="1" ht="12.75" x14ac:dyDescent="0.2">
      <c r="R12258" s="1288"/>
    </row>
    <row r="12259" spans="18:18" s="2" customFormat="1" ht="12.75" x14ac:dyDescent="0.2">
      <c r="R12259" s="1288"/>
    </row>
    <row r="12260" spans="18:18" s="2" customFormat="1" ht="12.75" x14ac:dyDescent="0.2">
      <c r="R12260" s="1288"/>
    </row>
    <row r="12261" spans="18:18" s="2" customFormat="1" ht="12.75" x14ac:dyDescent="0.2">
      <c r="R12261" s="1288"/>
    </row>
    <row r="12262" spans="18:18" s="2" customFormat="1" ht="12.75" x14ac:dyDescent="0.2">
      <c r="R12262" s="1288"/>
    </row>
    <row r="12263" spans="18:18" s="2" customFormat="1" ht="12.75" x14ac:dyDescent="0.2">
      <c r="R12263" s="1288"/>
    </row>
    <row r="12264" spans="18:18" s="2" customFormat="1" ht="12.75" x14ac:dyDescent="0.2">
      <c r="R12264" s="1288"/>
    </row>
    <row r="12265" spans="18:18" s="2" customFormat="1" ht="12.75" x14ac:dyDescent="0.2">
      <c r="R12265" s="1288"/>
    </row>
    <row r="12266" spans="18:18" s="2" customFormat="1" ht="12.75" x14ac:dyDescent="0.2">
      <c r="R12266" s="1288"/>
    </row>
    <row r="12267" spans="18:18" s="2" customFormat="1" ht="12.75" x14ac:dyDescent="0.2">
      <c r="R12267" s="1288"/>
    </row>
    <row r="12268" spans="18:18" s="2" customFormat="1" ht="12.75" x14ac:dyDescent="0.2">
      <c r="R12268" s="1288"/>
    </row>
    <row r="12269" spans="18:18" s="2" customFormat="1" ht="12.75" x14ac:dyDescent="0.2">
      <c r="R12269" s="1288"/>
    </row>
    <row r="12270" spans="18:18" s="2" customFormat="1" ht="12.75" x14ac:dyDescent="0.2">
      <c r="R12270" s="1288"/>
    </row>
    <row r="12271" spans="18:18" s="2" customFormat="1" ht="12.75" x14ac:dyDescent="0.2">
      <c r="R12271" s="1288"/>
    </row>
    <row r="12272" spans="18:18" s="2" customFormat="1" ht="12.75" x14ac:dyDescent="0.2">
      <c r="R12272" s="1288"/>
    </row>
    <row r="12273" spans="18:18" s="2" customFormat="1" ht="12.75" x14ac:dyDescent="0.2">
      <c r="R12273" s="1288"/>
    </row>
    <row r="12274" spans="18:18" s="2" customFormat="1" ht="12.75" x14ac:dyDescent="0.2">
      <c r="R12274" s="1288"/>
    </row>
    <row r="12275" spans="18:18" s="2" customFormat="1" ht="12.75" x14ac:dyDescent="0.2">
      <c r="R12275" s="1288"/>
    </row>
    <row r="12276" spans="18:18" s="2" customFormat="1" ht="12.75" x14ac:dyDescent="0.2">
      <c r="R12276" s="1288"/>
    </row>
    <row r="12277" spans="18:18" s="2" customFormat="1" ht="12.75" x14ac:dyDescent="0.2">
      <c r="R12277" s="1288"/>
    </row>
    <row r="12278" spans="18:18" s="2" customFormat="1" ht="12.75" x14ac:dyDescent="0.2">
      <c r="R12278" s="1288"/>
    </row>
    <row r="12279" spans="18:18" s="2" customFormat="1" ht="12.75" x14ac:dyDescent="0.2">
      <c r="R12279" s="1288"/>
    </row>
    <row r="12280" spans="18:18" s="2" customFormat="1" ht="12.75" x14ac:dyDescent="0.2">
      <c r="R12280" s="1288"/>
    </row>
    <row r="12281" spans="18:18" s="2" customFormat="1" ht="12.75" x14ac:dyDescent="0.2">
      <c r="R12281" s="1288"/>
    </row>
    <row r="12282" spans="18:18" s="2" customFormat="1" ht="12.75" x14ac:dyDescent="0.2">
      <c r="R12282" s="1288"/>
    </row>
    <row r="12283" spans="18:18" s="2" customFormat="1" ht="12.75" x14ac:dyDescent="0.2">
      <c r="R12283" s="1288"/>
    </row>
    <row r="12284" spans="18:18" s="2" customFormat="1" ht="12.75" x14ac:dyDescent="0.2">
      <c r="R12284" s="1288"/>
    </row>
    <row r="12285" spans="18:18" s="2" customFormat="1" ht="12.75" x14ac:dyDescent="0.2">
      <c r="R12285" s="1288"/>
    </row>
    <row r="12286" spans="18:18" s="2" customFormat="1" ht="12.75" x14ac:dyDescent="0.2">
      <c r="R12286" s="1288"/>
    </row>
    <row r="12287" spans="18:18" s="2" customFormat="1" ht="12.75" x14ac:dyDescent="0.2">
      <c r="R12287" s="1288"/>
    </row>
    <row r="12288" spans="18:18" s="2" customFormat="1" ht="12.75" x14ac:dyDescent="0.2">
      <c r="R12288" s="1288"/>
    </row>
    <row r="12289" spans="18:18" s="2" customFormat="1" ht="12.75" x14ac:dyDescent="0.2">
      <c r="R12289" s="1288"/>
    </row>
    <row r="12290" spans="18:18" s="2" customFormat="1" ht="12.75" x14ac:dyDescent="0.2">
      <c r="R12290" s="1288"/>
    </row>
    <row r="12291" spans="18:18" s="2" customFormat="1" ht="12.75" x14ac:dyDescent="0.2">
      <c r="R12291" s="1288"/>
    </row>
    <row r="12292" spans="18:18" s="2" customFormat="1" ht="12.75" x14ac:dyDescent="0.2">
      <c r="R12292" s="1288"/>
    </row>
    <row r="12293" spans="18:18" s="2" customFormat="1" ht="12.75" x14ac:dyDescent="0.2">
      <c r="R12293" s="1288"/>
    </row>
    <row r="12294" spans="18:18" s="2" customFormat="1" ht="12.75" x14ac:dyDescent="0.2">
      <c r="R12294" s="1288"/>
    </row>
    <row r="12295" spans="18:18" s="2" customFormat="1" ht="12.75" x14ac:dyDescent="0.2">
      <c r="R12295" s="1288"/>
    </row>
    <row r="12296" spans="18:18" s="2" customFormat="1" ht="12.75" x14ac:dyDescent="0.2">
      <c r="R12296" s="1288"/>
    </row>
    <row r="12297" spans="18:18" s="2" customFormat="1" ht="12.75" x14ac:dyDescent="0.2">
      <c r="R12297" s="1288"/>
    </row>
    <row r="12298" spans="18:18" s="2" customFormat="1" ht="12.75" x14ac:dyDescent="0.2">
      <c r="R12298" s="1288"/>
    </row>
    <row r="12299" spans="18:18" s="2" customFormat="1" ht="12.75" x14ac:dyDescent="0.2">
      <c r="R12299" s="1288"/>
    </row>
    <row r="12300" spans="18:18" s="2" customFormat="1" ht="12.75" x14ac:dyDescent="0.2">
      <c r="R12300" s="1288"/>
    </row>
    <row r="12301" spans="18:18" s="2" customFormat="1" ht="12.75" x14ac:dyDescent="0.2">
      <c r="R12301" s="1288"/>
    </row>
    <row r="12302" spans="18:18" s="2" customFormat="1" ht="12.75" x14ac:dyDescent="0.2">
      <c r="R12302" s="1288"/>
    </row>
    <row r="12303" spans="18:18" s="2" customFormat="1" ht="12.75" x14ac:dyDescent="0.2">
      <c r="R12303" s="1288"/>
    </row>
    <row r="12304" spans="18:18" s="2" customFormat="1" ht="12.75" x14ac:dyDescent="0.2">
      <c r="R12304" s="1288"/>
    </row>
    <row r="12305" spans="18:18" s="2" customFormat="1" ht="12.75" x14ac:dyDescent="0.2">
      <c r="R12305" s="1288"/>
    </row>
    <row r="12306" spans="18:18" s="2" customFormat="1" ht="12.75" x14ac:dyDescent="0.2">
      <c r="R12306" s="1288"/>
    </row>
    <row r="12307" spans="18:18" s="2" customFormat="1" ht="12.75" x14ac:dyDescent="0.2">
      <c r="R12307" s="1288"/>
    </row>
    <row r="12308" spans="18:18" s="2" customFormat="1" ht="12.75" x14ac:dyDescent="0.2">
      <c r="R12308" s="1288"/>
    </row>
    <row r="12309" spans="18:18" s="2" customFormat="1" ht="12.75" x14ac:dyDescent="0.2">
      <c r="R12309" s="1288"/>
    </row>
    <row r="12310" spans="18:18" s="2" customFormat="1" ht="12.75" x14ac:dyDescent="0.2">
      <c r="R12310" s="1288"/>
    </row>
    <row r="12311" spans="18:18" s="2" customFormat="1" ht="12.75" x14ac:dyDescent="0.2">
      <c r="R12311" s="1288"/>
    </row>
    <row r="12312" spans="18:18" s="2" customFormat="1" ht="12.75" x14ac:dyDescent="0.2">
      <c r="R12312" s="1288"/>
    </row>
    <row r="12313" spans="18:18" s="2" customFormat="1" ht="12.75" x14ac:dyDescent="0.2">
      <c r="R12313" s="1288"/>
    </row>
    <row r="12314" spans="18:18" s="2" customFormat="1" ht="12.75" x14ac:dyDescent="0.2">
      <c r="R12314" s="1288"/>
    </row>
    <row r="12315" spans="18:18" s="2" customFormat="1" ht="12.75" x14ac:dyDescent="0.2">
      <c r="R12315" s="1288"/>
    </row>
    <row r="12316" spans="18:18" s="2" customFormat="1" ht="12.75" x14ac:dyDescent="0.2">
      <c r="R12316" s="1288"/>
    </row>
    <row r="12317" spans="18:18" s="2" customFormat="1" ht="12.75" x14ac:dyDescent="0.2">
      <c r="R12317" s="1288"/>
    </row>
    <row r="12318" spans="18:18" s="2" customFormat="1" ht="12.75" x14ac:dyDescent="0.2">
      <c r="R12318" s="1288"/>
    </row>
    <row r="12319" spans="18:18" s="2" customFormat="1" ht="12.75" x14ac:dyDescent="0.2">
      <c r="R12319" s="1288"/>
    </row>
    <row r="12320" spans="18:18" s="2" customFormat="1" ht="12.75" x14ac:dyDescent="0.2">
      <c r="R12320" s="1288"/>
    </row>
    <row r="12321" spans="18:18" s="2" customFormat="1" ht="12.75" x14ac:dyDescent="0.2">
      <c r="R12321" s="1288"/>
    </row>
    <row r="12322" spans="18:18" s="2" customFormat="1" ht="12.75" x14ac:dyDescent="0.2">
      <c r="R12322" s="1288"/>
    </row>
    <row r="12323" spans="18:18" s="2" customFormat="1" ht="12.75" x14ac:dyDescent="0.2">
      <c r="R12323" s="1288"/>
    </row>
    <row r="12324" spans="18:18" s="2" customFormat="1" ht="12.75" x14ac:dyDescent="0.2">
      <c r="R12324" s="1288"/>
    </row>
    <row r="12325" spans="18:18" s="2" customFormat="1" ht="12.75" x14ac:dyDescent="0.2">
      <c r="R12325" s="1288"/>
    </row>
    <row r="12326" spans="18:18" s="2" customFormat="1" ht="12.75" x14ac:dyDescent="0.2">
      <c r="R12326" s="1288"/>
    </row>
    <row r="12327" spans="18:18" s="2" customFormat="1" ht="12.75" x14ac:dyDescent="0.2">
      <c r="R12327" s="1288"/>
    </row>
    <row r="12328" spans="18:18" s="2" customFormat="1" ht="12.75" x14ac:dyDescent="0.2">
      <c r="R12328" s="1288"/>
    </row>
    <row r="12329" spans="18:18" s="2" customFormat="1" ht="12.75" x14ac:dyDescent="0.2">
      <c r="R12329" s="1288"/>
    </row>
    <row r="12330" spans="18:18" s="2" customFormat="1" ht="12.75" x14ac:dyDescent="0.2">
      <c r="R12330" s="1288"/>
    </row>
    <row r="12331" spans="18:18" s="2" customFormat="1" ht="12.75" x14ac:dyDescent="0.2">
      <c r="R12331" s="1288"/>
    </row>
    <row r="12332" spans="18:18" s="2" customFormat="1" ht="12.75" x14ac:dyDescent="0.2">
      <c r="R12332" s="1288"/>
    </row>
    <row r="12333" spans="18:18" s="2" customFormat="1" ht="12.75" x14ac:dyDescent="0.2">
      <c r="R12333" s="1288"/>
    </row>
    <row r="12334" spans="18:18" s="2" customFormat="1" ht="12.75" x14ac:dyDescent="0.2">
      <c r="R12334" s="1288"/>
    </row>
    <row r="12335" spans="18:18" s="2" customFormat="1" ht="12.75" x14ac:dyDescent="0.2">
      <c r="R12335" s="1288"/>
    </row>
    <row r="12336" spans="18:18" s="2" customFormat="1" ht="12.75" x14ac:dyDescent="0.2">
      <c r="R12336" s="1288"/>
    </row>
    <row r="12337" spans="18:18" s="2" customFormat="1" ht="12.75" x14ac:dyDescent="0.2">
      <c r="R12337" s="1288"/>
    </row>
    <row r="12338" spans="18:18" s="2" customFormat="1" ht="12.75" x14ac:dyDescent="0.2">
      <c r="R12338" s="1288"/>
    </row>
    <row r="12339" spans="18:18" s="2" customFormat="1" ht="12.75" x14ac:dyDescent="0.2">
      <c r="R12339" s="1288"/>
    </row>
    <row r="12340" spans="18:18" s="2" customFormat="1" ht="12.75" x14ac:dyDescent="0.2">
      <c r="R12340" s="1288"/>
    </row>
    <row r="12341" spans="18:18" s="2" customFormat="1" ht="12.75" x14ac:dyDescent="0.2">
      <c r="R12341" s="1288"/>
    </row>
    <row r="12342" spans="18:18" s="2" customFormat="1" ht="12.75" x14ac:dyDescent="0.2">
      <c r="R12342" s="1288"/>
    </row>
    <row r="12343" spans="18:18" s="2" customFormat="1" ht="12.75" x14ac:dyDescent="0.2">
      <c r="R12343" s="1288"/>
    </row>
    <row r="12344" spans="18:18" s="2" customFormat="1" ht="12.75" x14ac:dyDescent="0.2">
      <c r="R12344" s="1288"/>
    </row>
    <row r="12345" spans="18:18" s="2" customFormat="1" ht="12.75" x14ac:dyDescent="0.2">
      <c r="R12345" s="1288"/>
    </row>
    <row r="12346" spans="18:18" s="2" customFormat="1" ht="12.75" x14ac:dyDescent="0.2">
      <c r="R12346" s="1288"/>
    </row>
    <row r="12347" spans="18:18" s="2" customFormat="1" ht="12.75" x14ac:dyDescent="0.2">
      <c r="R12347" s="1288"/>
    </row>
    <row r="12348" spans="18:18" s="2" customFormat="1" ht="12.75" x14ac:dyDescent="0.2">
      <c r="R12348" s="1288"/>
    </row>
    <row r="12349" spans="18:18" s="2" customFormat="1" ht="12.75" x14ac:dyDescent="0.2">
      <c r="R12349" s="1288"/>
    </row>
    <row r="12350" spans="18:18" s="2" customFormat="1" ht="12.75" x14ac:dyDescent="0.2">
      <c r="R12350" s="1288"/>
    </row>
    <row r="12351" spans="18:18" s="2" customFormat="1" ht="12.75" x14ac:dyDescent="0.2">
      <c r="R12351" s="1288"/>
    </row>
    <row r="12352" spans="18:18" s="2" customFormat="1" ht="12.75" x14ac:dyDescent="0.2">
      <c r="R12352" s="1288"/>
    </row>
    <row r="12353" spans="18:18" s="2" customFormat="1" ht="12.75" x14ac:dyDescent="0.2">
      <c r="R12353" s="1288"/>
    </row>
    <row r="12354" spans="18:18" s="2" customFormat="1" ht="12.75" x14ac:dyDescent="0.2">
      <c r="R12354" s="1288"/>
    </row>
    <row r="12355" spans="18:18" s="2" customFormat="1" ht="12.75" x14ac:dyDescent="0.2">
      <c r="R12355" s="1288"/>
    </row>
    <row r="12356" spans="18:18" s="2" customFormat="1" ht="12.75" x14ac:dyDescent="0.2">
      <c r="R12356" s="1288"/>
    </row>
    <row r="12357" spans="18:18" s="2" customFormat="1" ht="12.75" x14ac:dyDescent="0.2">
      <c r="R12357" s="1288"/>
    </row>
    <row r="12358" spans="18:18" s="2" customFormat="1" ht="12.75" x14ac:dyDescent="0.2">
      <c r="R12358" s="1288"/>
    </row>
    <row r="12359" spans="18:18" s="2" customFormat="1" ht="12.75" x14ac:dyDescent="0.2">
      <c r="R12359" s="1288"/>
    </row>
    <row r="12360" spans="18:18" s="2" customFormat="1" ht="12.75" x14ac:dyDescent="0.2">
      <c r="R12360" s="1288"/>
    </row>
    <row r="12361" spans="18:18" s="2" customFormat="1" ht="12.75" x14ac:dyDescent="0.2">
      <c r="R12361" s="1288"/>
    </row>
    <row r="12362" spans="18:18" s="2" customFormat="1" ht="12.75" x14ac:dyDescent="0.2">
      <c r="R12362" s="1288"/>
    </row>
    <row r="12363" spans="18:18" s="2" customFormat="1" ht="12.75" x14ac:dyDescent="0.2">
      <c r="R12363" s="1288"/>
    </row>
    <row r="12364" spans="18:18" s="2" customFormat="1" ht="12.75" x14ac:dyDescent="0.2">
      <c r="R12364" s="1288"/>
    </row>
    <row r="12365" spans="18:18" s="2" customFormat="1" ht="12.75" x14ac:dyDescent="0.2">
      <c r="R12365" s="1288"/>
    </row>
    <row r="12366" spans="18:18" s="2" customFormat="1" ht="12.75" x14ac:dyDescent="0.2">
      <c r="R12366" s="1288"/>
    </row>
    <row r="12367" spans="18:18" s="2" customFormat="1" ht="12.75" x14ac:dyDescent="0.2">
      <c r="R12367" s="1288"/>
    </row>
    <row r="12368" spans="18:18" s="2" customFormat="1" ht="12.75" x14ac:dyDescent="0.2">
      <c r="R12368" s="1288"/>
    </row>
    <row r="12369" spans="18:18" s="2" customFormat="1" ht="12.75" x14ac:dyDescent="0.2">
      <c r="R12369" s="1288"/>
    </row>
    <row r="12370" spans="18:18" s="2" customFormat="1" ht="12.75" x14ac:dyDescent="0.2">
      <c r="R12370" s="1288"/>
    </row>
    <row r="12371" spans="18:18" s="2" customFormat="1" ht="12.75" x14ac:dyDescent="0.2">
      <c r="R12371" s="1288"/>
    </row>
    <row r="12372" spans="18:18" s="2" customFormat="1" ht="12.75" x14ac:dyDescent="0.2">
      <c r="R12372" s="1288"/>
    </row>
    <row r="12373" spans="18:18" s="2" customFormat="1" ht="12.75" x14ac:dyDescent="0.2">
      <c r="R12373" s="1288"/>
    </row>
    <row r="12374" spans="18:18" s="2" customFormat="1" ht="12.75" x14ac:dyDescent="0.2">
      <c r="R12374" s="1288"/>
    </row>
    <row r="12375" spans="18:18" s="2" customFormat="1" ht="12.75" x14ac:dyDescent="0.2">
      <c r="R12375" s="1288"/>
    </row>
    <row r="12376" spans="18:18" s="2" customFormat="1" ht="12.75" x14ac:dyDescent="0.2">
      <c r="R12376" s="1288"/>
    </row>
    <row r="12377" spans="18:18" s="2" customFormat="1" ht="12.75" x14ac:dyDescent="0.2">
      <c r="R12377" s="1288"/>
    </row>
    <row r="12378" spans="18:18" s="2" customFormat="1" ht="12.75" x14ac:dyDescent="0.2">
      <c r="R12378" s="1288"/>
    </row>
    <row r="12379" spans="18:18" s="2" customFormat="1" ht="12.75" x14ac:dyDescent="0.2">
      <c r="R12379" s="1288"/>
    </row>
    <row r="12380" spans="18:18" s="2" customFormat="1" ht="12.75" x14ac:dyDescent="0.2">
      <c r="R12380" s="1288"/>
    </row>
    <row r="12381" spans="18:18" s="2" customFormat="1" ht="12.75" x14ac:dyDescent="0.2">
      <c r="R12381" s="1288"/>
    </row>
    <row r="12382" spans="18:18" s="2" customFormat="1" ht="12.75" x14ac:dyDescent="0.2">
      <c r="R12382" s="1288"/>
    </row>
    <row r="12383" spans="18:18" s="2" customFormat="1" ht="12.75" x14ac:dyDescent="0.2">
      <c r="R12383" s="1288"/>
    </row>
    <row r="12384" spans="18:18" s="2" customFormat="1" ht="12.75" x14ac:dyDescent="0.2">
      <c r="R12384" s="1288"/>
    </row>
    <row r="12385" spans="18:18" s="2" customFormat="1" ht="12.75" x14ac:dyDescent="0.2">
      <c r="R12385" s="1288"/>
    </row>
    <row r="12386" spans="18:18" s="2" customFormat="1" ht="12.75" x14ac:dyDescent="0.2">
      <c r="R12386" s="1288"/>
    </row>
    <row r="12387" spans="18:18" s="2" customFormat="1" ht="12.75" x14ac:dyDescent="0.2">
      <c r="R12387" s="1288"/>
    </row>
    <row r="12388" spans="18:18" s="2" customFormat="1" ht="12.75" x14ac:dyDescent="0.2">
      <c r="R12388" s="1288"/>
    </row>
    <row r="12389" spans="18:18" s="2" customFormat="1" ht="12.75" x14ac:dyDescent="0.2">
      <c r="R12389" s="1288"/>
    </row>
    <row r="12390" spans="18:18" s="2" customFormat="1" ht="12.75" x14ac:dyDescent="0.2">
      <c r="R12390" s="1288"/>
    </row>
    <row r="12391" spans="18:18" s="2" customFormat="1" ht="12.75" x14ac:dyDescent="0.2">
      <c r="R12391" s="1288"/>
    </row>
    <row r="12392" spans="18:18" s="2" customFormat="1" ht="12.75" x14ac:dyDescent="0.2">
      <c r="R12392" s="1288"/>
    </row>
    <row r="12393" spans="18:18" s="2" customFormat="1" ht="12.75" x14ac:dyDescent="0.2">
      <c r="R12393" s="1288"/>
    </row>
    <row r="12394" spans="18:18" s="2" customFormat="1" ht="12.75" x14ac:dyDescent="0.2">
      <c r="R12394" s="1288"/>
    </row>
    <row r="12395" spans="18:18" s="2" customFormat="1" ht="12.75" x14ac:dyDescent="0.2">
      <c r="R12395" s="1288"/>
    </row>
    <row r="12396" spans="18:18" s="2" customFormat="1" ht="12.75" x14ac:dyDescent="0.2">
      <c r="R12396" s="1288"/>
    </row>
    <row r="12397" spans="18:18" s="2" customFormat="1" ht="12.75" x14ac:dyDescent="0.2">
      <c r="R12397" s="1288"/>
    </row>
    <row r="12398" spans="18:18" s="2" customFormat="1" ht="12.75" x14ac:dyDescent="0.2">
      <c r="R12398" s="1288"/>
    </row>
    <row r="12399" spans="18:18" s="2" customFormat="1" ht="12.75" x14ac:dyDescent="0.2">
      <c r="R12399" s="1288"/>
    </row>
    <row r="12400" spans="18:18" s="2" customFormat="1" ht="12.75" x14ac:dyDescent="0.2">
      <c r="R12400" s="1288"/>
    </row>
    <row r="12401" spans="18:18" s="2" customFormat="1" ht="12.75" x14ac:dyDescent="0.2">
      <c r="R12401" s="1288"/>
    </row>
    <row r="12402" spans="18:18" s="2" customFormat="1" ht="12.75" x14ac:dyDescent="0.2">
      <c r="R12402" s="1288"/>
    </row>
    <row r="12403" spans="18:18" s="2" customFormat="1" ht="12.75" x14ac:dyDescent="0.2">
      <c r="R12403" s="1288"/>
    </row>
    <row r="12404" spans="18:18" s="2" customFormat="1" ht="12.75" x14ac:dyDescent="0.2">
      <c r="R12404" s="1288"/>
    </row>
    <row r="12405" spans="18:18" s="2" customFormat="1" ht="12.75" x14ac:dyDescent="0.2">
      <c r="R12405" s="1288"/>
    </row>
    <row r="12406" spans="18:18" s="2" customFormat="1" ht="12.75" x14ac:dyDescent="0.2">
      <c r="R12406" s="1288"/>
    </row>
    <row r="12407" spans="18:18" s="2" customFormat="1" ht="12.75" x14ac:dyDescent="0.2">
      <c r="R12407" s="1288"/>
    </row>
    <row r="12408" spans="18:18" s="2" customFormat="1" ht="12.75" x14ac:dyDescent="0.2">
      <c r="R12408" s="1288"/>
    </row>
    <row r="12409" spans="18:18" s="2" customFormat="1" ht="12.75" x14ac:dyDescent="0.2">
      <c r="R12409" s="1288"/>
    </row>
    <row r="12410" spans="18:18" s="2" customFormat="1" ht="12.75" x14ac:dyDescent="0.2">
      <c r="R12410" s="1288"/>
    </row>
    <row r="12411" spans="18:18" s="2" customFormat="1" ht="12.75" x14ac:dyDescent="0.2">
      <c r="R12411" s="1288"/>
    </row>
    <row r="12412" spans="18:18" s="2" customFormat="1" ht="12.75" x14ac:dyDescent="0.2">
      <c r="R12412" s="1288"/>
    </row>
    <row r="12413" spans="18:18" s="2" customFormat="1" ht="12.75" x14ac:dyDescent="0.2">
      <c r="R12413" s="1288"/>
    </row>
    <row r="12414" spans="18:18" s="2" customFormat="1" ht="12.75" x14ac:dyDescent="0.2">
      <c r="R12414" s="1288"/>
    </row>
    <row r="12415" spans="18:18" s="2" customFormat="1" ht="12.75" x14ac:dyDescent="0.2">
      <c r="R12415" s="1288"/>
    </row>
    <row r="12416" spans="18:18" s="2" customFormat="1" ht="12.75" x14ac:dyDescent="0.2">
      <c r="R12416" s="1288"/>
    </row>
    <row r="12417" spans="18:18" s="2" customFormat="1" ht="12.75" x14ac:dyDescent="0.2">
      <c r="R12417" s="1288"/>
    </row>
    <row r="12418" spans="18:18" s="2" customFormat="1" ht="12.75" x14ac:dyDescent="0.2">
      <c r="R12418" s="1288"/>
    </row>
    <row r="12419" spans="18:18" s="2" customFormat="1" ht="12.75" x14ac:dyDescent="0.2">
      <c r="R12419" s="1288"/>
    </row>
    <row r="12420" spans="18:18" s="2" customFormat="1" ht="12.75" x14ac:dyDescent="0.2">
      <c r="R12420" s="1288"/>
    </row>
    <row r="12421" spans="18:18" s="2" customFormat="1" ht="12.75" x14ac:dyDescent="0.2">
      <c r="R12421" s="1288"/>
    </row>
    <row r="12422" spans="18:18" s="2" customFormat="1" ht="12.75" x14ac:dyDescent="0.2">
      <c r="R12422" s="1288"/>
    </row>
    <row r="12423" spans="18:18" s="2" customFormat="1" ht="12.75" x14ac:dyDescent="0.2">
      <c r="R12423" s="1288"/>
    </row>
    <row r="12424" spans="18:18" s="2" customFormat="1" ht="12.75" x14ac:dyDescent="0.2">
      <c r="R12424" s="1288"/>
    </row>
    <row r="12425" spans="18:18" s="2" customFormat="1" ht="12.75" x14ac:dyDescent="0.2">
      <c r="R12425" s="1288"/>
    </row>
    <row r="12426" spans="18:18" s="2" customFormat="1" ht="12.75" x14ac:dyDescent="0.2">
      <c r="R12426" s="1288"/>
    </row>
    <row r="12427" spans="18:18" s="2" customFormat="1" ht="12.75" x14ac:dyDescent="0.2">
      <c r="R12427" s="1288"/>
    </row>
    <row r="12428" spans="18:18" s="2" customFormat="1" ht="12.75" x14ac:dyDescent="0.2">
      <c r="R12428" s="1288"/>
    </row>
    <row r="12429" spans="18:18" s="2" customFormat="1" ht="12.75" x14ac:dyDescent="0.2">
      <c r="R12429" s="1288"/>
    </row>
    <row r="12430" spans="18:18" s="2" customFormat="1" ht="12.75" x14ac:dyDescent="0.2">
      <c r="R12430" s="1288"/>
    </row>
    <row r="12431" spans="18:18" s="2" customFormat="1" ht="12.75" x14ac:dyDescent="0.2">
      <c r="R12431" s="1288"/>
    </row>
    <row r="12432" spans="18:18" s="2" customFormat="1" ht="12.75" x14ac:dyDescent="0.2">
      <c r="R12432" s="1288"/>
    </row>
    <row r="12433" spans="18:18" s="2" customFormat="1" ht="12.75" x14ac:dyDescent="0.2">
      <c r="R12433" s="1288"/>
    </row>
    <row r="12434" spans="18:18" s="2" customFormat="1" ht="12.75" x14ac:dyDescent="0.2">
      <c r="R12434" s="1288"/>
    </row>
    <row r="12435" spans="18:18" s="2" customFormat="1" ht="12.75" x14ac:dyDescent="0.2">
      <c r="R12435" s="1288"/>
    </row>
    <row r="12436" spans="18:18" s="2" customFormat="1" ht="12.75" x14ac:dyDescent="0.2">
      <c r="R12436" s="1288"/>
    </row>
    <row r="12437" spans="18:18" s="2" customFormat="1" ht="12.75" x14ac:dyDescent="0.2">
      <c r="R12437" s="1288"/>
    </row>
    <row r="12438" spans="18:18" s="2" customFormat="1" ht="12.75" x14ac:dyDescent="0.2">
      <c r="R12438" s="1288"/>
    </row>
    <row r="12439" spans="18:18" s="2" customFormat="1" ht="12.75" x14ac:dyDescent="0.2">
      <c r="R12439" s="1288"/>
    </row>
    <row r="12440" spans="18:18" s="2" customFormat="1" ht="12.75" x14ac:dyDescent="0.2">
      <c r="R12440" s="1288"/>
    </row>
    <row r="12441" spans="18:18" s="2" customFormat="1" ht="12.75" x14ac:dyDescent="0.2">
      <c r="R12441" s="1288"/>
    </row>
    <row r="12442" spans="18:18" s="2" customFormat="1" ht="12.75" x14ac:dyDescent="0.2">
      <c r="R12442" s="1288"/>
    </row>
    <row r="12443" spans="18:18" s="2" customFormat="1" ht="12.75" x14ac:dyDescent="0.2">
      <c r="R12443" s="1288"/>
    </row>
    <row r="12444" spans="18:18" s="2" customFormat="1" ht="12.75" x14ac:dyDescent="0.2">
      <c r="R12444" s="1288"/>
    </row>
    <row r="12445" spans="18:18" s="2" customFormat="1" ht="12.75" x14ac:dyDescent="0.2">
      <c r="R12445" s="1288"/>
    </row>
    <row r="12446" spans="18:18" s="2" customFormat="1" ht="12.75" x14ac:dyDescent="0.2">
      <c r="R12446" s="1288"/>
    </row>
    <row r="12447" spans="18:18" s="2" customFormat="1" ht="12.75" x14ac:dyDescent="0.2">
      <c r="R12447" s="1288"/>
    </row>
    <row r="12448" spans="18:18" s="2" customFormat="1" ht="12.75" x14ac:dyDescent="0.2">
      <c r="R12448" s="1288"/>
    </row>
    <row r="12449" spans="18:18" s="2" customFormat="1" ht="12.75" x14ac:dyDescent="0.2">
      <c r="R12449" s="1288"/>
    </row>
    <row r="12450" spans="18:18" s="2" customFormat="1" ht="12.75" x14ac:dyDescent="0.2">
      <c r="R12450" s="1288"/>
    </row>
    <row r="12451" spans="18:18" s="2" customFormat="1" ht="12.75" x14ac:dyDescent="0.2">
      <c r="R12451" s="1288"/>
    </row>
    <row r="12452" spans="18:18" s="2" customFormat="1" ht="12.75" x14ac:dyDescent="0.2">
      <c r="R12452" s="1288"/>
    </row>
    <row r="12453" spans="18:18" s="2" customFormat="1" ht="12.75" x14ac:dyDescent="0.2">
      <c r="R12453" s="1288"/>
    </row>
    <row r="12454" spans="18:18" s="2" customFormat="1" ht="12.75" x14ac:dyDescent="0.2">
      <c r="R12454" s="1288"/>
    </row>
    <row r="12455" spans="18:18" s="2" customFormat="1" ht="12.75" x14ac:dyDescent="0.2">
      <c r="R12455" s="1288"/>
    </row>
    <row r="12456" spans="18:18" s="2" customFormat="1" ht="12.75" x14ac:dyDescent="0.2">
      <c r="R12456" s="1288"/>
    </row>
    <row r="12457" spans="18:18" s="2" customFormat="1" ht="12.75" x14ac:dyDescent="0.2">
      <c r="R12457" s="1288"/>
    </row>
    <row r="12458" spans="18:18" s="2" customFormat="1" ht="12.75" x14ac:dyDescent="0.2">
      <c r="R12458" s="1288"/>
    </row>
    <row r="12459" spans="18:18" s="2" customFormat="1" ht="12.75" x14ac:dyDescent="0.2">
      <c r="R12459" s="1288"/>
    </row>
    <row r="12460" spans="18:18" s="2" customFormat="1" ht="12.75" x14ac:dyDescent="0.2">
      <c r="R12460" s="1288"/>
    </row>
    <row r="12461" spans="18:18" s="2" customFormat="1" ht="12.75" x14ac:dyDescent="0.2">
      <c r="R12461" s="1288"/>
    </row>
    <row r="12462" spans="18:18" s="2" customFormat="1" ht="12.75" x14ac:dyDescent="0.2">
      <c r="R12462" s="1288"/>
    </row>
    <row r="12463" spans="18:18" s="2" customFormat="1" ht="12.75" x14ac:dyDescent="0.2">
      <c r="R12463" s="1288"/>
    </row>
    <row r="12464" spans="18:18" s="2" customFormat="1" ht="12.75" x14ac:dyDescent="0.2">
      <c r="R12464" s="1288"/>
    </row>
    <row r="12465" spans="18:18" s="2" customFormat="1" ht="12.75" x14ac:dyDescent="0.2">
      <c r="R12465" s="1288"/>
    </row>
    <row r="12466" spans="18:18" s="2" customFormat="1" ht="12.75" x14ac:dyDescent="0.2">
      <c r="R12466" s="1288"/>
    </row>
    <row r="12467" spans="18:18" s="2" customFormat="1" ht="12.75" x14ac:dyDescent="0.2">
      <c r="R12467" s="1288"/>
    </row>
    <row r="12468" spans="18:18" s="2" customFormat="1" ht="12.75" x14ac:dyDescent="0.2">
      <c r="R12468" s="1288"/>
    </row>
    <row r="12469" spans="18:18" s="2" customFormat="1" ht="12.75" x14ac:dyDescent="0.2">
      <c r="R12469" s="1288"/>
    </row>
    <row r="12470" spans="18:18" s="2" customFormat="1" ht="12.75" x14ac:dyDescent="0.2">
      <c r="R12470" s="1288"/>
    </row>
    <row r="12471" spans="18:18" s="2" customFormat="1" ht="12.75" x14ac:dyDescent="0.2">
      <c r="R12471" s="1288"/>
    </row>
    <row r="12472" spans="18:18" s="2" customFormat="1" ht="12.75" x14ac:dyDescent="0.2">
      <c r="R12472" s="1288"/>
    </row>
    <row r="12473" spans="18:18" s="2" customFormat="1" ht="12.75" x14ac:dyDescent="0.2">
      <c r="R12473" s="1288"/>
    </row>
    <row r="12474" spans="18:18" s="2" customFormat="1" ht="12.75" x14ac:dyDescent="0.2">
      <c r="R12474" s="1288"/>
    </row>
    <row r="12475" spans="18:18" s="2" customFormat="1" ht="12.75" x14ac:dyDescent="0.2">
      <c r="R12475" s="1288"/>
    </row>
    <row r="12476" spans="18:18" s="2" customFormat="1" ht="12.75" x14ac:dyDescent="0.2">
      <c r="R12476" s="1288"/>
    </row>
    <row r="12477" spans="18:18" s="2" customFormat="1" ht="12.75" x14ac:dyDescent="0.2">
      <c r="R12477" s="1288"/>
    </row>
    <row r="12478" spans="18:18" s="2" customFormat="1" ht="12.75" x14ac:dyDescent="0.2">
      <c r="R12478" s="1288"/>
    </row>
    <row r="12479" spans="18:18" s="2" customFormat="1" ht="12.75" x14ac:dyDescent="0.2">
      <c r="R12479" s="1288"/>
    </row>
    <row r="12480" spans="18:18" s="2" customFormat="1" ht="12.75" x14ac:dyDescent="0.2">
      <c r="R12480" s="1288"/>
    </row>
    <row r="12481" spans="18:18" s="2" customFormat="1" ht="12.75" x14ac:dyDescent="0.2">
      <c r="R12481" s="1288"/>
    </row>
    <row r="12482" spans="18:18" s="2" customFormat="1" ht="12.75" x14ac:dyDescent="0.2">
      <c r="R12482" s="1288"/>
    </row>
    <row r="12483" spans="18:18" s="2" customFormat="1" ht="12.75" x14ac:dyDescent="0.2">
      <c r="R12483" s="1288"/>
    </row>
    <row r="12484" spans="18:18" s="2" customFormat="1" ht="12.75" x14ac:dyDescent="0.2">
      <c r="R12484" s="1288"/>
    </row>
    <row r="12485" spans="18:18" s="2" customFormat="1" ht="12.75" x14ac:dyDescent="0.2">
      <c r="R12485" s="1288"/>
    </row>
    <row r="12486" spans="18:18" s="2" customFormat="1" ht="12.75" x14ac:dyDescent="0.2">
      <c r="R12486" s="1288"/>
    </row>
    <row r="12487" spans="18:18" s="2" customFormat="1" ht="12.75" x14ac:dyDescent="0.2">
      <c r="R12487" s="1288"/>
    </row>
    <row r="12488" spans="18:18" s="2" customFormat="1" ht="12.75" x14ac:dyDescent="0.2">
      <c r="R12488" s="1288"/>
    </row>
    <row r="12489" spans="18:18" s="2" customFormat="1" ht="12.75" x14ac:dyDescent="0.2">
      <c r="R12489" s="1288"/>
    </row>
    <row r="12490" spans="18:18" s="2" customFormat="1" ht="12.75" x14ac:dyDescent="0.2">
      <c r="R12490" s="1288"/>
    </row>
    <row r="12491" spans="18:18" s="2" customFormat="1" ht="12.75" x14ac:dyDescent="0.2">
      <c r="R12491" s="1288"/>
    </row>
    <row r="12492" spans="18:18" s="2" customFormat="1" ht="12.75" x14ac:dyDescent="0.2">
      <c r="R12492" s="1288"/>
    </row>
    <row r="12493" spans="18:18" s="2" customFormat="1" ht="12.75" x14ac:dyDescent="0.2">
      <c r="R12493" s="1288"/>
    </row>
    <row r="12494" spans="18:18" s="2" customFormat="1" ht="12.75" x14ac:dyDescent="0.2">
      <c r="R12494" s="1288"/>
    </row>
    <row r="12495" spans="18:18" s="2" customFormat="1" ht="12.75" x14ac:dyDescent="0.2">
      <c r="R12495" s="1288"/>
    </row>
    <row r="12496" spans="18:18" s="2" customFormat="1" ht="12.75" x14ac:dyDescent="0.2">
      <c r="R12496" s="1288"/>
    </row>
    <row r="12497" spans="18:18" s="2" customFormat="1" ht="12.75" x14ac:dyDescent="0.2">
      <c r="R12497" s="1288"/>
    </row>
    <row r="12498" spans="18:18" s="2" customFormat="1" ht="12.75" x14ac:dyDescent="0.2">
      <c r="R12498" s="1288"/>
    </row>
    <row r="12499" spans="18:18" s="2" customFormat="1" ht="12.75" x14ac:dyDescent="0.2">
      <c r="R12499" s="1288"/>
    </row>
    <row r="12500" spans="18:18" s="2" customFormat="1" ht="12.75" x14ac:dyDescent="0.2">
      <c r="R12500" s="1288"/>
    </row>
    <row r="12501" spans="18:18" s="2" customFormat="1" ht="12.75" x14ac:dyDescent="0.2">
      <c r="R12501" s="1288"/>
    </row>
    <row r="12502" spans="18:18" s="2" customFormat="1" ht="12.75" x14ac:dyDescent="0.2">
      <c r="R12502" s="1288"/>
    </row>
    <row r="12503" spans="18:18" s="2" customFormat="1" ht="12.75" x14ac:dyDescent="0.2">
      <c r="R12503" s="1288"/>
    </row>
    <row r="12504" spans="18:18" s="2" customFormat="1" ht="12.75" x14ac:dyDescent="0.2">
      <c r="R12504" s="1288"/>
    </row>
    <row r="12505" spans="18:18" s="2" customFormat="1" ht="12.75" x14ac:dyDescent="0.2">
      <c r="R12505" s="1288"/>
    </row>
    <row r="12506" spans="18:18" s="2" customFormat="1" ht="12.75" x14ac:dyDescent="0.2">
      <c r="R12506" s="1288"/>
    </row>
    <row r="12507" spans="18:18" s="2" customFormat="1" ht="12.75" x14ac:dyDescent="0.2">
      <c r="R12507" s="1288"/>
    </row>
    <row r="12508" spans="18:18" s="2" customFormat="1" ht="12.75" x14ac:dyDescent="0.2">
      <c r="R12508" s="1288"/>
    </row>
    <row r="12509" spans="18:18" s="2" customFormat="1" ht="12.75" x14ac:dyDescent="0.2">
      <c r="R12509" s="1288"/>
    </row>
    <row r="12510" spans="18:18" s="2" customFormat="1" ht="12.75" x14ac:dyDescent="0.2">
      <c r="R12510" s="1288"/>
    </row>
    <row r="12511" spans="18:18" s="2" customFormat="1" ht="12.75" x14ac:dyDescent="0.2">
      <c r="R12511" s="1288"/>
    </row>
    <row r="12512" spans="18:18" s="2" customFormat="1" ht="12.75" x14ac:dyDescent="0.2">
      <c r="R12512" s="1288"/>
    </row>
    <row r="12513" spans="18:18" s="2" customFormat="1" ht="12.75" x14ac:dyDescent="0.2">
      <c r="R12513" s="1288"/>
    </row>
    <row r="12514" spans="18:18" s="2" customFormat="1" ht="12.75" x14ac:dyDescent="0.2">
      <c r="R12514" s="1288"/>
    </row>
    <row r="12515" spans="18:18" s="2" customFormat="1" ht="12.75" x14ac:dyDescent="0.2">
      <c r="R12515" s="1288"/>
    </row>
    <row r="12516" spans="18:18" s="2" customFormat="1" ht="12.75" x14ac:dyDescent="0.2">
      <c r="R12516" s="1288"/>
    </row>
    <row r="12517" spans="18:18" s="2" customFormat="1" ht="12.75" x14ac:dyDescent="0.2">
      <c r="R12517" s="1288"/>
    </row>
    <row r="12518" spans="18:18" s="2" customFormat="1" ht="12.75" x14ac:dyDescent="0.2">
      <c r="R12518" s="1288"/>
    </row>
    <row r="12519" spans="18:18" s="2" customFormat="1" ht="12.75" x14ac:dyDescent="0.2">
      <c r="R12519" s="1288"/>
    </row>
    <row r="12520" spans="18:18" s="2" customFormat="1" ht="12.75" x14ac:dyDescent="0.2">
      <c r="R12520" s="1288"/>
    </row>
    <row r="12521" spans="18:18" s="2" customFormat="1" ht="12.75" x14ac:dyDescent="0.2">
      <c r="R12521" s="1288"/>
    </row>
    <row r="12522" spans="18:18" s="2" customFormat="1" ht="12.75" x14ac:dyDescent="0.2">
      <c r="R12522" s="1288"/>
    </row>
    <row r="12523" spans="18:18" s="2" customFormat="1" ht="12.75" x14ac:dyDescent="0.2">
      <c r="R12523" s="1288"/>
    </row>
    <row r="12524" spans="18:18" s="2" customFormat="1" ht="12.75" x14ac:dyDescent="0.2">
      <c r="R12524" s="1288"/>
    </row>
    <row r="12525" spans="18:18" s="2" customFormat="1" ht="12.75" x14ac:dyDescent="0.2">
      <c r="R12525" s="1288"/>
    </row>
    <row r="12526" spans="18:18" s="2" customFormat="1" ht="12.75" x14ac:dyDescent="0.2">
      <c r="R12526" s="1288"/>
    </row>
    <row r="12527" spans="18:18" s="2" customFormat="1" ht="12.75" x14ac:dyDescent="0.2">
      <c r="R12527" s="1288"/>
    </row>
    <row r="12528" spans="18:18" s="2" customFormat="1" ht="12.75" x14ac:dyDescent="0.2">
      <c r="R12528" s="1288"/>
    </row>
    <row r="12529" spans="18:18" s="2" customFormat="1" ht="12.75" x14ac:dyDescent="0.2">
      <c r="R12529" s="1288"/>
    </row>
    <row r="12530" spans="18:18" s="2" customFormat="1" ht="12.75" x14ac:dyDescent="0.2">
      <c r="R12530" s="1288"/>
    </row>
    <row r="12531" spans="18:18" s="2" customFormat="1" ht="12.75" x14ac:dyDescent="0.2">
      <c r="R12531" s="1288"/>
    </row>
    <row r="12532" spans="18:18" s="2" customFormat="1" ht="12.75" x14ac:dyDescent="0.2">
      <c r="R12532" s="1288"/>
    </row>
    <row r="12533" spans="18:18" s="2" customFormat="1" ht="12.75" x14ac:dyDescent="0.2">
      <c r="R12533" s="1288"/>
    </row>
    <row r="12534" spans="18:18" s="2" customFormat="1" ht="12.75" x14ac:dyDescent="0.2">
      <c r="R12534" s="1288"/>
    </row>
    <row r="12535" spans="18:18" s="2" customFormat="1" ht="12.75" x14ac:dyDescent="0.2">
      <c r="R12535" s="1288"/>
    </row>
    <row r="12536" spans="18:18" s="2" customFormat="1" ht="12.75" x14ac:dyDescent="0.2">
      <c r="R12536" s="1288"/>
    </row>
    <row r="12537" spans="18:18" s="2" customFormat="1" ht="12.75" x14ac:dyDescent="0.2">
      <c r="R12537" s="1288"/>
    </row>
    <row r="12538" spans="18:18" s="2" customFormat="1" ht="12.75" x14ac:dyDescent="0.2">
      <c r="R12538" s="1288"/>
    </row>
    <row r="12539" spans="18:18" s="2" customFormat="1" ht="12.75" x14ac:dyDescent="0.2">
      <c r="R12539" s="1288"/>
    </row>
    <row r="12540" spans="18:18" s="2" customFormat="1" ht="12.75" x14ac:dyDescent="0.2">
      <c r="R12540" s="1288"/>
    </row>
    <row r="12541" spans="18:18" s="2" customFormat="1" ht="12.75" x14ac:dyDescent="0.2">
      <c r="R12541" s="1288"/>
    </row>
    <row r="12542" spans="18:18" s="2" customFormat="1" ht="12.75" x14ac:dyDescent="0.2">
      <c r="R12542" s="1288"/>
    </row>
    <row r="12543" spans="18:18" s="2" customFormat="1" ht="12.75" x14ac:dyDescent="0.2">
      <c r="R12543" s="1288"/>
    </row>
    <row r="12544" spans="18:18" s="2" customFormat="1" ht="12.75" x14ac:dyDescent="0.2">
      <c r="R12544" s="1288"/>
    </row>
    <row r="12545" spans="18:18" s="2" customFormat="1" ht="12.75" x14ac:dyDescent="0.2">
      <c r="R12545" s="1288"/>
    </row>
    <row r="12546" spans="18:18" s="2" customFormat="1" ht="12.75" x14ac:dyDescent="0.2">
      <c r="R12546" s="1288"/>
    </row>
    <row r="12547" spans="18:18" s="2" customFormat="1" ht="12.75" x14ac:dyDescent="0.2">
      <c r="R12547" s="1288"/>
    </row>
    <row r="12548" spans="18:18" s="2" customFormat="1" ht="12.75" x14ac:dyDescent="0.2">
      <c r="R12548" s="1288"/>
    </row>
    <row r="12549" spans="18:18" s="2" customFormat="1" ht="12.75" x14ac:dyDescent="0.2">
      <c r="R12549" s="1288"/>
    </row>
    <row r="12550" spans="18:18" s="2" customFormat="1" ht="12.75" x14ac:dyDescent="0.2">
      <c r="R12550" s="1288"/>
    </row>
    <row r="12551" spans="18:18" s="2" customFormat="1" ht="12.75" x14ac:dyDescent="0.2">
      <c r="R12551" s="1288"/>
    </row>
    <row r="12552" spans="18:18" s="2" customFormat="1" ht="12.75" x14ac:dyDescent="0.2">
      <c r="R12552" s="1288"/>
    </row>
    <row r="12553" spans="18:18" s="2" customFormat="1" ht="12.75" x14ac:dyDescent="0.2">
      <c r="R12553" s="1288"/>
    </row>
    <row r="12554" spans="18:18" s="2" customFormat="1" ht="12.75" x14ac:dyDescent="0.2">
      <c r="R12554" s="1288"/>
    </row>
    <row r="12555" spans="18:18" s="2" customFormat="1" ht="12.75" x14ac:dyDescent="0.2">
      <c r="R12555" s="1288"/>
    </row>
    <row r="12556" spans="18:18" s="2" customFormat="1" ht="12.75" x14ac:dyDescent="0.2">
      <c r="R12556" s="1288"/>
    </row>
    <row r="12557" spans="18:18" s="2" customFormat="1" ht="12.75" x14ac:dyDescent="0.2">
      <c r="R12557" s="1288"/>
    </row>
    <row r="12558" spans="18:18" s="2" customFormat="1" ht="12.75" x14ac:dyDescent="0.2">
      <c r="R12558" s="1288"/>
    </row>
    <row r="12559" spans="18:18" s="2" customFormat="1" ht="12.75" x14ac:dyDescent="0.2">
      <c r="R12559" s="1288"/>
    </row>
    <row r="12560" spans="18:18" s="2" customFormat="1" ht="12.75" x14ac:dyDescent="0.2">
      <c r="R12560" s="1288"/>
    </row>
    <row r="12561" spans="18:18" s="2" customFormat="1" ht="12.75" x14ac:dyDescent="0.2">
      <c r="R12561" s="1288"/>
    </row>
    <row r="12562" spans="18:18" s="2" customFormat="1" ht="12.75" x14ac:dyDescent="0.2">
      <c r="R12562" s="1288"/>
    </row>
    <row r="12563" spans="18:18" s="2" customFormat="1" ht="12.75" x14ac:dyDescent="0.2">
      <c r="R12563" s="1288"/>
    </row>
    <row r="12564" spans="18:18" s="2" customFormat="1" ht="12.75" x14ac:dyDescent="0.2">
      <c r="R12564" s="1288"/>
    </row>
    <row r="12565" spans="18:18" s="2" customFormat="1" ht="12.75" x14ac:dyDescent="0.2">
      <c r="R12565" s="1288"/>
    </row>
    <row r="12566" spans="18:18" s="2" customFormat="1" ht="12.75" x14ac:dyDescent="0.2">
      <c r="R12566" s="1288"/>
    </row>
    <row r="12567" spans="18:18" s="2" customFormat="1" ht="12.75" x14ac:dyDescent="0.2">
      <c r="R12567" s="1288"/>
    </row>
    <row r="12568" spans="18:18" s="2" customFormat="1" ht="12.75" x14ac:dyDescent="0.2">
      <c r="R12568" s="1288"/>
    </row>
    <row r="12569" spans="18:18" s="2" customFormat="1" ht="12.75" x14ac:dyDescent="0.2">
      <c r="R12569" s="1288"/>
    </row>
    <row r="12570" spans="18:18" s="2" customFormat="1" ht="12.75" x14ac:dyDescent="0.2">
      <c r="R12570" s="1288"/>
    </row>
    <row r="12571" spans="18:18" s="2" customFormat="1" ht="12.75" x14ac:dyDescent="0.2">
      <c r="R12571" s="1288"/>
    </row>
    <row r="12572" spans="18:18" s="2" customFormat="1" ht="12.75" x14ac:dyDescent="0.2">
      <c r="R12572" s="1288"/>
    </row>
    <row r="12573" spans="18:18" s="2" customFormat="1" ht="12.75" x14ac:dyDescent="0.2">
      <c r="R12573" s="1288"/>
    </row>
    <row r="12574" spans="18:18" s="2" customFormat="1" ht="12.75" x14ac:dyDescent="0.2">
      <c r="R12574" s="1288"/>
    </row>
    <row r="12575" spans="18:18" s="2" customFormat="1" ht="12.75" x14ac:dyDescent="0.2">
      <c r="R12575" s="1288"/>
    </row>
    <row r="12576" spans="18:18" s="2" customFormat="1" ht="12.75" x14ac:dyDescent="0.2">
      <c r="R12576" s="1288"/>
    </row>
    <row r="12577" spans="18:18" s="2" customFormat="1" ht="12.75" x14ac:dyDescent="0.2">
      <c r="R12577" s="1288"/>
    </row>
    <row r="12578" spans="18:18" s="2" customFormat="1" ht="12.75" x14ac:dyDescent="0.2">
      <c r="R12578" s="1288"/>
    </row>
    <row r="12579" spans="18:18" s="2" customFormat="1" ht="12.75" x14ac:dyDescent="0.2">
      <c r="R12579" s="1288"/>
    </row>
    <row r="12580" spans="18:18" s="2" customFormat="1" ht="12.75" x14ac:dyDescent="0.2">
      <c r="R12580" s="1288"/>
    </row>
    <row r="12581" spans="18:18" s="2" customFormat="1" ht="12.75" x14ac:dyDescent="0.2">
      <c r="R12581" s="1288"/>
    </row>
    <row r="12582" spans="18:18" s="2" customFormat="1" ht="12.75" x14ac:dyDescent="0.2">
      <c r="R12582" s="1288"/>
    </row>
    <row r="12583" spans="18:18" s="2" customFormat="1" ht="12.75" x14ac:dyDescent="0.2">
      <c r="R12583" s="1288"/>
    </row>
    <row r="12584" spans="18:18" s="2" customFormat="1" ht="12.75" x14ac:dyDescent="0.2">
      <c r="R12584" s="1288"/>
    </row>
    <row r="12585" spans="18:18" s="2" customFormat="1" ht="12.75" x14ac:dyDescent="0.2">
      <c r="R12585" s="1288"/>
    </row>
    <row r="12586" spans="18:18" s="2" customFormat="1" ht="12.75" x14ac:dyDescent="0.2">
      <c r="R12586" s="1288"/>
    </row>
    <row r="12587" spans="18:18" s="2" customFormat="1" ht="12.75" x14ac:dyDescent="0.2">
      <c r="R12587" s="1288"/>
    </row>
    <row r="12588" spans="18:18" s="2" customFormat="1" ht="12.75" x14ac:dyDescent="0.2">
      <c r="R12588" s="1288"/>
    </row>
    <row r="12589" spans="18:18" s="2" customFormat="1" ht="12.75" x14ac:dyDescent="0.2">
      <c r="R12589" s="1288"/>
    </row>
    <row r="12590" spans="18:18" s="2" customFormat="1" ht="12.75" x14ac:dyDescent="0.2">
      <c r="R12590" s="1288"/>
    </row>
    <row r="12591" spans="18:18" s="2" customFormat="1" ht="12.75" x14ac:dyDescent="0.2">
      <c r="R12591" s="1288"/>
    </row>
    <row r="12592" spans="18:18" s="2" customFormat="1" ht="12.75" x14ac:dyDescent="0.2">
      <c r="R12592" s="1288"/>
    </row>
    <row r="12593" spans="18:18" s="2" customFormat="1" ht="12.75" x14ac:dyDescent="0.2">
      <c r="R12593" s="1288"/>
    </row>
    <row r="12594" spans="18:18" s="2" customFormat="1" ht="12.75" x14ac:dyDescent="0.2">
      <c r="R12594" s="1288"/>
    </row>
    <row r="12595" spans="18:18" s="2" customFormat="1" ht="12.75" x14ac:dyDescent="0.2">
      <c r="R12595" s="1288"/>
    </row>
    <row r="12596" spans="18:18" s="2" customFormat="1" ht="12.75" x14ac:dyDescent="0.2">
      <c r="R12596" s="1288"/>
    </row>
    <row r="12597" spans="18:18" s="2" customFormat="1" ht="12.75" x14ac:dyDescent="0.2">
      <c r="R12597" s="1288"/>
    </row>
    <row r="12598" spans="18:18" s="2" customFormat="1" ht="12.75" x14ac:dyDescent="0.2">
      <c r="R12598" s="1288"/>
    </row>
    <row r="12599" spans="18:18" s="2" customFormat="1" ht="12.75" x14ac:dyDescent="0.2">
      <c r="R12599" s="1288"/>
    </row>
    <row r="12600" spans="18:18" s="2" customFormat="1" ht="12.75" x14ac:dyDescent="0.2">
      <c r="R12600" s="1288"/>
    </row>
    <row r="12601" spans="18:18" s="2" customFormat="1" ht="12.75" x14ac:dyDescent="0.2">
      <c r="R12601" s="1288"/>
    </row>
    <row r="12602" spans="18:18" s="2" customFormat="1" ht="12.75" x14ac:dyDescent="0.2">
      <c r="R12602" s="1288"/>
    </row>
    <row r="12603" spans="18:18" s="2" customFormat="1" ht="12.75" x14ac:dyDescent="0.2">
      <c r="R12603" s="1288"/>
    </row>
    <row r="12604" spans="18:18" s="2" customFormat="1" ht="12.75" x14ac:dyDescent="0.2">
      <c r="R12604" s="1288"/>
    </row>
    <row r="12605" spans="18:18" s="2" customFormat="1" ht="12.75" x14ac:dyDescent="0.2">
      <c r="R12605" s="1288"/>
    </row>
    <row r="12606" spans="18:18" s="2" customFormat="1" ht="12.75" x14ac:dyDescent="0.2">
      <c r="R12606" s="1288"/>
    </row>
    <row r="12607" spans="18:18" s="2" customFormat="1" ht="12.75" x14ac:dyDescent="0.2">
      <c r="R12607" s="1288"/>
    </row>
    <row r="12608" spans="18:18" s="2" customFormat="1" ht="12.75" x14ac:dyDescent="0.2">
      <c r="R12608" s="1288"/>
    </row>
    <row r="12609" spans="18:18" s="2" customFormat="1" ht="12.75" x14ac:dyDescent="0.2">
      <c r="R12609" s="1288"/>
    </row>
    <row r="12610" spans="18:18" s="2" customFormat="1" ht="12.75" x14ac:dyDescent="0.2">
      <c r="R12610" s="1288"/>
    </row>
    <row r="12611" spans="18:18" s="2" customFormat="1" ht="12.75" x14ac:dyDescent="0.2">
      <c r="R12611" s="1288"/>
    </row>
    <row r="12612" spans="18:18" s="2" customFormat="1" ht="12.75" x14ac:dyDescent="0.2">
      <c r="R12612" s="1288"/>
    </row>
    <row r="12613" spans="18:18" s="2" customFormat="1" ht="12.75" x14ac:dyDescent="0.2">
      <c r="R12613" s="1288"/>
    </row>
    <row r="12614" spans="18:18" s="2" customFormat="1" ht="12.75" x14ac:dyDescent="0.2">
      <c r="R12614" s="1288"/>
    </row>
    <row r="12615" spans="18:18" s="2" customFormat="1" ht="12.75" x14ac:dyDescent="0.2">
      <c r="R12615" s="1288"/>
    </row>
    <row r="12616" spans="18:18" s="2" customFormat="1" ht="12.75" x14ac:dyDescent="0.2">
      <c r="R12616" s="1288"/>
    </row>
    <row r="12617" spans="18:18" s="2" customFormat="1" ht="12.75" x14ac:dyDescent="0.2">
      <c r="R12617" s="1288"/>
    </row>
    <row r="12618" spans="18:18" s="2" customFormat="1" ht="12.75" x14ac:dyDescent="0.2">
      <c r="R12618" s="1288"/>
    </row>
    <row r="12619" spans="18:18" s="2" customFormat="1" ht="12.75" x14ac:dyDescent="0.2">
      <c r="R12619" s="1288"/>
    </row>
    <row r="12620" spans="18:18" s="2" customFormat="1" ht="12.75" x14ac:dyDescent="0.2">
      <c r="R12620" s="1288"/>
    </row>
    <row r="12621" spans="18:18" s="2" customFormat="1" ht="12.75" x14ac:dyDescent="0.2">
      <c r="R12621" s="1288"/>
    </row>
    <row r="12622" spans="18:18" s="2" customFormat="1" ht="12.75" x14ac:dyDescent="0.2">
      <c r="R12622" s="1288"/>
    </row>
    <row r="12623" spans="18:18" s="2" customFormat="1" ht="12.75" x14ac:dyDescent="0.2">
      <c r="R12623" s="1288"/>
    </row>
    <row r="12624" spans="18:18" s="2" customFormat="1" ht="12.75" x14ac:dyDescent="0.2">
      <c r="R12624" s="1288"/>
    </row>
    <row r="12625" spans="18:18" s="2" customFormat="1" ht="12.75" x14ac:dyDescent="0.2">
      <c r="R12625" s="1288"/>
    </row>
    <row r="12626" spans="18:18" s="2" customFormat="1" ht="12.75" x14ac:dyDescent="0.2">
      <c r="R12626" s="1288"/>
    </row>
    <row r="12627" spans="18:18" s="2" customFormat="1" ht="12.75" x14ac:dyDescent="0.2">
      <c r="R12627" s="1288"/>
    </row>
    <row r="12628" spans="18:18" s="2" customFormat="1" ht="12.75" x14ac:dyDescent="0.2">
      <c r="R12628" s="1288"/>
    </row>
    <row r="12629" spans="18:18" s="2" customFormat="1" ht="12.75" x14ac:dyDescent="0.2">
      <c r="R12629" s="1288"/>
    </row>
    <row r="12630" spans="18:18" s="2" customFormat="1" ht="12.75" x14ac:dyDescent="0.2">
      <c r="R12630" s="1288"/>
    </row>
    <row r="12631" spans="18:18" s="2" customFormat="1" ht="12.75" x14ac:dyDescent="0.2">
      <c r="R12631" s="1288"/>
    </row>
    <row r="12632" spans="18:18" s="2" customFormat="1" ht="12.75" x14ac:dyDescent="0.2">
      <c r="R12632" s="1288"/>
    </row>
    <row r="12633" spans="18:18" s="2" customFormat="1" ht="12.75" x14ac:dyDescent="0.2">
      <c r="R12633" s="1288"/>
    </row>
    <row r="12634" spans="18:18" s="2" customFormat="1" ht="12.75" x14ac:dyDescent="0.2">
      <c r="R12634" s="1288"/>
    </row>
    <row r="12635" spans="18:18" s="2" customFormat="1" ht="12.75" x14ac:dyDescent="0.2">
      <c r="R12635" s="1288"/>
    </row>
    <row r="12636" spans="18:18" s="2" customFormat="1" ht="12.75" x14ac:dyDescent="0.2">
      <c r="R12636" s="1288"/>
    </row>
    <row r="12637" spans="18:18" s="2" customFormat="1" ht="12.75" x14ac:dyDescent="0.2">
      <c r="R12637" s="1288"/>
    </row>
    <row r="12638" spans="18:18" s="2" customFormat="1" ht="12.75" x14ac:dyDescent="0.2">
      <c r="R12638" s="1288"/>
    </row>
    <row r="12639" spans="18:18" s="2" customFormat="1" ht="12.75" x14ac:dyDescent="0.2">
      <c r="R12639" s="1288"/>
    </row>
    <row r="12640" spans="18:18" s="2" customFormat="1" ht="12.75" x14ac:dyDescent="0.2">
      <c r="R12640" s="1288"/>
    </row>
    <row r="12641" spans="18:18" s="2" customFormat="1" ht="12.75" x14ac:dyDescent="0.2">
      <c r="R12641" s="1288"/>
    </row>
    <row r="12642" spans="18:18" s="2" customFormat="1" ht="12.75" x14ac:dyDescent="0.2">
      <c r="R12642" s="1288"/>
    </row>
    <row r="12643" spans="18:18" s="2" customFormat="1" ht="12.75" x14ac:dyDescent="0.2">
      <c r="R12643" s="1288"/>
    </row>
    <row r="12644" spans="18:18" s="2" customFormat="1" ht="12.75" x14ac:dyDescent="0.2">
      <c r="R12644" s="1288"/>
    </row>
    <row r="12645" spans="18:18" s="2" customFormat="1" ht="12.75" x14ac:dyDescent="0.2">
      <c r="R12645" s="1288"/>
    </row>
    <row r="12646" spans="18:18" s="2" customFormat="1" ht="12.75" x14ac:dyDescent="0.2">
      <c r="R12646" s="1288"/>
    </row>
    <row r="12647" spans="18:18" s="2" customFormat="1" ht="12.75" x14ac:dyDescent="0.2">
      <c r="R12647" s="1288"/>
    </row>
    <row r="12648" spans="18:18" s="2" customFormat="1" ht="12.75" x14ac:dyDescent="0.2">
      <c r="R12648" s="1288"/>
    </row>
    <row r="12649" spans="18:18" s="2" customFormat="1" ht="12.75" x14ac:dyDescent="0.2">
      <c r="R12649" s="1288"/>
    </row>
    <row r="12650" spans="18:18" s="2" customFormat="1" ht="12.75" x14ac:dyDescent="0.2">
      <c r="R12650" s="1288"/>
    </row>
    <row r="12651" spans="18:18" s="2" customFormat="1" ht="12.75" x14ac:dyDescent="0.2">
      <c r="R12651" s="1288"/>
    </row>
    <row r="12652" spans="18:18" s="2" customFormat="1" ht="12.75" x14ac:dyDescent="0.2">
      <c r="R12652" s="1288"/>
    </row>
    <row r="12653" spans="18:18" s="2" customFormat="1" ht="12.75" x14ac:dyDescent="0.2">
      <c r="R12653" s="1288"/>
    </row>
    <row r="12654" spans="18:18" s="2" customFormat="1" ht="12.75" x14ac:dyDescent="0.2">
      <c r="R12654" s="1288"/>
    </row>
    <row r="12655" spans="18:18" s="2" customFormat="1" ht="12.75" x14ac:dyDescent="0.2">
      <c r="R12655" s="1288"/>
    </row>
    <row r="12656" spans="18:18" s="2" customFormat="1" ht="12.75" x14ac:dyDescent="0.2">
      <c r="R12656" s="1288"/>
    </row>
    <row r="12657" spans="18:18" s="2" customFormat="1" ht="12.75" x14ac:dyDescent="0.2">
      <c r="R12657" s="1288"/>
    </row>
    <row r="12658" spans="18:18" s="2" customFormat="1" ht="12.75" x14ac:dyDescent="0.2">
      <c r="R12658" s="1288"/>
    </row>
    <row r="12659" spans="18:18" s="2" customFormat="1" ht="12.75" x14ac:dyDescent="0.2">
      <c r="R12659" s="1288"/>
    </row>
    <row r="12660" spans="18:18" s="2" customFormat="1" ht="12.75" x14ac:dyDescent="0.2">
      <c r="R12660" s="1288"/>
    </row>
    <row r="12661" spans="18:18" s="2" customFormat="1" ht="12.75" x14ac:dyDescent="0.2">
      <c r="R12661" s="1288"/>
    </row>
    <row r="12662" spans="18:18" s="2" customFormat="1" ht="12.75" x14ac:dyDescent="0.2">
      <c r="R12662" s="1288"/>
    </row>
    <row r="12663" spans="18:18" s="2" customFormat="1" ht="12.75" x14ac:dyDescent="0.2">
      <c r="R12663" s="1288"/>
    </row>
    <row r="12664" spans="18:18" s="2" customFormat="1" ht="12.75" x14ac:dyDescent="0.2">
      <c r="R12664" s="1288"/>
    </row>
    <row r="12665" spans="18:18" s="2" customFormat="1" ht="12.75" x14ac:dyDescent="0.2">
      <c r="R12665" s="1288"/>
    </row>
    <row r="12666" spans="18:18" s="2" customFormat="1" ht="12.75" x14ac:dyDescent="0.2">
      <c r="R12666" s="1288"/>
    </row>
    <row r="12667" spans="18:18" s="2" customFormat="1" ht="12.75" x14ac:dyDescent="0.2">
      <c r="R12667" s="1288"/>
    </row>
    <row r="12668" spans="18:18" s="2" customFormat="1" ht="12.75" x14ac:dyDescent="0.2">
      <c r="R12668" s="1288"/>
    </row>
    <row r="12669" spans="18:18" s="2" customFormat="1" ht="12.75" x14ac:dyDescent="0.2">
      <c r="R12669" s="1288"/>
    </row>
    <row r="12670" spans="18:18" s="2" customFormat="1" ht="12.75" x14ac:dyDescent="0.2">
      <c r="R12670" s="1288"/>
    </row>
    <row r="12671" spans="18:18" s="2" customFormat="1" ht="12.75" x14ac:dyDescent="0.2">
      <c r="R12671" s="1288"/>
    </row>
    <row r="12672" spans="18:18" s="2" customFormat="1" ht="12.75" x14ac:dyDescent="0.2">
      <c r="R12672" s="1288"/>
    </row>
    <row r="12673" spans="18:18" s="2" customFormat="1" ht="12.75" x14ac:dyDescent="0.2">
      <c r="R12673" s="1288"/>
    </row>
    <row r="12674" spans="18:18" s="2" customFormat="1" ht="12.75" x14ac:dyDescent="0.2">
      <c r="R12674" s="1288"/>
    </row>
    <row r="12675" spans="18:18" s="2" customFormat="1" ht="12.75" x14ac:dyDescent="0.2">
      <c r="R12675" s="1288"/>
    </row>
    <row r="12676" spans="18:18" s="2" customFormat="1" ht="12.75" x14ac:dyDescent="0.2">
      <c r="R12676" s="1288"/>
    </row>
    <row r="12677" spans="18:18" s="2" customFormat="1" ht="12.75" x14ac:dyDescent="0.2">
      <c r="R12677" s="1288"/>
    </row>
    <row r="12678" spans="18:18" s="2" customFormat="1" ht="12.75" x14ac:dyDescent="0.2">
      <c r="R12678" s="1288"/>
    </row>
    <row r="12679" spans="18:18" s="2" customFormat="1" ht="12.75" x14ac:dyDescent="0.2">
      <c r="R12679" s="1288"/>
    </row>
    <row r="12680" spans="18:18" s="2" customFormat="1" ht="12.75" x14ac:dyDescent="0.2">
      <c r="R12680" s="1288"/>
    </row>
    <row r="12681" spans="18:18" s="2" customFormat="1" ht="12.75" x14ac:dyDescent="0.2">
      <c r="R12681" s="1288"/>
    </row>
    <row r="12682" spans="18:18" s="2" customFormat="1" ht="12.75" x14ac:dyDescent="0.2">
      <c r="R12682" s="1288"/>
    </row>
    <row r="12683" spans="18:18" s="2" customFormat="1" ht="12.75" x14ac:dyDescent="0.2">
      <c r="R12683" s="1288"/>
    </row>
    <row r="12684" spans="18:18" s="2" customFormat="1" ht="12.75" x14ac:dyDescent="0.2">
      <c r="R12684" s="1288"/>
    </row>
    <row r="12685" spans="18:18" s="2" customFormat="1" ht="12.75" x14ac:dyDescent="0.2">
      <c r="R12685" s="1288"/>
    </row>
    <row r="12686" spans="18:18" s="2" customFormat="1" ht="12.75" x14ac:dyDescent="0.2">
      <c r="R12686" s="1288"/>
    </row>
    <row r="12687" spans="18:18" s="2" customFormat="1" ht="12.75" x14ac:dyDescent="0.2">
      <c r="R12687" s="1288"/>
    </row>
    <row r="12688" spans="18:18" s="2" customFormat="1" ht="12.75" x14ac:dyDescent="0.2">
      <c r="R12688" s="1288"/>
    </row>
    <row r="12689" spans="18:18" s="2" customFormat="1" ht="12.75" x14ac:dyDescent="0.2">
      <c r="R12689" s="1288"/>
    </row>
    <row r="12690" spans="18:18" s="2" customFormat="1" ht="12.75" x14ac:dyDescent="0.2">
      <c r="R12690" s="1288"/>
    </row>
    <row r="12691" spans="18:18" s="2" customFormat="1" ht="12.75" x14ac:dyDescent="0.2">
      <c r="R12691" s="1288"/>
    </row>
    <row r="12692" spans="18:18" s="2" customFormat="1" ht="12.75" x14ac:dyDescent="0.2">
      <c r="R12692" s="1288"/>
    </row>
    <row r="12693" spans="18:18" s="2" customFormat="1" ht="12.75" x14ac:dyDescent="0.2">
      <c r="R12693" s="1288"/>
    </row>
    <row r="12694" spans="18:18" s="2" customFormat="1" ht="12.75" x14ac:dyDescent="0.2">
      <c r="R12694" s="1288"/>
    </row>
    <row r="12695" spans="18:18" s="2" customFormat="1" ht="12.75" x14ac:dyDescent="0.2">
      <c r="R12695" s="1288"/>
    </row>
    <row r="12696" spans="18:18" s="2" customFormat="1" ht="12.75" x14ac:dyDescent="0.2">
      <c r="R12696" s="1288"/>
    </row>
    <row r="12697" spans="18:18" s="2" customFormat="1" ht="12.75" x14ac:dyDescent="0.2">
      <c r="R12697" s="1288"/>
    </row>
    <row r="12698" spans="18:18" s="2" customFormat="1" ht="12.75" x14ac:dyDescent="0.2">
      <c r="R12698" s="1288"/>
    </row>
    <row r="12699" spans="18:18" s="2" customFormat="1" ht="12.75" x14ac:dyDescent="0.2">
      <c r="R12699" s="1288"/>
    </row>
    <row r="12700" spans="18:18" s="2" customFormat="1" ht="12.75" x14ac:dyDescent="0.2">
      <c r="R12700" s="1288"/>
    </row>
    <row r="12701" spans="18:18" s="2" customFormat="1" ht="12.75" x14ac:dyDescent="0.2">
      <c r="R12701" s="1288"/>
    </row>
    <row r="12702" spans="18:18" s="2" customFormat="1" ht="12.75" x14ac:dyDescent="0.2">
      <c r="R12702" s="1288"/>
    </row>
    <row r="12703" spans="18:18" s="2" customFormat="1" ht="12.75" x14ac:dyDescent="0.2">
      <c r="R12703" s="1288"/>
    </row>
    <row r="12704" spans="18:18" s="2" customFormat="1" ht="12.75" x14ac:dyDescent="0.2">
      <c r="R12704" s="1288"/>
    </row>
    <row r="12705" spans="18:18" s="2" customFormat="1" ht="12.75" x14ac:dyDescent="0.2">
      <c r="R12705" s="1288"/>
    </row>
    <row r="12706" spans="18:18" s="2" customFormat="1" ht="12.75" x14ac:dyDescent="0.2">
      <c r="R12706" s="1288"/>
    </row>
    <row r="12707" spans="18:18" s="2" customFormat="1" ht="12.75" x14ac:dyDescent="0.2">
      <c r="R12707" s="1288"/>
    </row>
    <row r="12708" spans="18:18" s="2" customFormat="1" ht="12.75" x14ac:dyDescent="0.2">
      <c r="R12708" s="1288"/>
    </row>
    <row r="12709" spans="18:18" s="2" customFormat="1" ht="12.75" x14ac:dyDescent="0.2">
      <c r="R12709" s="1288"/>
    </row>
    <row r="12710" spans="18:18" s="2" customFormat="1" ht="12.75" x14ac:dyDescent="0.2">
      <c r="R12710" s="1288"/>
    </row>
    <row r="12711" spans="18:18" s="2" customFormat="1" ht="12.75" x14ac:dyDescent="0.2">
      <c r="R12711" s="1288"/>
    </row>
    <row r="12712" spans="18:18" s="2" customFormat="1" ht="12.75" x14ac:dyDescent="0.2">
      <c r="R12712" s="1288"/>
    </row>
    <row r="12713" spans="18:18" s="2" customFormat="1" ht="12.75" x14ac:dyDescent="0.2">
      <c r="R12713" s="1288"/>
    </row>
    <row r="12714" spans="18:18" s="2" customFormat="1" ht="12.75" x14ac:dyDescent="0.2">
      <c r="R12714" s="1288"/>
    </row>
    <row r="12715" spans="18:18" s="2" customFormat="1" ht="12.75" x14ac:dyDescent="0.2">
      <c r="R12715" s="1288"/>
    </row>
    <row r="12716" spans="18:18" s="2" customFormat="1" ht="12.75" x14ac:dyDescent="0.2">
      <c r="R12716" s="1288"/>
    </row>
    <row r="12717" spans="18:18" s="2" customFormat="1" ht="12.75" x14ac:dyDescent="0.2">
      <c r="R12717" s="1288"/>
    </row>
    <row r="12718" spans="18:18" s="2" customFormat="1" ht="12.75" x14ac:dyDescent="0.2">
      <c r="R12718" s="1288"/>
    </row>
    <row r="12719" spans="18:18" s="2" customFormat="1" ht="12.75" x14ac:dyDescent="0.2">
      <c r="R12719" s="1288"/>
    </row>
    <row r="12720" spans="18:18" s="2" customFormat="1" ht="12.75" x14ac:dyDescent="0.2">
      <c r="R12720" s="1288"/>
    </row>
    <row r="12721" spans="18:18" s="2" customFormat="1" ht="12.75" x14ac:dyDescent="0.2">
      <c r="R12721" s="1288"/>
    </row>
    <row r="12722" spans="18:18" s="2" customFormat="1" ht="12.75" x14ac:dyDescent="0.2">
      <c r="R12722" s="1288"/>
    </row>
    <row r="12723" spans="18:18" s="2" customFormat="1" ht="12.75" x14ac:dyDescent="0.2">
      <c r="R12723" s="1288"/>
    </row>
    <row r="12724" spans="18:18" s="2" customFormat="1" ht="12.75" x14ac:dyDescent="0.2">
      <c r="R12724" s="1288"/>
    </row>
    <row r="12725" spans="18:18" s="2" customFormat="1" ht="12.75" x14ac:dyDescent="0.2">
      <c r="R12725" s="1288"/>
    </row>
    <row r="12726" spans="18:18" s="2" customFormat="1" ht="12.75" x14ac:dyDescent="0.2">
      <c r="R12726" s="1288"/>
    </row>
    <row r="12727" spans="18:18" s="2" customFormat="1" ht="12.75" x14ac:dyDescent="0.2">
      <c r="R12727" s="1288"/>
    </row>
    <row r="12728" spans="18:18" s="2" customFormat="1" ht="12.75" x14ac:dyDescent="0.2">
      <c r="R12728" s="1288"/>
    </row>
    <row r="12729" spans="18:18" s="2" customFormat="1" ht="12.75" x14ac:dyDescent="0.2">
      <c r="R12729" s="1288"/>
    </row>
    <row r="12730" spans="18:18" s="2" customFormat="1" ht="12.75" x14ac:dyDescent="0.2">
      <c r="R12730" s="1288"/>
    </row>
    <row r="12731" spans="18:18" s="2" customFormat="1" ht="12.75" x14ac:dyDescent="0.2">
      <c r="R12731" s="1288"/>
    </row>
    <row r="12732" spans="18:18" s="2" customFormat="1" ht="12.75" x14ac:dyDescent="0.2">
      <c r="R12732" s="1288"/>
    </row>
    <row r="12733" spans="18:18" s="2" customFormat="1" ht="12.75" x14ac:dyDescent="0.2">
      <c r="R12733" s="1288"/>
    </row>
    <row r="12734" spans="18:18" s="2" customFormat="1" ht="12.75" x14ac:dyDescent="0.2">
      <c r="R12734" s="1288"/>
    </row>
    <row r="12735" spans="18:18" s="2" customFormat="1" ht="12.75" x14ac:dyDescent="0.2">
      <c r="R12735" s="1288"/>
    </row>
    <row r="12736" spans="18:18" s="2" customFormat="1" ht="12.75" x14ac:dyDescent="0.2">
      <c r="R12736" s="1288"/>
    </row>
    <row r="12737" spans="18:18" s="2" customFormat="1" ht="12.75" x14ac:dyDescent="0.2">
      <c r="R12737" s="1288"/>
    </row>
    <row r="12738" spans="18:18" s="2" customFormat="1" ht="12.75" x14ac:dyDescent="0.2">
      <c r="R12738" s="1288"/>
    </row>
    <row r="12739" spans="18:18" s="2" customFormat="1" ht="12.75" x14ac:dyDescent="0.2">
      <c r="R12739" s="1288"/>
    </row>
    <row r="12740" spans="18:18" s="2" customFormat="1" ht="12.75" x14ac:dyDescent="0.2">
      <c r="R12740" s="1288"/>
    </row>
    <row r="12741" spans="18:18" s="2" customFormat="1" ht="12.75" x14ac:dyDescent="0.2">
      <c r="R12741" s="1288"/>
    </row>
    <row r="12742" spans="18:18" s="2" customFormat="1" ht="12.75" x14ac:dyDescent="0.2">
      <c r="R12742" s="1288"/>
    </row>
    <row r="12743" spans="18:18" s="2" customFormat="1" ht="12.75" x14ac:dyDescent="0.2">
      <c r="R12743" s="1288"/>
    </row>
    <row r="12744" spans="18:18" s="2" customFormat="1" ht="12.75" x14ac:dyDescent="0.2">
      <c r="R12744" s="1288"/>
    </row>
    <row r="12745" spans="18:18" s="2" customFormat="1" ht="12.75" x14ac:dyDescent="0.2">
      <c r="R12745" s="1288"/>
    </row>
    <row r="12746" spans="18:18" s="2" customFormat="1" ht="12.75" x14ac:dyDescent="0.2">
      <c r="R12746" s="1288"/>
    </row>
    <row r="12747" spans="18:18" s="2" customFormat="1" ht="12.75" x14ac:dyDescent="0.2">
      <c r="R12747" s="1288"/>
    </row>
    <row r="12748" spans="18:18" s="2" customFormat="1" ht="12.75" x14ac:dyDescent="0.2">
      <c r="R12748" s="1288"/>
    </row>
    <row r="12749" spans="18:18" s="2" customFormat="1" ht="12.75" x14ac:dyDescent="0.2">
      <c r="R12749" s="1288"/>
    </row>
    <row r="12750" spans="18:18" s="2" customFormat="1" ht="12.75" x14ac:dyDescent="0.2">
      <c r="R12750" s="1288"/>
    </row>
    <row r="12751" spans="18:18" s="2" customFormat="1" ht="12.75" x14ac:dyDescent="0.2">
      <c r="R12751" s="1288"/>
    </row>
    <row r="12752" spans="18:18" s="2" customFormat="1" ht="12.75" x14ac:dyDescent="0.2">
      <c r="R12752" s="1288"/>
    </row>
    <row r="12753" spans="18:18" s="2" customFormat="1" ht="12.75" x14ac:dyDescent="0.2">
      <c r="R12753" s="1288"/>
    </row>
    <row r="12754" spans="18:18" s="2" customFormat="1" ht="12.75" x14ac:dyDescent="0.2">
      <c r="R12754" s="1288"/>
    </row>
    <row r="12755" spans="18:18" s="2" customFormat="1" ht="12.75" x14ac:dyDescent="0.2">
      <c r="R12755" s="1288"/>
    </row>
    <row r="12756" spans="18:18" s="2" customFormat="1" ht="12.75" x14ac:dyDescent="0.2">
      <c r="R12756" s="1288"/>
    </row>
    <row r="12757" spans="18:18" s="2" customFormat="1" ht="12.75" x14ac:dyDescent="0.2">
      <c r="R12757" s="1288"/>
    </row>
    <row r="12758" spans="18:18" s="2" customFormat="1" ht="12.75" x14ac:dyDescent="0.2">
      <c r="R12758" s="1288"/>
    </row>
    <row r="12759" spans="18:18" s="2" customFormat="1" ht="12.75" x14ac:dyDescent="0.2">
      <c r="R12759" s="1288"/>
    </row>
    <row r="12760" spans="18:18" s="2" customFormat="1" ht="12.75" x14ac:dyDescent="0.2">
      <c r="R12760" s="1288"/>
    </row>
    <row r="12761" spans="18:18" s="2" customFormat="1" ht="12.75" x14ac:dyDescent="0.2">
      <c r="R12761" s="1288"/>
    </row>
    <row r="12762" spans="18:18" s="2" customFormat="1" ht="12.75" x14ac:dyDescent="0.2">
      <c r="R12762" s="1288"/>
    </row>
    <row r="12763" spans="18:18" s="2" customFormat="1" ht="12.75" x14ac:dyDescent="0.2">
      <c r="R12763" s="1288"/>
    </row>
    <row r="12764" spans="18:18" s="2" customFormat="1" ht="12.75" x14ac:dyDescent="0.2">
      <c r="R12764" s="1288"/>
    </row>
    <row r="12765" spans="18:18" s="2" customFormat="1" ht="12.75" x14ac:dyDescent="0.2">
      <c r="R12765" s="1288"/>
    </row>
    <row r="12766" spans="18:18" s="2" customFormat="1" ht="12.75" x14ac:dyDescent="0.2">
      <c r="R12766" s="1288"/>
    </row>
    <row r="12767" spans="18:18" s="2" customFormat="1" ht="12.75" x14ac:dyDescent="0.2">
      <c r="R12767" s="1288"/>
    </row>
    <row r="12768" spans="18:18" s="2" customFormat="1" ht="12.75" x14ac:dyDescent="0.2">
      <c r="R12768" s="1288"/>
    </row>
    <row r="12769" spans="18:18" s="2" customFormat="1" ht="12.75" x14ac:dyDescent="0.2">
      <c r="R12769" s="1288"/>
    </row>
    <row r="12770" spans="18:18" s="2" customFormat="1" ht="12.75" x14ac:dyDescent="0.2">
      <c r="R12770" s="1288"/>
    </row>
    <row r="12771" spans="18:18" s="2" customFormat="1" ht="12.75" x14ac:dyDescent="0.2">
      <c r="R12771" s="1288"/>
    </row>
    <row r="12772" spans="18:18" s="2" customFormat="1" ht="12.75" x14ac:dyDescent="0.2">
      <c r="R12772" s="1288"/>
    </row>
    <row r="12773" spans="18:18" s="2" customFormat="1" ht="12.75" x14ac:dyDescent="0.2">
      <c r="R12773" s="1288"/>
    </row>
    <row r="12774" spans="18:18" s="2" customFormat="1" ht="12.75" x14ac:dyDescent="0.2">
      <c r="R12774" s="1288"/>
    </row>
    <row r="12775" spans="18:18" s="2" customFormat="1" ht="12.75" x14ac:dyDescent="0.2">
      <c r="R12775" s="1288"/>
    </row>
    <row r="12776" spans="18:18" s="2" customFormat="1" ht="12.75" x14ac:dyDescent="0.2">
      <c r="R12776" s="1288"/>
    </row>
    <row r="12777" spans="18:18" s="2" customFormat="1" ht="12.75" x14ac:dyDescent="0.2">
      <c r="R12777" s="1288"/>
    </row>
    <row r="12778" spans="18:18" s="2" customFormat="1" ht="12.75" x14ac:dyDescent="0.2">
      <c r="R12778" s="1288"/>
    </row>
    <row r="12779" spans="18:18" s="2" customFormat="1" ht="12.75" x14ac:dyDescent="0.2">
      <c r="R12779" s="1288"/>
    </row>
    <row r="12780" spans="18:18" s="2" customFormat="1" ht="12.75" x14ac:dyDescent="0.2">
      <c r="R12780" s="1288"/>
    </row>
    <row r="12781" spans="18:18" s="2" customFormat="1" ht="12.75" x14ac:dyDescent="0.2">
      <c r="R12781" s="1288"/>
    </row>
    <row r="12782" spans="18:18" s="2" customFormat="1" ht="12.75" x14ac:dyDescent="0.2">
      <c r="R12782" s="1288"/>
    </row>
    <row r="12783" spans="18:18" s="2" customFormat="1" ht="12.75" x14ac:dyDescent="0.2">
      <c r="R12783" s="1288"/>
    </row>
    <row r="12784" spans="18:18" s="2" customFormat="1" ht="12.75" x14ac:dyDescent="0.2">
      <c r="R12784" s="1288"/>
    </row>
    <row r="12785" spans="18:18" s="2" customFormat="1" ht="12.75" x14ac:dyDescent="0.2">
      <c r="R12785" s="1288"/>
    </row>
    <row r="12786" spans="18:18" s="2" customFormat="1" ht="12.75" x14ac:dyDescent="0.2">
      <c r="R12786" s="1288"/>
    </row>
    <row r="12787" spans="18:18" s="2" customFormat="1" ht="12.75" x14ac:dyDescent="0.2">
      <c r="R12787" s="1288"/>
    </row>
    <row r="12788" spans="18:18" s="2" customFormat="1" ht="12.75" x14ac:dyDescent="0.2">
      <c r="R12788" s="1288"/>
    </row>
    <row r="12789" spans="18:18" s="2" customFormat="1" ht="12.75" x14ac:dyDescent="0.2">
      <c r="R12789" s="1288"/>
    </row>
    <row r="12790" spans="18:18" s="2" customFormat="1" ht="12.75" x14ac:dyDescent="0.2">
      <c r="R12790" s="1288"/>
    </row>
    <row r="12791" spans="18:18" s="2" customFormat="1" ht="12.75" x14ac:dyDescent="0.2">
      <c r="R12791" s="1288"/>
    </row>
    <row r="12792" spans="18:18" s="2" customFormat="1" ht="12.75" x14ac:dyDescent="0.2">
      <c r="R12792" s="1288"/>
    </row>
    <row r="12793" spans="18:18" s="2" customFormat="1" ht="12.75" x14ac:dyDescent="0.2">
      <c r="R12793" s="1288"/>
    </row>
    <row r="12794" spans="18:18" s="2" customFormat="1" ht="12.75" x14ac:dyDescent="0.2">
      <c r="R12794" s="1288"/>
    </row>
    <row r="12795" spans="18:18" s="2" customFormat="1" ht="12.75" x14ac:dyDescent="0.2">
      <c r="R12795" s="1288"/>
    </row>
    <row r="12796" spans="18:18" s="2" customFormat="1" ht="12.75" x14ac:dyDescent="0.2">
      <c r="R12796" s="1288"/>
    </row>
    <row r="12797" spans="18:18" s="2" customFormat="1" ht="12.75" x14ac:dyDescent="0.2">
      <c r="R12797" s="1288"/>
    </row>
    <row r="12798" spans="18:18" s="2" customFormat="1" ht="12.75" x14ac:dyDescent="0.2">
      <c r="R12798" s="1288"/>
    </row>
    <row r="12799" spans="18:18" s="2" customFormat="1" ht="12.75" x14ac:dyDescent="0.2">
      <c r="R12799" s="1288"/>
    </row>
    <row r="12800" spans="18:18" s="2" customFormat="1" ht="12.75" x14ac:dyDescent="0.2">
      <c r="R12800" s="1288"/>
    </row>
    <row r="12801" spans="18:18" s="2" customFormat="1" ht="12.75" x14ac:dyDescent="0.2">
      <c r="R12801" s="1288"/>
    </row>
    <row r="12802" spans="18:18" s="2" customFormat="1" ht="12.75" x14ac:dyDescent="0.2">
      <c r="R12802" s="1288"/>
    </row>
    <row r="12803" spans="18:18" s="2" customFormat="1" ht="12.75" x14ac:dyDescent="0.2">
      <c r="R12803" s="1288"/>
    </row>
    <row r="12804" spans="18:18" s="2" customFormat="1" ht="12.75" x14ac:dyDescent="0.2">
      <c r="R12804" s="1288"/>
    </row>
    <row r="12805" spans="18:18" s="2" customFormat="1" ht="12.75" x14ac:dyDescent="0.2">
      <c r="R12805" s="1288"/>
    </row>
    <row r="12806" spans="18:18" s="2" customFormat="1" ht="12.75" x14ac:dyDescent="0.2">
      <c r="R12806" s="1288"/>
    </row>
    <row r="12807" spans="18:18" s="2" customFormat="1" ht="12.75" x14ac:dyDescent="0.2">
      <c r="R12807" s="1288"/>
    </row>
    <row r="12808" spans="18:18" s="2" customFormat="1" ht="12.75" x14ac:dyDescent="0.2">
      <c r="R12808" s="1288"/>
    </row>
    <row r="12809" spans="18:18" s="2" customFormat="1" ht="12.75" x14ac:dyDescent="0.2">
      <c r="R12809" s="1288"/>
    </row>
    <row r="12810" spans="18:18" s="2" customFormat="1" ht="12.75" x14ac:dyDescent="0.2">
      <c r="R12810" s="1288"/>
    </row>
    <row r="12811" spans="18:18" s="2" customFormat="1" ht="12.75" x14ac:dyDescent="0.2">
      <c r="R12811" s="1288"/>
    </row>
    <row r="12812" spans="18:18" s="2" customFormat="1" ht="12.75" x14ac:dyDescent="0.2">
      <c r="R12812" s="1288"/>
    </row>
    <row r="12813" spans="18:18" s="2" customFormat="1" ht="12.75" x14ac:dyDescent="0.2">
      <c r="R12813" s="1288"/>
    </row>
    <row r="12814" spans="18:18" s="2" customFormat="1" ht="12.75" x14ac:dyDescent="0.2">
      <c r="R12814" s="1288"/>
    </row>
    <row r="12815" spans="18:18" s="2" customFormat="1" ht="12.75" x14ac:dyDescent="0.2">
      <c r="R12815" s="1288"/>
    </row>
    <row r="12816" spans="18:18" s="2" customFormat="1" ht="12.75" x14ac:dyDescent="0.2">
      <c r="R12816" s="1288"/>
    </row>
    <row r="12817" spans="18:18" s="2" customFormat="1" ht="12.75" x14ac:dyDescent="0.2">
      <c r="R12817" s="1288"/>
    </row>
    <row r="12818" spans="18:18" s="2" customFormat="1" ht="12.75" x14ac:dyDescent="0.2">
      <c r="R12818" s="1288"/>
    </row>
    <row r="12819" spans="18:18" s="2" customFormat="1" ht="12.75" x14ac:dyDescent="0.2">
      <c r="R12819" s="1288"/>
    </row>
    <row r="12820" spans="18:18" s="2" customFormat="1" ht="12.75" x14ac:dyDescent="0.2">
      <c r="R12820" s="1288"/>
    </row>
    <row r="12821" spans="18:18" s="2" customFormat="1" ht="12.75" x14ac:dyDescent="0.2">
      <c r="R12821" s="1288"/>
    </row>
    <row r="12822" spans="18:18" s="2" customFormat="1" ht="12.75" x14ac:dyDescent="0.2">
      <c r="R12822" s="1288"/>
    </row>
    <row r="12823" spans="18:18" s="2" customFormat="1" ht="12.75" x14ac:dyDescent="0.2">
      <c r="R12823" s="1288"/>
    </row>
    <row r="12824" spans="18:18" s="2" customFormat="1" ht="12.75" x14ac:dyDescent="0.2">
      <c r="R12824" s="1288"/>
    </row>
    <row r="12825" spans="18:18" s="2" customFormat="1" ht="12.75" x14ac:dyDescent="0.2">
      <c r="R12825" s="1288"/>
    </row>
    <row r="12826" spans="18:18" s="2" customFormat="1" ht="12.75" x14ac:dyDescent="0.2">
      <c r="R12826" s="1288"/>
    </row>
    <row r="12827" spans="18:18" s="2" customFormat="1" ht="12.75" x14ac:dyDescent="0.2">
      <c r="R12827" s="1288"/>
    </row>
    <row r="12828" spans="18:18" s="2" customFormat="1" ht="12.75" x14ac:dyDescent="0.2">
      <c r="R12828" s="1288"/>
    </row>
    <row r="12829" spans="18:18" s="2" customFormat="1" ht="12.75" x14ac:dyDescent="0.2">
      <c r="R12829" s="1288"/>
    </row>
    <row r="12830" spans="18:18" s="2" customFormat="1" ht="12.75" x14ac:dyDescent="0.2">
      <c r="R12830" s="1288"/>
    </row>
    <row r="12831" spans="18:18" s="2" customFormat="1" ht="12.75" x14ac:dyDescent="0.2">
      <c r="R12831" s="1288"/>
    </row>
    <row r="12832" spans="18:18" s="2" customFormat="1" ht="12.75" x14ac:dyDescent="0.2">
      <c r="R12832" s="1288"/>
    </row>
    <row r="12833" spans="18:18" s="2" customFormat="1" ht="12.75" x14ac:dyDescent="0.2">
      <c r="R12833" s="1288"/>
    </row>
    <row r="12834" spans="18:18" s="2" customFormat="1" ht="12.75" x14ac:dyDescent="0.2">
      <c r="R12834" s="1288"/>
    </row>
    <row r="12835" spans="18:18" s="2" customFormat="1" ht="12.75" x14ac:dyDescent="0.2">
      <c r="R12835" s="1288"/>
    </row>
    <row r="12836" spans="18:18" s="2" customFormat="1" ht="12.75" x14ac:dyDescent="0.2">
      <c r="R12836" s="1288"/>
    </row>
    <row r="12837" spans="18:18" s="2" customFormat="1" ht="12.75" x14ac:dyDescent="0.2">
      <c r="R12837" s="1288"/>
    </row>
    <row r="12838" spans="18:18" s="2" customFormat="1" ht="12.75" x14ac:dyDescent="0.2">
      <c r="R12838" s="1288"/>
    </row>
    <row r="12839" spans="18:18" s="2" customFormat="1" ht="12.75" x14ac:dyDescent="0.2">
      <c r="R12839" s="1288"/>
    </row>
    <row r="12840" spans="18:18" s="2" customFormat="1" ht="12.75" x14ac:dyDescent="0.2">
      <c r="R12840" s="1288"/>
    </row>
    <row r="12841" spans="18:18" s="2" customFormat="1" ht="12.75" x14ac:dyDescent="0.2">
      <c r="R12841" s="1288"/>
    </row>
    <row r="12842" spans="18:18" s="2" customFormat="1" ht="12.75" x14ac:dyDescent="0.2">
      <c r="R12842" s="1288"/>
    </row>
    <row r="12843" spans="18:18" s="2" customFormat="1" ht="12.75" x14ac:dyDescent="0.2">
      <c r="R12843" s="1288"/>
    </row>
    <row r="12844" spans="18:18" s="2" customFormat="1" ht="12.75" x14ac:dyDescent="0.2">
      <c r="R12844" s="1288"/>
    </row>
    <row r="12845" spans="18:18" s="2" customFormat="1" ht="12.75" x14ac:dyDescent="0.2">
      <c r="R12845" s="1288"/>
    </row>
    <row r="12846" spans="18:18" s="2" customFormat="1" ht="12.75" x14ac:dyDescent="0.2">
      <c r="R12846" s="1288"/>
    </row>
    <row r="12847" spans="18:18" s="2" customFormat="1" ht="12.75" x14ac:dyDescent="0.2">
      <c r="R12847" s="1288"/>
    </row>
    <row r="12848" spans="18:18" s="2" customFormat="1" ht="12.75" x14ac:dyDescent="0.2">
      <c r="R12848" s="1288"/>
    </row>
    <row r="12849" spans="18:18" s="2" customFormat="1" ht="12.75" x14ac:dyDescent="0.2">
      <c r="R12849" s="1288"/>
    </row>
    <row r="12850" spans="18:18" s="2" customFormat="1" ht="12.75" x14ac:dyDescent="0.2">
      <c r="R12850" s="1288"/>
    </row>
    <row r="12851" spans="18:18" s="2" customFormat="1" ht="12.75" x14ac:dyDescent="0.2">
      <c r="R12851" s="1288"/>
    </row>
    <row r="12852" spans="18:18" s="2" customFormat="1" ht="12.75" x14ac:dyDescent="0.2">
      <c r="R12852" s="1288"/>
    </row>
    <row r="12853" spans="18:18" s="2" customFormat="1" ht="12.75" x14ac:dyDescent="0.2">
      <c r="R12853" s="1288"/>
    </row>
    <row r="12854" spans="18:18" s="2" customFormat="1" ht="12.75" x14ac:dyDescent="0.2">
      <c r="R12854" s="1288"/>
    </row>
    <row r="12855" spans="18:18" s="2" customFormat="1" ht="12.75" x14ac:dyDescent="0.2">
      <c r="R12855" s="1288"/>
    </row>
    <row r="12856" spans="18:18" s="2" customFormat="1" ht="12.75" x14ac:dyDescent="0.2">
      <c r="R12856" s="1288"/>
    </row>
    <row r="12857" spans="18:18" s="2" customFormat="1" ht="12.75" x14ac:dyDescent="0.2">
      <c r="R12857" s="1288"/>
    </row>
    <row r="12858" spans="18:18" s="2" customFormat="1" ht="12.75" x14ac:dyDescent="0.2">
      <c r="R12858" s="1288"/>
    </row>
    <row r="12859" spans="18:18" s="2" customFormat="1" ht="12.75" x14ac:dyDescent="0.2">
      <c r="R12859" s="1288"/>
    </row>
    <row r="12860" spans="18:18" s="2" customFormat="1" ht="12.75" x14ac:dyDescent="0.2">
      <c r="R12860" s="1288"/>
    </row>
    <row r="12861" spans="18:18" s="2" customFormat="1" ht="12.75" x14ac:dyDescent="0.2">
      <c r="R12861" s="1288"/>
    </row>
    <row r="12862" spans="18:18" s="2" customFormat="1" ht="12.75" x14ac:dyDescent="0.2">
      <c r="R12862" s="1288"/>
    </row>
    <row r="12863" spans="18:18" s="2" customFormat="1" ht="12.75" x14ac:dyDescent="0.2">
      <c r="R12863" s="1288"/>
    </row>
    <row r="12864" spans="18:18" s="2" customFormat="1" ht="12.75" x14ac:dyDescent="0.2">
      <c r="R12864" s="1288"/>
    </row>
    <row r="12865" spans="18:18" s="2" customFormat="1" ht="12.75" x14ac:dyDescent="0.2">
      <c r="R12865" s="1288"/>
    </row>
    <row r="12866" spans="18:18" s="2" customFormat="1" ht="12.75" x14ac:dyDescent="0.2">
      <c r="R12866" s="1288"/>
    </row>
    <row r="12867" spans="18:18" s="2" customFormat="1" ht="12.75" x14ac:dyDescent="0.2">
      <c r="R12867" s="1288"/>
    </row>
    <row r="12868" spans="18:18" s="2" customFormat="1" ht="12.75" x14ac:dyDescent="0.2">
      <c r="R12868" s="1288"/>
    </row>
    <row r="12869" spans="18:18" s="2" customFormat="1" ht="12.75" x14ac:dyDescent="0.2">
      <c r="R12869" s="1288"/>
    </row>
    <row r="12870" spans="18:18" s="2" customFormat="1" ht="12.75" x14ac:dyDescent="0.2">
      <c r="R12870" s="1288"/>
    </row>
    <row r="12871" spans="18:18" s="2" customFormat="1" ht="12.75" x14ac:dyDescent="0.2">
      <c r="R12871" s="1288"/>
    </row>
    <row r="12872" spans="18:18" s="2" customFormat="1" ht="12.75" x14ac:dyDescent="0.2">
      <c r="R12872" s="1288"/>
    </row>
    <row r="12873" spans="18:18" s="2" customFormat="1" ht="12.75" x14ac:dyDescent="0.2">
      <c r="R12873" s="1288"/>
    </row>
    <row r="12874" spans="18:18" s="2" customFormat="1" ht="12.75" x14ac:dyDescent="0.2">
      <c r="R12874" s="1288"/>
    </row>
    <row r="12875" spans="18:18" s="2" customFormat="1" ht="12.75" x14ac:dyDescent="0.2">
      <c r="R12875" s="1288"/>
    </row>
    <row r="12876" spans="18:18" s="2" customFormat="1" ht="12.75" x14ac:dyDescent="0.2">
      <c r="R12876" s="1288"/>
    </row>
    <row r="12877" spans="18:18" s="2" customFormat="1" ht="12.75" x14ac:dyDescent="0.2">
      <c r="R12877" s="1288"/>
    </row>
    <row r="12878" spans="18:18" s="2" customFormat="1" ht="12.75" x14ac:dyDescent="0.2">
      <c r="R12878" s="1288"/>
    </row>
    <row r="12879" spans="18:18" s="2" customFormat="1" ht="12.75" x14ac:dyDescent="0.2">
      <c r="R12879" s="1288"/>
    </row>
    <row r="12880" spans="18:18" s="2" customFormat="1" ht="12.75" x14ac:dyDescent="0.2">
      <c r="R12880" s="1288"/>
    </row>
    <row r="12881" spans="18:18" s="2" customFormat="1" ht="12.75" x14ac:dyDescent="0.2">
      <c r="R12881" s="1288"/>
    </row>
    <row r="12882" spans="18:18" s="2" customFormat="1" ht="12.75" x14ac:dyDescent="0.2">
      <c r="R12882" s="1288"/>
    </row>
    <row r="12883" spans="18:18" s="2" customFormat="1" ht="12.75" x14ac:dyDescent="0.2">
      <c r="R12883" s="1288"/>
    </row>
    <row r="12884" spans="18:18" s="2" customFormat="1" ht="12.75" x14ac:dyDescent="0.2">
      <c r="R12884" s="1288"/>
    </row>
    <row r="12885" spans="18:18" s="2" customFormat="1" ht="12.75" x14ac:dyDescent="0.2">
      <c r="R12885" s="1288"/>
    </row>
    <row r="12886" spans="18:18" s="2" customFormat="1" ht="12.75" x14ac:dyDescent="0.2">
      <c r="R12886" s="1288"/>
    </row>
    <row r="12887" spans="18:18" s="2" customFormat="1" ht="12.75" x14ac:dyDescent="0.2">
      <c r="R12887" s="1288"/>
    </row>
    <row r="12888" spans="18:18" s="2" customFormat="1" ht="12.75" x14ac:dyDescent="0.2">
      <c r="R12888" s="1288"/>
    </row>
    <row r="12889" spans="18:18" s="2" customFormat="1" ht="12.75" x14ac:dyDescent="0.2">
      <c r="R12889" s="1288"/>
    </row>
    <row r="12890" spans="18:18" s="2" customFormat="1" ht="12.75" x14ac:dyDescent="0.2">
      <c r="R12890" s="1288"/>
    </row>
    <row r="12891" spans="18:18" s="2" customFormat="1" ht="12.75" x14ac:dyDescent="0.2">
      <c r="R12891" s="1288"/>
    </row>
    <row r="12892" spans="18:18" s="2" customFormat="1" ht="12.75" x14ac:dyDescent="0.2">
      <c r="R12892" s="1288"/>
    </row>
    <row r="12893" spans="18:18" s="2" customFormat="1" ht="12.75" x14ac:dyDescent="0.2">
      <c r="R12893" s="1288"/>
    </row>
    <row r="12894" spans="18:18" s="2" customFormat="1" ht="12.75" x14ac:dyDescent="0.2">
      <c r="R12894" s="1288"/>
    </row>
    <row r="12895" spans="18:18" s="2" customFormat="1" ht="12.75" x14ac:dyDescent="0.2">
      <c r="R12895" s="1288"/>
    </row>
    <row r="12896" spans="18:18" s="2" customFormat="1" ht="12.75" x14ac:dyDescent="0.2">
      <c r="R12896" s="1288"/>
    </row>
    <row r="12897" spans="18:18" s="2" customFormat="1" ht="12.75" x14ac:dyDescent="0.2">
      <c r="R12897" s="1288"/>
    </row>
    <row r="12898" spans="18:18" s="2" customFormat="1" ht="12.75" x14ac:dyDescent="0.2">
      <c r="R12898" s="1288"/>
    </row>
    <row r="12899" spans="18:18" s="2" customFormat="1" ht="12.75" x14ac:dyDescent="0.2">
      <c r="R12899" s="1288"/>
    </row>
    <row r="12900" spans="18:18" s="2" customFormat="1" ht="12.75" x14ac:dyDescent="0.2">
      <c r="R12900" s="1288"/>
    </row>
    <row r="12901" spans="18:18" s="2" customFormat="1" ht="12.75" x14ac:dyDescent="0.2">
      <c r="R12901" s="1288"/>
    </row>
    <row r="12902" spans="18:18" s="2" customFormat="1" ht="12.75" x14ac:dyDescent="0.2">
      <c r="R12902" s="1288"/>
    </row>
    <row r="12903" spans="18:18" s="2" customFormat="1" ht="12.75" x14ac:dyDescent="0.2">
      <c r="R12903" s="1288"/>
    </row>
    <row r="12904" spans="18:18" s="2" customFormat="1" ht="12.75" x14ac:dyDescent="0.2">
      <c r="R12904" s="1288"/>
    </row>
    <row r="12905" spans="18:18" s="2" customFormat="1" ht="12.75" x14ac:dyDescent="0.2">
      <c r="R12905" s="1288"/>
    </row>
    <row r="12906" spans="18:18" s="2" customFormat="1" ht="12.75" x14ac:dyDescent="0.2">
      <c r="R12906" s="1288"/>
    </row>
    <row r="12907" spans="18:18" s="2" customFormat="1" ht="12.75" x14ac:dyDescent="0.2">
      <c r="R12907" s="1288"/>
    </row>
    <row r="12908" spans="18:18" s="2" customFormat="1" ht="12.75" x14ac:dyDescent="0.2">
      <c r="R12908" s="1288"/>
    </row>
    <row r="12909" spans="18:18" s="2" customFormat="1" ht="12.75" x14ac:dyDescent="0.2">
      <c r="R12909" s="1288"/>
    </row>
    <row r="12910" spans="18:18" s="2" customFormat="1" ht="12.75" x14ac:dyDescent="0.2">
      <c r="R12910" s="1288"/>
    </row>
    <row r="12911" spans="18:18" s="2" customFormat="1" ht="12.75" x14ac:dyDescent="0.2">
      <c r="R12911" s="1288"/>
    </row>
    <row r="12912" spans="18:18" s="2" customFormat="1" ht="12.75" x14ac:dyDescent="0.2">
      <c r="R12912" s="1288"/>
    </row>
    <row r="12913" spans="18:18" s="2" customFormat="1" ht="12.75" x14ac:dyDescent="0.2">
      <c r="R12913" s="1288"/>
    </row>
    <row r="12914" spans="18:18" s="2" customFormat="1" ht="12.75" x14ac:dyDescent="0.2">
      <c r="R12914" s="1288"/>
    </row>
    <row r="12915" spans="18:18" s="2" customFormat="1" ht="12.75" x14ac:dyDescent="0.2">
      <c r="R12915" s="1288"/>
    </row>
    <row r="12916" spans="18:18" s="2" customFormat="1" ht="12.75" x14ac:dyDescent="0.2">
      <c r="R12916" s="1288"/>
    </row>
    <row r="12917" spans="18:18" s="2" customFormat="1" ht="12.75" x14ac:dyDescent="0.2">
      <c r="R12917" s="1288"/>
    </row>
    <row r="12918" spans="18:18" s="2" customFormat="1" ht="12.75" x14ac:dyDescent="0.2">
      <c r="R12918" s="1288"/>
    </row>
    <row r="12919" spans="18:18" s="2" customFormat="1" ht="12.75" x14ac:dyDescent="0.2">
      <c r="R12919" s="1288"/>
    </row>
    <row r="12920" spans="18:18" s="2" customFormat="1" ht="12.75" x14ac:dyDescent="0.2">
      <c r="R12920" s="1288"/>
    </row>
    <row r="12921" spans="18:18" s="2" customFormat="1" ht="12.75" x14ac:dyDescent="0.2">
      <c r="R12921" s="1288"/>
    </row>
    <row r="12922" spans="18:18" s="2" customFormat="1" ht="12.75" x14ac:dyDescent="0.2">
      <c r="R12922" s="1288"/>
    </row>
    <row r="12923" spans="18:18" s="2" customFormat="1" ht="12.75" x14ac:dyDescent="0.2">
      <c r="R12923" s="1288"/>
    </row>
    <row r="12924" spans="18:18" s="2" customFormat="1" ht="12.75" x14ac:dyDescent="0.2">
      <c r="R12924" s="1288"/>
    </row>
    <row r="12925" spans="18:18" s="2" customFormat="1" ht="12.75" x14ac:dyDescent="0.2">
      <c r="R12925" s="1288"/>
    </row>
    <row r="12926" spans="18:18" s="2" customFormat="1" ht="12.75" x14ac:dyDescent="0.2">
      <c r="R12926" s="1288"/>
    </row>
    <row r="12927" spans="18:18" s="2" customFormat="1" ht="12.75" x14ac:dyDescent="0.2">
      <c r="R12927" s="1288"/>
    </row>
    <row r="12928" spans="18:18" s="2" customFormat="1" ht="12.75" x14ac:dyDescent="0.2">
      <c r="R12928" s="1288"/>
    </row>
    <row r="12929" spans="18:18" s="2" customFormat="1" ht="12.75" x14ac:dyDescent="0.2">
      <c r="R12929" s="1288"/>
    </row>
    <row r="12930" spans="18:18" s="2" customFormat="1" ht="12.75" x14ac:dyDescent="0.2">
      <c r="R12930" s="1288"/>
    </row>
    <row r="12931" spans="18:18" s="2" customFormat="1" ht="12.75" x14ac:dyDescent="0.2">
      <c r="R12931" s="1288"/>
    </row>
    <row r="12932" spans="18:18" s="2" customFormat="1" ht="12.75" x14ac:dyDescent="0.2">
      <c r="R12932" s="1288"/>
    </row>
    <row r="12933" spans="18:18" s="2" customFormat="1" ht="12.75" x14ac:dyDescent="0.2">
      <c r="R12933" s="1288"/>
    </row>
    <row r="12934" spans="18:18" s="2" customFormat="1" ht="12.75" x14ac:dyDescent="0.2">
      <c r="R12934" s="1288"/>
    </row>
    <row r="12935" spans="18:18" s="2" customFormat="1" ht="12.75" x14ac:dyDescent="0.2">
      <c r="R12935" s="1288"/>
    </row>
    <row r="12936" spans="18:18" s="2" customFormat="1" ht="12.75" x14ac:dyDescent="0.2">
      <c r="R12936" s="1288"/>
    </row>
    <row r="12937" spans="18:18" s="2" customFormat="1" ht="12.75" x14ac:dyDescent="0.2">
      <c r="R12937" s="1288"/>
    </row>
    <row r="12938" spans="18:18" s="2" customFormat="1" ht="12.75" x14ac:dyDescent="0.2">
      <c r="R12938" s="1288"/>
    </row>
    <row r="12939" spans="18:18" s="2" customFormat="1" ht="12.75" x14ac:dyDescent="0.2">
      <c r="R12939" s="1288"/>
    </row>
    <row r="12940" spans="18:18" s="2" customFormat="1" ht="12.75" x14ac:dyDescent="0.2">
      <c r="R12940" s="1288"/>
    </row>
    <row r="12941" spans="18:18" s="2" customFormat="1" ht="12.75" x14ac:dyDescent="0.2">
      <c r="R12941" s="1288"/>
    </row>
    <row r="12942" spans="18:18" s="2" customFormat="1" ht="12.75" x14ac:dyDescent="0.2">
      <c r="R12942" s="1288"/>
    </row>
    <row r="12943" spans="18:18" s="2" customFormat="1" ht="12.75" x14ac:dyDescent="0.2">
      <c r="R12943" s="1288"/>
    </row>
    <row r="12944" spans="18:18" s="2" customFormat="1" ht="12.75" x14ac:dyDescent="0.2">
      <c r="R12944" s="1288"/>
    </row>
    <row r="12945" spans="18:18" s="2" customFormat="1" ht="12.75" x14ac:dyDescent="0.2">
      <c r="R12945" s="1288"/>
    </row>
    <row r="12946" spans="18:18" s="2" customFormat="1" ht="12.75" x14ac:dyDescent="0.2">
      <c r="R12946" s="1288"/>
    </row>
    <row r="12947" spans="18:18" s="2" customFormat="1" ht="12.75" x14ac:dyDescent="0.2">
      <c r="R12947" s="1288"/>
    </row>
    <row r="12948" spans="18:18" s="2" customFormat="1" ht="12.75" x14ac:dyDescent="0.2">
      <c r="R12948" s="1288"/>
    </row>
    <row r="12949" spans="18:18" s="2" customFormat="1" ht="12.75" x14ac:dyDescent="0.2">
      <c r="R12949" s="1288"/>
    </row>
    <row r="12950" spans="18:18" s="2" customFormat="1" ht="12.75" x14ac:dyDescent="0.2">
      <c r="R12950" s="1288"/>
    </row>
    <row r="12951" spans="18:18" s="2" customFormat="1" ht="12.75" x14ac:dyDescent="0.2">
      <c r="R12951" s="1288"/>
    </row>
    <row r="12952" spans="18:18" s="2" customFormat="1" ht="12.75" x14ac:dyDescent="0.2">
      <c r="R12952" s="1288"/>
    </row>
    <row r="12953" spans="18:18" s="2" customFormat="1" ht="12.75" x14ac:dyDescent="0.2">
      <c r="R12953" s="1288"/>
    </row>
    <row r="12954" spans="18:18" s="2" customFormat="1" ht="12.75" x14ac:dyDescent="0.2">
      <c r="R12954" s="1288"/>
    </row>
    <row r="12955" spans="18:18" s="2" customFormat="1" ht="12.75" x14ac:dyDescent="0.2">
      <c r="R12955" s="1288"/>
    </row>
    <row r="12956" spans="18:18" s="2" customFormat="1" ht="12.75" x14ac:dyDescent="0.2">
      <c r="R12956" s="1288"/>
    </row>
    <row r="12957" spans="18:18" s="2" customFormat="1" ht="12.75" x14ac:dyDescent="0.2">
      <c r="R12957" s="1288"/>
    </row>
    <row r="12958" spans="18:18" s="2" customFormat="1" ht="12.75" x14ac:dyDescent="0.2">
      <c r="R12958" s="1288"/>
    </row>
    <row r="12959" spans="18:18" s="2" customFormat="1" ht="12.75" x14ac:dyDescent="0.2">
      <c r="R12959" s="1288"/>
    </row>
    <row r="12960" spans="18:18" s="2" customFormat="1" ht="12.75" x14ac:dyDescent="0.2">
      <c r="R12960" s="1288"/>
    </row>
    <row r="12961" spans="18:18" s="2" customFormat="1" ht="12.75" x14ac:dyDescent="0.2">
      <c r="R12961" s="1288"/>
    </row>
    <row r="12962" spans="18:18" s="2" customFormat="1" ht="12.75" x14ac:dyDescent="0.2">
      <c r="R12962" s="1288"/>
    </row>
    <row r="12963" spans="18:18" s="2" customFormat="1" ht="12.75" x14ac:dyDescent="0.2">
      <c r="R12963" s="1288"/>
    </row>
    <row r="12964" spans="18:18" s="2" customFormat="1" ht="12.75" x14ac:dyDescent="0.2">
      <c r="R12964" s="1288"/>
    </row>
    <row r="12965" spans="18:18" s="2" customFormat="1" ht="12.75" x14ac:dyDescent="0.2">
      <c r="R12965" s="1288"/>
    </row>
    <row r="12966" spans="18:18" s="2" customFormat="1" ht="12.75" x14ac:dyDescent="0.2">
      <c r="R12966" s="1288"/>
    </row>
    <row r="12967" spans="18:18" s="2" customFormat="1" ht="12.75" x14ac:dyDescent="0.2">
      <c r="R12967" s="1288"/>
    </row>
    <row r="12968" spans="18:18" s="2" customFormat="1" ht="12.75" x14ac:dyDescent="0.2">
      <c r="R12968" s="1288"/>
    </row>
    <row r="12969" spans="18:18" s="2" customFormat="1" ht="12.75" x14ac:dyDescent="0.2">
      <c r="R12969" s="1288"/>
    </row>
    <row r="12970" spans="18:18" s="2" customFormat="1" ht="12.75" x14ac:dyDescent="0.2">
      <c r="R12970" s="1288"/>
    </row>
    <row r="12971" spans="18:18" s="2" customFormat="1" ht="12.75" x14ac:dyDescent="0.2">
      <c r="R12971" s="1288"/>
    </row>
    <row r="12972" spans="18:18" s="2" customFormat="1" ht="12.75" x14ac:dyDescent="0.2">
      <c r="R12972" s="1288"/>
    </row>
    <row r="12973" spans="18:18" s="2" customFormat="1" ht="12.75" x14ac:dyDescent="0.2">
      <c r="R12973" s="1288"/>
    </row>
    <row r="12974" spans="18:18" s="2" customFormat="1" ht="12.75" x14ac:dyDescent="0.2">
      <c r="R12974" s="1288"/>
    </row>
    <row r="12975" spans="18:18" s="2" customFormat="1" ht="12.75" x14ac:dyDescent="0.2">
      <c r="R12975" s="1288"/>
    </row>
    <row r="12976" spans="18:18" s="2" customFormat="1" ht="12.75" x14ac:dyDescent="0.2">
      <c r="R12976" s="1288"/>
    </row>
    <row r="12977" spans="18:18" s="2" customFormat="1" ht="12.75" x14ac:dyDescent="0.2">
      <c r="R12977" s="1288"/>
    </row>
    <row r="12978" spans="18:18" s="2" customFormat="1" ht="12.75" x14ac:dyDescent="0.2">
      <c r="R12978" s="1288"/>
    </row>
    <row r="12979" spans="18:18" s="2" customFormat="1" ht="12.75" x14ac:dyDescent="0.2">
      <c r="R12979" s="1288"/>
    </row>
    <row r="12980" spans="18:18" s="2" customFormat="1" ht="12.75" x14ac:dyDescent="0.2">
      <c r="R12980" s="1288"/>
    </row>
    <row r="12981" spans="18:18" s="2" customFormat="1" ht="12.75" x14ac:dyDescent="0.2">
      <c r="R12981" s="1288"/>
    </row>
    <row r="12982" spans="18:18" s="2" customFormat="1" ht="12.75" x14ac:dyDescent="0.2">
      <c r="R12982" s="1288"/>
    </row>
    <row r="12983" spans="18:18" s="2" customFormat="1" ht="12.75" x14ac:dyDescent="0.2">
      <c r="R12983" s="1288"/>
    </row>
    <row r="12984" spans="18:18" s="2" customFormat="1" ht="12.75" x14ac:dyDescent="0.2">
      <c r="R12984" s="1288"/>
    </row>
    <row r="12985" spans="18:18" s="2" customFormat="1" ht="12.75" x14ac:dyDescent="0.2">
      <c r="R12985" s="1288"/>
    </row>
    <row r="12986" spans="18:18" s="2" customFormat="1" ht="12.75" x14ac:dyDescent="0.2">
      <c r="R12986" s="1288"/>
    </row>
    <row r="12987" spans="18:18" s="2" customFormat="1" ht="12.75" x14ac:dyDescent="0.2">
      <c r="R12987" s="1288"/>
    </row>
    <row r="12988" spans="18:18" s="2" customFormat="1" ht="12.75" x14ac:dyDescent="0.2">
      <c r="R12988" s="1288"/>
    </row>
    <row r="12989" spans="18:18" s="2" customFormat="1" ht="12.75" x14ac:dyDescent="0.2">
      <c r="R12989" s="1288"/>
    </row>
    <row r="12990" spans="18:18" s="2" customFormat="1" ht="12.75" x14ac:dyDescent="0.2">
      <c r="R12990" s="1288"/>
    </row>
    <row r="12991" spans="18:18" s="2" customFormat="1" ht="12.75" x14ac:dyDescent="0.2">
      <c r="R12991" s="1288"/>
    </row>
    <row r="12992" spans="18:18" s="2" customFormat="1" ht="12.75" x14ac:dyDescent="0.2">
      <c r="R12992" s="1288"/>
    </row>
    <row r="12993" spans="18:18" s="2" customFormat="1" ht="12.75" x14ac:dyDescent="0.2">
      <c r="R12993" s="1288"/>
    </row>
    <row r="12994" spans="18:18" s="2" customFormat="1" ht="12.75" x14ac:dyDescent="0.2">
      <c r="R12994" s="1288"/>
    </row>
    <row r="12995" spans="18:18" s="2" customFormat="1" ht="12.75" x14ac:dyDescent="0.2">
      <c r="R12995" s="1288"/>
    </row>
    <row r="12996" spans="18:18" s="2" customFormat="1" ht="12.75" x14ac:dyDescent="0.2">
      <c r="R12996" s="1288"/>
    </row>
    <row r="12997" spans="18:18" s="2" customFormat="1" ht="12.75" x14ac:dyDescent="0.2">
      <c r="R12997" s="1288"/>
    </row>
    <row r="12998" spans="18:18" s="2" customFormat="1" ht="12.75" x14ac:dyDescent="0.2">
      <c r="R12998" s="1288"/>
    </row>
    <row r="12999" spans="18:18" s="2" customFormat="1" ht="12.75" x14ac:dyDescent="0.2">
      <c r="R12999" s="1288"/>
    </row>
    <row r="13000" spans="18:18" s="2" customFormat="1" ht="12.75" x14ac:dyDescent="0.2">
      <c r="R13000" s="1288"/>
    </row>
    <row r="13001" spans="18:18" s="2" customFormat="1" ht="12.75" x14ac:dyDescent="0.2">
      <c r="R13001" s="1288"/>
    </row>
    <row r="13002" spans="18:18" s="2" customFormat="1" ht="12.75" x14ac:dyDescent="0.2">
      <c r="R13002" s="1288"/>
    </row>
    <row r="13003" spans="18:18" s="2" customFormat="1" ht="12.75" x14ac:dyDescent="0.2">
      <c r="R13003" s="1288"/>
    </row>
    <row r="13004" spans="18:18" s="2" customFormat="1" ht="12.75" x14ac:dyDescent="0.2">
      <c r="R13004" s="1288"/>
    </row>
    <row r="13005" spans="18:18" s="2" customFormat="1" ht="12.75" x14ac:dyDescent="0.2">
      <c r="R13005" s="1288"/>
    </row>
    <row r="13006" spans="18:18" s="2" customFormat="1" ht="12.75" x14ac:dyDescent="0.2">
      <c r="R13006" s="1288"/>
    </row>
    <row r="13007" spans="18:18" s="2" customFormat="1" ht="12.75" x14ac:dyDescent="0.2">
      <c r="R13007" s="1288"/>
    </row>
    <row r="13008" spans="18:18" s="2" customFormat="1" ht="12.75" x14ac:dyDescent="0.2">
      <c r="R13008" s="1288"/>
    </row>
    <row r="13009" spans="18:18" s="2" customFormat="1" ht="12.75" x14ac:dyDescent="0.2">
      <c r="R13009" s="1288"/>
    </row>
    <row r="13010" spans="18:18" s="2" customFormat="1" ht="12.75" x14ac:dyDescent="0.2">
      <c r="R13010" s="1288"/>
    </row>
    <row r="13011" spans="18:18" s="2" customFormat="1" ht="12.75" x14ac:dyDescent="0.2">
      <c r="R13011" s="1288"/>
    </row>
    <row r="13012" spans="18:18" s="2" customFormat="1" ht="12.75" x14ac:dyDescent="0.2">
      <c r="R13012" s="1288"/>
    </row>
    <row r="13013" spans="18:18" s="2" customFormat="1" ht="12.75" x14ac:dyDescent="0.2">
      <c r="R13013" s="1288"/>
    </row>
    <row r="13014" spans="18:18" s="2" customFormat="1" ht="12.75" x14ac:dyDescent="0.2">
      <c r="R13014" s="1288"/>
    </row>
    <row r="13015" spans="18:18" s="2" customFormat="1" ht="12.75" x14ac:dyDescent="0.2">
      <c r="R13015" s="1288"/>
    </row>
    <row r="13016" spans="18:18" s="2" customFormat="1" ht="12.75" x14ac:dyDescent="0.2">
      <c r="R13016" s="1288"/>
    </row>
    <row r="13017" spans="18:18" s="2" customFormat="1" ht="12.75" x14ac:dyDescent="0.2">
      <c r="R13017" s="1288"/>
    </row>
    <row r="13018" spans="18:18" s="2" customFormat="1" ht="12.75" x14ac:dyDescent="0.2">
      <c r="R13018" s="1288"/>
    </row>
    <row r="13019" spans="18:18" s="2" customFormat="1" ht="12.75" x14ac:dyDescent="0.2">
      <c r="R13019" s="1288"/>
    </row>
    <row r="13020" spans="18:18" s="2" customFormat="1" ht="12.75" x14ac:dyDescent="0.2">
      <c r="R13020" s="1288"/>
    </row>
    <row r="13021" spans="18:18" s="2" customFormat="1" ht="12.75" x14ac:dyDescent="0.2">
      <c r="R13021" s="1288"/>
    </row>
    <row r="13022" spans="18:18" s="2" customFormat="1" ht="12.75" x14ac:dyDescent="0.2">
      <c r="R13022" s="1288"/>
    </row>
    <row r="13023" spans="18:18" s="2" customFormat="1" ht="12.75" x14ac:dyDescent="0.2">
      <c r="R13023" s="1288"/>
    </row>
    <row r="13024" spans="18:18" s="2" customFormat="1" ht="12.75" x14ac:dyDescent="0.2">
      <c r="R13024" s="1288"/>
    </row>
    <row r="13025" spans="18:18" s="2" customFormat="1" ht="12.75" x14ac:dyDescent="0.2">
      <c r="R13025" s="1288"/>
    </row>
    <row r="13026" spans="18:18" s="2" customFormat="1" ht="12.75" x14ac:dyDescent="0.2">
      <c r="R13026" s="1288"/>
    </row>
    <row r="13027" spans="18:18" s="2" customFormat="1" ht="12.75" x14ac:dyDescent="0.2">
      <c r="R13027" s="1288"/>
    </row>
    <row r="13028" spans="18:18" s="2" customFormat="1" ht="12.75" x14ac:dyDescent="0.2">
      <c r="R13028" s="1288"/>
    </row>
    <row r="13029" spans="18:18" s="2" customFormat="1" ht="12.75" x14ac:dyDescent="0.2">
      <c r="R13029" s="1288"/>
    </row>
    <row r="13030" spans="18:18" s="2" customFormat="1" ht="12.75" x14ac:dyDescent="0.2">
      <c r="R13030" s="1288"/>
    </row>
    <row r="13031" spans="18:18" s="2" customFormat="1" ht="12.75" x14ac:dyDescent="0.2">
      <c r="R13031" s="1288"/>
    </row>
    <row r="13032" spans="18:18" s="2" customFormat="1" ht="12.75" x14ac:dyDescent="0.2">
      <c r="R13032" s="1288"/>
    </row>
    <row r="13033" spans="18:18" s="2" customFormat="1" ht="12.75" x14ac:dyDescent="0.2">
      <c r="R13033" s="1288"/>
    </row>
    <row r="13034" spans="18:18" s="2" customFormat="1" ht="12.75" x14ac:dyDescent="0.2">
      <c r="R13034" s="1288"/>
    </row>
    <row r="13035" spans="18:18" s="2" customFormat="1" ht="12.75" x14ac:dyDescent="0.2">
      <c r="R13035" s="1288"/>
    </row>
    <row r="13036" spans="18:18" s="2" customFormat="1" ht="12.75" x14ac:dyDescent="0.2">
      <c r="R13036" s="1288"/>
    </row>
    <row r="13037" spans="18:18" s="2" customFormat="1" ht="12.75" x14ac:dyDescent="0.2">
      <c r="R13037" s="1288"/>
    </row>
    <row r="13038" spans="18:18" s="2" customFormat="1" ht="12.75" x14ac:dyDescent="0.2">
      <c r="R13038" s="1288"/>
    </row>
    <row r="13039" spans="18:18" s="2" customFormat="1" ht="12.75" x14ac:dyDescent="0.2">
      <c r="R13039" s="1288"/>
    </row>
    <row r="13040" spans="18:18" s="2" customFormat="1" ht="12.75" x14ac:dyDescent="0.2">
      <c r="R13040" s="1288"/>
    </row>
    <row r="13041" spans="18:18" s="2" customFormat="1" ht="12.75" x14ac:dyDescent="0.2">
      <c r="R13041" s="1288"/>
    </row>
    <row r="13042" spans="18:18" s="2" customFormat="1" ht="12.75" x14ac:dyDescent="0.2">
      <c r="R13042" s="1288"/>
    </row>
    <row r="13043" spans="18:18" s="2" customFormat="1" ht="12.75" x14ac:dyDescent="0.2">
      <c r="R13043" s="1288"/>
    </row>
    <row r="13044" spans="18:18" s="2" customFormat="1" ht="12.75" x14ac:dyDescent="0.2">
      <c r="R13044" s="1288"/>
    </row>
    <row r="13045" spans="18:18" s="2" customFormat="1" ht="12.75" x14ac:dyDescent="0.2">
      <c r="R13045" s="1288"/>
    </row>
    <row r="13046" spans="18:18" s="2" customFormat="1" ht="12.75" x14ac:dyDescent="0.2">
      <c r="R13046" s="1288"/>
    </row>
    <row r="13047" spans="18:18" s="2" customFormat="1" ht="12.75" x14ac:dyDescent="0.2">
      <c r="R13047" s="1288"/>
    </row>
    <row r="13048" spans="18:18" s="2" customFormat="1" ht="12.75" x14ac:dyDescent="0.2">
      <c r="R13048" s="1288"/>
    </row>
    <row r="13049" spans="18:18" s="2" customFormat="1" ht="12.75" x14ac:dyDescent="0.2">
      <c r="R13049" s="1288"/>
    </row>
    <row r="13050" spans="18:18" s="2" customFormat="1" ht="12.75" x14ac:dyDescent="0.2">
      <c r="R13050" s="1288"/>
    </row>
    <row r="13051" spans="18:18" s="2" customFormat="1" ht="12.75" x14ac:dyDescent="0.2">
      <c r="R13051" s="1288"/>
    </row>
    <row r="13052" spans="18:18" s="2" customFormat="1" ht="12.75" x14ac:dyDescent="0.2">
      <c r="R13052" s="1288"/>
    </row>
    <row r="13053" spans="18:18" s="2" customFormat="1" ht="12.75" x14ac:dyDescent="0.2">
      <c r="R13053" s="1288"/>
    </row>
    <row r="13054" spans="18:18" s="2" customFormat="1" ht="12.75" x14ac:dyDescent="0.2">
      <c r="R13054" s="1288"/>
    </row>
    <row r="13055" spans="18:18" s="2" customFormat="1" ht="12.75" x14ac:dyDescent="0.2">
      <c r="R13055" s="1288"/>
    </row>
    <row r="13056" spans="18:18" s="2" customFormat="1" ht="12.75" x14ac:dyDescent="0.2">
      <c r="R13056" s="1288"/>
    </row>
    <row r="13057" spans="18:18" s="2" customFormat="1" ht="12.75" x14ac:dyDescent="0.2">
      <c r="R13057" s="1288"/>
    </row>
    <row r="13058" spans="18:18" s="2" customFormat="1" ht="12.75" x14ac:dyDescent="0.2">
      <c r="R13058" s="1288"/>
    </row>
    <row r="13059" spans="18:18" s="2" customFormat="1" ht="12.75" x14ac:dyDescent="0.2">
      <c r="R13059" s="1288"/>
    </row>
    <row r="13060" spans="18:18" s="2" customFormat="1" ht="12.75" x14ac:dyDescent="0.2">
      <c r="R13060" s="1288"/>
    </row>
    <row r="13061" spans="18:18" s="2" customFormat="1" ht="12.75" x14ac:dyDescent="0.2">
      <c r="R13061" s="1288"/>
    </row>
    <row r="13062" spans="18:18" s="2" customFormat="1" ht="12.75" x14ac:dyDescent="0.2">
      <c r="R13062" s="1288"/>
    </row>
    <row r="13063" spans="18:18" s="2" customFormat="1" ht="12.75" x14ac:dyDescent="0.2">
      <c r="R13063" s="1288"/>
    </row>
    <row r="13064" spans="18:18" s="2" customFormat="1" ht="12.75" x14ac:dyDescent="0.2">
      <c r="R13064" s="1288"/>
    </row>
    <row r="13065" spans="18:18" s="2" customFormat="1" ht="12.75" x14ac:dyDescent="0.2">
      <c r="R13065" s="1288"/>
    </row>
    <row r="13066" spans="18:18" s="2" customFormat="1" ht="12.75" x14ac:dyDescent="0.2">
      <c r="R13066" s="1288"/>
    </row>
    <row r="13067" spans="18:18" s="2" customFormat="1" ht="12.75" x14ac:dyDescent="0.2">
      <c r="R13067" s="1288"/>
    </row>
    <row r="13068" spans="18:18" s="2" customFormat="1" ht="12.75" x14ac:dyDescent="0.2">
      <c r="R13068" s="1288"/>
    </row>
    <row r="13069" spans="18:18" s="2" customFormat="1" ht="12.75" x14ac:dyDescent="0.2">
      <c r="R13069" s="1288"/>
    </row>
    <row r="13070" spans="18:18" s="2" customFormat="1" ht="12.75" x14ac:dyDescent="0.2">
      <c r="R13070" s="1288"/>
    </row>
    <row r="13071" spans="18:18" s="2" customFormat="1" ht="12.75" x14ac:dyDescent="0.2">
      <c r="R13071" s="1288"/>
    </row>
    <row r="13072" spans="18:18" s="2" customFormat="1" ht="12.75" x14ac:dyDescent="0.2">
      <c r="R13072" s="1288"/>
    </row>
    <row r="13073" spans="18:18" s="2" customFormat="1" ht="12.75" x14ac:dyDescent="0.2">
      <c r="R13073" s="1288"/>
    </row>
    <row r="13074" spans="18:18" s="2" customFormat="1" ht="12.75" x14ac:dyDescent="0.2">
      <c r="R13074" s="1288"/>
    </row>
    <row r="13075" spans="18:18" s="2" customFormat="1" ht="12.75" x14ac:dyDescent="0.2">
      <c r="R13075" s="1288"/>
    </row>
    <row r="13076" spans="18:18" s="2" customFormat="1" ht="12.75" x14ac:dyDescent="0.2">
      <c r="R13076" s="1288"/>
    </row>
    <row r="13077" spans="18:18" s="2" customFormat="1" ht="12.75" x14ac:dyDescent="0.2">
      <c r="R13077" s="1288"/>
    </row>
    <row r="13078" spans="18:18" s="2" customFormat="1" ht="12.75" x14ac:dyDescent="0.2">
      <c r="R13078" s="1288"/>
    </row>
    <row r="13079" spans="18:18" s="2" customFormat="1" ht="12.75" x14ac:dyDescent="0.2">
      <c r="R13079" s="1288"/>
    </row>
    <row r="13080" spans="18:18" s="2" customFormat="1" ht="12.75" x14ac:dyDescent="0.2">
      <c r="R13080" s="1288"/>
    </row>
    <row r="13081" spans="18:18" s="2" customFormat="1" ht="12.75" x14ac:dyDescent="0.2">
      <c r="R13081" s="1288"/>
    </row>
    <row r="13082" spans="18:18" s="2" customFormat="1" ht="12.75" x14ac:dyDescent="0.2">
      <c r="R13082" s="1288"/>
    </row>
    <row r="13083" spans="18:18" s="2" customFormat="1" ht="12.75" x14ac:dyDescent="0.2">
      <c r="R13083" s="1288"/>
    </row>
    <row r="13084" spans="18:18" s="2" customFormat="1" ht="12.75" x14ac:dyDescent="0.2">
      <c r="R13084" s="1288"/>
    </row>
    <row r="13085" spans="18:18" s="2" customFormat="1" ht="12.75" x14ac:dyDescent="0.2">
      <c r="R13085" s="1288"/>
    </row>
    <row r="13086" spans="18:18" s="2" customFormat="1" ht="12.75" x14ac:dyDescent="0.2">
      <c r="R13086" s="1288"/>
    </row>
    <row r="13087" spans="18:18" s="2" customFormat="1" ht="12.75" x14ac:dyDescent="0.2">
      <c r="R13087" s="1288"/>
    </row>
    <row r="13088" spans="18:18" s="2" customFormat="1" ht="12.75" x14ac:dyDescent="0.2">
      <c r="R13088" s="1288"/>
    </row>
    <row r="13089" spans="18:18" s="2" customFormat="1" ht="12.75" x14ac:dyDescent="0.2">
      <c r="R13089" s="1288"/>
    </row>
    <row r="13090" spans="18:18" s="2" customFormat="1" ht="12.75" x14ac:dyDescent="0.2">
      <c r="R13090" s="1288"/>
    </row>
    <row r="13091" spans="18:18" s="2" customFormat="1" ht="12.75" x14ac:dyDescent="0.2">
      <c r="R13091" s="1288"/>
    </row>
    <row r="13092" spans="18:18" s="2" customFormat="1" ht="12.75" x14ac:dyDescent="0.2">
      <c r="R13092" s="1288"/>
    </row>
    <row r="13093" spans="18:18" s="2" customFormat="1" ht="12.75" x14ac:dyDescent="0.2">
      <c r="R13093" s="1288"/>
    </row>
    <row r="13094" spans="18:18" s="2" customFormat="1" ht="12.75" x14ac:dyDescent="0.2">
      <c r="R13094" s="1288"/>
    </row>
    <row r="13095" spans="18:18" s="2" customFormat="1" ht="12.75" x14ac:dyDescent="0.2">
      <c r="R13095" s="1288"/>
    </row>
    <row r="13096" spans="18:18" s="2" customFormat="1" ht="12.75" x14ac:dyDescent="0.2">
      <c r="R13096" s="1288"/>
    </row>
    <row r="13097" spans="18:18" s="2" customFormat="1" ht="12.75" x14ac:dyDescent="0.2">
      <c r="R13097" s="1288"/>
    </row>
    <row r="13098" spans="18:18" s="2" customFormat="1" ht="12.75" x14ac:dyDescent="0.2">
      <c r="R13098" s="1288"/>
    </row>
    <row r="13099" spans="18:18" s="2" customFormat="1" ht="12.75" x14ac:dyDescent="0.2">
      <c r="R13099" s="1288"/>
    </row>
    <row r="13100" spans="18:18" s="2" customFormat="1" ht="12.75" x14ac:dyDescent="0.2">
      <c r="R13100" s="1288"/>
    </row>
    <row r="13101" spans="18:18" s="2" customFormat="1" ht="12.75" x14ac:dyDescent="0.2">
      <c r="R13101" s="1288"/>
    </row>
    <row r="13102" spans="18:18" s="2" customFormat="1" ht="12.75" x14ac:dyDescent="0.2">
      <c r="R13102" s="1288"/>
    </row>
    <row r="13103" spans="18:18" s="2" customFormat="1" ht="12.75" x14ac:dyDescent="0.2">
      <c r="R13103" s="1288"/>
    </row>
    <row r="13104" spans="18:18" s="2" customFormat="1" ht="12.75" x14ac:dyDescent="0.2">
      <c r="R13104" s="1288"/>
    </row>
    <row r="13105" spans="18:18" s="2" customFormat="1" ht="12.75" x14ac:dyDescent="0.2">
      <c r="R13105" s="1288"/>
    </row>
    <row r="13106" spans="18:18" s="2" customFormat="1" ht="12.75" x14ac:dyDescent="0.2">
      <c r="R13106" s="1288"/>
    </row>
    <row r="13107" spans="18:18" s="2" customFormat="1" ht="12.75" x14ac:dyDescent="0.2">
      <c r="R13107" s="1288"/>
    </row>
    <row r="13108" spans="18:18" s="2" customFormat="1" ht="12.75" x14ac:dyDescent="0.2">
      <c r="R13108" s="1288"/>
    </row>
    <row r="13109" spans="18:18" s="2" customFormat="1" ht="12.75" x14ac:dyDescent="0.2">
      <c r="R13109" s="1288"/>
    </row>
    <row r="13110" spans="18:18" s="2" customFormat="1" ht="12.75" x14ac:dyDescent="0.2">
      <c r="R13110" s="1288"/>
    </row>
    <row r="13111" spans="18:18" s="2" customFormat="1" ht="12.75" x14ac:dyDescent="0.2">
      <c r="R13111" s="1288"/>
    </row>
    <row r="13112" spans="18:18" s="2" customFormat="1" ht="12.75" x14ac:dyDescent="0.2">
      <c r="R13112" s="1288"/>
    </row>
    <row r="13113" spans="18:18" s="2" customFormat="1" ht="12.75" x14ac:dyDescent="0.2">
      <c r="R13113" s="1288"/>
    </row>
    <row r="13114" spans="18:18" s="2" customFormat="1" ht="12.75" x14ac:dyDescent="0.2">
      <c r="R13114" s="1288"/>
    </row>
    <row r="13115" spans="18:18" s="2" customFormat="1" ht="12.75" x14ac:dyDescent="0.2">
      <c r="R13115" s="1288"/>
    </row>
    <row r="13116" spans="18:18" s="2" customFormat="1" ht="12.75" x14ac:dyDescent="0.2">
      <c r="R13116" s="1288"/>
    </row>
    <row r="13117" spans="18:18" s="2" customFormat="1" ht="12.75" x14ac:dyDescent="0.2">
      <c r="R13117" s="1288"/>
    </row>
    <row r="13118" spans="18:18" s="2" customFormat="1" ht="12.75" x14ac:dyDescent="0.2">
      <c r="R13118" s="1288"/>
    </row>
    <row r="13119" spans="18:18" s="2" customFormat="1" ht="12.75" x14ac:dyDescent="0.2">
      <c r="R13119" s="1288"/>
    </row>
    <row r="13120" spans="18:18" s="2" customFormat="1" ht="12.75" x14ac:dyDescent="0.2">
      <c r="R13120" s="1288"/>
    </row>
    <row r="13121" spans="18:18" s="2" customFormat="1" ht="12.75" x14ac:dyDescent="0.2">
      <c r="R13121" s="1288"/>
    </row>
    <row r="13122" spans="18:18" s="2" customFormat="1" ht="12.75" x14ac:dyDescent="0.2">
      <c r="R13122" s="1288"/>
    </row>
    <row r="13123" spans="18:18" s="2" customFormat="1" ht="12.75" x14ac:dyDescent="0.2">
      <c r="R13123" s="1288"/>
    </row>
    <row r="13124" spans="18:18" s="2" customFormat="1" ht="12.75" x14ac:dyDescent="0.2">
      <c r="R13124" s="1288"/>
    </row>
    <row r="13125" spans="18:18" s="2" customFormat="1" ht="12.75" x14ac:dyDescent="0.2">
      <c r="R13125" s="1288"/>
    </row>
    <row r="13126" spans="18:18" s="2" customFormat="1" ht="12.75" x14ac:dyDescent="0.2">
      <c r="R13126" s="1288"/>
    </row>
    <row r="13127" spans="18:18" s="2" customFormat="1" ht="12.75" x14ac:dyDescent="0.2">
      <c r="R13127" s="1288"/>
    </row>
    <row r="13128" spans="18:18" s="2" customFormat="1" ht="12.75" x14ac:dyDescent="0.2">
      <c r="R13128" s="1288"/>
    </row>
    <row r="13129" spans="18:18" s="2" customFormat="1" ht="12.75" x14ac:dyDescent="0.2">
      <c r="R13129" s="1288"/>
    </row>
    <row r="13130" spans="18:18" s="2" customFormat="1" ht="12.75" x14ac:dyDescent="0.2">
      <c r="R13130" s="1288"/>
    </row>
    <row r="13131" spans="18:18" s="2" customFormat="1" ht="12.75" x14ac:dyDescent="0.2">
      <c r="R13131" s="1288"/>
    </row>
    <row r="13132" spans="18:18" s="2" customFormat="1" ht="12.75" x14ac:dyDescent="0.2">
      <c r="R13132" s="1288"/>
    </row>
    <row r="13133" spans="18:18" s="2" customFormat="1" ht="12.75" x14ac:dyDescent="0.2">
      <c r="R13133" s="1288"/>
    </row>
    <row r="13134" spans="18:18" s="2" customFormat="1" ht="12.75" x14ac:dyDescent="0.2">
      <c r="R13134" s="1288"/>
    </row>
    <row r="13135" spans="18:18" s="2" customFormat="1" ht="12.75" x14ac:dyDescent="0.2">
      <c r="R13135" s="1288"/>
    </row>
    <row r="13136" spans="18:18" s="2" customFormat="1" ht="12.75" x14ac:dyDescent="0.2">
      <c r="R13136" s="1288"/>
    </row>
    <row r="13137" spans="18:18" s="2" customFormat="1" ht="12.75" x14ac:dyDescent="0.2">
      <c r="R13137" s="1288"/>
    </row>
    <row r="13138" spans="18:18" s="2" customFormat="1" ht="12.75" x14ac:dyDescent="0.2">
      <c r="R13138" s="1288"/>
    </row>
    <row r="13139" spans="18:18" s="2" customFormat="1" ht="12.75" x14ac:dyDescent="0.2">
      <c r="R13139" s="1288"/>
    </row>
    <row r="13140" spans="18:18" s="2" customFormat="1" ht="12.75" x14ac:dyDescent="0.2">
      <c r="R13140" s="1288"/>
    </row>
    <row r="13141" spans="18:18" s="2" customFormat="1" ht="12.75" x14ac:dyDescent="0.2">
      <c r="R13141" s="1288"/>
    </row>
    <row r="13142" spans="18:18" s="2" customFormat="1" ht="12.75" x14ac:dyDescent="0.2">
      <c r="R13142" s="1288"/>
    </row>
    <row r="13143" spans="18:18" s="2" customFormat="1" ht="12.75" x14ac:dyDescent="0.2">
      <c r="R13143" s="1288"/>
    </row>
    <row r="13144" spans="18:18" s="2" customFormat="1" ht="12.75" x14ac:dyDescent="0.2">
      <c r="R13144" s="1288"/>
    </row>
    <row r="13145" spans="18:18" s="2" customFormat="1" ht="12.75" x14ac:dyDescent="0.2">
      <c r="R13145" s="1288"/>
    </row>
    <row r="13146" spans="18:18" s="2" customFormat="1" ht="12.75" x14ac:dyDescent="0.2">
      <c r="R13146" s="1288"/>
    </row>
    <row r="13147" spans="18:18" s="2" customFormat="1" ht="12.75" x14ac:dyDescent="0.2">
      <c r="R13147" s="1288"/>
    </row>
    <row r="13148" spans="18:18" s="2" customFormat="1" ht="12.75" x14ac:dyDescent="0.2">
      <c r="R13148" s="1288"/>
    </row>
    <row r="13149" spans="18:18" s="2" customFormat="1" ht="12.75" x14ac:dyDescent="0.2">
      <c r="R13149" s="1288"/>
    </row>
    <row r="13150" spans="18:18" s="2" customFormat="1" ht="12.75" x14ac:dyDescent="0.2">
      <c r="R13150" s="1288"/>
    </row>
    <row r="13151" spans="18:18" s="2" customFormat="1" ht="12.75" x14ac:dyDescent="0.2">
      <c r="R13151" s="1288"/>
    </row>
    <row r="13152" spans="18:18" s="2" customFormat="1" ht="12.75" x14ac:dyDescent="0.2">
      <c r="R13152" s="1288"/>
    </row>
    <row r="13153" spans="18:18" s="2" customFormat="1" ht="12.75" x14ac:dyDescent="0.2">
      <c r="R13153" s="1288"/>
    </row>
    <row r="13154" spans="18:18" s="2" customFormat="1" ht="12.75" x14ac:dyDescent="0.2">
      <c r="R13154" s="1288"/>
    </row>
    <row r="13155" spans="18:18" s="2" customFormat="1" ht="12.75" x14ac:dyDescent="0.2">
      <c r="R13155" s="1288"/>
    </row>
    <row r="13156" spans="18:18" s="2" customFormat="1" ht="12.75" x14ac:dyDescent="0.2">
      <c r="R13156" s="1288"/>
    </row>
    <row r="13157" spans="18:18" s="2" customFormat="1" ht="12.75" x14ac:dyDescent="0.2">
      <c r="R13157" s="1288"/>
    </row>
    <row r="13158" spans="18:18" s="2" customFormat="1" ht="12.75" x14ac:dyDescent="0.2">
      <c r="R13158" s="1288"/>
    </row>
    <row r="13159" spans="18:18" s="2" customFormat="1" ht="12.75" x14ac:dyDescent="0.2">
      <c r="R13159" s="1288"/>
    </row>
    <row r="13160" spans="18:18" s="2" customFormat="1" ht="12.75" x14ac:dyDescent="0.2">
      <c r="R13160" s="1288"/>
    </row>
    <row r="13161" spans="18:18" s="2" customFormat="1" ht="12.75" x14ac:dyDescent="0.2">
      <c r="R13161" s="1288"/>
    </row>
    <row r="13162" spans="18:18" s="2" customFormat="1" ht="12.75" x14ac:dyDescent="0.2">
      <c r="R13162" s="1288"/>
    </row>
    <row r="13163" spans="18:18" s="2" customFormat="1" ht="12.75" x14ac:dyDescent="0.2">
      <c r="R13163" s="1288"/>
    </row>
    <row r="13164" spans="18:18" s="2" customFormat="1" ht="12.75" x14ac:dyDescent="0.2">
      <c r="R13164" s="1288"/>
    </row>
    <row r="13165" spans="18:18" s="2" customFormat="1" ht="12.75" x14ac:dyDescent="0.2">
      <c r="R13165" s="1288"/>
    </row>
    <row r="13166" spans="18:18" s="2" customFormat="1" ht="12.75" x14ac:dyDescent="0.2">
      <c r="R13166" s="1288"/>
    </row>
    <row r="13167" spans="18:18" s="2" customFormat="1" ht="12.75" x14ac:dyDescent="0.2">
      <c r="R13167" s="1288"/>
    </row>
    <row r="13168" spans="18:18" s="2" customFormat="1" ht="12.75" x14ac:dyDescent="0.2">
      <c r="R13168" s="1288"/>
    </row>
    <row r="13169" spans="18:18" s="2" customFormat="1" ht="12.75" x14ac:dyDescent="0.2">
      <c r="R13169" s="1288"/>
    </row>
    <row r="13170" spans="18:18" s="2" customFormat="1" ht="12.75" x14ac:dyDescent="0.2">
      <c r="R13170" s="1288"/>
    </row>
    <row r="13171" spans="18:18" s="2" customFormat="1" ht="12.75" x14ac:dyDescent="0.2">
      <c r="R13171" s="1288"/>
    </row>
    <row r="13172" spans="18:18" s="2" customFormat="1" ht="12.75" x14ac:dyDescent="0.2">
      <c r="R13172" s="1288"/>
    </row>
    <row r="13173" spans="18:18" s="2" customFormat="1" ht="12.75" x14ac:dyDescent="0.2">
      <c r="R13173" s="1288"/>
    </row>
    <row r="13174" spans="18:18" s="2" customFormat="1" ht="12.75" x14ac:dyDescent="0.2">
      <c r="R13174" s="1288"/>
    </row>
    <row r="13175" spans="18:18" s="2" customFormat="1" ht="12.75" x14ac:dyDescent="0.2">
      <c r="R13175" s="1288"/>
    </row>
    <row r="13176" spans="18:18" s="2" customFormat="1" ht="12.75" x14ac:dyDescent="0.2">
      <c r="R13176" s="1288"/>
    </row>
    <row r="13177" spans="18:18" s="2" customFormat="1" ht="12.75" x14ac:dyDescent="0.2">
      <c r="R13177" s="1288"/>
    </row>
    <row r="13178" spans="18:18" s="2" customFormat="1" ht="12.75" x14ac:dyDescent="0.2">
      <c r="R13178" s="1288"/>
    </row>
    <row r="13179" spans="18:18" s="2" customFormat="1" ht="12.75" x14ac:dyDescent="0.2">
      <c r="R13179" s="1288"/>
    </row>
    <row r="13180" spans="18:18" s="2" customFormat="1" ht="12.75" x14ac:dyDescent="0.2">
      <c r="R13180" s="1288"/>
    </row>
    <row r="13181" spans="18:18" s="2" customFormat="1" ht="12.75" x14ac:dyDescent="0.2">
      <c r="R13181" s="1288"/>
    </row>
    <row r="13182" spans="18:18" s="2" customFormat="1" ht="12.75" x14ac:dyDescent="0.2">
      <c r="R13182" s="1288"/>
    </row>
    <row r="13183" spans="18:18" s="2" customFormat="1" ht="12.75" x14ac:dyDescent="0.2">
      <c r="R13183" s="1288"/>
    </row>
    <row r="13184" spans="18:18" s="2" customFormat="1" ht="12.75" x14ac:dyDescent="0.2">
      <c r="R13184" s="1288"/>
    </row>
    <row r="13185" spans="18:18" s="2" customFormat="1" ht="12.75" x14ac:dyDescent="0.2">
      <c r="R13185" s="1288"/>
    </row>
    <row r="13186" spans="18:18" s="2" customFormat="1" ht="12.75" x14ac:dyDescent="0.2">
      <c r="R13186" s="1288"/>
    </row>
    <row r="13187" spans="18:18" s="2" customFormat="1" ht="12.75" x14ac:dyDescent="0.2">
      <c r="R13187" s="1288"/>
    </row>
    <row r="13188" spans="18:18" s="2" customFormat="1" ht="12.75" x14ac:dyDescent="0.2">
      <c r="R13188" s="1288"/>
    </row>
    <row r="13189" spans="18:18" s="2" customFormat="1" ht="12.75" x14ac:dyDescent="0.2">
      <c r="R13189" s="1288"/>
    </row>
    <row r="13190" spans="18:18" s="2" customFormat="1" ht="12.75" x14ac:dyDescent="0.2">
      <c r="R13190" s="1288"/>
    </row>
    <row r="13191" spans="18:18" s="2" customFormat="1" ht="12.75" x14ac:dyDescent="0.2">
      <c r="R13191" s="1288"/>
    </row>
    <row r="13192" spans="18:18" s="2" customFormat="1" ht="12.75" x14ac:dyDescent="0.2">
      <c r="R13192" s="1288"/>
    </row>
    <row r="13193" spans="18:18" s="2" customFormat="1" ht="12.75" x14ac:dyDescent="0.2">
      <c r="R13193" s="1288"/>
    </row>
    <row r="13194" spans="18:18" s="2" customFormat="1" ht="12.75" x14ac:dyDescent="0.2">
      <c r="R13194" s="1288"/>
    </row>
    <row r="13195" spans="18:18" s="2" customFormat="1" ht="12.75" x14ac:dyDescent="0.2">
      <c r="R13195" s="1288"/>
    </row>
    <row r="13196" spans="18:18" s="2" customFormat="1" ht="12.75" x14ac:dyDescent="0.2">
      <c r="R13196" s="1288"/>
    </row>
    <row r="13197" spans="18:18" s="2" customFormat="1" ht="12.75" x14ac:dyDescent="0.2">
      <c r="R13197" s="1288"/>
    </row>
    <row r="13198" spans="18:18" s="2" customFormat="1" ht="12.75" x14ac:dyDescent="0.2">
      <c r="R13198" s="1288"/>
    </row>
    <row r="13199" spans="18:18" s="2" customFormat="1" ht="12.75" x14ac:dyDescent="0.2">
      <c r="R13199" s="1288"/>
    </row>
    <row r="13200" spans="18:18" s="2" customFormat="1" ht="12.75" x14ac:dyDescent="0.2">
      <c r="R13200" s="1288"/>
    </row>
    <row r="13201" spans="18:18" s="2" customFormat="1" ht="12.75" x14ac:dyDescent="0.2">
      <c r="R13201" s="1288"/>
    </row>
    <row r="13202" spans="18:18" s="2" customFormat="1" ht="12.75" x14ac:dyDescent="0.2">
      <c r="R13202" s="1288"/>
    </row>
    <row r="13203" spans="18:18" s="2" customFormat="1" ht="12.75" x14ac:dyDescent="0.2">
      <c r="R13203" s="1288"/>
    </row>
    <row r="13204" spans="18:18" s="2" customFormat="1" ht="12.75" x14ac:dyDescent="0.2">
      <c r="R13204" s="1288"/>
    </row>
    <row r="13205" spans="18:18" s="2" customFormat="1" ht="12.75" x14ac:dyDescent="0.2">
      <c r="R13205" s="1288"/>
    </row>
    <row r="13206" spans="18:18" s="2" customFormat="1" ht="12.75" x14ac:dyDescent="0.2">
      <c r="R13206" s="1288"/>
    </row>
    <row r="13207" spans="18:18" s="2" customFormat="1" ht="12.75" x14ac:dyDescent="0.2">
      <c r="R13207" s="1288"/>
    </row>
    <row r="13208" spans="18:18" s="2" customFormat="1" ht="12.75" x14ac:dyDescent="0.2">
      <c r="R13208" s="1288"/>
    </row>
    <row r="13209" spans="18:18" s="2" customFormat="1" ht="12.75" x14ac:dyDescent="0.2">
      <c r="R13209" s="1288"/>
    </row>
    <row r="13210" spans="18:18" s="2" customFormat="1" ht="12.75" x14ac:dyDescent="0.2">
      <c r="R13210" s="1288"/>
    </row>
    <row r="13211" spans="18:18" s="2" customFormat="1" ht="12.75" x14ac:dyDescent="0.2">
      <c r="R13211" s="1288"/>
    </row>
    <row r="13212" spans="18:18" s="2" customFormat="1" ht="12.75" x14ac:dyDescent="0.2">
      <c r="R13212" s="1288"/>
    </row>
    <row r="13213" spans="18:18" s="2" customFormat="1" ht="12.75" x14ac:dyDescent="0.2">
      <c r="R13213" s="1288"/>
    </row>
    <row r="13214" spans="18:18" s="2" customFormat="1" ht="12.75" x14ac:dyDescent="0.2">
      <c r="R13214" s="1288"/>
    </row>
    <row r="13215" spans="18:18" s="2" customFormat="1" ht="12.75" x14ac:dyDescent="0.2">
      <c r="R13215" s="1288"/>
    </row>
    <row r="13216" spans="18:18" s="2" customFormat="1" ht="12.75" x14ac:dyDescent="0.2">
      <c r="R13216" s="1288"/>
    </row>
    <row r="13217" spans="18:18" s="2" customFormat="1" ht="12.75" x14ac:dyDescent="0.2">
      <c r="R13217" s="1288"/>
    </row>
    <row r="13218" spans="18:18" s="2" customFormat="1" ht="12.75" x14ac:dyDescent="0.2">
      <c r="R13218" s="1288"/>
    </row>
    <row r="13219" spans="18:18" s="2" customFormat="1" ht="12.75" x14ac:dyDescent="0.2">
      <c r="R13219" s="1288"/>
    </row>
    <row r="13220" spans="18:18" s="2" customFormat="1" ht="12.75" x14ac:dyDescent="0.2">
      <c r="R13220" s="1288"/>
    </row>
    <row r="13221" spans="18:18" s="2" customFormat="1" ht="12.75" x14ac:dyDescent="0.2">
      <c r="R13221" s="1288"/>
    </row>
    <row r="13222" spans="18:18" s="2" customFormat="1" ht="12.75" x14ac:dyDescent="0.2">
      <c r="R13222" s="1288"/>
    </row>
    <row r="13223" spans="18:18" s="2" customFormat="1" ht="12.75" x14ac:dyDescent="0.2">
      <c r="R13223" s="1288"/>
    </row>
    <row r="13224" spans="18:18" s="2" customFormat="1" ht="12.75" x14ac:dyDescent="0.2">
      <c r="R13224" s="1288"/>
    </row>
    <row r="13225" spans="18:18" s="2" customFormat="1" ht="12.75" x14ac:dyDescent="0.2">
      <c r="R13225" s="1288"/>
    </row>
    <row r="13226" spans="18:18" s="2" customFormat="1" ht="12.75" x14ac:dyDescent="0.2">
      <c r="R13226" s="1288"/>
    </row>
    <row r="13227" spans="18:18" s="2" customFormat="1" ht="12.75" x14ac:dyDescent="0.2">
      <c r="R13227" s="1288"/>
    </row>
    <row r="13228" spans="18:18" s="2" customFormat="1" ht="12.75" x14ac:dyDescent="0.2">
      <c r="R13228" s="1288"/>
    </row>
    <row r="13229" spans="18:18" s="2" customFormat="1" ht="12.75" x14ac:dyDescent="0.2">
      <c r="R13229" s="1288"/>
    </row>
    <row r="13230" spans="18:18" s="2" customFormat="1" ht="12.75" x14ac:dyDescent="0.2">
      <c r="R13230" s="1288"/>
    </row>
    <row r="13231" spans="18:18" s="2" customFormat="1" ht="12.75" x14ac:dyDescent="0.2">
      <c r="R13231" s="1288"/>
    </row>
    <row r="13232" spans="18:18" s="2" customFormat="1" ht="12.75" x14ac:dyDescent="0.2">
      <c r="R13232" s="1288"/>
    </row>
    <row r="13233" spans="18:18" s="2" customFormat="1" ht="12.75" x14ac:dyDescent="0.2">
      <c r="R13233" s="1288"/>
    </row>
    <row r="13234" spans="18:18" s="2" customFormat="1" ht="12.75" x14ac:dyDescent="0.2">
      <c r="R13234" s="1288"/>
    </row>
    <row r="13235" spans="18:18" s="2" customFormat="1" ht="12.75" x14ac:dyDescent="0.2">
      <c r="R13235" s="1288"/>
    </row>
    <row r="13236" spans="18:18" s="2" customFormat="1" ht="12.75" x14ac:dyDescent="0.2">
      <c r="R13236" s="1288"/>
    </row>
    <row r="13237" spans="18:18" s="2" customFormat="1" ht="12.75" x14ac:dyDescent="0.2">
      <c r="R13237" s="1288"/>
    </row>
    <row r="13238" spans="18:18" s="2" customFormat="1" ht="12.75" x14ac:dyDescent="0.2">
      <c r="R13238" s="1288"/>
    </row>
    <row r="13239" spans="18:18" s="2" customFormat="1" ht="12.75" x14ac:dyDescent="0.2">
      <c r="R13239" s="1288"/>
    </row>
    <row r="13240" spans="18:18" s="2" customFormat="1" ht="12.75" x14ac:dyDescent="0.2">
      <c r="R13240" s="1288"/>
    </row>
    <row r="13241" spans="18:18" s="2" customFormat="1" ht="12.75" x14ac:dyDescent="0.2">
      <c r="R13241" s="1288"/>
    </row>
    <row r="13242" spans="18:18" s="2" customFormat="1" ht="12.75" x14ac:dyDescent="0.2">
      <c r="R13242" s="1288"/>
    </row>
    <row r="13243" spans="18:18" s="2" customFormat="1" ht="12.75" x14ac:dyDescent="0.2">
      <c r="R13243" s="1288"/>
    </row>
    <row r="13244" spans="18:18" s="2" customFormat="1" ht="12.75" x14ac:dyDescent="0.2">
      <c r="R13244" s="1288"/>
    </row>
    <row r="13245" spans="18:18" s="2" customFormat="1" ht="12.75" x14ac:dyDescent="0.2">
      <c r="R13245" s="1288"/>
    </row>
    <row r="13246" spans="18:18" s="2" customFormat="1" ht="12.75" x14ac:dyDescent="0.2">
      <c r="R13246" s="1288"/>
    </row>
    <row r="13247" spans="18:18" s="2" customFormat="1" ht="12.75" x14ac:dyDescent="0.2">
      <c r="R13247" s="1288"/>
    </row>
    <row r="13248" spans="18:18" s="2" customFormat="1" ht="12.75" x14ac:dyDescent="0.2">
      <c r="R13248" s="1288"/>
    </row>
    <row r="13249" spans="18:18" s="2" customFormat="1" ht="12.75" x14ac:dyDescent="0.2">
      <c r="R13249" s="1288"/>
    </row>
    <row r="13250" spans="18:18" s="2" customFormat="1" ht="12.75" x14ac:dyDescent="0.2">
      <c r="R13250" s="1288"/>
    </row>
    <row r="13251" spans="18:18" s="2" customFormat="1" ht="12.75" x14ac:dyDescent="0.2">
      <c r="R13251" s="1288"/>
    </row>
    <row r="13252" spans="18:18" s="2" customFormat="1" ht="12.75" x14ac:dyDescent="0.2">
      <c r="R13252" s="1288"/>
    </row>
    <row r="13253" spans="18:18" s="2" customFormat="1" ht="12.75" x14ac:dyDescent="0.2">
      <c r="R13253" s="1288"/>
    </row>
    <row r="13254" spans="18:18" s="2" customFormat="1" ht="12.75" x14ac:dyDescent="0.2">
      <c r="R13254" s="1288"/>
    </row>
    <row r="13255" spans="18:18" s="2" customFormat="1" ht="12.75" x14ac:dyDescent="0.2">
      <c r="R13255" s="1288"/>
    </row>
    <row r="13256" spans="18:18" s="2" customFormat="1" ht="12.75" x14ac:dyDescent="0.2">
      <c r="R13256" s="1288"/>
    </row>
    <row r="13257" spans="18:18" s="2" customFormat="1" ht="12.75" x14ac:dyDescent="0.2">
      <c r="R13257" s="1288"/>
    </row>
    <row r="13258" spans="18:18" s="2" customFormat="1" ht="12.75" x14ac:dyDescent="0.2">
      <c r="R13258" s="1288"/>
    </row>
    <row r="13259" spans="18:18" s="2" customFormat="1" ht="12.75" x14ac:dyDescent="0.2">
      <c r="R13259" s="1288"/>
    </row>
    <row r="13260" spans="18:18" s="2" customFormat="1" ht="12.75" x14ac:dyDescent="0.2">
      <c r="R13260" s="1288"/>
    </row>
    <row r="13261" spans="18:18" s="2" customFormat="1" ht="12.75" x14ac:dyDescent="0.2">
      <c r="R13261" s="1288"/>
    </row>
    <row r="13262" spans="18:18" s="2" customFormat="1" ht="12.75" x14ac:dyDescent="0.2">
      <c r="R13262" s="1288"/>
    </row>
    <row r="13263" spans="18:18" s="2" customFormat="1" ht="12.75" x14ac:dyDescent="0.2">
      <c r="R13263" s="1288"/>
    </row>
    <row r="13264" spans="18:18" s="2" customFormat="1" ht="12.75" x14ac:dyDescent="0.2">
      <c r="R13264" s="1288"/>
    </row>
    <row r="13265" spans="18:18" s="2" customFormat="1" ht="12.75" x14ac:dyDescent="0.2">
      <c r="R13265" s="1288"/>
    </row>
    <row r="13266" spans="18:18" s="2" customFormat="1" ht="12.75" x14ac:dyDescent="0.2">
      <c r="R13266" s="1288"/>
    </row>
    <row r="13267" spans="18:18" s="2" customFormat="1" ht="12.75" x14ac:dyDescent="0.2">
      <c r="R13267" s="1288"/>
    </row>
    <row r="13268" spans="18:18" s="2" customFormat="1" ht="12.75" x14ac:dyDescent="0.2">
      <c r="R13268" s="1288"/>
    </row>
    <row r="13269" spans="18:18" s="2" customFormat="1" ht="12.75" x14ac:dyDescent="0.2">
      <c r="R13269" s="1288"/>
    </row>
    <row r="13270" spans="18:18" s="2" customFormat="1" ht="12.75" x14ac:dyDescent="0.2">
      <c r="R13270" s="1288"/>
    </row>
    <row r="13271" spans="18:18" s="2" customFormat="1" ht="12.75" x14ac:dyDescent="0.2">
      <c r="R13271" s="1288"/>
    </row>
    <row r="13272" spans="18:18" s="2" customFormat="1" ht="12.75" x14ac:dyDescent="0.2">
      <c r="R13272" s="1288"/>
    </row>
    <row r="13273" spans="18:18" s="2" customFormat="1" ht="12.75" x14ac:dyDescent="0.2">
      <c r="R13273" s="1288"/>
    </row>
    <row r="13274" spans="18:18" s="2" customFormat="1" ht="12.75" x14ac:dyDescent="0.2">
      <c r="R13274" s="1288"/>
    </row>
    <row r="13275" spans="18:18" s="2" customFormat="1" ht="12.75" x14ac:dyDescent="0.2">
      <c r="R13275" s="1288"/>
    </row>
    <row r="13276" spans="18:18" s="2" customFormat="1" ht="12.75" x14ac:dyDescent="0.2">
      <c r="R13276" s="1288"/>
    </row>
    <row r="13277" spans="18:18" s="2" customFormat="1" ht="12.75" x14ac:dyDescent="0.2">
      <c r="R13277" s="1288"/>
    </row>
    <row r="13278" spans="18:18" s="2" customFormat="1" ht="12.75" x14ac:dyDescent="0.2">
      <c r="R13278" s="1288"/>
    </row>
    <row r="13279" spans="18:18" s="2" customFormat="1" ht="12.75" x14ac:dyDescent="0.2">
      <c r="R13279" s="1288"/>
    </row>
    <row r="13280" spans="18:18" s="2" customFormat="1" ht="12.75" x14ac:dyDescent="0.2">
      <c r="R13280" s="1288"/>
    </row>
    <row r="13281" spans="18:18" s="2" customFormat="1" ht="12.75" x14ac:dyDescent="0.2">
      <c r="R13281" s="1288"/>
    </row>
    <row r="13282" spans="18:18" s="2" customFormat="1" ht="12.75" x14ac:dyDescent="0.2">
      <c r="R13282" s="1288"/>
    </row>
    <row r="13283" spans="18:18" s="2" customFormat="1" ht="12.75" x14ac:dyDescent="0.2">
      <c r="R13283" s="1288"/>
    </row>
    <row r="13284" spans="18:18" s="2" customFormat="1" ht="12.75" x14ac:dyDescent="0.2">
      <c r="R13284" s="1288"/>
    </row>
    <row r="13285" spans="18:18" s="2" customFormat="1" ht="12.75" x14ac:dyDescent="0.2">
      <c r="R13285" s="1288"/>
    </row>
    <row r="13286" spans="18:18" s="2" customFormat="1" ht="12.75" x14ac:dyDescent="0.2">
      <c r="R13286" s="1288"/>
    </row>
    <row r="13287" spans="18:18" s="2" customFormat="1" ht="12.75" x14ac:dyDescent="0.2">
      <c r="R13287" s="1288"/>
    </row>
    <row r="13288" spans="18:18" s="2" customFormat="1" ht="12.75" x14ac:dyDescent="0.2">
      <c r="R13288" s="1288"/>
    </row>
    <row r="13289" spans="18:18" s="2" customFormat="1" ht="12.75" x14ac:dyDescent="0.2">
      <c r="R13289" s="1288"/>
    </row>
    <row r="13290" spans="18:18" s="2" customFormat="1" ht="12.75" x14ac:dyDescent="0.2">
      <c r="R13290" s="1288"/>
    </row>
    <row r="13291" spans="18:18" s="2" customFormat="1" ht="12.75" x14ac:dyDescent="0.2">
      <c r="R13291" s="1288"/>
    </row>
    <row r="13292" spans="18:18" s="2" customFormat="1" ht="12.75" x14ac:dyDescent="0.2">
      <c r="R13292" s="1288"/>
    </row>
    <row r="13293" spans="18:18" s="2" customFormat="1" ht="12.75" x14ac:dyDescent="0.2">
      <c r="R13293" s="1288"/>
    </row>
    <row r="13294" spans="18:18" s="2" customFormat="1" ht="12.75" x14ac:dyDescent="0.2">
      <c r="R13294" s="1288"/>
    </row>
    <row r="13295" spans="18:18" s="2" customFormat="1" ht="12.75" x14ac:dyDescent="0.2">
      <c r="R13295" s="1288"/>
    </row>
    <row r="13296" spans="18:18" s="2" customFormat="1" ht="12.75" x14ac:dyDescent="0.2">
      <c r="R13296" s="1288"/>
    </row>
    <row r="13297" spans="18:18" s="2" customFormat="1" ht="12.75" x14ac:dyDescent="0.2">
      <c r="R13297" s="1288"/>
    </row>
    <row r="13298" spans="18:18" s="2" customFormat="1" ht="12.75" x14ac:dyDescent="0.2">
      <c r="R13298" s="1288"/>
    </row>
    <row r="13299" spans="18:18" s="2" customFormat="1" ht="12.75" x14ac:dyDescent="0.2">
      <c r="R13299" s="1288"/>
    </row>
    <row r="13300" spans="18:18" s="2" customFormat="1" ht="12.75" x14ac:dyDescent="0.2">
      <c r="R13300" s="1288"/>
    </row>
    <row r="13301" spans="18:18" s="2" customFormat="1" ht="12.75" x14ac:dyDescent="0.2">
      <c r="R13301" s="1288"/>
    </row>
    <row r="13302" spans="18:18" s="2" customFormat="1" ht="12.75" x14ac:dyDescent="0.2">
      <c r="R13302" s="1288"/>
    </row>
    <row r="13303" spans="18:18" s="2" customFormat="1" ht="12.75" x14ac:dyDescent="0.2">
      <c r="R13303" s="1288"/>
    </row>
    <row r="13304" spans="18:18" s="2" customFormat="1" ht="12.75" x14ac:dyDescent="0.2">
      <c r="R13304" s="1288"/>
    </row>
    <row r="13305" spans="18:18" s="2" customFormat="1" ht="12.75" x14ac:dyDescent="0.2">
      <c r="R13305" s="1288"/>
    </row>
    <row r="13306" spans="18:18" s="2" customFormat="1" ht="12.75" x14ac:dyDescent="0.2">
      <c r="R13306" s="1288"/>
    </row>
    <row r="13307" spans="18:18" s="2" customFormat="1" ht="12.75" x14ac:dyDescent="0.2">
      <c r="R13307" s="1288"/>
    </row>
    <row r="13308" spans="18:18" s="2" customFormat="1" ht="12.75" x14ac:dyDescent="0.2">
      <c r="R13308" s="1288"/>
    </row>
    <row r="13309" spans="18:18" s="2" customFormat="1" ht="12.75" x14ac:dyDescent="0.2">
      <c r="R13309" s="1288"/>
    </row>
    <row r="13310" spans="18:18" s="2" customFormat="1" ht="12.75" x14ac:dyDescent="0.2">
      <c r="R13310" s="1288"/>
    </row>
    <row r="13311" spans="18:18" s="2" customFormat="1" ht="12.75" x14ac:dyDescent="0.2">
      <c r="R13311" s="1288"/>
    </row>
    <row r="13312" spans="18:18" s="2" customFormat="1" ht="12.75" x14ac:dyDescent="0.2">
      <c r="R13312" s="1288"/>
    </row>
    <row r="13313" spans="18:18" s="2" customFormat="1" ht="12.75" x14ac:dyDescent="0.2">
      <c r="R13313" s="1288"/>
    </row>
    <row r="13314" spans="18:18" s="2" customFormat="1" ht="12.75" x14ac:dyDescent="0.2">
      <c r="R13314" s="1288"/>
    </row>
    <row r="13315" spans="18:18" s="2" customFormat="1" ht="12.75" x14ac:dyDescent="0.2">
      <c r="R13315" s="1288"/>
    </row>
    <row r="13316" spans="18:18" s="2" customFormat="1" ht="12.75" x14ac:dyDescent="0.2">
      <c r="R13316" s="1288"/>
    </row>
    <row r="13317" spans="18:18" s="2" customFormat="1" ht="12.75" x14ac:dyDescent="0.2">
      <c r="R13317" s="1288"/>
    </row>
    <row r="13318" spans="18:18" s="2" customFormat="1" ht="12.75" x14ac:dyDescent="0.2">
      <c r="R13318" s="1288"/>
    </row>
    <row r="13319" spans="18:18" s="2" customFormat="1" ht="12.75" x14ac:dyDescent="0.2">
      <c r="R13319" s="1288"/>
    </row>
    <row r="13320" spans="18:18" s="2" customFormat="1" ht="12.75" x14ac:dyDescent="0.2">
      <c r="R13320" s="1288"/>
    </row>
    <row r="13321" spans="18:18" s="2" customFormat="1" ht="12.75" x14ac:dyDescent="0.2">
      <c r="R13321" s="1288"/>
    </row>
    <row r="13322" spans="18:18" s="2" customFormat="1" ht="12.75" x14ac:dyDescent="0.2">
      <c r="R13322" s="1288"/>
    </row>
    <row r="13323" spans="18:18" s="2" customFormat="1" ht="12.75" x14ac:dyDescent="0.2">
      <c r="R13323" s="1288"/>
    </row>
    <row r="13324" spans="18:18" s="2" customFormat="1" ht="12.75" x14ac:dyDescent="0.2">
      <c r="R13324" s="1288"/>
    </row>
    <row r="13325" spans="18:18" s="2" customFormat="1" ht="12.75" x14ac:dyDescent="0.2">
      <c r="R13325" s="1288"/>
    </row>
    <row r="13326" spans="18:18" s="2" customFormat="1" ht="12.75" x14ac:dyDescent="0.2">
      <c r="R13326" s="1288"/>
    </row>
    <row r="13327" spans="18:18" s="2" customFormat="1" ht="12.75" x14ac:dyDescent="0.2">
      <c r="R13327" s="1288"/>
    </row>
    <row r="13328" spans="18:18" s="2" customFormat="1" ht="12.75" x14ac:dyDescent="0.2">
      <c r="R13328" s="1288"/>
    </row>
    <row r="13329" spans="18:18" s="2" customFormat="1" ht="12.75" x14ac:dyDescent="0.2">
      <c r="R13329" s="1288"/>
    </row>
    <row r="13330" spans="18:18" s="2" customFormat="1" ht="12.75" x14ac:dyDescent="0.2">
      <c r="R13330" s="1288"/>
    </row>
    <row r="13331" spans="18:18" s="2" customFormat="1" ht="12.75" x14ac:dyDescent="0.2">
      <c r="R13331" s="1288"/>
    </row>
    <row r="13332" spans="18:18" s="2" customFormat="1" ht="12.75" x14ac:dyDescent="0.2">
      <c r="R13332" s="1288"/>
    </row>
    <row r="13333" spans="18:18" s="2" customFormat="1" ht="12.75" x14ac:dyDescent="0.2">
      <c r="R13333" s="1288"/>
    </row>
    <row r="13334" spans="18:18" s="2" customFormat="1" ht="12.75" x14ac:dyDescent="0.2">
      <c r="R13334" s="1288"/>
    </row>
    <row r="13335" spans="18:18" s="2" customFormat="1" ht="12.75" x14ac:dyDescent="0.2">
      <c r="R13335" s="1288"/>
    </row>
    <row r="13336" spans="18:18" s="2" customFormat="1" ht="12.75" x14ac:dyDescent="0.2">
      <c r="R13336" s="1288"/>
    </row>
    <row r="13337" spans="18:18" s="2" customFormat="1" ht="12.75" x14ac:dyDescent="0.2">
      <c r="R13337" s="1288"/>
    </row>
    <row r="13338" spans="18:18" s="2" customFormat="1" ht="12.75" x14ac:dyDescent="0.2">
      <c r="R13338" s="1288"/>
    </row>
    <row r="13339" spans="18:18" s="2" customFormat="1" ht="12.75" x14ac:dyDescent="0.2">
      <c r="R13339" s="1288"/>
    </row>
    <row r="13340" spans="18:18" s="2" customFormat="1" ht="12.75" x14ac:dyDescent="0.2">
      <c r="R13340" s="1288"/>
    </row>
    <row r="13341" spans="18:18" s="2" customFormat="1" ht="12.75" x14ac:dyDescent="0.2">
      <c r="R13341" s="1288"/>
    </row>
    <row r="13342" spans="18:18" s="2" customFormat="1" ht="12.75" x14ac:dyDescent="0.2">
      <c r="R13342" s="1288"/>
    </row>
    <row r="13343" spans="18:18" s="2" customFormat="1" ht="12.75" x14ac:dyDescent="0.2">
      <c r="R13343" s="1288"/>
    </row>
    <row r="13344" spans="18:18" s="2" customFormat="1" ht="12.75" x14ac:dyDescent="0.2">
      <c r="R13344" s="1288"/>
    </row>
    <row r="13345" spans="18:18" s="2" customFormat="1" ht="12.75" x14ac:dyDescent="0.2">
      <c r="R13345" s="1288"/>
    </row>
    <row r="13346" spans="18:18" s="2" customFormat="1" ht="12.75" x14ac:dyDescent="0.2">
      <c r="R13346" s="1288"/>
    </row>
    <row r="13347" spans="18:18" s="2" customFormat="1" ht="12.75" x14ac:dyDescent="0.2">
      <c r="R13347" s="1288"/>
    </row>
    <row r="13348" spans="18:18" s="2" customFormat="1" ht="12.75" x14ac:dyDescent="0.2">
      <c r="R13348" s="1288"/>
    </row>
    <row r="13349" spans="18:18" s="2" customFormat="1" ht="12.75" x14ac:dyDescent="0.2">
      <c r="R13349" s="1288"/>
    </row>
    <row r="13350" spans="18:18" s="2" customFormat="1" ht="12.75" x14ac:dyDescent="0.2">
      <c r="R13350" s="1288"/>
    </row>
    <row r="13351" spans="18:18" s="2" customFormat="1" ht="12.75" x14ac:dyDescent="0.2">
      <c r="R13351" s="1288"/>
    </row>
    <row r="13352" spans="18:18" s="2" customFormat="1" ht="12.75" x14ac:dyDescent="0.2">
      <c r="R13352" s="1288"/>
    </row>
    <row r="13353" spans="18:18" s="2" customFormat="1" ht="12.75" x14ac:dyDescent="0.2">
      <c r="R13353" s="1288"/>
    </row>
    <row r="13354" spans="18:18" s="2" customFormat="1" ht="12.75" x14ac:dyDescent="0.2">
      <c r="R13354" s="1288"/>
    </row>
    <row r="13355" spans="18:18" s="2" customFormat="1" ht="12.75" x14ac:dyDescent="0.2">
      <c r="R13355" s="1288"/>
    </row>
    <row r="13356" spans="18:18" s="2" customFormat="1" ht="12.75" x14ac:dyDescent="0.2">
      <c r="R13356" s="1288"/>
    </row>
    <row r="13357" spans="18:18" s="2" customFormat="1" ht="12.75" x14ac:dyDescent="0.2">
      <c r="R13357" s="1288"/>
    </row>
    <row r="13358" spans="18:18" s="2" customFormat="1" ht="12.75" x14ac:dyDescent="0.2">
      <c r="R13358" s="1288"/>
    </row>
    <row r="13359" spans="18:18" s="2" customFormat="1" ht="12.75" x14ac:dyDescent="0.2">
      <c r="R13359" s="1288"/>
    </row>
    <row r="13360" spans="18:18" s="2" customFormat="1" ht="12.75" x14ac:dyDescent="0.2">
      <c r="R13360" s="1288"/>
    </row>
    <row r="13361" spans="18:18" s="2" customFormat="1" ht="12.75" x14ac:dyDescent="0.2">
      <c r="R13361" s="1288"/>
    </row>
    <row r="13362" spans="18:18" s="2" customFormat="1" ht="12.75" x14ac:dyDescent="0.2">
      <c r="R13362" s="1288"/>
    </row>
    <row r="13363" spans="18:18" s="2" customFormat="1" ht="12.75" x14ac:dyDescent="0.2">
      <c r="R13363" s="1288"/>
    </row>
    <row r="13364" spans="18:18" s="2" customFormat="1" ht="12.75" x14ac:dyDescent="0.2">
      <c r="R13364" s="1288"/>
    </row>
    <row r="13365" spans="18:18" s="2" customFormat="1" ht="12.75" x14ac:dyDescent="0.2">
      <c r="R13365" s="1288"/>
    </row>
    <row r="13366" spans="18:18" s="2" customFormat="1" ht="12.75" x14ac:dyDescent="0.2">
      <c r="R13366" s="1288"/>
    </row>
    <row r="13367" spans="18:18" s="2" customFormat="1" ht="12.75" x14ac:dyDescent="0.2">
      <c r="R13367" s="1288"/>
    </row>
    <row r="13368" spans="18:18" s="2" customFormat="1" ht="12.75" x14ac:dyDescent="0.2">
      <c r="R13368" s="1288"/>
    </row>
    <row r="13369" spans="18:18" s="2" customFormat="1" ht="12.75" x14ac:dyDescent="0.2">
      <c r="R13369" s="1288"/>
    </row>
    <row r="13370" spans="18:18" s="2" customFormat="1" ht="12.75" x14ac:dyDescent="0.2">
      <c r="R13370" s="1288"/>
    </row>
    <row r="13371" spans="18:18" s="2" customFormat="1" ht="12.75" x14ac:dyDescent="0.2">
      <c r="R13371" s="1288"/>
    </row>
    <row r="13372" spans="18:18" s="2" customFormat="1" ht="12.75" x14ac:dyDescent="0.2">
      <c r="R13372" s="1288"/>
    </row>
    <row r="13373" spans="18:18" s="2" customFormat="1" ht="12.75" x14ac:dyDescent="0.2">
      <c r="R13373" s="1288"/>
    </row>
    <row r="13374" spans="18:18" s="2" customFormat="1" ht="12.75" x14ac:dyDescent="0.2">
      <c r="R13374" s="1288"/>
    </row>
    <row r="13375" spans="18:18" s="2" customFormat="1" ht="12.75" x14ac:dyDescent="0.2">
      <c r="R13375" s="1288"/>
    </row>
    <row r="13376" spans="18:18" s="2" customFormat="1" ht="12.75" x14ac:dyDescent="0.2">
      <c r="R13376" s="1288"/>
    </row>
    <row r="13377" spans="18:18" s="2" customFormat="1" ht="12.75" x14ac:dyDescent="0.2">
      <c r="R13377" s="1288"/>
    </row>
    <row r="13378" spans="18:18" s="2" customFormat="1" ht="12.75" x14ac:dyDescent="0.2">
      <c r="R13378" s="1288"/>
    </row>
    <row r="13379" spans="18:18" s="2" customFormat="1" ht="12.75" x14ac:dyDescent="0.2">
      <c r="R13379" s="1288"/>
    </row>
    <row r="13380" spans="18:18" s="2" customFormat="1" ht="12.75" x14ac:dyDescent="0.2">
      <c r="R13380" s="1288"/>
    </row>
    <row r="13381" spans="18:18" s="2" customFormat="1" ht="12.75" x14ac:dyDescent="0.2">
      <c r="R13381" s="1288"/>
    </row>
    <row r="13382" spans="18:18" s="2" customFormat="1" ht="12.75" x14ac:dyDescent="0.2">
      <c r="R13382" s="1288"/>
    </row>
    <row r="13383" spans="18:18" s="2" customFormat="1" ht="12.75" x14ac:dyDescent="0.2">
      <c r="R13383" s="1288"/>
    </row>
    <row r="13384" spans="18:18" s="2" customFormat="1" ht="12.75" x14ac:dyDescent="0.2">
      <c r="R13384" s="1288"/>
    </row>
    <row r="13385" spans="18:18" s="2" customFormat="1" ht="12.75" x14ac:dyDescent="0.2">
      <c r="R13385" s="1288"/>
    </row>
    <row r="13386" spans="18:18" s="2" customFormat="1" ht="12.75" x14ac:dyDescent="0.2">
      <c r="R13386" s="1288"/>
    </row>
    <row r="13387" spans="18:18" s="2" customFormat="1" ht="12.75" x14ac:dyDescent="0.2">
      <c r="R13387" s="1288"/>
    </row>
    <row r="13388" spans="18:18" s="2" customFormat="1" ht="12.75" x14ac:dyDescent="0.2">
      <c r="R13388" s="1288"/>
    </row>
    <row r="13389" spans="18:18" s="2" customFormat="1" ht="12.75" x14ac:dyDescent="0.2">
      <c r="R13389" s="1288"/>
    </row>
    <row r="13390" spans="18:18" s="2" customFormat="1" ht="12.75" x14ac:dyDescent="0.2">
      <c r="R13390" s="1288"/>
    </row>
    <row r="13391" spans="18:18" s="2" customFormat="1" ht="12.75" x14ac:dyDescent="0.2">
      <c r="R13391" s="1288"/>
    </row>
    <row r="13392" spans="18:18" s="2" customFormat="1" ht="12.75" x14ac:dyDescent="0.2">
      <c r="R13392" s="1288"/>
    </row>
    <row r="13393" spans="18:18" s="2" customFormat="1" ht="12.75" x14ac:dyDescent="0.2">
      <c r="R13393" s="1288"/>
    </row>
    <row r="13394" spans="18:18" s="2" customFormat="1" ht="12.75" x14ac:dyDescent="0.2">
      <c r="R13394" s="1288"/>
    </row>
    <row r="13395" spans="18:18" s="2" customFormat="1" ht="12.75" x14ac:dyDescent="0.2">
      <c r="R13395" s="1288"/>
    </row>
    <row r="13396" spans="18:18" s="2" customFormat="1" ht="12.75" x14ac:dyDescent="0.2">
      <c r="R13396" s="1288"/>
    </row>
    <row r="13397" spans="18:18" s="2" customFormat="1" ht="12.75" x14ac:dyDescent="0.2">
      <c r="R13397" s="1288"/>
    </row>
    <row r="13398" spans="18:18" s="2" customFormat="1" ht="12.75" x14ac:dyDescent="0.2">
      <c r="R13398" s="1288"/>
    </row>
    <row r="13399" spans="18:18" s="2" customFormat="1" ht="12.75" x14ac:dyDescent="0.2">
      <c r="R13399" s="1288"/>
    </row>
    <row r="13400" spans="18:18" s="2" customFormat="1" ht="12.75" x14ac:dyDescent="0.2">
      <c r="R13400" s="1288"/>
    </row>
    <row r="13401" spans="18:18" s="2" customFormat="1" ht="12.75" x14ac:dyDescent="0.2">
      <c r="R13401" s="1288"/>
    </row>
    <row r="13402" spans="18:18" s="2" customFormat="1" ht="12.75" x14ac:dyDescent="0.2">
      <c r="R13402" s="1288"/>
    </row>
    <row r="13403" spans="18:18" s="2" customFormat="1" ht="12.75" x14ac:dyDescent="0.2">
      <c r="R13403" s="1288"/>
    </row>
    <row r="13404" spans="18:18" s="2" customFormat="1" ht="12.75" x14ac:dyDescent="0.2">
      <c r="R13404" s="1288"/>
    </row>
    <row r="13405" spans="18:18" s="2" customFormat="1" ht="12.75" x14ac:dyDescent="0.2">
      <c r="R13405" s="1288"/>
    </row>
    <row r="13406" spans="18:18" s="2" customFormat="1" ht="12.75" x14ac:dyDescent="0.2">
      <c r="R13406" s="1288"/>
    </row>
    <row r="13407" spans="18:18" s="2" customFormat="1" ht="12.75" x14ac:dyDescent="0.2">
      <c r="R13407" s="1288"/>
    </row>
    <row r="13408" spans="18:18" s="2" customFormat="1" ht="12.75" x14ac:dyDescent="0.2">
      <c r="R13408" s="1288"/>
    </row>
    <row r="13409" spans="18:18" s="2" customFormat="1" ht="12.75" x14ac:dyDescent="0.2">
      <c r="R13409" s="1288"/>
    </row>
    <row r="13410" spans="18:18" s="2" customFormat="1" ht="12.75" x14ac:dyDescent="0.2">
      <c r="R13410" s="1288"/>
    </row>
    <row r="13411" spans="18:18" s="2" customFormat="1" ht="12.75" x14ac:dyDescent="0.2">
      <c r="R13411" s="1288"/>
    </row>
    <row r="13412" spans="18:18" s="2" customFormat="1" ht="12.75" x14ac:dyDescent="0.2">
      <c r="R13412" s="1288"/>
    </row>
    <row r="13413" spans="18:18" s="2" customFormat="1" ht="12.75" x14ac:dyDescent="0.2">
      <c r="R13413" s="1288"/>
    </row>
    <row r="13414" spans="18:18" s="2" customFormat="1" ht="12.75" x14ac:dyDescent="0.2">
      <c r="R13414" s="1288"/>
    </row>
    <row r="13415" spans="18:18" s="2" customFormat="1" ht="12.75" x14ac:dyDescent="0.2">
      <c r="R13415" s="1288"/>
    </row>
    <row r="13416" spans="18:18" s="2" customFormat="1" ht="12.75" x14ac:dyDescent="0.2">
      <c r="R13416" s="1288"/>
    </row>
    <row r="13417" spans="18:18" s="2" customFormat="1" ht="12.75" x14ac:dyDescent="0.2">
      <c r="R13417" s="1288"/>
    </row>
    <row r="13418" spans="18:18" s="2" customFormat="1" ht="12.75" x14ac:dyDescent="0.2">
      <c r="R13418" s="1288"/>
    </row>
    <row r="13419" spans="18:18" s="2" customFormat="1" ht="12.75" x14ac:dyDescent="0.2">
      <c r="R13419" s="1288"/>
    </row>
    <row r="13420" spans="18:18" s="2" customFormat="1" ht="12.75" x14ac:dyDescent="0.2">
      <c r="R13420" s="1288"/>
    </row>
    <row r="13421" spans="18:18" s="2" customFormat="1" ht="12.75" x14ac:dyDescent="0.2">
      <c r="R13421" s="1288"/>
    </row>
    <row r="13422" spans="18:18" s="2" customFormat="1" ht="12.75" x14ac:dyDescent="0.2">
      <c r="R13422" s="1288"/>
    </row>
    <row r="13423" spans="18:18" s="2" customFormat="1" ht="12.75" x14ac:dyDescent="0.2">
      <c r="R13423" s="1288"/>
    </row>
    <row r="13424" spans="18:18" s="2" customFormat="1" ht="12.75" x14ac:dyDescent="0.2">
      <c r="R13424" s="1288"/>
    </row>
    <row r="13425" spans="18:18" s="2" customFormat="1" ht="12.75" x14ac:dyDescent="0.2">
      <c r="R13425" s="1288"/>
    </row>
    <row r="13426" spans="18:18" s="2" customFormat="1" ht="12.75" x14ac:dyDescent="0.2">
      <c r="R13426" s="1288"/>
    </row>
    <row r="13427" spans="18:18" s="2" customFormat="1" ht="12.75" x14ac:dyDescent="0.2">
      <c r="R13427" s="1288"/>
    </row>
    <row r="13428" spans="18:18" s="2" customFormat="1" ht="12.75" x14ac:dyDescent="0.2">
      <c r="R13428" s="1288"/>
    </row>
    <row r="13429" spans="18:18" s="2" customFormat="1" ht="12.75" x14ac:dyDescent="0.2">
      <c r="R13429" s="1288"/>
    </row>
    <row r="13430" spans="18:18" s="2" customFormat="1" ht="12.75" x14ac:dyDescent="0.2">
      <c r="R13430" s="1288"/>
    </row>
    <row r="13431" spans="18:18" s="2" customFormat="1" ht="12.75" x14ac:dyDescent="0.2">
      <c r="R13431" s="1288"/>
    </row>
    <row r="13432" spans="18:18" s="2" customFormat="1" ht="12.75" x14ac:dyDescent="0.2">
      <c r="R13432" s="1288"/>
    </row>
    <row r="13433" spans="18:18" s="2" customFormat="1" ht="12.75" x14ac:dyDescent="0.2">
      <c r="R13433" s="1288"/>
    </row>
    <row r="13434" spans="18:18" s="2" customFormat="1" ht="12.75" x14ac:dyDescent="0.2">
      <c r="R13434" s="1288"/>
    </row>
    <row r="13435" spans="18:18" s="2" customFormat="1" ht="12.75" x14ac:dyDescent="0.2">
      <c r="R13435" s="1288"/>
    </row>
    <row r="13436" spans="18:18" s="2" customFormat="1" ht="12.75" x14ac:dyDescent="0.2">
      <c r="R13436" s="1288"/>
    </row>
    <row r="13437" spans="18:18" s="2" customFormat="1" ht="12.75" x14ac:dyDescent="0.2">
      <c r="R13437" s="1288"/>
    </row>
    <row r="13438" spans="18:18" s="2" customFormat="1" ht="12.75" x14ac:dyDescent="0.2">
      <c r="R13438" s="1288"/>
    </row>
    <row r="13439" spans="18:18" s="2" customFormat="1" ht="12.75" x14ac:dyDescent="0.2">
      <c r="R13439" s="1288"/>
    </row>
    <row r="13440" spans="18:18" s="2" customFormat="1" ht="12.75" x14ac:dyDescent="0.2">
      <c r="R13440" s="1288"/>
    </row>
    <row r="13441" spans="18:18" s="2" customFormat="1" ht="12.75" x14ac:dyDescent="0.2">
      <c r="R13441" s="1288"/>
    </row>
    <row r="13442" spans="18:18" s="2" customFormat="1" ht="12.75" x14ac:dyDescent="0.2">
      <c r="R13442" s="1288"/>
    </row>
    <row r="13443" spans="18:18" s="2" customFormat="1" ht="12.75" x14ac:dyDescent="0.2">
      <c r="R13443" s="1288"/>
    </row>
    <row r="13444" spans="18:18" s="2" customFormat="1" ht="12.75" x14ac:dyDescent="0.2">
      <c r="R13444" s="1288"/>
    </row>
    <row r="13445" spans="18:18" s="2" customFormat="1" ht="12.75" x14ac:dyDescent="0.2">
      <c r="R13445" s="1288"/>
    </row>
    <row r="13446" spans="18:18" s="2" customFormat="1" ht="12.75" x14ac:dyDescent="0.2">
      <c r="R13446" s="1288"/>
    </row>
    <row r="13447" spans="18:18" s="2" customFormat="1" ht="12.75" x14ac:dyDescent="0.2">
      <c r="R13447" s="1288"/>
    </row>
    <row r="13448" spans="18:18" s="2" customFormat="1" ht="12.75" x14ac:dyDescent="0.2">
      <c r="R13448" s="1288"/>
    </row>
    <row r="13449" spans="18:18" s="2" customFormat="1" ht="12.75" x14ac:dyDescent="0.2">
      <c r="R13449" s="1288"/>
    </row>
    <row r="13450" spans="18:18" s="2" customFormat="1" ht="12.75" x14ac:dyDescent="0.2">
      <c r="R13450" s="1288"/>
    </row>
    <row r="13451" spans="18:18" s="2" customFormat="1" ht="12.75" x14ac:dyDescent="0.2">
      <c r="R13451" s="1288"/>
    </row>
    <row r="13452" spans="18:18" s="2" customFormat="1" ht="12.75" x14ac:dyDescent="0.2">
      <c r="R13452" s="1288"/>
    </row>
    <row r="13453" spans="18:18" s="2" customFormat="1" ht="12.75" x14ac:dyDescent="0.2">
      <c r="R13453" s="1288"/>
    </row>
    <row r="13454" spans="18:18" s="2" customFormat="1" ht="12.75" x14ac:dyDescent="0.2">
      <c r="R13454" s="1288"/>
    </row>
    <row r="13455" spans="18:18" s="2" customFormat="1" ht="12.75" x14ac:dyDescent="0.2">
      <c r="R13455" s="1288"/>
    </row>
    <row r="13456" spans="18:18" s="2" customFormat="1" ht="12.75" x14ac:dyDescent="0.2">
      <c r="R13456" s="1288"/>
    </row>
    <row r="13457" spans="18:18" s="2" customFormat="1" ht="12.75" x14ac:dyDescent="0.2">
      <c r="R13457" s="1288"/>
    </row>
    <row r="13458" spans="18:18" s="2" customFormat="1" ht="12.75" x14ac:dyDescent="0.2">
      <c r="R13458" s="1288"/>
    </row>
    <row r="13459" spans="18:18" s="2" customFormat="1" ht="12.75" x14ac:dyDescent="0.2">
      <c r="R13459" s="1288"/>
    </row>
    <row r="13460" spans="18:18" s="2" customFormat="1" ht="12.75" x14ac:dyDescent="0.2">
      <c r="R13460" s="1288"/>
    </row>
    <row r="13461" spans="18:18" s="2" customFormat="1" ht="12.75" x14ac:dyDescent="0.2">
      <c r="R13461" s="1288"/>
    </row>
    <row r="13462" spans="18:18" s="2" customFormat="1" ht="12.75" x14ac:dyDescent="0.2">
      <c r="R13462" s="1288"/>
    </row>
    <row r="13463" spans="18:18" s="2" customFormat="1" ht="12.75" x14ac:dyDescent="0.2">
      <c r="R13463" s="1288"/>
    </row>
    <row r="13464" spans="18:18" s="2" customFormat="1" ht="12.75" x14ac:dyDescent="0.2">
      <c r="R13464" s="1288"/>
    </row>
    <row r="13465" spans="18:18" s="2" customFormat="1" ht="12.75" x14ac:dyDescent="0.2">
      <c r="R13465" s="1288"/>
    </row>
    <row r="13466" spans="18:18" s="2" customFormat="1" ht="12.75" x14ac:dyDescent="0.2">
      <c r="R13466" s="1288"/>
    </row>
    <row r="13467" spans="18:18" s="2" customFormat="1" ht="12.75" x14ac:dyDescent="0.2">
      <c r="R13467" s="1288"/>
    </row>
    <row r="13468" spans="18:18" s="2" customFormat="1" ht="12.75" x14ac:dyDescent="0.2">
      <c r="R13468" s="1288"/>
    </row>
    <row r="13469" spans="18:18" s="2" customFormat="1" ht="12.75" x14ac:dyDescent="0.2">
      <c r="R13469" s="1288"/>
    </row>
    <row r="13470" spans="18:18" s="2" customFormat="1" ht="12.75" x14ac:dyDescent="0.2">
      <c r="R13470" s="1288"/>
    </row>
    <row r="13471" spans="18:18" s="2" customFormat="1" ht="12.75" x14ac:dyDescent="0.2">
      <c r="R13471" s="1288"/>
    </row>
    <row r="13472" spans="18:18" s="2" customFormat="1" ht="12.75" x14ac:dyDescent="0.2">
      <c r="R13472" s="1288"/>
    </row>
    <row r="13473" spans="18:18" s="2" customFormat="1" ht="12.75" x14ac:dyDescent="0.2">
      <c r="R13473" s="1288"/>
    </row>
    <row r="13474" spans="18:18" s="2" customFormat="1" ht="12.75" x14ac:dyDescent="0.2">
      <c r="R13474" s="1288"/>
    </row>
    <row r="13475" spans="18:18" s="2" customFormat="1" ht="12.75" x14ac:dyDescent="0.2">
      <c r="R13475" s="1288"/>
    </row>
    <row r="13476" spans="18:18" s="2" customFormat="1" ht="12.75" x14ac:dyDescent="0.2">
      <c r="R13476" s="1288"/>
    </row>
    <row r="13477" spans="18:18" s="2" customFormat="1" ht="12.75" x14ac:dyDescent="0.2">
      <c r="R13477" s="1288"/>
    </row>
    <row r="13478" spans="18:18" s="2" customFormat="1" ht="12.75" x14ac:dyDescent="0.2">
      <c r="R13478" s="1288"/>
    </row>
    <row r="13479" spans="18:18" s="2" customFormat="1" ht="12.75" x14ac:dyDescent="0.2">
      <c r="R13479" s="1288"/>
    </row>
    <row r="13480" spans="18:18" s="2" customFormat="1" ht="12.75" x14ac:dyDescent="0.2">
      <c r="R13480" s="1288"/>
    </row>
    <row r="13481" spans="18:18" s="2" customFormat="1" ht="12.75" x14ac:dyDescent="0.2">
      <c r="R13481" s="1288"/>
    </row>
    <row r="13482" spans="18:18" s="2" customFormat="1" ht="12.75" x14ac:dyDescent="0.2">
      <c r="R13482" s="1288"/>
    </row>
    <row r="13483" spans="18:18" s="2" customFormat="1" ht="12.75" x14ac:dyDescent="0.2">
      <c r="R13483" s="1288"/>
    </row>
    <row r="13484" spans="18:18" s="2" customFormat="1" ht="12.75" x14ac:dyDescent="0.2">
      <c r="R13484" s="1288"/>
    </row>
    <row r="13485" spans="18:18" s="2" customFormat="1" ht="12.75" x14ac:dyDescent="0.2">
      <c r="R13485" s="1288"/>
    </row>
    <row r="13486" spans="18:18" s="2" customFormat="1" ht="12.75" x14ac:dyDescent="0.2">
      <c r="R13486" s="1288"/>
    </row>
    <row r="13487" spans="18:18" s="2" customFormat="1" ht="12.75" x14ac:dyDescent="0.2">
      <c r="R13487" s="1288"/>
    </row>
    <row r="13488" spans="18:18" s="2" customFormat="1" ht="12.75" x14ac:dyDescent="0.2">
      <c r="R13488" s="1288"/>
    </row>
    <row r="13489" spans="18:18" s="2" customFormat="1" ht="12.75" x14ac:dyDescent="0.2">
      <c r="R13489" s="1288"/>
    </row>
    <row r="13490" spans="18:18" s="2" customFormat="1" ht="12.75" x14ac:dyDescent="0.2">
      <c r="R13490" s="1288"/>
    </row>
    <row r="13491" spans="18:18" s="2" customFormat="1" ht="12.75" x14ac:dyDescent="0.2">
      <c r="R13491" s="1288"/>
    </row>
    <row r="13492" spans="18:18" s="2" customFormat="1" ht="12.75" x14ac:dyDescent="0.2">
      <c r="R13492" s="1288"/>
    </row>
    <row r="13493" spans="18:18" s="2" customFormat="1" ht="12.75" x14ac:dyDescent="0.2">
      <c r="R13493" s="1288"/>
    </row>
    <row r="13494" spans="18:18" s="2" customFormat="1" ht="12.75" x14ac:dyDescent="0.2">
      <c r="R13494" s="1288"/>
    </row>
    <row r="13495" spans="18:18" s="2" customFormat="1" ht="12.75" x14ac:dyDescent="0.2">
      <c r="R13495" s="1288"/>
    </row>
    <row r="13496" spans="18:18" s="2" customFormat="1" ht="12.75" x14ac:dyDescent="0.2">
      <c r="R13496" s="1288"/>
    </row>
    <row r="13497" spans="18:18" s="2" customFormat="1" ht="12.75" x14ac:dyDescent="0.2">
      <c r="R13497" s="1288"/>
    </row>
    <row r="13498" spans="18:18" s="2" customFormat="1" ht="12.75" x14ac:dyDescent="0.2">
      <c r="R13498" s="1288"/>
    </row>
    <row r="13499" spans="18:18" s="2" customFormat="1" ht="12.75" x14ac:dyDescent="0.2">
      <c r="R13499" s="1288"/>
    </row>
    <row r="13500" spans="18:18" s="2" customFormat="1" ht="12.75" x14ac:dyDescent="0.2">
      <c r="R13500" s="1288"/>
    </row>
    <row r="13501" spans="18:18" s="2" customFormat="1" ht="12.75" x14ac:dyDescent="0.2">
      <c r="R13501" s="1288"/>
    </row>
    <row r="13502" spans="18:18" s="2" customFormat="1" ht="12.75" x14ac:dyDescent="0.2">
      <c r="R13502" s="1288"/>
    </row>
    <row r="13503" spans="18:18" s="2" customFormat="1" ht="12.75" x14ac:dyDescent="0.2">
      <c r="R13503" s="1288"/>
    </row>
    <row r="13504" spans="18:18" s="2" customFormat="1" ht="12.75" x14ac:dyDescent="0.2">
      <c r="R13504" s="1288"/>
    </row>
    <row r="13505" spans="18:18" s="2" customFormat="1" ht="12.75" x14ac:dyDescent="0.2">
      <c r="R13505" s="1288"/>
    </row>
    <row r="13506" spans="18:18" s="2" customFormat="1" ht="12.75" x14ac:dyDescent="0.2">
      <c r="R13506" s="1288"/>
    </row>
    <row r="13507" spans="18:18" s="2" customFormat="1" ht="12.75" x14ac:dyDescent="0.2">
      <c r="R13507" s="1288"/>
    </row>
    <row r="13508" spans="18:18" s="2" customFormat="1" ht="12.75" x14ac:dyDescent="0.2">
      <c r="R13508" s="1288"/>
    </row>
    <row r="13509" spans="18:18" s="2" customFormat="1" ht="12.75" x14ac:dyDescent="0.2">
      <c r="R13509" s="1288"/>
    </row>
    <row r="13510" spans="18:18" s="2" customFormat="1" ht="12.75" x14ac:dyDescent="0.2">
      <c r="R13510" s="1288"/>
    </row>
    <row r="13511" spans="18:18" s="2" customFormat="1" ht="12.75" x14ac:dyDescent="0.2">
      <c r="R13511" s="1288"/>
    </row>
    <row r="13512" spans="18:18" s="2" customFormat="1" ht="12.75" x14ac:dyDescent="0.2">
      <c r="R13512" s="1288"/>
    </row>
    <row r="13513" spans="18:18" s="2" customFormat="1" ht="12.75" x14ac:dyDescent="0.2">
      <c r="R13513" s="1288"/>
    </row>
    <row r="13514" spans="18:18" s="2" customFormat="1" ht="12.75" x14ac:dyDescent="0.2">
      <c r="R13514" s="1288"/>
    </row>
    <row r="13515" spans="18:18" s="2" customFormat="1" ht="12.75" x14ac:dyDescent="0.2">
      <c r="R13515" s="1288"/>
    </row>
    <row r="13516" spans="18:18" s="2" customFormat="1" ht="12.75" x14ac:dyDescent="0.2">
      <c r="R13516" s="1288"/>
    </row>
    <row r="13517" spans="18:18" s="2" customFormat="1" ht="12.75" x14ac:dyDescent="0.2">
      <c r="R13517" s="1288"/>
    </row>
    <row r="13518" spans="18:18" s="2" customFormat="1" ht="12.75" x14ac:dyDescent="0.2">
      <c r="R13518" s="1288"/>
    </row>
    <row r="13519" spans="18:18" s="2" customFormat="1" ht="12.75" x14ac:dyDescent="0.2">
      <c r="R13519" s="1288"/>
    </row>
    <row r="13520" spans="18:18" s="2" customFormat="1" ht="12.75" x14ac:dyDescent="0.2">
      <c r="R13520" s="1288"/>
    </row>
    <row r="13521" spans="18:18" s="2" customFormat="1" ht="12.75" x14ac:dyDescent="0.2">
      <c r="R13521" s="1288"/>
    </row>
    <row r="13522" spans="18:18" s="2" customFormat="1" ht="12.75" x14ac:dyDescent="0.2">
      <c r="R13522" s="1288"/>
    </row>
    <row r="13523" spans="18:18" s="2" customFormat="1" ht="12.75" x14ac:dyDescent="0.2">
      <c r="R13523" s="1288"/>
    </row>
    <row r="13524" spans="18:18" s="2" customFormat="1" ht="12.75" x14ac:dyDescent="0.2">
      <c r="R13524" s="1288"/>
    </row>
    <row r="13525" spans="18:18" s="2" customFormat="1" ht="12.75" x14ac:dyDescent="0.2">
      <c r="R13525" s="1288"/>
    </row>
    <row r="13526" spans="18:18" s="2" customFormat="1" ht="12.75" x14ac:dyDescent="0.2">
      <c r="R13526" s="1288"/>
    </row>
    <row r="13527" spans="18:18" s="2" customFormat="1" ht="12.75" x14ac:dyDescent="0.2">
      <c r="R13527" s="1288"/>
    </row>
    <row r="13528" spans="18:18" s="2" customFormat="1" ht="12.75" x14ac:dyDescent="0.2">
      <c r="R13528" s="1288"/>
    </row>
    <row r="13529" spans="18:18" s="2" customFormat="1" ht="12.75" x14ac:dyDescent="0.2">
      <c r="R13529" s="1288"/>
    </row>
    <row r="13530" spans="18:18" s="2" customFormat="1" ht="12.75" x14ac:dyDescent="0.2">
      <c r="R13530" s="1288"/>
    </row>
    <row r="13531" spans="18:18" s="2" customFormat="1" ht="12.75" x14ac:dyDescent="0.2">
      <c r="R13531" s="1288"/>
    </row>
    <row r="13532" spans="18:18" s="2" customFormat="1" ht="12.75" x14ac:dyDescent="0.2">
      <c r="R13532" s="1288"/>
    </row>
    <row r="13533" spans="18:18" s="2" customFormat="1" ht="12.75" x14ac:dyDescent="0.2">
      <c r="R13533" s="1288"/>
    </row>
    <row r="13534" spans="18:18" s="2" customFormat="1" ht="12.75" x14ac:dyDescent="0.2">
      <c r="R13534" s="1288"/>
    </row>
    <row r="13535" spans="18:18" s="2" customFormat="1" ht="12.75" x14ac:dyDescent="0.2">
      <c r="R13535" s="1288"/>
    </row>
    <row r="13536" spans="18:18" s="2" customFormat="1" ht="12.75" x14ac:dyDescent="0.2">
      <c r="R13536" s="1288"/>
    </row>
    <row r="13537" spans="18:18" s="2" customFormat="1" ht="12.75" x14ac:dyDescent="0.2">
      <c r="R13537" s="1288"/>
    </row>
    <row r="13538" spans="18:18" s="2" customFormat="1" ht="12.75" x14ac:dyDescent="0.2">
      <c r="R13538" s="1288"/>
    </row>
    <row r="13539" spans="18:18" s="2" customFormat="1" ht="12.75" x14ac:dyDescent="0.2">
      <c r="R13539" s="1288"/>
    </row>
    <row r="13540" spans="18:18" s="2" customFormat="1" ht="12.75" x14ac:dyDescent="0.2">
      <c r="R13540" s="1288"/>
    </row>
    <row r="13541" spans="18:18" s="2" customFormat="1" ht="12.75" x14ac:dyDescent="0.2">
      <c r="R13541" s="1288"/>
    </row>
    <row r="13542" spans="18:18" s="2" customFormat="1" ht="12.75" x14ac:dyDescent="0.2">
      <c r="R13542" s="1288"/>
    </row>
    <row r="13543" spans="18:18" s="2" customFormat="1" ht="12.75" x14ac:dyDescent="0.2">
      <c r="R13543" s="1288"/>
    </row>
    <row r="13544" spans="18:18" s="2" customFormat="1" ht="12.75" x14ac:dyDescent="0.2">
      <c r="R13544" s="1288"/>
    </row>
    <row r="13545" spans="18:18" s="2" customFormat="1" ht="12.75" x14ac:dyDescent="0.2">
      <c r="R13545" s="1288"/>
    </row>
    <row r="13546" spans="18:18" s="2" customFormat="1" ht="12.75" x14ac:dyDescent="0.2">
      <c r="R13546" s="1288"/>
    </row>
    <row r="13547" spans="18:18" s="2" customFormat="1" ht="12.75" x14ac:dyDescent="0.2">
      <c r="R13547" s="1288"/>
    </row>
    <row r="13548" spans="18:18" s="2" customFormat="1" ht="12.75" x14ac:dyDescent="0.2">
      <c r="R13548" s="1288"/>
    </row>
    <row r="13549" spans="18:18" s="2" customFormat="1" ht="12.75" x14ac:dyDescent="0.2">
      <c r="R13549" s="1288"/>
    </row>
    <row r="13550" spans="18:18" s="2" customFormat="1" ht="12.75" x14ac:dyDescent="0.2">
      <c r="R13550" s="1288"/>
    </row>
    <row r="13551" spans="18:18" s="2" customFormat="1" ht="12.75" x14ac:dyDescent="0.2">
      <c r="R13551" s="1288"/>
    </row>
    <row r="13552" spans="18:18" s="2" customFormat="1" ht="12.75" x14ac:dyDescent="0.2">
      <c r="R13552" s="1288"/>
    </row>
    <row r="13553" spans="18:18" s="2" customFormat="1" ht="12.75" x14ac:dyDescent="0.2">
      <c r="R13553" s="1288"/>
    </row>
    <row r="13554" spans="18:18" s="2" customFormat="1" ht="12.75" x14ac:dyDescent="0.2">
      <c r="R13554" s="1288"/>
    </row>
    <row r="13555" spans="18:18" s="2" customFormat="1" ht="12.75" x14ac:dyDescent="0.2">
      <c r="R13555" s="1288"/>
    </row>
    <row r="13556" spans="18:18" s="2" customFormat="1" ht="12.75" x14ac:dyDescent="0.2">
      <c r="R13556" s="1288"/>
    </row>
    <row r="13557" spans="18:18" s="2" customFormat="1" ht="12.75" x14ac:dyDescent="0.2">
      <c r="R13557" s="1288"/>
    </row>
    <row r="13558" spans="18:18" s="2" customFormat="1" ht="12.75" x14ac:dyDescent="0.2">
      <c r="R13558" s="1288"/>
    </row>
    <row r="13559" spans="18:18" s="2" customFormat="1" ht="12.75" x14ac:dyDescent="0.2">
      <c r="R13559" s="1288"/>
    </row>
    <row r="13560" spans="18:18" s="2" customFormat="1" ht="12.75" x14ac:dyDescent="0.2">
      <c r="R13560" s="1288"/>
    </row>
    <row r="13561" spans="18:18" s="2" customFormat="1" ht="12.75" x14ac:dyDescent="0.2">
      <c r="R13561" s="1288"/>
    </row>
    <row r="13562" spans="18:18" s="2" customFormat="1" ht="12.75" x14ac:dyDescent="0.2">
      <c r="R13562" s="1288"/>
    </row>
    <row r="13563" spans="18:18" s="2" customFormat="1" ht="12.75" x14ac:dyDescent="0.2">
      <c r="R13563" s="1288"/>
    </row>
    <row r="13564" spans="18:18" s="2" customFormat="1" ht="12.75" x14ac:dyDescent="0.2">
      <c r="R13564" s="1288"/>
    </row>
    <row r="13565" spans="18:18" s="2" customFormat="1" ht="12.75" x14ac:dyDescent="0.2">
      <c r="R13565" s="1288"/>
    </row>
    <row r="13566" spans="18:18" s="2" customFormat="1" ht="12.75" x14ac:dyDescent="0.2">
      <c r="R13566" s="1288"/>
    </row>
    <row r="13567" spans="18:18" s="2" customFormat="1" ht="12.75" x14ac:dyDescent="0.2">
      <c r="R13567" s="1288"/>
    </row>
    <row r="13568" spans="18:18" s="2" customFormat="1" ht="12.75" x14ac:dyDescent="0.2">
      <c r="R13568" s="1288"/>
    </row>
    <row r="13569" spans="18:18" s="2" customFormat="1" ht="12.75" x14ac:dyDescent="0.2">
      <c r="R13569" s="1288"/>
    </row>
    <row r="13570" spans="18:18" s="2" customFormat="1" ht="12.75" x14ac:dyDescent="0.2">
      <c r="R13570" s="1288"/>
    </row>
    <row r="13571" spans="18:18" s="2" customFormat="1" ht="12.75" x14ac:dyDescent="0.2">
      <c r="R13571" s="1288"/>
    </row>
    <row r="13572" spans="18:18" s="2" customFormat="1" ht="12.75" x14ac:dyDescent="0.2">
      <c r="R13572" s="1288"/>
    </row>
    <row r="13573" spans="18:18" s="2" customFormat="1" ht="12.75" x14ac:dyDescent="0.2">
      <c r="R13573" s="1288"/>
    </row>
    <row r="13574" spans="18:18" s="2" customFormat="1" ht="12.75" x14ac:dyDescent="0.2">
      <c r="R13574" s="1288"/>
    </row>
    <row r="13575" spans="18:18" s="2" customFormat="1" ht="12.75" x14ac:dyDescent="0.2">
      <c r="R13575" s="1288"/>
    </row>
    <row r="13576" spans="18:18" s="2" customFormat="1" ht="12.75" x14ac:dyDescent="0.2">
      <c r="R13576" s="1288"/>
    </row>
    <row r="13577" spans="18:18" s="2" customFormat="1" ht="12.75" x14ac:dyDescent="0.2">
      <c r="R13577" s="1288"/>
    </row>
    <row r="13578" spans="18:18" s="2" customFormat="1" ht="12.75" x14ac:dyDescent="0.2">
      <c r="R13578" s="1288"/>
    </row>
    <row r="13579" spans="18:18" s="2" customFormat="1" ht="12.75" x14ac:dyDescent="0.2">
      <c r="R13579" s="1288"/>
    </row>
    <row r="13580" spans="18:18" s="2" customFormat="1" ht="12.75" x14ac:dyDescent="0.2">
      <c r="R13580" s="1288"/>
    </row>
    <row r="13581" spans="18:18" s="2" customFormat="1" ht="12.75" x14ac:dyDescent="0.2">
      <c r="R13581" s="1288"/>
    </row>
    <row r="13582" spans="18:18" s="2" customFormat="1" ht="12.75" x14ac:dyDescent="0.2">
      <c r="R13582" s="1288"/>
    </row>
    <row r="13583" spans="18:18" s="2" customFormat="1" ht="12.75" x14ac:dyDescent="0.2">
      <c r="R13583" s="1288"/>
    </row>
    <row r="13584" spans="18:18" s="2" customFormat="1" ht="12.75" x14ac:dyDescent="0.2">
      <c r="R13584" s="1288"/>
    </row>
    <row r="13585" spans="18:18" s="2" customFormat="1" ht="12.75" x14ac:dyDescent="0.2">
      <c r="R13585" s="1288"/>
    </row>
    <row r="13586" spans="18:18" s="2" customFormat="1" ht="12.75" x14ac:dyDescent="0.2">
      <c r="R13586" s="1288"/>
    </row>
    <row r="13587" spans="18:18" s="2" customFormat="1" ht="12.75" x14ac:dyDescent="0.2">
      <c r="R13587" s="1288"/>
    </row>
    <row r="13588" spans="18:18" s="2" customFormat="1" ht="12.75" x14ac:dyDescent="0.2">
      <c r="R13588" s="1288"/>
    </row>
    <row r="13589" spans="18:18" s="2" customFormat="1" ht="12.75" x14ac:dyDescent="0.2">
      <c r="R13589" s="1288"/>
    </row>
    <row r="13590" spans="18:18" s="2" customFormat="1" ht="12.75" x14ac:dyDescent="0.2">
      <c r="R13590" s="1288"/>
    </row>
    <row r="13591" spans="18:18" s="2" customFormat="1" ht="12.75" x14ac:dyDescent="0.2">
      <c r="R13591" s="1288"/>
    </row>
    <row r="13592" spans="18:18" s="2" customFormat="1" ht="12.75" x14ac:dyDescent="0.2">
      <c r="R13592" s="1288"/>
    </row>
    <row r="13593" spans="18:18" s="2" customFormat="1" ht="12.75" x14ac:dyDescent="0.2">
      <c r="R13593" s="1288"/>
    </row>
    <row r="13594" spans="18:18" s="2" customFormat="1" ht="12.75" x14ac:dyDescent="0.2">
      <c r="R13594" s="1288"/>
    </row>
    <row r="13595" spans="18:18" s="2" customFormat="1" ht="12.75" x14ac:dyDescent="0.2">
      <c r="R13595" s="1288"/>
    </row>
    <row r="13596" spans="18:18" s="2" customFormat="1" ht="12.75" x14ac:dyDescent="0.2">
      <c r="R13596" s="1288"/>
    </row>
    <row r="13597" spans="18:18" s="2" customFormat="1" ht="12.75" x14ac:dyDescent="0.2">
      <c r="R13597" s="1288"/>
    </row>
    <row r="13598" spans="18:18" s="2" customFormat="1" ht="12.75" x14ac:dyDescent="0.2">
      <c r="R13598" s="1288"/>
    </row>
    <row r="13599" spans="18:18" s="2" customFormat="1" ht="12.75" x14ac:dyDescent="0.2">
      <c r="R13599" s="1288"/>
    </row>
    <row r="13600" spans="18:18" s="2" customFormat="1" ht="12.75" x14ac:dyDescent="0.2">
      <c r="R13600" s="1288"/>
    </row>
    <row r="13601" spans="18:18" s="2" customFormat="1" ht="12.75" x14ac:dyDescent="0.2">
      <c r="R13601" s="1288"/>
    </row>
    <row r="13602" spans="18:18" s="2" customFormat="1" ht="12.75" x14ac:dyDescent="0.2">
      <c r="R13602" s="1288"/>
    </row>
    <row r="13603" spans="18:18" s="2" customFormat="1" ht="12.75" x14ac:dyDescent="0.2">
      <c r="R13603" s="1288"/>
    </row>
    <row r="13604" spans="18:18" s="2" customFormat="1" ht="12.75" x14ac:dyDescent="0.2">
      <c r="R13604" s="1288"/>
    </row>
    <row r="13605" spans="18:18" s="2" customFormat="1" ht="12.75" x14ac:dyDescent="0.2">
      <c r="R13605" s="1288"/>
    </row>
    <row r="13606" spans="18:18" s="2" customFormat="1" ht="12.75" x14ac:dyDescent="0.2">
      <c r="R13606" s="1288"/>
    </row>
    <row r="13607" spans="18:18" s="2" customFormat="1" ht="12.75" x14ac:dyDescent="0.2">
      <c r="R13607" s="1288"/>
    </row>
    <row r="13608" spans="18:18" s="2" customFormat="1" ht="12.75" x14ac:dyDescent="0.2">
      <c r="R13608" s="1288"/>
    </row>
    <row r="13609" spans="18:18" s="2" customFormat="1" ht="12.75" x14ac:dyDescent="0.2">
      <c r="R13609" s="1288"/>
    </row>
    <row r="13610" spans="18:18" s="2" customFormat="1" ht="12.75" x14ac:dyDescent="0.2">
      <c r="R13610" s="1288"/>
    </row>
    <row r="13611" spans="18:18" s="2" customFormat="1" ht="12.75" x14ac:dyDescent="0.2">
      <c r="R13611" s="1288"/>
    </row>
    <row r="13612" spans="18:18" s="2" customFormat="1" ht="12.75" x14ac:dyDescent="0.2">
      <c r="R13612" s="1288"/>
    </row>
    <row r="13613" spans="18:18" s="2" customFormat="1" ht="12.75" x14ac:dyDescent="0.2">
      <c r="R13613" s="1288"/>
    </row>
    <row r="13614" spans="18:18" s="2" customFormat="1" ht="12.75" x14ac:dyDescent="0.2">
      <c r="R13614" s="1288"/>
    </row>
    <row r="13615" spans="18:18" s="2" customFormat="1" ht="12.75" x14ac:dyDescent="0.2">
      <c r="R13615" s="1288"/>
    </row>
    <row r="13616" spans="18:18" s="2" customFormat="1" ht="12.75" x14ac:dyDescent="0.2">
      <c r="R13616" s="1288"/>
    </row>
    <row r="13617" spans="18:18" s="2" customFormat="1" ht="12.75" x14ac:dyDescent="0.2">
      <c r="R13617" s="1288"/>
    </row>
    <row r="13618" spans="18:18" s="2" customFormat="1" ht="12.75" x14ac:dyDescent="0.2">
      <c r="R13618" s="1288"/>
    </row>
    <row r="13619" spans="18:18" s="2" customFormat="1" ht="12.75" x14ac:dyDescent="0.2">
      <c r="R13619" s="1288"/>
    </row>
    <row r="13620" spans="18:18" s="2" customFormat="1" ht="12.75" x14ac:dyDescent="0.2">
      <c r="R13620" s="1288"/>
    </row>
    <row r="13621" spans="18:18" s="2" customFormat="1" ht="12.75" x14ac:dyDescent="0.2">
      <c r="R13621" s="1288"/>
    </row>
    <row r="13622" spans="18:18" s="2" customFormat="1" ht="12.75" x14ac:dyDescent="0.2">
      <c r="R13622" s="1288"/>
    </row>
    <row r="13623" spans="18:18" s="2" customFormat="1" ht="12.75" x14ac:dyDescent="0.2">
      <c r="R13623" s="1288"/>
    </row>
    <row r="13624" spans="18:18" s="2" customFormat="1" ht="12.75" x14ac:dyDescent="0.2">
      <c r="R13624" s="1288"/>
    </row>
    <row r="13625" spans="18:18" s="2" customFormat="1" ht="12.75" x14ac:dyDescent="0.2">
      <c r="R13625" s="1288"/>
    </row>
    <row r="13626" spans="18:18" s="2" customFormat="1" ht="12.75" x14ac:dyDescent="0.2">
      <c r="R13626" s="1288"/>
    </row>
    <row r="13627" spans="18:18" s="2" customFormat="1" ht="12.75" x14ac:dyDescent="0.2">
      <c r="R13627" s="1288"/>
    </row>
    <row r="13628" spans="18:18" s="2" customFormat="1" ht="12.75" x14ac:dyDescent="0.2">
      <c r="R13628" s="1288"/>
    </row>
    <row r="13629" spans="18:18" s="2" customFormat="1" ht="12.75" x14ac:dyDescent="0.2">
      <c r="R13629" s="1288"/>
    </row>
    <row r="13630" spans="18:18" s="2" customFormat="1" ht="12.75" x14ac:dyDescent="0.2">
      <c r="R13630" s="1288"/>
    </row>
    <row r="13631" spans="18:18" s="2" customFormat="1" ht="12.75" x14ac:dyDescent="0.2">
      <c r="R13631" s="1288"/>
    </row>
    <row r="13632" spans="18:18" s="2" customFormat="1" ht="12.75" x14ac:dyDescent="0.2">
      <c r="R13632" s="1288"/>
    </row>
    <row r="13633" spans="18:18" s="2" customFormat="1" ht="12.75" x14ac:dyDescent="0.2">
      <c r="R13633" s="1288"/>
    </row>
    <row r="13634" spans="18:18" s="2" customFormat="1" ht="12.75" x14ac:dyDescent="0.2">
      <c r="R13634" s="1288"/>
    </row>
    <row r="13635" spans="18:18" s="2" customFormat="1" ht="12.75" x14ac:dyDescent="0.2">
      <c r="R13635" s="1288"/>
    </row>
    <row r="13636" spans="18:18" s="2" customFormat="1" ht="12.75" x14ac:dyDescent="0.2">
      <c r="R13636" s="1288"/>
    </row>
    <row r="13637" spans="18:18" s="2" customFormat="1" ht="12.75" x14ac:dyDescent="0.2">
      <c r="R13637" s="1288"/>
    </row>
    <row r="13638" spans="18:18" s="2" customFormat="1" ht="12.75" x14ac:dyDescent="0.2">
      <c r="R13638" s="1288"/>
    </row>
    <row r="13639" spans="18:18" s="2" customFormat="1" ht="12.75" x14ac:dyDescent="0.2">
      <c r="R13639" s="1288"/>
    </row>
    <row r="13640" spans="18:18" s="2" customFormat="1" ht="12.75" x14ac:dyDescent="0.2">
      <c r="R13640" s="1288"/>
    </row>
    <row r="13641" spans="18:18" s="2" customFormat="1" ht="12.75" x14ac:dyDescent="0.2">
      <c r="R13641" s="1288"/>
    </row>
    <row r="13642" spans="18:18" s="2" customFormat="1" ht="12.75" x14ac:dyDescent="0.2">
      <c r="R13642" s="1288"/>
    </row>
    <row r="13643" spans="18:18" s="2" customFormat="1" ht="12.75" x14ac:dyDescent="0.2">
      <c r="R13643" s="1288"/>
    </row>
    <row r="13644" spans="18:18" s="2" customFormat="1" ht="12.75" x14ac:dyDescent="0.2">
      <c r="R13644" s="1288"/>
    </row>
    <row r="13645" spans="18:18" s="2" customFormat="1" ht="12.75" x14ac:dyDescent="0.2">
      <c r="R13645" s="1288"/>
    </row>
    <row r="13646" spans="18:18" s="2" customFormat="1" ht="12.75" x14ac:dyDescent="0.2">
      <c r="R13646" s="1288"/>
    </row>
    <row r="13647" spans="18:18" s="2" customFormat="1" ht="12.75" x14ac:dyDescent="0.2">
      <c r="R13647" s="1288"/>
    </row>
    <row r="13648" spans="18:18" s="2" customFormat="1" ht="12.75" x14ac:dyDescent="0.2">
      <c r="R13648" s="1288"/>
    </row>
    <row r="13649" spans="18:18" s="2" customFormat="1" ht="12.75" x14ac:dyDescent="0.2">
      <c r="R13649" s="1288"/>
    </row>
    <row r="13650" spans="18:18" s="2" customFormat="1" ht="12.75" x14ac:dyDescent="0.2">
      <c r="R13650" s="1288"/>
    </row>
    <row r="13651" spans="18:18" s="2" customFormat="1" ht="12.75" x14ac:dyDescent="0.2">
      <c r="R13651" s="1288"/>
    </row>
    <row r="13652" spans="18:18" s="2" customFormat="1" ht="12.75" x14ac:dyDescent="0.2">
      <c r="R13652" s="1288"/>
    </row>
    <row r="13653" spans="18:18" s="2" customFormat="1" ht="12.75" x14ac:dyDescent="0.2">
      <c r="R13653" s="1288"/>
    </row>
    <row r="13654" spans="18:18" s="2" customFormat="1" ht="12.75" x14ac:dyDescent="0.2">
      <c r="R13654" s="1288"/>
    </row>
    <row r="13655" spans="18:18" s="2" customFormat="1" ht="12.75" x14ac:dyDescent="0.2">
      <c r="R13655" s="1288"/>
    </row>
    <row r="13656" spans="18:18" s="2" customFormat="1" ht="12.75" x14ac:dyDescent="0.2">
      <c r="R13656" s="1288"/>
    </row>
    <row r="13657" spans="18:18" s="2" customFormat="1" ht="12.75" x14ac:dyDescent="0.2">
      <c r="R13657" s="1288"/>
    </row>
    <row r="13658" spans="18:18" s="2" customFormat="1" ht="12.75" x14ac:dyDescent="0.2">
      <c r="R13658" s="1288"/>
    </row>
    <row r="13659" spans="18:18" s="2" customFormat="1" ht="12.75" x14ac:dyDescent="0.2">
      <c r="R13659" s="1288"/>
    </row>
    <row r="13660" spans="18:18" s="2" customFormat="1" ht="12.75" x14ac:dyDescent="0.2">
      <c r="R13660" s="1288"/>
    </row>
    <row r="13661" spans="18:18" s="2" customFormat="1" ht="12.75" x14ac:dyDescent="0.2">
      <c r="R13661" s="1288"/>
    </row>
    <row r="13662" spans="18:18" s="2" customFormat="1" ht="12.75" x14ac:dyDescent="0.2">
      <c r="R13662" s="1288"/>
    </row>
    <row r="13663" spans="18:18" s="2" customFormat="1" ht="12.75" x14ac:dyDescent="0.2">
      <c r="R13663" s="1288"/>
    </row>
    <row r="13664" spans="18:18" s="2" customFormat="1" ht="12.75" x14ac:dyDescent="0.2">
      <c r="R13664" s="1288"/>
    </row>
    <row r="13665" spans="18:18" s="2" customFormat="1" ht="12.75" x14ac:dyDescent="0.2">
      <c r="R13665" s="1288"/>
    </row>
    <row r="13666" spans="18:18" s="2" customFormat="1" ht="12.75" x14ac:dyDescent="0.2">
      <c r="R13666" s="1288"/>
    </row>
    <row r="13667" spans="18:18" s="2" customFormat="1" ht="12.75" x14ac:dyDescent="0.2">
      <c r="R13667" s="1288"/>
    </row>
    <row r="13668" spans="18:18" s="2" customFormat="1" ht="12.75" x14ac:dyDescent="0.2">
      <c r="R13668" s="1288"/>
    </row>
    <row r="13669" spans="18:18" s="2" customFormat="1" ht="12.75" x14ac:dyDescent="0.2">
      <c r="R13669" s="1288"/>
    </row>
    <row r="13670" spans="18:18" s="2" customFormat="1" ht="12.75" x14ac:dyDescent="0.2">
      <c r="R13670" s="1288"/>
    </row>
    <row r="13671" spans="18:18" s="2" customFormat="1" ht="12.75" x14ac:dyDescent="0.2">
      <c r="R13671" s="1288"/>
    </row>
    <row r="13672" spans="18:18" s="2" customFormat="1" ht="12.75" x14ac:dyDescent="0.2">
      <c r="R13672" s="1288"/>
    </row>
    <row r="13673" spans="18:18" s="2" customFormat="1" ht="12.75" x14ac:dyDescent="0.2">
      <c r="R13673" s="1288"/>
    </row>
    <row r="13674" spans="18:18" s="2" customFormat="1" ht="12.75" x14ac:dyDescent="0.2">
      <c r="R13674" s="1288"/>
    </row>
    <row r="13675" spans="18:18" s="2" customFormat="1" ht="12.75" x14ac:dyDescent="0.2">
      <c r="R13675" s="1288"/>
    </row>
    <row r="13676" spans="18:18" s="2" customFormat="1" ht="12.75" x14ac:dyDescent="0.2">
      <c r="R13676" s="1288"/>
    </row>
    <row r="13677" spans="18:18" s="2" customFormat="1" ht="12.75" x14ac:dyDescent="0.2">
      <c r="R13677" s="1288"/>
    </row>
    <row r="13678" spans="18:18" s="2" customFormat="1" ht="12.75" x14ac:dyDescent="0.2">
      <c r="R13678" s="1288"/>
    </row>
    <row r="13679" spans="18:18" s="2" customFormat="1" ht="12.75" x14ac:dyDescent="0.2">
      <c r="R13679" s="1288"/>
    </row>
    <row r="13680" spans="18:18" s="2" customFormat="1" ht="12.75" x14ac:dyDescent="0.2">
      <c r="R13680" s="1288"/>
    </row>
    <row r="13681" spans="18:18" s="2" customFormat="1" ht="12.75" x14ac:dyDescent="0.2">
      <c r="R13681" s="1288"/>
    </row>
    <row r="13682" spans="18:18" s="2" customFormat="1" ht="12.75" x14ac:dyDescent="0.2">
      <c r="R13682" s="1288"/>
    </row>
    <row r="13683" spans="18:18" s="2" customFormat="1" ht="12.75" x14ac:dyDescent="0.2">
      <c r="R13683" s="1288"/>
    </row>
    <row r="13684" spans="18:18" s="2" customFormat="1" ht="12.75" x14ac:dyDescent="0.2">
      <c r="R13684" s="1288"/>
    </row>
    <row r="13685" spans="18:18" s="2" customFormat="1" ht="12.75" x14ac:dyDescent="0.2">
      <c r="R13685" s="1288"/>
    </row>
    <row r="13686" spans="18:18" s="2" customFormat="1" ht="12.75" x14ac:dyDescent="0.2">
      <c r="R13686" s="1288"/>
    </row>
    <row r="13687" spans="18:18" s="2" customFormat="1" ht="12.75" x14ac:dyDescent="0.2">
      <c r="R13687" s="1288"/>
    </row>
    <row r="13688" spans="18:18" s="2" customFormat="1" ht="12.75" x14ac:dyDescent="0.2">
      <c r="R13688" s="1288"/>
    </row>
    <row r="13689" spans="18:18" s="2" customFormat="1" ht="12.75" x14ac:dyDescent="0.2">
      <c r="R13689" s="1288"/>
    </row>
    <row r="13690" spans="18:18" s="2" customFormat="1" ht="12.75" x14ac:dyDescent="0.2">
      <c r="R13690" s="1288"/>
    </row>
    <row r="13691" spans="18:18" s="2" customFormat="1" ht="12.75" x14ac:dyDescent="0.2">
      <c r="R13691" s="1288"/>
    </row>
    <row r="13692" spans="18:18" s="2" customFormat="1" ht="12.75" x14ac:dyDescent="0.2">
      <c r="R13692" s="1288"/>
    </row>
    <row r="13693" spans="18:18" s="2" customFormat="1" ht="12.75" x14ac:dyDescent="0.2">
      <c r="R13693" s="1288"/>
    </row>
    <row r="13694" spans="18:18" s="2" customFormat="1" ht="12.75" x14ac:dyDescent="0.2">
      <c r="R13694" s="1288"/>
    </row>
    <row r="13695" spans="18:18" s="2" customFormat="1" ht="12.75" x14ac:dyDescent="0.2">
      <c r="R13695" s="1288"/>
    </row>
    <row r="13696" spans="18:18" s="2" customFormat="1" ht="12.75" x14ac:dyDescent="0.2">
      <c r="R13696" s="1288"/>
    </row>
    <row r="13697" spans="18:18" s="2" customFormat="1" ht="12.75" x14ac:dyDescent="0.2">
      <c r="R13697" s="1288"/>
    </row>
    <row r="13698" spans="18:18" s="2" customFormat="1" ht="12.75" x14ac:dyDescent="0.2">
      <c r="R13698" s="1288"/>
    </row>
    <row r="13699" spans="18:18" s="2" customFormat="1" ht="12.75" x14ac:dyDescent="0.2">
      <c r="R13699" s="1288"/>
    </row>
    <row r="13700" spans="18:18" s="2" customFormat="1" ht="12.75" x14ac:dyDescent="0.2">
      <c r="R13700" s="1288"/>
    </row>
    <row r="13701" spans="18:18" s="2" customFormat="1" ht="12.75" x14ac:dyDescent="0.2">
      <c r="R13701" s="1288"/>
    </row>
    <row r="13702" spans="18:18" s="2" customFormat="1" ht="12.75" x14ac:dyDescent="0.2">
      <c r="R13702" s="1288"/>
    </row>
    <row r="13703" spans="18:18" s="2" customFormat="1" ht="12.75" x14ac:dyDescent="0.2">
      <c r="R13703" s="1288"/>
    </row>
    <row r="13704" spans="18:18" s="2" customFormat="1" ht="12.75" x14ac:dyDescent="0.2">
      <c r="R13704" s="1288"/>
    </row>
    <row r="13705" spans="18:18" s="2" customFormat="1" ht="12.75" x14ac:dyDescent="0.2">
      <c r="R13705" s="1288"/>
    </row>
    <row r="13706" spans="18:18" s="2" customFormat="1" ht="12.75" x14ac:dyDescent="0.2">
      <c r="R13706" s="1288"/>
    </row>
    <row r="13707" spans="18:18" s="2" customFormat="1" ht="12.75" x14ac:dyDescent="0.2">
      <c r="R13707" s="1288"/>
    </row>
    <row r="13708" spans="18:18" s="2" customFormat="1" ht="12.75" x14ac:dyDescent="0.2">
      <c r="R13708" s="1288"/>
    </row>
    <row r="13709" spans="18:18" s="2" customFormat="1" ht="12.75" x14ac:dyDescent="0.2">
      <c r="R13709" s="1288"/>
    </row>
    <row r="13710" spans="18:18" s="2" customFormat="1" ht="12.75" x14ac:dyDescent="0.2">
      <c r="R13710" s="1288"/>
    </row>
    <row r="13711" spans="18:18" s="2" customFormat="1" ht="12.75" x14ac:dyDescent="0.2">
      <c r="R13711" s="1288"/>
    </row>
    <row r="13712" spans="18:18" s="2" customFormat="1" ht="12.75" x14ac:dyDescent="0.2">
      <c r="R13712" s="1288"/>
    </row>
    <row r="13713" spans="18:18" s="2" customFormat="1" ht="12.75" x14ac:dyDescent="0.2">
      <c r="R13713" s="1288"/>
    </row>
    <row r="13714" spans="18:18" s="2" customFormat="1" ht="12.75" x14ac:dyDescent="0.2">
      <c r="R13714" s="1288"/>
    </row>
    <row r="13715" spans="18:18" s="2" customFormat="1" ht="12.75" x14ac:dyDescent="0.2">
      <c r="R13715" s="1288"/>
    </row>
    <row r="13716" spans="18:18" s="2" customFormat="1" ht="12.75" x14ac:dyDescent="0.2">
      <c r="R13716" s="1288"/>
    </row>
    <row r="13717" spans="18:18" s="2" customFormat="1" ht="12.75" x14ac:dyDescent="0.2">
      <c r="R13717" s="1288"/>
    </row>
    <row r="13718" spans="18:18" s="2" customFormat="1" ht="12.75" x14ac:dyDescent="0.2">
      <c r="R13718" s="1288"/>
    </row>
    <row r="13719" spans="18:18" s="2" customFormat="1" ht="12.75" x14ac:dyDescent="0.2">
      <c r="R13719" s="1288"/>
    </row>
    <row r="13720" spans="18:18" s="2" customFormat="1" ht="12.75" x14ac:dyDescent="0.2">
      <c r="R13720" s="1288"/>
    </row>
    <row r="13721" spans="18:18" s="2" customFormat="1" ht="12.75" x14ac:dyDescent="0.2">
      <c r="R13721" s="1288"/>
    </row>
    <row r="13722" spans="18:18" s="2" customFormat="1" ht="12.75" x14ac:dyDescent="0.2">
      <c r="R13722" s="1288"/>
    </row>
    <row r="13723" spans="18:18" s="2" customFormat="1" ht="12.75" x14ac:dyDescent="0.2">
      <c r="R13723" s="1288"/>
    </row>
    <row r="13724" spans="18:18" s="2" customFormat="1" ht="12.75" x14ac:dyDescent="0.2">
      <c r="R13724" s="1288"/>
    </row>
    <row r="13725" spans="18:18" s="2" customFormat="1" ht="12.75" x14ac:dyDescent="0.2">
      <c r="R13725" s="1288"/>
    </row>
    <row r="13726" spans="18:18" s="2" customFormat="1" ht="12.75" x14ac:dyDescent="0.2">
      <c r="R13726" s="1288"/>
    </row>
    <row r="13727" spans="18:18" s="2" customFormat="1" ht="12.75" x14ac:dyDescent="0.2">
      <c r="R13727" s="1288"/>
    </row>
    <row r="13728" spans="18:18" s="2" customFormat="1" ht="12.75" x14ac:dyDescent="0.2">
      <c r="R13728" s="1288"/>
    </row>
    <row r="13729" spans="18:18" s="2" customFormat="1" ht="12.75" x14ac:dyDescent="0.2">
      <c r="R13729" s="1288"/>
    </row>
    <row r="13730" spans="18:18" s="2" customFormat="1" ht="12.75" x14ac:dyDescent="0.2">
      <c r="R13730" s="1288"/>
    </row>
    <row r="13731" spans="18:18" s="2" customFormat="1" ht="12.75" x14ac:dyDescent="0.2">
      <c r="R13731" s="1288"/>
    </row>
    <row r="13732" spans="18:18" s="2" customFormat="1" ht="12.75" x14ac:dyDescent="0.2">
      <c r="R13732" s="1288"/>
    </row>
    <row r="13733" spans="18:18" s="2" customFormat="1" ht="12.75" x14ac:dyDescent="0.2">
      <c r="R13733" s="1288"/>
    </row>
    <row r="13734" spans="18:18" s="2" customFormat="1" ht="12.75" x14ac:dyDescent="0.2">
      <c r="R13734" s="1288"/>
    </row>
    <row r="13735" spans="18:18" s="2" customFormat="1" ht="12.75" x14ac:dyDescent="0.2">
      <c r="R13735" s="1288"/>
    </row>
    <row r="13736" spans="18:18" s="2" customFormat="1" ht="12.75" x14ac:dyDescent="0.2">
      <c r="R13736" s="1288"/>
    </row>
    <row r="13737" spans="18:18" s="2" customFormat="1" ht="12.75" x14ac:dyDescent="0.2">
      <c r="R13737" s="1288"/>
    </row>
    <row r="13738" spans="18:18" s="2" customFormat="1" ht="12.75" x14ac:dyDescent="0.2">
      <c r="R13738" s="1288"/>
    </row>
    <row r="13739" spans="18:18" s="2" customFormat="1" ht="12.75" x14ac:dyDescent="0.2">
      <c r="R13739" s="1288"/>
    </row>
    <row r="13740" spans="18:18" s="2" customFormat="1" ht="12.75" x14ac:dyDescent="0.2">
      <c r="R13740" s="1288"/>
    </row>
    <row r="13741" spans="18:18" s="2" customFormat="1" ht="12.75" x14ac:dyDescent="0.2">
      <c r="R13741" s="1288"/>
    </row>
    <row r="13742" spans="18:18" s="2" customFormat="1" ht="12.75" x14ac:dyDescent="0.2">
      <c r="R13742" s="1288"/>
    </row>
    <row r="13743" spans="18:18" s="2" customFormat="1" ht="12.75" x14ac:dyDescent="0.2">
      <c r="R13743" s="1288"/>
    </row>
    <row r="13744" spans="18:18" s="2" customFormat="1" ht="12.75" x14ac:dyDescent="0.2">
      <c r="R13744" s="1288"/>
    </row>
    <row r="13745" spans="18:18" s="2" customFormat="1" ht="12.75" x14ac:dyDescent="0.2">
      <c r="R13745" s="1288"/>
    </row>
    <row r="13746" spans="18:18" s="2" customFormat="1" ht="12.75" x14ac:dyDescent="0.2">
      <c r="R13746" s="1288"/>
    </row>
    <row r="13747" spans="18:18" s="2" customFormat="1" ht="12.75" x14ac:dyDescent="0.2">
      <c r="R13747" s="1288"/>
    </row>
    <row r="13748" spans="18:18" s="2" customFormat="1" ht="12.75" x14ac:dyDescent="0.2">
      <c r="R13748" s="1288"/>
    </row>
    <row r="13749" spans="18:18" s="2" customFormat="1" ht="12.75" x14ac:dyDescent="0.2">
      <c r="R13749" s="1288"/>
    </row>
    <row r="13750" spans="18:18" s="2" customFormat="1" ht="12.75" x14ac:dyDescent="0.2">
      <c r="R13750" s="1288"/>
    </row>
    <row r="13751" spans="18:18" s="2" customFormat="1" ht="12.75" x14ac:dyDescent="0.2">
      <c r="R13751" s="1288"/>
    </row>
    <row r="13752" spans="18:18" s="2" customFormat="1" ht="12.75" x14ac:dyDescent="0.2">
      <c r="R13752" s="1288"/>
    </row>
    <row r="13753" spans="18:18" s="2" customFormat="1" ht="12.75" x14ac:dyDescent="0.2">
      <c r="R13753" s="1288"/>
    </row>
    <row r="13754" spans="18:18" s="2" customFormat="1" ht="12.75" x14ac:dyDescent="0.2">
      <c r="R13754" s="1288"/>
    </row>
    <row r="13755" spans="18:18" s="2" customFormat="1" ht="12.75" x14ac:dyDescent="0.2">
      <c r="R13755" s="1288"/>
    </row>
    <row r="13756" spans="18:18" s="2" customFormat="1" ht="12.75" x14ac:dyDescent="0.2">
      <c r="R13756" s="1288"/>
    </row>
    <row r="13757" spans="18:18" s="2" customFormat="1" ht="12.75" x14ac:dyDescent="0.2">
      <c r="R13757" s="1288"/>
    </row>
    <row r="13758" spans="18:18" s="2" customFormat="1" ht="12.75" x14ac:dyDescent="0.2">
      <c r="R13758" s="1288"/>
    </row>
    <row r="13759" spans="18:18" s="2" customFormat="1" ht="12.75" x14ac:dyDescent="0.2">
      <c r="R13759" s="1288"/>
    </row>
    <row r="13760" spans="18:18" s="2" customFormat="1" ht="12.75" x14ac:dyDescent="0.2">
      <c r="R13760" s="1288"/>
    </row>
    <row r="13761" spans="18:18" s="2" customFormat="1" ht="12.75" x14ac:dyDescent="0.2">
      <c r="R13761" s="1288"/>
    </row>
    <row r="13762" spans="18:18" s="2" customFormat="1" ht="12.75" x14ac:dyDescent="0.2">
      <c r="R13762" s="1288"/>
    </row>
    <row r="13763" spans="18:18" s="2" customFormat="1" ht="12.75" x14ac:dyDescent="0.2">
      <c r="R13763" s="1288"/>
    </row>
    <row r="13764" spans="18:18" s="2" customFormat="1" ht="12.75" x14ac:dyDescent="0.2">
      <c r="R13764" s="1288"/>
    </row>
    <row r="13765" spans="18:18" s="2" customFormat="1" ht="12.75" x14ac:dyDescent="0.2">
      <c r="R13765" s="1288"/>
    </row>
    <row r="13766" spans="18:18" s="2" customFormat="1" ht="12.75" x14ac:dyDescent="0.2">
      <c r="R13766" s="1288"/>
    </row>
    <row r="13767" spans="18:18" s="2" customFormat="1" ht="12.75" x14ac:dyDescent="0.2">
      <c r="R13767" s="1288"/>
    </row>
    <row r="13768" spans="18:18" s="2" customFormat="1" ht="12.75" x14ac:dyDescent="0.2">
      <c r="R13768" s="1288"/>
    </row>
    <row r="13769" spans="18:18" s="2" customFormat="1" ht="12.75" x14ac:dyDescent="0.2">
      <c r="R13769" s="1288"/>
    </row>
    <row r="13770" spans="18:18" s="2" customFormat="1" ht="12.75" x14ac:dyDescent="0.2">
      <c r="R13770" s="1288"/>
    </row>
    <row r="13771" spans="18:18" s="2" customFormat="1" ht="12.75" x14ac:dyDescent="0.2">
      <c r="R13771" s="1288"/>
    </row>
    <row r="13772" spans="18:18" s="2" customFormat="1" ht="12.75" x14ac:dyDescent="0.2">
      <c r="R13772" s="1288"/>
    </row>
    <row r="13773" spans="18:18" s="2" customFormat="1" ht="12.75" x14ac:dyDescent="0.2">
      <c r="R13773" s="1288"/>
    </row>
    <row r="13774" spans="18:18" s="2" customFormat="1" ht="12.75" x14ac:dyDescent="0.2">
      <c r="R13774" s="1288"/>
    </row>
    <row r="13775" spans="18:18" s="2" customFormat="1" ht="12.75" x14ac:dyDescent="0.2">
      <c r="R13775" s="1288"/>
    </row>
    <row r="13776" spans="18:18" s="2" customFormat="1" ht="12.75" x14ac:dyDescent="0.2">
      <c r="R13776" s="1288"/>
    </row>
    <row r="13777" spans="18:18" s="2" customFormat="1" ht="12.75" x14ac:dyDescent="0.2">
      <c r="R13777" s="1288"/>
    </row>
    <row r="13778" spans="18:18" s="2" customFormat="1" ht="12.75" x14ac:dyDescent="0.2">
      <c r="R13778" s="1288"/>
    </row>
    <row r="13779" spans="18:18" s="2" customFormat="1" ht="12.75" x14ac:dyDescent="0.2">
      <c r="R13779" s="1288"/>
    </row>
    <row r="13780" spans="18:18" s="2" customFormat="1" ht="12.75" x14ac:dyDescent="0.2">
      <c r="R13780" s="1288"/>
    </row>
    <row r="13781" spans="18:18" s="2" customFormat="1" ht="12.75" x14ac:dyDescent="0.2">
      <c r="R13781" s="1288"/>
    </row>
    <row r="13782" spans="18:18" s="2" customFormat="1" ht="12.75" x14ac:dyDescent="0.2">
      <c r="R13782" s="1288"/>
    </row>
    <row r="13783" spans="18:18" s="2" customFormat="1" ht="12.75" x14ac:dyDescent="0.2">
      <c r="R13783" s="1288"/>
    </row>
    <row r="13784" spans="18:18" s="2" customFormat="1" ht="12.75" x14ac:dyDescent="0.2">
      <c r="R13784" s="1288"/>
    </row>
    <row r="13785" spans="18:18" s="2" customFormat="1" ht="12.75" x14ac:dyDescent="0.2">
      <c r="R13785" s="1288"/>
    </row>
    <row r="13786" spans="18:18" s="2" customFormat="1" ht="12.75" x14ac:dyDescent="0.2">
      <c r="R13786" s="1288"/>
    </row>
    <row r="13787" spans="18:18" s="2" customFormat="1" ht="12.75" x14ac:dyDescent="0.2">
      <c r="R13787" s="1288"/>
    </row>
    <row r="13788" spans="18:18" s="2" customFormat="1" ht="12.75" x14ac:dyDescent="0.2">
      <c r="R13788" s="1288"/>
    </row>
    <row r="13789" spans="18:18" s="2" customFormat="1" ht="12.75" x14ac:dyDescent="0.2">
      <c r="R13789" s="1288"/>
    </row>
    <row r="13790" spans="18:18" s="2" customFormat="1" ht="12.75" x14ac:dyDescent="0.2">
      <c r="R13790" s="1288"/>
    </row>
    <row r="13791" spans="18:18" s="2" customFormat="1" ht="12.75" x14ac:dyDescent="0.2">
      <c r="R13791" s="1288"/>
    </row>
    <row r="13792" spans="18:18" s="2" customFormat="1" ht="12.75" x14ac:dyDescent="0.2">
      <c r="R13792" s="1288"/>
    </row>
    <row r="13793" spans="18:18" s="2" customFormat="1" ht="12.75" x14ac:dyDescent="0.2">
      <c r="R13793" s="1288"/>
    </row>
    <row r="13794" spans="18:18" s="2" customFormat="1" ht="12.75" x14ac:dyDescent="0.2">
      <c r="R13794" s="1288"/>
    </row>
    <row r="13795" spans="18:18" s="2" customFormat="1" ht="12.75" x14ac:dyDescent="0.2">
      <c r="R13795" s="1288"/>
    </row>
    <row r="13796" spans="18:18" s="2" customFormat="1" ht="12.75" x14ac:dyDescent="0.2">
      <c r="R13796" s="1288"/>
    </row>
    <row r="13797" spans="18:18" s="2" customFormat="1" ht="12.75" x14ac:dyDescent="0.2">
      <c r="R13797" s="1288"/>
    </row>
    <row r="13798" spans="18:18" s="2" customFormat="1" ht="12.75" x14ac:dyDescent="0.2">
      <c r="R13798" s="1288"/>
    </row>
    <row r="13799" spans="18:18" s="2" customFormat="1" ht="12.75" x14ac:dyDescent="0.2">
      <c r="R13799" s="1288"/>
    </row>
    <row r="13800" spans="18:18" s="2" customFormat="1" ht="12.75" x14ac:dyDescent="0.2">
      <c r="R13800" s="1288"/>
    </row>
    <row r="13801" spans="18:18" s="2" customFormat="1" ht="12.75" x14ac:dyDescent="0.2">
      <c r="R13801" s="1288"/>
    </row>
    <row r="13802" spans="18:18" s="2" customFormat="1" ht="12.75" x14ac:dyDescent="0.2">
      <c r="R13802" s="1288"/>
    </row>
    <row r="13803" spans="18:18" s="2" customFormat="1" ht="12.75" x14ac:dyDescent="0.2">
      <c r="R13803" s="1288"/>
    </row>
    <row r="13804" spans="18:18" s="2" customFormat="1" ht="12.75" x14ac:dyDescent="0.2">
      <c r="R13804" s="1288"/>
    </row>
    <row r="13805" spans="18:18" s="2" customFormat="1" ht="12.75" x14ac:dyDescent="0.2">
      <c r="R13805" s="1288"/>
    </row>
    <row r="13806" spans="18:18" s="2" customFormat="1" ht="12.75" x14ac:dyDescent="0.2">
      <c r="R13806" s="1288"/>
    </row>
    <row r="13807" spans="18:18" s="2" customFormat="1" ht="12.75" x14ac:dyDescent="0.2">
      <c r="R13807" s="1288"/>
    </row>
    <row r="13808" spans="18:18" s="2" customFormat="1" ht="12.75" x14ac:dyDescent="0.2">
      <c r="R13808" s="1288"/>
    </row>
    <row r="13809" spans="18:18" s="2" customFormat="1" ht="12.75" x14ac:dyDescent="0.2">
      <c r="R13809" s="1288"/>
    </row>
    <row r="13810" spans="18:18" s="2" customFormat="1" ht="12.75" x14ac:dyDescent="0.2">
      <c r="R13810" s="1288"/>
    </row>
    <row r="13811" spans="18:18" s="2" customFormat="1" ht="12.75" x14ac:dyDescent="0.2">
      <c r="R13811" s="1288"/>
    </row>
    <row r="13812" spans="18:18" s="2" customFormat="1" ht="12.75" x14ac:dyDescent="0.2">
      <c r="R13812" s="1288"/>
    </row>
    <row r="13813" spans="18:18" s="2" customFormat="1" ht="12.75" x14ac:dyDescent="0.2">
      <c r="R13813" s="1288"/>
    </row>
    <row r="13814" spans="18:18" s="2" customFormat="1" ht="12.75" x14ac:dyDescent="0.2">
      <c r="R13814" s="1288"/>
    </row>
    <row r="13815" spans="18:18" s="2" customFormat="1" ht="12.75" x14ac:dyDescent="0.2">
      <c r="R13815" s="1288"/>
    </row>
    <row r="13816" spans="18:18" s="2" customFormat="1" ht="12.75" x14ac:dyDescent="0.2">
      <c r="R13816" s="1288"/>
    </row>
    <row r="13817" spans="18:18" s="2" customFormat="1" ht="12.75" x14ac:dyDescent="0.2">
      <c r="R13817" s="1288"/>
    </row>
    <row r="13818" spans="18:18" s="2" customFormat="1" ht="12.75" x14ac:dyDescent="0.2">
      <c r="R13818" s="1288"/>
    </row>
    <row r="13819" spans="18:18" s="2" customFormat="1" ht="12.75" x14ac:dyDescent="0.2">
      <c r="R13819" s="1288"/>
    </row>
    <row r="13820" spans="18:18" s="2" customFormat="1" ht="12.75" x14ac:dyDescent="0.2">
      <c r="R13820" s="1288"/>
    </row>
    <row r="13821" spans="18:18" s="2" customFormat="1" ht="12.75" x14ac:dyDescent="0.2">
      <c r="R13821" s="1288"/>
    </row>
    <row r="13822" spans="18:18" s="2" customFormat="1" ht="12.75" x14ac:dyDescent="0.2">
      <c r="R13822" s="1288"/>
    </row>
    <row r="13823" spans="18:18" s="2" customFormat="1" ht="12.75" x14ac:dyDescent="0.2">
      <c r="R13823" s="1288"/>
    </row>
    <row r="13824" spans="18:18" s="2" customFormat="1" ht="12.75" x14ac:dyDescent="0.2">
      <c r="R13824" s="1288"/>
    </row>
    <row r="13825" spans="18:18" s="2" customFormat="1" ht="12.75" x14ac:dyDescent="0.2">
      <c r="R13825" s="1288"/>
    </row>
    <row r="13826" spans="18:18" s="2" customFormat="1" ht="12.75" x14ac:dyDescent="0.2">
      <c r="R13826" s="1288"/>
    </row>
    <row r="13827" spans="18:18" s="2" customFormat="1" ht="12.75" x14ac:dyDescent="0.2">
      <c r="R13827" s="1288"/>
    </row>
    <row r="13828" spans="18:18" s="2" customFormat="1" ht="12.75" x14ac:dyDescent="0.2">
      <c r="R13828" s="1288"/>
    </row>
    <row r="13829" spans="18:18" s="2" customFormat="1" ht="12.75" x14ac:dyDescent="0.2">
      <c r="R13829" s="1288"/>
    </row>
    <row r="13830" spans="18:18" s="2" customFormat="1" ht="12.75" x14ac:dyDescent="0.2">
      <c r="R13830" s="1288"/>
    </row>
    <row r="13831" spans="18:18" s="2" customFormat="1" ht="12.75" x14ac:dyDescent="0.2">
      <c r="R13831" s="1288"/>
    </row>
    <row r="13832" spans="18:18" s="2" customFormat="1" ht="12.75" x14ac:dyDescent="0.2">
      <c r="R13832" s="1288"/>
    </row>
    <row r="13833" spans="18:18" s="2" customFormat="1" ht="12.75" x14ac:dyDescent="0.2">
      <c r="R13833" s="1288"/>
    </row>
    <row r="13834" spans="18:18" s="2" customFormat="1" ht="12.75" x14ac:dyDescent="0.2">
      <c r="R13834" s="1288"/>
    </row>
    <row r="13835" spans="18:18" s="2" customFormat="1" ht="12.75" x14ac:dyDescent="0.2">
      <c r="R13835" s="1288"/>
    </row>
    <row r="13836" spans="18:18" s="2" customFormat="1" ht="12.75" x14ac:dyDescent="0.2">
      <c r="R13836" s="1288"/>
    </row>
    <row r="13837" spans="18:18" s="2" customFormat="1" ht="12.75" x14ac:dyDescent="0.2">
      <c r="R13837" s="1288"/>
    </row>
    <row r="13838" spans="18:18" s="2" customFormat="1" ht="12.75" x14ac:dyDescent="0.2">
      <c r="R13838" s="1288"/>
    </row>
    <row r="13839" spans="18:18" s="2" customFormat="1" ht="12.75" x14ac:dyDescent="0.2">
      <c r="R13839" s="1288"/>
    </row>
    <row r="13840" spans="18:18" s="2" customFormat="1" ht="12.75" x14ac:dyDescent="0.2">
      <c r="R13840" s="1288"/>
    </row>
    <row r="13841" spans="18:18" s="2" customFormat="1" ht="12.75" x14ac:dyDescent="0.2">
      <c r="R13841" s="1288"/>
    </row>
    <row r="13842" spans="18:18" s="2" customFormat="1" ht="12.75" x14ac:dyDescent="0.2">
      <c r="R13842" s="1288"/>
    </row>
    <row r="13843" spans="18:18" s="2" customFormat="1" ht="12.75" x14ac:dyDescent="0.2">
      <c r="R13843" s="1288"/>
    </row>
    <row r="13844" spans="18:18" s="2" customFormat="1" ht="12.75" x14ac:dyDescent="0.2">
      <c r="R13844" s="1288"/>
    </row>
    <row r="13845" spans="18:18" s="2" customFormat="1" ht="12.75" x14ac:dyDescent="0.2">
      <c r="R13845" s="1288"/>
    </row>
    <row r="13846" spans="18:18" s="2" customFormat="1" ht="12.75" x14ac:dyDescent="0.2">
      <c r="R13846" s="1288"/>
    </row>
    <row r="13847" spans="18:18" s="2" customFormat="1" ht="12.75" x14ac:dyDescent="0.2">
      <c r="R13847" s="1288"/>
    </row>
    <row r="13848" spans="18:18" s="2" customFormat="1" ht="12.75" x14ac:dyDescent="0.2">
      <c r="R13848" s="1288"/>
    </row>
    <row r="13849" spans="18:18" s="2" customFormat="1" ht="12.75" x14ac:dyDescent="0.2">
      <c r="R13849" s="1288"/>
    </row>
    <row r="13850" spans="18:18" s="2" customFormat="1" ht="12.75" x14ac:dyDescent="0.2">
      <c r="R13850" s="1288"/>
    </row>
    <row r="13851" spans="18:18" s="2" customFormat="1" ht="12.75" x14ac:dyDescent="0.2">
      <c r="R13851" s="1288"/>
    </row>
    <row r="13852" spans="18:18" s="2" customFormat="1" ht="12.75" x14ac:dyDescent="0.2">
      <c r="R13852" s="1288"/>
    </row>
    <row r="13853" spans="18:18" s="2" customFormat="1" ht="12.75" x14ac:dyDescent="0.2">
      <c r="R13853" s="1288"/>
    </row>
    <row r="13854" spans="18:18" s="2" customFormat="1" ht="12.75" x14ac:dyDescent="0.2">
      <c r="R13854" s="1288"/>
    </row>
    <row r="13855" spans="18:18" s="2" customFormat="1" ht="12.75" x14ac:dyDescent="0.2">
      <c r="R13855" s="1288"/>
    </row>
    <row r="13856" spans="18:18" s="2" customFormat="1" ht="12.75" x14ac:dyDescent="0.2">
      <c r="R13856" s="1288"/>
    </row>
    <row r="13857" spans="18:18" s="2" customFormat="1" ht="12.75" x14ac:dyDescent="0.2">
      <c r="R13857" s="1288"/>
    </row>
    <row r="13858" spans="18:18" s="2" customFormat="1" ht="12.75" x14ac:dyDescent="0.2">
      <c r="R13858" s="1288"/>
    </row>
    <row r="13859" spans="18:18" s="2" customFormat="1" ht="12.75" x14ac:dyDescent="0.2">
      <c r="R13859" s="1288"/>
    </row>
    <row r="13860" spans="18:18" s="2" customFormat="1" ht="12.75" x14ac:dyDescent="0.2">
      <c r="R13860" s="1288"/>
    </row>
    <row r="13861" spans="18:18" s="2" customFormat="1" ht="12.75" x14ac:dyDescent="0.2">
      <c r="R13861" s="1288"/>
    </row>
    <row r="13862" spans="18:18" s="2" customFormat="1" ht="12.75" x14ac:dyDescent="0.2">
      <c r="R13862" s="1288"/>
    </row>
    <row r="13863" spans="18:18" s="2" customFormat="1" ht="12.75" x14ac:dyDescent="0.2">
      <c r="R13863" s="1288"/>
    </row>
    <row r="13864" spans="18:18" s="2" customFormat="1" ht="12.75" x14ac:dyDescent="0.2">
      <c r="R13864" s="1288"/>
    </row>
    <row r="13865" spans="18:18" s="2" customFormat="1" ht="12.75" x14ac:dyDescent="0.2">
      <c r="R13865" s="1288"/>
    </row>
    <row r="13866" spans="18:18" s="2" customFormat="1" ht="12.75" x14ac:dyDescent="0.2">
      <c r="R13866" s="1288"/>
    </row>
    <row r="13867" spans="18:18" s="2" customFormat="1" ht="12.75" x14ac:dyDescent="0.2">
      <c r="R13867" s="1288"/>
    </row>
    <row r="13868" spans="18:18" s="2" customFormat="1" ht="12.75" x14ac:dyDescent="0.2">
      <c r="R13868" s="1288"/>
    </row>
    <row r="13869" spans="18:18" s="2" customFormat="1" ht="12.75" x14ac:dyDescent="0.2">
      <c r="R13869" s="1288"/>
    </row>
    <row r="13870" spans="18:18" s="2" customFormat="1" ht="12.75" x14ac:dyDescent="0.2">
      <c r="R13870" s="1288"/>
    </row>
    <row r="13871" spans="18:18" s="2" customFormat="1" ht="12.75" x14ac:dyDescent="0.2">
      <c r="R13871" s="1288"/>
    </row>
    <row r="13872" spans="18:18" s="2" customFormat="1" ht="12.75" x14ac:dyDescent="0.2">
      <c r="R13872" s="1288"/>
    </row>
    <row r="13873" spans="18:18" s="2" customFormat="1" ht="12.75" x14ac:dyDescent="0.2">
      <c r="R13873" s="1288"/>
    </row>
    <row r="13874" spans="18:18" s="2" customFormat="1" ht="12.75" x14ac:dyDescent="0.2">
      <c r="R13874" s="1288"/>
    </row>
    <row r="13875" spans="18:18" s="2" customFormat="1" ht="12.75" x14ac:dyDescent="0.2">
      <c r="R13875" s="1288"/>
    </row>
    <row r="13876" spans="18:18" s="2" customFormat="1" ht="12.75" x14ac:dyDescent="0.2">
      <c r="R13876" s="1288"/>
    </row>
    <row r="13877" spans="18:18" s="2" customFormat="1" ht="12.75" x14ac:dyDescent="0.2">
      <c r="R13877" s="1288"/>
    </row>
    <row r="13878" spans="18:18" s="2" customFormat="1" ht="12.75" x14ac:dyDescent="0.2">
      <c r="R13878" s="1288"/>
    </row>
    <row r="13879" spans="18:18" s="2" customFormat="1" ht="12.75" x14ac:dyDescent="0.2">
      <c r="R13879" s="1288"/>
    </row>
    <row r="13880" spans="18:18" s="2" customFormat="1" ht="12.75" x14ac:dyDescent="0.2">
      <c r="R13880" s="1288"/>
    </row>
    <row r="13881" spans="18:18" s="2" customFormat="1" ht="12.75" x14ac:dyDescent="0.2">
      <c r="R13881" s="1288"/>
    </row>
    <row r="13882" spans="18:18" s="2" customFormat="1" ht="12.75" x14ac:dyDescent="0.2">
      <c r="R13882" s="1288"/>
    </row>
    <row r="13883" spans="18:18" s="2" customFormat="1" ht="12.75" x14ac:dyDescent="0.2">
      <c r="R13883" s="1288"/>
    </row>
    <row r="13884" spans="18:18" s="2" customFormat="1" ht="12.75" x14ac:dyDescent="0.2">
      <c r="R13884" s="1288"/>
    </row>
    <row r="13885" spans="18:18" s="2" customFormat="1" ht="12.75" x14ac:dyDescent="0.2">
      <c r="R13885" s="1288"/>
    </row>
    <row r="13886" spans="18:18" s="2" customFormat="1" ht="12.75" x14ac:dyDescent="0.2">
      <c r="R13886" s="1288"/>
    </row>
    <row r="13887" spans="18:18" s="2" customFormat="1" ht="12.75" x14ac:dyDescent="0.2">
      <c r="R13887" s="1288"/>
    </row>
    <row r="13888" spans="18:18" s="2" customFormat="1" ht="12.75" x14ac:dyDescent="0.2">
      <c r="R13888" s="1288"/>
    </row>
    <row r="13889" spans="18:18" s="2" customFormat="1" ht="12.75" x14ac:dyDescent="0.2">
      <c r="R13889" s="1288"/>
    </row>
    <row r="13890" spans="18:18" s="2" customFormat="1" ht="12.75" x14ac:dyDescent="0.2">
      <c r="R13890" s="1288"/>
    </row>
    <row r="13891" spans="18:18" s="2" customFormat="1" ht="12.75" x14ac:dyDescent="0.2">
      <c r="R13891" s="1288"/>
    </row>
    <row r="13892" spans="18:18" s="2" customFormat="1" ht="12.75" x14ac:dyDescent="0.2">
      <c r="R13892" s="1288"/>
    </row>
    <row r="13893" spans="18:18" s="2" customFormat="1" ht="12.75" x14ac:dyDescent="0.2">
      <c r="R13893" s="1288"/>
    </row>
    <row r="13894" spans="18:18" s="2" customFormat="1" ht="12.75" x14ac:dyDescent="0.2">
      <c r="R13894" s="1288"/>
    </row>
    <row r="13895" spans="18:18" s="2" customFormat="1" ht="12.75" x14ac:dyDescent="0.2">
      <c r="R13895" s="1288"/>
    </row>
    <row r="13896" spans="18:18" s="2" customFormat="1" ht="12.75" x14ac:dyDescent="0.2">
      <c r="R13896" s="1288"/>
    </row>
    <row r="13897" spans="18:18" s="2" customFormat="1" ht="12.75" x14ac:dyDescent="0.2">
      <c r="R13897" s="1288"/>
    </row>
    <row r="13898" spans="18:18" s="2" customFormat="1" ht="12.75" x14ac:dyDescent="0.2">
      <c r="R13898" s="1288"/>
    </row>
    <row r="13899" spans="18:18" s="2" customFormat="1" ht="12.75" x14ac:dyDescent="0.2">
      <c r="R13899" s="1288"/>
    </row>
    <row r="13900" spans="18:18" s="2" customFormat="1" ht="12.75" x14ac:dyDescent="0.2">
      <c r="R13900" s="1288"/>
    </row>
    <row r="13901" spans="18:18" s="2" customFormat="1" ht="12.75" x14ac:dyDescent="0.2">
      <c r="R13901" s="1288"/>
    </row>
    <row r="13902" spans="18:18" s="2" customFormat="1" ht="12.75" x14ac:dyDescent="0.2">
      <c r="R13902" s="1288"/>
    </row>
    <row r="13903" spans="18:18" s="2" customFormat="1" ht="12.75" x14ac:dyDescent="0.2">
      <c r="R13903" s="1288"/>
    </row>
    <row r="13904" spans="18:18" s="2" customFormat="1" ht="12.75" x14ac:dyDescent="0.2">
      <c r="R13904" s="1288"/>
    </row>
    <row r="13905" spans="18:18" s="2" customFormat="1" ht="12.75" x14ac:dyDescent="0.2">
      <c r="R13905" s="1288"/>
    </row>
    <row r="13906" spans="18:18" s="2" customFormat="1" ht="12.75" x14ac:dyDescent="0.2">
      <c r="R13906" s="1288"/>
    </row>
    <row r="13907" spans="18:18" s="2" customFormat="1" ht="12.75" x14ac:dyDescent="0.2">
      <c r="R13907" s="1288"/>
    </row>
    <row r="13908" spans="18:18" s="2" customFormat="1" ht="12.75" x14ac:dyDescent="0.2">
      <c r="R13908" s="1288"/>
    </row>
    <row r="13909" spans="18:18" s="2" customFormat="1" ht="12.75" x14ac:dyDescent="0.2">
      <c r="R13909" s="1288"/>
    </row>
    <row r="13910" spans="18:18" s="2" customFormat="1" ht="12.75" x14ac:dyDescent="0.2">
      <c r="R13910" s="1288"/>
    </row>
    <row r="13911" spans="18:18" s="2" customFormat="1" ht="12.75" x14ac:dyDescent="0.2">
      <c r="R13911" s="1288"/>
    </row>
    <row r="13912" spans="18:18" s="2" customFormat="1" ht="12.75" x14ac:dyDescent="0.2">
      <c r="R13912" s="1288"/>
    </row>
    <row r="13913" spans="18:18" s="2" customFormat="1" ht="12.75" x14ac:dyDescent="0.2">
      <c r="R13913" s="1288"/>
    </row>
    <row r="13914" spans="18:18" s="2" customFormat="1" ht="12.75" x14ac:dyDescent="0.2">
      <c r="R13914" s="1288"/>
    </row>
    <row r="13915" spans="18:18" s="2" customFormat="1" ht="12.75" x14ac:dyDescent="0.2">
      <c r="R13915" s="1288"/>
    </row>
    <row r="13916" spans="18:18" s="2" customFormat="1" ht="12.75" x14ac:dyDescent="0.2">
      <c r="R13916" s="1288"/>
    </row>
    <row r="13917" spans="18:18" s="2" customFormat="1" ht="12.75" x14ac:dyDescent="0.2">
      <c r="R13917" s="1288"/>
    </row>
    <row r="13918" spans="18:18" s="2" customFormat="1" ht="12.75" x14ac:dyDescent="0.2">
      <c r="R13918" s="1288"/>
    </row>
    <row r="13919" spans="18:18" s="2" customFormat="1" ht="12.75" x14ac:dyDescent="0.2">
      <c r="R13919" s="1288"/>
    </row>
    <row r="13920" spans="18:18" s="2" customFormat="1" ht="12.75" x14ac:dyDescent="0.2">
      <c r="R13920" s="1288"/>
    </row>
    <row r="13921" spans="18:18" s="2" customFormat="1" ht="12.75" x14ac:dyDescent="0.2">
      <c r="R13921" s="1288"/>
    </row>
    <row r="13922" spans="18:18" s="2" customFormat="1" ht="12.75" x14ac:dyDescent="0.2">
      <c r="R13922" s="1288"/>
    </row>
    <row r="13923" spans="18:18" s="2" customFormat="1" ht="12.75" x14ac:dyDescent="0.2">
      <c r="R13923" s="1288"/>
    </row>
    <row r="13924" spans="18:18" s="2" customFormat="1" ht="12.75" x14ac:dyDescent="0.2">
      <c r="R13924" s="1288"/>
    </row>
    <row r="13925" spans="18:18" s="2" customFormat="1" ht="12.75" x14ac:dyDescent="0.2">
      <c r="R13925" s="1288"/>
    </row>
    <row r="13926" spans="18:18" s="2" customFormat="1" ht="12.75" x14ac:dyDescent="0.2">
      <c r="R13926" s="1288"/>
    </row>
    <row r="13927" spans="18:18" s="2" customFormat="1" ht="12.75" x14ac:dyDescent="0.2">
      <c r="R13927" s="1288"/>
    </row>
    <row r="13928" spans="18:18" s="2" customFormat="1" ht="12.75" x14ac:dyDescent="0.2">
      <c r="R13928" s="1288"/>
    </row>
    <row r="13929" spans="18:18" s="2" customFormat="1" ht="12.75" x14ac:dyDescent="0.2">
      <c r="R13929" s="1288"/>
    </row>
    <row r="13930" spans="18:18" s="2" customFormat="1" ht="12.75" x14ac:dyDescent="0.2">
      <c r="R13930" s="1288"/>
    </row>
    <row r="13931" spans="18:18" s="2" customFormat="1" ht="12.75" x14ac:dyDescent="0.2">
      <c r="R13931" s="1288"/>
    </row>
    <row r="13932" spans="18:18" s="2" customFormat="1" ht="12.75" x14ac:dyDescent="0.2">
      <c r="R13932" s="1288"/>
    </row>
    <row r="13933" spans="18:18" s="2" customFormat="1" ht="12.75" x14ac:dyDescent="0.2">
      <c r="R13933" s="1288"/>
    </row>
    <row r="13934" spans="18:18" s="2" customFormat="1" ht="12.75" x14ac:dyDescent="0.2">
      <c r="R13934" s="1288"/>
    </row>
    <row r="13935" spans="18:18" s="2" customFormat="1" ht="12.75" x14ac:dyDescent="0.2">
      <c r="R13935" s="1288"/>
    </row>
    <row r="13936" spans="18:18" s="2" customFormat="1" ht="12.75" x14ac:dyDescent="0.2">
      <c r="R13936" s="1288"/>
    </row>
    <row r="13937" spans="18:18" s="2" customFormat="1" ht="12.75" x14ac:dyDescent="0.2">
      <c r="R13937" s="1288"/>
    </row>
    <row r="13938" spans="18:18" s="2" customFormat="1" ht="12.75" x14ac:dyDescent="0.2">
      <c r="R13938" s="1288"/>
    </row>
    <row r="13939" spans="18:18" s="2" customFormat="1" ht="12.75" x14ac:dyDescent="0.2">
      <c r="R13939" s="1288"/>
    </row>
    <row r="13940" spans="18:18" s="2" customFormat="1" ht="12.75" x14ac:dyDescent="0.2">
      <c r="R13940" s="1288"/>
    </row>
    <row r="13941" spans="18:18" s="2" customFormat="1" ht="12.75" x14ac:dyDescent="0.2">
      <c r="R13941" s="1288"/>
    </row>
    <row r="13942" spans="18:18" s="2" customFormat="1" ht="12.75" x14ac:dyDescent="0.2">
      <c r="R13942" s="1288"/>
    </row>
    <row r="13943" spans="18:18" s="2" customFormat="1" ht="12.75" x14ac:dyDescent="0.2">
      <c r="R13943" s="1288"/>
    </row>
    <row r="13944" spans="18:18" s="2" customFormat="1" ht="12.75" x14ac:dyDescent="0.2">
      <c r="R13944" s="1288"/>
    </row>
    <row r="13945" spans="18:18" s="2" customFormat="1" ht="12.75" x14ac:dyDescent="0.2">
      <c r="R13945" s="1288"/>
    </row>
    <row r="13946" spans="18:18" s="2" customFormat="1" ht="12.75" x14ac:dyDescent="0.2">
      <c r="R13946" s="1288"/>
    </row>
    <row r="13947" spans="18:18" s="2" customFormat="1" ht="12.75" x14ac:dyDescent="0.2">
      <c r="R13947" s="1288"/>
    </row>
    <row r="13948" spans="18:18" s="2" customFormat="1" ht="12.75" x14ac:dyDescent="0.2">
      <c r="R13948" s="1288"/>
    </row>
    <row r="13949" spans="18:18" s="2" customFormat="1" ht="12.75" x14ac:dyDescent="0.2">
      <c r="R13949" s="1288"/>
    </row>
    <row r="13950" spans="18:18" s="2" customFormat="1" ht="12.75" x14ac:dyDescent="0.2">
      <c r="R13950" s="1288"/>
    </row>
    <row r="13951" spans="18:18" s="2" customFormat="1" ht="12.75" x14ac:dyDescent="0.2">
      <c r="R13951" s="1288"/>
    </row>
    <row r="13952" spans="18:18" s="2" customFormat="1" ht="12.75" x14ac:dyDescent="0.2">
      <c r="R13952" s="1288"/>
    </row>
    <row r="13953" spans="18:18" s="2" customFormat="1" ht="12.75" x14ac:dyDescent="0.2">
      <c r="R13953" s="1288"/>
    </row>
    <row r="13954" spans="18:18" s="2" customFormat="1" ht="12.75" x14ac:dyDescent="0.2">
      <c r="R13954" s="1288"/>
    </row>
    <row r="13955" spans="18:18" s="2" customFormat="1" ht="12.75" x14ac:dyDescent="0.2">
      <c r="R13955" s="1288"/>
    </row>
    <row r="13956" spans="18:18" s="2" customFormat="1" ht="12.75" x14ac:dyDescent="0.2">
      <c r="R13956" s="1288"/>
    </row>
    <row r="13957" spans="18:18" s="2" customFormat="1" ht="12.75" x14ac:dyDescent="0.2">
      <c r="R13957" s="1288"/>
    </row>
    <row r="13958" spans="18:18" s="2" customFormat="1" ht="12.75" x14ac:dyDescent="0.2">
      <c r="R13958" s="1288"/>
    </row>
    <row r="13959" spans="18:18" s="2" customFormat="1" ht="12.75" x14ac:dyDescent="0.2">
      <c r="R13959" s="1288"/>
    </row>
    <row r="13960" spans="18:18" s="2" customFormat="1" ht="12.75" x14ac:dyDescent="0.2">
      <c r="R13960" s="1288"/>
    </row>
    <row r="13961" spans="18:18" s="2" customFormat="1" ht="12.75" x14ac:dyDescent="0.2">
      <c r="R13961" s="1288"/>
    </row>
    <row r="13962" spans="18:18" s="2" customFormat="1" ht="12.75" x14ac:dyDescent="0.2">
      <c r="R13962" s="1288"/>
    </row>
    <row r="13963" spans="18:18" s="2" customFormat="1" ht="12.75" x14ac:dyDescent="0.2">
      <c r="R13963" s="1288"/>
    </row>
    <row r="13964" spans="18:18" s="2" customFormat="1" ht="12.75" x14ac:dyDescent="0.2">
      <c r="R13964" s="1288"/>
    </row>
    <row r="13965" spans="18:18" s="2" customFormat="1" ht="12.75" x14ac:dyDescent="0.2">
      <c r="R13965" s="1288"/>
    </row>
    <row r="13966" spans="18:18" s="2" customFormat="1" ht="12.75" x14ac:dyDescent="0.2">
      <c r="R13966" s="1288"/>
    </row>
    <row r="13967" spans="18:18" s="2" customFormat="1" ht="12.75" x14ac:dyDescent="0.2">
      <c r="R13967" s="1288"/>
    </row>
    <row r="13968" spans="18:18" s="2" customFormat="1" ht="12.75" x14ac:dyDescent="0.2">
      <c r="R13968" s="1288"/>
    </row>
    <row r="13969" spans="18:18" s="2" customFormat="1" ht="12.75" x14ac:dyDescent="0.2">
      <c r="R13969" s="1288"/>
    </row>
    <row r="13970" spans="18:18" s="2" customFormat="1" ht="12.75" x14ac:dyDescent="0.2">
      <c r="R13970" s="1288"/>
    </row>
    <row r="13971" spans="18:18" s="2" customFormat="1" ht="12.75" x14ac:dyDescent="0.2">
      <c r="R13971" s="1288"/>
    </row>
    <row r="13972" spans="18:18" s="2" customFormat="1" ht="12.75" x14ac:dyDescent="0.2">
      <c r="R13972" s="1288"/>
    </row>
    <row r="13973" spans="18:18" s="2" customFormat="1" ht="12.75" x14ac:dyDescent="0.2">
      <c r="R13973" s="1288"/>
    </row>
    <row r="13974" spans="18:18" s="2" customFormat="1" ht="12.75" x14ac:dyDescent="0.2">
      <c r="R13974" s="1288"/>
    </row>
    <row r="13975" spans="18:18" s="2" customFormat="1" ht="12.75" x14ac:dyDescent="0.2">
      <c r="R13975" s="1288"/>
    </row>
    <row r="13976" spans="18:18" s="2" customFormat="1" ht="12.75" x14ac:dyDescent="0.2">
      <c r="R13976" s="1288"/>
    </row>
    <row r="13977" spans="18:18" s="2" customFormat="1" ht="12.75" x14ac:dyDescent="0.2">
      <c r="R13977" s="1288"/>
    </row>
    <row r="13978" spans="18:18" s="2" customFormat="1" ht="12.75" x14ac:dyDescent="0.2">
      <c r="R13978" s="1288"/>
    </row>
    <row r="13979" spans="18:18" s="2" customFormat="1" ht="12.75" x14ac:dyDescent="0.2">
      <c r="R13979" s="1288"/>
    </row>
    <row r="13980" spans="18:18" s="2" customFormat="1" ht="12.75" x14ac:dyDescent="0.2">
      <c r="R13980" s="1288"/>
    </row>
    <row r="13981" spans="18:18" s="2" customFormat="1" ht="12.75" x14ac:dyDescent="0.2">
      <c r="R13981" s="1288"/>
    </row>
    <row r="13982" spans="18:18" s="2" customFormat="1" ht="12.75" x14ac:dyDescent="0.2">
      <c r="R13982" s="1288"/>
    </row>
    <row r="13983" spans="18:18" s="2" customFormat="1" ht="12.75" x14ac:dyDescent="0.2">
      <c r="R13983" s="1288"/>
    </row>
    <row r="13984" spans="18:18" s="2" customFormat="1" ht="12.75" x14ac:dyDescent="0.2">
      <c r="R13984" s="1288"/>
    </row>
    <row r="13985" spans="18:18" s="2" customFormat="1" ht="12.75" x14ac:dyDescent="0.2">
      <c r="R13985" s="1288"/>
    </row>
    <row r="13986" spans="18:18" s="2" customFormat="1" ht="12.75" x14ac:dyDescent="0.2">
      <c r="R13986" s="1288"/>
    </row>
    <row r="13987" spans="18:18" s="2" customFormat="1" ht="12.75" x14ac:dyDescent="0.2">
      <c r="R13987" s="1288"/>
    </row>
    <row r="13988" spans="18:18" s="2" customFormat="1" ht="12.75" x14ac:dyDescent="0.2">
      <c r="R13988" s="1288"/>
    </row>
    <row r="13989" spans="18:18" s="2" customFormat="1" ht="12.75" x14ac:dyDescent="0.2">
      <c r="R13989" s="1288"/>
    </row>
    <row r="13990" spans="18:18" s="2" customFormat="1" ht="12.75" x14ac:dyDescent="0.2">
      <c r="R13990" s="1288"/>
    </row>
    <row r="13991" spans="18:18" s="2" customFormat="1" ht="12.75" x14ac:dyDescent="0.2">
      <c r="R13991" s="1288"/>
    </row>
    <row r="13992" spans="18:18" s="2" customFormat="1" ht="12.75" x14ac:dyDescent="0.2">
      <c r="R13992" s="1288"/>
    </row>
    <row r="13993" spans="18:18" s="2" customFormat="1" ht="12.75" x14ac:dyDescent="0.2">
      <c r="R13993" s="1288"/>
    </row>
    <row r="13994" spans="18:18" s="2" customFormat="1" ht="12.75" x14ac:dyDescent="0.2">
      <c r="R13994" s="1288"/>
    </row>
    <row r="13995" spans="18:18" s="2" customFormat="1" ht="12.75" x14ac:dyDescent="0.2">
      <c r="R13995" s="1288"/>
    </row>
    <row r="13996" spans="18:18" s="2" customFormat="1" ht="12.75" x14ac:dyDescent="0.2">
      <c r="R13996" s="1288"/>
    </row>
    <row r="13997" spans="18:18" s="2" customFormat="1" ht="12.75" x14ac:dyDescent="0.2">
      <c r="R13997" s="1288"/>
    </row>
    <row r="13998" spans="18:18" s="2" customFormat="1" ht="12.75" x14ac:dyDescent="0.2">
      <c r="R13998" s="1288"/>
    </row>
    <row r="13999" spans="18:18" s="2" customFormat="1" ht="12.75" x14ac:dyDescent="0.2">
      <c r="R13999" s="1288"/>
    </row>
    <row r="14000" spans="18:18" s="2" customFormat="1" ht="12.75" x14ac:dyDescent="0.2">
      <c r="R14000" s="1288"/>
    </row>
    <row r="14001" spans="18:18" s="2" customFormat="1" ht="12.75" x14ac:dyDescent="0.2">
      <c r="R14001" s="1288"/>
    </row>
    <row r="14002" spans="18:18" s="2" customFormat="1" ht="12.75" x14ac:dyDescent="0.2">
      <c r="R14002" s="1288"/>
    </row>
    <row r="14003" spans="18:18" s="2" customFormat="1" ht="12.75" x14ac:dyDescent="0.2">
      <c r="R14003" s="1288"/>
    </row>
    <row r="14004" spans="18:18" s="2" customFormat="1" ht="12.75" x14ac:dyDescent="0.2">
      <c r="R14004" s="1288"/>
    </row>
    <row r="14005" spans="18:18" s="2" customFormat="1" ht="12.75" x14ac:dyDescent="0.2">
      <c r="R14005" s="1288"/>
    </row>
    <row r="14006" spans="18:18" s="2" customFormat="1" ht="12.75" x14ac:dyDescent="0.2">
      <c r="R14006" s="1288"/>
    </row>
    <row r="14007" spans="18:18" s="2" customFormat="1" ht="12.75" x14ac:dyDescent="0.2">
      <c r="R14007" s="1288"/>
    </row>
    <row r="14008" spans="18:18" s="2" customFormat="1" ht="12.75" x14ac:dyDescent="0.2">
      <c r="R14008" s="1288"/>
    </row>
    <row r="14009" spans="18:18" s="2" customFormat="1" ht="12.75" x14ac:dyDescent="0.2">
      <c r="R14009" s="1288"/>
    </row>
    <row r="14010" spans="18:18" s="2" customFormat="1" ht="12.75" x14ac:dyDescent="0.2">
      <c r="R14010" s="1288"/>
    </row>
    <row r="14011" spans="18:18" s="2" customFormat="1" ht="12.75" x14ac:dyDescent="0.2">
      <c r="R14011" s="1288"/>
    </row>
    <row r="14012" spans="18:18" s="2" customFormat="1" ht="12.75" x14ac:dyDescent="0.2">
      <c r="R14012" s="1288"/>
    </row>
    <row r="14013" spans="18:18" s="2" customFormat="1" ht="12.75" x14ac:dyDescent="0.2">
      <c r="R14013" s="1288"/>
    </row>
    <row r="14014" spans="18:18" s="2" customFormat="1" ht="12.75" x14ac:dyDescent="0.2">
      <c r="R14014" s="1288"/>
    </row>
    <row r="14015" spans="18:18" s="2" customFormat="1" ht="12.75" x14ac:dyDescent="0.2">
      <c r="R14015" s="1288"/>
    </row>
    <row r="14016" spans="18:18" s="2" customFormat="1" ht="12.75" x14ac:dyDescent="0.2">
      <c r="R14016" s="1288"/>
    </row>
    <row r="14017" spans="18:18" s="2" customFormat="1" ht="12.75" x14ac:dyDescent="0.2">
      <c r="R14017" s="1288"/>
    </row>
    <row r="14018" spans="18:18" s="2" customFormat="1" ht="12.75" x14ac:dyDescent="0.2">
      <c r="R14018" s="1288"/>
    </row>
    <row r="14019" spans="18:18" s="2" customFormat="1" ht="12.75" x14ac:dyDescent="0.2">
      <c r="R14019" s="1288"/>
    </row>
    <row r="14020" spans="18:18" s="2" customFormat="1" ht="12.75" x14ac:dyDescent="0.2">
      <c r="R14020" s="1288"/>
    </row>
    <row r="14021" spans="18:18" s="2" customFormat="1" ht="12.75" x14ac:dyDescent="0.2">
      <c r="R14021" s="1288"/>
    </row>
    <row r="14022" spans="18:18" s="2" customFormat="1" ht="12.75" x14ac:dyDescent="0.2">
      <c r="R14022" s="1288"/>
    </row>
    <row r="14023" spans="18:18" s="2" customFormat="1" ht="12.75" x14ac:dyDescent="0.2">
      <c r="R14023" s="1288"/>
    </row>
    <row r="14024" spans="18:18" s="2" customFormat="1" ht="12.75" x14ac:dyDescent="0.2">
      <c r="R14024" s="1288"/>
    </row>
    <row r="14025" spans="18:18" s="2" customFormat="1" ht="12.75" x14ac:dyDescent="0.2">
      <c r="R14025" s="1288"/>
    </row>
    <row r="14026" spans="18:18" s="2" customFormat="1" ht="12.75" x14ac:dyDescent="0.2">
      <c r="R14026" s="1288"/>
    </row>
    <row r="14027" spans="18:18" s="2" customFormat="1" ht="12.75" x14ac:dyDescent="0.2">
      <c r="R14027" s="1288"/>
    </row>
    <row r="14028" spans="18:18" s="2" customFormat="1" ht="12.75" x14ac:dyDescent="0.2">
      <c r="R14028" s="1288"/>
    </row>
    <row r="14029" spans="18:18" s="2" customFormat="1" ht="12.75" x14ac:dyDescent="0.2">
      <c r="R14029" s="1288"/>
    </row>
    <row r="14030" spans="18:18" s="2" customFormat="1" ht="12.75" x14ac:dyDescent="0.2">
      <c r="R14030" s="1288"/>
    </row>
    <row r="14031" spans="18:18" s="2" customFormat="1" ht="12.75" x14ac:dyDescent="0.2">
      <c r="R14031" s="1288"/>
    </row>
    <row r="14032" spans="18:18" s="2" customFormat="1" ht="12.75" x14ac:dyDescent="0.2">
      <c r="R14032" s="1288"/>
    </row>
    <row r="14033" spans="18:18" s="2" customFormat="1" ht="12.75" x14ac:dyDescent="0.2">
      <c r="R14033" s="1288"/>
    </row>
    <row r="14034" spans="18:18" s="2" customFormat="1" ht="12.75" x14ac:dyDescent="0.2">
      <c r="R14034" s="1288"/>
    </row>
    <row r="14035" spans="18:18" s="2" customFormat="1" ht="12.75" x14ac:dyDescent="0.2">
      <c r="R14035" s="1288"/>
    </row>
    <row r="14036" spans="18:18" s="2" customFormat="1" ht="12.75" x14ac:dyDescent="0.2">
      <c r="R14036" s="1288"/>
    </row>
    <row r="14037" spans="18:18" s="2" customFormat="1" ht="12.75" x14ac:dyDescent="0.2">
      <c r="R14037" s="1288"/>
    </row>
    <row r="14038" spans="18:18" s="2" customFormat="1" ht="12.75" x14ac:dyDescent="0.2">
      <c r="R14038" s="1288"/>
    </row>
    <row r="14039" spans="18:18" s="2" customFormat="1" ht="12.75" x14ac:dyDescent="0.2">
      <c r="R14039" s="1288"/>
    </row>
    <row r="14040" spans="18:18" s="2" customFormat="1" ht="12.75" x14ac:dyDescent="0.2">
      <c r="R14040" s="1288"/>
    </row>
    <row r="14041" spans="18:18" s="2" customFormat="1" ht="12.75" x14ac:dyDescent="0.2">
      <c r="R14041" s="1288"/>
    </row>
    <row r="14042" spans="18:18" s="2" customFormat="1" ht="12.75" x14ac:dyDescent="0.2">
      <c r="R14042" s="1288"/>
    </row>
    <row r="14043" spans="18:18" s="2" customFormat="1" ht="12.75" x14ac:dyDescent="0.2">
      <c r="R14043" s="1288"/>
    </row>
    <row r="14044" spans="18:18" s="2" customFormat="1" ht="12.75" x14ac:dyDescent="0.2">
      <c r="R14044" s="1288"/>
    </row>
    <row r="14045" spans="18:18" s="2" customFormat="1" ht="12.75" x14ac:dyDescent="0.2">
      <c r="R14045" s="1288"/>
    </row>
    <row r="14046" spans="18:18" s="2" customFormat="1" ht="12.75" x14ac:dyDescent="0.2">
      <c r="R14046" s="1288"/>
    </row>
    <row r="14047" spans="18:18" s="2" customFormat="1" ht="12.75" x14ac:dyDescent="0.2">
      <c r="R14047" s="1288"/>
    </row>
    <row r="14048" spans="18:18" s="2" customFormat="1" ht="12.75" x14ac:dyDescent="0.2">
      <c r="R14048" s="1288"/>
    </row>
    <row r="14049" spans="18:18" s="2" customFormat="1" ht="12.75" x14ac:dyDescent="0.2">
      <c r="R14049" s="1288"/>
    </row>
    <row r="14050" spans="18:18" s="2" customFormat="1" ht="12.75" x14ac:dyDescent="0.2">
      <c r="R14050" s="1288"/>
    </row>
    <row r="14051" spans="18:18" s="2" customFormat="1" ht="12.75" x14ac:dyDescent="0.2">
      <c r="R14051" s="1288"/>
    </row>
    <row r="14052" spans="18:18" s="2" customFormat="1" ht="12.75" x14ac:dyDescent="0.2">
      <c r="R14052" s="1288"/>
    </row>
    <row r="14053" spans="18:18" s="2" customFormat="1" ht="12.75" x14ac:dyDescent="0.2">
      <c r="R14053" s="1288"/>
    </row>
    <row r="14054" spans="18:18" s="2" customFormat="1" ht="12.75" x14ac:dyDescent="0.2">
      <c r="R14054" s="1288"/>
    </row>
    <row r="14055" spans="18:18" s="2" customFormat="1" ht="12.75" x14ac:dyDescent="0.2">
      <c r="R14055" s="1288"/>
    </row>
    <row r="14056" spans="18:18" s="2" customFormat="1" ht="12.75" x14ac:dyDescent="0.2">
      <c r="R14056" s="1288"/>
    </row>
    <row r="14057" spans="18:18" s="2" customFormat="1" ht="12.75" x14ac:dyDescent="0.2">
      <c r="R14057" s="1288"/>
    </row>
    <row r="14058" spans="18:18" s="2" customFormat="1" ht="12.75" x14ac:dyDescent="0.2">
      <c r="R14058" s="1288"/>
    </row>
    <row r="14059" spans="18:18" s="2" customFormat="1" ht="12.75" x14ac:dyDescent="0.2">
      <c r="R14059" s="1288"/>
    </row>
    <row r="14060" spans="18:18" s="2" customFormat="1" ht="12.75" x14ac:dyDescent="0.2">
      <c r="R14060" s="1288"/>
    </row>
    <row r="14061" spans="18:18" s="2" customFormat="1" ht="12.75" x14ac:dyDescent="0.2">
      <c r="R14061" s="1288"/>
    </row>
    <row r="14062" spans="18:18" s="2" customFormat="1" ht="12.75" x14ac:dyDescent="0.2">
      <c r="R14062" s="1288"/>
    </row>
    <row r="14063" spans="18:18" s="2" customFormat="1" ht="12.75" x14ac:dyDescent="0.2">
      <c r="R14063" s="1288"/>
    </row>
    <row r="14064" spans="18:18" s="2" customFormat="1" ht="12.75" x14ac:dyDescent="0.2">
      <c r="R14064" s="1288"/>
    </row>
    <row r="14065" spans="18:18" s="2" customFormat="1" ht="12.75" x14ac:dyDescent="0.2">
      <c r="R14065" s="1288"/>
    </row>
    <row r="14066" spans="18:18" s="2" customFormat="1" ht="12.75" x14ac:dyDescent="0.2">
      <c r="R14066" s="1288"/>
    </row>
    <row r="14067" spans="18:18" s="2" customFormat="1" ht="12.75" x14ac:dyDescent="0.2">
      <c r="R14067" s="1288"/>
    </row>
    <row r="14068" spans="18:18" s="2" customFormat="1" ht="12.75" x14ac:dyDescent="0.2">
      <c r="R14068" s="1288"/>
    </row>
    <row r="14069" spans="18:18" s="2" customFormat="1" ht="12.75" x14ac:dyDescent="0.2">
      <c r="R14069" s="1288"/>
    </row>
    <row r="14070" spans="18:18" s="2" customFormat="1" ht="12.75" x14ac:dyDescent="0.2">
      <c r="R14070" s="1288"/>
    </row>
    <row r="14071" spans="18:18" s="2" customFormat="1" ht="12.75" x14ac:dyDescent="0.2">
      <c r="R14071" s="1288"/>
    </row>
    <row r="14072" spans="18:18" s="2" customFormat="1" ht="12.75" x14ac:dyDescent="0.2">
      <c r="R14072" s="1288"/>
    </row>
    <row r="14073" spans="18:18" s="2" customFormat="1" ht="12.75" x14ac:dyDescent="0.2">
      <c r="R14073" s="1288"/>
    </row>
    <row r="14074" spans="18:18" s="2" customFormat="1" ht="12.75" x14ac:dyDescent="0.2">
      <c r="R14074" s="1288"/>
    </row>
    <row r="14075" spans="18:18" s="2" customFormat="1" ht="12.75" x14ac:dyDescent="0.2">
      <c r="R14075" s="1288"/>
    </row>
    <row r="14076" spans="18:18" s="2" customFormat="1" ht="12.75" x14ac:dyDescent="0.2">
      <c r="R14076" s="1288"/>
    </row>
    <row r="14077" spans="18:18" s="2" customFormat="1" ht="12.75" x14ac:dyDescent="0.2">
      <c r="R14077" s="1288"/>
    </row>
    <row r="14078" spans="18:18" s="2" customFormat="1" ht="12.75" x14ac:dyDescent="0.2">
      <c r="R14078" s="1288"/>
    </row>
    <row r="14079" spans="18:18" s="2" customFormat="1" ht="12.75" x14ac:dyDescent="0.2">
      <c r="R14079" s="1288"/>
    </row>
    <row r="14080" spans="18:18" s="2" customFormat="1" ht="12.75" x14ac:dyDescent="0.2">
      <c r="R14080" s="1288"/>
    </row>
    <row r="14081" spans="18:18" s="2" customFormat="1" ht="12.75" x14ac:dyDescent="0.2">
      <c r="R14081" s="1288"/>
    </row>
    <row r="14082" spans="18:18" s="2" customFormat="1" ht="12.75" x14ac:dyDescent="0.2">
      <c r="R14082" s="1288"/>
    </row>
    <row r="14083" spans="18:18" s="2" customFormat="1" ht="12.75" x14ac:dyDescent="0.2">
      <c r="R14083" s="1288"/>
    </row>
    <row r="14084" spans="18:18" s="2" customFormat="1" ht="12.75" x14ac:dyDescent="0.2">
      <c r="R14084" s="1288"/>
    </row>
    <row r="14085" spans="18:18" s="2" customFormat="1" ht="12.75" x14ac:dyDescent="0.2">
      <c r="R14085" s="1288"/>
    </row>
    <row r="14086" spans="18:18" s="2" customFormat="1" ht="12.75" x14ac:dyDescent="0.2">
      <c r="R14086" s="1288"/>
    </row>
    <row r="14087" spans="18:18" s="2" customFormat="1" ht="12.75" x14ac:dyDescent="0.2">
      <c r="R14087" s="1288"/>
    </row>
    <row r="14088" spans="18:18" s="2" customFormat="1" ht="12.75" x14ac:dyDescent="0.2">
      <c r="R14088" s="1288"/>
    </row>
    <row r="14089" spans="18:18" s="2" customFormat="1" ht="12.75" x14ac:dyDescent="0.2">
      <c r="R14089" s="1288"/>
    </row>
    <row r="14090" spans="18:18" s="2" customFormat="1" ht="12.75" x14ac:dyDescent="0.2">
      <c r="R14090" s="1288"/>
    </row>
    <row r="14091" spans="18:18" s="2" customFormat="1" ht="12.75" x14ac:dyDescent="0.2">
      <c r="R14091" s="1288"/>
    </row>
    <row r="14092" spans="18:18" s="2" customFormat="1" ht="12.75" x14ac:dyDescent="0.2">
      <c r="R14092" s="1288"/>
    </row>
    <row r="14093" spans="18:18" s="2" customFormat="1" ht="12.75" x14ac:dyDescent="0.2">
      <c r="R14093" s="1288"/>
    </row>
    <row r="14094" spans="18:18" s="2" customFormat="1" ht="12.75" x14ac:dyDescent="0.2">
      <c r="R14094" s="1288"/>
    </row>
    <row r="14095" spans="18:18" s="2" customFormat="1" ht="12.75" x14ac:dyDescent="0.2">
      <c r="R14095" s="1288"/>
    </row>
    <row r="14096" spans="18:18" s="2" customFormat="1" ht="12.75" x14ac:dyDescent="0.2">
      <c r="R14096" s="1288"/>
    </row>
    <row r="14097" spans="18:18" s="2" customFormat="1" ht="12.75" x14ac:dyDescent="0.2">
      <c r="R14097" s="1288"/>
    </row>
    <row r="14098" spans="18:18" s="2" customFormat="1" ht="12.75" x14ac:dyDescent="0.2">
      <c r="R14098" s="1288"/>
    </row>
    <row r="14099" spans="18:18" s="2" customFormat="1" ht="12.75" x14ac:dyDescent="0.2">
      <c r="R14099" s="1288"/>
    </row>
    <row r="14100" spans="18:18" s="2" customFormat="1" ht="12.75" x14ac:dyDescent="0.2">
      <c r="R14100" s="1288"/>
    </row>
    <row r="14101" spans="18:18" s="2" customFormat="1" ht="12.75" x14ac:dyDescent="0.2">
      <c r="R14101" s="1288"/>
    </row>
    <row r="14102" spans="18:18" s="2" customFormat="1" ht="12.75" x14ac:dyDescent="0.2">
      <c r="R14102" s="1288"/>
    </row>
    <row r="14103" spans="18:18" s="2" customFormat="1" ht="12.75" x14ac:dyDescent="0.2">
      <c r="R14103" s="1288"/>
    </row>
    <row r="14104" spans="18:18" s="2" customFormat="1" ht="12.75" x14ac:dyDescent="0.2">
      <c r="R14104" s="1288"/>
    </row>
    <row r="14105" spans="18:18" s="2" customFormat="1" ht="12.75" x14ac:dyDescent="0.2">
      <c r="R14105" s="1288"/>
    </row>
    <row r="14106" spans="18:18" s="2" customFormat="1" ht="12.75" x14ac:dyDescent="0.2">
      <c r="R14106" s="1288"/>
    </row>
    <row r="14107" spans="18:18" s="2" customFormat="1" ht="12.75" x14ac:dyDescent="0.2">
      <c r="R14107" s="1288"/>
    </row>
    <row r="14108" spans="18:18" s="2" customFormat="1" ht="12.75" x14ac:dyDescent="0.2">
      <c r="R14108" s="1288"/>
    </row>
    <row r="14109" spans="18:18" s="2" customFormat="1" ht="12.75" x14ac:dyDescent="0.2">
      <c r="R14109" s="1288"/>
    </row>
    <row r="14110" spans="18:18" s="2" customFormat="1" ht="12.75" x14ac:dyDescent="0.2">
      <c r="R14110" s="1288"/>
    </row>
    <row r="14111" spans="18:18" s="2" customFormat="1" ht="12.75" x14ac:dyDescent="0.2">
      <c r="R14111" s="1288"/>
    </row>
    <row r="14112" spans="18:18" s="2" customFormat="1" ht="12.75" x14ac:dyDescent="0.2">
      <c r="R14112" s="1288"/>
    </row>
    <row r="14113" spans="18:18" s="2" customFormat="1" ht="12.75" x14ac:dyDescent="0.2">
      <c r="R14113" s="1288"/>
    </row>
    <row r="14114" spans="18:18" s="2" customFormat="1" ht="12.75" x14ac:dyDescent="0.2">
      <c r="R14114" s="1288"/>
    </row>
    <row r="14115" spans="18:18" s="2" customFormat="1" ht="12.75" x14ac:dyDescent="0.2">
      <c r="R14115" s="1288"/>
    </row>
    <row r="14116" spans="18:18" s="2" customFormat="1" ht="12.75" x14ac:dyDescent="0.2">
      <c r="R14116" s="1288"/>
    </row>
    <row r="14117" spans="18:18" s="2" customFormat="1" ht="12.75" x14ac:dyDescent="0.2">
      <c r="R14117" s="1288"/>
    </row>
    <row r="14118" spans="18:18" s="2" customFormat="1" ht="12.75" x14ac:dyDescent="0.2">
      <c r="R14118" s="1288"/>
    </row>
    <row r="14119" spans="18:18" s="2" customFormat="1" ht="12.75" x14ac:dyDescent="0.2">
      <c r="R14119" s="1288"/>
    </row>
    <row r="14120" spans="18:18" s="2" customFormat="1" ht="12.75" x14ac:dyDescent="0.2">
      <c r="R14120" s="1288"/>
    </row>
    <row r="14121" spans="18:18" s="2" customFormat="1" ht="12.75" x14ac:dyDescent="0.2">
      <c r="R14121" s="1288"/>
    </row>
    <row r="14122" spans="18:18" s="2" customFormat="1" ht="12.75" x14ac:dyDescent="0.2">
      <c r="R14122" s="1288"/>
    </row>
    <row r="14123" spans="18:18" s="2" customFormat="1" ht="12.75" x14ac:dyDescent="0.2">
      <c r="R14123" s="1288"/>
    </row>
    <row r="14124" spans="18:18" s="2" customFormat="1" ht="12.75" x14ac:dyDescent="0.2">
      <c r="R14124" s="1288"/>
    </row>
    <row r="14125" spans="18:18" s="2" customFormat="1" ht="12.75" x14ac:dyDescent="0.2">
      <c r="R14125" s="1288"/>
    </row>
    <row r="14126" spans="18:18" s="2" customFormat="1" ht="12.75" x14ac:dyDescent="0.2">
      <c r="R14126" s="1288"/>
    </row>
    <row r="14127" spans="18:18" s="2" customFormat="1" ht="12.75" x14ac:dyDescent="0.2">
      <c r="R14127" s="1288"/>
    </row>
    <row r="14128" spans="18:18" s="2" customFormat="1" ht="12.75" x14ac:dyDescent="0.2">
      <c r="R14128" s="1288"/>
    </row>
    <row r="14129" spans="18:18" s="2" customFormat="1" ht="12.75" x14ac:dyDescent="0.2">
      <c r="R14129" s="1288"/>
    </row>
    <row r="14130" spans="18:18" s="2" customFormat="1" ht="12.75" x14ac:dyDescent="0.2">
      <c r="R14130" s="1288"/>
    </row>
    <row r="14131" spans="18:18" s="2" customFormat="1" ht="12.75" x14ac:dyDescent="0.2">
      <c r="R14131" s="1288"/>
    </row>
    <row r="14132" spans="18:18" s="2" customFormat="1" ht="12.75" x14ac:dyDescent="0.2">
      <c r="R14132" s="1288"/>
    </row>
    <row r="14133" spans="18:18" s="2" customFormat="1" ht="12.75" x14ac:dyDescent="0.2">
      <c r="R14133" s="1288"/>
    </row>
    <row r="14134" spans="18:18" s="2" customFormat="1" ht="12.75" x14ac:dyDescent="0.2">
      <c r="R14134" s="1288"/>
    </row>
    <row r="14135" spans="18:18" s="2" customFormat="1" ht="12.75" x14ac:dyDescent="0.2">
      <c r="R14135" s="1288"/>
    </row>
    <row r="14136" spans="18:18" s="2" customFormat="1" ht="12.75" x14ac:dyDescent="0.2">
      <c r="R14136" s="1288"/>
    </row>
    <row r="14137" spans="18:18" s="2" customFormat="1" ht="12.75" x14ac:dyDescent="0.2">
      <c r="R14137" s="1288"/>
    </row>
    <row r="14138" spans="18:18" s="2" customFormat="1" ht="12.75" x14ac:dyDescent="0.2">
      <c r="R14138" s="1288"/>
    </row>
    <row r="14139" spans="18:18" s="2" customFormat="1" ht="12.75" x14ac:dyDescent="0.2">
      <c r="R14139" s="1288"/>
    </row>
    <row r="14140" spans="18:18" s="2" customFormat="1" ht="12.75" x14ac:dyDescent="0.2">
      <c r="R14140" s="1288"/>
    </row>
    <row r="14141" spans="18:18" s="2" customFormat="1" ht="12.75" x14ac:dyDescent="0.2">
      <c r="R14141" s="1288"/>
    </row>
    <row r="14142" spans="18:18" s="2" customFormat="1" ht="12.75" x14ac:dyDescent="0.2">
      <c r="R14142" s="1288"/>
    </row>
    <row r="14143" spans="18:18" s="2" customFormat="1" ht="12.75" x14ac:dyDescent="0.2">
      <c r="R14143" s="1288"/>
    </row>
    <row r="14144" spans="18:18" s="2" customFormat="1" ht="12.75" x14ac:dyDescent="0.2">
      <c r="R14144" s="1288"/>
    </row>
    <row r="14145" spans="18:18" s="2" customFormat="1" ht="12.75" x14ac:dyDescent="0.2">
      <c r="R14145" s="1288"/>
    </row>
    <row r="14146" spans="18:18" s="2" customFormat="1" ht="12.75" x14ac:dyDescent="0.2">
      <c r="R14146" s="1288"/>
    </row>
    <row r="14147" spans="18:18" s="2" customFormat="1" ht="12.75" x14ac:dyDescent="0.2">
      <c r="R14147" s="1288"/>
    </row>
    <row r="14148" spans="18:18" s="2" customFormat="1" ht="12.75" x14ac:dyDescent="0.2">
      <c r="R14148" s="1288"/>
    </row>
    <row r="14149" spans="18:18" s="2" customFormat="1" ht="12.75" x14ac:dyDescent="0.2">
      <c r="R14149" s="1288"/>
    </row>
    <row r="14150" spans="18:18" s="2" customFormat="1" ht="12.75" x14ac:dyDescent="0.2">
      <c r="R14150" s="1288"/>
    </row>
    <row r="14151" spans="18:18" s="2" customFormat="1" ht="12.75" x14ac:dyDescent="0.2">
      <c r="R14151" s="1288"/>
    </row>
    <row r="14152" spans="18:18" s="2" customFormat="1" ht="12.75" x14ac:dyDescent="0.2">
      <c r="R14152" s="1288"/>
    </row>
    <row r="14153" spans="18:18" s="2" customFormat="1" ht="12.75" x14ac:dyDescent="0.2">
      <c r="R14153" s="1288"/>
    </row>
    <row r="14154" spans="18:18" s="2" customFormat="1" ht="12.75" x14ac:dyDescent="0.2">
      <c r="R14154" s="1288"/>
    </row>
    <row r="14155" spans="18:18" s="2" customFormat="1" ht="12.75" x14ac:dyDescent="0.2">
      <c r="R14155" s="1288"/>
    </row>
    <row r="14156" spans="18:18" s="2" customFormat="1" ht="12.75" x14ac:dyDescent="0.2">
      <c r="R14156" s="1288"/>
    </row>
    <row r="14157" spans="18:18" s="2" customFormat="1" ht="12.75" x14ac:dyDescent="0.2">
      <c r="R14157" s="1288"/>
    </row>
    <row r="14158" spans="18:18" s="2" customFormat="1" ht="12.75" x14ac:dyDescent="0.2">
      <c r="R14158" s="1288"/>
    </row>
    <row r="14159" spans="18:18" s="2" customFormat="1" ht="12.75" x14ac:dyDescent="0.2">
      <c r="R14159" s="1288"/>
    </row>
    <row r="14160" spans="18:18" s="2" customFormat="1" ht="12.75" x14ac:dyDescent="0.2">
      <c r="R14160" s="1288"/>
    </row>
    <row r="14161" spans="18:18" s="2" customFormat="1" ht="12.75" x14ac:dyDescent="0.2">
      <c r="R14161" s="1288"/>
    </row>
    <row r="14162" spans="18:18" s="2" customFormat="1" ht="12.75" x14ac:dyDescent="0.2">
      <c r="R14162" s="1288"/>
    </row>
    <row r="14163" spans="18:18" s="2" customFormat="1" ht="12.75" x14ac:dyDescent="0.2">
      <c r="R14163" s="1288"/>
    </row>
    <row r="14164" spans="18:18" s="2" customFormat="1" ht="12.75" x14ac:dyDescent="0.2">
      <c r="R14164" s="1288"/>
    </row>
    <row r="14165" spans="18:18" s="2" customFormat="1" ht="12.75" x14ac:dyDescent="0.2">
      <c r="R14165" s="1288"/>
    </row>
    <row r="14166" spans="18:18" s="2" customFormat="1" ht="12.75" x14ac:dyDescent="0.2">
      <c r="R14166" s="1288"/>
    </row>
    <row r="14167" spans="18:18" s="2" customFormat="1" ht="12.75" x14ac:dyDescent="0.2">
      <c r="R14167" s="1288"/>
    </row>
    <row r="14168" spans="18:18" s="2" customFormat="1" ht="12.75" x14ac:dyDescent="0.2">
      <c r="R14168" s="1288"/>
    </row>
    <row r="14169" spans="18:18" s="2" customFormat="1" ht="12.75" x14ac:dyDescent="0.2">
      <c r="R14169" s="1288"/>
    </row>
    <row r="14170" spans="18:18" s="2" customFormat="1" ht="12.75" x14ac:dyDescent="0.2">
      <c r="R14170" s="1288"/>
    </row>
    <row r="14171" spans="18:18" s="2" customFormat="1" ht="12.75" x14ac:dyDescent="0.2">
      <c r="R14171" s="1288"/>
    </row>
    <row r="14172" spans="18:18" s="2" customFormat="1" ht="12.75" x14ac:dyDescent="0.2">
      <c r="R14172" s="1288"/>
    </row>
    <row r="14173" spans="18:18" s="2" customFormat="1" ht="12.75" x14ac:dyDescent="0.2">
      <c r="R14173" s="1288"/>
    </row>
    <row r="14174" spans="18:18" s="2" customFormat="1" ht="12.75" x14ac:dyDescent="0.2">
      <c r="R14174" s="1288"/>
    </row>
    <row r="14175" spans="18:18" s="2" customFormat="1" ht="12.75" x14ac:dyDescent="0.2">
      <c r="R14175" s="1288"/>
    </row>
    <row r="14176" spans="18:18" s="2" customFormat="1" ht="12.75" x14ac:dyDescent="0.2">
      <c r="R14176" s="1288"/>
    </row>
    <row r="14177" spans="18:18" s="2" customFormat="1" ht="12.75" x14ac:dyDescent="0.2">
      <c r="R14177" s="1288"/>
    </row>
    <row r="14178" spans="18:18" s="2" customFormat="1" ht="12.75" x14ac:dyDescent="0.2">
      <c r="R14178" s="1288"/>
    </row>
    <row r="14179" spans="18:18" s="2" customFormat="1" ht="12.75" x14ac:dyDescent="0.2">
      <c r="R14179" s="1288"/>
    </row>
    <row r="14180" spans="18:18" s="2" customFormat="1" ht="12.75" x14ac:dyDescent="0.2">
      <c r="R14180" s="1288"/>
    </row>
    <row r="14181" spans="18:18" s="2" customFormat="1" ht="12.75" x14ac:dyDescent="0.2">
      <c r="R14181" s="1288"/>
    </row>
    <row r="14182" spans="18:18" s="2" customFormat="1" ht="12.75" x14ac:dyDescent="0.2">
      <c r="R14182" s="1288"/>
    </row>
    <row r="14183" spans="18:18" s="2" customFormat="1" ht="12.75" x14ac:dyDescent="0.2">
      <c r="R14183" s="1288"/>
    </row>
    <row r="14184" spans="18:18" s="2" customFormat="1" ht="12.75" x14ac:dyDescent="0.2">
      <c r="R14184" s="1288"/>
    </row>
    <row r="14185" spans="18:18" s="2" customFormat="1" ht="12.75" x14ac:dyDescent="0.2">
      <c r="R14185" s="1288"/>
    </row>
    <row r="14186" spans="18:18" s="2" customFormat="1" ht="12.75" x14ac:dyDescent="0.2">
      <c r="R14186" s="1288"/>
    </row>
    <row r="14187" spans="18:18" s="2" customFormat="1" ht="12.75" x14ac:dyDescent="0.2">
      <c r="R14187" s="1288"/>
    </row>
    <row r="14188" spans="18:18" s="2" customFormat="1" ht="12.75" x14ac:dyDescent="0.2">
      <c r="R14188" s="1288"/>
    </row>
    <row r="14189" spans="18:18" s="2" customFormat="1" ht="12.75" x14ac:dyDescent="0.2">
      <c r="R14189" s="1288"/>
    </row>
    <row r="14190" spans="18:18" s="2" customFormat="1" ht="12.75" x14ac:dyDescent="0.2">
      <c r="R14190" s="1288"/>
    </row>
    <row r="14191" spans="18:18" s="2" customFormat="1" ht="12.75" x14ac:dyDescent="0.2">
      <c r="R14191" s="1288"/>
    </row>
    <row r="14192" spans="18:18" s="2" customFormat="1" ht="12.75" x14ac:dyDescent="0.2">
      <c r="R14192" s="1288"/>
    </row>
    <row r="14193" spans="18:18" s="2" customFormat="1" ht="12.75" x14ac:dyDescent="0.2">
      <c r="R14193" s="1288"/>
    </row>
    <row r="14194" spans="18:18" s="2" customFormat="1" ht="12.75" x14ac:dyDescent="0.2">
      <c r="R14194" s="1288"/>
    </row>
    <row r="14195" spans="18:18" s="2" customFormat="1" ht="12.75" x14ac:dyDescent="0.2">
      <c r="R14195" s="1288"/>
    </row>
    <row r="14196" spans="18:18" s="2" customFormat="1" ht="12.75" x14ac:dyDescent="0.2">
      <c r="R14196" s="1288"/>
    </row>
    <row r="14197" spans="18:18" s="2" customFormat="1" ht="12.75" x14ac:dyDescent="0.2">
      <c r="R14197" s="1288"/>
    </row>
    <row r="14198" spans="18:18" s="2" customFormat="1" ht="12.75" x14ac:dyDescent="0.2">
      <c r="R14198" s="1288"/>
    </row>
    <row r="14199" spans="18:18" s="2" customFormat="1" ht="12.75" x14ac:dyDescent="0.2">
      <c r="R14199" s="1288"/>
    </row>
    <row r="14200" spans="18:18" s="2" customFormat="1" ht="12.75" x14ac:dyDescent="0.2">
      <c r="R14200" s="1288"/>
    </row>
    <row r="14201" spans="18:18" s="2" customFormat="1" ht="12.75" x14ac:dyDescent="0.2">
      <c r="R14201" s="1288"/>
    </row>
    <row r="14202" spans="18:18" s="2" customFormat="1" ht="12.75" x14ac:dyDescent="0.2">
      <c r="R14202" s="1288"/>
    </row>
    <row r="14203" spans="18:18" s="2" customFormat="1" ht="12.75" x14ac:dyDescent="0.2">
      <c r="R14203" s="1288"/>
    </row>
    <row r="14204" spans="18:18" s="2" customFormat="1" ht="12.75" x14ac:dyDescent="0.2">
      <c r="R14204" s="1288"/>
    </row>
    <row r="14205" spans="18:18" s="2" customFormat="1" ht="12.75" x14ac:dyDescent="0.2">
      <c r="R14205" s="1288"/>
    </row>
    <row r="14206" spans="18:18" s="2" customFormat="1" ht="12.75" x14ac:dyDescent="0.2">
      <c r="R14206" s="1288"/>
    </row>
    <row r="14207" spans="18:18" s="2" customFormat="1" ht="12.75" x14ac:dyDescent="0.2">
      <c r="R14207" s="1288"/>
    </row>
    <row r="14208" spans="18:18" s="2" customFormat="1" ht="12.75" x14ac:dyDescent="0.2">
      <c r="R14208" s="1288"/>
    </row>
    <row r="14209" spans="18:18" s="2" customFormat="1" ht="12.75" x14ac:dyDescent="0.2">
      <c r="R14209" s="1288"/>
    </row>
    <row r="14210" spans="18:18" s="2" customFormat="1" ht="12.75" x14ac:dyDescent="0.2">
      <c r="R14210" s="1288"/>
    </row>
    <row r="14211" spans="18:18" s="2" customFormat="1" ht="12.75" x14ac:dyDescent="0.2">
      <c r="R14211" s="1288"/>
    </row>
    <row r="14212" spans="18:18" s="2" customFormat="1" ht="12.75" x14ac:dyDescent="0.2">
      <c r="R14212" s="1288"/>
    </row>
    <row r="14213" spans="18:18" s="2" customFormat="1" ht="12.75" x14ac:dyDescent="0.2">
      <c r="R14213" s="1288"/>
    </row>
    <row r="14214" spans="18:18" s="2" customFormat="1" ht="12.75" x14ac:dyDescent="0.2">
      <c r="R14214" s="1288"/>
    </row>
    <row r="14215" spans="18:18" s="2" customFormat="1" ht="12.75" x14ac:dyDescent="0.2">
      <c r="R14215" s="1288"/>
    </row>
    <row r="14216" spans="18:18" s="2" customFormat="1" ht="12.75" x14ac:dyDescent="0.2">
      <c r="R14216" s="1288"/>
    </row>
    <row r="14217" spans="18:18" s="2" customFormat="1" ht="12.75" x14ac:dyDescent="0.2">
      <c r="R14217" s="1288"/>
    </row>
    <row r="14218" spans="18:18" s="2" customFormat="1" ht="12.75" x14ac:dyDescent="0.2">
      <c r="R14218" s="1288"/>
    </row>
    <row r="14219" spans="18:18" s="2" customFormat="1" ht="12.75" x14ac:dyDescent="0.2">
      <c r="R14219" s="1288"/>
    </row>
    <row r="14220" spans="18:18" s="2" customFormat="1" ht="12.75" x14ac:dyDescent="0.2">
      <c r="R14220" s="1288"/>
    </row>
    <row r="14221" spans="18:18" s="2" customFormat="1" ht="12.75" x14ac:dyDescent="0.2">
      <c r="R14221" s="1288"/>
    </row>
    <row r="14222" spans="18:18" s="2" customFormat="1" ht="12.75" x14ac:dyDescent="0.2">
      <c r="R14222" s="1288"/>
    </row>
    <row r="14223" spans="18:18" s="2" customFormat="1" ht="12.75" x14ac:dyDescent="0.2">
      <c r="R14223" s="1288"/>
    </row>
    <row r="14224" spans="18:18" s="2" customFormat="1" ht="12.75" x14ac:dyDescent="0.2">
      <c r="R14224" s="1288"/>
    </row>
    <row r="14225" spans="18:18" s="2" customFormat="1" ht="12.75" x14ac:dyDescent="0.2">
      <c r="R14225" s="1288"/>
    </row>
    <row r="14226" spans="18:18" s="2" customFormat="1" ht="12.75" x14ac:dyDescent="0.2">
      <c r="R14226" s="1288"/>
    </row>
    <row r="14227" spans="18:18" s="2" customFormat="1" ht="12.75" x14ac:dyDescent="0.2">
      <c r="R14227" s="1288"/>
    </row>
    <row r="14228" spans="18:18" s="2" customFormat="1" ht="12.75" x14ac:dyDescent="0.2">
      <c r="R14228" s="1288"/>
    </row>
    <row r="14229" spans="18:18" s="2" customFormat="1" ht="12.75" x14ac:dyDescent="0.2">
      <c r="R14229" s="1288"/>
    </row>
    <row r="14230" spans="18:18" s="2" customFormat="1" ht="12.75" x14ac:dyDescent="0.2">
      <c r="R14230" s="1288"/>
    </row>
    <row r="14231" spans="18:18" s="2" customFormat="1" ht="12.75" x14ac:dyDescent="0.2">
      <c r="R14231" s="1288"/>
    </row>
    <row r="14232" spans="18:18" s="2" customFormat="1" ht="12.75" x14ac:dyDescent="0.2">
      <c r="R14232" s="1288"/>
    </row>
    <row r="14233" spans="18:18" s="2" customFormat="1" ht="12.75" x14ac:dyDescent="0.2">
      <c r="R14233" s="1288"/>
    </row>
    <row r="14234" spans="18:18" s="2" customFormat="1" ht="12.75" x14ac:dyDescent="0.2">
      <c r="R14234" s="1288"/>
    </row>
    <row r="14235" spans="18:18" s="2" customFormat="1" ht="12.75" x14ac:dyDescent="0.2">
      <c r="R14235" s="1288"/>
    </row>
    <row r="14236" spans="18:18" s="2" customFormat="1" ht="12.75" x14ac:dyDescent="0.2">
      <c r="R14236" s="1288"/>
    </row>
    <row r="14237" spans="18:18" s="2" customFormat="1" ht="12.75" x14ac:dyDescent="0.2">
      <c r="R14237" s="1288"/>
    </row>
    <row r="14238" spans="18:18" s="2" customFormat="1" ht="12.75" x14ac:dyDescent="0.2">
      <c r="R14238" s="1288"/>
    </row>
    <row r="14239" spans="18:18" s="2" customFormat="1" ht="12.75" x14ac:dyDescent="0.2">
      <c r="R14239" s="1288"/>
    </row>
    <row r="14240" spans="18:18" s="2" customFormat="1" ht="12.75" x14ac:dyDescent="0.2">
      <c r="R14240" s="1288"/>
    </row>
    <row r="14241" spans="18:18" s="2" customFormat="1" ht="12.75" x14ac:dyDescent="0.2">
      <c r="R14241" s="1288"/>
    </row>
    <row r="14242" spans="18:18" s="2" customFormat="1" ht="12.75" x14ac:dyDescent="0.2">
      <c r="R14242" s="1288"/>
    </row>
    <row r="14243" spans="18:18" s="2" customFormat="1" ht="12.75" x14ac:dyDescent="0.2">
      <c r="R14243" s="1288"/>
    </row>
    <row r="14244" spans="18:18" s="2" customFormat="1" ht="12.75" x14ac:dyDescent="0.2">
      <c r="R14244" s="1288"/>
    </row>
    <row r="14245" spans="18:18" s="2" customFormat="1" ht="12.75" x14ac:dyDescent="0.2">
      <c r="R14245" s="1288"/>
    </row>
    <row r="14246" spans="18:18" s="2" customFormat="1" ht="12.75" x14ac:dyDescent="0.2">
      <c r="R14246" s="1288"/>
    </row>
    <row r="14247" spans="18:18" s="2" customFormat="1" ht="12.75" x14ac:dyDescent="0.2">
      <c r="R14247" s="1288"/>
    </row>
    <row r="14248" spans="18:18" s="2" customFormat="1" ht="12.75" x14ac:dyDescent="0.2">
      <c r="R14248" s="1288"/>
    </row>
    <row r="14249" spans="18:18" s="2" customFormat="1" ht="12.75" x14ac:dyDescent="0.2">
      <c r="R14249" s="1288"/>
    </row>
    <row r="14250" spans="18:18" s="2" customFormat="1" ht="12.75" x14ac:dyDescent="0.2">
      <c r="R14250" s="1288"/>
    </row>
    <row r="14251" spans="18:18" s="2" customFormat="1" ht="12.75" x14ac:dyDescent="0.2">
      <c r="R14251" s="1288"/>
    </row>
    <row r="14252" spans="18:18" s="2" customFormat="1" ht="12.75" x14ac:dyDescent="0.2">
      <c r="R14252" s="1288"/>
    </row>
    <row r="14253" spans="18:18" s="2" customFormat="1" ht="12.75" x14ac:dyDescent="0.2">
      <c r="R14253" s="1288"/>
    </row>
    <row r="14254" spans="18:18" s="2" customFormat="1" ht="12.75" x14ac:dyDescent="0.2">
      <c r="R14254" s="1288"/>
    </row>
    <row r="14255" spans="18:18" s="2" customFormat="1" ht="12.75" x14ac:dyDescent="0.2">
      <c r="R14255" s="1288"/>
    </row>
    <row r="14256" spans="18:18" s="2" customFormat="1" ht="12.75" x14ac:dyDescent="0.2">
      <c r="R14256" s="1288"/>
    </row>
    <row r="14257" spans="18:18" s="2" customFormat="1" ht="12.75" x14ac:dyDescent="0.2">
      <c r="R14257" s="1288"/>
    </row>
    <row r="14258" spans="18:18" s="2" customFormat="1" ht="12.75" x14ac:dyDescent="0.2">
      <c r="R14258" s="1288"/>
    </row>
    <row r="14259" spans="18:18" s="2" customFormat="1" ht="12.75" x14ac:dyDescent="0.2">
      <c r="R14259" s="1288"/>
    </row>
    <row r="14260" spans="18:18" s="2" customFormat="1" ht="12.75" x14ac:dyDescent="0.2">
      <c r="R14260" s="1288"/>
    </row>
    <row r="14261" spans="18:18" s="2" customFormat="1" ht="12.75" x14ac:dyDescent="0.2">
      <c r="R14261" s="1288"/>
    </row>
    <row r="14262" spans="18:18" s="2" customFormat="1" ht="12.75" x14ac:dyDescent="0.2">
      <c r="R14262" s="1288"/>
    </row>
    <row r="14263" spans="18:18" s="2" customFormat="1" ht="12.75" x14ac:dyDescent="0.2">
      <c r="R14263" s="1288"/>
    </row>
    <row r="14264" spans="18:18" s="2" customFormat="1" ht="12.75" x14ac:dyDescent="0.2">
      <c r="R14264" s="1288"/>
    </row>
    <row r="14265" spans="18:18" s="2" customFormat="1" ht="12.75" x14ac:dyDescent="0.2">
      <c r="R14265" s="1288"/>
    </row>
    <row r="14266" spans="18:18" s="2" customFormat="1" ht="12.75" x14ac:dyDescent="0.2">
      <c r="R14266" s="1288"/>
    </row>
    <row r="14267" spans="18:18" s="2" customFormat="1" ht="12.75" x14ac:dyDescent="0.2">
      <c r="R14267" s="1288"/>
    </row>
    <row r="14268" spans="18:18" s="2" customFormat="1" ht="12.75" x14ac:dyDescent="0.2">
      <c r="R14268" s="1288"/>
    </row>
    <row r="14269" spans="18:18" s="2" customFormat="1" ht="12.75" x14ac:dyDescent="0.2">
      <c r="R14269" s="1288"/>
    </row>
    <row r="14270" spans="18:18" s="2" customFormat="1" ht="12.75" x14ac:dyDescent="0.2">
      <c r="R14270" s="1288"/>
    </row>
    <row r="14271" spans="18:18" s="2" customFormat="1" ht="12.75" x14ac:dyDescent="0.2">
      <c r="R14271" s="1288"/>
    </row>
    <row r="14272" spans="18:18" s="2" customFormat="1" ht="12.75" x14ac:dyDescent="0.2">
      <c r="R14272" s="1288"/>
    </row>
    <row r="14273" spans="18:18" s="2" customFormat="1" ht="12.75" x14ac:dyDescent="0.2">
      <c r="R14273" s="1288"/>
    </row>
    <row r="14274" spans="18:18" s="2" customFormat="1" ht="12.75" x14ac:dyDescent="0.2">
      <c r="R14274" s="1288"/>
    </row>
    <row r="14275" spans="18:18" s="2" customFormat="1" ht="12.75" x14ac:dyDescent="0.2">
      <c r="R14275" s="1288"/>
    </row>
    <row r="14276" spans="18:18" s="2" customFormat="1" ht="12.75" x14ac:dyDescent="0.2">
      <c r="R14276" s="1288"/>
    </row>
    <row r="14277" spans="18:18" s="2" customFormat="1" ht="12.75" x14ac:dyDescent="0.2">
      <c r="R14277" s="1288"/>
    </row>
    <row r="14278" spans="18:18" s="2" customFormat="1" ht="12.75" x14ac:dyDescent="0.2">
      <c r="R14278" s="1288"/>
    </row>
    <row r="14279" spans="18:18" s="2" customFormat="1" ht="12.75" x14ac:dyDescent="0.2">
      <c r="R14279" s="1288"/>
    </row>
    <row r="14280" spans="18:18" s="2" customFormat="1" ht="12.75" x14ac:dyDescent="0.2">
      <c r="R14280" s="1288"/>
    </row>
    <row r="14281" spans="18:18" s="2" customFormat="1" ht="12.75" x14ac:dyDescent="0.2">
      <c r="R14281" s="1288"/>
    </row>
    <row r="14282" spans="18:18" s="2" customFormat="1" ht="12.75" x14ac:dyDescent="0.2">
      <c r="R14282" s="1288"/>
    </row>
    <row r="14283" spans="18:18" s="2" customFormat="1" ht="12.75" x14ac:dyDescent="0.2">
      <c r="R14283" s="1288"/>
    </row>
    <row r="14284" spans="18:18" s="2" customFormat="1" ht="12.75" x14ac:dyDescent="0.2">
      <c r="R14284" s="1288"/>
    </row>
    <row r="14285" spans="18:18" s="2" customFormat="1" ht="12.75" x14ac:dyDescent="0.2">
      <c r="R14285" s="1288"/>
    </row>
    <row r="14286" spans="18:18" s="2" customFormat="1" ht="12.75" x14ac:dyDescent="0.2">
      <c r="R14286" s="1288"/>
    </row>
    <row r="14287" spans="18:18" s="2" customFormat="1" ht="12.75" x14ac:dyDescent="0.2">
      <c r="R14287" s="1288"/>
    </row>
    <row r="14288" spans="18:18" s="2" customFormat="1" ht="12.75" x14ac:dyDescent="0.2">
      <c r="R14288" s="1288"/>
    </row>
    <row r="14289" spans="18:18" s="2" customFormat="1" ht="12.75" x14ac:dyDescent="0.2">
      <c r="R14289" s="1288"/>
    </row>
    <row r="14290" spans="18:18" s="2" customFormat="1" ht="12.75" x14ac:dyDescent="0.2">
      <c r="R14290" s="1288"/>
    </row>
    <row r="14291" spans="18:18" s="2" customFormat="1" ht="12.75" x14ac:dyDescent="0.2">
      <c r="R14291" s="1288"/>
    </row>
    <row r="14292" spans="18:18" s="2" customFormat="1" ht="12.75" x14ac:dyDescent="0.2">
      <c r="R14292" s="1288"/>
    </row>
    <row r="14293" spans="18:18" s="2" customFormat="1" ht="12.75" x14ac:dyDescent="0.2">
      <c r="R14293" s="1288"/>
    </row>
    <row r="14294" spans="18:18" s="2" customFormat="1" ht="12.75" x14ac:dyDescent="0.2">
      <c r="R14294" s="1288"/>
    </row>
    <row r="14295" spans="18:18" s="2" customFormat="1" ht="12.75" x14ac:dyDescent="0.2">
      <c r="R14295" s="1288"/>
    </row>
    <row r="14296" spans="18:18" s="2" customFormat="1" ht="12.75" x14ac:dyDescent="0.2">
      <c r="R14296" s="1288"/>
    </row>
    <row r="14297" spans="18:18" s="2" customFormat="1" ht="12.75" x14ac:dyDescent="0.2">
      <c r="R14297" s="1288"/>
    </row>
    <row r="14298" spans="18:18" s="2" customFormat="1" ht="12.75" x14ac:dyDescent="0.2">
      <c r="R14298" s="1288"/>
    </row>
    <row r="14299" spans="18:18" s="2" customFormat="1" ht="12.75" x14ac:dyDescent="0.2">
      <c r="R14299" s="1288"/>
    </row>
    <row r="14300" spans="18:18" s="2" customFormat="1" ht="12.75" x14ac:dyDescent="0.2">
      <c r="R14300" s="1288"/>
    </row>
    <row r="14301" spans="18:18" s="2" customFormat="1" ht="12.75" x14ac:dyDescent="0.2">
      <c r="R14301" s="1288"/>
    </row>
    <row r="14302" spans="18:18" s="2" customFormat="1" ht="12.75" x14ac:dyDescent="0.2">
      <c r="R14302" s="1288"/>
    </row>
    <row r="14303" spans="18:18" s="2" customFormat="1" ht="12.75" x14ac:dyDescent="0.2">
      <c r="R14303" s="1288"/>
    </row>
    <row r="14304" spans="18:18" s="2" customFormat="1" ht="12.75" x14ac:dyDescent="0.2">
      <c r="R14304" s="1288"/>
    </row>
    <row r="14305" spans="18:18" s="2" customFormat="1" ht="12.75" x14ac:dyDescent="0.2">
      <c r="R14305" s="1288"/>
    </row>
    <row r="14306" spans="18:18" s="2" customFormat="1" ht="12.75" x14ac:dyDescent="0.2">
      <c r="R14306" s="1288"/>
    </row>
    <row r="14307" spans="18:18" s="2" customFormat="1" ht="12.75" x14ac:dyDescent="0.2">
      <c r="R14307" s="1288"/>
    </row>
    <row r="14308" spans="18:18" s="2" customFormat="1" ht="12.75" x14ac:dyDescent="0.2">
      <c r="R14308" s="1288"/>
    </row>
    <row r="14309" spans="18:18" s="2" customFormat="1" ht="12.75" x14ac:dyDescent="0.2">
      <c r="R14309" s="1288"/>
    </row>
    <row r="14310" spans="18:18" s="2" customFormat="1" ht="12.75" x14ac:dyDescent="0.2">
      <c r="R14310" s="1288"/>
    </row>
    <row r="14311" spans="18:18" s="2" customFormat="1" ht="12.75" x14ac:dyDescent="0.2">
      <c r="R14311" s="1288"/>
    </row>
    <row r="14312" spans="18:18" s="2" customFormat="1" ht="12.75" x14ac:dyDescent="0.2">
      <c r="R14312" s="1288"/>
    </row>
    <row r="14313" spans="18:18" s="2" customFormat="1" ht="12.75" x14ac:dyDescent="0.2">
      <c r="R14313" s="1288"/>
    </row>
    <row r="14314" spans="18:18" s="2" customFormat="1" ht="12.75" x14ac:dyDescent="0.2">
      <c r="R14314" s="1288"/>
    </row>
    <row r="14315" spans="18:18" s="2" customFormat="1" ht="12.75" x14ac:dyDescent="0.2">
      <c r="R14315" s="1288"/>
    </row>
    <row r="14316" spans="18:18" s="2" customFormat="1" ht="12.75" x14ac:dyDescent="0.2">
      <c r="R14316" s="1288"/>
    </row>
    <row r="14317" spans="18:18" s="2" customFormat="1" ht="12.75" x14ac:dyDescent="0.2">
      <c r="R14317" s="1288"/>
    </row>
    <row r="14318" spans="18:18" s="2" customFormat="1" ht="12.75" x14ac:dyDescent="0.2">
      <c r="R14318" s="1288"/>
    </row>
    <row r="14319" spans="18:18" s="2" customFormat="1" ht="12.75" x14ac:dyDescent="0.2">
      <c r="R14319" s="1288"/>
    </row>
    <row r="14320" spans="18:18" s="2" customFormat="1" ht="12.75" x14ac:dyDescent="0.2">
      <c r="R14320" s="1288"/>
    </row>
    <row r="14321" spans="18:18" s="2" customFormat="1" ht="12.75" x14ac:dyDescent="0.2">
      <c r="R14321" s="1288"/>
    </row>
    <row r="14322" spans="18:18" s="2" customFormat="1" ht="12.75" x14ac:dyDescent="0.2">
      <c r="R14322" s="1288"/>
    </row>
    <row r="14323" spans="18:18" s="2" customFormat="1" ht="12.75" x14ac:dyDescent="0.2">
      <c r="R14323" s="1288"/>
    </row>
    <row r="14324" spans="18:18" s="2" customFormat="1" ht="12.75" x14ac:dyDescent="0.2">
      <c r="R14324" s="1288"/>
    </row>
    <row r="14325" spans="18:18" s="2" customFormat="1" ht="12.75" x14ac:dyDescent="0.2">
      <c r="R14325" s="1288"/>
    </row>
    <row r="14326" spans="18:18" s="2" customFormat="1" ht="12.75" x14ac:dyDescent="0.2">
      <c r="R14326" s="1288"/>
    </row>
    <row r="14327" spans="18:18" s="2" customFormat="1" ht="12.75" x14ac:dyDescent="0.2">
      <c r="R14327" s="1288"/>
    </row>
    <row r="14328" spans="18:18" s="2" customFormat="1" ht="12.75" x14ac:dyDescent="0.2">
      <c r="R14328" s="1288"/>
    </row>
    <row r="14329" spans="18:18" s="2" customFormat="1" ht="12.75" x14ac:dyDescent="0.2">
      <c r="R14329" s="1288"/>
    </row>
    <row r="14330" spans="18:18" s="2" customFormat="1" ht="12.75" x14ac:dyDescent="0.2">
      <c r="R14330" s="1288"/>
    </row>
    <row r="14331" spans="18:18" s="2" customFormat="1" ht="12.75" x14ac:dyDescent="0.2">
      <c r="R14331" s="1288"/>
    </row>
    <row r="14332" spans="18:18" s="2" customFormat="1" ht="12.75" x14ac:dyDescent="0.2">
      <c r="R14332" s="1288"/>
    </row>
    <row r="14333" spans="18:18" s="2" customFormat="1" ht="12.75" x14ac:dyDescent="0.2">
      <c r="R14333" s="1288"/>
    </row>
    <row r="14334" spans="18:18" s="2" customFormat="1" ht="12.75" x14ac:dyDescent="0.2">
      <c r="R14334" s="1288"/>
    </row>
    <row r="14335" spans="18:18" s="2" customFormat="1" ht="12.75" x14ac:dyDescent="0.2">
      <c r="R14335" s="1288"/>
    </row>
    <row r="14336" spans="18:18" s="2" customFormat="1" ht="12.75" x14ac:dyDescent="0.2">
      <c r="R14336" s="1288"/>
    </row>
    <row r="14337" spans="18:18" s="2" customFormat="1" ht="12.75" x14ac:dyDescent="0.2">
      <c r="R14337" s="1288"/>
    </row>
    <row r="14338" spans="18:18" s="2" customFormat="1" ht="12.75" x14ac:dyDescent="0.2">
      <c r="R14338" s="1288"/>
    </row>
    <row r="14339" spans="18:18" s="2" customFormat="1" ht="12.75" x14ac:dyDescent="0.2">
      <c r="R14339" s="1288"/>
    </row>
    <row r="14340" spans="18:18" s="2" customFormat="1" ht="12.75" x14ac:dyDescent="0.2">
      <c r="R14340" s="1288"/>
    </row>
    <row r="14341" spans="18:18" s="2" customFormat="1" ht="12.75" x14ac:dyDescent="0.2">
      <c r="R14341" s="1288"/>
    </row>
    <row r="14342" spans="18:18" s="2" customFormat="1" ht="12.75" x14ac:dyDescent="0.2">
      <c r="R14342" s="1288"/>
    </row>
    <row r="14343" spans="18:18" s="2" customFormat="1" ht="12.75" x14ac:dyDescent="0.2">
      <c r="R14343" s="1288"/>
    </row>
    <row r="14344" spans="18:18" s="2" customFormat="1" ht="12.75" x14ac:dyDescent="0.2">
      <c r="R14344" s="1288"/>
    </row>
    <row r="14345" spans="18:18" s="2" customFormat="1" ht="12.75" x14ac:dyDescent="0.2">
      <c r="R14345" s="1288"/>
    </row>
    <row r="14346" spans="18:18" s="2" customFormat="1" ht="12.75" x14ac:dyDescent="0.2">
      <c r="R14346" s="1288"/>
    </row>
    <row r="14347" spans="18:18" s="2" customFormat="1" ht="12.75" x14ac:dyDescent="0.2">
      <c r="R14347" s="1288"/>
    </row>
    <row r="14348" spans="18:18" s="2" customFormat="1" ht="12.75" x14ac:dyDescent="0.2">
      <c r="R14348" s="1288"/>
    </row>
    <row r="14349" spans="18:18" s="2" customFormat="1" ht="12.75" x14ac:dyDescent="0.2">
      <c r="R14349" s="1288"/>
    </row>
    <row r="14350" spans="18:18" s="2" customFormat="1" ht="12.75" x14ac:dyDescent="0.2">
      <c r="R14350" s="1288"/>
    </row>
    <row r="14351" spans="18:18" s="2" customFormat="1" ht="12.75" x14ac:dyDescent="0.2">
      <c r="R14351" s="1288"/>
    </row>
    <row r="14352" spans="18:18" s="2" customFormat="1" ht="12.75" x14ac:dyDescent="0.2">
      <c r="R14352" s="1288"/>
    </row>
    <row r="14353" spans="18:18" s="2" customFormat="1" ht="12.75" x14ac:dyDescent="0.2">
      <c r="R14353" s="1288"/>
    </row>
    <row r="14354" spans="18:18" s="2" customFormat="1" ht="12.75" x14ac:dyDescent="0.2">
      <c r="R14354" s="1288"/>
    </row>
    <row r="14355" spans="18:18" s="2" customFormat="1" ht="12.75" x14ac:dyDescent="0.2">
      <c r="R14355" s="1288"/>
    </row>
    <row r="14356" spans="18:18" s="2" customFormat="1" ht="12.75" x14ac:dyDescent="0.2">
      <c r="R14356" s="1288"/>
    </row>
    <row r="14357" spans="18:18" s="2" customFormat="1" ht="12.75" x14ac:dyDescent="0.2">
      <c r="R14357" s="1288"/>
    </row>
    <row r="14358" spans="18:18" s="2" customFormat="1" ht="12.75" x14ac:dyDescent="0.2">
      <c r="R14358" s="1288"/>
    </row>
    <row r="14359" spans="18:18" s="2" customFormat="1" ht="12.75" x14ac:dyDescent="0.2">
      <c r="R14359" s="1288"/>
    </row>
    <row r="14360" spans="18:18" s="2" customFormat="1" ht="12.75" x14ac:dyDescent="0.2">
      <c r="R14360" s="1288"/>
    </row>
    <row r="14361" spans="18:18" s="2" customFormat="1" ht="12.75" x14ac:dyDescent="0.2">
      <c r="R14361" s="1288"/>
    </row>
    <row r="14362" spans="18:18" s="2" customFormat="1" ht="12.75" x14ac:dyDescent="0.2">
      <c r="R14362" s="1288"/>
    </row>
    <row r="14363" spans="18:18" s="2" customFormat="1" ht="12.75" x14ac:dyDescent="0.2">
      <c r="R14363" s="1288"/>
    </row>
    <row r="14364" spans="18:18" s="2" customFormat="1" ht="12.75" x14ac:dyDescent="0.2">
      <c r="R14364" s="1288"/>
    </row>
    <row r="14365" spans="18:18" s="2" customFormat="1" ht="12.75" x14ac:dyDescent="0.2">
      <c r="R14365" s="1288"/>
    </row>
    <row r="14366" spans="18:18" s="2" customFormat="1" ht="12.75" x14ac:dyDescent="0.2">
      <c r="R14366" s="1288"/>
    </row>
    <row r="14367" spans="18:18" s="2" customFormat="1" ht="12.75" x14ac:dyDescent="0.2">
      <c r="R14367" s="1288"/>
    </row>
    <row r="14368" spans="18:18" s="2" customFormat="1" ht="12.75" x14ac:dyDescent="0.2">
      <c r="R14368" s="1288"/>
    </row>
    <row r="14369" spans="18:18" s="2" customFormat="1" ht="12.75" x14ac:dyDescent="0.2">
      <c r="R14369" s="1288"/>
    </row>
    <row r="14370" spans="18:18" s="2" customFormat="1" ht="12.75" x14ac:dyDescent="0.2">
      <c r="R14370" s="1288"/>
    </row>
    <row r="14371" spans="18:18" s="2" customFormat="1" ht="12.75" x14ac:dyDescent="0.2">
      <c r="R14371" s="1288"/>
    </row>
    <row r="14372" spans="18:18" s="2" customFormat="1" ht="12.75" x14ac:dyDescent="0.2">
      <c r="R14372" s="1288"/>
    </row>
    <row r="14373" spans="18:18" s="2" customFormat="1" ht="12.75" x14ac:dyDescent="0.2">
      <c r="R14373" s="1288"/>
    </row>
    <row r="14374" spans="18:18" s="2" customFormat="1" ht="12.75" x14ac:dyDescent="0.2">
      <c r="R14374" s="1288"/>
    </row>
    <row r="14375" spans="18:18" s="2" customFormat="1" ht="12.75" x14ac:dyDescent="0.2">
      <c r="R14375" s="1288"/>
    </row>
    <row r="14376" spans="18:18" s="2" customFormat="1" ht="12.75" x14ac:dyDescent="0.2">
      <c r="R14376" s="1288"/>
    </row>
    <row r="14377" spans="18:18" s="2" customFormat="1" ht="12.75" x14ac:dyDescent="0.2">
      <c r="R14377" s="1288"/>
    </row>
    <row r="14378" spans="18:18" s="2" customFormat="1" ht="12.75" x14ac:dyDescent="0.2">
      <c r="R14378" s="1288"/>
    </row>
    <row r="14379" spans="18:18" s="2" customFormat="1" ht="12.75" x14ac:dyDescent="0.2">
      <c r="R14379" s="1288"/>
    </row>
    <row r="14380" spans="18:18" s="2" customFormat="1" ht="12.75" x14ac:dyDescent="0.2">
      <c r="R14380" s="1288"/>
    </row>
    <row r="14381" spans="18:18" s="2" customFormat="1" ht="12.75" x14ac:dyDescent="0.2">
      <c r="R14381" s="1288"/>
    </row>
    <row r="14382" spans="18:18" s="2" customFormat="1" ht="12.75" x14ac:dyDescent="0.2">
      <c r="R14382" s="1288"/>
    </row>
    <row r="14383" spans="18:18" s="2" customFormat="1" ht="12.75" x14ac:dyDescent="0.2">
      <c r="R14383" s="1288"/>
    </row>
    <row r="14384" spans="18:18" s="2" customFormat="1" ht="12.75" x14ac:dyDescent="0.2">
      <c r="R14384" s="1288"/>
    </row>
    <row r="14385" spans="18:18" s="2" customFormat="1" ht="12.75" x14ac:dyDescent="0.2">
      <c r="R14385" s="1288"/>
    </row>
    <row r="14386" spans="18:18" s="2" customFormat="1" ht="12.75" x14ac:dyDescent="0.2">
      <c r="R14386" s="1288"/>
    </row>
    <row r="14387" spans="18:18" s="2" customFormat="1" ht="12.75" x14ac:dyDescent="0.2">
      <c r="R14387" s="1288"/>
    </row>
    <row r="14388" spans="18:18" s="2" customFormat="1" ht="12.75" x14ac:dyDescent="0.2">
      <c r="R14388" s="1288"/>
    </row>
    <row r="14389" spans="18:18" s="2" customFormat="1" ht="12.75" x14ac:dyDescent="0.2">
      <c r="R14389" s="1288"/>
    </row>
    <row r="14390" spans="18:18" s="2" customFormat="1" ht="12.75" x14ac:dyDescent="0.2">
      <c r="R14390" s="1288"/>
    </row>
    <row r="14391" spans="18:18" s="2" customFormat="1" ht="12.75" x14ac:dyDescent="0.2">
      <c r="R14391" s="1288"/>
    </row>
    <row r="14392" spans="18:18" s="2" customFormat="1" ht="12.75" x14ac:dyDescent="0.2">
      <c r="R14392" s="1288"/>
    </row>
    <row r="14393" spans="18:18" s="2" customFormat="1" ht="12.75" x14ac:dyDescent="0.2">
      <c r="R14393" s="1288"/>
    </row>
    <row r="14394" spans="18:18" s="2" customFormat="1" ht="12.75" x14ac:dyDescent="0.2">
      <c r="R14394" s="1288"/>
    </row>
    <row r="14395" spans="18:18" s="2" customFormat="1" ht="12.75" x14ac:dyDescent="0.2">
      <c r="R14395" s="1288"/>
    </row>
    <row r="14396" spans="18:18" s="2" customFormat="1" ht="12.75" x14ac:dyDescent="0.2">
      <c r="R14396" s="1288"/>
    </row>
    <row r="14397" spans="18:18" s="2" customFormat="1" ht="12.75" x14ac:dyDescent="0.2">
      <c r="R14397" s="1288"/>
    </row>
    <row r="14398" spans="18:18" s="2" customFormat="1" ht="12.75" x14ac:dyDescent="0.2">
      <c r="R14398" s="1288"/>
    </row>
    <row r="14399" spans="18:18" s="2" customFormat="1" ht="12.75" x14ac:dyDescent="0.2">
      <c r="R14399" s="1288"/>
    </row>
    <row r="14400" spans="18:18" s="2" customFormat="1" ht="12.75" x14ac:dyDescent="0.2">
      <c r="R14400" s="1288"/>
    </row>
    <row r="14401" spans="18:18" s="2" customFormat="1" ht="12.75" x14ac:dyDescent="0.2">
      <c r="R14401" s="1288"/>
    </row>
    <row r="14402" spans="18:18" s="2" customFormat="1" ht="12.75" x14ac:dyDescent="0.2">
      <c r="R14402" s="1288"/>
    </row>
    <row r="14403" spans="18:18" s="2" customFormat="1" ht="12.75" x14ac:dyDescent="0.2">
      <c r="R14403" s="1288"/>
    </row>
    <row r="14404" spans="18:18" s="2" customFormat="1" ht="12.75" x14ac:dyDescent="0.2">
      <c r="R14404" s="1288"/>
    </row>
    <row r="14405" spans="18:18" s="2" customFormat="1" ht="12.75" x14ac:dyDescent="0.2">
      <c r="R14405" s="1288"/>
    </row>
    <row r="14406" spans="18:18" s="2" customFormat="1" ht="12.75" x14ac:dyDescent="0.2">
      <c r="R14406" s="1288"/>
    </row>
    <row r="14407" spans="18:18" s="2" customFormat="1" ht="12.75" x14ac:dyDescent="0.2">
      <c r="R14407" s="1288"/>
    </row>
    <row r="14408" spans="18:18" s="2" customFormat="1" ht="12.75" x14ac:dyDescent="0.2">
      <c r="R14408" s="1288"/>
    </row>
    <row r="14409" spans="18:18" s="2" customFormat="1" ht="12.75" x14ac:dyDescent="0.2">
      <c r="R14409" s="1288"/>
    </row>
    <row r="14410" spans="18:18" s="2" customFormat="1" ht="12.75" x14ac:dyDescent="0.2">
      <c r="R14410" s="1288"/>
    </row>
    <row r="14411" spans="18:18" s="2" customFormat="1" ht="12.75" x14ac:dyDescent="0.2">
      <c r="R14411" s="1288"/>
    </row>
    <row r="14412" spans="18:18" s="2" customFormat="1" ht="12.75" x14ac:dyDescent="0.2">
      <c r="R14412" s="1288"/>
    </row>
    <row r="14413" spans="18:18" s="2" customFormat="1" ht="12.75" x14ac:dyDescent="0.2">
      <c r="R14413" s="1288"/>
    </row>
    <row r="14414" spans="18:18" s="2" customFormat="1" ht="12.75" x14ac:dyDescent="0.2">
      <c r="R14414" s="1288"/>
    </row>
    <row r="14415" spans="18:18" s="2" customFormat="1" ht="12.75" x14ac:dyDescent="0.2">
      <c r="R14415" s="1288"/>
    </row>
    <row r="14416" spans="18:18" s="2" customFormat="1" ht="12.75" x14ac:dyDescent="0.2">
      <c r="R14416" s="1288"/>
    </row>
    <row r="14417" spans="18:18" s="2" customFormat="1" ht="12.75" x14ac:dyDescent="0.2">
      <c r="R14417" s="1288"/>
    </row>
    <row r="14418" spans="18:18" s="2" customFormat="1" ht="12.75" x14ac:dyDescent="0.2">
      <c r="R14418" s="1288"/>
    </row>
    <row r="14419" spans="18:18" s="2" customFormat="1" ht="12.75" x14ac:dyDescent="0.2">
      <c r="R14419" s="1288"/>
    </row>
    <row r="14420" spans="18:18" s="2" customFormat="1" ht="12.75" x14ac:dyDescent="0.2">
      <c r="R14420" s="1288"/>
    </row>
    <row r="14421" spans="18:18" s="2" customFormat="1" ht="12.75" x14ac:dyDescent="0.2">
      <c r="R14421" s="1288"/>
    </row>
    <row r="14422" spans="18:18" s="2" customFormat="1" ht="12.75" x14ac:dyDescent="0.2">
      <c r="R14422" s="1288"/>
    </row>
    <row r="14423" spans="18:18" s="2" customFormat="1" ht="12.75" x14ac:dyDescent="0.2">
      <c r="R14423" s="1288"/>
    </row>
    <row r="14424" spans="18:18" s="2" customFormat="1" ht="12.75" x14ac:dyDescent="0.2">
      <c r="R14424" s="1288"/>
    </row>
    <row r="14425" spans="18:18" s="2" customFormat="1" ht="12.75" x14ac:dyDescent="0.2">
      <c r="R14425" s="1288"/>
    </row>
    <row r="14426" spans="18:18" s="2" customFormat="1" ht="12.75" x14ac:dyDescent="0.2">
      <c r="R14426" s="1288"/>
    </row>
    <row r="14427" spans="18:18" s="2" customFormat="1" ht="12.75" x14ac:dyDescent="0.2">
      <c r="R14427" s="1288"/>
    </row>
    <row r="14428" spans="18:18" s="2" customFormat="1" ht="12.75" x14ac:dyDescent="0.2">
      <c r="R14428" s="1288"/>
    </row>
    <row r="14429" spans="18:18" s="2" customFormat="1" ht="12.75" x14ac:dyDescent="0.2">
      <c r="R14429" s="1288"/>
    </row>
    <row r="14430" spans="18:18" s="2" customFormat="1" ht="12.75" x14ac:dyDescent="0.2">
      <c r="R14430" s="1288"/>
    </row>
    <row r="14431" spans="18:18" s="2" customFormat="1" ht="12.75" x14ac:dyDescent="0.2">
      <c r="R14431" s="1288"/>
    </row>
    <row r="14432" spans="18:18" s="2" customFormat="1" ht="12.75" x14ac:dyDescent="0.2">
      <c r="R14432" s="1288"/>
    </row>
    <row r="14433" spans="18:18" s="2" customFormat="1" ht="12.75" x14ac:dyDescent="0.2">
      <c r="R14433" s="1288"/>
    </row>
    <row r="14434" spans="18:18" s="2" customFormat="1" ht="12.75" x14ac:dyDescent="0.2">
      <c r="R14434" s="1288"/>
    </row>
    <row r="14435" spans="18:18" s="2" customFormat="1" ht="12.75" x14ac:dyDescent="0.2">
      <c r="R14435" s="1288"/>
    </row>
    <row r="14436" spans="18:18" s="2" customFormat="1" ht="12.75" x14ac:dyDescent="0.2">
      <c r="R14436" s="1288"/>
    </row>
    <row r="14437" spans="18:18" s="2" customFormat="1" ht="12.75" x14ac:dyDescent="0.2">
      <c r="R14437" s="1288"/>
    </row>
    <row r="14438" spans="18:18" s="2" customFormat="1" ht="12.75" x14ac:dyDescent="0.2">
      <c r="R14438" s="1288"/>
    </row>
    <row r="14439" spans="18:18" s="2" customFormat="1" ht="12.75" x14ac:dyDescent="0.2">
      <c r="R14439" s="1288"/>
    </row>
    <row r="14440" spans="18:18" s="2" customFormat="1" ht="12.75" x14ac:dyDescent="0.2">
      <c r="R14440" s="1288"/>
    </row>
    <row r="14441" spans="18:18" s="2" customFormat="1" ht="12.75" x14ac:dyDescent="0.2">
      <c r="R14441" s="1288"/>
    </row>
    <row r="14442" spans="18:18" s="2" customFormat="1" ht="12.75" x14ac:dyDescent="0.2">
      <c r="R14442" s="1288"/>
    </row>
    <row r="14443" spans="18:18" s="2" customFormat="1" ht="12.75" x14ac:dyDescent="0.2">
      <c r="R14443" s="1288"/>
    </row>
    <row r="14444" spans="18:18" s="2" customFormat="1" ht="12.75" x14ac:dyDescent="0.2">
      <c r="R14444" s="1288"/>
    </row>
    <row r="14445" spans="18:18" s="2" customFormat="1" ht="12.75" x14ac:dyDescent="0.2">
      <c r="R14445" s="1288"/>
    </row>
    <row r="14446" spans="18:18" s="2" customFormat="1" ht="12.75" x14ac:dyDescent="0.2">
      <c r="R14446" s="1288"/>
    </row>
    <row r="14447" spans="18:18" s="2" customFormat="1" ht="12.75" x14ac:dyDescent="0.2">
      <c r="R14447" s="1288"/>
    </row>
    <row r="14448" spans="18:18" s="2" customFormat="1" ht="12.75" x14ac:dyDescent="0.2">
      <c r="R14448" s="1288"/>
    </row>
    <row r="14449" spans="18:18" s="2" customFormat="1" ht="12.75" x14ac:dyDescent="0.2">
      <c r="R14449" s="1288"/>
    </row>
    <row r="14450" spans="18:18" s="2" customFormat="1" ht="12.75" x14ac:dyDescent="0.2">
      <c r="R14450" s="1288"/>
    </row>
    <row r="14451" spans="18:18" s="2" customFormat="1" ht="12.75" x14ac:dyDescent="0.2">
      <c r="R14451" s="1288"/>
    </row>
    <row r="14452" spans="18:18" s="2" customFormat="1" ht="12.75" x14ac:dyDescent="0.2">
      <c r="R14452" s="1288"/>
    </row>
    <row r="14453" spans="18:18" s="2" customFormat="1" ht="12.75" x14ac:dyDescent="0.2">
      <c r="R14453" s="1288"/>
    </row>
    <row r="14454" spans="18:18" s="2" customFormat="1" ht="12.75" x14ac:dyDescent="0.2">
      <c r="R14454" s="1288"/>
    </row>
    <row r="14455" spans="18:18" s="2" customFormat="1" ht="12.75" x14ac:dyDescent="0.2">
      <c r="R14455" s="1288"/>
    </row>
    <row r="14456" spans="18:18" s="2" customFormat="1" ht="12.75" x14ac:dyDescent="0.2">
      <c r="R14456" s="1288"/>
    </row>
    <row r="14457" spans="18:18" s="2" customFormat="1" ht="12.75" x14ac:dyDescent="0.2">
      <c r="R14457" s="1288"/>
    </row>
    <row r="14458" spans="18:18" s="2" customFormat="1" ht="12.75" x14ac:dyDescent="0.2">
      <c r="R14458" s="1288"/>
    </row>
    <row r="14459" spans="18:18" s="2" customFormat="1" ht="12.75" x14ac:dyDescent="0.2">
      <c r="R14459" s="1288"/>
    </row>
    <row r="14460" spans="18:18" s="2" customFormat="1" ht="12.75" x14ac:dyDescent="0.2">
      <c r="R14460" s="1288"/>
    </row>
    <row r="14461" spans="18:18" s="2" customFormat="1" ht="12.75" x14ac:dyDescent="0.2">
      <c r="R14461" s="1288"/>
    </row>
    <row r="14462" spans="18:18" s="2" customFormat="1" ht="12.75" x14ac:dyDescent="0.2">
      <c r="R14462" s="1288"/>
    </row>
    <row r="14463" spans="18:18" s="2" customFormat="1" ht="12.75" x14ac:dyDescent="0.2">
      <c r="R14463" s="1288"/>
    </row>
    <row r="14464" spans="18:18" s="2" customFormat="1" ht="12.75" x14ac:dyDescent="0.2">
      <c r="R14464" s="1288"/>
    </row>
    <row r="14465" spans="18:18" s="2" customFormat="1" ht="12.75" x14ac:dyDescent="0.2">
      <c r="R14465" s="1288"/>
    </row>
    <row r="14466" spans="18:18" s="2" customFormat="1" ht="12.75" x14ac:dyDescent="0.2">
      <c r="R14466" s="1288"/>
    </row>
    <row r="14467" spans="18:18" s="2" customFormat="1" ht="12.75" x14ac:dyDescent="0.2">
      <c r="R14467" s="1288"/>
    </row>
    <row r="14468" spans="18:18" s="2" customFormat="1" ht="12.75" x14ac:dyDescent="0.2">
      <c r="R14468" s="1288"/>
    </row>
    <row r="14469" spans="18:18" s="2" customFormat="1" ht="12.75" x14ac:dyDescent="0.2">
      <c r="R14469" s="1288"/>
    </row>
    <row r="14470" spans="18:18" s="2" customFormat="1" ht="12.75" x14ac:dyDescent="0.2">
      <c r="R14470" s="1288"/>
    </row>
    <row r="14471" spans="18:18" s="2" customFormat="1" ht="12.75" x14ac:dyDescent="0.2">
      <c r="R14471" s="1288"/>
    </row>
    <row r="14472" spans="18:18" s="2" customFormat="1" ht="12.75" x14ac:dyDescent="0.2">
      <c r="R14472" s="1288"/>
    </row>
    <row r="14473" spans="18:18" s="2" customFormat="1" ht="12.75" x14ac:dyDescent="0.2">
      <c r="R14473" s="1288"/>
    </row>
    <row r="14474" spans="18:18" s="2" customFormat="1" ht="12.75" x14ac:dyDescent="0.2">
      <c r="R14474" s="1288"/>
    </row>
    <row r="14475" spans="18:18" s="2" customFormat="1" ht="12.75" x14ac:dyDescent="0.2">
      <c r="R14475" s="1288"/>
    </row>
    <row r="14476" spans="18:18" s="2" customFormat="1" ht="12.75" x14ac:dyDescent="0.2">
      <c r="R14476" s="1288"/>
    </row>
    <row r="14477" spans="18:18" s="2" customFormat="1" ht="12.75" x14ac:dyDescent="0.2">
      <c r="R14477" s="1288"/>
    </row>
    <row r="14478" spans="18:18" s="2" customFormat="1" ht="12.75" x14ac:dyDescent="0.2">
      <c r="R14478" s="1288"/>
    </row>
    <row r="14479" spans="18:18" s="2" customFormat="1" ht="12.75" x14ac:dyDescent="0.2">
      <c r="R14479" s="1288"/>
    </row>
    <row r="14480" spans="18:18" s="2" customFormat="1" ht="12.75" x14ac:dyDescent="0.2">
      <c r="R14480" s="1288"/>
    </row>
    <row r="14481" spans="18:18" s="2" customFormat="1" ht="12.75" x14ac:dyDescent="0.2">
      <c r="R14481" s="1288"/>
    </row>
    <row r="14482" spans="18:18" s="2" customFormat="1" ht="12.75" x14ac:dyDescent="0.2">
      <c r="R14482" s="1288"/>
    </row>
    <row r="14483" spans="18:18" s="2" customFormat="1" ht="12.75" x14ac:dyDescent="0.2">
      <c r="R14483" s="1288"/>
    </row>
    <row r="14484" spans="18:18" s="2" customFormat="1" ht="12.75" x14ac:dyDescent="0.2">
      <c r="R14484" s="1288"/>
    </row>
    <row r="14485" spans="18:18" s="2" customFormat="1" ht="12.75" x14ac:dyDescent="0.2">
      <c r="R14485" s="1288"/>
    </row>
    <row r="14486" spans="18:18" s="2" customFormat="1" ht="12.75" x14ac:dyDescent="0.2">
      <c r="R14486" s="1288"/>
    </row>
    <row r="14487" spans="18:18" s="2" customFormat="1" ht="12.75" x14ac:dyDescent="0.2">
      <c r="R14487" s="1288"/>
    </row>
    <row r="14488" spans="18:18" s="2" customFormat="1" ht="12.75" x14ac:dyDescent="0.2">
      <c r="R14488" s="1288"/>
    </row>
    <row r="14489" spans="18:18" s="2" customFormat="1" ht="12.75" x14ac:dyDescent="0.2">
      <c r="R14489" s="1288"/>
    </row>
    <row r="14490" spans="18:18" s="2" customFormat="1" ht="12.75" x14ac:dyDescent="0.2">
      <c r="R14490" s="1288"/>
    </row>
    <row r="14491" spans="18:18" s="2" customFormat="1" ht="12.75" x14ac:dyDescent="0.2">
      <c r="R14491" s="1288"/>
    </row>
    <row r="14492" spans="18:18" s="2" customFormat="1" ht="12.75" x14ac:dyDescent="0.2">
      <c r="R14492" s="1288"/>
    </row>
    <row r="14493" spans="18:18" s="2" customFormat="1" ht="12.75" x14ac:dyDescent="0.2">
      <c r="R14493" s="1288"/>
    </row>
    <row r="14494" spans="18:18" s="2" customFormat="1" ht="12.75" x14ac:dyDescent="0.2">
      <c r="R14494" s="1288"/>
    </row>
    <row r="14495" spans="18:18" s="2" customFormat="1" ht="12.75" x14ac:dyDescent="0.2">
      <c r="R14495" s="1288"/>
    </row>
    <row r="14496" spans="18:18" s="2" customFormat="1" ht="12.75" x14ac:dyDescent="0.2">
      <c r="R14496" s="1288"/>
    </row>
    <row r="14497" spans="18:18" s="2" customFormat="1" ht="12.75" x14ac:dyDescent="0.2">
      <c r="R14497" s="1288"/>
    </row>
    <row r="14498" spans="18:18" s="2" customFormat="1" ht="12.75" x14ac:dyDescent="0.2">
      <c r="R14498" s="1288"/>
    </row>
    <row r="14499" spans="18:18" s="2" customFormat="1" ht="12.75" x14ac:dyDescent="0.2">
      <c r="R14499" s="1288"/>
    </row>
    <row r="14500" spans="18:18" s="2" customFormat="1" ht="12.75" x14ac:dyDescent="0.2">
      <c r="R14500" s="1288"/>
    </row>
    <row r="14501" spans="18:18" s="2" customFormat="1" ht="12.75" x14ac:dyDescent="0.2">
      <c r="R14501" s="1288"/>
    </row>
    <row r="14502" spans="18:18" s="2" customFormat="1" ht="12.75" x14ac:dyDescent="0.2">
      <c r="R14502" s="1288"/>
    </row>
    <row r="14503" spans="18:18" s="2" customFormat="1" ht="12.75" x14ac:dyDescent="0.2">
      <c r="R14503" s="1288"/>
    </row>
    <row r="14504" spans="18:18" s="2" customFormat="1" ht="12.75" x14ac:dyDescent="0.2">
      <c r="R14504" s="1288"/>
    </row>
    <row r="14505" spans="18:18" s="2" customFormat="1" ht="12.75" x14ac:dyDescent="0.2">
      <c r="R14505" s="1288"/>
    </row>
    <row r="14506" spans="18:18" s="2" customFormat="1" ht="12.75" x14ac:dyDescent="0.2">
      <c r="R14506" s="1288"/>
    </row>
    <row r="14507" spans="18:18" s="2" customFormat="1" ht="12.75" x14ac:dyDescent="0.2">
      <c r="R14507" s="1288"/>
    </row>
    <row r="14508" spans="18:18" s="2" customFormat="1" ht="12.75" x14ac:dyDescent="0.2">
      <c r="R14508" s="1288"/>
    </row>
    <row r="14509" spans="18:18" s="2" customFormat="1" ht="12.75" x14ac:dyDescent="0.2">
      <c r="R14509" s="1288"/>
    </row>
    <row r="14510" spans="18:18" s="2" customFormat="1" ht="12.75" x14ac:dyDescent="0.2">
      <c r="R14510" s="1288"/>
    </row>
    <row r="14511" spans="18:18" s="2" customFormat="1" ht="12.75" x14ac:dyDescent="0.2">
      <c r="R14511" s="1288"/>
    </row>
    <row r="14512" spans="18:18" s="2" customFormat="1" ht="12.75" x14ac:dyDescent="0.2">
      <c r="R14512" s="1288"/>
    </row>
    <row r="14513" spans="18:18" s="2" customFormat="1" ht="12.75" x14ac:dyDescent="0.2">
      <c r="R14513" s="1288"/>
    </row>
    <row r="14514" spans="18:18" s="2" customFormat="1" ht="12.75" x14ac:dyDescent="0.2">
      <c r="R14514" s="1288"/>
    </row>
    <row r="14515" spans="18:18" s="2" customFormat="1" ht="12.75" x14ac:dyDescent="0.2">
      <c r="R14515" s="1288"/>
    </row>
    <row r="14516" spans="18:18" s="2" customFormat="1" ht="12.75" x14ac:dyDescent="0.2">
      <c r="R14516" s="1288"/>
    </row>
    <row r="14517" spans="18:18" s="2" customFormat="1" ht="12.75" x14ac:dyDescent="0.2">
      <c r="R14517" s="1288"/>
    </row>
    <row r="14518" spans="18:18" s="2" customFormat="1" ht="12.75" x14ac:dyDescent="0.2">
      <c r="R14518" s="1288"/>
    </row>
    <row r="14519" spans="18:18" s="2" customFormat="1" ht="12.75" x14ac:dyDescent="0.2">
      <c r="R14519" s="1288"/>
    </row>
    <row r="14520" spans="18:18" s="2" customFormat="1" ht="12.75" x14ac:dyDescent="0.2">
      <c r="R14520" s="1288"/>
    </row>
    <row r="14521" spans="18:18" s="2" customFormat="1" ht="12.75" x14ac:dyDescent="0.2">
      <c r="R14521" s="1288"/>
    </row>
    <row r="14522" spans="18:18" s="2" customFormat="1" ht="12.75" x14ac:dyDescent="0.2">
      <c r="R14522" s="1288"/>
    </row>
    <row r="14523" spans="18:18" s="2" customFormat="1" ht="12.75" x14ac:dyDescent="0.2">
      <c r="R14523" s="1288"/>
    </row>
    <row r="14524" spans="18:18" s="2" customFormat="1" ht="12.75" x14ac:dyDescent="0.2">
      <c r="R14524" s="1288"/>
    </row>
    <row r="14525" spans="18:18" s="2" customFormat="1" ht="12.75" x14ac:dyDescent="0.2">
      <c r="R14525" s="1288"/>
    </row>
    <row r="14526" spans="18:18" s="2" customFormat="1" ht="12.75" x14ac:dyDescent="0.2">
      <c r="R14526" s="1288"/>
    </row>
    <row r="14527" spans="18:18" s="2" customFormat="1" ht="12.75" x14ac:dyDescent="0.2">
      <c r="R14527" s="1288"/>
    </row>
    <row r="14528" spans="18:18" s="2" customFormat="1" ht="12.75" x14ac:dyDescent="0.2">
      <c r="R14528" s="1288"/>
    </row>
    <row r="14529" spans="18:18" s="2" customFormat="1" ht="12.75" x14ac:dyDescent="0.2">
      <c r="R14529" s="1288"/>
    </row>
    <row r="14530" spans="18:18" s="2" customFormat="1" ht="12.75" x14ac:dyDescent="0.2">
      <c r="R14530" s="1288"/>
    </row>
    <row r="14531" spans="18:18" s="2" customFormat="1" ht="12.75" x14ac:dyDescent="0.2">
      <c r="R14531" s="1288"/>
    </row>
    <row r="14532" spans="18:18" s="2" customFormat="1" ht="12.75" x14ac:dyDescent="0.2">
      <c r="R14532" s="1288"/>
    </row>
    <row r="14533" spans="18:18" s="2" customFormat="1" ht="12.75" x14ac:dyDescent="0.2">
      <c r="R14533" s="1288"/>
    </row>
    <row r="14534" spans="18:18" s="2" customFormat="1" ht="12.75" x14ac:dyDescent="0.2">
      <c r="R14534" s="1288"/>
    </row>
    <row r="14535" spans="18:18" s="2" customFormat="1" ht="12.75" x14ac:dyDescent="0.2">
      <c r="R14535" s="1288"/>
    </row>
    <row r="14536" spans="18:18" s="2" customFormat="1" ht="12.75" x14ac:dyDescent="0.2">
      <c r="R14536" s="1288"/>
    </row>
    <row r="14537" spans="18:18" s="2" customFormat="1" ht="12.75" x14ac:dyDescent="0.2">
      <c r="R14537" s="1288"/>
    </row>
    <row r="14538" spans="18:18" s="2" customFormat="1" ht="12.75" x14ac:dyDescent="0.2">
      <c r="R14538" s="1288"/>
    </row>
    <row r="14539" spans="18:18" s="2" customFormat="1" ht="12.75" x14ac:dyDescent="0.2">
      <c r="R14539" s="1288"/>
    </row>
    <row r="14540" spans="18:18" s="2" customFormat="1" ht="12.75" x14ac:dyDescent="0.2">
      <c r="R14540" s="1288"/>
    </row>
    <row r="14541" spans="18:18" s="2" customFormat="1" ht="12.75" x14ac:dyDescent="0.2">
      <c r="R14541" s="1288"/>
    </row>
    <row r="14542" spans="18:18" s="2" customFormat="1" ht="12.75" x14ac:dyDescent="0.2">
      <c r="R14542" s="1288"/>
    </row>
    <row r="14543" spans="18:18" s="2" customFormat="1" ht="12.75" x14ac:dyDescent="0.2">
      <c r="R14543" s="1288"/>
    </row>
    <row r="14544" spans="18:18" s="2" customFormat="1" ht="12.75" x14ac:dyDescent="0.2">
      <c r="R14544" s="1288"/>
    </row>
    <row r="14545" spans="18:18" s="2" customFormat="1" ht="12.75" x14ac:dyDescent="0.2">
      <c r="R14545" s="1288"/>
    </row>
    <row r="14546" spans="18:18" s="2" customFormat="1" ht="12.75" x14ac:dyDescent="0.2">
      <c r="R14546" s="1288"/>
    </row>
    <row r="14547" spans="18:18" s="2" customFormat="1" ht="12.75" x14ac:dyDescent="0.2">
      <c r="R14547" s="1288"/>
    </row>
    <row r="14548" spans="18:18" s="2" customFormat="1" ht="12.75" x14ac:dyDescent="0.2">
      <c r="R14548" s="1288"/>
    </row>
    <row r="14549" spans="18:18" s="2" customFormat="1" ht="12.75" x14ac:dyDescent="0.2">
      <c r="R14549" s="1288"/>
    </row>
    <row r="14550" spans="18:18" s="2" customFormat="1" ht="12.75" x14ac:dyDescent="0.2">
      <c r="R14550" s="1288"/>
    </row>
    <row r="14551" spans="18:18" s="2" customFormat="1" ht="12.75" x14ac:dyDescent="0.2">
      <c r="R14551" s="1288"/>
    </row>
    <row r="14552" spans="18:18" s="2" customFormat="1" ht="12.75" x14ac:dyDescent="0.2">
      <c r="R14552" s="1288"/>
    </row>
    <row r="14553" spans="18:18" s="2" customFormat="1" ht="12.75" x14ac:dyDescent="0.2">
      <c r="R14553" s="1288"/>
    </row>
    <row r="14554" spans="18:18" s="2" customFormat="1" ht="12.75" x14ac:dyDescent="0.2">
      <c r="R14554" s="1288"/>
    </row>
    <row r="14555" spans="18:18" s="2" customFormat="1" ht="12.75" x14ac:dyDescent="0.2">
      <c r="R14555" s="1288"/>
    </row>
    <row r="14556" spans="18:18" s="2" customFormat="1" ht="12.75" x14ac:dyDescent="0.2">
      <c r="R14556" s="1288"/>
    </row>
    <row r="14557" spans="18:18" s="2" customFormat="1" ht="12.75" x14ac:dyDescent="0.2">
      <c r="R14557" s="1288"/>
    </row>
    <row r="14558" spans="18:18" s="2" customFormat="1" ht="12.75" x14ac:dyDescent="0.2">
      <c r="R14558" s="1288"/>
    </row>
    <row r="14559" spans="18:18" s="2" customFormat="1" ht="12.75" x14ac:dyDescent="0.2">
      <c r="R14559" s="1288"/>
    </row>
    <row r="14560" spans="18:18" s="2" customFormat="1" ht="12.75" x14ac:dyDescent="0.2">
      <c r="R14560" s="1288"/>
    </row>
    <row r="14561" spans="18:18" s="2" customFormat="1" ht="12.75" x14ac:dyDescent="0.2">
      <c r="R14561" s="1288"/>
    </row>
    <row r="14562" spans="18:18" s="2" customFormat="1" ht="12.75" x14ac:dyDescent="0.2">
      <c r="R14562" s="1288"/>
    </row>
    <row r="14563" spans="18:18" s="2" customFormat="1" ht="12.75" x14ac:dyDescent="0.2">
      <c r="R14563" s="1288"/>
    </row>
    <row r="14564" spans="18:18" s="2" customFormat="1" ht="12.75" x14ac:dyDescent="0.2">
      <c r="R14564" s="1288"/>
    </row>
    <row r="14565" spans="18:18" s="2" customFormat="1" ht="12.75" x14ac:dyDescent="0.2">
      <c r="R14565" s="1288"/>
    </row>
    <row r="14566" spans="18:18" s="2" customFormat="1" ht="12.75" x14ac:dyDescent="0.2">
      <c r="R14566" s="1288"/>
    </row>
    <row r="14567" spans="18:18" s="2" customFormat="1" ht="12.75" x14ac:dyDescent="0.2">
      <c r="R14567" s="1288"/>
    </row>
    <row r="14568" spans="18:18" s="2" customFormat="1" ht="12.75" x14ac:dyDescent="0.2">
      <c r="R14568" s="1288"/>
    </row>
    <row r="14569" spans="18:18" s="2" customFormat="1" ht="12.75" x14ac:dyDescent="0.2">
      <c r="R14569" s="1288"/>
    </row>
    <row r="14570" spans="18:18" s="2" customFormat="1" ht="12.75" x14ac:dyDescent="0.2">
      <c r="R14570" s="1288"/>
    </row>
    <row r="14571" spans="18:18" s="2" customFormat="1" ht="12.75" x14ac:dyDescent="0.2">
      <c r="R14571" s="1288"/>
    </row>
    <row r="14572" spans="18:18" s="2" customFormat="1" ht="12.75" x14ac:dyDescent="0.2">
      <c r="R14572" s="1288"/>
    </row>
    <row r="14573" spans="18:18" s="2" customFormat="1" ht="12.75" x14ac:dyDescent="0.2">
      <c r="R14573" s="1288"/>
    </row>
    <row r="14574" spans="18:18" s="2" customFormat="1" ht="12.75" x14ac:dyDescent="0.2">
      <c r="R14574" s="1288"/>
    </row>
    <row r="14575" spans="18:18" s="2" customFormat="1" ht="12.75" x14ac:dyDescent="0.2">
      <c r="R14575" s="1288"/>
    </row>
    <row r="14576" spans="18:18" s="2" customFormat="1" ht="12.75" x14ac:dyDescent="0.2">
      <c r="R14576" s="1288"/>
    </row>
    <row r="14577" spans="18:18" s="2" customFormat="1" ht="12.75" x14ac:dyDescent="0.2">
      <c r="R14577" s="1288"/>
    </row>
    <row r="14578" spans="18:18" s="2" customFormat="1" ht="12.75" x14ac:dyDescent="0.2">
      <c r="R14578" s="1288"/>
    </row>
    <row r="14579" spans="18:18" s="2" customFormat="1" ht="12.75" x14ac:dyDescent="0.2">
      <c r="R14579" s="1288"/>
    </row>
    <row r="14580" spans="18:18" s="2" customFormat="1" ht="12.75" x14ac:dyDescent="0.2">
      <c r="R14580" s="1288"/>
    </row>
    <row r="14581" spans="18:18" s="2" customFormat="1" ht="12.75" x14ac:dyDescent="0.2">
      <c r="R14581" s="1288"/>
    </row>
    <row r="14582" spans="18:18" s="2" customFormat="1" ht="12.75" x14ac:dyDescent="0.2">
      <c r="R14582" s="1288"/>
    </row>
    <row r="14583" spans="18:18" s="2" customFormat="1" ht="12.75" x14ac:dyDescent="0.2">
      <c r="R14583" s="1288"/>
    </row>
    <row r="14584" spans="18:18" s="2" customFormat="1" ht="12.75" x14ac:dyDescent="0.2">
      <c r="R14584" s="1288"/>
    </row>
    <row r="14585" spans="18:18" s="2" customFormat="1" ht="12.75" x14ac:dyDescent="0.2">
      <c r="R14585" s="1288"/>
    </row>
    <row r="14586" spans="18:18" s="2" customFormat="1" ht="12.75" x14ac:dyDescent="0.2">
      <c r="R14586" s="1288"/>
    </row>
    <row r="14587" spans="18:18" s="2" customFormat="1" ht="12.75" x14ac:dyDescent="0.2">
      <c r="R14587" s="1288"/>
    </row>
    <row r="14588" spans="18:18" s="2" customFormat="1" ht="12.75" x14ac:dyDescent="0.2">
      <c r="R14588" s="1288"/>
    </row>
    <row r="14589" spans="18:18" s="2" customFormat="1" ht="12.75" x14ac:dyDescent="0.2">
      <c r="R14589" s="1288"/>
    </row>
    <row r="14590" spans="18:18" s="2" customFormat="1" ht="12.75" x14ac:dyDescent="0.2">
      <c r="R14590" s="1288"/>
    </row>
    <row r="14591" spans="18:18" s="2" customFormat="1" ht="12.75" x14ac:dyDescent="0.2">
      <c r="R14591" s="1288"/>
    </row>
    <row r="14592" spans="18:18" s="2" customFormat="1" ht="12.75" x14ac:dyDescent="0.2">
      <c r="R14592" s="1288"/>
    </row>
    <row r="14593" spans="18:18" s="2" customFormat="1" ht="12.75" x14ac:dyDescent="0.2">
      <c r="R14593" s="1288"/>
    </row>
    <row r="14594" spans="18:18" s="2" customFormat="1" ht="12.75" x14ac:dyDescent="0.2">
      <c r="R14594" s="1288"/>
    </row>
    <row r="14595" spans="18:18" s="2" customFormat="1" ht="12.75" x14ac:dyDescent="0.2">
      <c r="R14595" s="1288"/>
    </row>
    <row r="14596" spans="18:18" s="2" customFormat="1" ht="12.75" x14ac:dyDescent="0.2">
      <c r="R14596" s="1288"/>
    </row>
    <row r="14597" spans="18:18" s="2" customFormat="1" ht="12.75" x14ac:dyDescent="0.2">
      <c r="R14597" s="1288"/>
    </row>
    <row r="14598" spans="18:18" s="2" customFormat="1" ht="12.75" x14ac:dyDescent="0.2">
      <c r="R14598" s="1288"/>
    </row>
    <row r="14599" spans="18:18" s="2" customFormat="1" ht="12.75" x14ac:dyDescent="0.2">
      <c r="R14599" s="1288"/>
    </row>
    <row r="14600" spans="18:18" s="2" customFormat="1" ht="12.75" x14ac:dyDescent="0.2">
      <c r="R14600" s="1288"/>
    </row>
    <row r="14601" spans="18:18" s="2" customFormat="1" ht="12.75" x14ac:dyDescent="0.2">
      <c r="R14601" s="1288"/>
    </row>
    <row r="14602" spans="18:18" s="2" customFormat="1" ht="12.75" x14ac:dyDescent="0.2">
      <c r="R14602" s="1288"/>
    </row>
    <row r="14603" spans="18:18" s="2" customFormat="1" ht="12.75" x14ac:dyDescent="0.2">
      <c r="R14603" s="1288"/>
    </row>
    <row r="14604" spans="18:18" s="2" customFormat="1" ht="12.75" x14ac:dyDescent="0.2">
      <c r="R14604" s="1288"/>
    </row>
    <row r="14605" spans="18:18" s="2" customFormat="1" ht="12.75" x14ac:dyDescent="0.2">
      <c r="R14605" s="1288"/>
    </row>
    <row r="14606" spans="18:18" s="2" customFormat="1" ht="12.75" x14ac:dyDescent="0.2">
      <c r="R14606" s="1288"/>
    </row>
    <row r="14607" spans="18:18" s="2" customFormat="1" ht="12.75" x14ac:dyDescent="0.2">
      <c r="R14607" s="1288"/>
    </row>
    <row r="14608" spans="18:18" s="2" customFormat="1" ht="12.75" x14ac:dyDescent="0.2">
      <c r="R14608" s="1288"/>
    </row>
    <row r="14609" spans="18:18" s="2" customFormat="1" ht="12.75" x14ac:dyDescent="0.2">
      <c r="R14609" s="1288"/>
    </row>
    <row r="14610" spans="18:18" s="2" customFormat="1" ht="12.75" x14ac:dyDescent="0.2">
      <c r="R14610" s="1288"/>
    </row>
    <row r="14611" spans="18:18" s="2" customFormat="1" ht="12.75" x14ac:dyDescent="0.2">
      <c r="R14611" s="1288"/>
    </row>
    <row r="14612" spans="18:18" s="2" customFormat="1" ht="12.75" x14ac:dyDescent="0.2">
      <c r="R14612" s="1288"/>
    </row>
    <row r="14613" spans="18:18" s="2" customFormat="1" ht="12.75" x14ac:dyDescent="0.2">
      <c r="R14613" s="1288"/>
    </row>
    <row r="14614" spans="18:18" s="2" customFormat="1" ht="12.75" x14ac:dyDescent="0.2">
      <c r="R14614" s="1288"/>
    </row>
    <row r="14615" spans="18:18" s="2" customFormat="1" ht="12.75" x14ac:dyDescent="0.2">
      <c r="R14615" s="1288"/>
    </row>
    <row r="14616" spans="18:18" s="2" customFormat="1" ht="12.75" x14ac:dyDescent="0.2">
      <c r="R14616" s="1288"/>
    </row>
    <row r="14617" spans="18:18" s="2" customFormat="1" ht="12.75" x14ac:dyDescent="0.2">
      <c r="R14617" s="1288"/>
    </row>
    <row r="14618" spans="18:18" s="2" customFormat="1" ht="12.75" x14ac:dyDescent="0.2">
      <c r="R14618" s="1288"/>
    </row>
    <row r="14619" spans="18:18" s="2" customFormat="1" ht="12.75" x14ac:dyDescent="0.2">
      <c r="R14619" s="1288"/>
    </row>
    <row r="14620" spans="18:18" s="2" customFormat="1" ht="12.75" x14ac:dyDescent="0.2">
      <c r="R14620" s="1288"/>
    </row>
    <row r="14621" spans="18:18" s="2" customFormat="1" ht="12.75" x14ac:dyDescent="0.2">
      <c r="R14621" s="1288"/>
    </row>
    <row r="14622" spans="18:18" s="2" customFormat="1" ht="12.75" x14ac:dyDescent="0.2">
      <c r="R14622" s="1288"/>
    </row>
    <row r="14623" spans="18:18" s="2" customFormat="1" ht="12.75" x14ac:dyDescent="0.2">
      <c r="R14623" s="1288"/>
    </row>
    <row r="14624" spans="18:18" s="2" customFormat="1" ht="12.75" x14ac:dyDescent="0.2">
      <c r="R14624" s="1288"/>
    </row>
    <row r="14625" spans="18:18" s="2" customFormat="1" ht="12.75" x14ac:dyDescent="0.2">
      <c r="R14625" s="1288"/>
    </row>
    <row r="14626" spans="18:18" s="2" customFormat="1" ht="12.75" x14ac:dyDescent="0.2">
      <c r="R14626" s="1288"/>
    </row>
    <row r="14627" spans="18:18" s="2" customFormat="1" ht="12.75" x14ac:dyDescent="0.2">
      <c r="R14627" s="1288"/>
    </row>
    <row r="14628" spans="18:18" s="2" customFormat="1" ht="12.75" x14ac:dyDescent="0.2">
      <c r="R14628" s="1288"/>
    </row>
    <row r="14629" spans="18:18" s="2" customFormat="1" ht="12.75" x14ac:dyDescent="0.2">
      <c r="R14629" s="1288"/>
    </row>
    <row r="14630" spans="18:18" s="2" customFormat="1" ht="12.75" x14ac:dyDescent="0.2">
      <c r="R14630" s="1288"/>
    </row>
    <row r="14631" spans="18:18" s="2" customFormat="1" ht="12.75" x14ac:dyDescent="0.2">
      <c r="R14631" s="1288"/>
    </row>
    <row r="14632" spans="18:18" s="2" customFormat="1" ht="12.75" x14ac:dyDescent="0.2">
      <c r="R14632" s="1288"/>
    </row>
    <row r="14633" spans="18:18" s="2" customFormat="1" ht="12.75" x14ac:dyDescent="0.2">
      <c r="R14633" s="1288"/>
    </row>
    <row r="14634" spans="18:18" s="2" customFormat="1" ht="12.75" x14ac:dyDescent="0.2">
      <c r="R14634" s="1288"/>
    </row>
    <row r="14635" spans="18:18" s="2" customFormat="1" ht="12.75" x14ac:dyDescent="0.2">
      <c r="R14635" s="1288"/>
    </row>
    <row r="14636" spans="18:18" s="2" customFormat="1" ht="12.75" x14ac:dyDescent="0.2">
      <c r="R14636" s="1288"/>
    </row>
    <row r="14637" spans="18:18" s="2" customFormat="1" ht="12.75" x14ac:dyDescent="0.2">
      <c r="R14637" s="1288"/>
    </row>
    <row r="14638" spans="18:18" s="2" customFormat="1" ht="12.75" x14ac:dyDescent="0.2">
      <c r="R14638" s="1288"/>
    </row>
    <row r="14639" spans="18:18" s="2" customFormat="1" ht="12.75" x14ac:dyDescent="0.2">
      <c r="R14639" s="1288"/>
    </row>
    <row r="14640" spans="18:18" s="2" customFormat="1" ht="12.75" x14ac:dyDescent="0.2">
      <c r="R14640" s="1288"/>
    </row>
    <row r="14641" spans="18:18" s="2" customFormat="1" ht="12.75" x14ac:dyDescent="0.2">
      <c r="R14641" s="1288"/>
    </row>
    <row r="14642" spans="18:18" s="2" customFormat="1" ht="12.75" x14ac:dyDescent="0.2">
      <c r="R14642" s="1288"/>
    </row>
    <row r="14643" spans="18:18" s="2" customFormat="1" ht="12.75" x14ac:dyDescent="0.2">
      <c r="R14643" s="1288"/>
    </row>
    <row r="14644" spans="18:18" s="2" customFormat="1" ht="12.75" x14ac:dyDescent="0.2">
      <c r="R14644" s="1288"/>
    </row>
    <row r="14645" spans="18:18" s="2" customFormat="1" ht="12.75" x14ac:dyDescent="0.2">
      <c r="R14645" s="1288"/>
    </row>
    <row r="14646" spans="18:18" s="2" customFormat="1" ht="12.75" x14ac:dyDescent="0.2">
      <c r="R14646" s="1288"/>
    </row>
    <row r="14647" spans="18:18" s="2" customFormat="1" ht="12.75" x14ac:dyDescent="0.2">
      <c r="R14647" s="1288"/>
    </row>
    <row r="14648" spans="18:18" s="2" customFormat="1" ht="12.75" x14ac:dyDescent="0.2">
      <c r="R14648" s="1288"/>
    </row>
    <row r="14649" spans="18:18" s="2" customFormat="1" ht="12.75" x14ac:dyDescent="0.2">
      <c r="R14649" s="1288"/>
    </row>
    <row r="14650" spans="18:18" s="2" customFormat="1" ht="12.75" x14ac:dyDescent="0.2">
      <c r="R14650" s="1288"/>
    </row>
    <row r="14651" spans="18:18" s="2" customFormat="1" ht="12.75" x14ac:dyDescent="0.2">
      <c r="R14651" s="1288"/>
    </row>
    <row r="14652" spans="18:18" s="2" customFormat="1" ht="12.75" x14ac:dyDescent="0.2">
      <c r="R14652" s="1288"/>
    </row>
    <row r="14653" spans="18:18" s="2" customFormat="1" ht="12.75" x14ac:dyDescent="0.2">
      <c r="R14653" s="1288"/>
    </row>
    <row r="14654" spans="18:18" s="2" customFormat="1" ht="12.75" x14ac:dyDescent="0.2">
      <c r="R14654" s="1288"/>
    </row>
    <row r="14655" spans="18:18" s="2" customFormat="1" ht="12.75" x14ac:dyDescent="0.2">
      <c r="R14655" s="1288"/>
    </row>
    <row r="14656" spans="18:18" s="2" customFormat="1" ht="12.75" x14ac:dyDescent="0.2">
      <c r="R14656" s="1288"/>
    </row>
    <row r="14657" spans="18:18" s="2" customFormat="1" ht="12.75" x14ac:dyDescent="0.2">
      <c r="R14657" s="1288"/>
    </row>
    <row r="14658" spans="18:18" s="2" customFormat="1" ht="12.75" x14ac:dyDescent="0.2">
      <c r="R14658" s="1288"/>
    </row>
    <row r="14659" spans="18:18" s="2" customFormat="1" ht="12.75" x14ac:dyDescent="0.2">
      <c r="R14659" s="1288"/>
    </row>
    <row r="14660" spans="18:18" s="2" customFormat="1" ht="12.75" x14ac:dyDescent="0.2">
      <c r="R14660" s="1288"/>
    </row>
    <row r="14661" spans="18:18" s="2" customFormat="1" ht="12.75" x14ac:dyDescent="0.2">
      <c r="R14661" s="1288"/>
    </row>
    <row r="14662" spans="18:18" s="2" customFormat="1" ht="12.75" x14ac:dyDescent="0.2">
      <c r="R14662" s="1288"/>
    </row>
    <row r="14663" spans="18:18" s="2" customFormat="1" ht="12.75" x14ac:dyDescent="0.2">
      <c r="R14663" s="1288"/>
    </row>
    <row r="14664" spans="18:18" s="2" customFormat="1" ht="12.75" x14ac:dyDescent="0.2">
      <c r="R14664" s="1288"/>
    </row>
    <row r="14665" spans="18:18" s="2" customFormat="1" ht="12.75" x14ac:dyDescent="0.2">
      <c r="R14665" s="1288"/>
    </row>
    <row r="14666" spans="18:18" s="2" customFormat="1" ht="12.75" x14ac:dyDescent="0.2">
      <c r="R14666" s="1288"/>
    </row>
    <row r="14667" spans="18:18" s="2" customFormat="1" ht="12.75" x14ac:dyDescent="0.2">
      <c r="R14667" s="1288"/>
    </row>
    <row r="14668" spans="18:18" s="2" customFormat="1" ht="12.75" x14ac:dyDescent="0.2">
      <c r="R14668" s="1288"/>
    </row>
    <row r="14669" spans="18:18" s="2" customFormat="1" ht="12.75" x14ac:dyDescent="0.2">
      <c r="R14669" s="1288"/>
    </row>
    <row r="14670" spans="18:18" s="2" customFormat="1" ht="12.75" x14ac:dyDescent="0.2">
      <c r="R14670" s="1288"/>
    </row>
    <row r="14671" spans="18:18" s="2" customFormat="1" ht="12.75" x14ac:dyDescent="0.2">
      <c r="R14671" s="1288"/>
    </row>
    <row r="14672" spans="18:18" s="2" customFormat="1" ht="12.75" x14ac:dyDescent="0.2">
      <c r="R14672" s="1288"/>
    </row>
    <row r="14673" spans="18:18" s="2" customFormat="1" ht="12.75" x14ac:dyDescent="0.2">
      <c r="R14673" s="1288"/>
    </row>
    <row r="14674" spans="18:18" s="2" customFormat="1" ht="12.75" x14ac:dyDescent="0.2">
      <c r="R14674" s="1288"/>
    </row>
    <row r="14675" spans="18:18" s="2" customFormat="1" ht="12.75" x14ac:dyDescent="0.2">
      <c r="R14675" s="1288"/>
    </row>
    <row r="14676" spans="18:18" s="2" customFormat="1" ht="12.75" x14ac:dyDescent="0.2">
      <c r="R14676" s="1288"/>
    </row>
    <row r="14677" spans="18:18" s="2" customFormat="1" ht="12.75" x14ac:dyDescent="0.2">
      <c r="R14677" s="1288"/>
    </row>
    <row r="14678" spans="18:18" s="2" customFormat="1" ht="12.75" x14ac:dyDescent="0.2">
      <c r="R14678" s="1288"/>
    </row>
    <row r="14679" spans="18:18" s="2" customFormat="1" ht="12.75" x14ac:dyDescent="0.2">
      <c r="R14679" s="1288"/>
    </row>
    <row r="14680" spans="18:18" s="2" customFormat="1" ht="12.75" x14ac:dyDescent="0.2">
      <c r="R14680" s="1288"/>
    </row>
    <row r="14681" spans="18:18" s="2" customFormat="1" ht="12.75" x14ac:dyDescent="0.2">
      <c r="R14681" s="1288"/>
    </row>
    <row r="14682" spans="18:18" s="2" customFormat="1" ht="12.75" x14ac:dyDescent="0.2">
      <c r="R14682" s="1288"/>
    </row>
    <row r="14683" spans="18:18" s="2" customFormat="1" ht="12.75" x14ac:dyDescent="0.2">
      <c r="R14683" s="1288"/>
    </row>
    <row r="14684" spans="18:18" s="2" customFormat="1" ht="12.75" x14ac:dyDescent="0.2">
      <c r="R14684" s="1288"/>
    </row>
    <row r="14685" spans="18:18" s="2" customFormat="1" ht="12.75" x14ac:dyDescent="0.2">
      <c r="R14685" s="1288"/>
    </row>
    <row r="14686" spans="18:18" s="2" customFormat="1" ht="12.75" x14ac:dyDescent="0.2">
      <c r="R14686" s="1288"/>
    </row>
    <row r="14687" spans="18:18" s="2" customFormat="1" ht="12.75" x14ac:dyDescent="0.2">
      <c r="R14687" s="1288"/>
    </row>
    <row r="14688" spans="18:18" s="2" customFormat="1" ht="12.75" x14ac:dyDescent="0.2">
      <c r="R14688" s="1288"/>
    </row>
    <row r="14689" spans="18:18" s="2" customFormat="1" ht="12.75" x14ac:dyDescent="0.2">
      <c r="R14689" s="1288"/>
    </row>
    <row r="14690" spans="18:18" s="2" customFormat="1" ht="12.75" x14ac:dyDescent="0.2">
      <c r="R14690" s="1288"/>
    </row>
    <row r="14691" spans="18:18" s="2" customFormat="1" ht="12.75" x14ac:dyDescent="0.2">
      <c r="R14691" s="1288"/>
    </row>
    <row r="14692" spans="18:18" s="2" customFormat="1" ht="12.75" x14ac:dyDescent="0.2">
      <c r="R14692" s="1288"/>
    </row>
    <row r="14693" spans="18:18" s="2" customFormat="1" ht="12.75" x14ac:dyDescent="0.2">
      <c r="R14693" s="1288"/>
    </row>
    <row r="14694" spans="18:18" s="2" customFormat="1" ht="12.75" x14ac:dyDescent="0.2">
      <c r="R14694" s="1288"/>
    </row>
    <row r="14695" spans="18:18" s="2" customFormat="1" ht="12.75" x14ac:dyDescent="0.2">
      <c r="R14695" s="1288"/>
    </row>
    <row r="14696" spans="18:18" s="2" customFormat="1" ht="12.75" x14ac:dyDescent="0.2">
      <c r="R14696" s="1288"/>
    </row>
    <row r="14697" spans="18:18" s="2" customFormat="1" ht="12.75" x14ac:dyDescent="0.2">
      <c r="R14697" s="1288"/>
    </row>
    <row r="14698" spans="18:18" s="2" customFormat="1" ht="12.75" x14ac:dyDescent="0.2">
      <c r="R14698" s="1288"/>
    </row>
    <row r="14699" spans="18:18" s="2" customFormat="1" ht="12.75" x14ac:dyDescent="0.2">
      <c r="R14699" s="1288"/>
    </row>
    <row r="14700" spans="18:18" s="2" customFormat="1" ht="12.75" x14ac:dyDescent="0.2">
      <c r="R14700" s="1288"/>
    </row>
    <row r="14701" spans="18:18" s="2" customFormat="1" ht="12.75" x14ac:dyDescent="0.2">
      <c r="R14701" s="1288"/>
    </row>
    <row r="14702" spans="18:18" s="2" customFormat="1" ht="12.75" x14ac:dyDescent="0.2">
      <c r="R14702" s="1288"/>
    </row>
    <row r="14703" spans="18:18" s="2" customFormat="1" ht="12.75" x14ac:dyDescent="0.2">
      <c r="R14703" s="1288"/>
    </row>
    <row r="14704" spans="18:18" s="2" customFormat="1" ht="12.75" x14ac:dyDescent="0.2">
      <c r="R14704" s="1288"/>
    </row>
    <row r="14705" spans="18:18" s="2" customFormat="1" ht="12.75" x14ac:dyDescent="0.2">
      <c r="R14705" s="1288"/>
    </row>
    <row r="14706" spans="18:18" s="2" customFormat="1" ht="12.75" x14ac:dyDescent="0.2">
      <c r="R14706" s="1288"/>
    </row>
    <row r="14707" spans="18:18" s="2" customFormat="1" ht="12.75" x14ac:dyDescent="0.2">
      <c r="R14707" s="1288"/>
    </row>
    <row r="14708" spans="18:18" s="2" customFormat="1" ht="12.75" x14ac:dyDescent="0.2">
      <c r="R14708" s="1288"/>
    </row>
    <row r="14709" spans="18:18" s="2" customFormat="1" ht="12.75" x14ac:dyDescent="0.2">
      <c r="R14709" s="1288"/>
    </row>
    <row r="14710" spans="18:18" s="2" customFormat="1" ht="12.75" x14ac:dyDescent="0.2">
      <c r="R14710" s="1288"/>
    </row>
    <row r="14711" spans="18:18" s="2" customFormat="1" ht="12.75" x14ac:dyDescent="0.2">
      <c r="R14711" s="1288"/>
    </row>
    <row r="14712" spans="18:18" s="2" customFormat="1" ht="12.75" x14ac:dyDescent="0.2">
      <c r="R14712" s="1288"/>
    </row>
    <row r="14713" spans="18:18" s="2" customFormat="1" ht="12.75" x14ac:dyDescent="0.2">
      <c r="R14713" s="1288"/>
    </row>
    <row r="14714" spans="18:18" s="2" customFormat="1" ht="12.75" x14ac:dyDescent="0.2">
      <c r="R14714" s="1288"/>
    </row>
    <row r="14715" spans="18:18" s="2" customFormat="1" ht="12.75" x14ac:dyDescent="0.2">
      <c r="R14715" s="1288"/>
    </row>
    <row r="14716" spans="18:18" s="2" customFormat="1" ht="12.75" x14ac:dyDescent="0.2">
      <c r="R14716" s="1288"/>
    </row>
    <row r="14717" spans="18:18" s="2" customFormat="1" ht="12.75" x14ac:dyDescent="0.2">
      <c r="R14717" s="1288"/>
    </row>
    <row r="14718" spans="18:18" s="2" customFormat="1" ht="12.75" x14ac:dyDescent="0.2">
      <c r="R14718" s="1288"/>
    </row>
    <row r="14719" spans="18:18" s="2" customFormat="1" ht="12.75" x14ac:dyDescent="0.2">
      <c r="R14719" s="1288"/>
    </row>
    <row r="14720" spans="18:18" s="2" customFormat="1" ht="12.75" x14ac:dyDescent="0.2">
      <c r="R14720" s="1288"/>
    </row>
    <row r="14721" spans="18:18" s="2" customFormat="1" ht="12.75" x14ac:dyDescent="0.2">
      <c r="R14721" s="1288"/>
    </row>
    <row r="14722" spans="18:18" s="2" customFormat="1" ht="12.75" x14ac:dyDescent="0.2">
      <c r="R14722" s="1288"/>
    </row>
    <row r="14723" spans="18:18" s="2" customFormat="1" ht="12.75" x14ac:dyDescent="0.2">
      <c r="R14723" s="1288"/>
    </row>
    <row r="14724" spans="18:18" s="2" customFormat="1" ht="12.75" x14ac:dyDescent="0.2">
      <c r="R14724" s="1288"/>
    </row>
    <row r="14725" spans="18:18" s="2" customFormat="1" ht="12.75" x14ac:dyDescent="0.2">
      <c r="R14725" s="1288"/>
    </row>
    <row r="14726" spans="18:18" s="2" customFormat="1" ht="12.75" x14ac:dyDescent="0.2">
      <c r="R14726" s="1288"/>
    </row>
    <row r="14727" spans="18:18" s="2" customFormat="1" ht="12.75" x14ac:dyDescent="0.2">
      <c r="R14727" s="1288"/>
    </row>
    <row r="14728" spans="18:18" s="2" customFormat="1" ht="12.75" x14ac:dyDescent="0.2">
      <c r="R14728" s="1288"/>
    </row>
    <row r="14729" spans="18:18" s="2" customFormat="1" ht="12.75" x14ac:dyDescent="0.2">
      <c r="R14729" s="1288"/>
    </row>
    <row r="14730" spans="18:18" s="2" customFormat="1" ht="12.75" x14ac:dyDescent="0.2">
      <c r="R14730" s="1288"/>
    </row>
    <row r="14731" spans="18:18" s="2" customFormat="1" ht="12.75" x14ac:dyDescent="0.2">
      <c r="R14731" s="1288"/>
    </row>
    <row r="14732" spans="18:18" s="2" customFormat="1" ht="12.75" x14ac:dyDescent="0.2">
      <c r="R14732" s="1288"/>
    </row>
    <row r="14733" spans="18:18" s="2" customFormat="1" ht="12.75" x14ac:dyDescent="0.2">
      <c r="R14733" s="1288"/>
    </row>
    <row r="14734" spans="18:18" s="2" customFormat="1" ht="12.75" x14ac:dyDescent="0.2">
      <c r="R14734" s="1288"/>
    </row>
    <row r="14735" spans="18:18" s="2" customFormat="1" ht="12.75" x14ac:dyDescent="0.2">
      <c r="R14735" s="1288"/>
    </row>
    <row r="14736" spans="18:18" s="2" customFormat="1" ht="12.75" x14ac:dyDescent="0.2">
      <c r="R14736" s="1288"/>
    </row>
    <row r="14737" spans="18:18" s="2" customFormat="1" ht="12.75" x14ac:dyDescent="0.2">
      <c r="R14737" s="1288"/>
    </row>
    <row r="14738" spans="18:18" s="2" customFormat="1" ht="12.75" x14ac:dyDescent="0.2">
      <c r="R14738" s="1288"/>
    </row>
    <row r="14739" spans="18:18" s="2" customFormat="1" ht="12.75" x14ac:dyDescent="0.2">
      <c r="R14739" s="1288"/>
    </row>
    <row r="14740" spans="18:18" s="2" customFormat="1" ht="12.75" x14ac:dyDescent="0.2">
      <c r="R14740" s="1288"/>
    </row>
    <row r="14741" spans="18:18" s="2" customFormat="1" ht="12.75" x14ac:dyDescent="0.2">
      <c r="R14741" s="1288"/>
    </row>
    <row r="14742" spans="18:18" s="2" customFormat="1" ht="12.75" x14ac:dyDescent="0.2">
      <c r="R14742" s="1288"/>
    </row>
    <row r="14743" spans="18:18" s="2" customFormat="1" ht="12.75" x14ac:dyDescent="0.2">
      <c r="R14743" s="1288"/>
    </row>
    <row r="14744" spans="18:18" s="2" customFormat="1" ht="12.75" x14ac:dyDescent="0.2">
      <c r="R14744" s="1288"/>
    </row>
    <row r="14745" spans="18:18" s="2" customFormat="1" ht="12.75" x14ac:dyDescent="0.2">
      <c r="R14745" s="1288"/>
    </row>
    <row r="14746" spans="18:18" s="2" customFormat="1" ht="12.75" x14ac:dyDescent="0.2">
      <c r="R14746" s="1288"/>
    </row>
    <row r="14747" spans="18:18" s="2" customFormat="1" ht="12.75" x14ac:dyDescent="0.2">
      <c r="R14747" s="1288"/>
    </row>
    <row r="14748" spans="18:18" s="2" customFormat="1" ht="12.75" x14ac:dyDescent="0.2">
      <c r="R14748" s="1288"/>
    </row>
    <row r="14749" spans="18:18" s="2" customFormat="1" ht="12.75" x14ac:dyDescent="0.2">
      <c r="R14749" s="1288"/>
    </row>
    <row r="14750" spans="18:18" s="2" customFormat="1" ht="12.75" x14ac:dyDescent="0.2">
      <c r="R14750" s="1288"/>
    </row>
    <row r="14751" spans="18:18" s="2" customFormat="1" ht="12.75" x14ac:dyDescent="0.2">
      <c r="R14751" s="1288"/>
    </row>
    <row r="14752" spans="18:18" s="2" customFormat="1" ht="12.75" x14ac:dyDescent="0.2">
      <c r="R14752" s="1288"/>
    </row>
    <row r="14753" spans="18:18" s="2" customFormat="1" ht="12.75" x14ac:dyDescent="0.2">
      <c r="R14753" s="1288"/>
    </row>
    <row r="14754" spans="18:18" s="2" customFormat="1" ht="12.75" x14ac:dyDescent="0.2">
      <c r="R14754" s="1288"/>
    </row>
    <row r="14755" spans="18:18" s="2" customFormat="1" ht="12.75" x14ac:dyDescent="0.2">
      <c r="R14755" s="1288"/>
    </row>
    <row r="14756" spans="18:18" s="2" customFormat="1" ht="12.75" x14ac:dyDescent="0.2">
      <c r="R14756" s="1288"/>
    </row>
    <row r="14757" spans="18:18" s="2" customFormat="1" ht="12.75" x14ac:dyDescent="0.2">
      <c r="R14757" s="1288"/>
    </row>
    <row r="14758" spans="18:18" s="2" customFormat="1" ht="12.75" x14ac:dyDescent="0.2">
      <c r="R14758" s="1288"/>
    </row>
    <row r="14759" spans="18:18" s="2" customFormat="1" ht="12.75" x14ac:dyDescent="0.2">
      <c r="R14759" s="1288"/>
    </row>
    <row r="14760" spans="18:18" s="2" customFormat="1" ht="12.75" x14ac:dyDescent="0.2">
      <c r="R14760" s="1288"/>
    </row>
    <row r="14761" spans="18:18" s="2" customFormat="1" ht="12.75" x14ac:dyDescent="0.2">
      <c r="R14761" s="1288"/>
    </row>
    <row r="14762" spans="18:18" s="2" customFormat="1" ht="12.75" x14ac:dyDescent="0.2">
      <c r="R14762" s="1288"/>
    </row>
    <row r="14763" spans="18:18" s="2" customFormat="1" ht="12.75" x14ac:dyDescent="0.2">
      <c r="R14763" s="1288"/>
    </row>
    <row r="14764" spans="18:18" s="2" customFormat="1" ht="12.75" x14ac:dyDescent="0.2">
      <c r="R14764" s="1288"/>
    </row>
    <row r="14765" spans="18:18" s="2" customFormat="1" ht="12.75" x14ac:dyDescent="0.2">
      <c r="R14765" s="1288"/>
    </row>
    <row r="14766" spans="18:18" s="2" customFormat="1" ht="12.75" x14ac:dyDescent="0.2">
      <c r="R14766" s="1288"/>
    </row>
    <row r="14767" spans="18:18" s="2" customFormat="1" ht="12.75" x14ac:dyDescent="0.2">
      <c r="R14767" s="1288"/>
    </row>
    <row r="14768" spans="18:18" s="2" customFormat="1" ht="12.75" x14ac:dyDescent="0.2">
      <c r="R14768" s="1288"/>
    </row>
    <row r="14769" spans="18:18" s="2" customFormat="1" ht="12.75" x14ac:dyDescent="0.2">
      <c r="R14769" s="1288"/>
    </row>
    <row r="14770" spans="18:18" s="2" customFormat="1" ht="12.75" x14ac:dyDescent="0.2">
      <c r="R14770" s="1288"/>
    </row>
    <row r="14771" spans="18:18" s="2" customFormat="1" ht="12.75" x14ac:dyDescent="0.2">
      <c r="R14771" s="1288"/>
    </row>
    <row r="14772" spans="18:18" s="2" customFormat="1" ht="12.75" x14ac:dyDescent="0.2">
      <c r="R14772" s="1288"/>
    </row>
    <row r="14773" spans="18:18" s="2" customFormat="1" ht="12.75" x14ac:dyDescent="0.2">
      <c r="R14773" s="1288"/>
    </row>
    <row r="14774" spans="18:18" s="2" customFormat="1" ht="12.75" x14ac:dyDescent="0.2">
      <c r="R14774" s="1288"/>
    </row>
    <row r="14775" spans="18:18" s="2" customFormat="1" ht="12.75" x14ac:dyDescent="0.2">
      <c r="R14775" s="1288"/>
    </row>
    <row r="14776" spans="18:18" s="2" customFormat="1" ht="12.75" x14ac:dyDescent="0.2">
      <c r="R14776" s="1288"/>
    </row>
    <row r="14777" spans="18:18" s="2" customFormat="1" ht="12.75" x14ac:dyDescent="0.2">
      <c r="R14777" s="1288"/>
    </row>
    <row r="14778" spans="18:18" s="2" customFormat="1" ht="12.75" x14ac:dyDescent="0.2">
      <c r="R14778" s="1288"/>
    </row>
    <row r="14779" spans="18:18" s="2" customFormat="1" ht="12.75" x14ac:dyDescent="0.2">
      <c r="R14779" s="1288"/>
    </row>
    <row r="14780" spans="18:18" s="2" customFormat="1" ht="12.75" x14ac:dyDescent="0.2">
      <c r="R14780" s="1288"/>
    </row>
    <row r="14781" spans="18:18" s="2" customFormat="1" ht="12.75" x14ac:dyDescent="0.2">
      <c r="R14781" s="1288"/>
    </row>
    <row r="14782" spans="18:18" s="2" customFormat="1" ht="12.75" x14ac:dyDescent="0.2">
      <c r="R14782" s="1288"/>
    </row>
    <row r="14783" spans="18:18" s="2" customFormat="1" ht="12.75" x14ac:dyDescent="0.2">
      <c r="R14783" s="1288"/>
    </row>
    <row r="14784" spans="18:18" s="2" customFormat="1" ht="12.75" x14ac:dyDescent="0.2">
      <c r="R14784" s="1288"/>
    </row>
    <row r="14785" spans="18:18" s="2" customFormat="1" ht="12.75" x14ac:dyDescent="0.2">
      <c r="R14785" s="1288"/>
    </row>
    <row r="14786" spans="18:18" s="2" customFormat="1" ht="12.75" x14ac:dyDescent="0.2">
      <c r="R14786" s="1288"/>
    </row>
    <row r="14787" spans="18:18" s="2" customFormat="1" ht="12.75" x14ac:dyDescent="0.2">
      <c r="R14787" s="1288"/>
    </row>
    <row r="14788" spans="18:18" s="2" customFormat="1" ht="12.75" x14ac:dyDescent="0.2">
      <c r="R14788" s="1288"/>
    </row>
    <row r="14789" spans="18:18" s="2" customFormat="1" ht="12.75" x14ac:dyDescent="0.2">
      <c r="R14789" s="1288"/>
    </row>
    <row r="14790" spans="18:18" s="2" customFormat="1" ht="12.75" x14ac:dyDescent="0.2">
      <c r="R14790" s="1288"/>
    </row>
    <row r="14791" spans="18:18" s="2" customFormat="1" ht="12.75" x14ac:dyDescent="0.2">
      <c r="R14791" s="1288"/>
    </row>
    <row r="14792" spans="18:18" s="2" customFormat="1" ht="12.75" x14ac:dyDescent="0.2">
      <c r="R14792" s="1288"/>
    </row>
    <row r="14793" spans="18:18" s="2" customFormat="1" ht="12.75" x14ac:dyDescent="0.2">
      <c r="R14793" s="1288"/>
    </row>
    <row r="14794" spans="18:18" s="2" customFormat="1" ht="12.75" x14ac:dyDescent="0.2">
      <c r="R14794" s="1288"/>
    </row>
    <row r="14795" spans="18:18" s="2" customFormat="1" ht="12.75" x14ac:dyDescent="0.2">
      <c r="R14795" s="1288"/>
    </row>
    <row r="14796" spans="18:18" s="2" customFormat="1" ht="12.75" x14ac:dyDescent="0.2">
      <c r="R14796" s="1288"/>
    </row>
    <row r="14797" spans="18:18" s="2" customFormat="1" ht="12.75" x14ac:dyDescent="0.2">
      <c r="R14797" s="1288"/>
    </row>
    <row r="14798" spans="18:18" s="2" customFormat="1" ht="12.75" x14ac:dyDescent="0.2">
      <c r="R14798" s="1288"/>
    </row>
    <row r="14799" spans="18:18" s="2" customFormat="1" ht="12.75" x14ac:dyDescent="0.2">
      <c r="R14799" s="1288"/>
    </row>
    <row r="14800" spans="18:18" s="2" customFormat="1" ht="12.75" x14ac:dyDescent="0.2">
      <c r="R14800" s="1288"/>
    </row>
    <row r="14801" spans="18:18" s="2" customFormat="1" ht="12.75" x14ac:dyDescent="0.2">
      <c r="R14801" s="1288"/>
    </row>
    <row r="14802" spans="18:18" s="2" customFormat="1" ht="12.75" x14ac:dyDescent="0.2">
      <c r="R14802" s="1288"/>
    </row>
    <row r="14803" spans="18:18" s="2" customFormat="1" ht="12.75" x14ac:dyDescent="0.2">
      <c r="R14803" s="1288"/>
    </row>
    <row r="14804" spans="18:18" s="2" customFormat="1" ht="12.75" x14ac:dyDescent="0.2">
      <c r="R14804" s="1288"/>
    </row>
    <row r="14805" spans="18:18" s="2" customFormat="1" ht="12.75" x14ac:dyDescent="0.2">
      <c r="R14805" s="1288"/>
    </row>
    <row r="14806" spans="18:18" s="2" customFormat="1" ht="12.75" x14ac:dyDescent="0.2">
      <c r="R14806" s="1288"/>
    </row>
    <row r="14807" spans="18:18" s="2" customFormat="1" ht="12.75" x14ac:dyDescent="0.2">
      <c r="R14807" s="1288"/>
    </row>
    <row r="14808" spans="18:18" s="2" customFormat="1" ht="12.75" x14ac:dyDescent="0.2">
      <c r="R14808" s="1288"/>
    </row>
    <row r="14809" spans="18:18" s="2" customFormat="1" ht="12.75" x14ac:dyDescent="0.2">
      <c r="R14809" s="1288"/>
    </row>
    <row r="14810" spans="18:18" s="2" customFormat="1" ht="12.75" x14ac:dyDescent="0.2">
      <c r="R14810" s="1288"/>
    </row>
    <row r="14811" spans="18:18" s="2" customFormat="1" ht="12.75" x14ac:dyDescent="0.2">
      <c r="R14811" s="1288"/>
    </row>
    <row r="14812" spans="18:18" s="2" customFormat="1" ht="12.75" x14ac:dyDescent="0.2">
      <c r="R14812" s="1288"/>
    </row>
    <row r="14813" spans="18:18" s="2" customFormat="1" ht="12.75" x14ac:dyDescent="0.2">
      <c r="R14813" s="1288"/>
    </row>
    <row r="14814" spans="18:18" s="2" customFormat="1" ht="12.75" x14ac:dyDescent="0.2">
      <c r="R14814" s="1288"/>
    </row>
    <row r="14815" spans="18:18" s="2" customFormat="1" ht="12.75" x14ac:dyDescent="0.2">
      <c r="R14815" s="1288"/>
    </row>
    <row r="14816" spans="18:18" s="2" customFormat="1" ht="12.75" x14ac:dyDescent="0.2">
      <c r="R14816" s="1288"/>
    </row>
    <row r="14817" spans="18:18" s="2" customFormat="1" ht="12.75" x14ac:dyDescent="0.2">
      <c r="R14817" s="1288"/>
    </row>
    <row r="14818" spans="18:18" s="2" customFormat="1" ht="12.75" x14ac:dyDescent="0.2">
      <c r="R14818" s="1288"/>
    </row>
    <row r="14819" spans="18:18" s="2" customFormat="1" ht="12.75" x14ac:dyDescent="0.2">
      <c r="R14819" s="1288"/>
    </row>
    <row r="14820" spans="18:18" s="2" customFormat="1" ht="12.75" x14ac:dyDescent="0.2">
      <c r="R14820" s="1288"/>
    </row>
    <row r="14821" spans="18:18" s="2" customFormat="1" ht="12.75" x14ac:dyDescent="0.2">
      <c r="R14821" s="1288"/>
    </row>
    <row r="14822" spans="18:18" s="2" customFormat="1" ht="12.75" x14ac:dyDescent="0.2">
      <c r="R14822" s="1288"/>
    </row>
    <row r="14823" spans="18:18" s="2" customFormat="1" ht="12.75" x14ac:dyDescent="0.2">
      <c r="R14823" s="1288"/>
    </row>
    <row r="14824" spans="18:18" s="2" customFormat="1" ht="12.75" x14ac:dyDescent="0.2">
      <c r="R14824" s="1288"/>
    </row>
    <row r="14825" spans="18:18" s="2" customFormat="1" ht="12.75" x14ac:dyDescent="0.2">
      <c r="R14825" s="1288"/>
    </row>
    <row r="14826" spans="18:18" s="2" customFormat="1" ht="12.75" x14ac:dyDescent="0.2">
      <c r="R14826" s="1288"/>
    </row>
    <row r="14827" spans="18:18" s="2" customFormat="1" ht="12.75" x14ac:dyDescent="0.2">
      <c r="R14827" s="1288"/>
    </row>
    <row r="14828" spans="18:18" s="2" customFormat="1" ht="12.75" x14ac:dyDescent="0.2">
      <c r="R14828" s="1288"/>
    </row>
    <row r="14829" spans="18:18" s="2" customFormat="1" ht="12.75" x14ac:dyDescent="0.2">
      <c r="R14829" s="1288"/>
    </row>
    <row r="14830" spans="18:18" s="2" customFormat="1" ht="12.75" x14ac:dyDescent="0.2">
      <c r="R14830" s="1288"/>
    </row>
    <row r="14831" spans="18:18" s="2" customFormat="1" ht="12.75" x14ac:dyDescent="0.2">
      <c r="R14831" s="1288"/>
    </row>
    <row r="14832" spans="18:18" s="2" customFormat="1" ht="12.75" x14ac:dyDescent="0.2">
      <c r="R14832" s="1288"/>
    </row>
    <row r="14833" spans="18:18" s="2" customFormat="1" ht="12.75" x14ac:dyDescent="0.2">
      <c r="R14833" s="1288"/>
    </row>
    <row r="14834" spans="18:18" s="2" customFormat="1" ht="12.75" x14ac:dyDescent="0.2">
      <c r="R14834" s="1288"/>
    </row>
    <row r="14835" spans="18:18" s="2" customFormat="1" ht="12.75" x14ac:dyDescent="0.2">
      <c r="R14835" s="1288"/>
    </row>
    <row r="14836" spans="18:18" s="2" customFormat="1" ht="12.75" x14ac:dyDescent="0.2">
      <c r="R14836" s="1288"/>
    </row>
    <row r="14837" spans="18:18" s="2" customFormat="1" ht="12.75" x14ac:dyDescent="0.2">
      <c r="R14837" s="1288"/>
    </row>
    <row r="14838" spans="18:18" s="2" customFormat="1" ht="12.75" x14ac:dyDescent="0.2">
      <c r="R14838" s="1288"/>
    </row>
    <row r="14839" spans="18:18" s="2" customFormat="1" ht="12.75" x14ac:dyDescent="0.2">
      <c r="R14839" s="1288"/>
    </row>
    <row r="14840" spans="18:18" s="2" customFormat="1" ht="12.75" x14ac:dyDescent="0.2">
      <c r="R14840" s="1288"/>
    </row>
    <row r="14841" spans="18:18" s="2" customFormat="1" ht="12.75" x14ac:dyDescent="0.2">
      <c r="R14841" s="1288"/>
    </row>
    <row r="14842" spans="18:18" s="2" customFormat="1" ht="12.75" x14ac:dyDescent="0.2">
      <c r="R14842" s="1288"/>
    </row>
    <row r="14843" spans="18:18" s="2" customFormat="1" ht="12.75" x14ac:dyDescent="0.2">
      <c r="R14843" s="1288"/>
    </row>
    <row r="14844" spans="18:18" s="2" customFormat="1" ht="12.75" x14ac:dyDescent="0.2">
      <c r="R14844" s="1288"/>
    </row>
    <row r="14845" spans="18:18" s="2" customFormat="1" ht="12.75" x14ac:dyDescent="0.2">
      <c r="R14845" s="1288"/>
    </row>
    <row r="14846" spans="18:18" s="2" customFormat="1" ht="12.75" x14ac:dyDescent="0.2">
      <c r="R14846" s="1288"/>
    </row>
    <row r="14847" spans="18:18" s="2" customFormat="1" ht="12.75" x14ac:dyDescent="0.2">
      <c r="R14847" s="1288"/>
    </row>
    <row r="14848" spans="18:18" s="2" customFormat="1" ht="12.75" x14ac:dyDescent="0.2">
      <c r="R14848" s="1288"/>
    </row>
    <row r="14849" spans="18:18" s="2" customFormat="1" ht="12.75" x14ac:dyDescent="0.2">
      <c r="R14849" s="1288"/>
    </row>
    <row r="14850" spans="18:18" s="2" customFormat="1" ht="12.75" x14ac:dyDescent="0.2">
      <c r="R14850" s="1288"/>
    </row>
    <row r="14851" spans="18:18" s="2" customFormat="1" ht="12.75" x14ac:dyDescent="0.2">
      <c r="R14851" s="1288"/>
    </row>
    <row r="14852" spans="18:18" s="2" customFormat="1" ht="12.75" x14ac:dyDescent="0.2">
      <c r="R14852" s="1288"/>
    </row>
    <row r="14853" spans="18:18" s="2" customFormat="1" ht="12.75" x14ac:dyDescent="0.2">
      <c r="R14853" s="1288"/>
    </row>
    <row r="14854" spans="18:18" s="2" customFormat="1" ht="12.75" x14ac:dyDescent="0.2">
      <c r="R14854" s="1288"/>
    </row>
    <row r="14855" spans="18:18" s="2" customFormat="1" ht="12.75" x14ac:dyDescent="0.2">
      <c r="R14855" s="1288"/>
    </row>
    <row r="14856" spans="18:18" s="2" customFormat="1" ht="12.75" x14ac:dyDescent="0.2">
      <c r="R14856" s="1288"/>
    </row>
    <row r="14857" spans="18:18" s="2" customFormat="1" ht="12.75" x14ac:dyDescent="0.2">
      <c r="R14857" s="1288"/>
    </row>
    <row r="14858" spans="18:18" s="2" customFormat="1" ht="12.75" x14ac:dyDescent="0.2">
      <c r="R14858" s="1288"/>
    </row>
    <row r="14859" spans="18:18" s="2" customFormat="1" ht="12.75" x14ac:dyDescent="0.2">
      <c r="R14859" s="1288"/>
    </row>
    <row r="14860" spans="18:18" s="2" customFormat="1" ht="12.75" x14ac:dyDescent="0.2">
      <c r="R14860" s="1288"/>
    </row>
    <row r="14861" spans="18:18" s="2" customFormat="1" ht="12.75" x14ac:dyDescent="0.2">
      <c r="R14861" s="1288"/>
    </row>
    <row r="14862" spans="18:18" s="2" customFormat="1" ht="12.75" x14ac:dyDescent="0.2">
      <c r="R14862" s="1288"/>
    </row>
    <row r="14863" spans="18:18" s="2" customFormat="1" ht="12.75" x14ac:dyDescent="0.2">
      <c r="R14863" s="1288"/>
    </row>
    <row r="14864" spans="18:18" s="2" customFormat="1" ht="12.75" x14ac:dyDescent="0.2">
      <c r="R14864" s="1288"/>
    </row>
    <row r="14865" spans="18:18" s="2" customFormat="1" ht="12.75" x14ac:dyDescent="0.2">
      <c r="R14865" s="1288"/>
    </row>
    <row r="14866" spans="18:18" s="2" customFormat="1" ht="12.75" x14ac:dyDescent="0.2">
      <c r="R14866" s="1288"/>
    </row>
    <row r="14867" spans="18:18" s="2" customFormat="1" ht="12.75" x14ac:dyDescent="0.2">
      <c r="R14867" s="1288"/>
    </row>
    <row r="14868" spans="18:18" s="2" customFormat="1" ht="12.75" x14ac:dyDescent="0.2">
      <c r="R14868" s="1288"/>
    </row>
    <row r="14869" spans="18:18" s="2" customFormat="1" ht="12.75" x14ac:dyDescent="0.2">
      <c r="R14869" s="1288"/>
    </row>
    <row r="14870" spans="18:18" s="2" customFormat="1" ht="12.75" x14ac:dyDescent="0.2">
      <c r="R14870" s="1288"/>
    </row>
    <row r="14871" spans="18:18" s="2" customFormat="1" ht="12.75" x14ac:dyDescent="0.2">
      <c r="R14871" s="1288"/>
    </row>
    <row r="14872" spans="18:18" s="2" customFormat="1" ht="12.75" x14ac:dyDescent="0.2">
      <c r="R14872" s="1288"/>
    </row>
    <row r="14873" spans="18:18" s="2" customFormat="1" ht="12.75" x14ac:dyDescent="0.2">
      <c r="R14873" s="1288"/>
    </row>
    <row r="14874" spans="18:18" s="2" customFormat="1" ht="12.75" x14ac:dyDescent="0.2">
      <c r="R14874" s="1288"/>
    </row>
    <row r="14875" spans="18:18" s="2" customFormat="1" ht="12.75" x14ac:dyDescent="0.2">
      <c r="R14875" s="1288"/>
    </row>
    <row r="14876" spans="18:18" s="2" customFormat="1" ht="12.75" x14ac:dyDescent="0.2">
      <c r="R14876" s="1288"/>
    </row>
    <row r="14877" spans="18:18" s="2" customFormat="1" ht="12.75" x14ac:dyDescent="0.2">
      <c r="R14877" s="1288"/>
    </row>
    <row r="14878" spans="18:18" s="2" customFormat="1" ht="12.75" x14ac:dyDescent="0.2">
      <c r="R14878" s="1288"/>
    </row>
    <row r="14879" spans="18:18" s="2" customFormat="1" ht="12.75" x14ac:dyDescent="0.2">
      <c r="R14879" s="1288"/>
    </row>
    <row r="14880" spans="18:18" s="2" customFormat="1" ht="12.75" x14ac:dyDescent="0.2">
      <c r="R14880" s="1288"/>
    </row>
    <row r="14881" spans="18:18" s="2" customFormat="1" ht="12.75" x14ac:dyDescent="0.2">
      <c r="R14881" s="1288"/>
    </row>
    <row r="14882" spans="18:18" s="2" customFormat="1" ht="12.75" x14ac:dyDescent="0.2">
      <c r="R14882" s="1288"/>
    </row>
    <row r="14883" spans="18:18" s="2" customFormat="1" ht="12.75" x14ac:dyDescent="0.2">
      <c r="R14883" s="1288"/>
    </row>
    <row r="14884" spans="18:18" s="2" customFormat="1" ht="12.75" x14ac:dyDescent="0.2">
      <c r="R14884" s="1288"/>
    </row>
    <row r="14885" spans="18:18" s="2" customFormat="1" ht="12.75" x14ac:dyDescent="0.2">
      <c r="R14885" s="1288"/>
    </row>
    <row r="14886" spans="18:18" s="2" customFormat="1" ht="12.75" x14ac:dyDescent="0.2">
      <c r="R14886" s="1288"/>
    </row>
    <row r="14887" spans="18:18" s="2" customFormat="1" ht="12.75" x14ac:dyDescent="0.2">
      <c r="R14887" s="1288"/>
    </row>
    <row r="14888" spans="18:18" s="2" customFormat="1" ht="12.75" x14ac:dyDescent="0.2">
      <c r="R14888" s="1288"/>
    </row>
    <row r="14889" spans="18:18" s="2" customFormat="1" ht="12.75" x14ac:dyDescent="0.2">
      <c r="R14889" s="1288"/>
    </row>
    <row r="14890" spans="18:18" s="2" customFormat="1" ht="12.75" x14ac:dyDescent="0.2">
      <c r="R14890" s="1288"/>
    </row>
    <row r="14891" spans="18:18" s="2" customFormat="1" ht="12.75" x14ac:dyDescent="0.2">
      <c r="R14891" s="1288"/>
    </row>
    <row r="14892" spans="18:18" s="2" customFormat="1" ht="12.75" x14ac:dyDescent="0.2">
      <c r="R14892" s="1288"/>
    </row>
    <row r="14893" spans="18:18" s="2" customFormat="1" ht="12.75" x14ac:dyDescent="0.2">
      <c r="R14893" s="1288"/>
    </row>
    <row r="14894" spans="18:18" s="2" customFormat="1" ht="12.75" x14ac:dyDescent="0.2">
      <c r="R14894" s="1288"/>
    </row>
    <row r="14895" spans="18:18" s="2" customFormat="1" ht="12.75" x14ac:dyDescent="0.2">
      <c r="R14895" s="1288"/>
    </row>
    <row r="14896" spans="18:18" s="2" customFormat="1" ht="12.75" x14ac:dyDescent="0.2">
      <c r="R14896" s="1288"/>
    </row>
    <row r="14897" spans="18:18" s="2" customFormat="1" ht="12.75" x14ac:dyDescent="0.2">
      <c r="R14897" s="1288"/>
    </row>
    <row r="14898" spans="18:18" s="2" customFormat="1" ht="12.75" x14ac:dyDescent="0.2">
      <c r="R14898" s="1288"/>
    </row>
    <row r="14899" spans="18:18" s="2" customFormat="1" ht="12.75" x14ac:dyDescent="0.2">
      <c r="R14899" s="1288"/>
    </row>
    <row r="14900" spans="18:18" s="2" customFormat="1" ht="12.75" x14ac:dyDescent="0.2">
      <c r="R14900" s="1288"/>
    </row>
    <row r="14901" spans="18:18" s="2" customFormat="1" ht="12.75" x14ac:dyDescent="0.2">
      <c r="R14901" s="1288"/>
    </row>
    <row r="14902" spans="18:18" s="2" customFormat="1" ht="12.75" x14ac:dyDescent="0.2">
      <c r="R14902" s="1288"/>
    </row>
    <row r="14903" spans="18:18" s="2" customFormat="1" ht="12.75" x14ac:dyDescent="0.2">
      <c r="R14903" s="1288"/>
    </row>
    <row r="14904" spans="18:18" s="2" customFormat="1" ht="12.75" x14ac:dyDescent="0.2">
      <c r="R14904" s="1288"/>
    </row>
    <row r="14905" spans="18:18" s="2" customFormat="1" ht="12.75" x14ac:dyDescent="0.2">
      <c r="R14905" s="1288"/>
    </row>
    <row r="14906" spans="18:18" s="2" customFormat="1" ht="12.75" x14ac:dyDescent="0.2">
      <c r="R14906" s="1288"/>
    </row>
    <row r="14907" spans="18:18" s="2" customFormat="1" ht="12.75" x14ac:dyDescent="0.2">
      <c r="R14907" s="1288"/>
    </row>
    <row r="14908" spans="18:18" s="2" customFormat="1" ht="12.75" x14ac:dyDescent="0.2">
      <c r="R14908" s="1288"/>
    </row>
    <row r="14909" spans="18:18" s="2" customFormat="1" ht="12.75" x14ac:dyDescent="0.2">
      <c r="R14909" s="1288"/>
    </row>
    <row r="14910" spans="18:18" s="2" customFormat="1" ht="12.75" x14ac:dyDescent="0.2">
      <c r="R14910" s="1288"/>
    </row>
    <row r="14911" spans="18:18" s="2" customFormat="1" ht="12.75" x14ac:dyDescent="0.2">
      <c r="R14911" s="1288"/>
    </row>
    <row r="14912" spans="18:18" s="2" customFormat="1" ht="12.75" x14ac:dyDescent="0.2">
      <c r="R14912" s="1288"/>
    </row>
    <row r="14913" spans="18:18" s="2" customFormat="1" ht="12.75" x14ac:dyDescent="0.2">
      <c r="R14913" s="1288"/>
    </row>
    <row r="14914" spans="18:18" s="2" customFormat="1" ht="12.75" x14ac:dyDescent="0.2">
      <c r="R14914" s="1288"/>
    </row>
    <row r="14915" spans="18:18" s="2" customFormat="1" ht="12.75" x14ac:dyDescent="0.2">
      <c r="R14915" s="1288"/>
    </row>
    <row r="14916" spans="18:18" s="2" customFormat="1" ht="12.75" x14ac:dyDescent="0.2">
      <c r="R14916" s="1288"/>
    </row>
    <row r="14917" spans="18:18" s="2" customFormat="1" ht="12.75" x14ac:dyDescent="0.2">
      <c r="R14917" s="1288"/>
    </row>
    <row r="14918" spans="18:18" s="2" customFormat="1" ht="12.75" x14ac:dyDescent="0.2">
      <c r="R14918" s="1288"/>
    </row>
    <row r="14919" spans="18:18" s="2" customFormat="1" ht="12.75" x14ac:dyDescent="0.2">
      <c r="R14919" s="1288"/>
    </row>
    <row r="14920" spans="18:18" s="2" customFormat="1" ht="12.75" x14ac:dyDescent="0.2">
      <c r="R14920" s="1288"/>
    </row>
    <row r="14921" spans="18:18" s="2" customFormat="1" ht="12.75" x14ac:dyDescent="0.2">
      <c r="R14921" s="1288"/>
    </row>
    <row r="14922" spans="18:18" s="2" customFormat="1" ht="12.75" x14ac:dyDescent="0.2">
      <c r="R14922" s="1288"/>
    </row>
    <row r="14923" spans="18:18" s="2" customFormat="1" ht="12.75" x14ac:dyDescent="0.2">
      <c r="R14923" s="1288"/>
    </row>
    <row r="14924" spans="18:18" s="2" customFormat="1" ht="12.75" x14ac:dyDescent="0.2">
      <c r="R14924" s="1288"/>
    </row>
    <row r="14925" spans="18:18" s="2" customFormat="1" ht="12.75" x14ac:dyDescent="0.2">
      <c r="R14925" s="1288"/>
    </row>
    <row r="14926" spans="18:18" s="2" customFormat="1" ht="12.75" x14ac:dyDescent="0.2">
      <c r="R14926" s="1288"/>
    </row>
    <row r="14927" spans="18:18" s="2" customFormat="1" ht="12.75" x14ac:dyDescent="0.2">
      <c r="R14927" s="1288"/>
    </row>
    <row r="14928" spans="18:18" s="2" customFormat="1" ht="12.75" x14ac:dyDescent="0.2">
      <c r="R14928" s="1288"/>
    </row>
    <row r="14929" spans="18:18" s="2" customFormat="1" ht="12.75" x14ac:dyDescent="0.2">
      <c r="R14929" s="1288"/>
    </row>
    <row r="14930" spans="18:18" s="2" customFormat="1" ht="12.75" x14ac:dyDescent="0.2">
      <c r="R14930" s="1288"/>
    </row>
    <row r="14931" spans="18:18" s="2" customFormat="1" ht="12.75" x14ac:dyDescent="0.2">
      <c r="R14931" s="1288"/>
    </row>
    <row r="14932" spans="18:18" s="2" customFormat="1" ht="12.75" x14ac:dyDescent="0.2">
      <c r="R14932" s="1288"/>
    </row>
    <row r="14933" spans="18:18" s="2" customFormat="1" ht="12.75" x14ac:dyDescent="0.2">
      <c r="R14933" s="1288"/>
    </row>
    <row r="14934" spans="18:18" s="2" customFormat="1" ht="12.75" x14ac:dyDescent="0.2">
      <c r="R14934" s="1288"/>
    </row>
    <row r="14935" spans="18:18" s="2" customFormat="1" ht="12.75" x14ac:dyDescent="0.2">
      <c r="R14935" s="1288"/>
    </row>
    <row r="14936" spans="18:18" s="2" customFormat="1" ht="12.75" x14ac:dyDescent="0.2">
      <c r="R14936" s="1288"/>
    </row>
    <row r="14937" spans="18:18" s="2" customFormat="1" ht="12.75" x14ac:dyDescent="0.2">
      <c r="R14937" s="1288"/>
    </row>
    <row r="14938" spans="18:18" s="2" customFormat="1" ht="12.75" x14ac:dyDescent="0.2">
      <c r="R14938" s="1288"/>
    </row>
    <row r="14939" spans="18:18" s="2" customFormat="1" ht="12.75" x14ac:dyDescent="0.2">
      <c r="R14939" s="1288"/>
    </row>
    <row r="14940" spans="18:18" s="2" customFormat="1" ht="12.75" x14ac:dyDescent="0.2">
      <c r="R14940" s="1288"/>
    </row>
    <row r="14941" spans="18:18" s="2" customFormat="1" ht="12.75" x14ac:dyDescent="0.2">
      <c r="R14941" s="1288"/>
    </row>
    <row r="14942" spans="18:18" s="2" customFormat="1" ht="12.75" x14ac:dyDescent="0.2">
      <c r="R14942" s="1288"/>
    </row>
    <row r="14943" spans="18:18" s="2" customFormat="1" ht="12.75" x14ac:dyDescent="0.2">
      <c r="R14943" s="1288"/>
    </row>
    <row r="14944" spans="18:18" s="2" customFormat="1" ht="12.75" x14ac:dyDescent="0.2">
      <c r="R14944" s="1288"/>
    </row>
    <row r="14945" spans="18:18" s="2" customFormat="1" ht="12.75" x14ac:dyDescent="0.2">
      <c r="R14945" s="1288"/>
    </row>
    <row r="14946" spans="18:18" s="2" customFormat="1" ht="12.75" x14ac:dyDescent="0.2">
      <c r="R14946" s="1288"/>
    </row>
    <row r="14947" spans="18:18" s="2" customFormat="1" ht="12.75" x14ac:dyDescent="0.2">
      <c r="R14947" s="1288"/>
    </row>
    <row r="14948" spans="18:18" s="2" customFormat="1" ht="12.75" x14ac:dyDescent="0.2">
      <c r="R14948" s="1288"/>
    </row>
    <row r="14949" spans="18:18" s="2" customFormat="1" ht="12.75" x14ac:dyDescent="0.2">
      <c r="R14949" s="1288"/>
    </row>
    <row r="14950" spans="18:18" s="2" customFormat="1" ht="12.75" x14ac:dyDescent="0.2">
      <c r="R14950" s="1288"/>
    </row>
    <row r="14951" spans="18:18" s="2" customFormat="1" ht="12.75" x14ac:dyDescent="0.2">
      <c r="R14951" s="1288"/>
    </row>
    <row r="14952" spans="18:18" s="2" customFormat="1" ht="12.75" x14ac:dyDescent="0.2">
      <c r="R14952" s="1288"/>
    </row>
    <row r="14953" spans="18:18" s="2" customFormat="1" ht="12.75" x14ac:dyDescent="0.2">
      <c r="R14953" s="1288"/>
    </row>
    <row r="14954" spans="18:18" s="2" customFormat="1" ht="12.75" x14ac:dyDescent="0.2">
      <c r="R14954" s="1288"/>
    </row>
    <row r="14955" spans="18:18" s="2" customFormat="1" ht="12.75" x14ac:dyDescent="0.2">
      <c r="R14955" s="1288"/>
    </row>
    <row r="14956" spans="18:18" s="2" customFormat="1" ht="12.75" x14ac:dyDescent="0.2">
      <c r="R14956" s="1288"/>
    </row>
    <row r="14957" spans="18:18" s="2" customFormat="1" ht="12.75" x14ac:dyDescent="0.2">
      <c r="R14957" s="1288"/>
    </row>
    <row r="14958" spans="18:18" s="2" customFormat="1" ht="12.75" x14ac:dyDescent="0.2">
      <c r="R14958" s="1288"/>
    </row>
    <row r="14959" spans="18:18" s="2" customFormat="1" ht="12.75" x14ac:dyDescent="0.2">
      <c r="R14959" s="1288"/>
    </row>
    <row r="14960" spans="18:18" s="2" customFormat="1" ht="12.75" x14ac:dyDescent="0.2">
      <c r="R14960" s="1288"/>
    </row>
    <row r="14961" spans="18:18" s="2" customFormat="1" ht="12.75" x14ac:dyDescent="0.2">
      <c r="R14961" s="1288"/>
    </row>
    <row r="14962" spans="18:18" s="2" customFormat="1" ht="12.75" x14ac:dyDescent="0.2">
      <c r="R14962" s="1288"/>
    </row>
    <row r="14963" spans="18:18" s="2" customFormat="1" ht="12.75" x14ac:dyDescent="0.2">
      <c r="R14963" s="1288"/>
    </row>
    <row r="14964" spans="18:18" s="2" customFormat="1" ht="12.75" x14ac:dyDescent="0.2">
      <c r="R14964" s="1288"/>
    </row>
    <row r="14965" spans="18:18" s="2" customFormat="1" ht="12.75" x14ac:dyDescent="0.2">
      <c r="R14965" s="1288"/>
    </row>
    <row r="14966" spans="18:18" s="2" customFormat="1" ht="12.75" x14ac:dyDescent="0.2">
      <c r="R14966" s="1288"/>
    </row>
    <row r="14967" spans="18:18" s="2" customFormat="1" ht="12.75" x14ac:dyDescent="0.2">
      <c r="R14967" s="1288"/>
    </row>
    <row r="14968" spans="18:18" s="2" customFormat="1" ht="12.75" x14ac:dyDescent="0.2">
      <c r="R14968" s="1288"/>
    </row>
    <row r="14969" spans="18:18" s="2" customFormat="1" ht="12.75" x14ac:dyDescent="0.2">
      <c r="R14969" s="1288"/>
    </row>
    <row r="14970" spans="18:18" s="2" customFormat="1" ht="12.75" x14ac:dyDescent="0.2">
      <c r="R14970" s="1288"/>
    </row>
    <row r="14971" spans="18:18" s="2" customFormat="1" ht="12.75" x14ac:dyDescent="0.2">
      <c r="R14971" s="1288"/>
    </row>
    <row r="14972" spans="18:18" s="2" customFormat="1" ht="12.75" x14ac:dyDescent="0.2">
      <c r="R14972" s="1288"/>
    </row>
    <row r="14973" spans="18:18" s="2" customFormat="1" ht="12.75" x14ac:dyDescent="0.2">
      <c r="R14973" s="1288"/>
    </row>
    <row r="14974" spans="18:18" s="2" customFormat="1" ht="12.75" x14ac:dyDescent="0.2">
      <c r="R14974" s="1288"/>
    </row>
    <row r="14975" spans="18:18" s="2" customFormat="1" ht="12.75" x14ac:dyDescent="0.2">
      <c r="R14975" s="1288"/>
    </row>
    <row r="14976" spans="18:18" s="2" customFormat="1" ht="12.75" x14ac:dyDescent="0.2">
      <c r="R14976" s="1288"/>
    </row>
    <row r="14977" spans="18:18" s="2" customFormat="1" ht="12.75" x14ac:dyDescent="0.2">
      <c r="R14977" s="1288"/>
    </row>
    <row r="14978" spans="18:18" s="2" customFormat="1" ht="12.75" x14ac:dyDescent="0.2">
      <c r="R14978" s="1288"/>
    </row>
    <row r="14979" spans="18:18" s="2" customFormat="1" ht="12.75" x14ac:dyDescent="0.2">
      <c r="R14979" s="1288"/>
    </row>
    <row r="14980" spans="18:18" s="2" customFormat="1" ht="12.75" x14ac:dyDescent="0.2">
      <c r="R14980" s="1288"/>
    </row>
    <row r="14981" spans="18:18" s="2" customFormat="1" ht="12.75" x14ac:dyDescent="0.2">
      <c r="R14981" s="1288"/>
    </row>
    <row r="14982" spans="18:18" s="2" customFormat="1" ht="12.75" x14ac:dyDescent="0.2">
      <c r="R14982" s="1288"/>
    </row>
    <row r="14983" spans="18:18" s="2" customFormat="1" ht="12.75" x14ac:dyDescent="0.2">
      <c r="R14983" s="1288"/>
    </row>
    <row r="14984" spans="18:18" s="2" customFormat="1" ht="12.75" x14ac:dyDescent="0.2">
      <c r="R14984" s="1288"/>
    </row>
    <row r="14985" spans="18:18" s="2" customFormat="1" ht="12.75" x14ac:dyDescent="0.2">
      <c r="R14985" s="1288"/>
    </row>
    <row r="14986" spans="18:18" s="2" customFormat="1" ht="12.75" x14ac:dyDescent="0.2">
      <c r="R14986" s="1288"/>
    </row>
    <row r="14987" spans="18:18" s="2" customFormat="1" ht="12.75" x14ac:dyDescent="0.2">
      <c r="R14987" s="1288"/>
    </row>
    <row r="14988" spans="18:18" s="2" customFormat="1" ht="12.75" x14ac:dyDescent="0.2">
      <c r="R14988" s="1288"/>
    </row>
    <row r="14989" spans="18:18" s="2" customFormat="1" ht="12.75" x14ac:dyDescent="0.2">
      <c r="R14989" s="1288"/>
    </row>
    <row r="14990" spans="18:18" s="2" customFormat="1" ht="12.75" x14ac:dyDescent="0.2">
      <c r="R14990" s="1288"/>
    </row>
    <row r="14991" spans="18:18" s="2" customFormat="1" ht="12.75" x14ac:dyDescent="0.2">
      <c r="R14991" s="1288"/>
    </row>
    <row r="14992" spans="18:18" s="2" customFormat="1" ht="12.75" x14ac:dyDescent="0.2">
      <c r="R14992" s="1288"/>
    </row>
    <row r="14993" spans="18:18" s="2" customFormat="1" ht="12.75" x14ac:dyDescent="0.2">
      <c r="R14993" s="1288"/>
    </row>
    <row r="14994" spans="18:18" s="2" customFormat="1" ht="12.75" x14ac:dyDescent="0.2">
      <c r="R14994" s="1288"/>
    </row>
    <row r="14995" spans="18:18" s="2" customFormat="1" ht="12.75" x14ac:dyDescent="0.2">
      <c r="R14995" s="1288"/>
    </row>
    <row r="14996" spans="18:18" s="2" customFormat="1" ht="12.75" x14ac:dyDescent="0.2">
      <c r="R14996" s="1288"/>
    </row>
    <row r="14997" spans="18:18" s="2" customFormat="1" ht="12.75" x14ac:dyDescent="0.2">
      <c r="R14997" s="1288"/>
    </row>
    <row r="14998" spans="18:18" s="2" customFormat="1" ht="12.75" x14ac:dyDescent="0.2">
      <c r="R14998" s="1288"/>
    </row>
    <row r="14999" spans="18:18" s="2" customFormat="1" ht="12.75" x14ac:dyDescent="0.2">
      <c r="R14999" s="1288"/>
    </row>
    <row r="15000" spans="18:18" s="2" customFormat="1" ht="12.75" x14ac:dyDescent="0.2">
      <c r="R15000" s="1288"/>
    </row>
    <row r="15001" spans="18:18" s="2" customFormat="1" ht="12.75" x14ac:dyDescent="0.2">
      <c r="R15001" s="1288"/>
    </row>
    <row r="15002" spans="18:18" s="2" customFormat="1" ht="12.75" x14ac:dyDescent="0.2">
      <c r="R15002" s="1288"/>
    </row>
    <row r="15003" spans="18:18" s="2" customFormat="1" ht="12.75" x14ac:dyDescent="0.2">
      <c r="R15003" s="1288"/>
    </row>
    <row r="15004" spans="18:18" s="2" customFormat="1" ht="12.75" x14ac:dyDescent="0.2">
      <c r="R15004" s="1288"/>
    </row>
    <row r="15005" spans="18:18" s="2" customFormat="1" ht="12.75" x14ac:dyDescent="0.2">
      <c r="R15005" s="1288"/>
    </row>
    <row r="15006" spans="18:18" s="2" customFormat="1" ht="12.75" x14ac:dyDescent="0.2">
      <c r="R15006" s="1288"/>
    </row>
    <row r="15007" spans="18:18" s="2" customFormat="1" ht="12.75" x14ac:dyDescent="0.2">
      <c r="R15007" s="1288"/>
    </row>
    <row r="15008" spans="18:18" s="2" customFormat="1" ht="12.75" x14ac:dyDescent="0.2">
      <c r="R15008" s="1288"/>
    </row>
    <row r="15009" spans="18:18" s="2" customFormat="1" ht="12.75" x14ac:dyDescent="0.2">
      <c r="R15009" s="1288"/>
    </row>
    <row r="15010" spans="18:18" s="2" customFormat="1" ht="12.75" x14ac:dyDescent="0.2">
      <c r="R15010" s="1288"/>
    </row>
    <row r="15011" spans="18:18" s="2" customFormat="1" ht="12.75" x14ac:dyDescent="0.2">
      <c r="R15011" s="1288"/>
    </row>
    <row r="15012" spans="18:18" s="2" customFormat="1" ht="12.75" x14ac:dyDescent="0.2">
      <c r="R15012" s="1288"/>
    </row>
    <row r="15013" spans="18:18" s="2" customFormat="1" ht="12.75" x14ac:dyDescent="0.2">
      <c r="R15013" s="1288"/>
    </row>
    <row r="15014" spans="18:18" s="2" customFormat="1" ht="12.75" x14ac:dyDescent="0.2">
      <c r="R15014" s="1288"/>
    </row>
    <row r="15015" spans="18:18" s="2" customFormat="1" ht="12.75" x14ac:dyDescent="0.2">
      <c r="R15015" s="1288"/>
    </row>
    <row r="15016" spans="18:18" s="2" customFormat="1" ht="12.75" x14ac:dyDescent="0.2">
      <c r="R15016" s="1288"/>
    </row>
    <row r="15017" spans="18:18" s="2" customFormat="1" ht="12.75" x14ac:dyDescent="0.2">
      <c r="R15017" s="1288"/>
    </row>
    <row r="15018" spans="18:18" s="2" customFormat="1" ht="12.75" x14ac:dyDescent="0.2">
      <c r="R15018" s="1288"/>
    </row>
    <row r="15019" spans="18:18" s="2" customFormat="1" ht="12.75" x14ac:dyDescent="0.2">
      <c r="R15019" s="1288"/>
    </row>
    <row r="15020" spans="18:18" s="2" customFormat="1" ht="12.75" x14ac:dyDescent="0.2">
      <c r="R15020" s="1288"/>
    </row>
    <row r="15021" spans="18:18" s="2" customFormat="1" ht="12.75" x14ac:dyDescent="0.2">
      <c r="R15021" s="1288"/>
    </row>
    <row r="15022" spans="18:18" s="2" customFormat="1" ht="12.75" x14ac:dyDescent="0.2">
      <c r="R15022" s="1288"/>
    </row>
    <row r="15023" spans="18:18" s="2" customFormat="1" ht="12.75" x14ac:dyDescent="0.2">
      <c r="R15023" s="1288"/>
    </row>
    <row r="15024" spans="18:18" s="2" customFormat="1" ht="12.75" x14ac:dyDescent="0.2">
      <c r="R15024" s="1288"/>
    </row>
    <row r="15025" spans="18:18" s="2" customFormat="1" ht="12.75" x14ac:dyDescent="0.2">
      <c r="R15025" s="1288"/>
    </row>
    <row r="15026" spans="18:18" s="2" customFormat="1" ht="12.75" x14ac:dyDescent="0.2">
      <c r="R15026" s="1288"/>
    </row>
    <row r="15027" spans="18:18" s="2" customFormat="1" ht="12.75" x14ac:dyDescent="0.2">
      <c r="R15027" s="1288"/>
    </row>
    <row r="15028" spans="18:18" s="2" customFormat="1" ht="12.75" x14ac:dyDescent="0.2">
      <c r="R15028" s="1288"/>
    </row>
    <row r="15029" spans="18:18" s="2" customFormat="1" ht="12.75" x14ac:dyDescent="0.2">
      <c r="R15029" s="1288"/>
    </row>
    <row r="15030" spans="18:18" s="2" customFormat="1" ht="12.75" x14ac:dyDescent="0.2">
      <c r="R15030" s="1288"/>
    </row>
    <row r="15031" spans="18:18" s="2" customFormat="1" ht="12.75" x14ac:dyDescent="0.2">
      <c r="R15031" s="1288"/>
    </row>
    <row r="15032" spans="18:18" s="2" customFormat="1" ht="12.75" x14ac:dyDescent="0.2">
      <c r="R15032" s="1288"/>
    </row>
    <row r="15033" spans="18:18" s="2" customFormat="1" ht="12.75" x14ac:dyDescent="0.2">
      <c r="R15033" s="1288"/>
    </row>
    <row r="15034" spans="18:18" s="2" customFormat="1" ht="12.75" x14ac:dyDescent="0.2">
      <c r="R15034" s="1288"/>
    </row>
    <row r="15035" spans="18:18" s="2" customFormat="1" ht="12.75" x14ac:dyDescent="0.2">
      <c r="R15035" s="1288"/>
    </row>
    <row r="15036" spans="18:18" s="2" customFormat="1" ht="12.75" x14ac:dyDescent="0.2">
      <c r="R15036" s="1288"/>
    </row>
    <row r="15037" spans="18:18" s="2" customFormat="1" ht="12.75" x14ac:dyDescent="0.2">
      <c r="R15037" s="1288"/>
    </row>
    <row r="15038" spans="18:18" s="2" customFormat="1" ht="12.75" x14ac:dyDescent="0.2">
      <c r="R15038" s="1288"/>
    </row>
    <row r="15039" spans="18:18" s="2" customFormat="1" ht="12.75" x14ac:dyDescent="0.2">
      <c r="R15039" s="1288"/>
    </row>
    <row r="15040" spans="18:18" s="2" customFormat="1" ht="12.75" x14ac:dyDescent="0.2">
      <c r="R15040" s="1288"/>
    </row>
    <row r="15041" spans="18:18" s="2" customFormat="1" ht="12.75" x14ac:dyDescent="0.2">
      <c r="R15041" s="1288"/>
    </row>
    <row r="15042" spans="18:18" s="2" customFormat="1" ht="12.75" x14ac:dyDescent="0.2">
      <c r="R15042" s="1288"/>
    </row>
    <row r="15043" spans="18:18" s="2" customFormat="1" ht="12.75" x14ac:dyDescent="0.2">
      <c r="R15043" s="1288"/>
    </row>
    <row r="15044" spans="18:18" s="2" customFormat="1" ht="12.75" x14ac:dyDescent="0.2">
      <c r="R15044" s="1288"/>
    </row>
    <row r="15045" spans="18:18" s="2" customFormat="1" ht="12.75" x14ac:dyDescent="0.2">
      <c r="R15045" s="1288"/>
    </row>
    <row r="15046" spans="18:18" s="2" customFormat="1" ht="12.75" x14ac:dyDescent="0.2">
      <c r="R15046" s="1288"/>
    </row>
    <row r="15047" spans="18:18" s="2" customFormat="1" ht="12.75" x14ac:dyDescent="0.2">
      <c r="R15047" s="1288"/>
    </row>
    <row r="15048" spans="18:18" s="2" customFormat="1" ht="12.75" x14ac:dyDescent="0.2">
      <c r="R15048" s="1288"/>
    </row>
    <row r="15049" spans="18:18" s="2" customFormat="1" ht="12.75" x14ac:dyDescent="0.2">
      <c r="R15049" s="1288"/>
    </row>
    <row r="15050" spans="18:18" s="2" customFormat="1" ht="12.75" x14ac:dyDescent="0.2">
      <c r="R15050" s="1288"/>
    </row>
    <row r="15051" spans="18:18" s="2" customFormat="1" ht="12.75" x14ac:dyDescent="0.2">
      <c r="R15051" s="1288"/>
    </row>
    <row r="15052" spans="18:18" s="2" customFormat="1" ht="12.75" x14ac:dyDescent="0.2">
      <c r="R15052" s="1288"/>
    </row>
    <row r="15053" spans="18:18" s="2" customFormat="1" ht="12.75" x14ac:dyDescent="0.2">
      <c r="R15053" s="1288"/>
    </row>
    <row r="15054" spans="18:18" s="2" customFormat="1" ht="12.75" x14ac:dyDescent="0.2">
      <c r="R15054" s="1288"/>
    </row>
    <row r="15055" spans="18:18" s="2" customFormat="1" ht="12.75" x14ac:dyDescent="0.2">
      <c r="R15055" s="1288"/>
    </row>
    <row r="15056" spans="18:18" s="2" customFormat="1" ht="12.75" x14ac:dyDescent="0.2">
      <c r="R15056" s="1288"/>
    </row>
    <row r="15057" spans="18:18" s="2" customFormat="1" ht="12.75" x14ac:dyDescent="0.2">
      <c r="R15057" s="1288"/>
    </row>
    <row r="15058" spans="18:18" s="2" customFormat="1" ht="12.75" x14ac:dyDescent="0.2">
      <c r="R15058" s="1288"/>
    </row>
    <row r="15059" spans="18:18" s="2" customFormat="1" ht="12.75" x14ac:dyDescent="0.2">
      <c r="R15059" s="1288"/>
    </row>
    <row r="15060" spans="18:18" s="2" customFormat="1" ht="12.75" x14ac:dyDescent="0.2">
      <c r="R15060" s="1288"/>
    </row>
    <row r="15061" spans="18:18" s="2" customFormat="1" ht="12.75" x14ac:dyDescent="0.2">
      <c r="R15061" s="1288"/>
    </row>
    <row r="15062" spans="18:18" s="2" customFormat="1" ht="12.75" x14ac:dyDescent="0.2">
      <c r="R15062" s="1288"/>
    </row>
    <row r="15063" spans="18:18" s="2" customFormat="1" ht="12.75" x14ac:dyDescent="0.2">
      <c r="R15063" s="1288"/>
    </row>
    <row r="15064" spans="18:18" s="2" customFormat="1" ht="12.75" x14ac:dyDescent="0.2">
      <c r="R15064" s="1288"/>
    </row>
    <row r="15065" spans="18:18" s="2" customFormat="1" ht="12.75" x14ac:dyDescent="0.2">
      <c r="R15065" s="1288"/>
    </row>
    <row r="15066" spans="18:18" s="2" customFormat="1" ht="12.75" x14ac:dyDescent="0.2">
      <c r="R15066" s="1288"/>
    </row>
    <row r="15067" spans="18:18" s="2" customFormat="1" ht="12.75" x14ac:dyDescent="0.2">
      <c r="R15067" s="1288"/>
    </row>
    <row r="15068" spans="18:18" s="2" customFormat="1" ht="12.75" x14ac:dyDescent="0.2">
      <c r="R15068" s="1288"/>
    </row>
    <row r="15069" spans="18:18" s="2" customFormat="1" ht="12.75" x14ac:dyDescent="0.2">
      <c r="R15069" s="1288"/>
    </row>
    <row r="15070" spans="18:18" s="2" customFormat="1" ht="12.75" x14ac:dyDescent="0.2">
      <c r="R15070" s="1288"/>
    </row>
    <row r="15071" spans="18:18" s="2" customFormat="1" ht="12.75" x14ac:dyDescent="0.2">
      <c r="R15071" s="1288"/>
    </row>
    <row r="15072" spans="18:18" s="2" customFormat="1" ht="12.75" x14ac:dyDescent="0.2">
      <c r="R15072" s="1288"/>
    </row>
    <row r="15073" spans="18:18" s="2" customFormat="1" ht="12.75" x14ac:dyDescent="0.2">
      <c r="R15073" s="1288"/>
    </row>
    <row r="15074" spans="18:18" s="2" customFormat="1" ht="12.75" x14ac:dyDescent="0.2">
      <c r="R15074" s="1288"/>
    </row>
    <row r="15075" spans="18:18" s="2" customFormat="1" ht="12.75" x14ac:dyDescent="0.2">
      <c r="R15075" s="1288"/>
    </row>
    <row r="15076" spans="18:18" s="2" customFormat="1" ht="12.75" x14ac:dyDescent="0.2">
      <c r="R15076" s="1288"/>
    </row>
    <row r="15077" spans="18:18" s="2" customFormat="1" ht="12.75" x14ac:dyDescent="0.2">
      <c r="R15077" s="1288"/>
    </row>
    <row r="15078" spans="18:18" s="2" customFormat="1" ht="12.75" x14ac:dyDescent="0.2">
      <c r="R15078" s="1288"/>
    </row>
    <row r="15079" spans="18:18" s="2" customFormat="1" ht="12.75" x14ac:dyDescent="0.2">
      <c r="R15079" s="1288"/>
    </row>
    <row r="15080" spans="18:18" s="2" customFormat="1" ht="12.75" x14ac:dyDescent="0.2">
      <c r="R15080" s="1288"/>
    </row>
    <row r="15081" spans="18:18" s="2" customFormat="1" ht="12.75" x14ac:dyDescent="0.2">
      <c r="R15081" s="1288"/>
    </row>
    <row r="15082" spans="18:18" s="2" customFormat="1" ht="12.75" x14ac:dyDescent="0.2">
      <c r="R15082" s="1288"/>
    </row>
    <row r="15083" spans="18:18" s="2" customFormat="1" ht="12.75" x14ac:dyDescent="0.2">
      <c r="R15083" s="1288"/>
    </row>
    <row r="15084" spans="18:18" s="2" customFormat="1" ht="12.75" x14ac:dyDescent="0.2">
      <c r="R15084" s="1288"/>
    </row>
    <row r="15085" spans="18:18" s="2" customFormat="1" ht="12.75" x14ac:dyDescent="0.2">
      <c r="R15085" s="1288"/>
    </row>
    <row r="15086" spans="18:18" s="2" customFormat="1" ht="12.75" x14ac:dyDescent="0.2">
      <c r="R15086" s="1288"/>
    </row>
    <row r="15087" spans="18:18" s="2" customFormat="1" ht="12.75" x14ac:dyDescent="0.2">
      <c r="R15087" s="1288"/>
    </row>
    <row r="15088" spans="18:18" s="2" customFormat="1" ht="12.75" x14ac:dyDescent="0.2">
      <c r="R15088" s="1288"/>
    </row>
    <row r="15089" spans="18:18" s="2" customFormat="1" ht="12.75" x14ac:dyDescent="0.2">
      <c r="R15089" s="1288"/>
    </row>
    <row r="15090" spans="18:18" s="2" customFormat="1" ht="12.75" x14ac:dyDescent="0.2">
      <c r="R15090" s="1288"/>
    </row>
    <row r="15091" spans="18:18" s="2" customFormat="1" ht="12.75" x14ac:dyDescent="0.2">
      <c r="R15091" s="1288"/>
    </row>
    <row r="15092" spans="18:18" s="2" customFormat="1" ht="12.75" x14ac:dyDescent="0.2">
      <c r="R15092" s="1288"/>
    </row>
    <row r="15093" spans="18:18" s="2" customFormat="1" ht="12.75" x14ac:dyDescent="0.2">
      <c r="R15093" s="1288"/>
    </row>
    <row r="15094" spans="18:18" s="2" customFormat="1" ht="12.75" x14ac:dyDescent="0.2">
      <c r="R15094" s="1288"/>
    </row>
    <row r="15095" spans="18:18" s="2" customFormat="1" ht="12.75" x14ac:dyDescent="0.2">
      <c r="R15095" s="1288"/>
    </row>
    <row r="15096" spans="18:18" s="2" customFormat="1" ht="12.75" x14ac:dyDescent="0.2">
      <c r="R15096" s="1288"/>
    </row>
    <row r="15097" spans="18:18" s="2" customFormat="1" ht="12.75" x14ac:dyDescent="0.2">
      <c r="R15097" s="1288"/>
    </row>
    <row r="15098" spans="18:18" s="2" customFormat="1" ht="12.75" x14ac:dyDescent="0.2">
      <c r="R15098" s="1288"/>
    </row>
    <row r="15099" spans="18:18" s="2" customFormat="1" ht="12.75" x14ac:dyDescent="0.2">
      <c r="R15099" s="1288"/>
    </row>
    <row r="15100" spans="18:18" s="2" customFormat="1" ht="12.75" x14ac:dyDescent="0.2">
      <c r="R15100" s="1288"/>
    </row>
    <row r="15101" spans="18:18" s="2" customFormat="1" ht="12.75" x14ac:dyDescent="0.2">
      <c r="R15101" s="1288"/>
    </row>
    <row r="15102" spans="18:18" s="2" customFormat="1" ht="12.75" x14ac:dyDescent="0.2">
      <c r="R15102" s="1288"/>
    </row>
    <row r="15103" spans="18:18" s="2" customFormat="1" ht="12.75" x14ac:dyDescent="0.2">
      <c r="R15103" s="1288"/>
    </row>
    <row r="15104" spans="18:18" s="2" customFormat="1" ht="12.75" x14ac:dyDescent="0.2">
      <c r="R15104" s="1288"/>
    </row>
    <row r="15105" spans="18:18" s="2" customFormat="1" ht="12.75" x14ac:dyDescent="0.2">
      <c r="R15105" s="1288"/>
    </row>
    <row r="15106" spans="18:18" s="2" customFormat="1" ht="12.75" x14ac:dyDescent="0.2">
      <c r="R15106" s="1288"/>
    </row>
    <row r="15107" spans="18:18" s="2" customFormat="1" ht="12.75" x14ac:dyDescent="0.2">
      <c r="R15107" s="1288"/>
    </row>
    <row r="15108" spans="18:18" s="2" customFormat="1" ht="12.75" x14ac:dyDescent="0.2">
      <c r="R15108" s="1288"/>
    </row>
    <row r="15109" spans="18:18" s="2" customFormat="1" ht="12.75" x14ac:dyDescent="0.2">
      <c r="R15109" s="1288"/>
    </row>
    <row r="15110" spans="18:18" s="2" customFormat="1" ht="12.75" x14ac:dyDescent="0.2">
      <c r="R15110" s="1288"/>
    </row>
    <row r="15111" spans="18:18" s="2" customFormat="1" ht="12.75" x14ac:dyDescent="0.2">
      <c r="R15111" s="1288"/>
    </row>
    <row r="15112" spans="18:18" s="2" customFormat="1" ht="12.75" x14ac:dyDescent="0.2">
      <c r="R15112" s="1288"/>
    </row>
    <row r="15113" spans="18:18" s="2" customFormat="1" ht="12.75" x14ac:dyDescent="0.2">
      <c r="R15113" s="1288"/>
    </row>
    <row r="15114" spans="18:18" s="2" customFormat="1" ht="12.75" x14ac:dyDescent="0.2">
      <c r="R15114" s="1288"/>
    </row>
    <row r="15115" spans="18:18" s="2" customFormat="1" ht="12.75" x14ac:dyDescent="0.2">
      <c r="R15115" s="1288"/>
    </row>
    <row r="15116" spans="18:18" s="2" customFormat="1" ht="12.75" x14ac:dyDescent="0.2">
      <c r="R15116" s="1288"/>
    </row>
    <row r="15117" spans="18:18" s="2" customFormat="1" ht="12.75" x14ac:dyDescent="0.2">
      <c r="R15117" s="1288"/>
    </row>
    <row r="15118" spans="18:18" s="2" customFormat="1" ht="12.75" x14ac:dyDescent="0.2">
      <c r="R15118" s="1288"/>
    </row>
    <row r="15119" spans="18:18" s="2" customFormat="1" ht="12.75" x14ac:dyDescent="0.2">
      <c r="R15119" s="1288"/>
    </row>
    <row r="15120" spans="18:18" s="2" customFormat="1" ht="12.75" x14ac:dyDescent="0.2">
      <c r="R15120" s="1288"/>
    </row>
    <row r="15121" spans="18:18" s="2" customFormat="1" ht="12.75" x14ac:dyDescent="0.2">
      <c r="R15121" s="1288"/>
    </row>
    <row r="15122" spans="18:18" s="2" customFormat="1" ht="12.75" x14ac:dyDescent="0.2">
      <c r="R15122" s="1288"/>
    </row>
    <row r="15123" spans="18:18" s="2" customFormat="1" ht="12.75" x14ac:dyDescent="0.2">
      <c r="R15123" s="1288"/>
    </row>
    <row r="15124" spans="18:18" s="2" customFormat="1" ht="12.75" x14ac:dyDescent="0.2">
      <c r="R15124" s="1288"/>
    </row>
    <row r="15125" spans="18:18" s="2" customFormat="1" ht="12.75" x14ac:dyDescent="0.2">
      <c r="R15125" s="1288"/>
    </row>
    <row r="15126" spans="18:18" s="2" customFormat="1" ht="12.75" x14ac:dyDescent="0.2">
      <c r="R15126" s="1288"/>
    </row>
    <row r="15127" spans="18:18" s="2" customFormat="1" ht="12.75" x14ac:dyDescent="0.2">
      <c r="R15127" s="1288"/>
    </row>
    <row r="15128" spans="18:18" s="2" customFormat="1" ht="12.75" x14ac:dyDescent="0.2">
      <c r="R15128" s="1288"/>
    </row>
    <row r="15129" spans="18:18" s="2" customFormat="1" ht="12.75" x14ac:dyDescent="0.2">
      <c r="R15129" s="1288"/>
    </row>
    <row r="15130" spans="18:18" s="2" customFormat="1" ht="12.75" x14ac:dyDescent="0.2">
      <c r="R15130" s="1288"/>
    </row>
    <row r="15131" spans="18:18" s="2" customFormat="1" ht="12.75" x14ac:dyDescent="0.2">
      <c r="R15131" s="1288"/>
    </row>
    <row r="15132" spans="18:18" s="2" customFormat="1" ht="12.75" x14ac:dyDescent="0.2">
      <c r="R15132" s="1288"/>
    </row>
    <row r="15133" spans="18:18" s="2" customFormat="1" ht="12.75" x14ac:dyDescent="0.2">
      <c r="R15133" s="1288"/>
    </row>
    <row r="15134" spans="18:18" s="2" customFormat="1" ht="12.75" x14ac:dyDescent="0.2">
      <c r="R15134" s="1288"/>
    </row>
    <row r="15135" spans="18:18" s="2" customFormat="1" ht="12.75" x14ac:dyDescent="0.2">
      <c r="R15135" s="1288"/>
    </row>
    <row r="15136" spans="18:18" s="2" customFormat="1" ht="12.75" x14ac:dyDescent="0.2">
      <c r="R15136" s="1288"/>
    </row>
    <row r="15137" spans="18:18" s="2" customFormat="1" ht="12.75" x14ac:dyDescent="0.2">
      <c r="R15137" s="1288"/>
    </row>
    <row r="15138" spans="18:18" s="2" customFormat="1" ht="12.75" x14ac:dyDescent="0.2">
      <c r="R15138" s="1288"/>
    </row>
    <row r="15139" spans="18:18" s="2" customFormat="1" ht="12.75" x14ac:dyDescent="0.2">
      <c r="R15139" s="1288"/>
    </row>
    <row r="15140" spans="18:18" s="2" customFormat="1" ht="12.75" x14ac:dyDescent="0.2">
      <c r="R15140" s="1288"/>
    </row>
    <row r="15141" spans="18:18" s="2" customFormat="1" ht="12.75" x14ac:dyDescent="0.2">
      <c r="R15141" s="1288"/>
    </row>
    <row r="15142" spans="18:18" s="2" customFormat="1" ht="12.75" x14ac:dyDescent="0.2">
      <c r="R15142" s="1288"/>
    </row>
    <row r="15143" spans="18:18" s="2" customFormat="1" ht="12.75" x14ac:dyDescent="0.2">
      <c r="R15143" s="1288"/>
    </row>
    <row r="15144" spans="18:18" s="2" customFormat="1" ht="12.75" x14ac:dyDescent="0.2">
      <c r="R15144" s="1288"/>
    </row>
    <row r="15145" spans="18:18" s="2" customFormat="1" ht="12.75" x14ac:dyDescent="0.2">
      <c r="R15145" s="1288"/>
    </row>
    <row r="15146" spans="18:18" s="2" customFormat="1" ht="12.75" x14ac:dyDescent="0.2">
      <c r="R15146" s="1288"/>
    </row>
    <row r="15147" spans="18:18" s="2" customFormat="1" ht="12.75" x14ac:dyDescent="0.2">
      <c r="R15147" s="1288"/>
    </row>
    <row r="15148" spans="18:18" s="2" customFormat="1" ht="12.75" x14ac:dyDescent="0.2">
      <c r="R15148" s="1288"/>
    </row>
    <row r="15149" spans="18:18" s="2" customFormat="1" ht="12.75" x14ac:dyDescent="0.2">
      <c r="R15149" s="1288"/>
    </row>
    <row r="15150" spans="18:18" s="2" customFormat="1" ht="12.75" x14ac:dyDescent="0.2">
      <c r="R15150" s="1288"/>
    </row>
    <row r="15151" spans="18:18" s="2" customFormat="1" ht="12.75" x14ac:dyDescent="0.2">
      <c r="R15151" s="1288"/>
    </row>
    <row r="15152" spans="18:18" s="2" customFormat="1" ht="12.75" x14ac:dyDescent="0.2">
      <c r="R15152" s="1288"/>
    </row>
    <row r="15153" spans="18:18" s="2" customFormat="1" ht="12.75" x14ac:dyDescent="0.2">
      <c r="R15153" s="1288"/>
    </row>
    <row r="15154" spans="18:18" s="2" customFormat="1" ht="12.75" x14ac:dyDescent="0.2">
      <c r="R15154" s="1288"/>
    </row>
    <row r="15155" spans="18:18" s="2" customFormat="1" ht="12.75" x14ac:dyDescent="0.2">
      <c r="R15155" s="1288"/>
    </row>
    <row r="15156" spans="18:18" s="2" customFormat="1" ht="12.75" x14ac:dyDescent="0.2">
      <c r="R15156" s="1288"/>
    </row>
    <row r="15157" spans="18:18" s="2" customFormat="1" ht="12.75" x14ac:dyDescent="0.2">
      <c r="R15157" s="1288"/>
    </row>
    <row r="15158" spans="18:18" s="2" customFormat="1" ht="12.75" x14ac:dyDescent="0.2">
      <c r="R15158" s="1288"/>
    </row>
    <row r="15159" spans="18:18" s="2" customFormat="1" ht="12.75" x14ac:dyDescent="0.2">
      <c r="R15159" s="1288"/>
    </row>
    <row r="15160" spans="18:18" s="2" customFormat="1" ht="12.75" x14ac:dyDescent="0.2">
      <c r="R15160" s="1288"/>
    </row>
    <row r="15161" spans="18:18" s="2" customFormat="1" ht="12.75" x14ac:dyDescent="0.2">
      <c r="R15161" s="1288"/>
    </row>
    <row r="15162" spans="18:18" s="2" customFormat="1" ht="12.75" x14ac:dyDescent="0.2">
      <c r="R15162" s="1288"/>
    </row>
    <row r="15163" spans="18:18" s="2" customFormat="1" ht="12.75" x14ac:dyDescent="0.2">
      <c r="R15163" s="1288"/>
    </row>
    <row r="15164" spans="18:18" s="2" customFormat="1" ht="12.75" x14ac:dyDescent="0.2">
      <c r="R15164" s="1288"/>
    </row>
    <row r="15165" spans="18:18" s="2" customFormat="1" ht="12.75" x14ac:dyDescent="0.2">
      <c r="R15165" s="1288"/>
    </row>
    <row r="15166" spans="18:18" s="2" customFormat="1" ht="12.75" x14ac:dyDescent="0.2">
      <c r="R15166" s="1288"/>
    </row>
    <row r="15167" spans="18:18" s="2" customFormat="1" ht="12.75" x14ac:dyDescent="0.2">
      <c r="R15167" s="1288"/>
    </row>
    <row r="15168" spans="18:18" s="2" customFormat="1" ht="12.75" x14ac:dyDescent="0.2">
      <c r="R15168" s="1288"/>
    </row>
    <row r="15169" spans="18:18" s="2" customFormat="1" ht="12.75" x14ac:dyDescent="0.2">
      <c r="R15169" s="1288"/>
    </row>
    <row r="15170" spans="18:18" s="2" customFormat="1" ht="12.75" x14ac:dyDescent="0.2">
      <c r="R15170" s="1288"/>
    </row>
    <row r="15171" spans="18:18" s="2" customFormat="1" ht="12.75" x14ac:dyDescent="0.2">
      <c r="R15171" s="1288"/>
    </row>
    <row r="15172" spans="18:18" s="2" customFormat="1" ht="12.75" x14ac:dyDescent="0.2">
      <c r="R15172" s="1288"/>
    </row>
    <row r="15173" spans="18:18" s="2" customFormat="1" ht="12.75" x14ac:dyDescent="0.2">
      <c r="R15173" s="1288"/>
    </row>
    <row r="15174" spans="18:18" s="2" customFormat="1" ht="12.75" x14ac:dyDescent="0.2">
      <c r="R15174" s="1288"/>
    </row>
    <row r="15175" spans="18:18" s="2" customFormat="1" ht="12.75" x14ac:dyDescent="0.2">
      <c r="R15175" s="1288"/>
    </row>
    <row r="15176" spans="18:18" s="2" customFormat="1" ht="12.75" x14ac:dyDescent="0.2">
      <c r="R15176" s="1288"/>
    </row>
    <row r="15177" spans="18:18" s="2" customFormat="1" ht="12.75" x14ac:dyDescent="0.2">
      <c r="R15177" s="1288"/>
    </row>
    <row r="15178" spans="18:18" s="2" customFormat="1" ht="12.75" x14ac:dyDescent="0.2">
      <c r="R15178" s="1288"/>
    </row>
    <row r="15179" spans="18:18" s="2" customFormat="1" ht="12.75" x14ac:dyDescent="0.2">
      <c r="R15179" s="1288"/>
    </row>
    <row r="15180" spans="18:18" s="2" customFormat="1" ht="12.75" x14ac:dyDescent="0.2">
      <c r="R15180" s="1288"/>
    </row>
    <row r="15181" spans="18:18" s="2" customFormat="1" ht="12.75" x14ac:dyDescent="0.2">
      <c r="R15181" s="1288"/>
    </row>
    <row r="15182" spans="18:18" s="2" customFormat="1" ht="12.75" x14ac:dyDescent="0.2">
      <c r="R15182" s="1288"/>
    </row>
    <row r="15183" spans="18:18" s="2" customFormat="1" ht="12.75" x14ac:dyDescent="0.2">
      <c r="R15183" s="1288"/>
    </row>
    <row r="15184" spans="18:18" s="2" customFormat="1" ht="12.75" x14ac:dyDescent="0.2">
      <c r="R15184" s="1288"/>
    </row>
    <row r="15185" spans="18:18" s="2" customFormat="1" ht="12.75" x14ac:dyDescent="0.2">
      <c r="R15185" s="1288"/>
    </row>
    <row r="15186" spans="18:18" s="2" customFormat="1" ht="12.75" x14ac:dyDescent="0.2">
      <c r="R15186" s="1288"/>
    </row>
    <row r="15187" spans="18:18" s="2" customFormat="1" ht="12.75" x14ac:dyDescent="0.2">
      <c r="R15187" s="1288"/>
    </row>
    <row r="15188" spans="18:18" s="2" customFormat="1" ht="12.75" x14ac:dyDescent="0.2">
      <c r="R15188" s="1288"/>
    </row>
    <row r="15189" spans="18:18" s="2" customFormat="1" ht="12.75" x14ac:dyDescent="0.2">
      <c r="R15189" s="1288"/>
    </row>
    <row r="15190" spans="18:18" s="2" customFormat="1" ht="12.75" x14ac:dyDescent="0.2">
      <c r="R15190" s="1288"/>
    </row>
    <row r="15191" spans="18:18" s="2" customFormat="1" ht="12.75" x14ac:dyDescent="0.2">
      <c r="R15191" s="1288"/>
    </row>
    <row r="15192" spans="18:18" s="2" customFormat="1" ht="12.75" x14ac:dyDescent="0.2">
      <c r="R15192" s="1288"/>
    </row>
    <row r="15193" spans="18:18" s="2" customFormat="1" ht="12.75" x14ac:dyDescent="0.2">
      <c r="R15193" s="1288"/>
    </row>
    <row r="15194" spans="18:18" s="2" customFormat="1" ht="12.75" x14ac:dyDescent="0.2">
      <c r="R15194" s="1288"/>
    </row>
    <row r="15195" spans="18:18" s="2" customFormat="1" ht="12.75" x14ac:dyDescent="0.2">
      <c r="R15195" s="1288"/>
    </row>
    <row r="15196" spans="18:18" s="2" customFormat="1" ht="12.75" x14ac:dyDescent="0.2">
      <c r="R15196" s="1288"/>
    </row>
    <row r="15197" spans="18:18" s="2" customFormat="1" ht="12.75" x14ac:dyDescent="0.2">
      <c r="R15197" s="1288"/>
    </row>
    <row r="15198" spans="18:18" s="2" customFormat="1" ht="12.75" x14ac:dyDescent="0.2">
      <c r="R15198" s="1288"/>
    </row>
    <row r="15199" spans="18:18" s="2" customFormat="1" ht="12.75" x14ac:dyDescent="0.2">
      <c r="R15199" s="1288"/>
    </row>
    <row r="15200" spans="18:18" s="2" customFormat="1" ht="12.75" x14ac:dyDescent="0.2">
      <c r="R15200" s="1288"/>
    </row>
    <row r="15201" spans="18:18" s="2" customFormat="1" ht="12.75" x14ac:dyDescent="0.2">
      <c r="R15201" s="1288"/>
    </row>
    <row r="15202" spans="18:18" s="2" customFormat="1" ht="12.75" x14ac:dyDescent="0.2">
      <c r="R15202" s="1288"/>
    </row>
    <row r="15203" spans="18:18" s="2" customFormat="1" ht="12.75" x14ac:dyDescent="0.2">
      <c r="R15203" s="1288"/>
    </row>
    <row r="15204" spans="18:18" s="2" customFormat="1" ht="12.75" x14ac:dyDescent="0.2">
      <c r="R15204" s="1288"/>
    </row>
    <row r="15205" spans="18:18" s="2" customFormat="1" ht="12.75" x14ac:dyDescent="0.2">
      <c r="R15205" s="1288"/>
    </row>
    <row r="15206" spans="18:18" s="2" customFormat="1" ht="12.75" x14ac:dyDescent="0.2">
      <c r="R15206" s="1288"/>
    </row>
    <row r="15207" spans="18:18" s="2" customFormat="1" ht="12.75" x14ac:dyDescent="0.2">
      <c r="R15207" s="1288"/>
    </row>
    <row r="15208" spans="18:18" s="2" customFormat="1" ht="12.75" x14ac:dyDescent="0.2">
      <c r="R15208" s="1288"/>
    </row>
    <row r="15209" spans="18:18" s="2" customFormat="1" ht="12.75" x14ac:dyDescent="0.2">
      <c r="R15209" s="1288"/>
    </row>
    <row r="15210" spans="18:18" s="2" customFormat="1" ht="12.75" x14ac:dyDescent="0.2">
      <c r="R15210" s="1288"/>
    </row>
    <row r="15211" spans="18:18" s="2" customFormat="1" ht="12.75" x14ac:dyDescent="0.2">
      <c r="R15211" s="1288"/>
    </row>
    <row r="15212" spans="18:18" s="2" customFormat="1" ht="12.75" x14ac:dyDescent="0.2">
      <c r="R15212" s="1288"/>
    </row>
    <row r="15213" spans="18:18" s="2" customFormat="1" ht="12.75" x14ac:dyDescent="0.2">
      <c r="R15213" s="1288"/>
    </row>
    <row r="15214" spans="18:18" s="2" customFormat="1" ht="12.75" x14ac:dyDescent="0.2">
      <c r="R15214" s="1288"/>
    </row>
    <row r="15215" spans="18:18" s="2" customFormat="1" ht="12.75" x14ac:dyDescent="0.2">
      <c r="R15215" s="1288"/>
    </row>
    <row r="15216" spans="18:18" s="2" customFormat="1" ht="12.75" x14ac:dyDescent="0.2">
      <c r="R15216" s="1288"/>
    </row>
    <row r="15217" spans="18:18" s="2" customFormat="1" ht="12.75" x14ac:dyDescent="0.2">
      <c r="R15217" s="1288"/>
    </row>
    <row r="15218" spans="18:18" s="2" customFormat="1" ht="12.75" x14ac:dyDescent="0.2">
      <c r="R15218" s="1288"/>
    </row>
    <row r="15219" spans="18:18" s="2" customFormat="1" ht="12.75" x14ac:dyDescent="0.2">
      <c r="R15219" s="1288"/>
    </row>
    <row r="15220" spans="18:18" s="2" customFormat="1" ht="12.75" x14ac:dyDescent="0.2">
      <c r="R15220" s="1288"/>
    </row>
    <row r="15221" spans="18:18" s="2" customFormat="1" ht="12.75" x14ac:dyDescent="0.2">
      <c r="R15221" s="1288"/>
    </row>
    <row r="15222" spans="18:18" s="2" customFormat="1" ht="12.75" x14ac:dyDescent="0.2">
      <c r="R15222" s="1288"/>
    </row>
    <row r="15223" spans="18:18" s="2" customFormat="1" ht="12.75" x14ac:dyDescent="0.2">
      <c r="R15223" s="1288"/>
    </row>
    <row r="15224" spans="18:18" s="2" customFormat="1" ht="12.75" x14ac:dyDescent="0.2">
      <c r="R15224" s="1288"/>
    </row>
    <row r="15225" spans="18:18" s="2" customFormat="1" ht="12.75" x14ac:dyDescent="0.2">
      <c r="R15225" s="1288"/>
    </row>
    <row r="15226" spans="18:18" s="2" customFormat="1" ht="12.75" x14ac:dyDescent="0.2">
      <c r="R15226" s="1288"/>
    </row>
    <row r="15227" spans="18:18" s="2" customFormat="1" ht="12.75" x14ac:dyDescent="0.2">
      <c r="R15227" s="1288"/>
    </row>
    <row r="15228" spans="18:18" s="2" customFormat="1" ht="12.75" x14ac:dyDescent="0.2">
      <c r="R15228" s="1288"/>
    </row>
    <row r="15229" spans="18:18" s="2" customFormat="1" ht="12.75" x14ac:dyDescent="0.2">
      <c r="R15229" s="1288"/>
    </row>
    <row r="15230" spans="18:18" s="2" customFormat="1" ht="12.75" x14ac:dyDescent="0.2">
      <c r="R15230" s="1288"/>
    </row>
    <row r="15231" spans="18:18" s="2" customFormat="1" ht="12.75" x14ac:dyDescent="0.2">
      <c r="R15231" s="1288"/>
    </row>
    <row r="15232" spans="18:18" s="2" customFormat="1" ht="12.75" x14ac:dyDescent="0.2">
      <c r="R15232" s="1288"/>
    </row>
    <row r="15233" spans="18:18" s="2" customFormat="1" ht="12.75" x14ac:dyDescent="0.2">
      <c r="R15233" s="1288"/>
    </row>
    <row r="15234" spans="18:18" s="2" customFormat="1" ht="12.75" x14ac:dyDescent="0.2">
      <c r="R15234" s="1288"/>
    </row>
    <row r="15235" spans="18:18" s="2" customFormat="1" ht="12.75" x14ac:dyDescent="0.2">
      <c r="R15235" s="1288"/>
    </row>
    <row r="15236" spans="18:18" s="2" customFormat="1" ht="12.75" x14ac:dyDescent="0.2">
      <c r="R15236" s="1288"/>
    </row>
    <row r="15237" spans="18:18" s="2" customFormat="1" ht="12.75" x14ac:dyDescent="0.2">
      <c r="R15237" s="1288"/>
    </row>
    <row r="15238" spans="18:18" s="2" customFormat="1" ht="12.75" x14ac:dyDescent="0.2">
      <c r="R15238" s="1288"/>
    </row>
    <row r="15239" spans="18:18" s="2" customFormat="1" ht="12.75" x14ac:dyDescent="0.2">
      <c r="R15239" s="1288"/>
    </row>
    <row r="15240" spans="18:18" s="2" customFormat="1" ht="12.75" x14ac:dyDescent="0.2">
      <c r="R15240" s="1288"/>
    </row>
    <row r="15241" spans="18:18" s="2" customFormat="1" ht="12.75" x14ac:dyDescent="0.2">
      <c r="R15241" s="1288"/>
    </row>
    <row r="15242" spans="18:18" s="2" customFormat="1" ht="12.75" x14ac:dyDescent="0.2">
      <c r="R15242" s="1288"/>
    </row>
    <row r="15243" spans="18:18" s="2" customFormat="1" ht="12.75" x14ac:dyDescent="0.2">
      <c r="R15243" s="1288"/>
    </row>
    <row r="15244" spans="18:18" s="2" customFormat="1" ht="12.75" x14ac:dyDescent="0.2">
      <c r="R15244" s="1288"/>
    </row>
    <row r="15245" spans="18:18" s="2" customFormat="1" ht="12.75" x14ac:dyDescent="0.2">
      <c r="R15245" s="1288"/>
    </row>
    <row r="15246" spans="18:18" s="2" customFormat="1" ht="12.75" x14ac:dyDescent="0.2">
      <c r="R15246" s="1288"/>
    </row>
    <row r="15247" spans="18:18" s="2" customFormat="1" ht="12.75" x14ac:dyDescent="0.2">
      <c r="R15247" s="1288"/>
    </row>
    <row r="15248" spans="18:18" s="2" customFormat="1" ht="12.75" x14ac:dyDescent="0.2">
      <c r="R15248" s="1288"/>
    </row>
    <row r="15249" spans="18:18" s="2" customFormat="1" ht="12.75" x14ac:dyDescent="0.2">
      <c r="R15249" s="1288"/>
    </row>
    <row r="15250" spans="18:18" s="2" customFormat="1" ht="12.75" x14ac:dyDescent="0.2">
      <c r="R15250" s="1288"/>
    </row>
    <row r="15251" spans="18:18" s="2" customFormat="1" ht="12.75" x14ac:dyDescent="0.2">
      <c r="R15251" s="1288"/>
    </row>
    <row r="15252" spans="18:18" s="2" customFormat="1" ht="12.75" x14ac:dyDescent="0.2">
      <c r="R15252" s="1288"/>
    </row>
    <row r="15253" spans="18:18" s="2" customFormat="1" ht="12.75" x14ac:dyDescent="0.2">
      <c r="R15253" s="1288"/>
    </row>
    <row r="15254" spans="18:18" s="2" customFormat="1" ht="12.75" x14ac:dyDescent="0.2">
      <c r="R15254" s="1288"/>
    </row>
    <row r="15255" spans="18:18" s="2" customFormat="1" ht="12.75" x14ac:dyDescent="0.2">
      <c r="R15255" s="1288"/>
    </row>
    <row r="15256" spans="18:18" s="2" customFormat="1" ht="12.75" x14ac:dyDescent="0.2">
      <c r="R15256" s="1288"/>
    </row>
    <row r="15257" spans="18:18" s="2" customFormat="1" ht="12.75" x14ac:dyDescent="0.2">
      <c r="R15257" s="1288"/>
    </row>
    <row r="15258" spans="18:18" s="2" customFormat="1" ht="12.75" x14ac:dyDescent="0.2">
      <c r="R15258" s="1288"/>
    </row>
    <row r="15259" spans="18:18" s="2" customFormat="1" ht="12.75" x14ac:dyDescent="0.2">
      <c r="R15259" s="1288"/>
    </row>
    <row r="15260" spans="18:18" s="2" customFormat="1" ht="12.75" x14ac:dyDescent="0.2">
      <c r="R15260" s="1288"/>
    </row>
    <row r="15261" spans="18:18" s="2" customFormat="1" ht="12.75" x14ac:dyDescent="0.2">
      <c r="R15261" s="1288"/>
    </row>
    <row r="15262" spans="18:18" s="2" customFormat="1" ht="12.75" x14ac:dyDescent="0.2">
      <c r="R15262" s="1288"/>
    </row>
    <row r="15263" spans="18:18" s="2" customFormat="1" ht="12.75" x14ac:dyDescent="0.2">
      <c r="R15263" s="1288"/>
    </row>
    <row r="15264" spans="18:18" s="2" customFormat="1" ht="12.75" x14ac:dyDescent="0.2">
      <c r="R15264" s="1288"/>
    </row>
    <row r="15265" spans="18:18" s="2" customFormat="1" ht="12.75" x14ac:dyDescent="0.2">
      <c r="R15265" s="1288"/>
    </row>
    <row r="15266" spans="18:18" s="2" customFormat="1" ht="12.75" x14ac:dyDescent="0.2">
      <c r="R15266" s="1288"/>
    </row>
    <row r="15267" spans="18:18" s="2" customFormat="1" ht="12.75" x14ac:dyDescent="0.2">
      <c r="R15267" s="1288"/>
    </row>
    <row r="15268" spans="18:18" s="2" customFormat="1" ht="12.75" x14ac:dyDescent="0.2">
      <c r="R15268" s="1288"/>
    </row>
    <row r="15269" spans="18:18" s="2" customFormat="1" ht="12.75" x14ac:dyDescent="0.2">
      <c r="R15269" s="1288"/>
    </row>
    <row r="15270" spans="18:18" s="2" customFormat="1" ht="12.75" x14ac:dyDescent="0.2">
      <c r="R15270" s="1288"/>
    </row>
    <row r="15271" spans="18:18" s="2" customFormat="1" ht="12.75" x14ac:dyDescent="0.2">
      <c r="R15271" s="1288"/>
    </row>
    <row r="15272" spans="18:18" s="2" customFormat="1" ht="12.75" x14ac:dyDescent="0.2">
      <c r="R15272" s="1288"/>
    </row>
    <row r="15273" spans="18:18" s="2" customFormat="1" ht="12.75" x14ac:dyDescent="0.2">
      <c r="R15273" s="1288"/>
    </row>
    <row r="15274" spans="18:18" s="2" customFormat="1" ht="12.75" x14ac:dyDescent="0.2">
      <c r="R15274" s="1288"/>
    </row>
    <row r="15275" spans="18:18" s="2" customFormat="1" ht="12.75" x14ac:dyDescent="0.2">
      <c r="R15275" s="1288"/>
    </row>
    <row r="15276" spans="18:18" s="2" customFormat="1" ht="12.75" x14ac:dyDescent="0.2">
      <c r="R15276" s="1288"/>
    </row>
    <row r="15277" spans="18:18" s="2" customFormat="1" ht="12.75" x14ac:dyDescent="0.2">
      <c r="R15277" s="1288"/>
    </row>
    <row r="15278" spans="18:18" s="2" customFormat="1" ht="12.75" x14ac:dyDescent="0.2">
      <c r="R15278" s="1288"/>
    </row>
    <row r="15279" spans="18:18" s="2" customFormat="1" ht="12.75" x14ac:dyDescent="0.2">
      <c r="R15279" s="1288"/>
    </row>
    <row r="15280" spans="18:18" s="2" customFormat="1" ht="12.75" x14ac:dyDescent="0.2">
      <c r="R15280" s="1288"/>
    </row>
    <row r="15281" spans="18:18" s="2" customFormat="1" ht="12.75" x14ac:dyDescent="0.2">
      <c r="R15281" s="1288"/>
    </row>
    <row r="15282" spans="18:18" s="2" customFormat="1" ht="12.75" x14ac:dyDescent="0.2">
      <c r="R15282" s="1288"/>
    </row>
    <row r="15283" spans="18:18" s="2" customFormat="1" ht="12.75" x14ac:dyDescent="0.2">
      <c r="R15283" s="1288"/>
    </row>
    <row r="15284" spans="18:18" s="2" customFormat="1" ht="12.75" x14ac:dyDescent="0.2">
      <c r="R15284" s="1288"/>
    </row>
    <row r="15285" spans="18:18" s="2" customFormat="1" ht="12.75" x14ac:dyDescent="0.2">
      <c r="R15285" s="1288"/>
    </row>
    <row r="15286" spans="18:18" s="2" customFormat="1" ht="12.75" x14ac:dyDescent="0.2">
      <c r="R15286" s="1288"/>
    </row>
    <row r="15287" spans="18:18" s="2" customFormat="1" ht="12.75" x14ac:dyDescent="0.2">
      <c r="R15287" s="1288"/>
    </row>
    <row r="15288" spans="18:18" s="2" customFormat="1" ht="12.75" x14ac:dyDescent="0.2">
      <c r="R15288" s="1288"/>
    </row>
    <row r="15289" spans="18:18" s="2" customFormat="1" ht="12.75" x14ac:dyDescent="0.2">
      <c r="R15289" s="1288"/>
    </row>
    <row r="15290" spans="18:18" s="2" customFormat="1" ht="12.75" x14ac:dyDescent="0.2">
      <c r="R15290" s="1288"/>
    </row>
    <row r="15291" spans="18:18" s="2" customFormat="1" ht="12.75" x14ac:dyDescent="0.2">
      <c r="R15291" s="1288"/>
    </row>
    <row r="15292" spans="18:18" s="2" customFormat="1" ht="12.75" x14ac:dyDescent="0.2">
      <c r="R15292" s="1288"/>
    </row>
    <row r="15293" spans="18:18" s="2" customFormat="1" ht="12.75" x14ac:dyDescent="0.2">
      <c r="R15293" s="1288"/>
    </row>
    <row r="15294" spans="18:18" s="2" customFormat="1" ht="12.75" x14ac:dyDescent="0.2">
      <c r="R15294" s="1288"/>
    </row>
    <row r="15295" spans="18:18" s="2" customFormat="1" ht="12.75" x14ac:dyDescent="0.2">
      <c r="R15295" s="1288"/>
    </row>
    <row r="15296" spans="18:18" s="2" customFormat="1" ht="12.75" x14ac:dyDescent="0.2">
      <c r="R15296" s="1288"/>
    </row>
    <row r="15297" spans="18:18" s="2" customFormat="1" ht="12.75" x14ac:dyDescent="0.2">
      <c r="R15297" s="1288"/>
    </row>
    <row r="15298" spans="18:18" s="2" customFormat="1" ht="12.75" x14ac:dyDescent="0.2">
      <c r="R15298" s="1288"/>
    </row>
    <row r="15299" spans="18:18" s="2" customFormat="1" ht="12.75" x14ac:dyDescent="0.2">
      <c r="R15299" s="1288"/>
    </row>
    <row r="15300" spans="18:18" s="2" customFormat="1" ht="12.75" x14ac:dyDescent="0.2">
      <c r="R15300" s="1288"/>
    </row>
    <row r="15301" spans="18:18" s="2" customFormat="1" ht="12.75" x14ac:dyDescent="0.2">
      <c r="R15301" s="1288"/>
    </row>
    <row r="15302" spans="18:18" s="2" customFormat="1" ht="12.75" x14ac:dyDescent="0.2">
      <c r="R15302" s="1288"/>
    </row>
    <row r="15303" spans="18:18" s="2" customFormat="1" ht="12.75" x14ac:dyDescent="0.2">
      <c r="R15303" s="1288"/>
    </row>
    <row r="15304" spans="18:18" s="2" customFormat="1" ht="12.75" x14ac:dyDescent="0.2">
      <c r="R15304" s="1288"/>
    </row>
    <row r="15305" spans="18:18" s="2" customFormat="1" ht="12.75" x14ac:dyDescent="0.2">
      <c r="R15305" s="1288"/>
    </row>
    <row r="15306" spans="18:18" s="2" customFormat="1" ht="12.75" x14ac:dyDescent="0.2">
      <c r="R15306" s="1288"/>
    </row>
    <row r="15307" spans="18:18" s="2" customFormat="1" ht="12.75" x14ac:dyDescent="0.2">
      <c r="R15307" s="1288"/>
    </row>
    <row r="15308" spans="18:18" s="2" customFormat="1" ht="12.75" x14ac:dyDescent="0.2">
      <c r="R15308" s="1288"/>
    </row>
    <row r="15309" spans="18:18" s="2" customFormat="1" ht="12.75" x14ac:dyDescent="0.2">
      <c r="R15309" s="1288"/>
    </row>
    <row r="15310" spans="18:18" s="2" customFormat="1" ht="12.75" x14ac:dyDescent="0.2">
      <c r="R15310" s="1288"/>
    </row>
    <row r="15311" spans="18:18" s="2" customFormat="1" ht="12.75" x14ac:dyDescent="0.2">
      <c r="R15311" s="1288"/>
    </row>
    <row r="15312" spans="18:18" s="2" customFormat="1" ht="12.75" x14ac:dyDescent="0.2">
      <c r="R15312" s="1288"/>
    </row>
    <row r="15313" spans="18:18" s="2" customFormat="1" ht="12.75" x14ac:dyDescent="0.2">
      <c r="R15313" s="1288"/>
    </row>
    <row r="15314" spans="18:18" s="2" customFormat="1" ht="12.75" x14ac:dyDescent="0.2">
      <c r="R15314" s="1288"/>
    </row>
    <row r="15315" spans="18:18" s="2" customFormat="1" ht="12.75" x14ac:dyDescent="0.2">
      <c r="R15315" s="1288"/>
    </row>
    <row r="15316" spans="18:18" s="2" customFormat="1" ht="12.75" x14ac:dyDescent="0.2">
      <c r="R15316" s="1288"/>
    </row>
    <row r="15317" spans="18:18" s="2" customFormat="1" ht="12.75" x14ac:dyDescent="0.2">
      <c r="R15317" s="1288"/>
    </row>
    <row r="15318" spans="18:18" s="2" customFormat="1" ht="12.75" x14ac:dyDescent="0.2">
      <c r="R15318" s="1288"/>
    </row>
    <row r="15319" spans="18:18" s="2" customFormat="1" ht="12.75" x14ac:dyDescent="0.2">
      <c r="R15319" s="1288"/>
    </row>
    <row r="15320" spans="18:18" s="2" customFormat="1" ht="12.75" x14ac:dyDescent="0.2">
      <c r="R15320" s="1288"/>
    </row>
    <row r="15321" spans="18:18" s="2" customFormat="1" ht="12.75" x14ac:dyDescent="0.2">
      <c r="R15321" s="1288"/>
    </row>
    <row r="15322" spans="18:18" s="2" customFormat="1" ht="12.75" x14ac:dyDescent="0.2">
      <c r="R15322" s="1288"/>
    </row>
    <row r="15323" spans="18:18" s="2" customFormat="1" ht="12.75" x14ac:dyDescent="0.2">
      <c r="R15323" s="1288"/>
    </row>
    <row r="15324" spans="18:18" s="2" customFormat="1" ht="12.75" x14ac:dyDescent="0.2">
      <c r="R15324" s="1288"/>
    </row>
    <row r="15325" spans="18:18" s="2" customFormat="1" ht="12.75" x14ac:dyDescent="0.2">
      <c r="R15325" s="1288"/>
    </row>
    <row r="15326" spans="18:18" s="2" customFormat="1" ht="12.75" x14ac:dyDescent="0.2">
      <c r="R15326" s="1288"/>
    </row>
    <row r="15327" spans="18:18" s="2" customFormat="1" ht="12.75" x14ac:dyDescent="0.2">
      <c r="R15327" s="1288"/>
    </row>
    <row r="15328" spans="18:18" s="2" customFormat="1" ht="12.75" x14ac:dyDescent="0.2">
      <c r="R15328" s="1288"/>
    </row>
    <row r="15329" spans="18:18" s="2" customFormat="1" ht="12.75" x14ac:dyDescent="0.2">
      <c r="R15329" s="1288"/>
    </row>
    <row r="15330" spans="18:18" s="2" customFormat="1" ht="12.75" x14ac:dyDescent="0.2">
      <c r="R15330" s="1288"/>
    </row>
    <row r="15331" spans="18:18" s="2" customFormat="1" ht="12.75" x14ac:dyDescent="0.2">
      <c r="R15331" s="1288"/>
    </row>
    <row r="15332" spans="18:18" s="2" customFormat="1" ht="12.75" x14ac:dyDescent="0.2">
      <c r="R15332" s="1288"/>
    </row>
    <row r="15333" spans="18:18" s="2" customFormat="1" ht="12.75" x14ac:dyDescent="0.2">
      <c r="R15333" s="1288"/>
    </row>
    <row r="15334" spans="18:18" s="2" customFormat="1" ht="12.75" x14ac:dyDescent="0.2">
      <c r="R15334" s="1288"/>
    </row>
    <row r="15335" spans="18:18" s="2" customFormat="1" ht="12.75" x14ac:dyDescent="0.2">
      <c r="R15335" s="1288"/>
    </row>
    <row r="15336" spans="18:18" s="2" customFormat="1" ht="12.75" x14ac:dyDescent="0.2">
      <c r="R15336" s="1288"/>
    </row>
    <row r="15337" spans="18:18" s="2" customFormat="1" ht="12.75" x14ac:dyDescent="0.2">
      <c r="R15337" s="1288"/>
    </row>
    <row r="15338" spans="18:18" s="2" customFormat="1" ht="12.75" x14ac:dyDescent="0.2">
      <c r="R15338" s="1288"/>
    </row>
    <row r="15339" spans="18:18" s="2" customFormat="1" ht="12.75" x14ac:dyDescent="0.2">
      <c r="R15339" s="1288"/>
    </row>
    <row r="15340" spans="18:18" s="2" customFormat="1" ht="12.75" x14ac:dyDescent="0.2">
      <c r="R15340" s="1288"/>
    </row>
    <row r="15341" spans="18:18" s="2" customFormat="1" ht="12.75" x14ac:dyDescent="0.2">
      <c r="R15341" s="1288"/>
    </row>
    <row r="15342" spans="18:18" s="2" customFormat="1" ht="12.75" x14ac:dyDescent="0.2">
      <c r="R15342" s="1288"/>
    </row>
    <row r="15343" spans="18:18" s="2" customFormat="1" ht="12.75" x14ac:dyDescent="0.2">
      <c r="R15343" s="1288"/>
    </row>
    <row r="15344" spans="18:18" s="2" customFormat="1" ht="12.75" x14ac:dyDescent="0.2">
      <c r="R15344" s="1288"/>
    </row>
    <row r="15345" spans="18:18" s="2" customFormat="1" ht="12.75" x14ac:dyDescent="0.2">
      <c r="R15345" s="1288"/>
    </row>
    <row r="15346" spans="18:18" s="2" customFormat="1" ht="12.75" x14ac:dyDescent="0.2">
      <c r="R15346" s="1288"/>
    </row>
    <row r="15347" spans="18:18" s="2" customFormat="1" ht="12.75" x14ac:dyDescent="0.2">
      <c r="R15347" s="1288"/>
    </row>
    <row r="15348" spans="18:18" s="2" customFormat="1" ht="12.75" x14ac:dyDescent="0.2">
      <c r="R15348" s="1288"/>
    </row>
    <row r="15349" spans="18:18" s="2" customFormat="1" ht="12.75" x14ac:dyDescent="0.2">
      <c r="R15349" s="1288"/>
    </row>
    <row r="15350" spans="18:18" s="2" customFormat="1" ht="12.75" x14ac:dyDescent="0.2">
      <c r="R15350" s="1288"/>
    </row>
    <row r="15351" spans="18:18" s="2" customFormat="1" ht="12.75" x14ac:dyDescent="0.2">
      <c r="R15351" s="1288"/>
    </row>
    <row r="15352" spans="18:18" s="2" customFormat="1" ht="12.75" x14ac:dyDescent="0.2">
      <c r="R15352" s="1288"/>
    </row>
    <row r="15353" spans="18:18" s="2" customFormat="1" ht="12.75" x14ac:dyDescent="0.2">
      <c r="R15353" s="1288"/>
    </row>
    <row r="15354" spans="18:18" s="2" customFormat="1" ht="12.75" x14ac:dyDescent="0.2">
      <c r="R15354" s="1288"/>
    </row>
    <row r="15355" spans="18:18" s="2" customFormat="1" ht="12.75" x14ac:dyDescent="0.2">
      <c r="R15355" s="1288"/>
    </row>
    <row r="15356" spans="18:18" s="2" customFormat="1" ht="12.75" x14ac:dyDescent="0.2">
      <c r="R15356" s="1288"/>
    </row>
    <row r="15357" spans="18:18" s="2" customFormat="1" ht="12.75" x14ac:dyDescent="0.2">
      <c r="R15357" s="1288"/>
    </row>
    <row r="15358" spans="18:18" s="2" customFormat="1" ht="12.75" x14ac:dyDescent="0.2">
      <c r="R15358" s="1288"/>
    </row>
    <row r="15359" spans="18:18" s="2" customFormat="1" ht="12.75" x14ac:dyDescent="0.2">
      <c r="R15359" s="1288"/>
    </row>
    <row r="15360" spans="18:18" s="2" customFormat="1" ht="12.75" x14ac:dyDescent="0.2">
      <c r="R15360" s="1288"/>
    </row>
    <row r="15361" spans="18:18" s="2" customFormat="1" ht="12.75" x14ac:dyDescent="0.2">
      <c r="R15361" s="1288"/>
    </row>
    <row r="15362" spans="18:18" s="2" customFormat="1" ht="12.75" x14ac:dyDescent="0.2">
      <c r="R15362" s="1288"/>
    </row>
    <row r="15363" spans="18:18" s="2" customFormat="1" ht="12.75" x14ac:dyDescent="0.2">
      <c r="R15363" s="1288"/>
    </row>
    <row r="15364" spans="18:18" s="2" customFormat="1" ht="12.75" x14ac:dyDescent="0.2">
      <c r="R15364" s="1288"/>
    </row>
    <row r="15365" spans="18:18" s="2" customFormat="1" ht="12.75" x14ac:dyDescent="0.2">
      <c r="R15365" s="1288"/>
    </row>
    <row r="15366" spans="18:18" s="2" customFormat="1" ht="12.75" x14ac:dyDescent="0.2">
      <c r="R15366" s="1288"/>
    </row>
    <row r="15367" spans="18:18" s="2" customFormat="1" ht="12.75" x14ac:dyDescent="0.2">
      <c r="R15367" s="1288"/>
    </row>
    <row r="15368" spans="18:18" s="2" customFormat="1" ht="12.75" x14ac:dyDescent="0.2">
      <c r="R15368" s="1288"/>
    </row>
    <row r="15369" spans="18:18" s="2" customFormat="1" ht="12.75" x14ac:dyDescent="0.2">
      <c r="R15369" s="1288"/>
    </row>
    <row r="15370" spans="18:18" s="2" customFormat="1" ht="12.75" x14ac:dyDescent="0.2">
      <c r="R15370" s="1288"/>
    </row>
    <row r="15371" spans="18:18" s="2" customFormat="1" ht="12.75" x14ac:dyDescent="0.2">
      <c r="R15371" s="1288"/>
    </row>
    <row r="15372" spans="18:18" s="2" customFormat="1" ht="12.75" x14ac:dyDescent="0.2">
      <c r="R15372" s="1288"/>
    </row>
    <row r="15373" spans="18:18" s="2" customFormat="1" ht="12.75" x14ac:dyDescent="0.2">
      <c r="R15373" s="1288"/>
    </row>
    <row r="15374" spans="18:18" s="2" customFormat="1" ht="12.75" x14ac:dyDescent="0.2">
      <c r="R15374" s="1288"/>
    </row>
    <row r="15375" spans="18:18" s="2" customFormat="1" ht="12.75" x14ac:dyDescent="0.2">
      <c r="R15375" s="1288"/>
    </row>
    <row r="15376" spans="18:18" s="2" customFormat="1" ht="12.75" x14ac:dyDescent="0.2">
      <c r="R15376" s="1288"/>
    </row>
    <row r="15377" spans="18:18" s="2" customFormat="1" ht="12.75" x14ac:dyDescent="0.2">
      <c r="R15377" s="1288"/>
    </row>
    <row r="15378" spans="18:18" s="2" customFormat="1" ht="12.75" x14ac:dyDescent="0.2">
      <c r="R15378" s="1288"/>
    </row>
    <row r="15379" spans="18:18" s="2" customFormat="1" ht="12.75" x14ac:dyDescent="0.2">
      <c r="R15379" s="1288"/>
    </row>
    <row r="15380" spans="18:18" s="2" customFormat="1" ht="12.75" x14ac:dyDescent="0.2">
      <c r="R15380" s="1288"/>
    </row>
    <row r="15381" spans="18:18" s="2" customFormat="1" ht="12.75" x14ac:dyDescent="0.2">
      <c r="R15381" s="1288"/>
    </row>
    <row r="15382" spans="18:18" s="2" customFormat="1" ht="12.75" x14ac:dyDescent="0.2">
      <c r="R15382" s="1288"/>
    </row>
    <row r="15383" spans="18:18" s="2" customFormat="1" ht="12.75" x14ac:dyDescent="0.2">
      <c r="R15383" s="1288"/>
    </row>
    <row r="15384" spans="18:18" s="2" customFormat="1" ht="12.75" x14ac:dyDescent="0.2">
      <c r="R15384" s="1288"/>
    </row>
    <row r="15385" spans="18:18" s="2" customFormat="1" ht="12.75" x14ac:dyDescent="0.2">
      <c r="R15385" s="1288"/>
    </row>
    <row r="15386" spans="18:18" s="2" customFormat="1" ht="12.75" x14ac:dyDescent="0.2">
      <c r="R15386" s="1288"/>
    </row>
    <row r="15387" spans="18:18" s="2" customFormat="1" ht="12.75" x14ac:dyDescent="0.2">
      <c r="R15387" s="1288"/>
    </row>
    <row r="15388" spans="18:18" s="2" customFormat="1" ht="12.75" x14ac:dyDescent="0.2">
      <c r="R15388" s="1288"/>
    </row>
    <row r="15389" spans="18:18" s="2" customFormat="1" ht="12.75" x14ac:dyDescent="0.2">
      <c r="R15389" s="1288"/>
    </row>
    <row r="15390" spans="18:18" s="2" customFormat="1" ht="12.75" x14ac:dyDescent="0.2">
      <c r="R15390" s="1288"/>
    </row>
    <row r="15391" spans="18:18" s="2" customFormat="1" ht="12.75" x14ac:dyDescent="0.2">
      <c r="R15391" s="1288"/>
    </row>
    <row r="15392" spans="18:18" s="2" customFormat="1" ht="12.75" x14ac:dyDescent="0.2">
      <c r="R15392" s="1288"/>
    </row>
    <row r="15393" spans="18:18" s="2" customFormat="1" ht="12.75" x14ac:dyDescent="0.2">
      <c r="R15393" s="1288"/>
    </row>
    <row r="15394" spans="18:18" s="2" customFormat="1" ht="12.75" x14ac:dyDescent="0.2">
      <c r="R15394" s="1288"/>
    </row>
    <row r="15395" spans="18:18" s="2" customFormat="1" ht="12.75" x14ac:dyDescent="0.2">
      <c r="R15395" s="1288"/>
    </row>
    <row r="15396" spans="18:18" s="2" customFormat="1" ht="12.75" x14ac:dyDescent="0.2">
      <c r="R15396" s="1288"/>
    </row>
    <row r="15397" spans="18:18" s="2" customFormat="1" ht="12.75" x14ac:dyDescent="0.2">
      <c r="R15397" s="1288"/>
    </row>
    <row r="15398" spans="18:18" s="2" customFormat="1" ht="12.75" x14ac:dyDescent="0.2">
      <c r="R15398" s="1288"/>
    </row>
    <row r="15399" spans="18:18" s="2" customFormat="1" ht="12.75" x14ac:dyDescent="0.2">
      <c r="R15399" s="1288"/>
    </row>
    <row r="15400" spans="18:18" s="2" customFormat="1" ht="12.75" x14ac:dyDescent="0.2">
      <c r="R15400" s="1288"/>
    </row>
    <row r="15401" spans="18:18" s="2" customFormat="1" ht="12.75" x14ac:dyDescent="0.2">
      <c r="R15401" s="1288"/>
    </row>
    <row r="15402" spans="18:18" s="2" customFormat="1" ht="12.75" x14ac:dyDescent="0.2">
      <c r="R15402" s="1288"/>
    </row>
    <row r="15403" spans="18:18" s="2" customFormat="1" ht="12.75" x14ac:dyDescent="0.2">
      <c r="R15403" s="1288"/>
    </row>
    <row r="15404" spans="18:18" s="2" customFormat="1" ht="12.75" x14ac:dyDescent="0.2">
      <c r="R15404" s="1288"/>
    </row>
    <row r="15405" spans="18:18" s="2" customFormat="1" ht="12.75" x14ac:dyDescent="0.2">
      <c r="R15405" s="1288"/>
    </row>
    <row r="15406" spans="18:18" s="2" customFormat="1" ht="12.75" x14ac:dyDescent="0.2">
      <c r="R15406" s="1288"/>
    </row>
    <row r="15407" spans="18:18" s="2" customFormat="1" ht="12.75" x14ac:dyDescent="0.2">
      <c r="R15407" s="1288"/>
    </row>
    <row r="15408" spans="18:18" s="2" customFormat="1" ht="12.75" x14ac:dyDescent="0.2">
      <c r="R15408" s="1288"/>
    </row>
    <row r="15409" spans="18:18" s="2" customFormat="1" ht="12.75" x14ac:dyDescent="0.2">
      <c r="R15409" s="1288"/>
    </row>
    <row r="15410" spans="18:18" s="2" customFormat="1" ht="12.75" x14ac:dyDescent="0.2">
      <c r="R15410" s="1288"/>
    </row>
    <row r="15411" spans="18:18" s="2" customFormat="1" ht="12.75" x14ac:dyDescent="0.2">
      <c r="R15411" s="1288"/>
    </row>
    <row r="15412" spans="18:18" s="2" customFormat="1" ht="12.75" x14ac:dyDescent="0.2">
      <c r="R15412" s="1288"/>
    </row>
    <row r="15413" spans="18:18" s="2" customFormat="1" ht="12.75" x14ac:dyDescent="0.2">
      <c r="R15413" s="1288"/>
    </row>
    <row r="15414" spans="18:18" s="2" customFormat="1" ht="12.75" x14ac:dyDescent="0.2">
      <c r="R15414" s="1288"/>
    </row>
    <row r="15415" spans="18:18" s="2" customFormat="1" ht="12.75" x14ac:dyDescent="0.2">
      <c r="R15415" s="1288"/>
    </row>
    <row r="15416" spans="18:18" s="2" customFormat="1" ht="12.75" x14ac:dyDescent="0.2">
      <c r="R15416" s="1288"/>
    </row>
    <row r="15417" spans="18:18" s="2" customFormat="1" ht="12.75" x14ac:dyDescent="0.2">
      <c r="R15417" s="1288"/>
    </row>
    <row r="15418" spans="18:18" s="2" customFormat="1" ht="12.75" x14ac:dyDescent="0.2">
      <c r="R15418" s="1288"/>
    </row>
    <row r="15419" spans="18:18" s="2" customFormat="1" ht="12.75" x14ac:dyDescent="0.2">
      <c r="R15419" s="1288"/>
    </row>
    <row r="15420" spans="18:18" s="2" customFormat="1" ht="12.75" x14ac:dyDescent="0.2">
      <c r="R15420" s="1288"/>
    </row>
    <row r="15421" spans="18:18" s="2" customFormat="1" ht="12.75" x14ac:dyDescent="0.2">
      <c r="R15421" s="1288"/>
    </row>
    <row r="15422" spans="18:18" s="2" customFormat="1" ht="12.75" x14ac:dyDescent="0.2">
      <c r="R15422" s="1288"/>
    </row>
    <row r="15423" spans="18:18" s="2" customFormat="1" ht="12.75" x14ac:dyDescent="0.2">
      <c r="R15423" s="1288"/>
    </row>
    <row r="15424" spans="18:18" s="2" customFormat="1" ht="12.75" x14ac:dyDescent="0.2">
      <c r="R15424" s="1288"/>
    </row>
    <row r="15425" spans="18:18" s="2" customFormat="1" ht="12.75" x14ac:dyDescent="0.2">
      <c r="R15425" s="1288"/>
    </row>
    <row r="15426" spans="18:18" s="2" customFormat="1" ht="12.75" x14ac:dyDescent="0.2">
      <c r="R15426" s="1288"/>
    </row>
    <row r="15427" spans="18:18" s="2" customFormat="1" ht="12.75" x14ac:dyDescent="0.2">
      <c r="R15427" s="1288"/>
    </row>
    <row r="15428" spans="18:18" s="2" customFormat="1" ht="12.75" x14ac:dyDescent="0.2">
      <c r="R15428" s="1288"/>
    </row>
    <row r="15429" spans="18:18" s="2" customFormat="1" ht="12.75" x14ac:dyDescent="0.2">
      <c r="R15429" s="1288"/>
    </row>
    <row r="15430" spans="18:18" s="2" customFormat="1" ht="12.75" x14ac:dyDescent="0.2">
      <c r="R15430" s="1288"/>
    </row>
    <row r="15431" spans="18:18" s="2" customFormat="1" ht="12.75" x14ac:dyDescent="0.2">
      <c r="R15431" s="1288"/>
    </row>
    <row r="15432" spans="18:18" s="2" customFormat="1" ht="12.75" x14ac:dyDescent="0.2">
      <c r="R15432" s="1288"/>
    </row>
    <row r="15433" spans="18:18" s="2" customFormat="1" ht="12.75" x14ac:dyDescent="0.2">
      <c r="R15433" s="1288"/>
    </row>
    <row r="15434" spans="18:18" s="2" customFormat="1" ht="12.75" x14ac:dyDescent="0.2">
      <c r="R15434" s="1288"/>
    </row>
    <row r="15435" spans="18:18" s="2" customFormat="1" ht="12.75" x14ac:dyDescent="0.2">
      <c r="R15435" s="1288"/>
    </row>
    <row r="15436" spans="18:18" s="2" customFormat="1" ht="12.75" x14ac:dyDescent="0.2">
      <c r="R15436" s="1288"/>
    </row>
    <row r="15437" spans="18:18" s="2" customFormat="1" ht="12.75" x14ac:dyDescent="0.2">
      <c r="R15437" s="1288"/>
    </row>
    <row r="15438" spans="18:18" s="2" customFormat="1" ht="12.75" x14ac:dyDescent="0.2">
      <c r="R15438" s="1288"/>
    </row>
    <row r="15439" spans="18:18" s="2" customFormat="1" ht="12.75" x14ac:dyDescent="0.2">
      <c r="R15439" s="1288"/>
    </row>
    <row r="15440" spans="18:18" s="2" customFormat="1" ht="12.75" x14ac:dyDescent="0.2">
      <c r="R15440" s="1288"/>
    </row>
    <row r="15441" spans="18:18" s="2" customFormat="1" ht="12.75" x14ac:dyDescent="0.2">
      <c r="R15441" s="1288"/>
    </row>
    <row r="15442" spans="18:18" s="2" customFormat="1" ht="12.75" x14ac:dyDescent="0.2">
      <c r="R15442" s="1288"/>
    </row>
    <row r="15443" spans="18:18" s="2" customFormat="1" ht="12.75" x14ac:dyDescent="0.2">
      <c r="R15443" s="1288"/>
    </row>
    <row r="15444" spans="18:18" s="2" customFormat="1" ht="12.75" x14ac:dyDescent="0.2">
      <c r="R15444" s="1288"/>
    </row>
    <row r="15445" spans="18:18" s="2" customFormat="1" ht="12.75" x14ac:dyDescent="0.2">
      <c r="R15445" s="1288"/>
    </row>
    <row r="15446" spans="18:18" s="2" customFormat="1" ht="12.75" x14ac:dyDescent="0.2">
      <c r="R15446" s="1288"/>
    </row>
    <row r="15447" spans="18:18" s="2" customFormat="1" ht="12.75" x14ac:dyDescent="0.2">
      <c r="R15447" s="1288"/>
    </row>
    <row r="15448" spans="18:18" s="2" customFormat="1" ht="12.75" x14ac:dyDescent="0.2">
      <c r="R15448" s="1288"/>
    </row>
    <row r="15449" spans="18:18" s="2" customFormat="1" ht="12.75" x14ac:dyDescent="0.2">
      <c r="R15449" s="1288"/>
    </row>
    <row r="15450" spans="18:18" s="2" customFormat="1" ht="12.75" x14ac:dyDescent="0.2">
      <c r="R15450" s="1288"/>
    </row>
    <row r="15451" spans="18:18" s="2" customFormat="1" ht="12.75" x14ac:dyDescent="0.2">
      <c r="R15451" s="1288"/>
    </row>
    <row r="15452" spans="18:18" s="2" customFormat="1" ht="12.75" x14ac:dyDescent="0.2">
      <c r="R15452" s="1288"/>
    </row>
    <row r="15453" spans="18:18" s="2" customFormat="1" ht="12.75" x14ac:dyDescent="0.2">
      <c r="R15453" s="1288"/>
    </row>
    <row r="15454" spans="18:18" s="2" customFormat="1" ht="12.75" x14ac:dyDescent="0.2">
      <c r="R15454" s="1288"/>
    </row>
    <row r="15455" spans="18:18" s="2" customFormat="1" ht="12.75" x14ac:dyDescent="0.2">
      <c r="R15455" s="1288"/>
    </row>
    <row r="15456" spans="18:18" s="2" customFormat="1" ht="12.75" x14ac:dyDescent="0.2">
      <c r="R15456" s="1288"/>
    </row>
    <row r="15457" spans="18:18" s="2" customFormat="1" ht="12.75" x14ac:dyDescent="0.2">
      <c r="R15457" s="1288"/>
    </row>
    <row r="15458" spans="18:18" s="2" customFormat="1" ht="12.75" x14ac:dyDescent="0.2">
      <c r="R15458" s="1288"/>
    </row>
    <row r="15459" spans="18:18" s="2" customFormat="1" ht="12.75" x14ac:dyDescent="0.2">
      <c r="R15459" s="1288"/>
    </row>
    <row r="15460" spans="18:18" s="2" customFormat="1" ht="12.75" x14ac:dyDescent="0.2">
      <c r="R15460" s="1288"/>
    </row>
    <row r="15461" spans="18:18" s="2" customFormat="1" ht="12.75" x14ac:dyDescent="0.2">
      <c r="R15461" s="1288"/>
    </row>
    <row r="15462" spans="18:18" s="2" customFormat="1" ht="12.75" x14ac:dyDescent="0.2">
      <c r="R15462" s="1288"/>
    </row>
    <row r="15463" spans="18:18" s="2" customFormat="1" ht="12.75" x14ac:dyDescent="0.2">
      <c r="R15463" s="1288"/>
    </row>
    <row r="15464" spans="18:18" s="2" customFormat="1" ht="12.75" x14ac:dyDescent="0.2">
      <c r="R15464" s="1288"/>
    </row>
    <row r="15465" spans="18:18" s="2" customFormat="1" ht="12.75" x14ac:dyDescent="0.2">
      <c r="R15465" s="1288"/>
    </row>
    <row r="15466" spans="18:18" s="2" customFormat="1" ht="12.75" x14ac:dyDescent="0.2">
      <c r="R15466" s="1288"/>
    </row>
    <row r="15467" spans="18:18" s="2" customFormat="1" ht="12.75" x14ac:dyDescent="0.2">
      <c r="R15467" s="1288"/>
    </row>
    <row r="15468" spans="18:18" s="2" customFormat="1" ht="12.75" x14ac:dyDescent="0.2">
      <c r="R15468" s="1288"/>
    </row>
    <row r="15469" spans="18:18" s="2" customFormat="1" ht="12.75" x14ac:dyDescent="0.2">
      <c r="R15469" s="1288"/>
    </row>
    <row r="15470" spans="18:18" s="2" customFormat="1" ht="12.75" x14ac:dyDescent="0.2">
      <c r="R15470" s="1288"/>
    </row>
    <row r="15471" spans="18:18" s="2" customFormat="1" ht="12.75" x14ac:dyDescent="0.2">
      <c r="R15471" s="1288"/>
    </row>
    <row r="15472" spans="18:18" s="2" customFormat="1" ht="12.75" x14ac:dyDescent="0.2">
      <c r="R15472" s="1288"/>
    </row>
    <row r="15473" spans="18:18" s="2" customFormat="1" ht="12.75" x14ac:dyDescent="0.2">
      <c r="R15473" s="1288"/>
    </row>
    <row r="15474" spans="18:18" s="2" customFormat="1" ht="12.75" x14ac:dyDescent="0.2">
      <c r="R15474" s="1288"/>
    </row>
    <row r="15475" spans="18:18" s="2" customFormat="1" ht="12.75" x14ac:dyDescent="0.2">
      <c r="R15475" s="1288"/>
    </row>
    <row r="15476" spans="18:18" s="2" customFormat="1" ht="12.75" x14ac:dyDescent="0.2">
      <c r="R15476" s="1288"/>
    </row>
    <row r="15477" spans="18:18" s="2" customFormat="1" ht="12.75" x14ac:dyDescent="0.2">
      <c r="R15477" s="1288"/>
    </row>
    <row r="15478" spans="18:18" s="2" customFormat="1" ht="12.75" x14ac:dyDescent="0.2">
      <c r="R15478" s="1288"/>
    </row>
    <row r="15479" spans="18:18" s="2" customFormat="1" ht="12.75" x14ac:dyDescent="0.2">
      <c r="R15479" s="1288"/>
    </row>
    <row r="15480" spans="18:18" s="2" customFormat="1" ht="12.75" x14ac:dyDescent="0.2">
      <c r="R15480" s="1288"/>
    </row>
    <row r="15481" spans="18:18" s="2" customFormat="1" ht="12.75" x14ac:dyDescent="0.2">
      <c r="R15481" s="1288"/>
    </row>
    <row r="15482" spans="18:18" s="2" customFormat="1" ht="12.75" x14ac:dyDescent="0.2">
      <c r="R15482" s="1288"/>
    </row>
    <row r="15483" spans="18:18" s="2" customFormat="1" ht="12.75" x14ac:dyDescent="0.2">
      <c r="R15483" s="1288"/>
    </row>
    <row r="15484" spans="18:18" s="2" customFormat="1" ht="12.75" x14ac:dyDescent="0.2">
      <c r="R15484" s="1288"/>
    </row>
    <row r="15485" spans="18:18" s="2" customFormat="1" ht="12.75" x14ac:dyDescent="0.2">
      <c r="R15485" s="1288"/>
    </row>
    <row r="15486" spans="18:18" s="2" customFormat="1" ht="12.75" x14ac:dyDescent="0.2">
      <c r="R15486" s="1288"/>
    </row>
    <row r="15487" spans="18:18" s="2" customFormat="1" ht="12.75" x14ac:dyDescent="0.2">
      <c r="R15487" s="1288"/>
    </row>
    <row r="15488" spans="18:18" s="2" customFormat="1" ht="12.75" x14ac:dyDescent="0.2">
      <c r="R15488" s="1288"/>
    </row>
    <row r="15489" spans="18:18" s="2" customFormat="1" ht="12.75" x14ac:dyDescent="0.2">
      <c r="R15489" s="1288"/>
    </row>
    <row r="15490" spans="18:18" s="2" customFormat="1" ht="12.75" x14ac:dyDescent="0.2">
      <c r="R15490" s="1288"/>
    </row>
    <row r="15491" spans="18:18" s="2" customFormat="1" ht="12.75" x14ac:dyDescent="0.2">
      <c r="R15491" s="1288"/>
    </row>
    <row r="15492" spans="18:18" s="2" customFormat="1" ht="12.75" x14ac:dyDescent="0.2">
      <c r="R15492" s="1288"/>
    </row>
    <row r="15493" spans="18:18" s="2" customFormat="1" ht="12.75" x14ac:dyDescent="0.2">
      <c r="R15493" s="1288"/>
    </row>
    <row r="15494" spans="18:18" s="2" customFormat="1" ht="12.75" x14ac:dyDescent="0.2">
      <c r="R15494" s="1288"/>
    </row>
    <row r="15495" spans="18:18" s="2" customFormat="1" ht="12.75" x14ac:dyDescent="0.2">
      <c r="R15495" s="1288"/>
    </row>
    <row r="15496" spans="18:18" s="2" customFormat="1" ht="12.75" x14ac:dyDescent="0.2">
      <c r="R15496" s="1288"/>
    </row>
    <row r="15497" spans="18:18" s="2" customFormat="1" ht="12.75" x14ac:dyDescent="0.2">
      <c r="R15497" s="1288"/>
    </row>
    <row r="15498" spans="18:18" s="2" customFormat="1" ht="12.75" x14ac:dyDescent="0.2">
      <c r="R15498" s="1288"/>
    </row>
    <row r="15499" spans="18:18" s="2" customFormat="1" ht="12.75" x14ac:dyDescent="0.2">
      <c r="R15499" s="1288"/>
    </row>
    <row r="15500" spans="18:18" s="2" customFormat="1" ht="12.75" x14ac:dyDescent="0.2">
      <c r="R15500" s="1288"/>
    </row>
    <row r="15501" spans="18:18" s="2" customFormat="1" ht="12.75" x14ac:dyDescent="0.2">
      <c r="R15501" s="1288"/>
    </row>
    <row r="15502" spans="18:18" s="2" customFormat="1" ht="12.75" x14ac:dyDescent="0.2">
      <c r="R15502" s="1288"/>
    </row>
    <row r="15503" spans="18:18" s="2" customFormat="1" ht="12.75" x14ac:dyDescent="0.2">
      <c r="R15503" s="1288"/>
    </row>
    <row r="15504" spans="18:18" s="2" customFormat="1" ht="12.75" x14ac:dyDescent="0.2">
      <c r="R15504" s="1288"/>
    </row>
    <row r="15505" spans="18:18" s="2" customFormat="1" ht="12.75" x14ac:dyDescent="0.2">
      <c r="R15505" s="1288"/>
    </row>
    <row r="15506" spans="18:18" s="2" customFormat="1" ht="12.75" x14ac:dyDescent="0.2">
      <c r="R15506" s="1288"/>
    </row>
    <row r="15507" spans="18:18" s="2" customFormat="1" ht="12.75" x14ac:dyDescent="0.2">
      <c r="R15507" s="1288"/>
    </row>
    <row r="15508" spans="18:18" s="2" customFormat="1" ht="12.75" x14ac:dyDescent="0.2">
      <c r="R15508" s="1288"/>
    </row>
    <row r="15509" spans="18:18" s="2" customFormat="1" ht="12.75" x14ac:dyDescent="0.2">
      <c r="R15509" s="1288"/>
    </row>
    <row r="15510" spans="18:18" s="2" customFormat="1" ht="12.75" x14ac:dyDescent="0.2">
      <c r="R15510" s="1288"/>
    </row>
    <row r="15511" spans="18:18" s="2" customFormat="1" ht="12.75" x14ac:dyDescent="0.2">
      <c r="R15511" s="1288"/>
    </row>
    <row r="15512" spans="18:18" s="2" customFormat="1" ht="12.75" x14ac:dyDescent="0.2">
      <c r="R15512" s="1288"/>
    </row>
    <row r="15513" spans="18:18" s="2" customFormat="1" ht="12.75" x14ac:dyDescent="0.2">
      <c r="R15513" s="1288"/>
    </row>
    <row r="15514" spans="18:18" s="2" customFormat="1" ht="12.75" x14ac:dyDescent="0.2">
      <c r="R15514" s="1288"/>
    </row>
    <row r="15515" spans="18:18" s="2" customFormat="1" ht="12.75" x14ac:dyDescent="0.2">
      <c r="R15515" s="1288"/>
    </row>
    <row r="15516" spans="18:18" s="2" customFormat="1" ht="12.75" x14ac:dyDescent="0.2">
      <c r="R15516" s="1288"/>
    </row>
    <row r="15517" spans="18:18" s="2" customFormat="1" ht="12.75" x14ac:dyDescent="0.2">
      <c r="R15517" s="1288"/>
    </row>
    <row r="15518" spans="18:18" s="2" customFormat="1" ht="12.75" x14ac:dyDescent="0.2">
      <c r="R15518" s="1288"/>
    </row>
    <row r="15519" spans="18:18" s="2" customFormat="1" ht="12.75" x14ac:dyDescent="0.2">
      <c r="R15519" s="1288"/>
    </row>
    <row r="15520" spans="18:18" s="2" customFormat="1" ht="12.75" x14ac:dyDescent="0.2">
      <c r="R15520" s="1288"/>
    </row>
    <row r="15521" spans="18:18" s="2" customFormat="1" ht="12.75" x14ac:dyDescent="0.2">
      <c r="R15521" s="1288"/>
    </row>
    <row r="15522" spans="18:18" s="2" customFormat="1" ht="12.75" x14ac:dyDescent="0.2">
      <c r="R15522" s="1288"/>
    </row>
    <row r="15523" spans="18:18" s="2" customFormat="1" ht="12.75" x14ac:dyDescent="0.2">
      <c r="R15523" s="1288"/>
    </row>
    <row r="15524" spans="18:18" s="2" customFormat="1" ht="12.75" x14ac:dyDescent="0.2">
      <c r="R15524" s="1288"/>
    </row>
    <row r="15525" spans="18:18" s="2" customFormat="1" ht="12.75" x14ac:dyDescent="0.2">
      <c r="R15525" s="1288"/>
    </row>
    <row r="15526" spans="18:18" s="2" customFormat="1" ht="12.75" x14ac:dyDescent="0.2">
      <c r="R15526" s="1288"/>
    </row>
    <row r="15527" spans="18:18" s="2" customFormat="1" ht="12.75" x14ac:dyDescent="0.2">
      <c r="R15527" s="1288"/>
    </row>
    <row r="15528" spans="18:18" s="2" customFormat="1" ht="12.75" x14ac:dyDescent="0.2">
      <c r="R15528" s="1288"/>
    </row>
    <row r="15529" spans="18:18" s="2" customFormat="1" ht="12.75" x14ac:dyDescent="0.2">
      <c r="R15529" s="1288"/>
    </row>
    <row r="15530" spans="18:18" s="2" customFormat="1" ht="12.75" x14ac:dyDescent="0.2">
      <c r="R15530" s="1288"/>
    </row>
    <row r="15531" spans="18:18" s="2" customFormat="1" ht="12.75" x14ac:dyDescent="0.2">
      <c r="R15531" s="1288"/>
    </row>
    <row r="15532" spans="18:18" s="2" customFormat="1" ht="12.75" x14ac:dyDescent="0.2">
      <c r="R15532" s="1288"/>
    </row>
    <row r="15533" spans="18:18" s="2" customFormat="1" ht="12.75" x14ac:dyDescent="0.2">
      <c r="R15533" s="1288"/>
    </row>
    <row r="15534" spans="18:18" s="2" customFormat="1" ht="12.75" x14ac:dyDescent="0.2">
      <c r="R15534" s="1288"/>
    </row>
    <row r="15535" spans="18:18" s="2" customFormat="1" ht="12.75" x14ac:dyDescent="0.2">
      <c r="R15535" s="1288"/>
    </row>
    <row r="15536" spans="18:18" s="2" customFormat="1" ht="12.75" x14ac:dyDescent="0.2">
      <c r="R15536" s="1288"/>
    </row>
    <row r="15537" spans="18:18" s="2" customFormat="1" ht="12.75" x14ac:dyDescent="0.2">
      <c r="R15537" s="1288"/>
    </row>
    <row r="15538" spans="18:18" s="2" customFormat="1" ht="12.75" x14ac:dyDescent="0.2">
      <c r="R15538" s="1288"/>
    </row>
    <row r="15539" spans="18:18" s="2" customFormat="1" ht="12.75" x14ac:dyDescent="0.2">
      <c r="R15539" s="1288"/>
    </row>
    <row r="15540" spans="18:18" s="2" customFormat="1" ht="12.75" x14ac:dyDescent="0.2">
      <c r="R15540" s="1288"/>
    </row>
    <row r="15541" spans="18:18" s="2" customFormat="1" ht="12.75" x14ac:dyDescent="0.2">
      <c r="R15541" s="1288"/>
    </row>
    <row r="15542" spans="18:18" s="2" customFormat="1" ht="12.75" x14ac:dyDescent="0.2">
      <c r="R15542" s="1288"/>
    </row>
    <row r="15543" spans="18:18" s="2" customFormat="1" ht="12.75" x14ac:dyDescent="0.2">
      <c r="R15543" s="1288"/>
    </row>
    <row r="15544" spans="18:18" s="2" customFormat="1" ht="12.75" x14ac:dyDescent="0.2">
      <c r="R15544" s="1288"/>
    </row>
    <row r="15545" spans="18:18" s="2" customFormat="1" ht="12.75" x14ac:dyDescent="0.2">
      <c r="R15545" s="1288"/>
    </row>
    <row r="15546" spans="18:18" s="2" customFormat="1" ht="12.75" x14ac:dyDescent="0.2">
      <c r="R15546" s="1288"/>
    </row>
    <row r="15547" spans="18:18" s="2" customFormat="1" ht="12.75" x14ac:dyDescent="0.2">
      <c r="R15547" s="1288"/>
    </row>
    <row r="15548" spans="18:18" s="2" customFormat="1" ht="12.75" x14ac:dyDescent="0.2">
      <c r="R15548" s="1288"/>
    </row>
    <row r="15549" spans="18:18" s="2" customFormat="1" ht="12.75" x14ac:dyDescent="0.2">
      <c r="R15549" s="1288"/>
    </row>
    <row r="15550" spans="18:18" s="2" customFormat="1" ht="12.75" x14ac:dyDescent="0.2">
      <c r="R15550" s="1288"/>
    </row>
    <row r="15551" spans="18:18" s="2" customFormat="1" ht="12.75" x14ac:dyDescent="0.2">
      <c r="R15551" s="1288"/>
    </row>
    <row r="15552" spans="18:18" s="2" customFormat="1" ht="12.75" x14ac:dyDescent="0.2">
      <c r="R15552" s="1288"/>
    </row>
    <row r="15553" spans="18:18" s="2" customFormat="1" ht="12.75" x14ac:dyDescent="0.2">
      <c r="R15553" s="1288"/>
    </row>
    <row r="15554" spans="18:18" s="2" customFormat="1" ht="12.75" x14ac:dyDescent="0.2">
      <c r="R15554" s="1288"/>
    </row>
    <row r="15555" spans="18:18" s="2" customFormat="1" ht="12.75" x14ac:dyDescent="0.2">
      <c r="R15555" s="1288"/>
    </row>
    <row r="15556" spans="18:18" s="2" customFormat="1" ht="12.75" x14ac:dyDescent="0.2">
      <c r="R15556" s="1288"/>
    </row>
    <row r="15557" spans="18:18" s="2" customFormat="1" ht="12.75" x14ac:dyDescent="0.2">
      <c r="R15557" s="1288"/>
    </row>
    <row r="15558" spans="18:18" s="2" customFormat="1" ht="12.75" x14ac:dyDescent="0.2">
      <c r="R15558" s="1288"/>
    </row>
    <row r="15559" spans="18:18" s="2" customFormat="1" ht="12.75" x14ac:dyDescent="0.2">
      <c r="R15559" s="1288"/>
    </row>
    <row r="15560" spans="18:18" s="2" customFormat="1" ht="12.75" x14ac:dyDescent="0.2">
      <c r="R15560" s="1288"/>
    </row>
    <row r="15561" spans="18:18" s="2" customFormat="1" ht="12.75" x14ac:dyDescent="0.2">
      <c r="R15561" s="1288"/>
    </row>
    <row r="15562" spans="18:18" s="2" customFormat="1" ht="12.75" x14ac:dyDescent="0.2">
      <c r="R15562" s="1288"/>
    </row>
    <row r="15563" spans="18:18" s="2" customFormat="1" ht="12.75" x14ac:dyDescent="0.2">
      <c r="R15563" s="1288"/>
    </row>
    <row r="15564" spans="18:18" s="2" customFormat="1" ht="12.75" x14ac:dyDescent="0.2">
      <c r="R15564" s="1288"/>
    </row>
    <row r="15565" spans="18:18" s="2" customFormat="1" ht="12.75" x14ac:dyDescent="0.2">
      <c r="R15565" s="1288"/>
    </row>
    <row r="15566" spans="18:18" s="2" customFormat="1" ht="12.75" x14ac:dyDescent="0.2">
      <c r="R15566" s="1288"/>
    </row>
    <row r="15567" spans="18:18" s="2" customFormat="1" ht="12.75" x14ac:dyDescent="0.2">
      <c r="R15567" s="1288"/>
    </row>
    <row r="15568" spans="18:18" s="2" customFormat="1" ht="12.75" x14ac:dyDescent="0.2">
      <c r="R15568" s="1288"/>
    </row>
    <row r="15569" spans="18:18" s="2" customFormat="1" ht="12.75" x14ac:dyDescent="0.2">
      <c r="R15569" s="1288"/>
    </row>
    <row r="15570" spans="18:18" s="2" customFormat="1" ht="12.75" x14ac:dyDescent="0.2">
      <c r="R15570" s="1288"/>
    </row>
    <row r="15571" spans="18:18" s="2" customFormat="1" ht="12.75" x14ac:dyDescent="0.2">
      <c r="R15571" s="1288"/>
    </row>
    <row r="15572" spans="18:18" s="2" customFormat="1" ht="12.75" x14ac:dyDescent="0.2">
      <c r="R15572" s="1288"/>
    </row>
    <row r="15573" spans="18:18" s="2" customFormat="1" ht="12.75" x14ac:dyDescent="0.2">
      <c r="R15573" s="1288"/>
    </row>
    <row r="15574" spans="18:18" s="2" customFormat="1" ht="12.75" x14ac:dyDescent="0.2">
      <c r="R15574" s="1288"/>
    </row>
    <row r="15575" spans="18:18" s="2" customFormat="1" ht="12.75" x14ac:dyDescent="0.2">
      <c r="R15575" s="1288"/>
    </row>
    <row r="15576" spans="18:18" s="2" customFormat="1" ht="12.75" x14ac:dyDescent="0.2">
      <c r="R15576" s="1288"/>
    </row>
    <row r="15577" spans="18:18" s="2" customFormat="1" ht="12.75" x14ac:dyDescent="0.2">
      <c r="R15577" s="1288"/>
    </row>
    <row r="15578" spans="18:18" s="2" customFormat="1" ht="12.75" x14ac:dyDescent="0.2">
      <c r="R15578" s="1288"/>
    </row>
    <row r="15579" spans="18:18" s="2" customFormat="1" ht="12.75" x14ac:dyDescent="0.2">
      <c r="R15579" s="1288"/>
    </row>
    <row r="15580" spans="18:18" s="2" customFormat="1" ht="12.75" x14ac:dyDescent="0.2">
      <c r="R15580" s="1288"/>
    </row>
    <row r="15581" spans="18:18" s="2" customFormat="1" ht="12.75" x14ac:dyDescent="0.2">
      <c r="R15581" s="1288"/>
    </row>
    <row r="15582" spans="18:18" s="2" customFormat="1" ht="12.75" x14ac:dyDescent="0.2">
      <c r="R15582" s="1288"/>
    </row>
    <row r="15583" spans="18:18" s="2" customFormat="1" ht="12.75" x14ac:dyDescent="0.2">
      <c r="R15583" s="1288"/>
    </row>
    <row r="15584" spans="18:18" s="2" customFormat="1" ht="12.75" x14ac:dyDescent="0.2">
      <c r="R15584" s="1288"/>
    </row>
    <row r="15585" spans="18:18" s="2" customFormat="1" ht="12.75" x14ac:dyDescent="0.2">
      <c r="R15585" s="1288"/>
    </row>
    <row r="15586" spans="18:18" s="2" customFormat="1" ht="12.75" x14ac:dyDescent="0.2">
      <c r="R15586" s="1288"/>
    </row>
    <row r="15587" spans="18:18" s="2" customFormat="1" ht="12.75" x14ac:dyDescent="0.2">
      <c r="R15587" s="1288"/>
    </row>
    <row r="15588" spans="18:18" s="2" customFormat="1" ht="12.75" x14ac:dyDescent="0.2">
      <c r="R15588" s="1288"/>
    </row>
    <row r="15589" spans="18:18" s="2" customFormat="1" ht="12.75" x14ac:dyDescent="0.2">
      <c r="R15589" s="1288"/>
    </row>
    <row r="15590" spans="18:18" s="2" customFormat="1" ht="12.75" x14ac:dyDescent="0.2">
      <c r="R15590" s="1288"/>
    </row>
    <row r="15591" spans="18:18" s="2" customFormat="1" ht="12.75" x14ac:dyDescent="0.2">
      <c r="R15591" s="1288"/>
    </row>
    <row r="15592" spans="18:18" s="2" customFormat="1" ht="12.75" x14ac:dyDescent="0.2">
      <c r="R15592" s="1288"/>
    </row>
    <row r="15593" spans="18:18" s="2" customFormat="1" ht="12.75" x14ac:dyDescent="0.2">
      <c r="R15593" s="1288"/>
    </row>
    <row r="15594" spans="18:18" s="2" customFormat="1" ht="12.75" x14ac:dyDescent="0.2">
      <c r="R15594" s="1288"/>
    </row>
    <row r="15595" spans="18:18" s="2" customFormat="1" ht="12.75" x14ac:dyDescent="0.2">
      <c r="R15595" s="1288"/>
    </row>
    <row r="15596" spans="18:18" s="2" customFormat="1" ht="12.75" x14ac:dyDescent="0.2">
      <c r="R15596" s="1288"/>
    </row>
    <row r="15597" spans="18:18" s="2" customFormat="1" ht="12.75" x14ac:dyDescent="0.2">
      <c r="R15597" s="1288"/>
    </row>
    <row r="15598" spans="18:18" s="2" customFormat="1" ht="12.75" x14ac:dyDescent="0.2">
      <c r="R15598" s="1288"/>
    </row>
    <row r="15599" spans="18:18" s="2" customFormat="1" ht="12.75" x14ac:dyDescent="0.2">
      <c r="R15599" s="1288"/>
    </row>
    <row r="15600" spans="18:18" s="2" customFormat="1" ht="12.75" x14ac:dyDescent="0.2">
      <c r="R15600" s="1288"/>
    </row>
    <row r="15601" spans="18:18" s="2" customFormat="1" ht="12.75" x14ac:dyDescent="0.2">
      <c r="R15601" s="1288"/>
    </row>
    <row r="15602" spans="18:18" s="2" customFormat="1" ht="12.75" x14ac:dyDescent="0.2">
      <c r="R15602" s="1288"/>
    </row>
    <row r="15603" spans="18:18" s="2" customFormat="1" ht="12.75" x14ac:dyDescent="0.2">
      <c r="R15603" s="1288"/>
    </row>
    <row r="15604" spans="18:18" s="2" customFormat="1" ht="12.75" x14ac:dyDescent="0.2">
      <c r="R15604" s="1288"/>
    </row>
    <row r="15605" spans="18:18" s="2" customFormat="1" ht="12.75" x14ac:dyDescent="0.2">
      <c r="R15605" s="1288"/>
    </row>
    <row r="15606" spans="18:18" s="2" customFormat="1" ht="12.75" x14ac:dyDescent="0.2">
      <c r="R15606" s="1288"/>
    </row>
    <row r="15607" spans="18:18" s="2" customFormat="1" ht="12.75" x14ac:dyDescent="0.2">
      <c r="R15607" s="1288"/>
    </row>
    <row r="15608" spans="18:18" s="2" customFormat="1" ht="12.75" x14ac:dyDescent="0.2">
      <c r="R15608" s="1288"/>
    </row>
    <row r="15609" spans="18:18" s="2" customFormat="1" ht="12.75" x14ac:dyDescent="0.2">
      <c r="R15609" s="1288"/>
    </row>
    <row r="15610" spans="18:18" s="2" customFormat="1" ht="12.75" x14ac:dyDescent="0.2">
      <c r="R15610" s="1288"/>
    </row>
    <row r="15611" spans="18:18" s="2" customFormat="1" ht="12.75" x14ac:dyDescent="0.2">
      <c r="R15611" s="1288"/>
    </row>
    <row r="15612" spans="18:18" s="2" customFormat="1" ht="12.75" x14ac:dyDescent="0.2">
      <c r="R15612" s="1288"/>
    </row>
    <row r="15613" spans="18:18" s="2" customFormat="1" ht="12.75" x14ac:dyDescent="0.2">
      <c r="R15613" s="1288"/>
    </row>
    <row r="15614" spans="18:18" s="2" customFormat="1" ht="12.75" x14ac:dyDescent="0.2">
      <c r="R15614" s="1288"/>
    </row>
    <row r="15615" spans="18:18" s="2" customFormat="1" ht="12.75" x14ac:dyDescent="0.2">
      <c r="R15615" s="1288"/>
    </row>
    <row r="15616" spans="18:18" s="2" customFormat="1" ht="12.75" x14ac:dyDescent="0.2">
      <c r="R15616" s="1288"/>
    </row>
    <row r="15617" spans="18:18" s="2" customFormat="1" ht="12.75" x14ac:dyDescent="0.2">
      <c r="R15617" s="1288"/>
    </row>
    <row r="15618" spans="18:18" s="2" customFormat="1" ht="12.75" x14ac:dyDescent="0.2">
      <c r="R15618" s="1288"/>
    </row>
    <row r="15619" spans="18:18" s="2" customFormat="1" ht="12.75" x14ac:dyDescent="0.2">
      <c r="R15619" s="1288"/>
    </row>
    <row r="15620" spans="18:18" s="2" customFormat="1" ht="12.75" x14ac:dyDescent="0.2">
      <c r="R15620" s="1288"/>
    </row>
    <row r="15621" spans="18:18" s="2" customFormat="1" ht="12.75" x14ac:dyDescent="0.2">
      <c r="R15621" s="1288"/>
    </row>
    <row r="15622" spans="18:18" s="2" customFormat="1" ht="12.75" x14ac:dyDescent="0.2">
      <c r="R15622" s="1288"/>
    </row>
    <row r="15623" spans="18:18" s="2" customFormat="1" ht="12.75" x14ac:dyDescent="0.2">
      <c r="R15623" s="1288"/>
    </row>
    <row r="15624" spans="18:18" s="2" customFormat="1" ht="12.75" x14ac:dyDescent="0.2">
      <c r="R15624" s="1288"/>
    </row>
    <row r="15625" spans="18:18" s="2" customFormat="1" ht="12.75" x14ac:dyDescent="0.2">
      <c r="R15625" s="1288"/>
    </row>
    <row r="15626" spans="18:18" s="2" customFormat="1" ht="12.75" x14ac:dyDescent="0.2">
      <c r="R15626" s="1288"/>
    </row>
    <row r="15627" spans="18:18" s="2" customFormat="1" ht="12.75" x14ac:dyDescent="0.2">
      <c r="R15627" s="1288"/>
    </row>
    <row r="15628" spans="18:18" s="2" customFormat="1" ht="12.75" x14ac:dyDescent="0.2">
      <c r="R15628" s="1288"/>
    </row>
    <row r="15629" spans="18:18" s="2" customFormat="1" ht="12.75" x14ac:dyDescent="0.2">
      <c r="R15629" s="1288"/>
    </row>
    <row r="15630" spans="18:18" s="2" customFormat="1" ht="12.75" x14ac:dyDescent="0.2">
      <c r="R15630" s="1288"/>
    </row>
    <row r="15631" spans="18:18" s="2" customFormat="1" ht="12.75" x14ac:dyDescent="0.2">
      <c r="R15631" s="1288"/>
    </row>
    <row r="15632" spans="18:18" s="2" customFormat="1" ht="12.75" x14ac:dyDescent="0.2">
      <c r="R15632" s="1288"/>
    </row>
    <row r="15633" spans="18:18" s="2" customFormat="1" ht="12.75" x14ac:dyDescent="0.2">
      <c r="R15633" s="1288"/>
    </row>
    <row r="15634" spans="18:18" s="2" customFormat="1" ht="12.75" x14ac:dyDescent="0.2">
      <c r="R15634" s="1288"/>
    </row>
    <row r="15635" spans="18:18" s="2" customFormat="1" ht="12.75" x14ac:dyDescent="0.2">
      <c r="R15635" s="1288"/>
    </row>
    <row r="15636" spans="18:18" s="2" customFormat="1" ht="12.75" x14ac:dyDescent="0.2">
      <c r="R15636" s="1288"/>
    </row>
    <row r="15637" spans="18:18" s="2" customFormat="1" ht="12.75" x14ac:dyDescent="0.2">
      <c r="R15637" s="1288"/>
    </row>
    <row r="15638" spans="18:18" s="2" customFormat="1" ht="12.75" x14ac:dyDescent="0.2">
      <c r="R15638" s="1288"/>
    </row>
    <row r="15639" spans="18:18" s="2" customFormat="1" ht="12.75" x14ac:dyDescent="0.2">
      <c r="R15639" s="1288"/>
    </row>
    <row r="15640" spans="18:18" s="2" customFormat="1" ht="12.75" x14ac:dyDescent="0.2">
      <c r="R15640" s="1288"/>
    </row>
    <row r="15641" spans="18:18" s="2" customFormat="1" ht="12.75" x14ac:dyDescent="0.2">
      <c r="R15641" s="1288"/>
    </row>
    <row r="15642" spans="18:18" s="2" customFormat="1" ht="12.75" x14ac:dyDescent="0.2">
      <c r="R15642" s="1288"/>
    </row>
    <row r="15643" spans="18:18" s="2" customFormat="1" ht="12.75" x14ac:dyDescent="0.2">
      <c r="R15643" s="1288"/>
    </row>
    <row r="15644" spans="18:18" s="2" customFormat="1" ht="12.75" x14ac:dyDescent="0.2">
      <c r="R15644" s="1288"/>
    </row>
    <row r="15645" spans="18:18" s="2" customFormat="1" ht="12.75" x14ac:dyDescent="0.2">
      <c r="R15645" s="1288"/>
    </row>
    <row r="15646" spans="18:18" s="2" customFormat="1" ht="12.75" x14ac:dyDescent="0.2">
      <c r="R15646" s="1288"/>
    </row>
    <row r="15647" spans="18:18" s="2" customFormat="1" ht="12.75" x14ac:dyDescent="0.2">
      <c r="R15647" s="1288"/>
    </row>
    <row r="15648" spans="18:18" s="2" customFormat="1" ht="12.75" x14ac:dyDescent="0.2">
      <c r="R15648" s="1288"/>
    </row>
    <row r="15649" spans="18:18" s="2" customFormat="1" ht="12.75" x14ac:dyDescent="0.2">
      <c r="R15649" s="1288"/>
    </row>
    <row r="15650" spans="18:18" s="2" customFormat="1" ht="12.75" x14ac:dyDescent="0.2">
      <c r="R15650" s="1288"/>
    </row>
    <row r="15651" spans="18:18" s="2" customFormat="1" ht="12.75" x14ac:dyDescent="0.2">
      <c r="R15651" s="1288"/>
    </row>
    <row r="15652" spans="18:18" s="2" customFormat="1" ht="12.75" x14ac:dyDescent="0.2">
      <c r="R15652" s="1288"/>
    </row>
    <row r="15653" spans="18:18" s="2" customFormat="1" ht="12.75" x14ac:dyDescent="0.2">
      <c r="R15653" s="1288"/>
    </row>
    <row r="15654" spans="18:18" s="2" customFormat="1" ht="12.75" x14ac:dyDescent="0.2">
      <c r="R15654" s="1288"/>
    </row>
    <row r="15655" spans="18:18" s="2" customFormat="1" ht="12.75" x14ac:dyDescent="0.2">
      <c r="R15655" s="1288"/>
    </row>
    <row r="15656" spans="18:18" s="2" customFormat="1" ht="12.75" x14ac:dyDescent="0.2">
      <c r="R15656" s="1288"/>
    </row>
    <row r="15657" spans="18:18" s="2" customFormat="1" ht="12.75" x14ac:dyDescent="0.2">
      <c r="R15657" s="1288"/>
    </row>
    <row r="15658" spans="18:18" s="2" customFormat="1" ht="12.75" x14ac:dyDescent="0.2">
      <c r="R15658" s="1288"/>
    </row>
    <row r="15659" spans="18:18" s="2" customFormat="1" ht="12.75" x14ac:dyDescent="0.2">
      <c r="R15659" s="1288"/>
    </row>
    <row r="15660" spans="18:18" s="2" customFormat="1" ht="12.75" x14ac:dyDescent="0.2">
      <c r="R15660" s="1288"/>
    </row>
    <row r="15661" spans="18:18" s="2" customFormat="1" ht="12.75" x14ac:dyDescent="0.2">
      <c r="R15661" s="1288"/>
    </row>
    <row r="15662" spans="18:18" s="2" customFormat="1" ht="12.75" x14ac:dyDescent="0.2">
      <c r="R15662" s="1288"/>
    </row>
    <row r="15663" spans="18:18" s="2" customFormat="1" ht="12.75" x14ac:dyDescent="0.2">
      <c r="R15663" s="1288"/>
    </row>
    <row r="15664" spans="18:18" s="2" customFormat="1" ht="12.75" x14ac:dyDescent="0.2">
      <c r="R15664" s="1288"/>
    </row>
    <row r="15665" spans="18:18" s="2" customFormat="1" ht="12.75" x14ac:dyDescent="0.2">
      <c r="R15665" s="1288"/>
    </row>
    <row r="15666" spans="18:18" s="2" customFormat="1" ht="12.75" x14ac:dyDescent="0.2">
      <c r="R15666" s="1288"/>
    </row>
    <row r="15667" spans="18:18" s="2" customFormat="1" ht="12.75" x14ac:dyDescent="0.2">
      <c r="R15667" s="1288"/>
    </row>
    <row r="15668" spans="18:18" s="2" customFormat="1" ht="12.75" x14ac:dyDescent="0.2">
      <c r="R15668" s="1288"/>
    </row>
    <row r="15669" spans="18:18" s="2" customFormat="1" ht="12.75" x14ac:dyDescent="0.2">
      <c r="R15669" s="1288"/>
    </row>
    <row r="15670" spans="18:18" s="2" customFormat="1" ht="12.75" x14ac:dyDescent="0.2">
      <c r="R15670" s="1288"/>
    </row>
    <row r="15671" spans="18:18" s="2" customFormat="1" ht="12.75" x14ac:dyDescent="0.2">
      <c r="R15671" s="1288"/>
    </row>
    <row r="15672" spans="18:18" s="2" customFormat="1" ht="12.75" x14ac:dyDescent="0.2">
      <c r="R15672" s="1288"/>
    </row>
    <row r="15673" spans="18:18" s="2" customFormat="1" ht="12.75" x14ac:dyDescent="0.2">
      <c r="R15673" s="1288"/>
    </row>
    <row r="15674" spans="18:18" s="2" customFormat="1" ht="12.75" x14ac:dyDescent="0.2">
      <c r="R15674" s="1288"/>
    </row>
    <row r="15675" spans="18:18" s="2" customFormat="1" ht="12.75" x14ac:dyDescent="0.2">
      <c r="R15675" s="1288"/>
    </row>
    <row r="15676" spans="18:18" s="2" customFormat="1" ht="12.75" x14ac:dyDescent="0.2">
      <c r="R15676" s="1288"/>
    </row>
    <row r="15677" spans="18:18" s="2" customFormat="1" ht="12.75" x14ac:dyDescent="0.2">
      <c r="R15677" s="1288"/>
    </row>
    <row r="15678" spans="18:18" s="2" customFormat="1" ht="12.75" x14ac:dyDescent="0.2">
      <c r="R15678" s="1288"/>
    </row>
    <row r="15679" spans="18:18" s="2" customFormat="1" ht="12.75" x14ac:dyDescent="0.2">
      <c r="R15679" s="1288"/>
    </row>
    <row r="15680" spans="18:18" s="2" customFormat="1" ht="12.75" x14ac:dyDescent="0.2">
      <c r="R15680" s="1288"/>
    </row>
    <row r="15681" spans="18:18" s="2" customFormat="1" ht="12.75" x14ac:dyDescent="0.2">
      <c r="R15681" s="1288"/>
    </row>
    <row r="15682" spans="18:18" s="2" customFormat="1" ht="12.75" x14ac:dyDescent="0.2">
      <c r="R15682" s="1288"/>
    </row>
    <row r="15683" spans="18:18" s="2" customFormat="1" ht="12.75" x14ac:dyDescent="0.2">
      <c r="R15683" s="1288"/>
    </row>
    <row r="15684" spans="18:18" s="2" customFormat="1" ht="12.75" x14ac:dyDescent="0.2">
      <c r="R15684" s="1288"/>
    </row>
    <row r="15685" spans="18:18" s="2" customFormat="1" ht="12.75" x14ac:dyDescent="0.2">
      <c r="R15685" s="1288"/>
    </row>
    <row r="15686" spans="18:18" s="2" customFormat="1" ht="12.75" x14ac:dyDescent="0.2">
      <c r="R15686" s="1288"/>
    </row>
    <row r="15687" spans="18:18" s="2" customFormat="1" ht="12.75" x14ac:dyDescent="0.2">
      <c r="R15687" s="1288"/>
    </row>
    <row r="15688" spans="18:18" s="2" customFormat="1" ht="12.75" x14ac:dyDescent="0.2">
      <c r="R15688" s="1288"/>
    </row>
    <row r="15689" spans="18:18" s="2" customFormat="1" ht="12.75" x14ac:dyDescent="0.2">
      <c r="R15689" s="1288"/>
    </row>
    <row r="15690" spans="18:18" s="2" customFormat="1" ht="12.75" x14ac:dyDescent="0.2">
      <c r="R15690" s="1288"/>
    </row>
    <row r="15691" spans="18:18" s="2" customFormat="1" ht="12.75" x14ac:dyDescent="0.2">
      <c r="R15691" s="1288"/>
    </row>
    <row r="15692" spans="18:18" s="2" customFormat="1" ht="12.75" x14ac:dyDescent="0.2">
      <c r="R15692" s="1288"/>
    </row>
    <row r="15693" spans="18:18" s="2" customFormat="1" ht="12.75" x14ac:dyDescent="0.2">
      <c r="R15693" s="1288"/>
    </row>
    <row r="15694" spans="18:18" s="2" customFormat="1" ht="12.75" x14ac:dyDescent="0.2">
      <c r="R15694" s="1288"/>
    </row>
    <row r="15695" spans="18:18" s="2" customFormat="1" ht="12.75" x14ac:dyDescent="0.2">
      <c r="R15695" s="1288"/>
    </row>
    <row r="15696" spans="18:18" s="2" customFormat="1" ht="12.75" x14ac:dyDescent="0.2">
      <c r="R15696" s="1288"/>
    </row>
    <row r="15697" spans="18:18" s="2" customFormat="1" ht="12.75" x14ac:dyDescent="0.2">
      <c r="R15697" s="1288"/>
    </row>
    <row r="15698" spans="18:18" s="2" customFormat="1" ht="12.75" x14ac:dyDescent="0.2">
      <c r="R15698" s="1288"/>
    </row>
    <row r="15699" spans="18:18" s="2" customFormat="1" ht="12.75" x14ac:dyDescent="0.2">
      <c r="R15699" s="1288"/>
    </row>
    <row r="15700" spans="18:18" s="2" customFormat="1" ht="12.75" x14ac:dyDescent="0.2">
      <c r="R15700" s="1288"/>
    </row>
    <row r="15701" spans="18:18" s="2" customFormat="1" ht="12.75" x14ac:dyDescent="0.2">
      <c r="R15701" s="1288"/>
    </row>
    <row r="15702" spans="18:18" s="2" customFormat="1" ht="12.75" x14ac:dyDescent="0.2">
      <c r="R15702" s="1288"/>
    </row>
    <row r="15703" spans="18:18" s="2" customFormat="1" ht="12.75" x14ac:dyDescent="0.2">
      <c r="R15703" s="1288"/>
    </row>
    <row r="15704" spans="18:18" s="2" customFormat="1" ht="12.75" x14ac:dyDescent="0.2">
      <c r="R15704" s="1288"/>
    </row>
    <row r="15705" spans="18:18" s="2" customFormat="1" ht="12.75" x14ac:dyDescent="0.2">
      <c r="R15705" s="1288"/>
    </row>
    <row r="15706" spans="18:18" s="2" customFormat="1" ht="12.75" x14ac:dyDescent="0.2">
      <c r="R15706" s="1288"/>
    </row>
    <row r="15707" spans="18:18" s="2" customFormat="1" ht="12.75" x14ac:dyDescent="0.2">
      <c r="R15707" s="1288"/>
    </row>
    <row r="15708" spans="18:18" s="2" customFormat="1" ht="12.75" x14ac:dyDescent="0.2">
      <c r="R15708" s="1288"/>
    </row>
    <row r="15709" spans="18:18" s="2" customFormat="1" ht="12.75" x14ac:dyDescent="0.2">
      <c r="R15709" s="1288"/>
    </row>
    <row r="15710" spans="18:18" s="2" customFormat="1" ht="12.75" x14ac:dyDescent="0.2">
      <c r="R15710" s="1288"/>
    </row>
    <row r="15711" spans="18:18" s="2" customFormat="1" ht="12.75" x14ac:dyDescent="0.2">
      <c r="R15711" s="1288"/>
    </row>
    <row r="15712" spans="18:18" s="2" customFormat="1" ht="12.75" x14ac:dyDescent="0.2">
      <c r="R15712" s="1288"/>
    </row>
    <row r="15713" spans="18:18" s="2" customFormat="1" ht="12.75" x14ac:dyDescent="0.2">
      <c r="R15713" s="1288"/>
    </row>
    <row r="15714" spans="18:18" s="2" customFormat="1" ht="12.75" x14ac:dyDescent="0.2">
      <c r="R15714" s="1288"/>
    </row>
    <row r="15715" spans="18:18" s="2" customFormat="1" ht="12.75" x14ac:dyDescent="0.2">
      <c r="R15715" s="1288"/>
    </row>
    <row r="15716" spans="18:18" s="2" customFormat="1" ht="12.75" x14ac:dyDescent="0.2">
      <c r="R15716" s="1288"/>
    </row>
    <row r="15717" spans="18:18" s="2" customFormat="1" ht="12.75" x14ac:dyDescent="0.2">
      <c r="R15717" s="1288"/>
    </row>
    <row r="15718" spans="18:18" s="2" customFormat="1" ht="12.75" x14ac:dyDescent="0.2">
      <c r="R15718" s="1288"/>
    </row>
    <row r="15719" spans="18:18" s="2" customFormat="1" ht="12.75" x14ac:dyDescent="0.2">
      <c r="R15719" s="1288"/>
    </row>
    <row r="15720" spans="18:18" s="2" customFormat="1" ht="12.75" x14ac:dyDescent="0.2">
      <c r="R15720" s="1288"/>
    </row>
    <row r="15721" spans="18:18" s="2" customFormat="1" ht="12.75" x14ac:dyDescent="0.2">
      <c r="R15721" s="1288"/>
    </row>
    <row r="15722" spans="18:18" s="2" customFormat="1" ht="12.75" x14ac:dyDescent="0.2">
      <c r="R15722" s="1288"/>
    </row>
    <row r="15723" spans="18:18" s="2" customFormat="1" ht="12.75" x14ac:dyDescent="0.2">
      <c r="R15723" s="1288"/>
    </row>
    <row r="15724" spans="18:18" s="2" customFormat="1" ht="12.75" x14ac:dyDescent="0.2">
      <c r="R15724" s="1288"/>
    </row>
    <row r="15725" spans="18:18" s="2" customFormat="1" ht="12.75" x14ac:dyDescent="0.2">
      <c r="R15725" s="1288"/>
    </row>
    <row r="15726" spans="18:18" s="2" customFormat="1" ht="12.75" x14ac:dyDescent="0.2">
      <c r="R15726" s="1288"/>
    </row>
    <row r="15727" spans="18:18" s="2" customFormat="1" ht="12.75" x14ac:dyDescent="0.2">
      <c r="R15727" s="1288"/>
    </row>
    <row r="15728" spans="18:18" s="2" customFormat="1" ht="12.75" x14ac:dyDescent="0.2">
      <c r="R15728" s="1288"/>
    </row>
    <row r="15729" spans="18:18" s="2" customFormat="1" ht="12.75" x14ac:dyDescent="0.2">
      <c r="R15729" s="1288"/>
    </row>
    <row r="15730" spans="18:18" s="2" customFormat="1" ht="12.75" x14ac:dyDescent="0.2">
      <c r="R15730" s="1288"/>
    </row>
    <row r="15731" spans="18:18" s="2" customFormat="1" ht="12.75" x14ac:dyDescent="0.2">
      <c r="R15731" s="1288"/>
    </row>
    <row r="15732" spans="18:18" s="2" customFormat="1" ht="12.75" x14ac:dyDescent="0.2">
      <c r="R15732" s="1288"/>
    </row>
    <row r="15733" spans="18:18" s="2" customFormat="1" ht="12.75" x14ac:dyDescent="0.2">
      <c r="R15733" s="1288"/>
    </row>
    <row r="15734" spans="18:18" s="2" customFormat="1" ht="12.75" x14ac:dyDescent="0.2">
      <c r="R15734" s="1288"/>
    </row>
    <row r="15735" spans="18:18" s="2" customFormat="1" ht="12.75" x14ac:dyDescent="0.2">
      <c r="R15735" s="1288"/>
    </row>
    <row r="15736" spans="18:18" s="2" customFormat="1" ht="12.75" x14ac:dyDescent="0.2">
      <c r="R15736" s="1288"/>
    </row>
    <row r="15737" spans="18:18" s="2" customFormat="1" ht="12.75" x14ac:dyDescent="0.2">
      <c r="R15737" s="1288"/>
    </row>
    <row r="15738" spans="18:18" s="2" customFormat="1" ht="12.75" x14ac:dyDescent="0.2">
      <c r="R15738" s="1288"/>
    </row>
    <row r="15739" spans="18:18" s="2" customFormat="1" ht="12.75" x14ac:dyDescent="0.2">
      <c r="R15739" s="1288"/>
    </row>
    <row r="15740" spans="18:18" s="2" customFormat="1" ht="12.75" x14ac:dyDescent="0.2">
      <c r="R15740" s="1288"/>
    </row>
    <row r="15741" spans="18:18" s="2" customFormat="1" ht="12.75" x14ac:dyDescent="0.2">
      <c r="R15741" s="1288"/>
    </row>
    <row r="15742" spans="18:18" s="2" customFormat="1" ht="12.75" x14ac:dyDescent="0.2">
      <c r="R15742" s="1288"/>
    </row>
    <row r="15743" spans="18:18" s="2" customFormat="1" ht="12.75" x14ac:dyDescent="0.2">
      <c r="R15743" s="1288"/>
    </row>
    <row r="15744" spans="18:18" s="2" customFormat="1" ht="12.75" x14ac:dyDescent="0.2">
      <c r="R15744" s="1288"/>
    </row>
    <row r="15745" spans="18:18" s="2" customFormat="1" ht="12.75" x14ac:dyDescent="0.2">
      <c r="R15745" s="1288"/>
    </row>
    <row r="15746" spans="18:18" s="2" customFormat="1" ht="12.75" x14ac:dyDescent="0.2">
      <c r="R15746" s="1288"/>
    </row>
    <row r="15747" spans="18:18" s="2" customFormat="1" ht="12.75" x14ac:dyDescent="0.2">
      <c r="R15747" s="1288"/>
    </row>
    <row r="15748" spans="18:18" s="2" customFormat="1" ht="12.75" x14ac:dyDescent="0.2">
      <c r="R15748" s="1288"/>
    </row>
    <row r="15749" spans="18:18" s="2" customFormat="1" ht="12.75" x14ac:dyDescent="0.2">
      <c r="R15749" s="1288"/>
    </row>
    <row r="15750" spans="18:18" s="2" customFormat="1" ht="12.75" x14ac:dyDescent="0.2">
      <c r="R15750" s="1288"/>
    </row>
    <row r="15751" spans="18:18" s="2" customFormat="1" ht="12.75" x14ac:dyDescent="0.2">
      <c r="R15751" s="1288"/>
    </row>
    <row r="15752" spans="18:18" s="2" customFormat="1" ht="12.75" x14ac:dyDescent="0.2">
      <c r="R15752" s="1288"/>
    </row>
    <row r="15753" spans="18:18" s="2" customFormat="1" ht="12.75" x14ac:dyDescent="0.2">
      <c r="R15753" s="1288"/>
    </row>
    <row r="15754" spans="18:18" s="2" customFormat="1" ht="12.75" x14ac:dyDescent="0.2">
      <c r="R15754" s="1288"/>
    </row>
    <row r="15755" spans="18:18" s="2" customFormat="1" ht="12.75" x14ac:dyDescent="0.2">
      <c r="R15755" s="1288"/>
    </row>
    <row r="15756" spans="18:18" s="2" customFormat="1" ht="12.75" x14ac:dyDescent="0.2">
      <c r="R15756" s="1288"/>
    </row>
    <row r="15757" spans="18:18" s="2" customFormat="1" ht="12.75" x14ac:dyDescent="0.2">
      <c r="R15757" s="1288"/>
    </row>
    <row r="15758" spans="18:18" s="2" customFormat="1" ht="12.75" x14ac:dyDescent="0.2">
      <c r="R15758" s="1288"/>
    </row>
    <row r="15759" spans="18:18" s="2" customFormat="1" ht="12.75" x14ac:dyDescent="0.2">
      <c r="R15759" s="1288"/>
    </row>
    <row r="15760" spans="18:18" s="2" customFormat="1" ht="12.75" x14ac:dyDescent="0.2">
      <c r="R15760" s="1288"/>
    </row>
    <row r="15761" spans="18:18" s="2" customFormat="1" ht="12.75" x14ac:dyDescent="0.2">
      <c r="R15761" s="1288"/>
    </row>
    <row r="15762" spans="18:18" s="2" customFormat="1" ht="12.75" x14ac:dyDescent="0.2">
      <c r="R15762" s="1288"/>
    </row>
    <row r="15763" spans="18:18" s="2" customFormat="1" ht="12.75" x14ac:dyDescent="0.2">
      <c r="R15763" s="1288"/>
    </row>
    <row r="15764" spans="18:18" s="2" customFormat="1" ht="12.75" x14ac:dyDescent="0.2">
      <c r="R15764" s="1288"/>
    </row>
    <row r="15765" spans="18:18" s="2" customFormat="1" ht="12.75" x14ac:dyDescent="0.2">
      <c r="R15765" s="1288"/>
    </row>
    <row r="15766" spans="18:18" s="2" customFormat="1" ht="12.75" x14ac:dyDescent="0.2">
      <c r="R15766" s="1288"/>
    </row>
    <row r="15767" spans="18:18" s="2" customFormat="1" ht="12.75" x14ac:dyDescent="0.2">
      <c r="R15767" s="1288"/>
    </row>
    <row r="15768" spans="18:18" s="2" customFormat="1" ht="12.75" x14ac:dyDescent="0.2">
      <c r="R15768" s="1288"/>
    </row>
    <row r="15769" spans="18:18" s="2" customFormat="1" ht="12.75" x14ac:dyDescent="0.2">
      <c r="R15769" s="1288"/>
    </row>
    <row r="15770" spans="18:18" s="2" customFormat="1" ht="12.75" x14ac:dyDescent="0.2">
      <c r="R15770" s="1288"/>
    </row>
    <row r="15771" spans="18:18" s="2" customFormat="1" ht="12.75" x14ac:dyDescent="0.2">
      <c r="R15771" s="1288"/>
    </row>
    <row r="15772" spans="18:18" s="2" customFormat="1" ht="12.75" x14ac:dyDescent="0.2">
      <c r="R15772" s="1288"/>
    </row>
    <row r="15773" spans="18:18" s="2" customFormat="1" ht="12.75" x14ac:dyDescent="0.2">
      <c r="R15773" s="1288"/>
    </row>
    <row r="15774" spans="18:18" s="2" customFormat="1" ht="12.75" x14ac:dyDescent="0.2">
      <c r="R15774" s="1288"/>
    </row>
    <row r="15775" spans="18:18" s="2" customFormat="1" ht="12.75" x14ac:dyDescent="0.2">
      <c r="R15775" s="1288"/>
    </row>
    <row r="15776" spans="18:18" s="2" customFormat="1" ht="12.75" x14ac:dyDescent="0.2">
      <c r="R15776" s="1288"/>
    </row>
    <row r="15777" spans="18:18" s="2" customFormat="1" ht="12.75" x14ac:dyDescent="0.2">
      <c r="R15777" s="1288"/>
    </row>
    <row r="15778" spans="18:18" s="2" customFormat="1" ht="12.75" x14ac:dyDescent="0.2">
      <c r="R15778" s="1288"/>
    </row>
    <row r="15779" spans="18:18" s="2" customFormat="1" ht="12.75" x14ac:dyDescent="0.2">
      <c r="R15779" s="1288"/>
    </row>
    <row r="15780" spans="18:18" s="2" customFormat="1" ht="12.75" x14ac:dyDescent="0.2">
      <c r="R15780" s="1288"/>
    </row>
    <row r="15781" spans="18:18" s="2" customFormat="1" ht="12.75" x14ac:dyDescent="0.2">
      <c r="R15781" s="1288"/>
    </row>
    <row r="15782" spans="18:18" s="2" customFormat="1" ht="12.75" x14ac:dyDescent="0.2">
      <c r="R15782" s="1288"/>
    </row>
    <row r="15783" spans="18:18" s="2" customFormat="1" ht="12.75" x14ac:dyDescent="0.2">
      <c r="R15783" s="1288"/>
    </row>
    <row r="15784" spans="18:18" s="2" customFormat="1" ht="12.75" x14ac:dyDescent="0.2">
      <c r="R15784" s="1288"/>
    </row>
    <row r="15785" spans="18:18" s="2" customFormat="1" ht="12.75" x14ac:dyDescent="0.2">
      <c r="R15785" s="1288"/>
    </row>
    <row r="15786" spans="18:18" s="2" customFormat="1" ht="12.75" x14ac:dyDescent="0.2">
      <c r="R15786" s="1288"/>
    </row>
    <row r="15787" spans="18:18" s="2" customFormat="1" ht="12.75" x14ac:dyDescent="0.2">
      <c r="R15787" s="1288"/>
    </row>
    <row r="15788" spans="18:18" s="2" customFormat="1" ht="12.75" x14ac:dyDescent="0.2">
      <c r="R15788" s="1288"/>
    </row>
    <row r="15789" spans="18:18" s="2" customFormat="1" ht="12.75" x14ac:dyDescent="0.2">
      <c r="R15789" s="1288"/>
    </row>
    <row r="15790" spans="18:18" s="2" customFormat="1" ht="12.75" x14ac:dyDescent="0.2">
      <c r="R15790" s="1288"/>
    </row>
    <row r="15791" spans="18:18" s="2" customFormat="1" ht="12.75" x14ac:dyDescent="0.2">
      <c r="R15791" s="1288"/>
    </row>
    <row r="15792" spans="18:18" s="2" customFormat="1" ht="12.75" x14ac:dyDescent="0.2">
      <c r="R15792" s="1288"/>
    </row>
    <row r="15793" spans="18:18" s="2" customFormat="1" ht="12.75" x14ac:dyDescent="0.2">
      <c r="R15793" s="1288"/>
    </row>
    <row r="15794" spans="18:18" s="2" customFormat="1" ht="12.75" x14ac:dyDescent="0.2">
      <c r="R15794" s="1288"/>
    </row>
    <row r="15795" spans="18:18" s="2" customFormat="1" ht="12.75" x14ac:dyDescent="0.2">
      <c r="R15795" s="1288"/>
    </row>
    <row r="15796" spans="18:18" s="2" customFormat="1" ht="12.75" x14ac:dyDescent="0.2">
      <c r="R15796" s="1288"/>
    </row>
    <row r="15797" spans="18:18" s="2" customFormat="1" ht="12.75" x14ac:dyDescent="0.2">
      <c r="R15797" s="1288"/>
    </row>
    <row r="15798" spans="18:18" s="2" customFormat="1" ht="12.75" x14ac:dyDescent="0.2">
      <c r="R15798" s="1288"/>
    </row>
    <row r="15799" spans="18:18" s="2" customFormat="1" ht="12.75" x14ac:dyDescent="0.2">
      <c r="R15799" s="1288"/>
    </row>
    <row r="15800" spans="18:18" s="2" customFormat="1" ht="12.75" x14ac:dyDescent="0.2">
      <c r="R15800" s="1288"/>
    </row>
    <row r="15801" spans="18:18" s="2" customFormat="1" ht="12.75" x14ac:dyDescent="0.2">
      <c r="R15801" s="1288"/>
    </row>
    <row r="15802" spans="18:18" s="2" customFormat="1" ht="12.75" x14ac:dyDescent="0.2">
      <c r="R15802" s="1288"/>
    </row>
    <row r="15803" spans="18:18" s="2" customFormat="1" ht="12.75" x14ac:dyDescent="0.2">
      <c r="R15803" s="1288"/>
    </row>
    <row r="15804" spans="18:18" s="2" customFormat="1" ht="12.75" x14ac:dyDescent="0.2">
      <c r="R15804" s="1288"/>
    </row>
    <row r="15805" spans="18:18" s="2" customFormat="1" ht="12.75" x14ac:dyDescent="0.2">
      <c r="R15805" s="1288"/>
    </row>
    <row r="15806" spans="18:18" s="2" customFormat="1" ht="12.75" x14ac:dyDescent="0.2">
      <c r="R15806" s="1288"/>
    </row>
    <row r="15807" spans="18:18" s="2" customFormat="1" ht="12.75" x14ac:dyDescent="0.2">
      <c r="R15807" s="1288"/>
    </row>
    <row r="15808" spans="18:18" s="2" customFormat="1" ht="12.75" x14ac:dyDescent="0.2">
      <c r="R15808" s="1288"/>
    </row>
    <row r="15809" spans="18:18" s="2" customFormat="1" ht="12.75" x14ac:dyDescent="0.2">
      <c r="R15809" s="1288"/>
    </row>
    <row r="15810" spans="18:18" s="2" customFormat="1" ht="12.75" x14ac:dyDescent="0.2">
      <c r="R15810" s="1288"/>
    </row>
    <row r="15811" spans="18:18" s="2" customFormat="1" ht="12.75" x14ac:dyDescent="0.2">
      <c r="R15811" s="1288"/>
    </row>
    <row r="15812" spans="18:18" s="2" customFormat="1" ht="12.75" x14ac:dyDescent="0.2">
      <c r="R15812" s="1288"/>
    </row>
    <row r="15813" spans="18:18" s="2" customFormat="1" ht="12.75" x14ac:dyDescent="0.2">
      <c r="R15813" s="1288"/>
    </row>
    <row r="15814" spans="18:18" s="2" customFormat="1" ht="12.75" x14ac:dyDescent="0.2">
      <c r="R15814" s="1288"/>
    </row>
    <row r="15815" spans="18:18" s="2" customFormat="1" ht="12.75" x14ac:dyDescent="0.2">
      <c r="R15815" s="1288"/>
    </row>
    <row r="15816" spans="18:18" s="2" customFormat="1" ht="12.75" x14ac:dyDescent="0.2">
      <c r="R15816" s="1288"/>
    </row>
    <row r="15817" spans="18:18" s="2" customFormat="1" ht="12.75" x14ac:dyDescent="0.2">
      <c r="R15817" s="1288"/>
    </row>
    <row r="15818" spans="18:18" s="2" customFormat="1" ht="12.75" x14ac:dyDescent="0.2">
      <c r="R15818" s="1288"/>
    </row>
    <row r="15819" spans="18:18" s="2" customFormat="1" ht="12.75" x14ac:dyDescent="0.2">
      <c r="R15819" s="1288"/>
    </row>
    <row r="15820" spans="18:18" s="2" customFormat="1" ht="12.75" x14ac:dyDescent="0.2">
      <c r="R15820" s="1288"/>
    </row>
    <row r="15821" spans="18:18" s="2" customFormat="1" ht="12.75" x14ac:dyDescent="0.2">
      <c r="R15821" s="1288"/>
    </row>
    <row r="15822" spans="18:18" s="2" customFormat="1" ht="12.75" x14ac:dyDescent="0.2">
      <c r="R15822" s="1288"/>
    </row>
    <row r="15823" spans="18:18" s="2" customFormat="1" ht="12.75" x14ac:dyDescent="0.2">
      <c r="R15823" s="1288"/>
    </row>
    <row r="15824" spans="18:18" s="2" customFormat="1" ht="12.75" x14ac:dyDescent="0.2">
      <c r="R15824" s="1288"/>
    </row>
    <row r="15825" spans="18:18" s="2" customFormat="1" ht="12.75" x14ac:dyDescent="0.2">
      <c r="R15825" s="1288"/>
    </row>
    <row r="15826" spans="18:18" s="2" customFormat="1" ht="12.75" x14ac:dyDescent="0.2">
      <c r="R15826" s="1288"/>
    </row>
    <row r="15827" spans="18:18" s="2" customFormat="1" ht="12.75" x14ac:dyDescent="0.2">
      <c r="R15827" s="1288"/>
    </row>
    <row r="15828" spans="18:18" s="2" customFormat="1" ht="12.75" x14ac:dyDescent="0.2">
      <c r="R15828" s="1288"/>
    </row>
    <row r="15829" spans="18:18" s="2" customFormat="1" ht="12.75" x14ac:dyDescent="0.2">
      <c r="R15829" s="1288"/>
    </row>
    <row r="15830" spans="18:18" s="2" customFormat="1" ht="12.75" x14ac:dyDescent="0.2">
      <c r="R15830" s="1288"/>
    </row>
    <row r="15831" spans="18:18" s="2" customFormat="1" ht="12.75" x14ac:dyDescent="0.2">
      <c r="R15831" s="1288"/>
    </row>
    <row r="15832" spans="18:18" s="2" customFormat="1" ht="12.75" x14ac:dyDescent="0.2">
      <c r="R15832" s="1288"/>
    </row>
    <row r="15833" spans="18:18" s="2" customFormat="1" ht="12.75" x14ac:dyDescent="0.2">
      <c r="R15833" s="1288"/>
    </row>
    <row r="15834" spans="18:18" s="2" customFormat="1" ht="12.75" x14ac:dyDescent="0.2">
      <c r="R15834" s="1288"/>
    </row>
    <row r="15835" spans="18:18" s="2" customFormat="1" ht="12.75" x14ac:dyDescent="0.2">
      <c r="R15835" s="1288"/>
    </row>
    <row r="15836" spans="18:18" s="2" customFormat="1" ht="12.75" x14ac:dyDescent="0.2">
      <c r="R15836" s="1288"/>
    </row>
    <row r="15837" spans="18:18" s="2" customFormat="1" ht="12.75" x14ac:dyDescent="0.2">
      <c r="R15837" s="1288"/>
    </row>
    <row r="15838" spans="18:18" s="2" customFormat="1" ht="12.75" x14ac:dyDescent="0.2">
      <c r="R15838" s="1288"/>
    </row>
    <row r="15839" spans="18:18" s="2" customFormat="1" ht="12.75" x14ac:dyDescent="0.2">
      <c r="R15839" s="1288"/>
    </row>
    <row r="15840" spans="18:18" s="2" customFormat="1" ht="12.75" x14ac:dyDescent="0.2">
      <c r="R15840" s="1288"/>
    </row>
    <row r="15841" spans="18:18" s="2" customFormat="1" ht="12.75" x14ac:dyDescent="0.2">
      <c r="R15841" s="1288"/>
    </row>
    <row r="15842" spans="18:18" s="2" customFormat="1" ht="12.75" x14ac:dyDescent="0.2">
      <c r="R15842" s="1288"/>
    </row>
    <row r="15843" spans="18:18" s="2" customFormat="1" ht="12.75" x14ac:dyDescent="0.2">
      <c r="R15843" s="1288"/>
    </row>
    <row r="15844" spans="18:18" s="2" customFormat="1" ht="12.75" x14ac:dyDescent="0.2">
      <c r="R15844" s="1288"/>
    </row>
    <row r="15845" spans="18:18" s="2" customFormat="1" ht="12.75" x14ac:dyDescent="0.2">
      <c r="R15845" s="1288"/>
    </row>
    <row r="15846" spans="18:18" s="2" customFormat="1" ht="12.75" x14ac:dyDescent="0.2">
      <c r="R15846" s="1288"/>
    </row>
    <row r="15847" spans="18:18" s="2" customFormat="1" ht="12.75" x14ac:dyDescent="0.2">
      <c r="R15847" s="1288"/>
    </row>
    <row r="15848" spans="18:18" s="2" customFormat="1" ht="12.75" x14ac:dyDescent="0.2">
      <c r="R15848" s="1288"/>
    </row>
    <row r="15849" spans="18:18" s="2" customFormat="1" ht="12.75" x14ac:dyDescent="0.2">
      <c r="R15849" s="1288"/>
    </row>
    <row r="15850" spans="18:18" s="2" customFormat="1" ht="12.75" x14ac:dyDescent="0.2">
      <c r="R15850" s="1288"/>
    </row>
    <row r="15851" spans="18:18" s="2" customFormat="1" ht="12.75" x14ac:dyDescent="0.2">
      <c r="R15851" s="1288"/>
    </row>
    <row r="15852" spans="18:18" s="2" customFormat="1" ht="12.75" x14ac:dyDescent="0.2">
      <c r="R15852" s="1288"/>
    </row>
    <row r="15853" spans="18:18" s="2" customFormat="1" ht="12.75" x14ac:dyDescent="0.2">
      <c r="R15853" s="1288"/>
    </row>
    <row r="15854" spans="18:18" s="2" customFormat="1" ht="12.75" x14ac:dyDescent="0.2">
      <c r="R15854" s="1288"/>
    </row>
    <row r="15855" spans="18:18" s="2" customFormat="1" ht="12.75" x14ac:dyDescent="0.2">
      <c r="R15855" s="1288"/>
    </row>
    <row r="15856" spans="18:18" s="2" customFormat="1" ht="12.75" x14ac:dyDescent="0.2">
      <c r="R15856" s="1288"/>
    </row>
    <row r="15857" spans="18:18" s="2" customFormat="1" ht="12.75" x14ac:dyDescent="0.2">
      <c r="R15857" s="1288"/>
    </row>
    <row r="15858" spans="18:18" s="2" customFormat="1" ht="12.75" x14ac:dyDescent="0.2">
      <c r="R15858" s="1288"/>
    </row>
    <row r="15859" spans="18:18" s="2" customFormat="1" ht="12.75" x14ac:dyDescent="0.2">
      <c r="R15859" s="1288"/>
    </row>
    <row r="15860" spans="18:18" s="2" customFormat="1" ht="12.75" x14ac:dyDescent="0.2">
      <c r="R15860" s="1288"/>
    </row>
    <row r="15861" spans="18:18" s="2" customFormat="1" ht="12.75" x14ac:dyDescent="0.2">
      <c r="R15861" s="1288"/>
    </row>
    <row r="15862" spans="18:18" s="2" customFormat="1" ht="12.75" x14ac:dyDescent="0.2">
      <c r="R15862" s="1288"/>
    </row>
    <row r="15863" spans="18:18" s="2" customFormat="1" ht="12.75" x14ac:dyDescent="0.2">
      <c r="R15863" s="1288"/>
    </row>
    <row r="15864" spans="18:18" s="2" customFormat="1" ht="12.75" x14ac:dyDescent="0.2">
      <c r="R15864" s="1288"/>
    </row>
    <row r="15865" spans="18:18" s="2" customFormat="1" ht="12.75" x14ac:dyDescent="0.2">
      <c r="R15865" s="1288"/>
    </row>
    <row r="15866" spans="18:18" s="2" customFormat="1" ht="12.75" x14ac:dyDescent="0.2">
      <c r="R15866" s="1288"/>
    </row>
    <row r="15867" spans="18:18" s="2" customFormat="1" ht="12.75" x14ac:dyDescent="0.2">
      <c r="R15867" s="1288"/>
    </row>
    <row r="15868" spans="18:18" s="2" customFormat="1" ht="12.75" x14ac:dyDescent="0.2">
      <c r="R15868" s="1288"/>
    </row>
    <row r="15869" spans="18:18" s="2" customFormat="1" ht="12.75" x14ac:dyDescent="0.2">
      <c r="R15869" s="1288"/>
    </row>
    <row r="15870" spans="18:18" s="2" customFormat="1" ht="12.75" x14ac:dyDescent="0.2">
      <c r="R15870" s="1288"/>
    </row>
    <row r="15871" spans="18:18" s="2" customFormat="1" ht="12.75" x14ac:dyDescent="0.2">
      <c r="R15871" s="1288"/>
    </row>
    <row r="15872" spans="18:18" s="2" customFormat="1" ht="12.75" x14ac:dyDescent="0.2">
      <c r="R15872" s="1288"/>
    </row>
    <row r="15873" spans="18:18" s="2" customFormat="1" ht="12.75" x14ac:dyDescent="0.2">
      <c r="R15873" s="1288"/>
    </row>
    <row r="15874" spans="18:18" s="2" customFormat="1" ht="12.75" x14ac:dyDescent="0.2">
      <c r="R15874" s="1288"/>
    </row>
    <row r="15875" spans="18:18" s="2" customFormat="1" ht="12.75" x14ac:dyDescent="0.2">
      <c r="R15875" s="1288"/>
    </row>
    <row r="15876" spans="18:18" s="2" customFormat="1" ht="12.75" x14ac:dyDescent="0.2">
      <c r="R15876" s="1288"/>
    </row>
    <row r="15877" spans="18:18" s="2" customFormat="1" ht="12.75" x14ac:dyDescent="0.2">
      <c r="R15877" s="1288"/>
    </row>
    <row r="15878" spans="18:18" s="2" customFormat="1" ht="12.75" x14ac:dyDescent="0.2">
      <c r="R15878" s="1288"/>
    </row>
    <row r="15879" spans="18:18" s="2" customFormat="1" ht="12.75" x14ac:dyDescent="0.2">
      <c r="R15879" s="1288"/>
    </row>
    <row r="15880" spans="18:18" s="2" customFormat="1" ht="12.75" x14ac:dyDescent="0.2">
      <c r="R15880" s="1288"/>
    </row>
    <row r="15881" spans="18:18" s="2" customFormat="1" ht="12.75" x14ac:dyDescent="0.2">
      <c r="R15881" s="1288"/>
    </row>
    <row r="15882" spans="18:18" s="2" customFormat="1" ht="12.75" x14ac:dyDescent="0.2">
      <c r="R15882" s="1288"/>
    </row>
    <row r="15883" spans="18:18" s="2" customFormat="1" ht="12.75" x14ac:dyDescent="0.2">
      <c r="R15883" s="1288"/>
    </row>
    <row r="15884" spans="18:18" s="2" customFormat="1" ht="12.75" x14ac:dyDescent="0.2">
      <c r="R15884" s="1288"/>
    </row>
    <row r="15885" spans="18:18" s="2" customFormat="1" ht="12.75" x14ac:dyDescent="0.2">
      <c r="R15885" s="1288"/>
    </row>
    <row r="15886" spans="18:18" s="2" customFormat="1" ht="12.75" x14ac:dyDescent="0.2">
      <c r="R15886" s="1288"/>
    </row>
    <row r="15887" spans="18:18" s="2" customFormat="1" ht="12.75" x14ac:dyDescent="0.2">
      <c r="R15887" s="1288"/>
    </row>
    <row r="15888" spans="18:18" s="2" customFormat="1" ht="12.75" x14ac:dyDescent="0.2">
      <c r="R15888" s="1288"/>
    </row>
    <row r="15889" spans="18:18" s="2" customFormat="1" ht="12.75" x14ac:dyDescent="0.2">
      <c r="R15889" s="1288"/>
    </row>
    <row r="15890" spans="18:18" s="2" customFormat="1" ht="12.75" x14ac:dyDescent="0.2">
      <c r="R15890" s="1288"/>
    </row>
    <row r="15891" spans="18:18" s="2" customFormat="1" ht="12.75" x14ac:dyDescent="0.2">
      <c r="R15891" s="1288"/>
    </row>
    <row r="15892" spans="18:18" s="2" customFormat="1" ht="12.75" x14ac:dyDescent="0.2">
      <c r="R15892" s="1288"/>
    </row>
    <row r="15893" spans="18:18" s="2" customFormat="1" ht="12.75" x14ac:dyDescent="0.2">
      <c r="R15893" s="1288"/>
    </row>
    <row r="15894" spans="18:18" s="2" customFormat="1" ht="12.75" x14ac:dyDescent="0.2">
      <c r="R15894" s="1288"/>
    </row>
    <row r="15895" spans="18:18" s="2" customFormat="1" ht="12.75" x14ac:dyDescent="0.2">
      <c r="R15895" s="1288"/>
    </row>
    <row r="15896" spans="18:18" s="2" customFormat="1" ht="12.75" x14ac:dyDescent="0.2">
      <c r="R15896" s="1288"/>
    </row>
    <row r="15897" spans="18:18" s="2" customFormat="1" ht="12.75" x14ac:dyDescent="0.2">
      <c r="R15897" s="1288"/>
    </row>
    <row r="15898" spans="18:18" s="2" customFormat="1" ht="12.75" x14ac:dyDescent="0.2">
      <c r="R15898" s="1288"/>
    </row>
    <row r="15899" spans="18:18" s="2" customFormat="1" ht="12.75" x14ac:dyDescent="0.2">
      <c r="R15899" s="1288"/>
    </row>
    <row r="15900" spans="18:18" s="2" customFormat="1" ht="12.75" x14ac:dyDescent="0.2">
      <c r="R15900" s="1288"/>
    </row>
    <row r="15901" spans="18:18" s="2" customFormat="1" ht="12.75" x14ac:dyDescent="0.2">
      <c r="R15901" s="1288"/>
    </row>
    <row r="15902" spans="18:18" s="2" customFormat="1" ht="12.75" x14ac:dyDescent="0.2">
      <c r="R15902" s="1288"/>
    </row>
    <row r="15903" spans="18:18" s="2" customFormat="1" ht="12.75" x14ac:dyDescent="0.2">
      <c r="R15903" s="1288"/>
    </row>
    <row r="15904" spans="18:18" s="2" customFormat="1" ht="12.75" x14ac:dyDescent="0.2">
      <c r="R15904" s="1288"/>
    </row>
    <row r="15905" spans="18:18" s="2" customFormat="1" ht="12.75" x14ac:dyDescent="0.2">
      <c r="R15905" s="1288"/>
    </row>
    <row r="15906" spans="18:18" s="2" customFormat="1" ht="12.75" x14ac:dyDescent="0.2">
      <c r="R15906" s="1288"/>
    </row>
    <row r="15907" spans="18:18" s="2" customFormat="1" ht="12.75" x14ac:dyDescent="0.2">
      <c r="R15907" s="1288"/>
    </row>
    <row r="15908" spans="18:18" s="2" customFormat="1" ht="12.75" x14ac:dyDescent="0.2">
      <c r="R15908" s="1288"/>
    </row>
    <row r="15909" spans="18:18" s="2" customFormat="1" ht="12.75" x14ac:dyDescent="0.2">
      <c r="R15909" s="1288"/>
    </row>
    <row r="15910" spans="18:18" s="2" customFormat="1" ht="12.75" x14ac:dyDescent="0.2">
      <c r="R15910" s="1288"/>
    </row>
    <row r="15911" spans="18:18" s="2" customFormat="1" ht="12.75" x14ac:dyDescent="0.2">
      <c r="R15911" s="1288"/>
    </row>
    <row r="15912" spans="18:18" s="2" customFormat="1" ht="12.75" x14ac:dyDescent="0.2">
      <c r="R15912" s="1288"/>
    </row>
    <row r="15913" spans="18:18" s="2" customFormat="1" ht="12.75" x14ac:dyDescent="0.2">
      <c r="R15913" s="1288"/>
    </row>
    <row r="15914" spans="18:18" s="2" customFormat="1" ht="12.75" x14ac:dyDescent="0.2">
      <c r="R15914" s="1288"/>
    </row>
    <row r="15915" spans="18:18" s="2" customFormat="1" ht="12.75" x14ac:dyDescent="0.2">
      <c r="R15915" s="1288"/>
    </row>
    <row r="15916" spans="18:18" s="2" customFormat="1" ht="12.75" x14ac:dyDescent="0.2">
      <c r="R15916" s="1288"/>
    </row>
    <row r="15917" spans="18:18" s="2" customFormat="1" ht="12.75" x14ac:dyDescent="0.2">
      <c r="R15917" s="1288"/>
    </row>
    <row r="15918" spans="18:18" s="2" customFormat="1" ht="12.75" x14ac:dyDescent="0.2">
      <c r="R15918" s="1288"/>
    </row>
    <row r="15919" spans="18:18" s="2" customFormat="1" ht="12.75" x14ac:dyDescent="0.2">
      <c r="R15919" s="1288"/>
    </row>
    <row r="15920" spans="18:18" s="2" customFormat="1" ht="12.75" x14ac:dyDescent="0.2">
      <c r="R15920" s="1288"/>
    </row>
    <row r="15921" spans="18:18" s="2" customFormat="1" ht="12.75" x14ac:dyDescent="0.2">
      <c r="R15921" s="1288"/>
    </row>
    <row r="15922" spans="18:18" s="2" customFormat="1" ht="12.75" x14ac:dyDescent="0.2">
      <c r="R15922" s="1288"/>
    </row>
    <row r="15923" spans="18:18" s="2" customFormat="1" ht="12.75" x14ac:dyDescent="0.2">
      <c r="R15923" s="1288"/>
    </row>
    <row r="15924" spans="18:18" s="2" customFormat="1" ht="12.75" x14ac:dyDescent="0.2">
      <c r="R15924" s="1288"/>
    </row>
    <row r="15925" spans="18:18" s="2" customFormat="1" ht="12.75" x14ac:dyDescent="0.2">
      <c r="R15925" s="1288"/>
    </row>
    <row r="15926" spans="18:18" s="2" customFormat="1" ht="12.75" x14ac:dyDescent="0.2">
      <c r="R15926" s="1288"/>
    </row>
    <row r="15927" spans="18:18" s="2" customFormat="1" ht="12.75" x14ac:dyDescent="0.2">
      <c r="R15927" s="1288"/>
    </row>
    <row r="15928" spans="18:18" s="2" customFormat="1" ht="12.75" x14ac:dyDescent="0.2">
      <c r="R15928" s="1288"/>
    </row>
    <row r="15929" spans="18:18" s="2" customFormat="1" ht="12.75" x14ac:dyDescent="0.2">
      <c r="R15929" s="1288"/>
    </row>
    <row r="15930" spans="18:18" s="2" customFormat="1" ht="12.75" x14ac:dyDescent="0.2">
      <c r="R15930" s="1288"/>
    </row>
    <row r="15931" spans="18:18" s="2" customFormat="1" ht="12.75" x14ac:dyDescent="0.2">
      <c r="R15931" s="1288"/>
    </row>
    <row r="15932" spans="18:18" s="2" customFormat="1" ht="12.75" x14ac:dyDescent="0.2">
      <c r="R15932" s="1288"/>
    </row>
    <row r="15933" spans="18:18" s="2" customFormat="1" ht="12.75" x14ac:dyDescent="0.2">
      <c r="R15933" s="1288"/>
    </row>
    <row r="15934" spans="18:18" s="2" customFormat="1" ht="12.75" x14ac:dyDescent="0.2">
      <c r="R15934" s="1288"/>
    </row>
    <row r="15935" spans="18:18" s="2" customFormat="1" ht="12.75" x14ac:dyDescent="0.2">
      <c r="R15935" s="1288"/>
    </row>
    <row r="15936" spans="18:18" s="2" customFormat="1" ht="12.75" x14ac:dyDescent="0.2">
      <c r="R15936" s="1288"/>
    </row>
    <row r="15937" spans="18:18" s="2" customFormat="1" ht="12.75" x14ac:dyDescent="0.2">
      <c r="R15937" s="1288"/>
    </row>
    <row r="15938" spans="18:18" s="2" customFormat="1" ht="12.75" x14ac:dyDescent="0.2">
      <c r="R15938" s="1288"/>
    </row>
    <row r="15939" spans="18:18" s="2" customFormat="1" ht="12.75" x14ac:dyDescent="0.2">
      <c r="R15939" s="1288"/>
    </row>
    <row r="15940" spans="18:18" s="2" customFormat="1" ht="12.75" x14ac:dyDescent="0.2">
      <c r="R15940" s="1288"/>
    </row>
    <row r="15941" spans="18:18" s="2" customFormat="1" ht="12.75" x14ac:dyDescent="0.2">
      <c r="R15941" s="1288"/>
    </row>
    <row r="15942" spans="18:18" s="2" customFormat="1" ht="12.75" x14ac:dyDescent="0.2">
      <c r="R15942" s="1288"/>
    </row>
    <row r="15943" spans="18:18" s="2" customFormat="1" ht="12.75" x14ac:dyDescent="0.2">
      <c r="R15943" s="1288"/>
    </row>
    <row r="15944" spans="18:18" s="2" customFormat="1" ht="12.75" x14ac:dyDescent="0.2">
      <c r="R15944" s="1288"/>
    </row>
    <row r="15945" spans="18:18" s="2" customFormat="1" ht="12.75" x14ac:dyDescent="0.2">
      <c r="R15945" s="1288"/>
    </row>
    <row r="15946" spans="18:18" s="2" customFormat="1" ht="12.75" x14ac:dyDescent="0.2">
      <c r="R15946" s="1288"/>
    </row>
    <row r="15947" spans="18:18" s="2" customFormat="1" ht="12.75" x14ac:dyDescent="0.2">
      <c r="R15947" s="1288"/>
    </row>
    <row r="15948" spans="18:18" s="2" customFormat="1" ht="12.75" x14ac:dyDescent="0.2">
      <c r="R15948" s="1288"/>
    </row>
    <row r="15949" spans="18:18" s="2" customFormat="1" ht="12.75" x14ac:dyDescent="0.2">
      <c r="R15949" s="1288"/>
    </row>
    <row r="15950" spans="18:18" s="2" customFormat="1" ht="12.75" x14ac:dyDescent="0.2">
      <c r="R15950" s="1288"/>
    </row>
    <row r="15951" spans="18:18" s="2" customFormat="1" ht="12.75" x14ac:dyDescent="0.2">
      <c r="R15951" s="1288"/>
    </row>
    <row r="15952" spans="18:18" s="2" customFormat="1" ht="12.75" x14ac:dyDescent="0.2">
      <c r="R15952" s="1288"/>
    </row>
    <row r="15953" spans="18:18" s="2" customFormat="1" ht="12.75" x14ac:dyDescent="0.2">
      <c r="R15953" s="1288"/>
    </row>
    <row r="15954" spans="18:18" s="2" customFormat="1" ht="12.75" x14ac:dyDescent="0.2">
      <c r="R15954" s="1288"/>
    </row>
    <row r="15955" spans="18:18" s="2" customFormat="1" ht="12.75" x14ac:dyDescent="0.2">
      <c r="R15955" s="1288"/>
    </row>
    <row r="15956" spans="18:18" s="2" customFormat="1" ht="12.75" x14ac:dyDescent="0.2">
      <c r="R15956" s="1288"/>
    </row>
    <row r="15957" spans="18:18" s="2" customFormat="1" ht="12.75" x14ac:dyDescent="0.2">
      <c r="R15957" s="1288"/>
    </row>
    <row r="15958" spans="18:18" s="2" customFormat="1" ht="12.75" x14ac:dyDescent="0.2">
      <c r="R15958" s="1288"/>
    </row>
    <row r="15959" spans="18:18" s="2" customFormat="1" ht="12.75" x14ac:dyDescent="0.2">
      <c r="R15959" s="1288"/>
    </row>
    <row r="15960" spans="18:18" s="2" customFormat="1" ht="12.75" x14ac:dyDescent="0.2">
      <c r="R15960" s="1288"/>
    </row>
    <row r="15961" spans="18:18" s="2" customFormat="1" ht="12.75" x14ac:dyDescent="0.2">
      <c r="R15961" s="1288"/>
    </row>
    <row r="15962" spans="18:18" s="2" customFormat="1" ht="12.75" x14ac:dyDescent="0.2">
      <c r="R15962" s="1288"/>
    </row>
    <row r="15963" spans="18:18" s="2" customFormat="1" ht="12.75" x14ac:dyDescent="0.2">
      <c r="R15963" s="1288"/>
    </row>
    <row r="15964" spans="18:18" s="2" customFormat="1" ht="12.75" x14ac:dyDescent="0.2">
      <c r="R15964" s="1288"/>
    </row>
    <row r="15965" spans="18:18" s="2" customFormat="1" ht="12.75" x14ac:dyDescent="0.2">
      <c r="R15965" s="1288"/>
    </row>
    <row r="15966" spans="18:18" s="2" customFormat="1" ht="12.75" x14ac:dyDescent="0.2">
      <c r="R15966" s="1288"/>
    </row>
    <row r="15967" spans="18:18" s="2" customFormat="1" ht="12.75" x14ac:dyDescent="0.2">
      <c r="R15967" s="1288"/>
    </row>
    <row r="15968" spans="18:18" s="2" customFormat="1" ht="12.75" x14ac:dyDescent="0.2">
      <c r="R15968" s="1288"/>
    </row>
    <row r="15969" spans="18:18" s="2" customFormat="1" ht="12.75" x14ac:dyDescent="0.2">
      <c r="R15969" s="1288"/>
    </row>
    <row r="15970" spans="18:18" s="2" customFormat="1" ht="12.75" x14ac:dyDescent="0.2">
      <c r="R15970" s="1288"/>
    </row>
    <row r="15971" spans="18:18" s="2" customFormat="1" ht="12.75" x14ac:dyDescent="0.2">
      <c r="R15971" s="1288"/>
    </row>
    <row r="15972" spans="18:18" s="2" customFormat="1" ht="12.75" x14ac:dyDescent="0.2">
      <c r="R15972" s="1288"/>
    </row>
    <row r="15973" spans="18:18" s="2" customFormat="1" ht="12.75" x14ac:dyDescent="0.2">
      <c r="R15973" s="1288"/>
    </row>
    <row r="15974" spans="18:18" s="2" customFormat="1" ht="12.75" x14ac:dyDescent="0.2">
      <c r="R15974" s="1288"/>
    </row>
    <row r="15975" spans="18:18" s="2" customFormat="1" ht="12.75" x14ac:dyDescent="0.2">
      <c r="R15975" s="1288"/>
    </row>
    <row r="15976" spans="18:18" s="2" customFormat="1" ht="12.75" x14ac:dyDescent="0.2">
      <c r="R15976" s="1288"/>
    </row>
    <row r="15977" spans="18:18" s="2" customFormat="1" ht="12.75" x14ac:dyDescent="0.2">
      <c r="R15977" s="1288"/>
    </row>
    <row r="15978" spans="18:18" s="2" customFormat="1" ht="12.75" x14ac:dyDescent="0.2">
      <c r="R15978" s="1288"/>
    </row>
    <row r="15979" spans="18:18" s="2" customFormat="1" ht="12.75" x14ac:dyDescent="0.2">
      <c r="R15979" s="1288"/>
    </row>
    <row r="15980" spans="18:18" s="2" customFormat="1" ht="12.75" x14ac:dyDescent="0.2">
      <c r="R15980" s="1288"/>
    </row>
    <row r="15981" spans="18:18" s="2" customFormat="1" ht="12.75" x14ac:dyDescent="0.2">
      <c r="R15981" s="1288"/>
    </row>
    <row r="15982" spans="18:18" s="2" customFormat="1" ht="12.75" x14ac:dyDescent="0.2">
      <c r="R15982" s="1288"/>
    </row>
    <row r="15983" spans="18:18" s="2" customFormat="1" ht="12.75" x14ac:dyDescent="0.2">
      <c r="R15983" s="1288"/>
    </row>
    <row r="15984" spans="18:18" s="2" customFormat="1" ht="12.75" x14ac:dyDescent="0.2">
      <c r="R15984" s="1288"/>
    </row>
    <row r="15985" spans="18:18" s="2" customFormat="1" ht="12.75" x14ac:dyDescent="0.2">
      <c r="R15985" s="1288"/>
    </row>
    <row r="15986" spans="18:18" s="2" customFormat="1" ht="12.75" x14ac:dyDescent="0.2">
      <c r="R15986" s="1288"/>
    </row>
    <row r="15987" spans="18:18" s="2" customFormat="1" ht="12.75" x14ac:dyDescent="0.2">
      <c r="R15987" s="1288"/>
    </row>
    <row r="15988" spans="18:18" s="2" customFormat="1" ht="12.75" x14ac:dyDescent="0.2">
      <c r="R15988" s="1288"/>
    </row>
    <row r="15989" spans="18:18" s="2" customFormat="1" ht="12.75" x14ac:dyDescent="0.2">
      <c r="R15989" s="1288"/>
    </row>
    <row r="15990" spans="18:18" s="2" customFormat="1" ht="12.75" x14ac:dyDescent="0.2">
      <c r="R15990" s="1288"/>
    </row>
    <row r="15991" spans="18:18" s="2" customFormat="1" ht="12.75" x14ac:dyDescent="0.2">
      <c r="R15991" s="1288"/>
    </row>
    <row r="15992" spans="18:18" s="2" customFormat="1" ht="12.75" x14ac:dyDescent="0.2">
      <c r="R15992" s="1288"/>
    </row>
    <row r="15993" spans="18:18" s="2" customFormat="1" ht="12.75" x14ac:dyDescent="0.2">
      <c r="R15993" s="1288"/>
    </row>
    <row r="15994" spans="18:18" s="2" customFormat="1" ht="12.75" x14ac:dyDescent="0.2">
      <c r="R15994" s="1288"/>
    </row>
    <row r="15995" spans="18:18" s="2" customFormat="1" ht="12.75" x14ac:dyDescent="0.2">
      <c r="R15995" s="1288"/>
    </row>
    <row r="15996" spans="18:18" s="2" customFormat="1" ht="12.75" x14ac:dyDescent="0.2">
      <c r="R15996" s="1288"/>
    </row>
    <row r="15997" spans="18:18" s="2" customFormat="1" ht="12.75" x14ac:dyDescent="0.2">
      <c r="R15997" s="1288"/>
    </row>
    <row r="15998" spans="18:18" s="2" customFormat="1" ht="12.75" x14ac:dyDescent="0.2">
      <c r="R15998" s="1288"/>
    </row>
    <row r="15999" spans="18:18" s="2" customFormat="1" ht="12.75" x14ac:dyDescent="0.2">
      <c r="R15999" s="1288"/>
    </row>
    <row r="16000" spans="18:18" s="2" customFormat="1" ht="12.75" x14ac:dyDescent="0.2">
      <c r="R16000" s="1288"/>
    </row>
    <row r="16001" spans="18:18" s="2" customFormat="1" ht="12.75" x14ac:dyDescent="0.2">
      <c r="R16001" s="1288"/>
    </row>
    <row r="16002" spans="18:18" s="2" customFormat="1" ht="12.75" x14ac:dyDescent="0.2">
      <c r="R16002" s="1288"/>
    </row>
    <row r="16003" spans="18:18" s="2" customFormat="1" ht="12.75" x14ac:dyDescent="0.2">
      <c r="R16003" s="1288"/>
    </row>
    <row r="16004" spans="18:18" s="2" customFormat="1" ht="12.75" x14ac:dyDescent="0.2">
      <c r="R16004" s="1288"/>
    </row>
    <row r="16005" spans="18:18" s="2" customFormat="1" ht="12.75" x14ac:dyDescent="0.2">
      <c r="R16005" s="1288"/>
    </row>
    <row r="16006" spans="18:18" s="2" customFormat="1" ht="12.75" x14ac:dyDescent="0.2">
      <c r="R16006" s="1288"/>
    </row>
    <row r="16007" spans="18:18" s="2" customFormat="1" ht="12.75" x14ac:dyDescent="0.2">
      <c r="R16007" s="1288"/>
    </row>
    <row r="16008" spans="18:18" s="2" customFormat="1" ht="12.75" x14ac:dyDescent="0.2">
      <c r="R16008" s="1288"/>
    </row>
    <row r="16009" spans="18:18" s="2" customFormat="1" ht="12.75" x14ac:dyDescent="0.2">
      <c r="R16009" s="1288"/>
    </row>
    <row r="16010" spans="18:18" s="2" customFormat="1" ht="12.75" x14ac:dyDescent="0.2">
      <c r="R16010" s="1288"/>
    </row>
    <row r="16011" spans="18:18" s="2" customFormat="1" ht="12.75" x14ac:dyDescent="0.2">
      <c r="R16011" s="1288"/>
    </row>
    <row r="16012" spans="18:18" s="2" customFormat="1" ht="12.75" x14ac:dyDescent="0.2">
      <c r="R16012" s="1288"/>
    </row>
    <row r="16013" spans="18:18" s="2" customFormat="1" ht="12.75" x14ac:dyDescent="0.2">
      <c r="R16013" s="1288"/>
    </row>
    <row r="16014" spans="18:18" s="2" customFormat="1" ht="12.75" x14ac:dyDescent="0.2">
      <c r="R16014" s="1288"/>
    </row>
    <row r="16015" spans="18:18" s="2" customFormat="1" ht="12.75" x14ac:dyDescent="0.2">
      <c r="R16015" s="1288"/>
    </row>
    <row r="16016" spans="18:18" s="2" customFormat="1" ht="12.75" x14ac:dyDescent="0.2">
      <c r="R16016" s="1288"/>
    </row>
    <row r="16017" spans="18:18" s="2" customFormat="1" ht="12.75" x14ac:dyDescent="0.2">
      <c r="R16017" s="1288"/>
    </row>
    <row r="16018" spans="18:18" s="2" customFormat="1" ht="12.75" x14ac:dyDescent="0.2">
      <c r="R16018" s="1288"/>
    </row>
    <row r="16019" spans="18:18" s="2" customFormat="1" ht="12.75" x14ac:dyDescent="0.2">
      <c r="R16019" s="1288"/>
    </row>
    <row r="16020" spans="18:18" s="2" customFormat="1" ht="12.75" x14ac:dyDescent="0.2">
      <c r="R16020" s="1288"/>
    </row>
    <row r="16021" spans="18:18" s="2" customFormat="1" ht="12.75" x14ac:dyDescent="0.2">
      <c r="R16021" s="1288"/>
    </row>
    <row r="16022" spans="18:18" s="2" customFormat="1" ht="12.75" x14ac:dyDescent="0.2">
      <c r="R16022" s="1288"/>
    </row>
    <row r="16023" spans="18:18" s="2" customFormat="1" ht="12.75" x14ac:dyDescent="0.2">
      <c r="R16023" s="1288"/>
    </row>
    <row r="16024" spans="18:18" s="2" customFormat="1" ht="12.75" x14ac:dyDescent="0.2">
      <c r="R16024" s="1288"/>
    </row>
    <row r="16025" spans="18:18" s="2" customFormat="1" ht="12.75" x14ac:dyDescent="0.2">
      <c r="R16025" s="1288"/>
    </row>
    <row r="16026" spans="18:18" s="2" customFormat="1" ht="12.75" x14ac:dyDescent="0.2">
      <c r="R16026" s="1288"/>
    </row>
    <row r="16027" spans="18:18" s="2" customFormat="1" ht="12.75" x14ac:dyDescent="0.2">
      <c r="R16027" s="1288"/>
    </row>
    <row r="16028" spans="18:18" s="2" customFormat="1" ht="12.75" x14ac:dyDescent="0.2">
      <c r="R16028" s="1288"/>
    </row>
    <row r="16029" spans="18:18" s="2" customFormat="1" ht="12.75" x14ac:dyDescent="0.2">
      <c r="R16029" s="1288"/>
    </row>
    <row r="16030" spans="18:18" s="2" customFormat="1" ht="12.75" x14ac:dyDescent="0.2">
      <c r="R16030" s="1288"/>
    </row>
    <row r="16031" spans="18:18" s="2" customFormat="1" ht="12.75" x14ac:dyDescent="0.2">
      <c r="R16031" s="1288"/>
    </row>
    <row r="16032" spans="18:18" s="2" customFormat="1" ht="12.75" x14ac:dyDescent="0.2">
      <c r="R16032" s="1288"/>
    </row>
    <row r="16033" spans="18:18" s="2" customFormat="1" ht="12.75" x14ac:dyDescent="0.2">
      <c r="R16033" s="1288"/>
    </row>
    <row r="16034" spans="18:18" s="2" customFormat="1" ht="12.75" x14ac:dyDescent="0.2">
      <c r="R16034" s="1288"/>
    </row>
    <row r="16035" spans="18:18" s="2" customFormat="1" ht="12.75" x14ac:dyDescent="0.2">
      <c r="R16035" s="1288"/>
    </row>
    <row r="16036" spans="18:18" s="2" customFormat="1" ht="12.75" x14ac:dyDescent="0.2">
      <c r="R16036" s="1288"/>
    </row>
    <row r="16037" spans="18:18" s="2" customFormat="1" ht="12.75" x14ac:dyDescent="0.2">
      <c r="R16037" s="1288"/>
    </row>
    <row r="16038" spans="18:18" s="2" customFormat="1" ht="12.75" x14ac:dyDescent="0.2">
      <c r="R16038" s="1288"/>
    </row>
    <row r="16039" spans="18:18" s="2" customFormat="1" ht="12.75" x14ac:dyDescent="0.2">
      <c r="R16039" s="1288"/>
    </row>
    <row r="16040" spans="18:18" s="2" customFormat="1" ht="12.75" x14ac:dyDescent="0.2">
      <c r="R16040" s="1288"/>
    </row>
    <row r="16041" spans="18:18" s="2" customFormat="1" ht="12.75" x14ac:dyDescent="0.2">
      <c r="R16041" s="1288"/>
    </row>
    <row r="16042" spans="18:18" s="2" customFormat="1" ht="12.75" x14ac:dyDescent="0.2">
      <c r="R16042" s="1288"/>
    </row>
    <row r="16043" spans="18:18" s="2" customFormat="1" ht="12.75" x14ac:dyDescent="0.2">
      <c r="R16043" s="1288"/>
    </row>
    <row r="16044" spans="18:18" s="2" customFormat="1" ht="12.75" x14ac:dyDescent="0.2">
      <c r="R16044" s="1288"/>
    </row>
    <row r="16045" spans="18:18" s="2" customFormat="1" ht="12.75" x14ac:dyDescent="0.2">
      <c r="R16045" s="1288"/>
    </row>
    <row r="16046" spans="18:18" s="2" customFormat="1" ht="12.75" x14ac:dyDescent="0.2">
      <c r="R16046" s="1288"/>
    </row>
    <row r="16047" spans="18:18" s="2" customFormat="1" ht="12.75" x14ac:dyDescent="0.2">
      <c r="R16047" s="1288"/>
    </row>
    <row r="16048" spans="18:18" s="2" customFormat="1" ht="12.75" x14ac:dyDescent="0.2">
      <c r="R16048" s="1288"/>
    </row>
    <row r="16049" spans="18:18" s="2" customFormat="1" ht="12.75" x14ac:dyDescent="0.2">
      <c r="R16049" s="1288"/>
    </row>
    <row r="16050" spans="18:18" s="2" customFormat="1" ht="12.75" x14ac:dyDescent="0.2">
      <c r="R16050" s="1288"/>
    </row>
    <row r="16051" spans="18:18" s="2" customFormat="1" ht="12.75" x14ac:dyDescent="0.2">
      <c r="R16051" s="1288"/>
    </row>
    <row r="16052" spans="18:18" s="2" customFormat="1" ht="12.75" x14ac:dyDescent="0.2">
      <c r="R16052" s="1288"/>
    </row>
    <row r="16053" spans="18:18" s="2" customFormat="1" ht="12.75" x14ac:dyDescent="0.2">
      <c r="R16053" s="1288"/>
    </row>
    <row r="16054" spans="18:18" s="2" customFormat="1" ht="12.75" x14ac:dyDescent="0.2">
      <c r="R16054" s="1288"/>
    </row>
    <row r="16055" spans="18:18" s="2" customFormat="1" ht="12.75" x14ac:dyDescent="0.2">
      <c r="R16055" s="1288"/>
    </row>
    <row r="16056" spans="18:18" s="2" customFormat="1" ht="12.75" x14ac:dyDescent="0.2">
      <c r="R16056" s="1288"/>
    </row>
    <row r="16057" spans="18:18" s="2" customFormat="1" ht="12.75" x14ac:dyDescent="0.2">
      <c r="R16057" s="1288"/>
    </row>
    <row r="16058" spans="18:18" s="2" customFormat="1" ht="12.75" x14ac:dyDescent="0.2">
      <c r="R16058" s="1288"/>
    </row>
    <row r="16059" spans="18:18" s="2" customFormat="1" ht="12.75" x14ac:dyDescent="0.2">
      <c r="R16059" s="1288"/>
    </row>
    <row r="16060" spans="18:18" s="2" customFormat="1" ht="12.75" x14ac:dyDescent="0.2">
      <c r="R16060" s="1288"/>
    </row>
    <row r="16061" spans="18:18" s="2" customFormat="1" ht="12.75" x14ac:dyDescent="0.2">
      <c r="R16061" s="1288"/>
    </row>
    <row r="16062" spans="18:18" s="2" customFormat="1" ht="12.75" x14ac:dyDescent="0.2">
      <c r="R16062" s="1288"/>
    </row>
    <row r="16063" spans="18:18" s="2" customFormat="1" ht="12.75" x14ac:dyDescent="0.2">
      <c r="R16063" s="1288"/>
    </row>
    <row r="16064" spans="18:18" s="2" customFormat="1" ht="12.75" x14ac:dyDescent="0.2">
      <c r="R16064" s="1288"/>
    </row>
    <row r="16065" spans="18:18" s="2" customFormat="1" ht="12.75" x14ac:dyDescent="0.2">
      <c r="R16065" s="1288"/>
    </row>
    <row r="16066" spans="18:18" s="2" customFormat="1" ht="12.75" x14ac:dyDescent="0.2">
      <c r="R16066" s="1288"/>
    </row>
    <row r="16067" spans="18:18" s="2" customFormat="1" ht="12.75" x14ac:dyDescent="0.2">
      <c r="R16067" s="1288"/>
    </row>
    <row r="16068" spans="18:18" s="2" customFormat="1" ht="12.75" x14ac:dyDescent="0.2">
      <c r="R16068" s="1288"/>
    </row>
    <row r="16069" spans="18:18" s="2" customFormat="1" ht="12.75" x14ac:dyDescent="0.2">
      <c r="R16069" s="1288"/>
    </row>
    <row r="16070" spans="18:18" s="2" customFormat="1" ht="12.75" x14ac:dyDescent="0.2">
      <c r="R16070" s="1288"/>
    </row>
    <row r="16071" spans="18:18" s="2" customFormat="1" ht="12.75" x14ac:dyDescent="0.2">
      <c r="R16071" s="1288"/>
    </row>
    <row r="16072" spans="18:18" s="2" customFormat="1" ht="12.75" x14ac:dyDescent="0.2">
      <c r="R16072" s="1288"/>
    </row>
    <row r="16073" spans="18:18" s="2" customFormat="1" ht="12.75" x14ac:dyDescent="0.2">
      <c r="R16073" s="1288"/>
    </row>
    <row r="16074" spans="18:18" s="2" customFormat="1" ht="12.75" x14ac:dyDescent="0.2">
      <c r="R16074" s="1288"/>
    </row>
    <row r="16075" spans="18:18" s="2" customFormat="1" ht="12.75" x14ac:dyDescent="0.2">
      <c r="R16075" s="1288"/>
    </row>
    <row r="16076" spans="18:18" s="2" customFormat="1" ht="12.75" x14ac:dyDescent="0.2">
      <c r="R16076" s="1288"/>
    </row>
    <row r="16077" spans="18:18" s="2" customFormat="1" ht="12.75" x14ac:dyDescent="0.2">
      <c r="R16077" s="1288"/>
    </row>
    <row r="16078" spans="18:18" s="2" customFormat="1" ht="12.75" x14ac:dyDescent="0.2">
      <c r="R16078" s="1288"/>
    </row>
    <row r="16079" spans="18:18" s="2" customFormat="1" ht="12.75" x14ac:dyDescent="0.2">
      <c r="R16079" s="1288"/>
    </row>
    <row r="16080" spans="18:18" s="2" customFormat="1" ht="12.75" x14ac:dyDescent="0.2">
      <c r="R16080" s="1288"/>
    </row>
    <row r="16081" spans="18:18" s="2" customFormat="1" ht="12.75" x14ac:dyDescent="0.2">
      <c r="R16081" s="1288"/>
    </row>
    <row r="16082" spans="18:18" s="2" customFormat="1" ht="12.75" x14ac:dyDescent="0.2">
      <c r="R16082" s="1288"/>
    </row>
    <row r="16083" spans="18:18" s="2" customFormat="1" ht="12.75" x14ac:dyDescent="0.2">
      <c r="R16083" s="1288"/>
    </row>
    <row r="16084" spans="18:18" s="2" customFormat="1" ht="12.75" x14ac:dyDescent="0.2">
      <c r="R16084" s="1288"/>
    </row>
    <row r="16085" spans="18:18" s="2" customFormat="1" ht="12.75" x14ac:dyDescent="0.2">
      <c r="R16085" s="1288"/>
    </row>
    <row r="16086" spans="18:18" s="2" customFormat="1" ht="12.75" x14ac:dyDescent="0.2">
      <c r="R16086" s="1288"/>
    </row>
    <row r="16087" spans="18:18" s="2" customFormat="1" ht="12.75" x14ac:dyDescent="0.2">
      <c r="R16087" s="1288"/>
    </row>
    <row r="16088" spans="18:18" s="2" customFormat="1" ht="12.75" x14ac:dyDescent="0.2">
      <c r="R16088" s="1288"/>
    </row>
    <row r="16089" spans="18:18" s="2" customFormat="1" ht="12.75" x14ac:dyDescent="0.2">
      <c r="R16089" s="1288"/>
    </row>
    <row r="16090" spans="18:18" s="2" customFormat="1" ht="12.75" x14ac:dyDescent="0.2">
      <c r="R16090" s="1288"/>
    </row>
    <row r="16091" spans="18:18" s="2" customFormat="1" ht="12.75" x14ac:dyDescent="0.2">
      <c r="R16091" s="1288"/>
    </row>
    <row r="16092" spans="18:18" s="2" customFormat="1" ht="12.75" x14ac:dyDescent="0.2">
      <c r="R16092" s="1288"/>
    </row>
    <row r="16093" spans="18:18" s="2" customFormat="1" ht="12.75" x14ac:dyDescent="0.2">
      <c r="R16093" s="1288"/>
    </row>
    <row r="16094" spans="18:18" s="2" customFormat="1" ht="12.75" x14ac:dyDescent="0.2">
      <c r="R16094" s="1288"/>
    </row>
    <row r="16095" spans="18:18" s="2" customFormat="1" ht="12.75" x14ac:dyDescent="0.2">
      <c r="R16095" s="1288"/>
    </row>
    <row r="16096" spans="18:18" s="2" customFormat="1" ht="12.75" x14ac:dyDescent="0.2">
      <c r="R16096" s="1288"/>
    </row>
    <row r="16097" spans="18:18" s="2" customFormat="1" ht="12.75" x14ac:dyDescent="0.2">
      <c r="R16097" s="1288"/>
    </row>
    <row r="16098" spans="18:18" s="2" customFormat="1" ht="12.75" x14ac:dyDescent="0.2">
      <c r="R16098" s="1288"/>
    </row>
    <row r="16099" spans="18:18" s="2" customFormat="1" ht="12.75" x14ac:dyDescent="0.2">
      <c r="R16099" s="1288"/>
    </row>
    <row r="16100" spans="18:18" s="2" customFormat="1" ht="12.75" x14ac:dyDescent="0.2">
      <c r="R16100" s="1288"/>
    </row>
    <row r="16101" spans="18:18" s="2" customFormat="1" ht="12.75" x14ac:dyDescent="0.2">
      <c r="R16101" s="1288"/>
    </row>
    <row r="16102" spans="18:18" s="2" customFormat="1" ht="12.75" x14ac:dyDescent="0.2">
      <c r="R16102" s="1288"/>
    </row>
    <row r="16103" spans="18:18" s="2" customFormat="1" ht="12.75" x14ac:dyDescent="0.2">
      <c r="R16103" s="1288"/>
    </row>
    <row r="16104" spans="18:18" s="2" customFormat="1" ht="12.75" x14ac:dyDescent="0.2">
      <c r="R16104" s="1288"/>
    </row>
    <row r="16105" spans="18:18" s="2" customFormat="1" ht="12.75" x14ac:dyDescent="0.2">
      <c r="R16105" s="1288"/>
    </row>
    <row r="16106" spans="18:18" s="2" customFormat="1" ht="12.75" x14ac:dyDescent="0.2">
      <c r="R16106" s="1288"/>
    </row>
    <row r="16107" spans="18:18" s="2" customFormat="1" ht="12.75" x14ac:dyDescent="0.2">
      <c r="R16107" s="1288"/>
    </row>
    <row r="16108" spans="18:18" s="2" customFormat="1" ht="12.75" x14ac:dyDescent="0.2">
      <c r="R16108" s="1288"/>
    </row>
    <row r="16109" spans="18:18" s="2" customFormat="1" ht="12.75" x14ac:dyDescent="0.2">
      <c r="R16109" s="1288"/>
    </row>
    <row r="16110" spans="18:18" s="2" customFormat="1" ht="12.75" x14ac:dyDescent="0.2">
      <c r="R16110" s="1288"/>
    </row>
    <row r="16111" spans="18:18" s="2" customFormat="1" ht="12.75" x14ac:dyDescent="0.2">
      <c r="R16111" s="1288"/>
    </row>
    <row r="16112" spans="18:18" s="2" customFormat="1" ht="12.75" x14ac:dyDescent="0.2">
      <c r="R16112" s="1288"/>
    </row>
    <row r="16113" spans="18:18" s="2" customFormat="1" ht="12.75" x14ac:dyDescent="0.2">
      <c r="R16113" s="1288"/>
    </row>
    <row r="16114" spans="18:18" s="2" customFormat="1" ht="12.75" x14ac:dyDescent="0.2">
      <c r="R16114" s="1288"/>
    </row>
    <row r="16115" spans="18:18" s="2" customFormat="1" ht="12.75" x14ac:dyDescent="0.2">
      <c r="R16115" s="1288"/>
    </row>
    <row r="16116" spans="18:18" s="2" customFormat="1" ht="12.75" x14ac:dyDescent="0.2">
      <c r="R16116" s="1288"/>
    </row>
    <row r="16117" spans="18:18" s="2" customFormat="1" ht="12.75" x14ac:dyDescent="0.2">
      <c r="R16117" s="1288"/>
    </row>
    <row r="16118" spans="18:18" s="2" customFormat="1" ht="12.75" x14ac:dyDescent="0.2">
      <c r="R16118" s="1288"/>
    </row>
    <row r="16119" spans="18:18" s="2" customFormat="1" ht="12.75" x14ac:dyDescent="0.2">
      <c r="R16119" s="1288"/>
    </row>
    <row r="16120" spans="18:18" s="2" customFormat="1" ht="12.75" x14ac:dyDescent="0.2">
      <c r="R16120" s="1288"/>
    </row>
    <row r="16121" spans="18:18" s="2" customFormat="1" ht="12.75" x14ac:dyDescent="0.2">
      <c r="R16121" s="1288"/>
    </row>
    <row r="16122" spans="18:18" s="2" customFormat="1" ht="12.75" x14ac:dyDescent="0.2">
      <c r="R16122" s="1288"/>
    </row>
    <row r="16123" spans="18:18" s="2" customFormat="1" ht="12.75" x14ac:dyDescent="0.2">
      <c r="R16123" s="1288"/>
    </row>
    <row r="16124" spans="18:18" s="2" customFormat="1" ht="12.75" x14ac:dyDescent="0.2">
      <c r="R16124" s="1288"/>
    </row>
    <row r="16125" spans="18:18" s="2" customFormat="1" ht="12.75" x14ac:dyDescent="0.2">
      <c r="R16125" s="1288"/>
    </row>
    <row r="16126" spans="18:18" s="2" customFormat="1" ht="12.75" x14ac:dyDescent="0.2">
      <c r="R16126" s="1288"/>
    </row>
    <row r="16127" spans="18:18" s="2" customFormat="1" ht="12.75" x14ac:dyDescent="0.2">
      <c r="R16127" s="1288"/>
    </row>
    <row r="16128" spans="18:18" s="2" customFormat="1" ht="12.75" x14ac:dyDescent="0.2">
      <c r="R16128" s="1288"/>
    </row>
    <row r="16129" spans="18:18" s="2" customFormat="1" ht="12.75" x14ac:dyDescent="0.2">
      <c r="R16129" s="1288"/>
    </row>
    <row r="16130" spans="18:18" s="2" customFormat="1" ht="12.75" x14ac:dyDescent="0.2">
      <c r="R16130" s="1288"/>
    </row>
    <row r="16131" spans="18:18" s="2" customFormat="1" ht="12.75" x14ac:dyDescent="0.2">
      <c r="R16131" s="1288"/>
    </row>
    <row r="16132" spans="18:18" s="2" customFormat="1" ht="12.75" x14ac:dyDescent="0.2">
      <c r="R16132" s="1288"/>
    </row>
    <row r="16133" spans="18:18" s="2" customFormat="1" ht="12.75" x14ac:dyDescent="0.2">
      <c r="R16133" s="1288"/>
    </row>
    <row r="16134" spans="18:18" s="2" customFormat="1" ht="12.75" x14ac:dyDescent="0.2">
      <c r="R16134" s="1288"/>
    </row>
    <row r="16135" spans="18:18" s="2" customFormat="1" ht="12.75" x14ac:dyDescent="0.2">
      <c r="R16135" s="1288"/>
    </row>
    <row r="16136" spans="18:18" s="2" customFormat="1" ht="12.75" x14ac:dyDescent="0.2">
      <c r="R16136" s="1288"/>
    </row>
    <row r="16137" spans="18:18" s="2" customFormat="1" ht="12.75" x14ac:dyDescent="0.2">
      <c r="R16137" s="1288"/>
    </row>
    <row r="16138" spans="18:18" s="2" customFormat="1" ht="12.75" x14ac:dyDescent="0.2">
      <c r="R16138" s="1288"/>
    </row>
    <row r="16139" spans="18:18" s="2" customFormat="1" ht="12.75" x14ac:dyDescent="0.2">
      <c r="R16139" s="1288"/>
    </row>
    <row r="16140" spans="18:18" s="2" customFormat="1" ht="12.75" x14ac:dyDescent="0.2">
      <c r="R16140" s="1288"/>
    </row>
    <row r="16141" spans="18:18" s="2" customFormat="1" ht="12.75" x14ac:dyDescent="0.2">
      <c r="R16141" s="1288"/>
    </row>
    <row r="16142" spans="18:18" s="2" customFormat="1" ht="12.75" x14ac:dyDescent="0.2">
      <c r="R16142" s="1288"/>
    </row>
    <row r="16143" spans="18:18" s="2" customFormat="1" ht="12.75" x14ac:dyDescent="0.2">
      <c r="R16143" s="1288"/>
    </row>
    <row r="16144" spans="18:18" s="2" customFormat="1" ht="12.75" x14ac:dyDescent="0.2">
      <c r="R16144" s="1288"/>
    </row>
    <row r="16145" spans="18:18" s="2" customFormat="1" ht="12.75" x14ac:dyDescent="0.2">
      <c r="R16145" s="1288"/>
    </row>
    <row r="16146" spans="18:18" s="2" customFormat="1" ht="12.75" x14ac:dyDescent="0.2">
      <c r="R16146" s="1288"/>
    </row>
    <row r="16147" spans="18:18" s="2" customFormat="1" ht="12.75" x14ac:dyDescent="0.2">
      <c r="R16147" s="1288"/>
    </row>
    <row r="16148" spans="18:18" s="2" customFormat="1" ht="12.75" x14ac:dyDescent="0.2">
      <c r="R16148" s="1288"/>
    </row>
    <row r="16149" spans="18:18" s="2" customFormat="1" ht="12.75" x14ac:dyDescent="0.2">
      <c r="R16149" s="1288"/>
    </row>
    <row r="16150" spans="18:18" s="2" customFormat="1" ht="12.75" x14ac:dyDescent="0.2">
      <c r="R16150" s="1288"/>
    </row>
    <row r="16151" spans="18:18" s="2" customFormat="1" ht="12.75" x14ac:dyDescent="0.2">
      <c r="R16151" s="1288"/>
    </row>
    <row r="16152" spans="18:18" s="2" customFormat="1" ht="12.75" x14ac:dyDescent="0.2">
      <c r="R16152" s="1288"/>
    </row>
    <row r="16153" spans="18:18" s="2" customFormat="1" ht="12.75" x14ac:dyDescent="0.2">
      <c r="R16153" s="1288"/>
    </row>
    <row r="16154" spans="18:18" s="2" customFormat="1" ht="12.75" x14ac:dyDescent="0.2">
      <c r="R16154" s="1288"/>
    </row>
    <row r="16155" spans="18:18" s="2" customFormat="1" ht="12.75" x14ac:dyDescent="0.2">
      <c r="R16155" s="1288"/>
    </row>
    <row r="16156" spans="18:18" s="2" customFormat="1" ht="12.75" x14ac:dyDescent="0.2">
      <c r="R16156" s="1288"/>
    </row>
    <row r="16157" spans="18:18" s="2" customFormat="1" ht="12.75" x14ac:dyDescent="0.2">
      <c r="R16157" s="1288"/>
    </row>
    <row r="16158" spans="18:18" s="2" customFormat="1" ht="12.75" x14ac:dyDescent="0.2">
      <c r="R16158" s="1288"/>
    </row>
    <row r="16159" spans="18:18" s="2" customFormat="1" ht="12.75" x14ac:dyDescent="0.2">
      <c r="R16159" s="1288"/>
    </row>
    <row r="16160" spans="18:18" s="2" customFormat="1" ht="12.75" x14ac:dyDescent="0.2">
      <c r="R16160" s="1288"/>
    </row>
    <row r="16161" spans="18:18" s="2" customFormat="1" ht="12.75" x14ac:dyDescent="0.2">
      <c r="R16161" s="1288"/>
    </row>
    <row r="16162" spans="18:18" s="2" customFormat="1" ht="12.75" x14ac:dyDescent="0.2">
      <c r="R16162" s="1288"/>
    </row>
    <row r="16163" spans="18:18" s="2" customFormat="1" ht="12.75" x14ac:dyDescent="0.2">
      <c r="R16163" s="1288"/>
    </row>
    <row r="16164" spans="18:18" s="2" customFormat="1" ht="12.75" x14ac:dyDescent="0.2">
      <c r="R16164" s="1288"/>
    </row>
    <row r="16165" spans="18:18" s="2" customFormat="1" ht="12.75" x14ac:dyDescent="0.2">
      <c r="R16165" s="1288"/>
    </row>
    <row r="16166" spans="18:18" s="2" customFormat="1" ht="12.75" x14ac:dyDescent="0.2">
      <c r="R16166" s="1288"/>
    </row>
    <row r="16167" spans="18:18" s="2" customFormat="1" ht="12.75" x14ac:dyDescent="0.2">
      <c r="R16167" s="1288"/>
    </row>
    <row r="16168" spans="18:18" s="2" customFormat="1" ht="12.75" x14ac:dyDescent="0.2">
      <c r="R16168" s="1288"/>
    </row>
    <row r="16169" spans="18:18" s="2" customFormat="1" ht="12.75" x14ac:dyDescent="0.2">
      <c r="R16169" s="1288"/>
    </row>
    <row r="16170" spans="18:18" s="2" customFormat="1" ht="12.75" x14ac:dyDescent="0.2">
      <c r="R16170" s="1288"/>
    </row>
    <row r="16171" spans="18:18" s="2" customFormat="1" ht="12.75" x14ac:dyDescent="0.2">
      <c r="R16171" s="1288"/>
    </row>
    <row r="16172" spans="18:18" s="2" customFormat="1" ht="12.75" x14ac:dyDescent="0.2">
      <c r="R16172" s="1288"/>
    </row>
    <row r="16173" spans="18:18" s="2" customFormat="1" ht="12.75" x14ac:dyDescent="0.2">
      <c r="R16173" s="1288"/>
    </row>
    <row r="16174" spans="18:18" s="2" customFormat="1" ht="12.75" x14ac:dyDescent="0.2">
      <c r="R16174" s="1288"/>
    </row>
    <row r="16175" spans="18:18" s="2" customFormat="1" ht="12.75" x14ac:dyDescent="0.2">
      <c r="R16175" s="1288"/>
    </row>
    <row r="16176" spans="18:18" s="2" customFormat="1" ht="12.75" x14ac:dyDescent="0.2">
      <c r="R16176" s="1288"/>
    </row>
    <row r="16177" spans="18:18" s="2" customFormat="1" ht="12.75" x14ac:dyDescent="0.2">
      <c r="R16177" s="1288"/>
    </row>
    <row r="16178" spans="18:18" s="2" customFormat="1" ht="12.75" x14ac:dyDescent="0.2">
      <c r="R16178" s="1288"/>
    </row>
    <row r="16179" spans="18:18" s="2" customFormat="1" ht="12.75" x14ac:dyDescent="0.2">
      <c r="R16179" s="1288"/>
    </row>
    <row r="16180" spans="18:18" s="2" customFormat="1" ht="12.75" x14ac:dyDescent="0.2">
      <c r="R16180" s="1288"/>
    </row>
    <row r="16181" spans="18:18" s="2" customFormat="1" ht="12.75" x14ac:dyDescent="0.2">
      <c r="R16181" s="1288"/>
    </row>
    <row r="16182" spans="18:18" s="2" customFormat="1" ht="12.75" x14ac:dyDescent="0.2">
      <c r="R16182" s="1288"/>
    </row>
    <row r="16183" spans="18:18" s="2" customFormat="1" ht="12.75" x14ac:dyDescent="0.2">
      <c r="R16183" s="1288"/>
    </row>
    <row r="16184" spans="18:18" s="2" customFormat="1" ht="12.75" x14ac:dyDescent="0.2">
      <c r="R16184" s="1288"/>
    </row>
    <row r="16185" spans="18:18" s="2" customFormat="1" ht="12.75" x14ac:dyDescent="0.2">
      <c r="R16185" s="1288"/>
    </row>
    <row r="16186" spans="18:18" s="2" customFormat="1" ht="12.75" x14ac:dyDescent="0.2">
      <c r="R16186" s="1288"/>
    </row>
    <row r="16187" spans="18:18" s="2" customFormat="1" ht="12.75" x14ac:dyDescent="0.2">
      <c r="R16187" s="1288"/>
    </row>
    <row r="16188" spans="18:18" s="2" customFormat="1" ht="12.75" x14ac:dyDescent="0.2">
      <c r="R16188" s="1288"/>
    </row>
    <row r="16189" spans="18:18" s="2" customFormat="1" ht="12.75" x14ac:dyDescent="0.2">
      <c r="R16189" s="1288"/>
    </row>
    <row r="16190" spans="18:18" s="2" customFormat="1" ht="12.75" x14ac:dyDescent="0.2">
      <c r="R16190" s="1288"/>
    </row>
    <row r="16191" spans="18:18" s="2" customFormat="1" ht="12.75" x14ac:dyDescent="0.2">
      <c r="R16191" s="1288"/>
    </row>
    <row r="16192" spans="18:18" s="2" customFormat="1" ht="12.75" x14ac:dyDescent="0.2">
      <c r="R16192" s="1288"/>
    </row>
    <row r="16193" spans="18:18" s="2" customFormat="1" ht="12.75" x14ac:dyDescent="0.2">
      <c r="R16193" s="1288"/>
    </row>
    <row r="16194" spans="18:18" s="2" customFormat="1" ht="12.75" x14ac:dyDescent="0.2">
      <c r="R16194" s="1288"/>
    </row>
    <row r="16195" spans="18:18" s="2" customFormat="1" ht="12.75" x14ac:dyDescent="0.2">
      <c r="R16195" s="1288"/>
    </row>
    <row r="16196" spans="18:18" s="2" customFormat="1" ht="12.75" x14ac:dyDescent="0.2">
      <c r="R16196" s="1288"/>
    </row>
    <row r="16197" spans="18:18" s="2" customFormat="1" ht="12.75" x14ac:dyDescent="0.2">
      <c r="R16197" s="1288"/>
    </row>
    <row r="16198" spans="18:18" s="2" customFormat="1" ht="12.75" x14ac:dyDescent="0.2">
      <c r="R16198" s="1288"/>
    </row>
    <row r="16199" spans="18:18" s="2" customFormat="1" ht="12.75" x14ac:dyDescent="0.2">
      <c r="R16199" s="1288"/>
    </row>
    <row r="16200" spans="18:18" s="2" customFormat="1" ht="12.75" x14ac:dyDescent="0.2">
      <c r="R16200" s="1288"/>
    </row>
    <row r="16201" spans="18:18" s="2" customFormat="1" ht="12.75" x14ac:dyDescent="0.2">
      <c r="R16201" s="1288"/>
    </row>
    <row r="16202" spans="18:18" s="2" customFormat="1" ht="12.75" x14ac:dyDescent="0.2">
      <c r="R16202" s="1288"/>
    </row>
    <row r="16203" spans="18:18" s="2" customFormat="1" ht="12.75" x14ac:dyDescent="0.2">
      <c r="R16203" s="1288"/>
    </row>
    <row r="16204" spans="18:18" s="2" customFormat="1" ht="12.75" x14ac:dyDescent="0.2">
      <c r="R16204" s="1288"/>
    </row>
    <row r="16205" spans="18:18" s="2" customFormat="1" ht="12.75" x14ac:dyDescent="0.2">
      <c r="R16205" s="1288"/>
    </row>
    <row r="16206" spans="18:18" s="2" customFormat="1" ht="12.75" x14ac:dyDescent="0.2">
      <c r="R16206" s="1288"/>
    </row>
    <row r="16207" spans="18:18" s="2" customFormat="1" ht="12.75" x14ac:dyDescent="0.2">
      <c r="R16207" s="1288"/>
    </row>
    <row r="16208" spans="18:18" s="2" customFormat="1" ht="12.75" x14ac:dyDescent="0.2">
      <c r="R16208" s="1288"/>
    </row>
    <row r="16209" spans="18:18" s="2" customFormat="1" ht="12.75" x14ac:dyDescent="0.2">
      <c r="R16209" s="1288"/>
    </row>
    <row r="16210" spans="18:18" s="2" customFormat="1" ht="12.75" x14ac:dyDescent="0.2">
      <c r="R16210" s="1288"/>
    </row>
    <row r="16211" spans="18:18" s="2" customFormat="1" ht="12.75" x14ac:dyDescent="0.2">
      <c r="R16211" s="1288"/>
    </row>
    <row r="16212" spans="18:18" s="2" customFormat="1" ht="12.75" x14ac:dyDescent="0.2">
      <c r="R16212" s="1288"/>
    </row>
    <row r="16213" spans="18:18" s="2" customFormat="1" ht="12.75" x14ac:dyDescent="0.2">
      <c r="R16213" s="1288"/>
    </row>
    <row r="16214" spans="18:18" s="2" customFormat="1" ht="12.75" x14ac:dyDescent="0.2">
      <c r="R16214" s="1288"/>
    </row>
    <row r="16215" spans="18:18" s="2" customFormat="1" ht="12.75" x14ac:dyDescent="0.2">
      <c r="R16215" s="1288"/>
    </row>
    <row r="16216" spans="18:18" s="2" customFormat="1" ht="12.75" x14ac:dyDescent="0.2">
      <c r="R16216" s="1288"/>
    </row>
    <row r="16217" spans="18:18" s="2" customFormat="1" ht="12.75" x14ac:dyDescent="0.2">
      <c r="R16217" s="1288"/>
    </row>
    <row r="16218" spans="18:18" s="2" customFormat="1" ht="12.75" x14ac:dyDescent="0.2">
      <c r="R16218" s="1288"/>
    </row>
    <row r="16219" spans="18:18" s="2" customFormat="1" ht="12.75" x14ac:dyDescent="0.2">
      <c r="R16219" s="1288"/>
    </row>
    <row r="16220" spans="18:18" s="2" customFormat="1" ht="12.75" x14ac:dyDescent="0.2">
      <c r="R16220" s="1288"/>
    </row>
    <row r="16221" spans="18:18" s="2" customFormat="1" ht="12.75" x14ac:dyDescent="0.2">
      <c r="R16221" s="1288"/>
    </row>
    <row r="16222" spans="18:18" s="2" customFormat="1" ht="12.75" x14ac:dyDescent="0.2">
      <c r="R16222" s="1288"/>
    </row>
    <row r="16223" spans="18:18" s="2" customFormat="1" ht="12.75" x14ac:dyDescent="0.2">
      <c r="R16223" s="1288"/>
    </row>
    <row r="16224" spans="18:18" s="2" customFormat="1" ht="12.75" x14ac:dyDescent="0.2">
      <c r="R16224" s="1288"/>
    </row>
    <row r="16225" spans="18:18" s="2" customFormat="1" ht="12.75" x14ac:dyDescent="0.2">
      <c r="R16225" s="1288"/>
    </row>
    <row r="16226" spans="18:18" s="2" customFormat="1" ht="12.75" x14ac:dyDescent="0.2">
      <c r="R16226" s="1288"/>
    </row>
    <row r="16227" spans="18:18" s="2" customFormat="1" ht="12.75" x14ac:dyDescent="0.2">
      <c r="R16227" s="1288"/>
    </row>
    <row r="16228" spans="18:18" s="2" customFormat="1" ht="12.75" x14ac:dyDescent="0.2">
      <c r="R16228" s="1288"/>
    </row>
    <row r="16229" spans="18:18" s="2" customFormat="1" ht="12.75" x14ac:dyDescent="0.2">
      <c r="R16229" s="1288"/>
    </row>
    <row r="16230" spans="18:18" s="2" customFormat="1" ht="12.75" x14ac:dyDescent="0.2">
      <c r="R16230" s="1288"/>
    </row>
    <row r="16231" spans="18:18" s="2" customFormat="1" ht="12.75" x14ac:dyDescent="0.2">
      <c r="R16231" s="1288"/>
    </row>
    <row r="16232" spans="18:18" s="2" customFormat="1" ht="12.75" x14ac:dyDescent="0.2">
      <c r="R16232" s="1288"/>
    </row>
    <row r="16233" spans="18:18" s="2" customFormat="1" ht="12.75" x14ac:dyDescent="0.2">
      <c r="R16233" s="1288"/>
    </row>
    <row r="16234" spans="18:18" s="2" customFormat="1" ht="12.75" x14ac:dyDescent="0.2">
      <c r="R16234" s="1288"/>
    </row>
    <row r="16235" spans="18:18" s="2" customFormat="1" ht="12.75" x14ac:dyDescent="0.2">
      <c r="R16235" s="1288"/>
    </row>
    <row r="16236" spans="18:18" s="2" customFormat="1" ht="12.75" x14ac:dyDescent="0.2">
      <c r="R16236" s="1288"/>
    </row>
    <row r="16237" spans="18:18" s="2" customFormat="1" ht="12.75" x14ac:dyDescent="0.2">
      <c r="R16237" s="1288"/>
    </row>
    <row r="16238" spans="18:18" s="2" customFormat="1" ht="12.75" x14ac:dyDescent="0.2">
      <c r="R16238" s="1288"/>
    </row>
    <row r="16239" spans="18:18" s="2" customFormat="1" ht="12.75" x14ac:dyDescent="0.2">
      <c r="R16239" s="1288"/>
    </row>
    <row r="16240" spans="18:18" s="2" customFormat="1" ht="12.75" x14ac:dyDescent="0.2">
      <c r="R16240" s="1288"/>
    </row>
    <row r="16241" spans="18:18" s="2" customFormat="1" ht="12.75" x14ac:dyDescent="0.2">
      <c r="R16241" s="1288"/>
    </row>
    <row r="16242" spans="18:18" s="2" customFormat="1" ht="12.75" x14ac:dyDescent="0.2">
      <c r="R16242" s="1288"/>
    </row>
    <row r="16243" spans="18:18" s="2" customFormat="1" ht="12.75" x14ac:dyDescent="0.2">
      <c r="R16243" s="1288"/>
    </row>
    <row r="16244" spans="18:18" s="2" customFormat="1" ht="12.75" x14ac:dyDescent="0.2">
      <c r="R16244" s="1288"/>
    </row>
    <row r="16245" spans="18:18" s="2" customFormat="1" ht="12.75" x14ac:dyDescent="0.2">
      <c r="R16245" s="1288"/>
    </row>
    <row r="16246" spans="18:18" s="2" customFormat="1" ht="12.75" x14ac:dyDescent="0.2">
      <c r="R16246" s="1288"/>
    </row>
    <row r="16247" spans="18:18" s="2" customFormat="1" ht="12.75" x14ac:dyDescent="0.2">
      <c r="R16247" s="1288"/>
    </row>
    <row r="16248" spans="18:18" s="2" customFormat="1" ht="12.75" x14ac:dyDescent="0.2">
      <c r="R16248" s="1288"/>
    </row>
    <row r="16249" spans="18:18" s="2" customFormat="1" ht="12.75" x14ac:dyDescent="0.2">
      <c r="R16249" s="1288"/>
    </row>
    <row r="16250" spans="18:18" s="2" customFormat="1" ht="12.75" x14ac:dyDescent="0.2">
      <c r="R16250" s="1288"/>
    </row>
    <row r="16251" spans="18:18" s="2" customFormat="1" ht="12.75" x14ac:dyDescent="0.2">
      <c r="R16251" s="1288"/>
    </row>
    <row r="16252" spans="18:18" s="2" customFormat="1" ht="12.75" x14ac:dyDescent="0.2">
      <c r="R16252" s="1288"/>
    </row>
    <row r="16253" spans="18:18" s="2" customFormat="1" ht="12.75" x14ac:dyDescent="0.2">
      <c r="R16253" s="1288"/>
    </row>
    <row r="16254" spans="18:18" s="2" customFormat="1" ht="12.75" x14ac:dyDescent="0.2">
      <c r="R16254" s="1288"/>
    </row>
    <row r="16255" spans="18:18" s="2" customFormat="1" ht="12.75" x14ac:dyDescent="0.2">
      <c r="R16255" s="1288"/>
    </row>
    <row r="16256" spans="18:18" s="2" customFormat="1" ht="12.75" x14ac:dyDescent="0.2">
      <c r="R16256" s="1288"/>
    </row>
    <row r="16257" spans="18:18" s="2" customFormat="1" ht="12.75" x14ac:dyDescent="0.2">
      <c r="R16257" s="1288"/>
    </row>
    <row r="16258" spans="18:18" s="2" customFormat="1" ht="12.75" x14ac:dyDescent="0.2">
      <c r="R16258" s="1288"/>
    </row>
    <row r="16259" spans="18:18" s="2" customFormat="1" ht="12.75" x14ac:dyDescent="0.2">
      <c r="R16259" s="1288"/>
    </row>
    <row r="16260" spans="18:18" s="2" customFormat="1" ht="12.75" x14ac:dyDescent="0.2">
      <c r="R16260" s="1288"/>
    </row>
    <row r="16261" spans="18:18" s="2" customFormat="1" ht="12.75" x14ac:dyDescent="0.2">
      <c r="R16261" s="1288"/>
    </row>
    <row r="16262" spans="18:18" s="2" customFormat="1" ht="12.75" x14ac:dyDescent="0.2">
      <c r="R16262" s="1288"/>
    </row>
    <row r="16263" spans="18:18" s="2" customFormat="1" ht="12.75" x14ac:dyDescent="0.2">
      <c r="R16263" s="1288"/>
    </row>
    <row r="16264" spans="18:18" s="2" customFormat="1" ht="12.75" x14ac:dyDescent="0.2">
      <c r="R16264" s="1288"/>
    </row>
    <row r="16265" spans="18:18" s="2" customFormat="1" ht="12.75" x14ac:dyDescent="0.2">
      <c r="R16265" s="1288"/>
    </row>
    <row r="16266" spans="18:18" s="2" customFormat="1" ht="12.75" x14ac:dyDescent="0.2">
      <c r="R16266" s="1288"/>
    </row>
    <row r="16267" spans="18:18" s="2" customFormat="1" ht="12.75" x14ac:dyDescent="0.2">
      <c r="R16267" s="1288"/>
    </row>
    <row r="16268" spans="18:18" s="2" customFormat="1" ht="12.75" x14ac:dyDescent="0.2">
      <c r="R16268" s="1288"/>
    </row>
    <row r="16269" spans="18:18" s="2" customFormat="1" ht="12.75" x14ac:dyDescent="0.2">
      <c r="R16269" s="1288"/>
    </row>
    <row r="16270" spans="18:18" s="2" customFormat="1" ht="12.75" x14ac:dyDescent="0.2">
      <c r="R16270" s="1288"/>
    </row>
    <row r="16271" spans="18:18" s="2" customFormat="1" ht="12.75" x14ac:dyDescent="0.2">
      <c r="R16271" s="1288"/>
    </row>
    <row r="16272" spans="18:18" s="2" customFormat="1" ht="12.75" x14ac:dyDescent="0.2">
      <c r="R16272" s="1288"/>
    </row>
    <row r="16273" spans="18:18" s="2" customFormat="1" ht="12.75" x14ac:dyDescent="0.2">
      <c r="R16273" s="1288"/>
    </row>
    <row r="16274" spans="18:18" s="2" customFormat="1" ht="12.75" x14ac:dyDescent="0.2">
      <c r="R16274" s="1288"/>
    </row>
    <row r="16275" spans="18:18" s="2" customFormat="1" ht="12.75" x14ac:dyDescent="0.2">
      <c r="R16275" s="1288"/>
    </row>
    <row r="16276" spans="18:18" s="2" customFormat="1" ht="12.75" x14ac:dyDescent="0.2">
      <c r="R16276" s="1288"/>
    </row>
    <row r="16277" spans="18:18" s="2" customFormat="1" ht="12.75" x14ac:dyDescent="0.2">
      <c r="R16277" s="1288"/>
    </row>
    <row r="16278" spans="18:18" s="2" customFormat="1" ht="12.75" x14ac:dyDescent="0.2">
      <c r="R16278" s="1288"/>
    </row>
    <row r="16279" spans="18:18" s="2" customFormat="1" ht="12.75" x14ac:dyDescent="0.2">
      <c r="R16279" s="1288"/>
    </row>
    <row r="16280" spans="18:18" s="2" customFormat="1" ht="12.75" x14ac:dyDescent="0.2">
      <c r="R16280" s="1288"/>
    </row>
    <row r="16281" spans="18:18" s="2" customFormat="1" ht="12.75" x14ac:dyDescent="0.2">
      <c r="R16281" s="1288"/>
    </row>
    <row r="16282" spans="18:18" s="2" customFormat="1" ht="12.75" x14ac:dyDescent="0.2">
      <c r="R16282" s="1288"/>
    </row>
    <row r="16283" spans="18:18" s="2" customFormat="1" ht="12.75" x14ac:dyDescent="0.2">
      <c r="R16283" s="1288"/>
    </row>
    <row r="16284" spans="18:18" s="2" customFormat="1" ht="12.75" x14ac:dyDescent="0.2">
      <c r="R16284" s="1288"/>
    </row>
    <row r="16285" spans="18:18" s="2" customFormat="1" ht="12.75" x14ac:dyDescent="0.2">
      <c r="R16285" s="1288"/>
    </row>
    <row r="16286" spans="18:18" s="2" customFormat="1" ht="12.75" x14ac:dyDescent="0.2">
      <c r="R16286" s="1288"/>
    </row>
    <row r="16287" spans="18:18" s="2" customFormat="1" ht="12.75" x14ac:dyDescent="0.2">
      <c r="R16287" s="1288"/>
    </row>
    <row r="16288" spans="18:18" s="2" customFormat="1" ht="12.75" x14ac:dyDescent="0.2">
      <c r="R16288" s="1288"/>
    </row>
    <row r="16289" spans="18:18" s="2" customFormat="1" ht="12.75" x14ac:dyDescent="0.2">
      <c r="R16289" s="1288"/>
    </row>
    <row r="16290" spans="18:18" s="2" customFormat="1" ht="12.75" x14ac:dyDescent="0.2">
      <c r="R16290" s="1288"/>
    </row>
    <row r="16291" spans="18:18" s="2" customFormat="1" ht="12.75" x14ac:dyDescent="0.2">
      <c r="R16291" s="1288"/>
    </row>
    <row r="16292" spans="18:18" s="2" customFormat="1" ht="12.75" x14ac:dyDescent="0.2">
      <c r="R16292" s="1288"/>
    </row>
    <row r="16293" spans="18:18" s="2" customFormat="1" ht="12.75" x14ac:dyDescent="0.2">
      <c r="R16293" s="1288"/>
    </row>
    <row r="16294" spans="18:18" s="2" customFormat="1" ht="12.75" x14ac:dyDescent="0.2">
      <c r="R16294" s="1288"/>
    </row>
    <row r="16295" spans="18:18" s="2" customFormat="1" ht="12.75" x14ac:dyDescent="0.2">
      <c r="R16295" s="1288"/>
    </row>
    <row r="16296" spans="18:18" s="2" customFormat="1" ht="12.75" x14ac:dyDescent="0.2">
      <c r="R16296" s="1288"/>
    </row>
    <row r="16297" spans="18:18" s="2" customFormat="1" ht="12.75" x14ac:dyDescent="0.2">
      <c r="R16297" s="1288"/>
    </row>
    <row r="16298" spans="18:18" s="2" customFormat="1" ht="12.75" x14ac:dyDescent="0.2">
      <c r="R16298" s="1288"/>
    </row>
    <row r="16299" spans="18:18" s="2" customFormat="1" ht="12.75" x14ac:dyDescent="0.2">
      <c r="R16299" s="1288"/>
    </row>
    <row r="16300" spans="18:18" s="2" customFormat="1" ht="12.75" x14ac:dyDescent="0.2">
      <c r="R16300" s="1288"/>
    </row>
    <row r="16301" spans="18:18" s="2" customFormat="1" ht="12.75" x14ac:dyDescent="0.2">
      <c r="R16301" s="1288"/>
    </row>
    <row r="16302" spans="18:18" s="2" customFormat="1" ht="12.75" x14ac:dyDescent="0.2">
      <c r="R16302" s="1288"/>
    </row>
    <row r="16303" spans="18:18" s="2" customFormat="1" ht="12.75" x14ac:dyDescent="0.2">
      <c r="R16303" s="1288"/>
    </row>
    <row r="16304" spans="18:18" s="2" customFormat="1" ht="12.75" x14ac:dyDescent="0.2">
      <c r="R16304" s="1288"/>
    </row>
    <row r="16305" spans="18:18" s="2" customFormat="1" ht="12.75" x14ac:dyDescent="0.2">
      <c r="R16305" s="1288"/>
    </row>
    <row r="16306" spans="18:18" s="2" customFormat="1" ht="12.75" x14ac:dyDescent="0.2">
      <c r="R16306" s="1288"/>
    </row>
    <row r="16307" spans="18:18" s="2" customFormat="1" ht="12.75" x14ac:dyDescent="0.2">
      <c r="R16307" s="1288"/>
    </row>
    <row r="16308" spans="18:18" s="2" customFormat="1" ht="12.75" x14ac:dyDescent="0.2">
      <c r="R16308" s="1288"/>
    </row>
    <row r="16309" spans="18:18" s="2" customFormat="1" ht="12.75" x14ac:dyDescent="0.2">
      <c r="R16309" s="1288"/>
    </row>
    <row r="16310" spans="18:18" s="2" customFormat="1" ht="12.75" x14ac:dyDescent="0.2">
      <c r="R16310" s="1288"/>
    </row>
    <row r="16311" spans="18:18" s="2" customFormat="1" ht="12.75" x14ac:dyDescent="0.2">
      <c r="R16311" s="1288"/>
    </row>
    <row r="16312" spans="18:18" s="2" customFormat="1" ht="12.75" x14ac:dyDescent="0.2">
      <c r="R16312" s="1288"/>
    </row>
    <row r="16313" spans="18:18" s="2" customFormat="1" ht="12.75" x14ac:dyDescent="0.2">
      <c r="R16313" s="1288"/>
    </row>
    <row r="16314" spans="18:18" s="2" customFormat="1" ht="12.75" x14ac:dyDescent="0.2">
      <c r="R16314" s="1288"/>
    </row>
    <row r="16315" spans="18:18" s="2" customFormat="1" ht="12.75" x14ac:dyDescent="0.2">
      <c r="R16315" s="1288"/>
    </row>
    <row r="16316" spans="18:18" s="2" customFormat="1" ht="12.75" x14ac:dyDescent="0.2">
      <c r="R16316" s="1288"/>
    </row>
    <row r="16317" spans="18:18" s="2" customFormat="1" ht="12.75" x14ac:dyDescent="0.2">
      <c r="R16317" s="1288"/>
    </row>
    <row r="16318" spans="18:18" s="2" customFormat="1" ht="12.75" x14ac:dyDescent="0.2">
      <c r="R16318" s="1288"/>
    </row>
    <row r="16319" spans="18:18" s="2" customFormat="1" ht="12.75" x14ac:dyDescent="0.2">
      <c r="R16319" s="1288"/>
    </row>
    <row r="16320" spans="18:18" s="2" customFormat="1" ht="12.75" x14ac:dyDescent="0.2">
      <c r="R16320" s="1288"/>
    </row>
    <row r="16321" spans="18:18" s="2" customFormat="1" ht="12.75" x14ac:dyDescent="0.2">
      <c r="R16321" s="1288"/>
    </row>
    <row r="16322" spans="18:18" s="2" customFormat="1" ht="12.75" x14ac:dyDescent="0.2">
      <c r="R16322" s="1288"/>
    </row>
    <row r="16323" spans="18:18" s="2" customFormat="1" ht="12.75" x14ac:dyDescent="0.2">
      <c r="R16323" s="1288"/>
    </row>
    <row r="16324" spans="18:18" s="2" customFormat="1" ht="12.75" x14ac:dyDescent="0.2">
      <c r="R16324" s="1288"/>
    </row>
    <row r="16325" spans="18:18" s="2" customFormat="1" ht="12.75" x14ac:dyDescent="0.2">
      <c r="R16325" s="1288"/>
    </row>
    <row r="16326" spans="18:18" s="2" customFormat="1" ht="12.75" x14ac:dyDescent="0.2">
      <c r="R16326" s="1288"/>
    </row>
    <row r="16327" spans="18:18" s="2" customFormat="1" ht="12.75" x14ac:dyDescent="0.2">
      <c r="R16327" s="1288"/>
    </row>
    <row r="16328" spans="18:18" s="2" customFormat="1" ht="12.75" x14ac:dyDescent="0.2">
      <c r="R16328" s="1288"/>
    </row>
    <row r="16329" spans="18:18" s="2" customFormat="1" ht="12.75" x14ac:dyDescent="0.2">
      <c r="R16329" s="1288"/>
    </row>
    <row r="16330" spans="18:18" s="2" customFormat="1" ht="12.75" x14ac:dyDescent="0.2">
      <c r="R16330" s="1288"/>
    </row>
    <row r="16331" spans="18:18" s="2" customFormat="1" ht="12.75" x14ac:dyDescent="0.2">
      <c r="R16331" s="1288"/>
    </row>
    <row r="16332" spans="18:18" s="2" customFormat="1" ht="12.75" x14ac:dyDescent="0.2">
      <c r="R16332" s="1288"/>
    </row>
    <row r="16333" spans="18:18" s="2" customFormat="1" ht="12.75" x14ac:dyDescent="0.2">
      <c r="R16333" s="1288"/>
    </row>
    <row r="16334" spans="18:18" s="2" customFormat="1" ht="12.75" x14ac:dyDescent="0.2">
      <c r="R16334" s="1288"/>
    </row>
    <row r="16335" spans="18:18" s="2" customFormat="1" ht="12.75" x14ac:dyDescent="0.2">
      <c r="R16335" s="1288"/>
    </row>
    <row r="16336" spans="18:18" s="2" customFormat="1" ht="12.75" x14ac:dyDescent="0.2">
      <c r="R16336" s="1288"/>
    </row>
    <row r="16337" spans="18:18" s="2" customFormat="1" ht="12.75" x14ac:dyDescent="0.2">
      <c r="R16337" s="1288"/>
    </row>
    <row r="16338" spans="18:18" s="2" customFormat="1" ht="12.75" x14ac:dyDescent="0.2">
      <c r="R16338" s="1288"/>
    </row>
    <row r="16339" spans="18:18" s="2" customFormat="1" ht="12.75" x14ac:dyDescent="0.2">
      <c r="R16339" s="1288"/>
    </row>
    <row r="16340" spans="18:18" s="2" customFormat="1" ht="12.75" x14ac:dyDescent="0.2">
      <c r="R16340" s="1288"/>
    </row>
    <row r="16341" spans="18:18" s="2" customFormat="1" ht="12.75" x14ac:dyDescent="0.2">
      <c r="R16341" s="1288"/>
    </row>
    <row r="16342" spans="18:18" s="2" customFormat="1" ht="12.75" x14ac:dyDescent="0.2">
      <c r="R16342" s="1288"/>
    </row>
    <row r="16343" spans="18:18" s="2" customFormat="1" ht="12.75" x14ac:dyDescent="0.2">
      <c r="R16343" s="1288"/>
    </row>
    <row r="16344" spans="18:18" s="2" customFormat="1" ht="12.75" x14ac:dyDescent="0.2">
      <c r="R16344" s="1288"/>
    </row>
    <row r="16345" spans="18:18" s="2" customFormat="1" ht="12.75" x14ac:dyDescent="0.2">
      <c r="R16345" s="1288"/>
    </row>
    <row r="16346" spans="18:18" s="2" customFormat="1" ht="12.75" x14ac:dyDescent="0.2">
      <c r="R16346" s="1288"/>
    </row>
    <row r="16347" spans="18:18" s="2" customFormat="1" ht="12.75" x14ac:dyDescent="0.2">
      <c r="R16347" s="1288"/>
    </row>
    <row r="16348" spans="18:18" s="2" customFormat="1" ht="12.75" x14ac:dyDescent="0.2">
      <c r="R16348" s="1288"/>
    </row>
    <row r="16349" spans="18:18" s="2" customFormat="1" ht="12.75" x14ac:dyDescent="0.2">
      <c r="R16349" s="1288"/>
    </row>
    <row r="16350" spans="18:18" s="2" customFormat="1" ht="12.75" x14ac:dyDescent="0.2">
      <c r="R16350" s="1288"/>
    </row>
    <row r="16351" spans="18:18" s="2" customFormat="1" ht="12.75" x14ac:dyDescent="0.2">
      <c r="R16351" s="1288"/>
    </row>
    <row r="16352" spans="18:18" s="2" customFormat="1" ht="12.75" x14ac:dyDescent="0.2">
      <c r="R16352" s="1288"/>
    </row>
    <row r="16353" spans="18:18" s="2" customFormat="1" ht="12.75" x14ac:dyDescent="0.2">
      <c r="R16353" s="1288"/>
    </row>
    <row r="16354" spans="18:18" s="2" customFormat="1" ht="12.75" x14ac:dyDescent="0.2">
      <c r="R16354" s="1288"/>
    </row>
    <row r="16355" spans="18:18" s="2" customFormat="1" ht="12.75" x14ac:dyDescent="0.2">
      <c r="R16355" s="1288"/>
    </row>
    <row r="16356" spans="18:18" s="2" customFormat="1" ht="12.75" x14ac:dyDescent="0.2">
      <c r="R16356" s="1288"/>
    </row>
    <row r="16357" spans="18:18" s="2" customFormat="1" ht="12.75" x14ac:dyDescent="0.2">
      <c r="R16357" s="1288"/>
    </row>
    <row r="16358" spans="18:18" s="2" customFormat="1" ht="12.75" x14ac:dyDescent="0.2">
      <c r="R16358" s="1288"/>
    </row>
    <row r="16359" spans="18:18" s="2" customFormat="1" ht="12.75" x14ac:dyDescent="0.2">
      <c r="R16359" s="1288"/>
    </row>
    <row r="16360" spans="18:18" s="2" customFormat="1" ht="12.75" x14ac:dyDescent="0.2">
      <c r="R16360" s="1288"/>
    </row>
    <row r="16361" spans="18:18" s="2" customFormat="1" ht="12.75" x14ac:dyDescent="0.2">
      <c r="R16361" s="1288"/>
    </row>
    <row r="16362" spans="18:18" s="2" customFormat="1" ht="12.75" x14ac:dyDescent="0.2">
      <c r="R16362" s="1288"/>
    </row>
    <row r="16363" spans="18:18" s="2" customFormat="1" ht="12.75" x14ac:dyDescent="0.2">
      <c r="R16363" s="1288"/>
    </row>
    <row r="16364" spans="18:18" s="2" customFormat="1" ht="12.75" x14ac:dyDescent="0.2">
      <c r="R16364" s="1288"/>
    </row>
    <row r="16365" spans="18:18" s="2" customFormat="1" ht="12.75" x14ac:dyDescent="0.2">
      <c r="R16365" s="1288"/>
    </row>
    <row r="16366" spans="18:18" s="2" customFormat="1" ht="12.75" x14ac:dyDescent="0.2">
      <c r="R16366" s="1288"/>
    </row>
    <row r="16367" spans="18:18" s="2" customFormat="1" ht="12.75" x14ac:dyDescent="0.2">
      <c r="R16367" s="1288"/>
    </row>
    <row r="16368" spans="18:18" s="2" customFormat="1" ht="12.75" x14ac:dyDescent="0.2">
      <c r="R16368" s="1288"/>
    </row>
    <row r="16369" spans="18:18" s="2" customFormat="1" ht="12.75" x14ac:dyDescent="0.2">
      <c r="R16369" s="1288"/>
    </row>
    <row r="16370" spans="18:18" s="2" customFormat="1" ht="12.75" x14ac:dyDescent="0.2">
      <c r="R16370" s="1288"/>
    </row>
    <row r="16371" spans="18:18" s="2" customFormat="1" ht="12.75" x14ac:dyDescent="0.2">
      <c r="R16371" s="1288"/>
    </row>
    <row r="16372" spans="18:18" s="2" customFormat="1" ht="12.75" x14ac:dyDescent="0.2">
      <c r="R16372" s="1288"/>
    </row>
    <row r="16373" spans="18:18" s="2" customFormat="1" ht="12.75" x14ac:dyDescent="0.2">
      <c r="R16373" s="1288"/>
    </row>
    <row r="16374" spans="18:18" s="2" customFormat="1" ht="12.75" x14ac:dyDescent="0.2">
      <c r="R16374" s="1288"/>
    </row>
    <row r="16375" spans="18:18" s="2" customFormat="1" ht="12.75" x14ac:dyDescent="0.2">
      <c r="R16375" s="1288"/>
    </row>
    <row r="16376" spans="18:18" s="2" customFormat="1" ht="12.75" x14ac:dyDescent="0.2">
      <c r="R16376" s="1288"/>
    </row>
    <row r="16377" spans="18:18" s="2" customFormat="1" ht="12.75" x14ac:dyDescent="0.2">
      <c r="R16377" s="1288"/>
    </row>
    <row r="16378" spans="18:18" s="2" customFormat="1" ht="12.75" x14ac:dyDescent="0.2">
      <c r="R16378" s="1288"/>
    </row>
    <row r="16379" spans="18:18" s="2" customFormat="1" ht="12.75" x14ac:dyDescent="0.2">
      <c r="R16379" s="1288"/>
    </row>
    <row r="16380" spans="18:18" s="2" customFormat="1" ht="12.75" x14ac:dyDescent="0.2">
      <c r="R16380" s="1288"/>
    </row>
    <row r="16381" spans="18:18" s="2" customFormat="1" ht="12.75" x14ac:dyDescent="0.2">
      <c r="R16381" s="1288"/>
    </row>
    <row r="16382" spans="18:18" s="2" customFormat="1" ht="12.75" x14ac:dyDescent="0.2">
      <c r="R16382" s="1288"/>
    </row>
    <row r="16383" spans="18:18" s="2" customFormat="1" ht="12.75" x14ac:dyDescent="0.2">
      <c r="R16383" s="1288"/>
    </row>
    <row r="16384" spans="18:18" s="2" customFormat="1" ht="12.75" x14ac:dyDescent="0.2">
      <c r="R16384" s="1288"/>
    </row>
    <row r="16385" spans="18:18" s="2" customFormat="1" ht="12.75" x14ac:dyDescent="0.2">
      <c r="R16385" s="1288"/>
    </row>
    <row r="16386" spans="18:18" s="2" customFormat="1" ht="12.75" x14ac:dyDescent="0.2">
      <c r="R16386" s="1288"/>
    </row>
    <row r="16387" spans="18:18" s="2" customFormat="1" ht="12.75" x14ac:dyDescent="0.2">
      <c r="R16387" s="1288"/>
    </row>
    <row r="16388" spans="18:18" s="2" customFormat="1" ht="12.75" x14ac:dyDescent="0.2">
      <c r="R16388" s="1288"/>
    </row>
    <row r="16389" spans="18:18" s="2" customFormat="1" ht="12.75" x14ac:dyDescent="0.2">
      <c r="R16389" s="1288"/>
    </row>
    <row r="16390" spans="18:18" s="2" customFormat="1" ht="12.75" x14ac:dyDescent="0.2">
      <c r="R16390" s="1288"/>
    </row>
    <row r="16391" spans="18:18" s="2" customFormat="1" ht="12.75" x14ac:dyDescent="0.2">
      <c r="R16391" s="1288"/>
    </row>
    <row r="16392" spans="18:18" s="2" customFormat="1" ht="12.75" x14ac:dyDescent="0.2">
      <c r="R16392" s="1288"/>
    </row>
    <row r="16393" spans="18:18" s="2" customFormat="1" ht="12.75" x14ac:dyDescent="0.2">
      <c r="R16393" s="1288"/>
    </row>
    <row r="16394" spans="18:18" s="2" customFormat="1" ht="12.75" x14ac:dyDescent="0.2">
      <c r="R16394" s="1288"/>
    </row>
    <row r="16395" spans="18:18" s="2" customFormat="1" ht="12.75" x14ac:dyDescent="0.2">
      <c r="R16395" s="1288"/>
    </row>
    <row r="16396" spans="18:18" s="2" customFormat="1" ht="12.75" x14ac:dyDescent="0.2">
      <c r="R16396" s="1288"/>
    </row>
    <row r="16397" spans="18:18" s="2" customFormat="1" ht="12.75" x14ac:dyDescent="0.2">
      <c r="R16397" s="1288"/>
    </row>
    <row r="16398" spans="18:18" s="2" customFormat="1" ht="12.75" x14ac:dyDescent="0.2">
      <c r="R16398" s="1288"/>
    </row>
    <row r="16399" spans="18:18" s="2" customFormat="1" ht="12.75" x14ac:dyDescent="0.2">
      <c r="R16399" s="1288"/>
    </row>
    <row r="16400" spans="18:18" s="2" customFormat="1" ht="12.75" x14ac:dyDescent="0.2">
      <c r="R16400" s="1288"/>
    </row>
    <row r="16401" spans="18:18" s="2" customFormat="1" ht="12.75" x14ac:dyDescent="0.2">
      <c r="R16401" s="1288"/>
    </row>
    <row r="16402" spans="18:18" s="2" customFormat="1" ht="12.75" x14ac:dyDescent="0.2">
      <c r="R16402" s="1288"/>
    </row>
    <row r="16403" spans="18:18" s="2" customFormat="1" ht="12.75" x14ac:dyDescent="0.2">
      <c r="R16403" s="1288"/>
    </row>
    <row r="16404" spans="18:18" s="2" customFormat="1" ht="12.75" x14ac:dyDescent="0.2">
      <c r="R16404" s="1288"/>
    </row>
    <row r="16405" spans="18:18" s="2" customFormat="1" ht="12.75" x14ac:dyDescent="0.2">
      <c r="R16405" s="1288"/>
    </row>
    <row r="16406" spans="18:18" s="2" customFormat="1" ht="12.75" x14ac:dyDescent="0.2">
      <c r="R16406" s="1288"/>
    </row>
    <row r="16407" spans="18:18" s="2" customFormat="1" ht="12.75" x14ac:dyDescent="0.2">
      <c r="R16407" s="1288"/>
    </row>
    <row r="16408" spans="18:18" s="2" customFormat="1" ht="12.75" x14ac:dyDescent="0.2">
      <c r="R16408" s="1288"/>
    </row>
    <row r="16409" spans="18:18" s="2" customFormat="1" ht="12.75" x14ac:dyDescent="0.2">
      <c r="R16409" s="1288"/>
    </row>
    <row r="16410" spans="18:18" s="2" customFormat="1" ht="12.75" x14ac:dyDescent="0.2">
      <c r="R16410" s="1288"/>
    </row>
    <row r="16411" spans="18:18" s="2" customFormat="1" ht="12.75" x14ac:dyDescent="0.2">
      <c r="R16411" s="1288"/>
    </row>
    <row r="16412" spans="18:18" s="2" customFormat="1" ht="12.75" x14ac:dyDescent="0.2">
      <c r="R16412" s="1288"/>
    </row>
    <row r="16413" spans="18:18" s="2" customFormat="1" ht="12.75" x14ac:dyDescent="0.2">
      <c r="R16413" s="1288"/>
    </row>
    <row r="16414" spans="18:18" s="2" customFormat="1" ht="12.75" x14ac:dyDescent="0.2">
      <c r="R16414" s="1288"/>
    </row>
    <row r="16415" spans="18:18" s="2" customFormat="1" ht="12.75" x14ac:dyDescent="0.2">
      <c r="R16415" s="1288"/>
    </row>
    <row r="16416" spans="18:18" s="2" customFormat="1" ht="12.75" x14ac:dyDescent="0.2">
      <c r="R16416" s="1288"/>
    </row>
    <row r="16417" spans="18:18" s="2" customFormat="1" ht="12.75" x14ac:dyDescent="0.2">
      <c r="R16417" s="1288"/>
    </row>
    <row r="16418" spans="18:18" s="2" customFormat="1" ht="12.75" x14ac:dyDescent="0.2">
      <c r="R16418" s="1288"/>
    </row>
    <row r="16419" spans="18:18" s="2" customFormat="1" ht="12.75" x14ac:dyDescent="0.2">
      <c r="R16419" s="1288"/>
    </row>
    <row r="16420" spans="18:18" s="2" customFormat="1" ht="12.75" x14ac:dyDescent="0.2">
      <c r="R16420" s="1288"/>
    </row>
    <row r="16421" spans="18:18" s="2" customFormat="1" ht="12.75" x14ac:dyDescent="0.2">
      <c r="R16421" s="1288"/>
    </row>
    <row r="16422" spans="18:18" s="2" customFormat="1" ht="12.75" x14ac:dyDescent="0.2">
      <c r="R16422" s="1288"/>
    </row>
    <row r="16423" spans="18:18" s="2" customFormat="1" ht="12.75" x14ac:dyDescent="0.2">
      <c r="R16423" s="1288"/>
    </row>
    <row r="16424" spans="18:18" s="2" customFormat="1" ht="12.75" x14ac:dyDescent="0.2">
      <c r="R16424" s="1288"/>
    </row>
    <row r="16425" spans="18:18" s="2" customFormat="1" ht="12.75" x14ac:dyDescent="0.2">
      <c r="R16425" s="1288"/>
    </row>
    <row r="16426" spans="18:18" s="2" customFormat="1" ht="12.75" x14ac:dyDescent="0.2">
      <c r="R16426" s="1288"/>
    </row>
    <row r="16427" spans="18:18" s="2" customFormat="1" ht="12.75" x14ac:dyDescent="0.2">
      <c r="R16427" s="1288"/>
    </row>
    <row r="16428" spans="18:18" s="2" customFormat="1" ht="12.75" x14ac:dyDescent="0.2">
      <c r="R16428" s="1288"/>
    </row>
    <row r="16429" spans="18:18" s="2" customFormat="1" ht="12.75" x14ac:dyDescent="0.2">
      <c r="R16429" s="1288"/>
    </row>
    <row r="16430" spans="18:18" s="2" customFormat="1" ht="12.75" x14ac:dyDescent="0.2">
      <c r="R16430" s="1288"/>
    </row>
    <row r="16431" spans="18:18" s="2" customFormat="1" ht="12.75" x14ac:dyDescent="0.2">
      <c r="R16431" s="1288"/>
    </row>
    <row r="16432" spans="18:18" s="2" customFormat="1" ht="12.75" x14ac:dyDescent="0.2">
      <c r="R16432" s="1288"/>
    </row>
    <row r="16433" spans="18:18" s="2" customFormat="1" ht="12.75" x14ac:dyDescent="0.2">
      <c r="R16433" s="1288"/>
    </row>
    <row r="16434" spans="18:18" s="2" customFormat="1" ht="12.75" x14ac:dyDescent="0.2">
      <c r="R16434" s="1288"/>
    </row>
    <row r="16435" spans="18:18" s="2" customFormat="1" ht="12.75" x14ac:dyDescent="0.2">
      <c r="R16435" s="1288"/>
    </row>
    <row r="16436" spans="18:18" s="2" customFormat="1" ht="12.75" x14ac:dyDescent="0.2">
      <c r="R16436" s="1288"/>
    </row>
    <row r="16437" spans="18:18" s="2" customFormat="1" ht="12.75" x14ac:dyDescent="0.2">
      <c r="R16437" s="1288"/>
    </row>
    <row r="16438" spans="18:18" s="2" customFormat="1" ht="12.75" x14ac:dyDescent="0.2">
      <c r="R16438" s="1288"/>
    </row>
    <row r="16439" spans="18:18" s="2" customFormat="1" ht="12.75" x14ac:dyDescent="0.2">
      <c r="R16439" s="1288"/>
    </row>
    <row r="16440" spans="18:18" s="2" customFormat="1" ht="12.75" x14ac:dyDescent="0.2">
      <c r="R16440" s="1288"/>
    </row>
    <row r="16441" spans="18:18" s="2" customFormat="1" ht="12.75" x14ac:dyDescent="0.2">
      <c r="R16441" s="1288"/>
    </row>
    <row r="16442" spans="18:18" s="2" customFormat="1" ht="12.75" x14ac:dyDescent="0.2">
      <c r="R16442" s="1288"/>
    </row>
    <row r="16443" spans="18:18" s="2" customFormat="1" ht="12.75" x14ac:dyDescent="0.2">
      <c r="R16443" s="1288"/>
    </row>
    <row r="16444" spans="18:18" s="2" customFormat="1" ht="12.75" x14ac:dyDescent="0.2">
      <c r="R16444" s="1288"/>
    </row>
    <row r="16445" spans="18:18" s="2" customFormat="1" ht="12.75" x14ac:dyDescent="0.2">
      <c r="R16445" s="1288"/>
    </row>
    <row r="16446" spans="18:18" s="2" customFormat="1" ht="12.75" x14ac:dyDescent="0.2">
      <c r="R16446" s="1288"/>
    </row>
    <row r="16447" spans="18:18" s="2" customFormat="1" ht="12.75" x14ac:dyDescent="0.2">
      <c r="R16447" s="1288"/>
    </row>
    <row r="16448" spans="18:18" s="2" customFormat="1" ht="12.75" x14ac:dyDescent="0.2">
      <c r="R16448" s="1288"/>
    </row>
    <row r="16449" spans="18:18" s="2" customFormat="1" ht="12.75" x14ac:dyDescent="0.2">
      <c r="R16449" s="1288"/>
    </row>
    <row r="16450" spans="18:18" s="2" customFormat="1" ht="12.75" x14ac:dyDescent="0.2">
      <c r="R16450" s="1288"/>
    </row>
    <row r="16451" spans="18:18" s="2" customFormat="1" ht="12.75" x14ac:dyDescent="0.2">
      <c r="R16451" s="1288"/>
    </row>
    <row r="16452" spans="18:18" s="2" customFormat="1" ht="12.75" x14ac:dyDescent="0.2">
      <c r="R16452" s="1288"/>
    </row>
    <row r="16453" spans="18:18" s="2" customFormat="1" ht="12.75" x14ac:dyDescent="0.2">
      <c r="R16453" s="1288"/>
    </row>
    <row r="16454" spans="18:18" s="2" customFormat="1" ht="12.75" x14ac:dyDescent="0.2">
      <c r="R16454" s="1288"/>
    </row>
    <row r="16455" spans="18:18" s="2" customFormat="1" ht="12.75" x14ac:dyDescent="0.2">
      <c r="R16455" s="1288"/>
    </row>
    <row r="16456" spans="18:18" s="2" customFormat="1" ht="12.75" x14ac:dyDescent="0.2">
      <c r="R16456" s="1288"/>
    </row>
    <row r="16457" spans="18:18" s="2" customFormat="1" ht="12.75" x14ac:dyDescent="0.2">
      <c r="R16457" s="1288"/>
    </row>
    <row r="16458" spans="18:18" s="2" customFormat="1" ht="12.75" x14ac:dyDescent="0.2">
      <c r="R16458" s="1288"/>
    </row>
    <row r="16459" spans="18:18" s="2" customFormat="1" ht="12.75" x14ac:dyDescent="0.2">
      <c r="R16459" s="1288"/>
    </row>
    <row r="16460" spans="18:18" s="2" customFormat="1" ht="12.75" x14ac:dyDescent="0.2">
      <c r="R16460" s="1288"/>
    </row>
    <row r="16461" spans="18:18" s="2" customFormat="1" ht="12.75" x14ac:dyDescent="0.2">
      <c r="R16461" s="1288"/>
    </row>
    <row r="16462" spans="18:18" s="2" customFormat="1" ht="12.75" x14ac:dyDescent="0.2">
      <c r="R16462" s="1288"/>
    </row>
    <row r="16463" spans="18:18" s="2" customFormat="1" ht="12.75" x14ac:dyDescent="0.2">
      <c r="R16463" s="1288"/>
    </row>
    <row r="16464" spans="18:18" s="2" customFormat="1" ht="12.75" x14ac:dyDescent="0.2">
      <c r="R16464" s="1288"/>
    </row>
    <row r="16465" spans="18:18" s="2" customFormat="1" ht="12.75" x14ac:dyDescent="0.2">
      <c r="R16465" s="1288"/>
    </row>
    <row r="16466" spans="18:18" s="2" customFormat="1" ht="12.75" x14ac:dyDescent="0.2">
      <c r="R16466" s="1288"/>
    </row>
    <row r="16467" spans="18:18" s="2" customFormat="1" ht="12.75" x14ac:dyDescent="0.2">
      <c r="R16467" s="1288"/>
    </row>
    <row r="16468" spans="18:18" s="2" customFormat="1" ht="12.75" x14ac:dyDescent="0.2">
      <c r="R16468" s="1288"/>
    </row>
    <row r="16469" spans="18:18" s="2" customFormat="1" ht="12.75" x14ac:dyDescent="0.2">
      <c r="R16469" s="1288"/>
    </row>
    <row r="16470" spans="18:18" s="2" customFormat="1" ht="12.75" x14ac:dyDescent="0.2">
      <c r="R16470" s="1288"/>
    </row>
    <row r="16471" spans="18:18" s="2" customFormat="1" ht="12.75" x14ac:dyDescent="0.2">
      <c r="R16471" s="1288"/>
    </row>
    <row r="16472" spans="18:18" s="2" customFormat="1" ht="12.75" x14ac:dyDescent="0.2">
      <c r="R16472" s="1288"/>
    </row>
    <row r="16473" spans="18:18" s="2" customFormat="1" ht="12.75" x14ac:dyDescent="0.2">
      <c r="R16473" s="1288"/>
    </row>
    <row r="16474" spans="18:18" s="2" customFormat="1" ht="12.75" x14ac:dyDescent="0.2">
      <c r="R16474" s="1288"/>
    </row>
    <row r="16475" spans="18:18" s="2" customFormat="1" ht="12.75" x14ac:dyDescent="0.2">
      <c r="R16475" s="1288"/>
    </row>
    <row r="16476" spans="18:18" s="2" customFormat="1" ht="12.75" x14ac:dyDescent="0.2">
      <c r="R16476" s="1288"/>
    </row>
    <row r="16477" spans="18:18" s="2" customFormat="1" ht="12.75" x14ac:dyDescent="0.2">
      <c r="R16477" s="1288"/>
    </row>
    <row r="16478" spans="18:18" s="2" customFormat="1" ht="12.75" x14ac:dyDescent="0.2">
      <c r="R16478" s="1288"/>
    </row>
    <row r="16479" spans="18:18" s="2" customFormat="1" ht="12.75" x14ac:dyDescent="0.2">
      <c r="R16479" s="1288"/>
    </row>
    <row r="16480" spans="18:18" s="2" customFormat="1" ht="12.75" x14ac:dyDescent="0.2">
      <c r="R16480" s="1288"/>
    </row>
    <row r="16481" spans="18:18" s="2" customFormat="1" ht="12.75" x14ac:dyDescent="0.2">
      <c r="R16481" s="1288"/>
    </row>
    <row r="16482" spans="18:18" s="2" customFormat="1" ht="12.75" x14ac:dyDescent="0.2">
      <c r="R16482" s="1288"/>
    </row>
    <row r="16483" spans="18:18" s="2" customFormat="1" ht="12.75" x14ac:dyDescent="0.2">
      <c r="R16483" s="1288"/>
    </row>
    <row r="16484" spans="18:18" s="2" customFormat="1" ht="12.75" x14ac:dyDescent="0.2">
      <c r="R16484" s="1288"/>
    </row>
    <row r="16485" spans="18:18" s="2" customFormat="1" ht="12.75" x14ac:dyDescent="0.2">
      <c r="R16485" s="1288"/>
    </row>
    <row r="16486" spans="18:18" s="2" customFormat="1" ht="12.75" x14ac:dyDescent="0.2">
      <c r="R16486" s="1288"/>
    </row>
    <row r="16487" spans="18:18" s="2" customFormat="1" ht="12.75" x14ac:dyDescent="0.2">
      <c r="R16487" s="1288"/>
    </row>
    <row r="16488" spans="18:18" s="2" customFormat="1" ht="12.75" x14ac:dyDescent="0.2">
      <c r="R16488" s="1288"/>
    </row>
    <row r="16489" spans="18:18" s="2" customFormat="1" ht="12.75" x14ac:dyDescent="0.2">
      <c r="R16489" s="1288"/>
    </row>
    <row r="16490" spans="18:18" s="2" customFormat="1" ht="12.75" x14ac:dyDescent="0.2">
      <c r="R16490" s="1288"/>
    </row>
    <row r="16491" spans="18:18" s="2" customFormat="1" ht="12.75" x14ac:dyDescent="0.2">
      <c r="R16491" s="1288"/>
    </row>
    <row r="16492" spans="18:18" s="2" customFormat="1" ht="12.75" x14ac:dyDescent="0.2">
      <c r="R16492" s="1288"/>
    </row>
    <row r="16493" spans="18:18" s="2" customFormat="1" ht="12.75" x14ac:dyDescent="0.2">
      <c r="R16493" s="1288"/>
    </row>
    <row r="16494" spans="18:18" s="2" customFormat="1" ht="12.75" x14ac:dyDescent="0.2">
      <c r="R16494" s="1288"/>
    </row>
    <row r="16495" spans="18:18" s="2" customFormat="1" ht="12.75" x14ac:dyDescent="0.2">
      <c r="R16495" s="1288"/>
    </row>
    <row r="16496" spans="18:18" s="2" customFormat="1" ht="12.75" x14ac:dyDescent="0.2">
      <c r="R16496" s="1288"/>
    </row>
    <row r="16497" spans="18:18" s="2" customFormat="1" ht="12.75" x14ac:dyDescent="0.2">
      <c r="R16497" s="1288"/>
    </row>
    <row r="16498" spans="18:18" s="2" customFormat="1" ht="12.75" x14ac:dyDescent="0.2">
      <c r="R16498" s="1288"/>
    </row>
    <row r="16499" spans="18:18" s="2" customFormat="1" ht="12.75" x14ac:dyDescent="0.2">
      <c r="R16499" s="1288"/>
    </row>
    <row r="16500" spans="18:18" s="2" customFormat="1" ht="12.75" x14ac:dyDescent="0.2">
      <c r="R16500" s="1288"/>
    </row>
    <row r="16501" spans="18:18" s="2" customFormat="1" ht="12.75" x14ac:dyDescent="0.2">
      <c r="R16501" s="1288"/>
    </row>
    <row r="16502" spans="18:18" s="2" customFormat="1" ht="12.75" x14ac:dyDescent="0.2">
      <c r="R16502" s="1288"/>
    </row>
    <row r="16503" spans="18:18" s="2" customFormat="1" ht="12.75" x14ac:dyDescent="0.2">
      <c r="R16503" s="1288"/>
    </row>
    <row r="16504" spans="18:18" s="2" customFormat="1" ht="12.75" x14ac:dyDescent="0.2">
      <c r="R16504" s="1288"/>
    </row>
    <row r="16505" spans="18:18" s="2" customFormat="1" ht="12.75" x14ac:dyDescent="0.2">
      <c r="R16505" s="1288"/>
    </row>
    <row r="16506" spans="18:18" s="2" customFormat="1" ht="12.75" x14ac:dyDescent="0.2">
      <c r="R16506" s="1288"/>
    </row>
    <row r="16507" spans="18:18" s="2" customFormat="1" ht="12.75" x14ac:dyDescent="0.2">
      <c r="R16507" s="1288"/>
    </row>
    <row r="16508" spans="18:18" s="2" customFormat="1" ht="12.75" x14ac:dyDescent="0.2">
      <c r="R16508" s="1288"/>
    </row>
    <row r="16509" spans="18:18" s="2" customFormat="1" ht="12.75" x14ac:dyDescent="0.2">
      <c r="R16509" s="1288"/>
    </row>
    <row r="16510" spans="18:18" s="2" customFormat="1" ht="12.75" x14ac:dyDescent="0.2">
      <c r="R16510" s="1288"/>
    </row>
    <row r="16511" spans="18:18" s="2" customFormat="1" ht="12.75" x14ac:dyDescent="0.2">
      <c r="R16511" s="1288"/>
    </row>
    <row r="16512" spans="18:18" s="2" customFormat="1" ht="12.75" x14ac:dyDescent="0.2">
      <c r="R16512" s="1288"/>
    </row>
    <row r="16513" spans="18:18" s="2" customFormat="1" ht="12.75" x14ac:dyDescent="0.2">
      <c r="R16513" s="1288"/>
    </row>
    <row r="16514" spans="18:18" s="2" customFormat="1" ht="12.75" x14ac:dyDescent="0.2">
      <c r="R16514" s="1288"/>
    </row>
    <row r="16515" spans="18:18" s="2" customFormat="1" ht="12.75" x14ac:dyDescent="0.2">
      <c r="R16515" s="1288"/>
    </row>
    <row r="16516" spans="18:18" s="2" customFormat="1" ht="12.75" x14ac:dyDescent="0.2">
      <c r="R16516" s="1288"/>
    </row>
    <row r="16517" spans="18:18" s="2" customFormat="1" ht="12.75" x14ac:dyDescent="0.2">
      <c r="R16517" s="1288"/>
    </row>
    <row r="16518" spans="18:18" s="2" customFormat="1" ht="12.75" x14ac:dyDescent="0.2">
      <c r="R16518" s="1288"/>
    </row>
    <row r="16519" spans="18:18" s="2" customFormat="1" ht="12.75" x14ac:dyDescent="0.2">
      <c r="R16519" s="1288"/>
    </row>
    <row r="16520" spans="18:18" s="2" customFormat="1" ht="12.75" x14ac:dyDescent="0.2">
      <c r="R16520" s="1288"/>
    </row>
    <row r="16521" spans="18:18" s="2" customFormat="1" ht="12.75" x14ac:dyDescent="0.2">
      <c r="R16521" s="1288"/>
    </row>
    <row r="16522" spans="18:18" s="2" customFormat="1" ht="12.75" x14ac:dyDescent="0.2">
      <c r="R16522" s="1288"/>
    </row>
    <row r="16523" spans="18:18" s="2" customFormat="1" ht="12.75" x14ac:dyDescent="0.2">
      <c r="R16523" s="1288"/>
    </row>
    <row r="16524" spans="18:18" s="2" customFormat="1" ht="12.75" x14ac:dyDescent="0.2">
      <c r="R16524" s="1288"/>
    </row>
    <row r="16525" spans="18:18" s="2" customFormat="1" ht="12.75" x14ac:dyDescent="0.2">
      <c r="R16525" s="1288"/>
    </row>
    <row r="16526" spans="18:18" s="2" customFormat="1" ht="12.75" x14ac:dyDescent="0.2">
      <c r="R16526" s="1288"/>
    </row>
    <row r="16527" spans="18:18" s="2" customFormat="1" ht="12.75" x14ac:dyDescent="0.2">
      <c r="R16527" s="1288"/>
    </row>
    <row r="16528" spans="18:18" s="2" customFormat="1" ht="12.75" x14ac:dyDescent="0.2">
      <c r="R16528" s="1288"/>
    </row>
    <row r="16529" spans="18:18" s="2" customFormat="1" ht="12.75" x14ac:dyDescent="0.2">
      <c r="R16529" s="1288"/>
    </row>
    <row r="16530" spans="18:18" s="2" customFormat="1" ht="12.75" x14ac:dyDescent="0.2">
      <c r="R16530" s="1288"/>
    </row>
    <row r="16531" spans="18:18" s="2" customFormat="1" ht="12.75" x14ac:dyDescent="0.2">
      <c r="R16531" s="1288"/>
    </row>
    <row r="16532" spans="18:18" s="2" customFormat="1" ht="12.75" x14ac:dyDescent="0.2">
      <c r="R16532" s="1288"/>
    </row>
    <row r="16533" spans="18:18" s="2" customFormat="1" ht="12.75" x14ac:dyDescent="0.2">
      <c r="R16533" s="1288"/>
    </row>
    <row r="16534" spans="18:18" s="2" customFormat="1" ht="12.75" x14ac:dyDescent="0.2">
      <c r="R16534" s="1288"/>
    </row>
    <row r="16535" spans="18:18" s="2" customFormat="1" ht="12.75" x14ac:dyDescent="0.2">
      <c r="R16535" s="1288"/>
    </row>
    <row r="16536" spans="18:18" s="2" customFormat="1" ht="12.75" x14ac:dyDescent="0.2">
      <c r="R16536" s="1288"/>
    </row>
    <row r="16537" spans="18:18" s="2" customFormat="1" ht="12.75" x14ac:dyDescent="0.2">
      <c r="R16537" s="1288"/>
    </row>
    <row r="16538" spans="18:18" s="2" customFormat="1" ht="12.75" x14ac:dyDescent="0.2">
      <c r="R16538" s="1288"/>
    </row>
    <row r="16539" spans="18:18" s="2" customFormat="1" ht="12.75" x14ac:dyDescent="0.2">
      <c r="R16539" s="1288"/>
    </row>
    <row r="16540" spans="18:18" s="2" customFormat="1" ht="12.75" x14ac:dyDescent="0.2">
      <c r="R16540" s="1288"/>
    </row>
    <row r="16541" spans="18:18" s="2" customFormat="1" ht="12.75" x14ac:dyDescent="0.2">
      <c r="R16541" s="1288"/>
    </row>
    <row r="16542" spans="18:18" s="2" customFormat="1" ht="12.75" x14ac:dyDescent="0.2">
      <c r="R16542" s="1288"/>
    </row>
    <row r="16543" spans="18:18" s="2" customFormat="1" ht="12.75" x14ac:dyDescent="0.2">
      <c r="R16543" s="1288"/>
    </row>
    <row r="16544" spans="18:18" s="2" customFormat="1" ht="12.75" x14ac:dyDescent="0.2">
      <c r="R16544" s="1288"/>
    </row>
    <row r="16545" spans="18:18" s="2" customFormat="1" ht="12.75" x14ac:dyDescent="0.2">
      <c r="R16545" s="1288"/>
    </row>
    <row r="16546" spans="18:18" s="2" customFormat="1" ht="12.75" x14ac:dyDescent="0.2">
      <c r="R16546" s="1288"/>
    </row>
    <row r="16547" spans="18:18" s="2" customFormat="1" ht="12.75" x14ac:dyDescent="0.2">
      <c r="R16547" s="1288"/>
    </row>
    <row r="16548" spans="18:18" s="2" customFormat="1" ht="12.75" x14ac:dyDescent="0.2">
      <c r="R16548" s="1288"/>
    </row>
    <row r="16549" spans="18:18" s="2" customFormat="1" ht="12.75" x14ac:dyDescent="0.2">
      <c r="R16549" s="1288"/>
    </row>
    <row r="16550" spans="18:18" s="2" customFormat="1" ht="12.75" x14ac:dyDescent="0.2">
      <c r="R16550" s="1288"/>
    </row>
    <row r="16551" spans="18:18" s="2" customFormat="1" ht="12.75" x14ac:dyDescent="0.2">
      <c r="R16551" s="1288"/>
    </row>
    <row r="16552" spans="18:18" s="2" customFormat="1" ht="12.75" x14ac:dyDescent="0.2">
      <c r="R16552" s="1288"/>
    </row>
    <row r="16553" spans="18:18" s="2" customFormat="1" ht="12.75" x14ac:dyDescent="0.2">
      <c r="R16553" s="1288"/>
    </row>
    <row r="16554" spans="18:18" s="2" customFormat="1" ht="12.75" x14ac:dyDescent="0.2">
      <c r="R16554" s="1288"/>
    </row>
    <row r="16555" spans="18:18" s="2" customFormat="1" ht="12.75" x14ac:dyDescent="0.2">
      <c r="R16555" s="1288"/>
    </row>
    <row r="16556" spans="18:18" s="2" customFormat="1" ht="12.75" x14ac:dyDescent="0.2">
      <c r="R16556" s="1288"/>
    </row>
    <row r="16557" spans="18:18" s="2" customFormat="1" ht="12.75" x14ac:dyDescent="0.2">
      <c r="R16557" s="1288"/>
    </row>
    <row r="16558" spans="18:18" s="2" customFormat="1" ht="12.75" x14ac:dyDescent="0.2">
      <c r="R16558" s="1288"/>
    </row>
    <row r="16559" spans="18:18" s="2" customFormat="1" ht="12.75" x14ac:dyDescent="0.2">
      <c r="R16559" s="1288"/>
    </row>
    <row r="16560" spans="18:18" s="2" customFormat="1" ht="12.75" x14ac:dyDescent="0.2">
      <c r="R16560" s="1288"/>
    </row>
    <row r="16561" spans="18:18" s="2" customFormat="1" ht="12.75" x14ac:dyDescent="0.2">
      <c r="R16561" s="1288"/>
    </row>
    <row r="16562" spans="18:18" s="2" customFormat="1" ht="12.75" x14ac:dyDescent="0.2">
      <c r="R16562" s="1288"/>
    </row>
    <row r="16563" spans="18:18" s="2" customFormat="1" ht="12.75" x14ac:dyDescent="0.2">
      <c r="R16563" s="1288"/>
    </row>
    <row r="16564" spans="18:18" s="2" customFormat="1" ht="12.75" x14ac:dyDescent="0.2">
      <c r="R16564" s="1288"/>
    </row>
    <row r="16565" spans="18:18" s="2" customFormat="1" ht="12.75" x14ac:dyDescent="0.2">
      <c r="R16565" s="1288"/>
    </row>
    <row r="16566" spans="18:18" s="2" customFormat="1" ht="12.75" x14ac:dyDescent="0.2">
      <c r="R16566" s="1288"/>
    </row>
    <row r="16567" spans="18:18" s="2" customFormat="1" ht="12.75" x14ac:dyDescent="0.2">
      <c r="R16567" s="1288"/>
    </row>
    <row r="16568" spans="18:18" s="2" customFormat="1" ht="12.75" x14ac:dyDescent="0.2">
      <c r="R16568" s="1288"/>
    </row>
    <row r="16569" spans="18:18" s="2" customFormat="1" ht="12.75" x14ac:dyDescent="0.2">
      <c r="R16569" s="1288"/>
    </row>
    <row r="16570" spans="18:18" s="2" customFormat="1" ht="12.75" x14ac:dyDescent="0.2">
      <c r="R16570" s="1288"/>
    </row>
    <row r="16571" spans="18:18" s="2" customFormat="1" ht="12.75" x14ac:dyDescent="0.2">
      <c r="R16571" s="1288"/>
    </row>
    <row r="16572" spans="18:18" s="2" customFormat="1" ht="12.75" x14ac:dyDescent="0.2">
      <c r="R16572" s="1288"/>
    </row>
    <row r="16573" spans="18:18" s="2" customFormat="1" ht="12.75" x14ac:dyDescent="0.2">
      <c r="R16573" s="1288"/>
    </row>
    <row r="16574" spans="18:18" s="2" customFormat="1" ht="12.75" x14ac:dyDescent="0.2">
      <c r="R16574" s="1288"/>
    </row>
    <row r="16575" spans="18:18" s="2" customFormat="1" ht="12.75" x14ac:dyDescent="0.2">
      <c r="R16575" s="1288"/>
    </row>
    <row r="16576" spans="18:18" s="2" customFormat="1" ht="12.75" x14ac:dyDescent="0.2">
      <c r="R16576" s="1288"/>
    </row>
    <row r="16577" spans="18:18" s="2" customFormat="1" ht="12.75" x14ac:dyDescent="0.2">
      <c r="R16577" s="1288"/>
    </row>
    <row r="16578" spans="18:18" s="2" customFormat="1" ht="12.75" x14ac:dyDescent="0.2">
      <c r="R16578" s="1288"/>
    </row>
    <row r="16579" spans="18:18" s="2" customFormat="1" ht="12.75" x14ac:dyDescent="0.2">
      <c r="R16579" s="1288"/>
    </row>
    <row r="16580" spans="18:18" s="2" customFormat="1" ht="12.75" x14ac:dyDescent="0.2">
      <c r="R16580" s="1288"/>
    </row>
    <row r="16581" spans="18:18" s="2" customFormat="1" ht="12.75" x14ac:dyDescent="0.2">
      <c r="R16581" s="1288"/>
    </row>
    <row r="16582" spans="18:18" s="2" customFormat="1" ht="12.75" x14ac:dyDescent="0.2">
      <c r="R16582" s="1288"/>
    </row>
    <row r="16583" spans="18:18" s="2" customFormat="1" ht="12.75" x14ac:dyDescent="0.2">
      <c r="R16583" s="1288"/>
    </row>
    <row r="16584" spans="18:18" s="2" customFormat="1" ht="12.75" x14ac:dyDescent="0.2">
      <c r="R16584" s="1288"/>
    </row>
    <row r="16585" spans="18:18" s="2" customFormat="1" ht="12.75" x14ac:dyDescent="0.2">
      <c r="R16585" s="1288"/>
    </row>
    <row r="16586" spans="18:18" s="2" customFormat="1" ht="12.75" x14ac:dyDescent="0.2">
      <c r="R16586" s="1288"/>
    </row>
    <row r="16587" spans="18:18" s="2" customFormat="1" ht="12.75" x14ac:dyDescent="0.2">
      <c r="R16587" s="1288"/>
    </row>
    <row r="16588" spans="18:18" s="2" customFormat="1" ht="12.75" x14ac:dyDescent="0.2">
      <c r="R16588" s="1288"/>
    </row>
    <row r="16589" spans="18:18" s="2" customFormat="1" ht="12.75" x14ac:dyDescent="0.2">
      <c r="R16589" s="1288"/>
    </row>
    <row r="16590" spans="18:18" s="2" customFormat="1" ht="12.75" x14ac:dyDescent="0.2">
      <c r="R16590" s="1288"/>
    </row>
    <row r="16591" spans="18:18" s="2" customFormat="1" ht="12.75" x14ac:dyDescent="0.2">
      <c r="R16591" s="1288"/>
    </row>
    <row r="16592" spans="18:18" s="2" customFormat="1" ht="12.75" x14ac:dyDescent="0.2">
      <c r="R16592" s="1288"/>
    </row>
    <row r="16593" spans="18:18" s="2" customFormat="1" ht="12.75" x14ac:dyDescent="0.2">
      <c r="R16593" s="1288"/>
    </row>
    <row r="16594" spans="18:18" s="2" customFormat="1" ht="12.75" x14ac:dyDescent="0.2">
      <c r="R16594" s="1288"/>
    </row>
    <row r="16595" spans="18:18" s="2" customFormat="1" ht="12.75" x14ac:dyDescent="0.2">
      <c r="R16595" s="1288"/>
    </row>
    <row r="16596" spans="18:18" s="2" customFormat="1" ht="12.75" x14ac:dyDescent="0.2">
      <c r="R16596" s="1288"/>
    </row>
    <row r="16597" spans="18:18" s="2" customFormat="1" ht="12.75" x14ac:dyDescent="0.2">
      <c r="R16597" s="1288"/>
    </row>
    <row r="16598" spans="18:18" s="2" customFormat="1" ht="12.75" x14ac:dyDescent="0.2">
      <c r="R16598" s="1288"/>
    </row>
    <row r="16599" spans="18:18" s="2" customFormat="1" ht="12.75" x14ac:dyDescent="0.2">
      <c r="R16599" s="1288"/>
    </row>
    <row r="16600" spans="18:18" s="2" customFormat="1" ht="12.75" x14ac:dyDescent="0.2">
      <c r="R16600" s="1288"/>
    </row>
    <row r="16601" spans="18:18" s="2" customFormat="1" ht="12.75" x14ac:dyDescent="0.2">
      <c r="R16601" s="1288"/>
    </row>
    <row r="16602" spans="18:18" s="2" customFormat="1" ht="12.75" x14ac:dyDescent="0.2">
      <c r="R16602" s="1288"/>
    </row>
    <row r="16603" spans="18:18" s="2" customFormat="1" ht="12.75" x14ac:dyDescent="0.2">
      <c r="R16603" s="1288"/>
    </row>
    <row r="16604" spans="18:18" s="2" customFormat="1" ht="12.75" x14ac:dyDescent="0.2">
      <c r="R16604" s="1288"/>
    </row>
    <row r="16605" spans="18:18" s="2" customFormat="1" ht="12.75" x14ac:dyDescent="0.2">
      <c r="R16605" s="1288"/>
    </row>
    <row r="16606" spans="18:18" s="2" customFormat="1" ht="12.75" x14ac:dyDescent="0.2">
      <c r="R16606" s="1288"/>
    </row>
    <row r="16607" spans="18:18" s="2" customFormat="1" ht="12.75" x14ac:dyDescent="0.2">
      <c r="R16607" s="1288"/>
    </row>
    <row r="16608" spans="18:18" s="2" customFormat="1" ht="12.75" x14ac:dyDescent="0.2">
      <c r="R16608" s="1288"/>
    </row>
    <row r="16609" spans="18:18" s="2" customFormat="1" ht="12.75" x14ac:dyDescent="0.2">
      <c r="R16609" s="1288"/>
    </row>
    <row r="16610" spans="18:18" s="2" customFormat="1" ht="12.75" x14ac:dyDescent="0.2">
      <c r="R16610" s="1288"/>
    </row>
    <row r="16611" spans="18:18" s="2" customFormat="1" ht="12.75" x14ac:dyDescent="0.2">
      <c r="R16611" s="1288"/>
    </row>
    <row r="16612" spans="18:18" s="2" customFormat="1" ht="12.75" x14ac:dyDescent="0.2">
      <c r="R16612" s="1288"/>
    </row>
    <row r="16613" spans="18:18" s="2" customFormat="1" ht="12.75" x14ac:dyDescent="0.2">
      <c r="R16613" s="1288"/>
    </row>
    <row r="16614" spans="18:18" s="2" customFormat="1" ht="12.75" x14ac:dyDescent="0.2">
      <c r="R16614" s="1288"/>
    </row>
    <row r="16615" spans="18:18" s="2" customFormat="1" ht="12.75" x14ac:dyDescent="0.2">
      <c r="R16615" s="1288"/>
    </row>
    <row r="16616" spans="18:18" s="2" customFormat="1" ht="12.75" x14ac:dyDescent="0.2">
      <c r="R16616" s="1288"/>
    </row>
    <row r="16617" spans="18:18" s="2" customFormat="1" ht="12.75" x14ac:dyDescent="0.2">
      <c r="R16617" s="1288"/>
    </row>
    <row r="16618" spans="18:18" s="2" customFormat="1" ht="12.75" x14ac:dyDescent="0.2">
      <c r="R16618" s="1288"/>
    </row>
    <row r="16619" spans="18:18" s="2" customFormat="1" ht="12.75" x14ac:dyDescent="0.2">
      <c r="R16619" s="1288"/>
    </row>
    <row r="16620" spans="18:18" s="2" customFormat="1" ht="12.75" x14ac:dyDescent="0.2">
      <c r="R16620" s="1288"/>
    </row>
    <row r="16621" spans="18:18" s="2" customFormat="1" ht="12.75" x14ac:dyDescent="0.2">
      <c r="R16621" s="1288"/>
    </row>
    <row r="16622" spans="18:18" s="2" customFormat="1" ht="12.75" x14ac:dyDescent="0.2">
      <c r="R16622" s="1288"/>
    </row>
    <row r="16623" spans="18:18" s="2" customFormat="1" ht="12.75" x14ac:dyDescent="0.2">
      <c r="R16623" s="1288"/>
    </row>
    <row r="16624" spans="18:18" s="2" customFormat="1" ht="12.75" x14ac:dyDescent="0.2">
      <c r="R16624" s="1288"/>
    </row>
    <row r="16625" spans="18:18" s="2" customFormat="1" ht="12.75" x14ac:dyDescent="0.2">
      <c r="R16625" s="1288"/>
    </row>
    <row r="16626" spans="18:18" s="2" customFormat="1" ht="12.75" x14ac:dyDescent="0.2">
      <c r="R16626" s="1288"/>
    </row>
    <row r="16627" spans="18:18" s="2" customFormat="1" ht="12.75" x14ac:dyDescent="0.2">
      <c r="R16627" s="1288"/>
    </row>
    <row r="16628" spans="18:18" s="2" customFormat="1" ht="12.75" x14ac:dyDescent="0.2">
      <c r="R16628" s="1288"/>
    </row>
    <row r="16629" spans="18:18" s="2" customFormat="1" ht="12.75" x14ac:dyDescent="0.2">
      <c r="R16629" s="1288"/>
    </row>
    <row r="16630" spans="18:18" s="2" customFormat="1" ht="12.75" x14ac:dyDescent="0.2">
      <c r="R16630" s="1288"/>
    </row>
    <row r="16631" spans="18:18" s="2" customFormat="1" ht="12.75" x14ac:dyDescent="0.2">
      <c r="R16631" s="1288"/>
    </row>
    <row r="16632" spans="18:18" s="2" customFormat="1" ht="12.75" x14ac:dyDescent="0.2">
      <c r="R16632" s="1288"/>
    </row>
    <row r="16633" spans="18:18" s="2" customFormat="1" ht="12.75" x14ac:dyDescent="0.2">
      <c r="R16633" s="1288"/>
    </row>
    <row r="16634" spans="18:18" s="2" customFormat="1" ht="12.75" x14ac:dyDescent="0.2">
      <c r="R16634" s="1288"/>
    </row>
    <row r="16635" spans="18:18" s="2" customFormat="1" ht="12.75" x14ac:dyDescent="0.2">
      <c r="R16635" s="1288"/>
    </row>
    <row r="16636" spans="18:18" s="2" customFormat="1" ht="12.75" x14ac:dyDescent="0.2">
      <c r="R16636" s="1288"/>
    </row>
    <row r="16637" spans="18:18" s="2" customFormat="1" ht="12.75" x14ac:dyDescent="0.2">
      <c r="R16637" s="1288"/>
    </row>
    <row r="16638" spans="18:18" s="2" customFormat="1" ht="12.75" x14ac:dyDescent="0.2">
      <c r="R16638" s="1288"/>
    </row>
    <row r="16639" spans="18:18" s="2" customFormat="1" ht="12.75" x14ac:dyDescent="0.2">
      <c r="R16639" s="1288"/>
    </row>
    <row r="16640" spans="18:18" s="2" customFormat="1" ht="12.75" x14ac:dyDescent="0.2">
      <c r="R16640" s="1288"/>
    </row>
    <row r="16641" spans="18:18" s="2" customFormat="1" ht="12.75" x14ac:dyDescent="0.2">
      <c r="R16641" s="1288"/>
    </row>
    <row r="16642" spans="18:18" s="2" customFormat="1" ht="12.75" x14ac:dyDescent="0.2">
      <c r="R16642" s="1288"/>
    </row>
    <row r="16643" spans="18:18" s="2" customFormat="1" ht="12.75" x14ac:dyDescent="0.2">
      <c r="R16643" s="1288"/>
    </row>
    <row r="16644" spans="18:18" s="2" customFormat="1" ht="12.75" x14ac:dyDescent="0.2">
      <c r="R16644" s="1288"/>
    </row>
    <row r="16645" spans="18:18" s="2" customFormat="1" ht="12.75" x14ac:dyDescent="0.2">
      <c r="R16645" s="1288"/>
    </row>
    <row r="16646" spans="18:18" s="2" customFormat="1" ht="12.75" x14ac:dyDescent="0.2">
      <c r="R16646" s="1288"/>
    </row>
    <row r="16647" spans="18:18" s="2" customFormat="1" ht="12.75" x14ac:dyDescent="0.2">
      <c r="R16647" s="1288"/>
    </row>
    <row r="16648" spans="18:18" s="2" customFormat="1" ht="12.75" x14ac:dyDescent="0.2">
      <c r="R16648" s="1288"/>
    </row>
    <row r="16649" spans="18:18" s="2" customFormat="1" ht="12.75" x14ac:dyDescent="0.2">
      <c r="R16649" s="1288"/>
    </row>
    <row r="16650" spans="18:18" s="2" customFormat="1" ht="12.75" x14ac:dyDescent="0.2">
      <c r="R16650" s="1288"/>
    </row>
    <row r="16651" spans="18:18" s="2" customFormat="1" ht="12.75" x14ac:dyDescent="0.2">
      <c r="R16651" s="1288"/>
    </row>
    <row r="16652" spans="18:18" s="2" customFormat="1" ht="12.75" x14ac:dyDescent="0.2">
      <c r="R16652" s="1288"/>
    </row>
    <row r="16653" spans="18:18" s="2" customFormat="1" ht="12.75" x14ac:dyDescent="0.2">
      <c r="R16653" s="1288"/>
    </row>
    <row r="16654" spans="18:18" s="2" customFormat="1" ht="12.75" x14ac:dyDescent="0.2">
      <c r="R16654" s="1288"/>
    </row>
    <row r="16655" spans="18:18" s="2" customFormat="1" ht="12.75" x14ac:dyDescent="0.2">
      <c r="R16655" s="1288"/>
    </row>
    <row r="16656" spans="18:18" s="2" customFormat="1" ht="12.75" x14ac:dyDescent="0.2">
      <c r="R16656" s="1288"/>
    </row>
    <row r="16657" spans="18:18" s="2" customFormat="1" ht="12.75" x14ac:dyDescent="0.2">
      <c r="R16657" s="1288"/>
    </row>
    <row r="16658" spans="18:18" s="2" customFormat="1" ht="12.75" x14ac:dyDescent="0.2">
      <c r="R16658" s="1288"/>
    </row>
    <row r="16659" spans="18:18" s="2" customFormat="1" ht="12.75" x14ac:dyDescent="0.2">
      <c r="R16659" s="1288"/>
    </row>
    <row r="16660" spans="18:18" s="2" customFormat="1" ht="12.75" x14ac:dyDescent="0.2">
      <c r="R16660" s="1288"/>
    </row>
    <row r="16661" spans="18:18" s="2" customFormat="1" ht="12.75" x14ac:dyDescent="0.2">
      <c r="R16661" s="1288"/>
    </row>
    <row r="16662" spans="18:18" s="2" customFormat="1" ht="12.75" x14ac:dyDescent="0.2">
      <c r="R16662" s="1288"/>
    </row>
    <row r="16663" spans="18:18" s="2" customFormat="1" ht="12.75" x14ac:dyDescent="0.2">
      <c r="R16663" s="1288"/>
    </row>
    <row r="16664" spans="18:18" s="2" customFormat="1" ht="12.75" x14ac:dyDescent="0.2">
      <c r="R16664" s="1288"/>
    </row>
    <row r="16665" spans="18:18" s="2" customFormat="1" ht="12.75" x14ac:dyDescent="0.2">
      <c r="R16665" s="1288"/>
    </row>
    <row r="16666" spans="18:18" s="2" customFormat="1" ht="12.75" x14ac:dyDescent="0.2">
      <c r="R16666" s="1288"/>
    </row>
    <row r="16667" spans="18:18" s="2" customFormat="1" ht="12.75" x14ac:dyDescent="0.2">
      <c r="R16667" s="1288"/>
    </row>
    <row r="16668" spans="18:18" s="2" customFormat="1" ht="12.75" x14ac:dyDescent="0.2">
      <c r="R16668" s="1288"/>
    </row>
    <row r="16669" spans="18:18" s="2" customFormat="1" ht="12.75" x14ac:dyDescent="0.2">
      <c r="R16669" s="1288"/>
    </row>
    <row r="16670" spans="18:18" s="2" customFormat="1" ht="12.75" x14ac:dyDescent="0.2">
      <c r="R16670" s="1288"/>
    </row>
    <row r="16671" spans="18:18" s="2" customFormat="1" ht="12.75" x14ac:dyDescent="0.2">
      <c r="R16671" s="1288"/>
    </row>
    <row r="16672" spans="18:18" s="2" customFormat="1" ht="12.75" x14ac:dyDescent="0.2">
      <c r="R16672" s="1288"/>
    </row>
    <row r="16673" spans="18:18" s="2" customFormat="1" ht="12.75" x14ac:dyDescent="0.2">
      <c r="R16673" s="1288"/>
    </row>
    <row r="16674" spans="18:18" s="2" customFormat="1" ht="12.75" x14ac:dyDescent="0.2">
      <c r="R16674" s="1288"/>
    </row>
    <row r="16675" spans="18:18" s="2" customFormat="1" ht="12.75" x14ac:dyDescent="0.2">
      <c r="R16675" s="1288"/>
    </row>
    <row r="16676" spans="18:18" s="2" customFormat="1" ht="12.75" x14ac:dyDescent="0.2">
      <c r="R16676" s="1288"/>
    </row>
    <row r="16677" spans="18:18" s="2" customFormat="1" ht="12.75" x14ac:dyDescent="0.2">
      <c r="R16677" s="1288"/>
    </row>
    <row r="16678" spans="18:18" s="2" customFormat="1" ht="12.75" x14ac:dyDescent="0.2">
      <c r="R16678" s="1288"/>
    </row>
    <row r="16679" spans="18:18" s="2" customFormat="1" ht="12.75" x14ac:dyDescent="0.2">
      <c r="R16679" s="1288"/>
    </row>
    <row r="16680" spans="18:18" s="2" customFormat="1" ht="12.75" x14ac:dyDescent="0.2">
      <c r="R16680" s="1288"/>
    </row>
    <row r="16681" spans="18:18" s="2" customFormat="1" ht="12.75" x14ac:dyDescent="0.2">
      <c r="R16681" s="1288"/>
    </row>
    <row r="16682" spans="18:18" s="2" customFormat="1" ht="12.75" x14ac:dyDescent="0.2">
      <c r="R16682" s="1288"/>
    </row>
    <row r="16683" spans="18:18" s="2" customFormat="1" ht="12.75" x14ac:dyDescent="0.2">
      <c r="R16683" s="1288"/>
    </row>
    <row r="16684" spans="18:18" s="2" customFormat="1" ht="12.75" x14ac:dyDescent="0.2">
      <c r="R16684" s="1288"/>
    </row>
    <row r="16685" spans="18:18" s="2" customFormat="1" ht="12.75" x14ac:dyDescent="0.2">
      <c r="R16685" s="1288"/>
    </row>
    <row r="16686" spans="18:18" s="2" customFormat="1" ht="12.75" x14ac:dyDescent="0.2">
      <c r="R16686" s="1288"/>
    </row>
    <row r="16687" spans="18:18" s="2" customFormat="1" ht="12.75" x14ac:dyDescent="0.2">
      <c r="R16687" s="1288"/>
    </row>
    <row r="16688" spans="18:18" s="2" customFormat="1" ht="12.75" x14ac:dyDescent="0.2">
      <c r="R16688" s="1288"/>
    </row>
    <row r="16689" spans="18:18" s="2" customFormat="1" ht="12.75" x14ac:dyDescent="0.2">
      <c r="R16689" s="1288"/>
    </row>
    <row r="16690" spans="18:18" s="2" customFormat="1" ht="12.75" x14ac:dyDescent="0.2">
      <c r="R16690" s="1288"/>
    </row>
    <row r="16691" spans="18:18" s="2" customFormat="1" ht="12.75" x14ac:dyDescent="0.2">
      <c r="R16691" s="1288"/>
    </row>
    <row r="16692" spans="18:18" s="2" customFormat="1" ht="12.75" x14ac:dyDescent="0.2">
      <c r="R16692" s="1288"/>
    </row>
    <row r="16693" spans="18:18" s="2" customFormat="1" ht="12.75" x14ac:dyDescent="0.2">
      <c r="R16693" s="1288"/>
    </row>
    <row r="16694" spans="18:18" s="2" customFormat="1" ht="12.75" x14ac:dyDescent="0.2">
      <c r="R16694" s="1288"/>
    </row>
    <row r="16695" spans="18:18" s="2" customFormat="1" ht="12.75" x14ac:dyDescent="0.2">
      <c r="R16695" s="1288"/>
    </row>
    <row r="16696" spans="18:18" s="2" customFormat="1" ht="12.75" x14ac:dyDescent="0.2">
      <c r="R16696" s="1288"/>
    </row>
    <row r="16697" spans="18:18" s="2" customFormat="1" ht="12.75" x14ac:dyDescent="0.2">
      <c r="R16697" s="1288"/>
    </row>
    <row r="16698" spans="18:18" s="2" customFormat="1" ht="12.75" x14ac:dyDescent="0.2">
      <c r="R16698" s="1288"/>
    </row>
    <row r="16699" spans="18:18" s="2" customFormat="1" ht="12.75" x14ac:dyDescent="0.2">
      <c r="R16699" s="1288"/>
    </row>
    <row r="16700" spans="18:18" s="2" customFormat="1" ht="12.75" x14ac:dyDescent="0.2">
      <c r="R16700" s="1288"/>
    </row>
    <row r="16701" spans="18:18" s="2" customFormat="1" ht="12.75" x14ac:dyDescent="0.2">
      <c r="R16701" s="1288"/>
    </row>
    <row r="16702" spans="18:18" s="2" customFormat="1" ht="12.75" x14ac:dyDescent="0.2">
      <c r="R16702" s="1288"/>
    </row>
    <row r="16703" spans="18:18" s="2" customFormat="1" ht="12.75" x14ac:dyDescent="0.2">
      <c r="R16703" s="1288"/>
    </row>
    <row r="16704" spans="18:18" s="2" customFormat="1" ht="12.75" x14ac:dyDescent="0.2">
      <c r="R16704" s="1288"/>
    </row>
    <row r="16705" spans="18:18" s="2" customFormat="1" ht="12.75" x14ac:dyDescent="0.2">
      <c r="R16705" s="1288"/>
    </row>
    <row r="16706" spans="18:18" s="2" customFormat="1" ht="12.75" x14ac:dyDescent="0.2">
      <c r="R16706" s="1288"/>
    </row>
    <row r="16707" spans="18:18" s="2" customFormat="1" ht="12.75" x14ac:dyDescent="0.2">
      <c r="R16707" s="1288"/>
    </row>
    <row r="16708" spans="18:18" s="2" customFormat="1" ht="12.75" x14ac:dyDescent="0.2">
      <c r="R16708" s="1288"/>
    </row>
    <row r="16709" spans="18:18" s="2" customFormat="1" ht="12.75" x14ac:dyDescent="0.2">
      <c r="R16709" s="1288"/>
    </row>
    <row r="16710" spans="18:18" s="2" customFormat="1" ht="12.75" x14ac:dyDescent="0.2">
      <c r="R16710" s="1288"/>
    </row>
    <row r="16711" spans="18:18" s="2" customFormat="1" ht="12.75" x14ac:dyDescent="0.2">
      <c r="R16711" s="1288"/>
    </row>
    <row r="16712" spans="18:18" s="2" customFormat="1" ht="12.75" x14ac:dyDescent="0.2">
      <c r="R16712" s="1288"/>
    </row>
    <row r="16713" spans="18:18" s="2" customFormat="1" ht="12.75" x14ac:dyDescent="0.2">
      <c r="R16713" s="1288"/>
    </row>
    <row r="16714" spans="18:18" s="2" customFormat="1" ht="12.75" x14ac:dyDescent="0.2">
      <c r="R16714" s="1288"/>
    </row>
    <row r="16715" spans="18:18" s="2" customFormat="1" ht="12.75" x14ac:dyDescent="0.2">
      <c r="R16715" s="1288"/>
    </row>
    <row r="16716" spans="18:18" s="2" customFormat="1" ht="12.75" x14ac:dyDescent="0.2">
      <c r="R16716" s="1288"/>
    </row>
    <row r="16717" spans="18:18" s="2" customFormat="1" ht="12.75" x14ac:dyDescent="0.2">
      <c r="R16717" s="1288"/>
    </row>
    <row r="16718" spans="18:18" s="2" customFormat="1" ht="12.75" x14ac:dyDescent="0.2">
      <c r="R16718" s="1288"/>
    </row>
    <row r="16719" spans="18:18" s="2" customFormat="1" ht="12.75" x14ac:dyDescent="0.2">
      <c r="R16719" s="1288"/>
    </row>
    <row r="16720" spans="18:18" s="2" customFormat="1" ht="12.75" x14ac:dyDescent="0.2">
      <c r="R16720" s="1288"/>
    </row>
    <row r="16721" spans="18:18" s="2" customFormat="1" ht="12.75" x14ac:dyDescent="0.2">
      <c r="R16721" s="1288"/>
    </row>
    <row r="16722" spans="18:18" s="2" customFormat="1" ht="12.75" x14ac:dyDescent="0.2">
      <c r="R16722" s="1288"/>
    </row>
    <row r="16723" spans="18:18" s="2" customFormat="1" ht="12.75" x14ac:dyDescent="0.2">
      <c r="R16723" s="1288"/>
    </row>
    <row r="16724" spans="18:18" s="2" customFormat="1" ht="12.75" x14ac:dyDescent="0.2">
      <c r="R16724" s="1288"/>
    </row>
    <row r="16725" spans="18:18" s="2" customFormat="1" ht="12.75" x14ac:dyDescent="0.2">
      <c r="R16725" s="1288"/>
    </row>
    <row r="16726" spans="18:18" s="2" customFormat="1" ht="12.75" x14ac:dyDescent="0.2">
      <c r="R16726" s="1288"/>
    </row>
    <row r="16727" spans="18:18" s="2" customFormat="1" ht="12.75" x14ac:dyDescent="0.2">
      <c r="R16727" s="1288"/>
    </row>
    <row r="16728" spans="18:18" s="2" customFormat="1" ht="12.75" x14ac:dyDescent="0.2">
      <c r="R16728" s="1288"/>
    </row>
    <row r="16729" spans="18:18" s="2" customFormat="1" ht="12.75" x14ac:dyDescent="0.2">
      <c r="R16729" s="1288"/>
    </row>
    <row r="16730" spans="18:18" s="2" customFormat="1" ht="12.75" x14ac:dyDescent="0.2">
      <c r="R16730" s="1288"/>
    </row>
    <row r="16731" spans="18:18" s="2" customFormat="1" ht="12.75" x14ac:dyDescent="0.2">
      <c r="R16731" s="1288"/>
    </row>
    <row r="16732" spans="18:18" s="2" customFormat="1" ht="12.75" x14ac:dyDescent="0.2">
      <c r="R16732" s="1288"/>
    </row>
    <row r="16733" spans="18:18" s="2" customFormat="1" ht="12.75" x14ac:dyDescent="0.2">
      <c r="R16733" s="1288"/>
    </row>
    <row r="16734" spans="18:18" s="2" customFormat="1" ht="12.75" x14ac:dyDescent="0.2">
      <c r="R16734" s="1288"/>
    </row>
    <row r="16735" spans="18:18" s="2" customFormat="1" ht="12.75" x14ac:dyDescent="0.2">
      <c r="R16735" s="1288"/>
    </row>
    <row r="16736" spans="18:18" s="2" customFormat="1" ht="12.75" x14ac:dyDescent="0.2">
      <c r="R16736" s="1288"/>
    </row>
    <row r="16737" spans="18:18" s="2" customFormat="1" ht="12.75" x14ac:dyDescent="0.2">
      <c r="R16737" s="1288"/>
    </row>
    <row r="16738" spans="18:18" s="2" customFormat="1" ht="12.75" x14ac:dyDescent="0.2">
      <c r="R16738" s="1288"/>
    </row>
    <row r="16739" spans="18:18" s="2" customFormat="1" ht="12.75" x14ac:dyDescent="0.2">
      <c r="R16739" s="1288"/>
    </row>
    <row r="16740" spans="18:18" s="2" customFormat="1" ht="12.75" x14ac:dyDescent="0.2">
      <c r="R16740" s="1288"/>
    </row>
    <row r="16741" spans="18:18" s="2" customFormat="1" ht="12.75" x14ac:dyDescent="0.2">
      <c r="R16741" s="1288"/>
    </row>
    <row r="16742" spans="18:18" s="2" customFormat="1" ht="12.75" x14ac:dyDescent="0.2">
      <c r="R16742" s="1288"/>
    </row>
    <row r="16743" spans="18:18" s="2" customFormat="1" ht="12.75" x14ac:dyDescent="0.2">
      <c r="R16743" s="1288"/>
    </row>
    <row r="16744" spans="18:18" s="2" customFormat="1" ht="12.75" x14ac:dyDescent="0.2">
      <c r="R16744" s="1288"/>
    </row>
    <row r="16745" spans="18:18" s="2" customFormat="1" ht="12.75" x14ac:dyDescent="0.2">
      <c r="R16745" s="1288"/>
    </row>
    <row r="16746" spans="18:18" s="2" customFormat="1" ht="12.75" x14ac:dyDescent="0.2">
      <c r="R16746" s="1288"/>
    </row>
    <row r="16747" spans="18:18" s="2" customFormat="1" ht="12.75" x14ac:dyDescent="0.2">
      <c r="R16747" s="1288"/>
    </row>
    <row r="16748" spans="18:18" s="2" customFormat="1" ht="12.75" x14ac:dyDescent="0.2">
      <c r="R16748" s="1288"/>
    </row>
    <row r="16749" spans="18:18" s="2" customFormat="1" ht="12.75" x14ac:dyDescent="0.2">
      <c r="R16749" s="1288"/>
    </row>
    <row r="16750" spans="18:18" s="2" customFormat="1" ht="12.75" x14ac:dyDescent="0.2">
      <c r="R16750" s="1288"/>
    </row>
    <row r="16751" spans="18:18" s="2" customFormat="1" ht="12.75" x14ac:dyDescent="0.2">
      <c r="R16751" s="1288"/>
    </row>
    <row r="16752" spans="18:18" s="2" customFormat="1" ht="12.75" x14ac:dyDescent="0.2">
      <c r="R16752" s="1288"/>
    </row>
    <row r="16753" spans="18:18" s="2" customFormat="1" ht="12.75" x14ac:dyDescent="0.2">
      <c r="R16753" s="1288"/>
    </row>
    <row r="16754" spans="18:18" s="2" customFormat="1" ht="12.75" x14ac:dyDescent="0.2">
      <c r="R16754" s="1288"/>
    </row>
    <row r="16755" spans="18:18" s="2" customFormat="1" ht="12.75" x14ac:dyDescent="0.2">
      <c r="R16755" s="1288"/>
    </row>
    <row r="16756" spans="18:18" s="2" customFormat="1" ht="12.75" x14ac:dyDescent="0.2">
      <c r="R16756" s="1288"/>
    </row>
    <row r="16757" spans="18:18" s="2" customFormat="1" ht="12.75" x14ac:dyDescent="0.2">
      <c r="R16757" s="1288"/>
    </row>
    <row r="16758" spans="18:18" s="2" customFormat="1" ht="12.75" x14ac:dyDescent="0.2">
      <c r="R16758" s="1288"/>
    </row>
    <row r="16759" spans="18:18" s="2" customFormat="1" ht="12.75" x14ac:dyDescent="0.2">
      <c r="R16759" s="1288"/>
    </row>
    <row r="16760" spans="18:18" s="2" customFormat="1" ht="12.75" x14ac:dyDescent="0.2">
      <c r="R16760" s="1288"/>
    </row>
    <row r="16761" spans="18:18" s="2" customFormat="1" ht="12.75" x14ac:dyDescent="0.2">
      <c r="R16761" s="1288"/>
    </row>
    <row r="16762" spans="18:18" s="2" customFormat="1" ht="12.75" x14ac:dyDescent="0.2">
      <c r="R16762" s="1288"/>
    </row>
    <row r="16763" spans="18:18" s="2" customFormat="1" ht="12.75" x14ac:dyDescent="0.2">
      <c r="R16763" s="1288"/>
    </row>
    <row r="16764" spans="18:18" s="2" customFormat="1" ht="12.75" x14ac:dyDescent="0.2">
      <c r="R16764" s="1288"/>
    </row>
    <row r="16765" spans="18:18" s="2" customFormat="1" ht="12.75" x14ac:dyDescent="0.2">
      <c r="R16765" s="1288"/>
    </row>
    <row r="16766" spans="18:18" s="2" customFormat="1" ht="12.75" x14ac:dyDescent="0.2">
      <c r="R16766" s="1288"/>
    </row>
    <row r="16767" spans="18:18" s="2" customFormat="1" ht="12.75" x14ac:dyDescent="0.2">
      <c r="R16767" s="1288"/>
    </row>
    <row r="16768" spans="18:18" s="2" customFormat="1" ht="12.75" x14ac:dyDescent="0.2">
      <c r="R16768" s="1288"/>
    </row>
    <row r="16769" spans="18:18" s="2" customFormat="1" ht="12.75" x14ac:dyDescent="0.2">
      <c r="R16769" s="1288"/>
    </row>
    <row r="16770" spans="18:18" s="2" customFormat="1" ht="12.75" x14ac:dyDescent="0.2">
      <c r="R16770" s="1288"/>
    </row>
    <row r="16771" spans="18:18" s="2" customFormat="1" ht="12.75" x14ac:dyDescent="0.2">
      <c r="R16771" s="1288"/>
    </row>
    <row r="16772" spans="18:18" s="2" customFormat="1" ht="12.75" x14ac:dyDescent="0.2">
      <c r="R16772" s="1288"/>
    </row>
    <row r="16773" spans="18:18" s="2" customFormat="1" ht="12.75" x14ac:dyDescent="0.2">
      <c r="R16773" s="1288"/>
    </row>
    <row r="16774" spans="18:18" s="2" customFormat="1" ht="12.75" x14ac:dyDescent="0.2">
      <c r="R16774" s="1288"/>
    </row>
    <row r="16775" spans="18:18" s="2" customFormat="1" ht="12.75" x14ac:dyDescent="0.2">
      <c r="R16775" s="1288"/>
    </row>
    <row r="16776" spans="18:18" s="2" customFormat="1" ht="12.75" x14ac:dyDescent="0.2">
      <c r="R16776" s="1288"/>
    </row>
    <row r="16777" spans="18:18" s="2" customFormat="1" ht="12.75" x14ac:dyDescent="0.2">
      <c r="R16777" s="1288"/>
    </row>
    <row r="16778" spans="18:18" s="2" customFormat="1" ht="12.75" x14ac:dyDescent="0.2">
      <c r="R16778" s="1288"/>
    </row>
    <row r="16779" spans="18:18" s="2" customFormat="1" ht="12.75" x14ac:dyDescent="0.2">
      <c r="R16779" s="1288"/>
    </row>
    <row r="16780" spans="18:18" s="2" customFormat="1" ht="12.75" x14ac:dyDescent="0.2">
      <c r="R16780" s="1288"/>
    </row>
    <row r="16781" spans="18:18" s="2" customFormat="1" ht="12.75" x14ac:dyDescent="0.2">
      <c r="R16781" s="1288"/>
    </row>
    <row r="16782" spans="18:18" s="2" customFormat="1" ht="12.75" x14ac:dyDescent="0.2">
      <c r="R16782" s="1288"/>
    </row>
    <row r="16783" spans="18:18" s="2" customFormat="1" ht="12.75" x14ac:dyDescent="0.2">
      <c r="R16783" s="1288"/>
    </row>
    <row r="16784" spans="18:18" s="2" customFormat="1" ht="12.75" x14ac:dyDescent="0.2">
      <c r="R16784" s="1288"/>
    </row>
    <row r="16785" spans="18:18" s="2" customFormat="1" ht="12.75" x14ac:dyDescent="0.2">
      <c r="R16785" s="1288"/>
    </row>
    <row r="16786" spans="18:18" s="2" customFormat="1" ht="12.75" x14ac:dyDescent="0.2">
      <c r="R16786" s="1288"/>
    </row>
    <row r="16787" spans="18:18" s="2" customFormat="1" ht="12.75" x14ac:dyDescent="0.2">
      <c r="R16787" s="1288"/>
    </row>
    <row r="16788" spans="18:18" s="2" customFormat="1" ht="12.75" x14ac:dyDescent="0.2">
      <c r="R16788" s="1288"/>
    </row>
    <row r="16789" spans="18:18" s="2" customFormat="1" ht="12.75" x14ac:dyDescent="0.2">
      <c r="R16789" s="1288"/>
    </row>
    <row r="16790" spans="18:18" s="2" customFormat="1" ht="12.75" x14ac:dyDescent="0.2">
      <c r="R16790" s="1288"/>
    </row>
    <row r="16791" spans="18:18" s="2" customFormat="1" ht="12.75" x14ac:dyDescent="0.2">
      <c r="R16791" s="1288"/>
    </row>
    <row r="16792" spans="18:18" s="2" customFormat="1" ht="12.75" x14ac:dyDescent="0.2">
      <c r="R16792" s="1288"/>
    </row>
    <row r="16793" spans="18:18" s="2" customFormat="1" ht="12.75" x14ac:dyDescent="0.2">
      <c r="R16793" s="1288"/>
    </row>
    <row r="16794" spans="18:18" s="2" customFormat="1" ht="12.75" x14ac:dyDescent="0.2">
      <c r="R16794" s="1288"/>
    </row>
    <row r="16795" spans="18:18" s="2" customFormat="1" ht="12.75" x14ac:dyDescent="0.2">
      <c r="R16795" s="1288"/>
    </row>
    <row r="16796" spans="18:18" s="2" customFormat="1" ht="12.75" x14ac:dyDescent="0.2">
      <c r="R16796" s="1288"/>
    </row>
    <row r="16797" spans="18:18" s="2" customFormat="1" ht="12.75" x14ac:dyDescent="0.2">
      <c r="R16797" s="1288"/>
    </row>
    <row r="16798" spans="18:18" s="2" customFormat="1" ht="12.75" x14ac:dyDescent="0.2">
      <c r="R16798" s="1288"/>
    </row>
    <row r="16799" spans="18:18" s="2" customFormat="1" ht="12.75" x14ac:dyDescent="0.2">
      <c r="R16799" s="1288"/>
    </row>
    <row r="16800" spans="18:18" s="2" customFormat="1" ht="12.75" x14ac:dyDescent="0.2">
      <c r="R16800" s="1288"/>
    </row>
    <row r="16801" spans="18:18" s="2" customFormat="1" ht="12.75" x14ac:dyDescent="0.2">
      <c r="R16801" s="1288"/>
    </row>
    <row r="16802" spans="18:18" s="2" customFormat="1" ht="12.75" x14ac:dyDescent="0.2">
      <c r="R16802" s="1288"/>
    </row>
    <row r="16803" spans="18:18" s="2" customFormat="1" ht="12.75" x14ac:dyDescent="0.2">
      <c r="R16803" s="1288"/>
    </row>
    <row r="16804" spans="18:18" s="2" customFormat="1" ht="12.75" x14ac:dyDescent="0.2">
      <c r="R16804" s="1288"/>
    </row>
    <row r="16805" spans="18:18" s="2" customFormat="1" ht="12.75" x14ac:dyDescent="0.2">
      <c r="R16805" s="1288"/>
    </row>
    <row r="16806" spans="18:18" s="2" customFormat="1" ht="12.75" x14ac:dyDescent="0.2">
      <c r="R16806" s="1288"/>
    </row>
    <row r="16807" spans="18:18" s="2" customFormat="1" ht="12.75" x14ac:dyDescent="0.2">
      <c r="R16807" s="1288"/>
    </row>
    <row r="16808" spans="18:18" s="2" customFormat="1" ht="12.75" x14ac:dyDescent="0.2">
      <c r="R16808" s="1288"/>
    </row>
    <row r="16809" spans="18:18" s="2" customFormat="1" ht="12.75" x14ac:dyDescent="0.2">
      <c r="R16809" s="1288"/>
    </row>
    <row r="16810" spans="18:18" s="2" customFormat="1" ht="12.75" x14ac:dyDescent="0.2">
      <c r="R16810" s="1288"/>
    </row>
    <row r="16811" spans="18:18" s="2" customFormat="1" ht="12.75" x14ac:dyDescent="0.2">
      <c r="R16811" s="1288"/>
    </row>
    <row r="16812" spans="18:18" s="2" customFormat="1" ht="12.75" x14ac:dyDescent="0.2">
      <c r="R16812" s="1288"/>
    </row>
    <row r="16813" spans="18:18" s="2" customFormat="1" ht="12.75" x14ac:dyDescent="0.2">
      <c r="R16813" s="1288"/>
    </row>
    <row r="16814" spans="18:18" s="2" customFormat="1" ht="12.75" x14ac:dyDescent="0.2">
      <c r="R16814" s="1288"/>
    </row>
    <row r="16815" spans="18:18" s="2" customFormat="1" ht="12.75" x14ac:dyDescent="0.2">
      <c r="R16815" s="1288"/>
    </row>
    <row r="16816" spans="18:18" s="2" customFormat="1" ht="12.75" x14ac:dyDescent="0.2">
      <c r="R16816" s="1288"/>
    </row>
    <row r="16817" spans="18:18" s="2" customFormat="1" ht="12.75" x14ac:dyDescent="0.2">
      <c r="R16817" s="1288"/>
    </row>
    <row r="16818" spans="18:18" s="2" customFormat="1" ht="12.75" x14ac:dyDescent="0.2">
      <c r="R16818" s="1288"/>
    </row>
    <row r="16819" spans="18:18" s="2" customFormat="1" ht="12.75" x14ac:dyDescent="0.2">
      <c r="R16819" s="1288"/>
    </row>
    <row r="16820" spans="18:18" s="2" customFormat="1" ht="12.75" x14ac:dyDescent="0.2">
      <c r="R16820" s="1288"/>
    </row>
    <row r="16821" spans="18:18" s="2" customFormat="1" ht="12.75" x14ac:dyDescent="0.2">
      <c r="R16821" s="1288"/>
    </row>
    <row r="16822" spans="18:18" s="2" customFormat="1" ht="12.75" x14ac:dyDescent="0.2">
      <c r="R16822" s="1288"/>
    </row>
    <row r="16823" spans="18:18" s="2" customFormat="1" ht="12.75" x14ac:dyDescent="0.2">
      <c r="R16823" s="1288"/>
    </row>
    <row r="16824" spans="18:18" s="2" customFormat="1" ht="12.75" x14ac:dyDescent="0.2">
      <c r="R16824" s="1288"/>
    </row>
    <row r="16825" spans="18:18" s="2" customFormat="1" ht="12.75" x14ac:dyDescent="0.2">
      <c r="R16825" s="1288"/>
    </row>
    <row r="16826" spans="18:18" s="2" customFormat="1" ht="12.75" x14ac:dyDescent="0.2">
      <c r="R16826" s="1288"/>
    </row>
    <row r="16827" spans="18:18" s="2" customFormat="1" ht="12.75" x14ac:dyDescent="0.2">
      <c r="R16827" s="1288"/>
    </row>
    <row r="16828" spans="18:18" s="2" customFormat="1" ht="12.75" x14ac:dyDescent="0.2">
      <c r="R16828" s="1288"/>
    </row>
    <row r="16829" spans="18:18" s="2" customFormat="1" ht="12.75" x14ac:dyDescent="0.2">
      <c r="R16829" s="1288"/>
    </row>
    <row r="16830" spans="18:18" s="2" customFormat="1" ht="12.75" x14ac:dyDescent="0.2">
      <c r="R16830" s="1288"/>
    </row>
    <row r="16831" spans="18:18" s="2" customFormat="1" ht="12.75" x14ac:dyDescent="0.2">
      <c r="R16831" s="1288"/>
    </row>
    <row r="16832" spans="18:18" s="2" customFormat="1" ht="12.75" x14ac:dyDescent="0.2">
      <c r="R16832" s="1288"/>
    </row>
    <row r="16833" spans="18:18" s="2" customFormat="1" ht="12.75" x14ac:dyDescent="0.2">
      <c r="R16833" s="1288"/>
    </row>
    <row r="16834" spans="18:18" s="2" customFormat="1" ht="12.75" x14ac:dyDescent="0.2">
      <c r="R16834" s="1288"/>
    </row>
    <row r="16835" spans="18:18" s="2" customFormat="1" ht="12.75" x14ac:dyDescent="0.2">
      <c r="R16835" s="1288"/>
    </row>
    <row r="16836" spans="18:18" s="2" customFormat="1" ht="12.75" x14ac:dyDescent="0.2">
      <c r="R16836" s="1288"/>
    </row>
    <row r="16837" spans="18:18" s="2" customFormat="1" ht="12.75" x14ac:dyDescent="0.2">
      <c r="R16837" s="1288"/>
    </row>
    <row r="16838" spans="18:18" s="2" customFormat="1" ht="12.75" x14ac:dyDescent="0.2">
      <c r="R16838" s="1288"/>
    </row>
    <row r="16839" spans="18:18" s="2" customFormat="1" ht="12.75" x14ac:dyDescent="0.2">
      <c r="R16839" s="1288"/>
    </row>
    <row r="16840" spans="18:18" s="2" customFormat="1" ht="12.75" x14ac:dyDescent="0.2">
      <c r="R16840" s="1288"/>
    </row>
    <row r="16841" spans="18:18" s="2" customFormat="1" ht="12.75" x14ac:dyDescent="0.2">
      <c r="R16841" s="1288"/>
    </row>
    <row r="16842" spans="18:18" s="2" customFormat="1" ht="12.75" x14ac:dyDescent="0.2">
      <c r="R16842" s="1288"/>
    </row>
    <row r="16843" spans="18:18" s="2" customFormat="1" ht="12.75" x14ac:dyDescent="0.2">
      <c r="R16843" s="1288"/>
    </row>
    <row r="16844" spans="18:18" s="2" customFormat="1" ht="12.75" x14ac:dyDescent="0.2">
      <c r="R16844" s="1288"/>
    </row>
    <row r="16845" spans="18:18" s="2" customFormat="1" ht="12.75" x14ac:dyDescent="0.2">
      <c r="R16845" s="1288"/>
    </row>
    <row r="16846" spans="18:18" s="2" customFormat="1" ht="12.75" x14ac:dyDescent="0.2">
      <c r="R16846" s="1288"/>
    </row>
    <row r="16847" spans="18:18" s="2" customFormat="1" ht="12.75" x14ac:dyDescent="0.2">
      <c r="R16847" s="1288"/>
    </row>
    <row r="16848" spans="18:18" s="2" customFormat="1" ht="12.75" x14ac:dyDescent="0.2">
      <c r="R16848" s="1288"/>
    </row>
    <row r="16849" spans="18:18" s="2" customFormat="1" ht="12.75" x14ac:dyDescent="0.2">
      <c r="R16849" s="1288"/>
    </row>
    <row r="16850" spans="18:18" s="2" customFormat="1" ht="12.75" x14ac:dyDescent="0.2">
      <c r="R16850" s="1288"/>
    </row>
    <row r="16851" spans="18:18" s="2" customFormat="1" ht="12.75" x14ac:dyDescent="0.2">
      <c r="R16851" s="1288"/>
    </row>
    <row r="16852" spans="18:18" s="2" customFormat="1" ht="12.75" x14ac:dyDescent="0.2">
      <c r="R16852" s="1288"/>
    </row>
    <row r="16853" spans="18:18" s="2" customFormat="1" ht="12.75" x14ac:dyDescent="0.2">
      <c r="R16853" s="1288"/>
    </row>
    <row r="16854" spans="18:18" s="2" customFormat="1" ht="12.75" x14ac:dyDescent="0.2">
      <c r="R16854" s="1288"/>
    </row>
    <row r="16855" spans="18:18" s="2" customFormat="1" ht="12.75" x14ac:dyDescent="0.2">
      <c r="R16855" s="1288"/>
    </row>
    <row r="16856" spans="18:18" s="2" customFormat="1" ht="12.75" x14ac:dyDescent="0.2">
      <c r="R16856" s="1288"/>
    </row>
    <row r="16857" spans="18:18" s="2" customFormat="1" ht="12.75" x14ac:dyDescent="0.2">
      <c r="R16857" s="1288"/>
    </row>
    <row r="16858" spans="18:18" s="2" customFormat="1" ht="12.75" x14ac:dyDescent="0.2">
      <c r="R16858" s="1288"/>
    </row>
    <row r="16859" spans="18:18" s="2" customFormat="1" ht="12.75" x14ac:dyDescent="0.2">
      <c r="R16859" s="1288"/>
    </row>
    <row r="16860" spans="18:18" s="2" customFormat="1" ht="12.75" x14ac:dyDescent="0.2">
      <c r="R16860" s="1288"/>
    </row>
    <row r="16861" spans="18:18" s="2" customFormat="1" ht="12.75" x14ac:dyDescent="0.2">
      <c r="R16861" s="1288"/>
    </row>
    <row r="16862" spans="18:18" s="2" customFormat="1" ht="12.75" x14ac:dyDescent="0.2">
      <c r="R16862" s="1288"/>
    </row>
    <row r="16863" spans="18:18" s="2" customFormat="1" ht="12.75" x14ac:dyDescent="0.2">
      <c r="R16863" s="1288"/>
    </row>
    <row r="16864" spans="18:18" s="2" customFormat="1" ht="12.75" x14ac:dyDescent="0.2">
      <c r="R16864" s="1288"/>
    </row>
    <row r="16865" spans="18:18" s="2" customFormat="1" ht="12.75" x14ac:dyDescent="0.2">
      <c r="R16865" s="1288"/>
    </row>
    <row r="16866" spans="18:18" s="2" customFormat="1" ht="12.75" x14ac:dyDescent="0.2">
      <c r="R16866" s="1288"/>
    </row>
    <row r="16867" spans="18:18" s="2" customFormat="1" ht="12.75" x14ac:dyDescent="0.2">
      <c r="R16867" s="1288"/>
    </row>
    <row r="16868" spans="18:18" s="2" customFormat="1" ht="12.75" x14ac:dyDescent="0.2">
      <c r="R16868" s="1288"/>
    </row>
    <row r="16869" spans="18:18" s="2" customFormat="1" ht="12.75" x14ac:dyDescent="0.2">
      <c r="R16869" s="1288"/>
    </row>
    <row r="16870" spans="18:18" s="2" customFormat="1" ht="12.75" x14ac:dyDescent="0.2">
      <c r="R16870" s="1288"/>
    </row>
    <row r="16871" spans="18:18" s="2" customFormat="1" ht="12.75" x14ac:dyDescent="0.2">
      <c r="R16871" s="1288"/>
    </row>
    <row r="16872" spans="18:18" s="2" customFormat="1" ht="12.75" x14ac:dyDescent="0.2">
      <c r="R16872" s="1288"/>
    </row>
    <row r="16873" spans="18:18" s="2" customFormat="1" ht="12.75" x14ac:dyDescent="0.2">
      <c r="R16873" s="1288"/>
    </row>
    <row r="16874" spans="18:18" s="2" customFormat="1" ht="12.75" x14ac:dyDescent="0.2">
      <c r="R16874" s="1288"/>
    </row>
    <row r="16875" spans="18:18" s="2" customFormat="1" ht="12.75" x14ac:dyDescent="0.2">
      <c r="R16875" s="1288"/>
    </row>
    <row r="16876" spans="18:18" s="2" customFormat="1" ht="12.75" x14ac:dyDescent="0.2">
      <c r="R16876" s="1288"/>
    </row>
    <row r="16877" spans="18:18" s="2" customFormat="1" ht="12.75" x14ac:dyDescent="0.2">
      <c r="R16877" s="1288"/>
    </row>
    <row r="16878" spans="18:18" s="2" customFormat="1" ht="12.75" x14ac:dyDescent="0.2">
      <c r="R16878" s="1288"/>
    </row>
    <row r="16879" spans="18:18" s="2" customFormat="1" ht="12.75" x14ac:dyDescent="0.2">
      <c r="R16879" s="1288"/>
    </row>
    <row r="16880" spans="18:18" s="2" customFormat="1" ht="12.75" x14ac:dyDescent="0.2">
      <c r="R16880" s="1288"/>
    </row>
    <row r="16881" spans="18:18" s="2" customFormat="1" ht="12.75" x14ac:dyDescent="0.2">
      <c r="R16881" s="1288"/>
    </row>
    <row r="16882" spans="18:18" s="2" customFormat="1" ht="12.75" x14ac:dyDescent="0.2">
      <c r="R16882" s="1288"/>
    </row>
    <row r="16883" spans="18:18" s="2" customFormat="1" ht="12.75" x14ac:dyDescent="0.2">
      <c r="R16883" s="1288"/>
    </row>
    <row r="16884" spans="18:18" s="2" customFormat="1" ht="12.75" x14ac:dyDescent="0.2">
      <c r="R16884" s="1288"/>
    </row>
    <row r="16885" spans="18:18" s="2" customFormat="1" ht="12.75" x14ac:dyDescent="0.2">
      <c r="R16885" s="1288"/>
    </row>
    <row r="16886" spans="18:18" s="2" customFormat="1" ht="12.75" x14ac:dyDescent="0.2">
      <c r="R16886" s="1288"/>
    </row>
    <row r="16887" spans="18:18" s="2" customFormat="1" ht="12.75" x14ac:dyDescent="0.2">
      <c r="R16887" s="1288"/>
    </row>
    <row r="16888" spans="18:18" s="2" customFormat="1" ht="12.75" x14ac:dyDescent="0.2">
      <c r="R16888" s="1288"/>
    </row>
    <row r="16889" spans="18:18" s="2" customFormat="1" ht="12.75" x14ac:dyDescent="0.2">
      <c r="R16889" s="1288"/>
    </row>
    <row r="16890" spans="18:18" s="2" customFormat="1" ht="12.75" x14ac:dyDescent="0.2">
      <c r="R16890" s="1288"/>
    </row>
    <row r="16891" spans="18:18" s="2" customFormat="1" ht="12.75" x14ac:dyDescent="0.2">
      <c r="R16891" s="1288"/>
    </row>
    <row r="16892" spans="18:18" s="2" customFormat="1" ht="12.75" x14ac:dyDescent="0.2">
      <c r="R16892" s="1288"/>
    </row>
    <row r="16893" spans="18:18" s="2" customFormat="1" ht="12.75" x14ac:dyDescent="0.2">
      <c r="R16893" s="1288"/>
    </row>
    <row r="16894" spans="18:18" s="2" customFormat="1" ht="12.75" x14ac:dyDescent="0.2">
      <c r="R16894" s="1288"/>
    </row>
    <row r="16895" spans="18:18" s="2" customFormat="1" ht="12.75" x14ac:dyDescent="0.2">
      <c r="R16895" s="1288"/>
    </row>
    <row r="16896" spans="18:18" s="2" customFormat="1" ht="12.75" x14ac:dyDescent="0.2">
      <c r="R16896" s="1288"/>
    </row>
    <row r="16897" spans="18:18" s="2" customFormat="1" ht="12.75" x14ac:dyDescent="0.2">
      <c r="R16897" s="1288"/>
    </row>
    <row r="16898" spans="18:18" s="2" customFormat="1" ht="12.75" x14ac:dyDescent="0.2">
      <c r="R16898" s="1288"/>
    </row>
    <row r="16899" spans="18:18" s="2" customFormat="1" ht="12.75" x14ac:dyDescent="0.2">
      <c r="R16899" s="1288"/>
    </row>
    <row r="16900" spans="18:18" s="2" customFormat="1" ht="12.75" x14ac:dyDescent="0.2">
      <c r="R16900" s="1288"/>
    </row>
    <row r="16901" spans="18:18" s="2" customFormat="1" ht="12.75" x14ac:dyDescent="0.2">
      <c r="R16901" s="1288"/>
    </row>
    <row r="16902" spans="18:18" s="2" customFormat="1" ht="12.75" x14ac:dyDescent="0.2">
      <c r="R16902" s="1288"/>
    </row>
    <row r="16903" spans="18:18" s="2" customFormat="1" ht="12.75" x14ac:dyDescent="0.2">
      <c r="R16903" s="1288"/>
    </row>
    <row r="16904" spans="18:18" s="2" customFormat="1" ht="12.75" x14ac:dyDescent="0.2">
      <c r="R16904" s="1288"/>
    </row>
    <row r="16905" spans="18:18" s="2" customFormat="1" ht="12.75" x14ac:dyDescent="0.2">
      <c r="R16905" s="1288"/>
    </row>
    <row r="16906" spans="18:18" s="2" customFormat="1" ht="12.75" x14ac:dyDescent="0.2">
      <c r="R16906" s="1288"/>
    </row>
    <row r="16907" spans="18:18" s="2" customFormat="1" ht="12.75" x14ac:dyDescent="0.2">
      <c r="R16907" s="1288"/>
    </row>
    <row r="16908" spans="18:18" s="2" customFormat="1" ht="12.75" x14ac:dyDescent="0.2">
      <c r="R16908" s="1288"/>
    </row>
    <row r="16909" spans="18:18" s="2" customFormat="1" ht="12.75" x14ac:dyDescent="0.2">
      <c r="R16909" s="1288"/>
    </row>
    <row r="16910" spans="18:18" s="2" customFormat="1" ht="12.75" x14ac:dyDescent="0.2">
      <c r="R16910" s="1288"/>
    </row>
    <row r="16911" spans="18:18" s="2" customFormat="1" ht="12.75" x14ac:dyDescent="0.2">
      <c r="R16911" s="1288"/>
    </row>
    <row r="16912" spans="18:18" s="2" customFormat="1" ht="12.75" x14ac:dyDescent="0.2">
      <c r="R16912" s="1288"/>
    </row>
    <row r="16913" spans="18:18" s="2" customFormat="1" ht="12.75" x14ac:dyDescent="0.2">
      <c r="R16913" s="1288"/>
    </row>
    <row r="16914" spans="18:18" s="2" customFormat="1" ht="12.75" x14ac:dyDescent="0.2">
      <c r="R16914" s="1288"/>
    </row>
    <row r="16915" spans="18:18" s="2" customFormat="1" ht="12.75" x14ac:dyDescent="0.2">
      <c r="R16915" s="1288"/>
    </row>
    <row r="16916" spans="18:18" s="2" customFormat="1" ht="12.75" x14ac:dyDescent="0.2">
      <c r="R16916" s="1288"/>
    </row>
    <row r="16917" spans="18:18" s="2" customFormat="1" ht="12.75" x14ac:dyDescent="0.2">
      <c r="R16917" s="1288"/>
    </row>
    <row r="16918" spans="18:18" s="2" customFormat="1" ht="12.75" x14ac:dyDescent="0.2">
      <c r="R16918" s="1288"/>
    </row>
    <row r="16919" spans="18:18" s="2" customFormat="1" ht="12.75" x14ac:dyDescent="0.2">
      <c r="R16919" s="1288"/>
    </row>
    <row r="16920" spans="18:18" s="2" customFormat="1" ht="12.75" x14ac:dyDescent="0.2">
      <c r="R16920" s="1288"/>
    </row>
    <row r="16921" spans="18:18" s="2" customFormat="1" ht="12.75" x14ac:dyDescent="0.2">
      <c r="R16921" s="1288"/>
    </row>
    <row r="16922" spans="18:18" s="2" customFormat="1" ht="12.75" x14ac:dyDescent="0.2">
      <c r="R16922" s="1288"/>
    </row>
    <row r="16923" spans="18:18" s="2" customFormat="1" ht="12.75" x14ac:dyDescent="0.2">
      <c r="R16923" s="1288"/>
    </row>
    <row r="16924" spans="18:18" s="2" customFormat="1" ht="12.75" x14ac:dyDescent="0.2">
      <c r="R16924" s="1288"/>
    </row>
    <row r="16925" spans="18:18" s="2" customFormat="1" ht="12.75" x14ac:dyDescent="0.2">
      <c r="R16925" s="1288"/>
    </row>
    <row r="16926" spans="18:18" s="2" customFormat="1" ht="12.75" x14ac:dyDescent="0.2">
      <c r="R16926" s="1288"/>
    </row>
    <row r="16927" spans="18:18" s="2" customFormat="1" ht="12.75" x14ac:dyDescent="0.2">
      <c r="R16927" s="1288"/>
    </row>
    <row r="16928" spans="18:18" s="2" customFormat="1" ht="12.75" x14ac:dyDescent="0.2">
      <c r="R16928" s="1288"/>
    </row>
    <row r="16929" spans="18:18" s="2" customFormat="1" ht="12.75" x14ac:dyDescent="0.2">
      <c r="R16929" s="1288"/>
    </row>
    <row r="16930" spans="18:18" s="2" customFormat="1" ht="12.75" x14ac:dyDescent="0.2">
      <c r="R16930" s="1288"/>
    </row>
    <row r="16931" spans="18:18" s="2" customFormat="1" ht="12.75" x14ac:dyDescent="0.2">
      <c r="R16931" s="1288"/>
    </row>
    <row r="16932" spans="18:18" s="2" customFormat="1" ht="12.75" x14ac:dyDescent="0.2">
      <c r="R16932" s="1288"/>
    </row>
    <row r="16933" spans="18:18" s="2" customFormat="1" ht="12.75" x14ac:dyDescent="0.2">
      <c r="R16933" s="1288"/>
    </row>
    <row r="16934" spans="18:18" s="2" customFormat="1" ht="12.75" x14ac:dyDescent="0.2">
      <c r="R16934" s="1288"/>
    </row>
    <row r="16935" spans="18:18" s="2" customFormat="1" ht="12.75" x14ac:dyDescent="0.2">
      <c r="R16935" s="1288"/>
    </row>
    <row r="16936" spans="18:18" s="2" customFormat="1" ht="12.75" x14ac:dyDescent="0.2">
      <c r="R16936" s="1288"/>
    </row>
    <row r="16937" spans="18:18" s="2" customFormat="1" ht="12.75" x14ac:dyDescent="0.2">
      <c r="R16937" s="1288"/>
    </row>
    <row r="16938" spans="18:18" s="2" customFormat="1" ht="12.75" x14ac:dyDescent="0.2">
      <c r="R16938" s="1288"/>
    </row>
    <row r="16939" spans="18:18" s="2" customFormat="1" ht="12.75" x14ac:dyDescent="0.2">
      <c r="R16939" s="1288"/>
    </row>
    <row r="16940" spans="18:18" s="2" customFormat="1" ht="12.75" x14ac:dyDescent="0.2">
      <c r="R16940" s="1288"/>
    </row>
    <row r="16941" spans="18:18" s="2" customFormat="1" ht="12.75" x14ac:dyDescent="0.2">
      <c r="R16941" s="1288"/>
    </row>
    <row r="16942" spans="18:18" s="2" customFormat="1" ht="12.75" x14ac:dyDescent="0.2">
      <c r="R16942" s="1288"/>
    </row>
    <row r="16943" spans="18:18" s="2" customFormat="1" ht="12.75" x14ac:dyDescent="0.2">
      <c r="R16943" s="1288"/>
    </row>
    <row r="16944" spans="18:18" s="2" customFormat="1" ht="12.75" x14ac:dyDescent="0.2">
      <c r="R16944" s="1288"/>
    </row>
    <row r="16945" spans="18:18" s="2" customFormat="1" ht="12.75" x14ac:dyDescent="0.2">
      <c r="R16945" s="1288"/>
    </row>
    <row r="16946" spans="18:18" s="2" customFormat="1" ht="12.75" x14ac:dyDescent="0.2">
      <c r="R16946" s="1288"/>
    </row>
    <row r="16947" spans="18:18" s="2" customFormat="1" ht="12.75" x14ac:dyDescent="0.2">
      <c r="R16947" s="1288"/>
    </row>
    <row r="16948" spans="18:18" s="2" customFormat="1" ht="12.75" x14ac:dyDescent="0.2">
      <c r="R16948" s="1288"/>
    </row>
    <row r="16949" spans="18:18" s="2" customFormat="1" ht="12.75" x14ac:dyDescent="0.2">
      <c r="R16949" s="1288"/>
    </row>
    <row r="16950" spans="18:18" s="2" customFormat="1" ht="12.75" x14ac:dyDescent="0.2">
      <c r="R16950" s="1288"/>
    </row>
    <row r="16951" spans="18:18" s="2" customFormat="1" ht="12.75" x14ac:dyDescent="0.2">
      <c r="R16951" s="1288"/>
    </row>
    <row r="16952" spans="18:18" s="2" customFormat="1" ht="12.75" x14ac:dyDescent="0.2">
      <c r="R16952" s="1288"/>
    </row>
    <row r="16953" spans="18:18" s="2" customFormat="1" ht="12.75" x14ac:dyDescent="0.2">
      <c r="R16953" s="1288"/>
    </row>
    <row r="16954" spans="18:18" s="2" customFormat="1" ht="12.75" x14ac:dyDescent="0.2">
      <c r="R16954" s="1288"/>
    </row>
    <row r="16955" spans="18:18" s="2" customFormat="1" ht="12.75" x14ac:dyDescent="0.2">
      <c r="R16955" s="1288"/>
    </row>
    <row r="16956" spans="18:18" s="2" customFormat="1" ht="12.75" x14ac:dyDescent="0.2">
      <c r="R16956" s="1288"/>
    </row>
    <row r="16957" spans="18:18" s="2" customFormat="1" ht="12.75" x14ac:dyDescent="0.2">
      <c r="R16957" s="1288"/>
    </row>
    <row r="16958" spans="18:18" s="2" customFormat="1" ht="12.75" x14ac:dyDescent="0.2">
      <c r="R16958" s="1288"/>
    </row>
    <row r="16959" spans="18:18" s="2" customFormat="1" ht="12.75" x14ac:dyDescent="0.2">
      <c r="R16959" s="1288"/>
    </row>
    <row r="16960" spans="18:18" s="2" customFormat="1" ht="12.75" x14ac:dyDescent="0.2">
      <c r="R16960" s="1288"/>
    </row>
    <row r="16961" spans="18:18" s="2" customFormat="1" ht="12.75" x14ac:dyDescent="0.2">
      <c r="R16961" s="1288"/>
    </row>
    <row r="16962" spans="18:18" s="2" customFormat="1" ht="12.75" x14ac:dyDescent="0.2">
      <c r="R16962" s="1288"/>
    </row>
    <row r="16963" spans="18:18" s="2" customFormat="1" ht="12.75" x14ac:dyDescent="0.2">
      <c r="R16963" s="1288"/>
    </row>
    <row r="16964" spans="18:18" s="2" customFormat="1" ht="12.75" x14ac:dyDescent="0.2">
      <c r="R16964" s="1288"/>
    </row>
    <row r="16965" spans="18:18" s="2" customFormat="1" ht="12.75" x14ac:dyDescent="0.2">
      <c r="R16965" s="1288"/>
    </row>
    <row r="16966" spans="18:18" s="2" customFormat="1" ht="12.75" x14ac:dyDescent="0.2">
      <c r="R16966" s="1288"/>
    </row>
    <row r="16967" spans="18:18" s="2" customFormat="1" ht="12.75" x14ac:dyDescent="0.2">
      <c r="R16967" s="1288"/>
    </row>
    <row r="16968" spans="18:18" s="2" customFormat="1" ht="12.75" x14ac:dyDescent="0.2">
      <c r="R16968" s="1288"/>
    </row>
    <row r="16969" spans="18:18" s="2" customFormat="1" ht="12.75" x14ac:dyDescent="0.2">
      <c r="R16969" s="1288"/>
    </row>
    <row r="16970" spans="18:18" s="2" customFormat="1" ht="12.75" x14ac:dyDescent="0.2">
      <c r="R16970" s="1288"/>
    </row>
    <row r="16971" spans="18:18" s="2" customFormat="1" ht="12.75" x14ac:dyDescent="0.2">
      <c r="R16971" s="1288"/>
    </row>
    <row r="16972" spans="18:18" s="2" customFormat="1" ht="12.75" x14ac:dyDescent="0.2">
      <c r="R16972" s="1288"/>
    </row>
    <row r="16973" spans="18:18" s="2" customFormat="1" ht="12.75" x14ac:dyDescent="0.2">
      <c r="R16973" s="1288"/>
    </row>
    <row r="16974" spans="18:18" s="2" customFormat="1" ht="12.75" x14ac:dyDescent="0.2">
      <c r="R16974" s="1288"/>
    </row>
    <row r="16975" spans="18:18" s="2" customFormat="1" ht="12.75" x14ac:dyDescent="0.2">
      <c r="R16975" s="1288"/>
    </row>
    <row r="16976" spans="18:18" s="2" customFormat="1" ht="12.75" x14ac:dyDescent="0.2">
      <c r="R16976" s="1288"/>
    </row>
    <row r="16977" spans="18:18" s="2" customFormat="1" ht="12.75" x14ac:dyDescent="0.2">
      <c r="R16977" s="1288"/>
    </row>
    <row r="16978" spans="18:18" s="2" customFormat="1" ht="12.75" x14ac:dyDescent="0.2">
      <c r="R16978" s="1288"/>
    </row>
    <row r="16979" spans="18:18" s="2" customFormat="1" ht="12.75" x14ac:dyDescent="0.2">
      <c r="R16979" s="1288"/>
    </row>
    <row r="16980" spans="18:18" s="2" customFormat="1" ht="12.75" x14ac:dyDescent="0.2">
      <c r="R16980" s="1288"/>
    </row>
    <row r="16981" spans="18:18" s="2" customFormat="1" ht="12.75" x14ac:dyDescent="0.2">
      <c r="R16981" s="1288"/>
    </row>
    <row r="16982" spans="18:18" s="2" customFormat="1" ht="12.75" x14ac:dyDescent="0.2">
      <c r="R16982" s="1288"/>
    </row>
    <row r="16983" spans="18:18" s="2" customFormat="1" ht="12.75" x14ac:dyDescent="0.2">
      <c r="R16983" s="1288"/>
    </row>
    <row r="16984" spans="18:18" s="2" customFormat="1" ht="12.75" x14ac:dyDescent="0.2">
      <c r="R16984" s="1288"/>
    </row>
    <row r="16985" spans="18:18" s="2" customFormat="1" ht="12.75" x14ac:dyDescent="0.2">
      <c r="R16985" s="1288"/>
    </row>
    <row r="16986" spans="18:18" s="2" customFormat="1" ht="12.75" x14ac:dyDescent="0.2">
      <c r="R16986" s="1288"/>
    </row>
    <row r="16987" spans="18:18" s="2" customFormat="1" ht="12.75" x14ac:dyDescent="0.2">
      <c r="R16987" s="1288"/>
    </row>
    <row r="16988" spans="18:18" s="2" customFormat="1" ht="12.75" x14ac:dyDescent="0.2">
      <c r="R16988" s="1288"/>
    </row>
    <row r="16989" spans="18:18" s="2" customFormat="1" ht="12.75" x14ac:dyDescent="0.2">
      <c r="R16989" s="1288"/>
    </row>
    <row r="16990" spans="18:18" s="2" customFormat="1" ht="12.75" x14ac:dyDescent="0.2">
      <c r="R16990" s="1288"/>
    </row>
    <row r="16991" spans="18:18" s="2" customFormat="1" ht="12.75" x14ac:dyDescent="0.2">
      <c r="R16991" s="1288"/>
    </row>
    <row r="16992" spans="18:18" s="2" customFormat="1" ht="12.75" x14ac:dyDescent="0.2">
      <c r="R16992" s="1288"/>
    </row>
    <row r="16993" spans="18:18" s="2" customFormat="1" ht="12.75" x14ac:dyDescent="0.2">
      <c r="R16993" s="1288"/>
    </row>
    <row r="16994" spans="18:18" s="2" customFormat="1" ht="12.75" x14ac:dyDescent="0.2">
      <c r="R16994" s="1288"/>
    </row>
    <row r="16995" spans="18:18" s="2" customFormat="1" ht="12.75" x14ac:dyDescent="0.2">
      <c r="R16995" s="1288"/>
    </row>
    <row r="16996" spans="18:18" s="2" customFormat="1" ht="12.75" x14ac:dyDescent="0.2">
      <c r="R16996" s="1288"/>
    </row>
    <row r="16997" spans="18:18" s="2" customFormat="1" ht="12.75" x14ac:dyDescent="0.2">
      <c r="R16997" s="1288"/>
    </row>
    <row r="16998" spans="18:18" s="2" customFormat="1" ht="12.75" x14ac:dyDescent="0.2">
      <c r="R16998" s="1288"/>
    </row>
    <row r="16999" spans="18:18" s="2" customFormat="1" ht="12.75" x14ac:dyDescent="0.2">
      <c r="R16999" s="1288"/>
    </row>
    <row r="17000" spans="18:18" s="2" customFormat="1" ht="12.75" x14ac:dyDescent="0.2">
      <c r="R17000" s="1288"/>
    </row>
    <row r="17001" spans="18:18" s="2" customFormat="1" ht="12.75" x14ac:dyDescent="0.2">
      <c r="R17001" s="1288"/>
    </row>
    <row r="17002" spans="18:18" s="2" customFormat="1" ht="12.75" x14ac:dyDescent="0.2">
      <c r="R17002" s="1288"/>
    </row>
    <row r="17003" spans="18:18" s="2" customFormat="1" ht="12.75" x14ac:dyDescent="0.2">
      <c r="R17003" s="1288"/>
    </row>
    <row r="17004" spans="18:18" s="2" customFormat="1" ht="12.75" x14ac:dyDescent="0.2">
      <c r="R17004" s="1288"/>
    </row>
    <row r="17005" spans="18:18" s="2" customFormat="1" ht="12.75" x14ac:dyDescent="0.2">
      <c r="R17005" s="1288"/>
    </row>
    <row r="17006" spans="18:18" s="2" customFormat="1" ht="12.75" x14ac:dyDescent="0.2">
      <c r="R17006" s="1288"/>
    </row>
    <row r="17007" spans="18:18" s="2" customFormat="1" ht="12.75" x14ac:dyDescent="0.2">
      <c r="R17007" s="1288"/>
    </row>
    <row r="17008" spans="18:18" s="2" customFormat="1" ht="12.75" x14ac:dyDescent="0.2">
      <c r="R17008" s="1288"/>
    </row>
    <row r="17009" spans="18:18" s="2" customFormat="1" ht="12.75" x14ac:dyDescent="0.2">
      <c r="R17009" s="1288"/>
    </row>
    <row r="17010" spans="18:18" s="2" customFormat="1" ht="12.75" x14ac:dyDescent="0.2">
      <c r="R17010" s="1288"/>
    </row>
    <row r="17011" spans="18:18" s="2" customFormat="1" ht="12.75" x14ac:dyDescent="0.2">
      <c r="R17011" s="1288"/>
    </row>
    <row r="17012" spans="18:18" s="2" customFormat="1" ht="12.75" x14ac:dyDescent="0.2">
      <c r="R17012" s="1288"/>
    </row>
    <row r="17013" spans="18:18" s="2" customFormat="1" ht="12.75" x14ac:dyDescent="0.2">
      <c r="R17013" s="1288"/>
    </row>
    <row r="17014" spans="18:18" s="2" customFormat="1" ht="12.75" x14ac:dyDescent="0.2">
      <c r="R17014" s="1288"/>
    </row>
    <row r="17015" spans="18:18" s="2" customFormat="1" ht="12.75" x14ac:dyDescent="0.2">
      <c r="R17015" s="1288"/>
    </row>
    <row r="17016" spans="18:18" s="2" customFormat="1" ht="12.75" x14ac:dyDescent="0.2">
      <c r="R17016" s="1288"/>
    </row>
    <row r="17017" spans="18:18" s="2" customFormat="1" ht="12.75" x14ac:dyDescent="0.2">
      <c r="R17017" s="1288"/>
    </row>
    <row r="17018" spans="18:18" s="2" customFormat="1" ht="12.75" x14ac:dyDescent="0.2">
      <c r="R17018" s="1288"/>
    </row>
    <row r="17019" spans="18:18" s="2" customFormat="1" ht="12.75" x14ac:dyDescent="0.2">
      <c r="R17019" s="1288"/>
    </row>
    <row r="17020" spans="18:18" s="2" customFormat="1" ht="12.75" x14ac:dyDescent="0.2">
      <c r="R17020" s="1288"/>
    </row>
    <row r="17021" spans="18:18" s="2" customFormat="1" ht="12.75" x14ac:dyDescent="0.2">
      <c r="R17021" s="1288"/>
    </row>
    <row r="17022" spans="18:18" s="2" customFormat="1" ht="12.75" x14ac:dyDescent="0.2">
      <c r="R17022" s="1288"/>
    </row>
    <row r="17023" spans="18:18" s="2" customFormat="1" ht="12.75" x14ac:dyDescent="0.2">
      <c r="R17023" s="1288"/>
    </row>
    <row r="17024" spans="18:18" s="2" customFormat="1" ht="12.75" x14ac:dyDescent="0.2">
      <c r="R17024" s="1288"/>
    </row>
    <row r="17025" spans="18:18" s="2" customFormat="1" ht="12.75" x14ac:dyDescent="0.2">
      <c r="R17025" s="1288"/>
    </row>
    <row r="17026" spans="18:18" s="2" customFormat="1" ht="12.75" x14ac:dyDescent="0.2">
      <c r="R17026" s="1288"/>
    </row>
    <row r="17027" spans="18:18" s="2" customFormat="1" ht="12.75" x14ac:dyDescent="0.2">
      <c r="R17027" s="1288"/>
    </row>
    <row r="17028" spans="18:18" s="2" customFormat="1" ht="12.75" x14ac:dyDescent="0.2">
      <c r="R17028" s="1288"/>
    </row>
    <row r="17029" spans="18:18" s="2" customFormat="1" ht="12.75" x14ac:dyDescent="0.2">
      <c r="R17029" s="1288"/>
    </row>
    <row r="17030" spans="18:18" s="2" customFormat="1" ht="12.75" x14ac:dyDescent="0.2">
      <c r="R17030" s="1288"/>
    </row>
    <row r="17031" spans="18:18" s="2" customFormat="1" ht="12.75" x14ac:dyDescent="0.2">
      <c r="R17031" s="1288"/>
    </row>
    <row r="17032" spans="18:18" s="2" customFormat="1" ht="12.75" x14ac:dyDescent="0.2">
      <c r="R17032" s="1288"/>
    </row>
    <row r="17033" spans="18:18" s="2" customFormat="1" ht="12.75" x14ac:dyDescent="0.2">
      <c r="R17033" s="1288"/>
    </row>
    <row r="17034" spans="18:18" s="2" customFormat="1" ht="12.75" x14ac:dyDescent="0.2">
      <c r="R17034" s="1288"/>
    </row>
    <row r="17035" spans="18:18" s="2" customFormat="1" ht="12.75" x14ac:dyDescent="0.2">
      <c r="R17035" s="1288"/>
    </row>
    <row r="17036" spans="18:18" s="2" customFormat="1" ht="12.75" x14ac:dyDescent="0.2">
      <c r="R17036" s="1288"/>
    </row>
    <row r="17037" spans="18:18" s="2" customFormat="1" ht="12.75" x14ac:dyDescent="0.2">
      <c r="R17037" s="1288"/>
    </row>
    <row r="17038" spans="18:18" s="2" customFormat="1" ht="12.75" x14ac:dyDescent="0.2">
      <c r="R17038" s="1288"/>
    </row>
    <row r="17039" spans="18:18" s="2" customFormat="1" ht="12.75" x14ac:dyDescent="0.2">
      <c r="R17039" s="1288"/>
    </row>
    <row r="17040" spans="18:18" s="2" customFormat="1" ht="12.75" x14ac:dyDescent="0.2">
      <c r="R17040" s="1288"/>
    </row>
    <row r="17041" spans="18:18" s="2" customFormat="1" ht="12.75" x14ac:dyDescent="0.2">
      <c r="R17041" s="1288"/>
    </row>
    <row r="17042" spans="18:18" s="2" customFormat="1" ht="12.75" x14ac:dyDescent="0.2">
      <c r="R17042" s="1288"/>
    </row>
    <row r="17043" spans="18:18" s="2" customFormat="1" ht="12.75" x14ac:dyDescent="0.2">
      <c r="R17043" s="1288"/>
    </row>
    <row r="17044" spans="18:18" s="2" customFormat="1" ht="12.75" x14ac:dyDescent="0.2">
      <c r="R17044" s="1288"/>
    </row>
    <row r="17045" spans="18:18" s="2" customFormat="1" ht="12.75" x14ac:dyDescent="0.2">
      <c r="R17045" s="1288"/>
    </row>
    <row r="17046" spans="18:18" s="2" customFormat="1" ht="12.75" x14ac:dyDescent="0.2">
      <c r="R17046" s="1288"/>
    </row>
    <row r="17047" spans="18:18" s="2" customFormat="1" ht="12.75" x14ac:dyDescent="0.2">
      <c r="R17047" s="1288"/>
    </row>
    <row r="17048" spans="18:18" s="2" customFormat="1" ht="12.75" x14ac:dyDescent="0.2">
      <c r="R17048" s="1288"/>
    </row>
    <row r="17049" spans="18:18" s="2" customFormat="1" ht="12.75" x14ac:dyDescent="0.2">
      <c r="R17049" s="1288"/>
    </row>
    <row r="17050" spans="18:18" s="2" customFormat="1" ht="12.75" x14ac:dyDescent="0.2">
      <c r="R17050" s="1288"/>
    </row>
    <row r="17051" spans="18:18" s="2" customFormat="1" ht="12.75" x14ac:dyDescent="0.2">
      <c r="R17051" s="1288"/>
    </row>
    <row r="17052" spans="18:18" s="2" customFormat="1" ht="12.75" x14ac:dyDescent="0.2">
      <c r="R17052" s="1288"/>
    </row>
    <row r="17053" spans="18:18" s="2" customFormat="1" ht="12.75" x14ac:dyDescent="0.2">
      <c r="R17053" s="1288"/>
    </row>
    <row r="17054" spans="18:18" s="2" customFormat="1" ht="12.75" x14ac:dyDescent="0.2">
      <c r="R17054" s="1288"/>
    </row>
    <row r="17055" spans="18:18" s="2" customFormat="1" ht="12.75" x14ac:dyDescent="0.2">
      <c r="R17055" s="1288"/>
    </row>
    <row r="17056" spans="18:18" s="2" customFormat="1" ht="12.75" x14ac:dyDescent="0.2">
      <c r="R17056" s="1288"/>
    </row>
    <row r="17057" spans="18:18" s="2" customFormat="1" ht="12.75" x14ac:dyDescent="0.2">
      <c r="R17057" s="1288"/>
    </row>
    <row r="17058" spans="18:18" s="2" customFormat="1" ht="12.75" x14ac:dyDescent="0.2">
      <c r="R17058" s="1288"/>
    </row>
    <row r="17059" spans="18:18" s="2" customFormat="1" ht="12.75" x14ac:dyDescent="0.2">
      <c r="R17059" s="1288"/>
    </row>
    <row r="17060" spans="18:18" s="2" customFormat="1" ht="12.75" x14ac:dyDescent="0.2">
      <c r="R17060" s="1288"/>
    </row>
    <row r="17061" spans="18:18" s="2" customFormat="1" ht="12.75" x14ac:dyDescent="0.2">
      <c r="R17061" s="1288"/>
    </row>
    <row r="17062" spans="18:18" s="2" customFormat="1" ht="12.75" x14ac:dyDescent="0.2">
      <c r="R17062" s="1288"/>
    </row>
    <row r="17063" spans="18:18" s="2" customFormat="1" ht="12.75" x14ac:dyDescent="0.2">
      <c r="R17063" s="1288"/>
    </row>
    <row r="17064" spans="18:18" s="2" customFormat="1" ht="12.75" x14ac:dyDescent="0.2">
      <c r="R17064" s="1288"/>
    </row>
    <row r="17065" spans="18:18" s="2" customFormat="1" ht="12.75" x14ac:dyDescent="0.2">
      <c r="R17065" s="1288"/>
    </row>
    <row r="17066" spans="18:18" s="2" customFormat="1" ht="12.75" x14ac:dyDescent="0.2">
      <c r="R17066" s="1288"/>
    </row>
    <row r="17067" spans="18:18" s="2" customFormat="1" ht="12.75" x14ac:dyDescent="0.2">
      <c r="R17067" s="1288"/>
    </row>
    <row r="17068" spans="18:18" s="2" customFormat="1" ht="12.75" x14ac:dyDescent="0.2">
      <c r="R17068" s="1288"/>
    </row>
    <row r="17069" spans="18:18" s="2" customFormat="1" ht="12.75" x14ac:dyDescent="0.2">
      <c r="R17069" s="1288"/>
    </row>
    <row r="17070" spans="18:18" s="2" customFormat="1" ht="12.75" x14ac:dyDescent="0.2">
      <c r="R17070" s="1288"/>
    </row>
    <row r="17071" spans="18:18" s="2" customFormat="1" ht="12.75" x14ac:dyDescent="0.2">
      <c r="R17071" s="1288"/>
    </row>
    <row r="17072" spans="18:18" s="2" customFormat="1" ht="12.75" x14ac:dyDescent="0.2">
      <c r="R17072" s="1288"/>
    </row>
    <row r="17073" spans="18:18" s="2" customFormat="1" ht="12.75" x14ac:dyDescent="0.2">
      <c r="R17073" s="1288"/>
    </row>
    <row r="17074" spans="18:18" s="2" customFormat="1" ht="12.75" x14ac:dyDescent="0.2">
      <c r="R17074" s="1288"/>
    </row>
    <row r="17075" spans="18:18" s="2" customFormat="1" ht="12.75" x14ac:dyDescent="0.2">
      <c r="R17075" s="1288"/>
    </row>
    <row r="17076" spans="18:18" s="2" customFormat="1" ht="12.75" x14ac:dyDescent="0.2">
      <c r="R17076" s="1288"/>
    </row>
    <row r="17077" spans="18:18" s="2" customFormat="1" ht="12.75" x14ac:dyDescent="0.2">
      <c r="R17077" s="1288"/>
    </row>
    <row r="17078" spans="18:18" s="2" customFormat="1" ht="12.75" x14ac:dyDescent="0.2">
      <c r="R17078" s="1288"/>
    </row>
    <row r="17079" spans="18:18" s="2" customFormat="1" ht="12.75" x14ac:dyDescent="0.2">
      <c r="R17079" s="1288"/>
    </row>
    <row r="17080" spans="18:18" s="2" customFormat="1" ht="12.75" x14ac:dyDescent="0.2">
      <c r="R17080" s="1288"/>
    </row>
    <row r="17081" spans="18:18" s="2" customFormat="1" ht="12.75" x14ac:dyDescent="0.2">
      <c r="R17081" s="1288"/>
    </row>
    <row r="17082" spans="18:18" s="2" customFormat="1" ht="12.75" x14ac:dyDescent="0.2">
      <c r="R17082" s="1288"/>
    </row>
    <row r="17083" spans="18:18" s="2" customFormat="1" ht="12.75" x14ac:dyDescent="0.2">
      <c r="R17083" s="1288"/>
    </row>
    <row r="17084" spans="18:18" s="2" customFormat="1" ht="12.75" x14ac:dyDescent="0.2">
      <c r="R17084" s="1288"/>
    </row>
    <row r="17085" spans="18:18" s="2" customFormat="1" ht="12.75" x14ac:dyDescent="0.2">
      <c r="R17085" s="1288"/>
    </row>
    <row r="17086" spans="18:18" s="2" customFormat="1" ht="12.75" x14ac:dyDescent="0.2">
      <c r="R17086" s="1288"/>
    </row>
    <row r="17087" spans="18:18" s="2" customFormat="1" ht="12.75" x14ac:dyDescent="0.2">
      <c r="R17087" s="1288"/>
    </row>
    <row r="17088" spans="18:18" s="2" customFormat="1" ht="12.75" x14ac:dyDescent="0.2">
      <c r="R17088" s="1288"/>
    </row>
    <row r="17089" spans="18:18" s="2" customFormat="1" ht="12.75" x14ac:dyDescent="0.2">
      <c r="R17089" s="1288"/>
    </row>
    <row r="17090" spans="18:18" s="2" customFormat="1" ht="12.75" x14ac:dyDescent="0.2">
      <c r="R17090" s="1288"/>
    </row>
    <row r="17091" spans="18:18" s="2" customFormat="1" ht="12.75" x14ac:dyDescent="0.2">
      <c r="R17091" s="1288"/>
    </row>
    <row r="17092" spans="18:18" s="2" customFormat="1" ht="12.75" x14ac:dyDescent="0.2">
      <c r="R17092" s="1288"/>
    </row>
    <row r="17093" spans="18:18" s="2" customFormat="1" ht="12.75" x14ac:dyDescent="0.2">
      <c r="R17093" s="1288"/>
    </row>
    <row r="17094" spans="18:18" s="2" customFormat="1" ht="12.75" x14ac:dyDescent="0.2">
      <c r="R17094" s="1288"/>
    </row>
    <row r="17095" spans="18:18" s="2" customFormat="1" ht="12.75" x14ac:dyDescent="0.2">
      <c r="R17095" s="1288"/>
    </row>
    <row r="17096" spans="18:18" s="2" customFormat="1" ht="12.75" x14ac:dyDescent="0.2">
      <c r="R17096" s="1288"/>
    </row>
    <row r="17097" spans="18:18" s="2" customFormat="1" ht="12.75" x14ac:dyDescent="0.2">
      <c r="R17097" s="1288"/>
    </row>
    <row r="17098" spans="18:18" s="2" customFormat="1" ht="12.75" x14ac:dyDescent="0.2">
      <c r="R17098" s="1288"/>
    </row>
    <row r="17099" spans="18:18" s="2" customFormat="1" ht="12.75" x14ac:dyDescent="0.2">
      <c r="R17099" s="1288"/>
    </row>
    <row r="17100" spans="18:18" s="2" customFormat="1" ht="12.75" x14ac:dyDescent="0.2">
      <c r="R17100" s="1288"/>
    </row>
    <row r="17101" spans="18:18" s="2" customFormat="1" ht="12.75" x14ac:dyDescent="0.2">
      <c r="R17101" s="1288"/>
    </row>
    <row r="17102" spans="18:18" s="2" customFormat="1" ht="12.75" x14ac:dyDescent="0.2">
      <c r="R17102" s="1288"/>
    </row>
    <row r="17103" spans="18:18" s="2" customFormat="1" ht="12.75" x14ac:dyDescent="0.2">
      <c r="R17103" s="1288"/>
    </row>
    <row r="17104" spans="18:18" s="2" customFormat="1" ht="12.75" x14ac:dyDescent="0.2">
      <c r="R17104" s="1288"/>
    </row>
    <row r="17105" spans="18:18" s="2" customFormat="1" ht="12.75" x14ac:dyDescent="0.2">
      <c r="R17105" s="1288"/>
    </row>
    <row r="17106" spans="18:18" s="2" customFormat="1" ht="12.75" x14ac:dyDescent="0.2">
      <c r="R17106" s="1288"/>
    </row>
    <row r="17107" spans="18:18" s="2" customFormat="1" ht="12.75" x14ac:dyDescent="0.2">
      <c r="R17107" s="1288"/>
    </row>
    <row r="17108" spans="18:18" s="2" customFormat="1" ht="12.75" x14ac:dyDescent="0.2">
      <c r="R17108" s="1288"/>
    </row>
    <row r="17109" spans="18:18" s="2" customFormat="1" ht="12.75" x14ac:dyDescent="0.2">
      <c r="R17109" s="1288"/>
    </row>
    <row r="17110" spans="18:18" s="2" customFormat="1" ht="12.75" x14ac:dyDescent="0.2">
      <c r="R17110" s="1288"/>
    </row>
    <row r="17111" spans="18:18" s="2" customFormat="1" ht="12.75" x14ac:dyDescent="0.2">
      <c r="R17111" s="1288"/>
    </row>
    <row r="17112" spans="18:18" s="2" customFormat="1" ht="12.75" x14ac:dyDescent="0.2">
      <c r="R17112" s="1288"/>
    </row>
    <row r="17113" spans="18:18" s="2" customFormat="1" ht="12.75" x14ac:dyDescent="0.2">
      <c r="R17113" s="1288"/>
    </row>
    <row r="17114" spans="18:18" s="2" customFormat="1" ht="12.75" x14ac:dyDescent="0.2">
      <c r="R17114" s="1288"/>
    </row>
    <row r="17115" spans="18:18" s="2" customFormat="1" ht="12.75" x14ac:dyDescent="0.2">
      <c r="R17115" s="1288"/>
    </row>
    <row r="17116" spans="18:18" s="2" customFormat="1" ht="12.75" x14ac:dyDescent="0.2">
      <c r="R17116" s="1288"/>
    </row>
    <row r="17117" spans="18:18" s="2" customFormat="1" ht="12.75" x14ac:dyDescent="0.2">
      <c r="R17117" s="1288"/>
    </row>
    <row r="17118" spans="18:18" s="2" customFormat="1" ht="12.75" x14ac:dyDescent="0.2">
      <c r="R17118" s="1288"/>
    </row>
    <row r="17119" spans="18:18" s="2" customFormat="1" ht="12.75" x14ac:dyDescent="0.2">
      <c r="R17119" s="1288"/>
    </row>
    <row r="17120" spans="18:18" s="2" customFormat="1" ht="12.75" x14ac:dyDescent="0.2">
      <c r="R17120" s="1288"/>
    </row>
    <row r="17121" spans="18:18" s="2" customFormat="1" ht="12.75" x14ac:dyDescent="0.2">
      <c r="R17121" s="1288"/>
    </row>
    <row r="17122" spans="18:18" s="2" customFormat="1" ht="12.75" x14ac:dyDescent="0.2">
      <c r="R17122" s="1288"/>
    </row>
    <row r="17123" spans="18:18" s="2" customFormat="1" ht="12.75" x14ac:dyDescent="0.2">
      <c r="R17123" s="1288"/>
    </row>
    <row r="17124" spans="18:18" s="2" customFormat="1" ht="12.75" x14ac:dyDescent="0.2">
      <c r="R17124" s="1288"/>
    </row>
    <row r="17125" spans="18:18" s="2" customFormat="1" ht="12.75" x14ac:dyDescent="0.2">
      <c r="R17125" s="1288"/>
    </row>
    <row r="17126" spans="18:18" s="2" customFormat="1" ht="12.75" x14ac:dyDescent="0.2">
      <c r="R17126" s="1288"/>
    </row>
    <row r="17127" spans="18:18" s="2" customFormat="1" ht="12.75" x14ac:dyDescent="0.2">
      <c r="R17127" s="1288"/>
    </row>
    <row r="17128" spans="18:18" s="2" customFormat="1" ht="12.75" x14ac:dyDescent="0.2">
      <c r="R17128" s="1288"/>
    </row>
    <row r="17129" spans="18:18" s="2" customFormat="1" ht="12.75" x14ac:dyDescent="0.2">
      <c r="R17129" s="1288"/>
    </row>
    <row r="17130" spans="18:18" s="2" customFormat="1" ht="12.75" x14ac:dyDescent="0.2">
      <c r="R17130" s="1288"/>
    </row>
    <row r="17131" spans="18:18" s="2" customFormat="1" ht="12.75" x14ac:dyDescent="0.2">
      <c r="R17131" s="1288"/>
    </row>
    <row r="17132" spans="18:18" s="2" customFormat="1" ht="12.75" x14ac:dyDescent="0.2">
      <c r="R17132" s="1288"/>
    </row>
    <row r="17133" spans="18:18" s="2" customFormat="1" ht="12.75" x14ac:dyDescent="0.2">
      <c r="R17133" s="1288"/>
    </row>
    <row r="17134" spans="18:18" s="2" customFormat="1" ht="12.75" x14ac:dyDescent="0.2">
      <c r="R17134" s="1288"/>
    </row>
    <row r="17135" spans="18:18" s="2" customFormat="1" ht="12.75" x14ac:dyDescent="0.2">
      <c r="R17135" s="1288"/>
    </row>
    <row r="17136" spans="18:18" s="2" customFormat="1" ht="12.75" x14ac:dyDescent="0.2">
      <c r="R17136" s="1288"/>
    </row>
    <row r="17137" spans="18:18" s="2" customFormat="1" ht="12.75" x14ac:dyDescent="0.2">
      <c r="R17137" s="1288"/>
    </row>
    <row r="17138" spans="18:18" s="2" customFormat="1" ht="12.75" x14ac:dyDescent="0.2">
      <c r="R17138" s="1288"/>
    </row>
    <row r="17139" spans="18:18" s="2" customFormat="1" ht="12.75" x14ac:dyDescent="0.2">
      <c r="R17139" s="1288"/>
    </row>
    <row r="17140" spans="18:18" s="2" customFormat="1" ht="12.75" x14ac:dyDescent="0.2">
      <c r="R17140" s="1288"/>
    </row>
    <row r="17141" spans="18:18" s="2" customFormat="1" ht="12.75" x14ac:dyDescent="0.2">
      <c r="R17141" s="1288"/>
    </row>
    <row r="17142" spans="18:18" s="2" customFormat="1" ht="12.75" x14ac:dyDescent="0.2">
      <c r="R17142" s="1288"/>
    </row>
    <row r="17143" spans="18:18" s="2" customFormat="1" ht="12.75" x14ac:dyDescent="0.2">
      <c r="R17143" s="1288"/>
    </row>
    <row r="17144" spans="18:18" s="2" customFormat="1" ht="12.75" x14ac:dyDescent="0.2">
      <c r="R17144" s="1288"/>
    </row>
    <row r="17145" spans="18:18" s="2" customFormat="1" ht="12.75" x14ac:dyDescent="0.2">
      <c r="R17145" s="1288"/>
    </row>
    <row r="17146" spans="18:18" s="2" customFormat="1" ht="12.75" x14ac:dyDescent="0.2">
      <c r="R17146" s="1288"/>
    </row>
    <row r="17147" spans="18:18" s="2" customFormat="1" ht="12.75" x14ac:dyDescent="0.2">
      <c r="R17147" s="1288"/>
    </row>
    <row r="17148" spans="18:18" s="2" customFormat="1" ht="12.75" x14ac:dyDescent="0.2">
      <c r="R17148" s="1288"/>
    </row>
    <row r="17149" spans="18:18" s="2" customFormat="1" ht="12.75" x14ac:dyDescent="0.2">
      <c r="R17149" s="1288"/>
    </row>
    <row r="17150" spans="18:18" s="2" customFormat="1" ht="12.75" x14ac:dyDescent="0.2">
      <c r="R17150" s="1288"/>
    </row>
    <row r="17151" spans="18:18" s="2" customFormat="1" ht="12.75" x14ac:dyDescent="0.2">
      <c r="R17151" s="1288"/>
    </row>
    <row r="17152" spans="18:18" s="2" customFormat="1" ht="12.75" x14ac:dyDescent="0.2">
      <c r="R17152" s="1288"/>
    </row>
    <row r="17153" spans="18:18" s="2" customFormat="1" ht="12.75" x14ac:dyDescent="0.2">
      <c r="R17153" s="1288"/>
    </row>
    <row r="17154" spans="18:18" s="2" customFormat="1" ht="12.75" x14ac:dyDescent="0.2">
      <c r="R17154" s="1288"/>
    </row>
    <row r="17155" spans="18:18" s="2" customFormat="1" ht="12.75" x14ac:dyDescent="0.2">
      <c r="R17155" s="1288"/>
    </row>
    <row r="17156" spans="18:18" s="2" customFormat="1" ht="12.75" x14ac:dyDescent="0.2">
      <c r="R17156" s="1288"/>
    </row>
    <row r="17157" spans="18:18" s="2" customFormat="1" ht="12.75" x14ac:dyDescent="0.2">
      <c r="R17157" s="1288"/>
    </row>
    <row r="17158" spans="18:18" s="2" customFormat="1" ht="12.75" x14ac:dyDescent="0.2">
      <c r="R17158" s="1288"/>
    </row>
    <row r="17159" spans="18:18" s="2" customFormat="1" ht="12.75" x14ac:dyDescent="0.2">
      <c r="R17159" s="1288"/>
    </row>
    <row r="17160" spans="18:18" s="2" customFormat="1" ht="12.75" x14ac:dyDescent="0.2">
      <c r="R17160" s="1288"/>
    </row>
    <row r="17161" spans="18:18" s="2" customFormat="1" ht="12.75" x14ac:dyDescent="0.2">
      <c r="R17161" s="1288"/>
    </row>
    <row r="17162" spans="18:18" s="2" customFormat="1" ht="12.75" x14ac:dyDescent="0.2">
      <c r="R17162" s="1288"/>
    </row>
    <row r="17163" spans="18:18" s="2" customFormat="1" ht="12.75" x14ac:dyDescent="0.2">
      <c r="R17163" s="1288"/>
    </row>
    <row r="17164" spans="18:18" s="2" customFormat="1" ht="12.75" x14ac:dyDescent="0.2">
      <c r="R17164" s="1288"/>
    </row>
    <row r="17165" spans="18:18" s="2" customFormat="1" ht="12.75" x14ac:dyDescent="0.2">
      <c r="R17165" s="1288"/>
    </row>
    <row r="17166" spans="18:18" s="2" customFormat="1" ht="12.75" x14ac:dyDescent="0.2">
      <c r="R17166" s="1288"/>
    </row>
    <row r="17167" spans="18:18" s="2" customFormat="1" ht="12.75" x14ac:dyDescent="0.2">
      <c r="R17167" s="1288"/>
    </row>
    <row r="17168" spans="18:18" s="2" customFormat="1" ht="12.75" x14ac:dyDescent="0.2">
      <c r="R17168" s="1288"/>
    </row>
    <row r="17169" spans="18:18" s="2" customFormat="1" ht="12.75" x14ac:dyDescent="0.2">
      <c r="R17169" s="1288"/>
    </row>
    <row r="17170" spans="18:18" s="2" customFormat="1" ht="12.75" x14ac:dyDescent="0.2">
      <c r="R17170" s="1288"/>
    </row>
    <row r="17171" spans="18:18" s="2" customFormat="1" ht="12.75" x14ac:dyDescent="0.2">
      <c r="R17171" s="1288"/>
    </row>
    <row r="17172" spans="18:18" s="2" customFormat="1" ht="12.75" x14ac:dyDescent="0.2">
      <c r="R17172" s="1288"/>
    </row>
    <row r="17173" spans="18:18" s="2" customFormat="1" ht="12.75" x14ac:dyDescent="0.2">
      <c r="R17173" s="1288"/>
    </row>
    <row r="17174" spans="18:18" s="2" customFormat="1" ht="12.75" x14ac:dyDescent="0.2">
      <c r="R17174" s="1288"/>
    </row>
    <row r="17175" spans="18:18" s="2" customFormat="1" ht="12.75" x14ac:dyDescent="0.2">
      <c r="R17175" s="1288"/>
    </row>
    <row r="17176" spans="18:18" s="2" customFormat="1" ht="12.75" x14ac:dyDescent="0.2">
      <c r="R17176" s="1288"/>
    </row>
    <row r="17177" spans="18:18" s="2" customFormat="1" ht="12.75" x14ac:dyDescent="0.2">
      <c r="R17177" s="1288"/>
    </row>
    <row r="17178" spans="18:18" s="2" customFormat="1" ht="12.75" x14ac:dyDescent="0.2">
      <c r="R17178" s="1288"/>
    </row>
    <row r="17179" spans="18:18" s="2" customFormat="1" ht="12.75" x14ac:dyDescent="0.2">
      <c r="R17179" s="1288"/>
    </row>
    <row r="17180" spans="18:18" s="2" customFormat="1" ht="12.75" x14ac:dyDescent="0.2">
      <c r="R17180" s="1288"/>
    </row>
    <row r="17181" spans="18:18" s="2" customFormat="1" ht="12.75" x14ac:dyDescent="0.2">
      <c r="R17181" s="1288"/>
    </row>
    <row r="17182" spans="18:18" s="2" customFormat="1" ht="12.75" x14ac:dyDescent="0.2">
      <c r="R17182" s="1288"/>
    </row>
    <row r="17183" spans="18:18" s="2" customFormat="1" ht="12.75" x14ac:dyDescent="0.2">
      <c r="R17183" s="1288"/>
    </row>
    <row r="17184" spans="18:18" s="2" customFormat="1" ht="12.75" x14ac:dyDescent="0.2">
      <c r="R17184" s="1288"/>
    </row>
    <row r="17185" spans="18:18" s="2" customFormat="1" ht="12.75" x14ac:dyDescent="0.2">
      <c r="R17185" s="1288"/>
    </row>
    <row r="17186" spans="18:18" s="2" customFormat="1" ht="12.75" x14ac:dyDescent="0.2">
      <c r="R17186" s="1288"/>
    </row>
    <row r="17187" spans="18:18" s="2" customFormat="1" ht="12.75" x14ac:dyDescent="0.2">
      <c r="R17187" s="1288"/>
    </row>
    <row r="17188" spans="18:18" s="2" customFormat="1" ht="12.75" x14ac:dyDescent="0.2">
      <c r="R17188" s="1288"/>
    </row>
    <row r="17189" spans="18:18" s="2" customFormat="1" ht="12.75" x14ac:dyDescent="0.2">
      <c r="R17189" s="1288"/>
    </row>
    <row r="17190" spans="18:18" s="2" customFormat="1" ht="12.75" x14ac:dyDescent="0.2">
      <c r="R17190" s="1288"/>
    </row>
    <row r="17191" spans="18:18" s="2" customFormat="1" ht="12.75" x14ac:dyDescent="0.2">
      <c r="R17191" s="1288"/>
    </row>
    <row r="17192" spans="18:18" s="2" customFormat="1" ht="12.75" x14ac:dyDescent="0.2">
      <c r="R17192" s="1288"/>
    </row>
    <row r="17193" spans="18:18" s="2" customFormat="1" ht="12.75" x14ac:dyDescent="0.2">
      <c r="R17193" s="1288"/>
    </row>
    <row r="17194" spans="18:18" s="2" customFormat="1" ht="12.75" x14ac:dyDescent="0.2">
      <c r="R17194" s="1288"/>
    </row>
    <row r="17195" spans="18:18" s="2" customFormat="1" ht="12.75" x14ac:dyDescent="0.2">
      <c r="R17195" s="1288"/>
    </row>
    <row r="17196" spans="18:18" s="2" customFormat="1" ht="12.75" x14ac:dyDescent="0.2">
      <c r="R17196" s="1288"/>
    </row>
    <row r="17197" spans="18:18" s="2" customFormat="1" ht="12.75" x14ac:dyDescent="0.2">
      <c r="R17197" s="1288"/>
    </row>
    <row r="17198" spans="18:18" s="2" customFormat="1" ht="12.75" x14ac:dyDescent="0.2">
      <c r="R17198" s="1288"/>
    </row>
    <row r="17199" spans="18:18" s="2" customFormat="1" ht="12.75" x14ac:dyDescent="0.2">
      <c r="R17199" s="1288"/>
    </row>
    <row r="17200" spans="18:18" s="2" customFormat="1" ht="12.75" x14ac:dyDescent="0.2">
      <c r="R17200" s="1288"/>
    </row>
    <row r="17201" spans="18:18" s="2" customFormat="1" ht="12.75" x14ac:dyDescent="0.2">
      <c r="R17201" s="1288"/>
    </row>
    <row r="17202" spans="18:18" s="2" customFormat="1" ht="12.75" x14ac:dyDescent="0.2">
      <c r="R17202" s="1288"/>
    </row>
    <row r="17203" spans="18:18" s="2" customFormat="1" ht="12.75" x14ac:dyDescent="0.2">
      <c r="R17203" s="1288"/>
    </row>
    <row r="17204" spans="18:18" s="2" customFormat="1" ht="12.75" x14ac:dyDescent="0.2">
      <c r="R17204" s="1288"/>
    </row>
    <row r="17205" spans="18:18" s="2" customFormat="1" ht="12.75" x14ac:dyDescent="0.2">
      <c r="R17205" s="1288"/>
    </row>
    <row r="17206" spans="18:18" s="2" customFormat="1" ht="12.75" x14ac:dyDescent="0.2">
      <c r="R17206" s="1288"/>
    </row>
    <row r="17207" spans="18:18" s="2" customFormat="1" ht="12.75" x14ac:dyDescent="0.2">
      <c r="R17207" s="1288"/>
    </row>
    <row r="17208" spans="18:18" s="2" customFormat="1" ht="12.75" x14ac:dyDescent="0.2">
      <c r="R17208" s="1288"/>
    </row>
    <row r="17209" spans="18:18" s="2" customFormat="1" ht="12.75" x14ac:dyDescent="0.2">
      <c r="R17209" s="1288"/>
    </row>
    <row r="17210" spans="18:18" s="2" customFormat="1" ht="12.75" x14ac:dyDescent="0.2">
      <c r="R17210" s="1288"/>
    </row>
    <row r="17211" spans="18:18" s="2" customFormat="1" ht="12.75" x14ac:dyDescent="0.2">
      <c r="R17211" s="1288"/>
    </row>
    <row r="17212" spans="18:18" s="2" customFormat="1" ht="12.75" x14ac:dyDescent="0.2">
      <c r="R17212" s="1288"/>
    </row>
    <row r="17213" spans="18:18" s="2" customFormat="1" ht="12.75" x14ac:dyDescent="0.2">
      <c r="R17213" s="1288"/>
    </row>
    <row r="17214" spans="18:18" s="2" customFormat="1" ht="12.75" x14ac:dyDescent="0.2">
      <c r="R17214" s="1288"/>
    </row>
    <row r="17215" spans="18:18" s="2" customFormat="1" ht="12.75" x14ac:dyDescent="0.2">
      <c r="R17215" s="1288"/>
    </row>
    <row r="17216" spans="18:18" s="2" customFormat="1" ht="12.75" x14ac:dyDescent="0.2">
      <c r="R17216" s="1288"/>
    </row>
    <row r="17217" spans="18:18" s="2" customFormat="1" ht="12.75" x14ac:dyDescent="0.2">
      <c r="R17217" s="1288"/>
    </row>
    <row r="17218" spans="18:18" s="2" customFormat="1" ht="12.75" x14ac:dyDescent="0.2">
      <c r="R17218" s="1288"/>
    </row>
    <row r="17219" spans="18:18" s="2" customFormat="1" ht="12.75" x14ac:dyDescent="0.2">
      <c r="R17219" s="1288"/>
    </row>
    <row r="17220" spans="18:18" s="2" customFormat="1" ht="12.75" x14ac:dyDescent="0.2">
      <c r="R17220" s="1288"/>
    </row>
    <row r="17221" spans="18:18" s="2" customFormat="1" ht="12.75" x14ac:dyDescent="0.2">
      <c r="R17221" s="1288"/>
    </row>
    <row r="17222" spans="18:18" s="2" customFormat="1" ht="12.75" x14ac:dyDescent="0.2">
      <c r="R17222" s="1288"/>
    </row>
    <row r="17223" spans="18:18" s="2" customFormat="1" ht="12.75" x14ac:dyDescent="0.2">
      <c r="R17223" s="1288"/>
    </row>
    <row r="17224" spans="18:18" s="2" customFormat="1" ht="12.75" x14ac:dyDescent="0.2">
      <c r="R17224" s="1288"/>
    </row>
    <row r="17225" spans="18:18" s="2" customFormat="1" ht="12.75" x14ac:dyDescent="0.2">
      <c r="R17225" s="1288"/>
    </row>
    <row r="17226" spans="18:18" s="2" customFormat="1" ht="12.75" x14ac:dyDescent="0.2">
      <c r="R17226" s="1288"/>
    </row>
    <row r="17227" spans="18:18" s="2" customFormat="1" ht="12.75" x14ac:dyDescent="0.2">
      <c r="R17227" s="1288"/>
    </row>
    <row r="17228" spans="18:18" s="2" customFormat="1" ht="12.75" x14ac:dyDescent="0.2">
      <c r="R17228" s="1288"/>
    </row>
    <row r="17229" spans="18:18" s="2" customFormat="1" ht="12.75" x14ac:dyDescent="0.2">
      <c r="R17229" s="1288"/>
    </row>
    <row r="17230" spans="18:18" s="2" customFormat="1" ht="12.75" x14ac:dyDescent="0.2">
      <c r="R17230" s="1288"/>
    </row>
    <row r="17231" spans="18:18" s="2" customFormat="1" ht="12.75" x14ac:dyDescent="0.2">
      <c r="R17231" s="1288"/>
    </row>
    <row r="17232" spans="18:18" s="2" customFormat="1" ht="12.75" x14ac:dyDescent="0.2">
      <c r="R17232" s="1288"/>
    </row>
    <row r="17233" spans="18:18" s="2" customFormat="1" ht="12.75" x14ac:dyDescent="0.2">
      <c r="R17233" s="1288"/>
    </row>
    <row r="17234" spans="18:18" s="2" customFormat="1" ht="12.75" x14ac:dyDescent="0.2">
      <c r="R17234" s="1288"/>
    </row>
    <row r="17235" spans="18:18" s="2" customFormat="1" ht="12.75" x14ac:dyDescent="0.2">
      <c r="R17235" s="1288"/>
    </row>
    <row r="17236" spans="18:18" s="2" customFormat="1" ht="12.75" x14ac:dyDescent="0.2">
      <c r="R17236" s="1288"/>
    </row>
    <row r="17237" spans="18:18" s="2" customFormat="1" ht="12.75" x14ac:dyDescent="0.2">
      <c r="R17237" s="1288"/>
    </row>
    <row r="17238" spans="18:18" s="2" customFormat="1" ht="12.75" x14ac:dyDescent="0.2">
      <c r="R17238" s="1288"/>
    </row>
    <row r="17239" spans="18:18" s="2" customFormat="1" ht="12.75" x14ac:dyDescent="0.2">
      <c r="R17239" s="1288"/>
    </row>
    <row r="17240" spans="18:18" s="2" customFormat="1" ht="12.75" x14ac:dyDescent="0.2">
      <c r="R17240" s="1288"/>
    </row>
    <row r="17241" spans="18:18" s="2" customFormat="1" ht="12.75" x14ac:dyDescent="0.2">
      <c r="R17241" s="1288"/>
    </row>
    <row r="17242" spans="18:18" s="2" customFormat="1" ht="12.75" x14ac:dyDescent="0.2">
      <c r="R17242" s="1288"/>
    </row>
    <row r="17243" spans="18:18" s="2" customFormat="1" ht="12.75" x14ac:dyDescent="0.2">
      <c r="R17243" s="1288"/>
    </row>
    <row r="17244" spans="18:18" s="2" customFormat="1" ht="12.75" x14ac:dyDescent="0.2">
      <c r="R17244" s="1288"/>
    </row>
    <row r="17245" spans="18:18" s="2" customFormat="1" ht="12.75" x14ac:dyDescent="0.2">
      <c r="R17245" s="1288"/>
    </row>
    <row r="17246" spans="18:18" s="2" customFormat="1" ht="12.75" x14ac:dyDescent="0.2">
      <c r="R17246" s="1288"/>
    </row>
    <row r="17247" spans="18:18" s="2" customFormat="1" ht="12.75" x14ac:dyDescent="0.2">
      <c r="R17247" s="1288"/>
    </row>
    <row r="17248" spans="18:18" s="2" customFormat="1" ht="12.75" x14ac:dyDescent="0.2">
      <c r="R17248" s="1288"/>
    </row>
    <row r="17249" spans="18:18" s="2" customFormat="1" ht="12.75" x14ac:dyDescent="0.2">
      <c r="R17249" s="1288"/>
    </row>
    <row r="17250" spans="18:18" s="2" customFormat="1" ht="12.75" x14ac:dyDescent="0.2">
      <c r="R17250" s="1288"/>
    </row>
    <row r="17251" spans="18:18" s="2" customFormat="1" ht="12.75" x14ac:dyDescent="0.2">
      <c r="R17251" s="1288"/>
    </row>
    <row r="17252" spans="18:18" s="2" customFormat="1" ht="12.75" x14ac:dyDescent="0.2">
      <c r="R17252" s="1288"/>
    </row>
    <row r="17253" spans="18:18" s="2" customFormat="1" ht="12.75" x14ac:dyDescent="0.2">
      <c r="R17253" s="1288"/>
    </row>
    <row r="17254" spans="18:18" s="2" customFormat="1" ht="12.75" x14ac:dyDescent="0.2">
      <c r="R17254" s="1288"/>
    </row>
    <row r="17255" spans="18:18" s="2" customFormat="1" ht="12.75" x14ac:dyDescent="0.2">
      <c r="R17255" s="1288"/>
    </row>
    <row r="17256" spans="18:18" s="2" customFormat="1" ht="12.75" x14ac:dyDescent="0.2">
      <c r="R17256" s="1288"/>
    </row>
    <row r="17257" spans="18:18" s="2" customFormat="1" ht="12.75" x14ac:dyDescent="0.2">
      <c r="R17257" s="1288"/>
    </row>
    <row r="17258" spans="18:18" s="2" customFormat="1" ht="12.75" x14ac:dyDescent="0.2">
      <c r="R17258" s="1288"/>
    </row>
    <row r="17259" spans="18:18" s="2" customFormat="1" ht="12.75" x14ac:dyDescent="0.2">
      <c r="R17259" s="1288"/>
    </row>
    <row r="17260" spans="18:18" s="2" customFormat="1" ht="12.75" x14ac:dyDescent="0.2">
      <c r="R17260" s="1288"/>
    </row>
    <row r="17261" spans="18:18" s="2" customFormat="1" ht="12.75" x14ac:dyDescent="0.2">
      <c r="R17261" s="1288"/>
    </row>
    <row r="17262" spans="18:18" s="2" customFormat="1" ht="12.75" x14ac:dyDescent="0.2">
      <c r="R17262" s="1288"/>
    </row>
    <row r="17263" spans="18:18" s="2" customFormat="1" ht="12.75" x14ac:dyDescent="0.2">
      <c r="R17263" s="1288"/>
    </row>
    <row r="17264" spans="18:18" s="2" customFormat="1" ht="12.75" x14ac:dyDescent="0.2">
      <c r="R17264" s="1288"/>
    </row>
    <row r="17265" spans="18:18" s="2" customFormat="1" ht="12.75" x14ac:dyDescent="0.2">
      <c r="R17265" s="1288"/>
    </row>
    <row r="17266" spans="18:18" s="2" customFormat="1" ht="12.75" x14ac:dyDescent="0.2">
      <c r="R17266" s="1288"/>
    </row>
    <row r="17267" spans="18:18" s="2" customFormat="1" ht="12.75" x14ac:dyDescent="0.2">
      <c r="R17267" s="1288"/>
    </row>
    <row r="17268" spans="18:18" s="2" customFormat="1" ht="12.75" x14ac:dyDescent="0.2">
      <c r="R17268" s="1288"/>
    </row>
    <row r="17269" spans="18:18" s="2" customFormat="1" ht="12.75" x14ac:dyDescent="0.2">
      <c r="R17269" s="1288"/>
    </row>
    <row r="17270" spans="18:18" s="2" customFormat="1" ht="12.75" x14ac:dyDescent="0.2">
      <c r="R17270" s="1288"/>
    </row>
    <row r="17271" spans="18:18" s="2" customFormat="1" ht="12.75" x14ac:dyDescent="0.2">
      <c r="R17271" s="1288"/>
    </row>
    <row r="17272" spans="18:18" s="2" customFormat="1" ht="12.75" x14ac:dyDescent="0.2">
      <c r="R17272" s="1288"/>
    </row>
    <row r="17273" spans="18:18" s="2" customFormat="1" ht="12.75" x14ac:dyDescent="0.2">
      <c r="R17273" s="1288"/>
    </row>
    <row r="17274" spans="18:18" s="2" customFormat="1" ht="12.75" x14ac:dyDescent="0.2">
      <c r="R17274" s="1288"/>
    </row>
    <row r="17275" spans="18:18" s="2" customFormat="1" ht="12.75" x14ac:dyDescent="0.2">
      <c r="R17275" s="1288"/>
    </row>
    <row r="17276" spans="18:18" s="2" customFormat="1" ht="12.75" x14ac:dyDescent="0.2">
      <c r="R17276" s="1288"/>
    </row>
    <row r="17277" spans="18:18" s="2" customFormat="1" ht="12.75" x14ac:dyDescent="0.2">
      <c r="R17277" s="1288"/>
    </row>
    <row r="17278" spans="18:18" s="2" customFormat="1" ht="12.75" x14ac:dyDescent="0.2">
      <c r="R17278" s="1288"/>
    </row>
    <row r="17279" spans="18:18" s="2" customFormat="1" ht="12.75" x14ac:dyDescent="0.2">
      <c r="R17279" s="1288"/>
    </row>
    <row r="17280" spans="18:18" s="2" customFormat="1" ht="12.75" x14ac:dyDescent="0.2">
      <c r="R17280" s="1288"/>
    </row>
    <row r="17281" spans="18:18" s="2" customFormat="1" ht="12.75" x14ac:dyDescent="0.2">
      <c r="R17281" s="1288"/>
    </row>
    <row r="17282" spans="18:18" s="2" customFormat="1" ht="12.75" x14ac:dyDescent="0.2">
      <c r="R17282" s="1288"/>
    </row>
    <row r="17283" spans="18:18" s="2" customFormat="1" ht="12.75" x14ac:dyDescent="0.2">
      <c r="R17283" s="1288"/>
    </row>
    <row r="17284" spans="18:18" s="2" customFormat="1" ht="12.75" x14ac:dyDescent="0.2">
      <c r="R17284" s="1288"/>
    </row>
    <row r="17285" spans="18:18" s="2" customFormat="1" ht="12.75" x14ac:dyDescent="0.2">
      <c r="R17285" s="1288"/>
    </row>
    <row r="17286" spans="18:18" s="2" customFormat="1" ht="12.75" x14ac:dyDescent="0.2">
      <c r="R17286" s="1288"/>
    </row>
    <row r="17287" spans="18:18" s="2" customFormat="1" ht="12.75" x14ac:dyDescent="0.2">
      <c r="R17287" s="1288"/>
    </row>
    <row r="17288" spans="18:18" s="2" customFormat="1" ht="12.75" x14ac:dyDescent="0.2">
      <c r="R17288" s="1288"/>
    </row>
    <row r="17289" spans="18:18" s="2" customFormat="1" ht="12.75" x14ac:dyDescent="0.2">
      <c r="R17289" s="1288"/>
    </row>
    <row r="17290" spans="18:18" s="2" customFormat="1" ht="12.75" x14ac:dyDescent="0.2">
      <c r="R17290" s="1288"/>
    </row>
    <row r="17291" spans="18:18" s="2" customFormat="1" ht="12.75" x14ac:dyDescent="0.2">
      <c r="R17291" s="1288"/>
    </row>
    <row r="17292" spans="18:18" s="2" customFormat="1" ht="12.75" x14ac:dyDescent="0.2">
      <c r="R17292" s="1288"/>
    </row>
    <row r="17293" spans="18:18" s="2" customFormat="1" ht="12.75" x14ac:dyDescent="0.2">
      <c r="R17293" s="1288"/>
    </row>
    <row r="17294" spans="18:18" s="2" customFormat="1" ht="12.75" x14ac:dyDescent="0.2">
      <c r="R17294" s="1288"/>
    </row>
    <row r="17295" spans="18:18" s="2" customFormat="1" ht="12.75" x14ac:dyDescent="0.2">
      <c r="R17295" s="1288"/>
    </row>
    <row r="17296" spans="18:18" s="2" customFormat="1" ht="12.75" x14ac:dyDescent="0.2">
      <c r="R17296" s="1288"/>
    </row>
    <row r="17297" spans="18:18" s="2" customFormat="1" ht="12.75" x14ac:dyDescent="0.2">
      <c r="R17297" s="1288"/>
    </row>
    <row r="17298" spans="18:18" s="2" customFormat="1" ht="12.75" x14ac:dyDescent="0.2">
      <c r="R17298" s="1288"/>
    </row>
    <row r="17299" spans="18:18" s="2" customFormat="1" ht="12.75" x14ac:dyDescent="0.2">
      <c r="R17299" s="1288"/>
    </row>
    <row r="17300" spans="18:18" s="2" customFormat="1" ht="12.75" x14ac:dyDescent="0.2">
      <c r="R17300" s="1288"/>
    </row>
    <row r="17301" spans="18:18" s="2" customFormat="1" ht="12.75" x14ac:dyDescent="0.2">
      <c r="R17301" s="1288"/>
    </row>
    <row r="17302" spans="18:18" s="2" customFormat="1" ht="12.75" x14ac:dyDescent="0.2">
      <c r="R17302" s="1288"/>
    </row>
    <row r="17303" spans="18:18" s="2" customFormat="1" ht="12.75" x14ac:dyDescent="0.2">
      <c r="R17303" s="1288"/>
    </row>
    <row r="17304" spans="18:18" s="2" customFormat="1" ht="12.75" x14ac:dyDescent="0.2">
      <c r="R17304" s="1288"/>
    </row>
    <row r="17305" spans="18:18" s="2" customFormat="1" ht="12.75" x14ac:dyDescent="0.2">
      <c r="R17305" s="1288"/>
    </row>
    <row r="17306" spans="18:18" s="2" customFormat="1" ht="12.75" x14ac:dyDescent="0.2">
      <c r="R17306" s="1288"/>
    </row>
    <row r="17307" spans="18:18" s="2" customFormat="1" ht="12.75" x14ac:dyDescent="0.2">
      <c r="R17307" s="1288"/>
    </row>
    <row r="17308" spans="18:18" s="2" customFormat="1" ht="12.75" x14ac:dyDescent="0.2">
      <c r="R17308" s="1288"/>
    </row>
    <row r="17309" spans="18:18" s="2" customFormat="1" ht="12.75" x14ac:dyDescent="0.2">
      <c r="R17309" s="1288"/>
    </row>
    <row r="17310" spans="18:18" s="2" customFormat="1" ht="12.75" x14ac:dyDescent="0.2">
      <c r="R17310" s="1288"/>
    </row>
    <row r="17311" spans="18:18" s="2" customFormat="1" ht="12.75" x14ac:dyDescent="0.2">
      <c r="R17311" s="1288"/>
    </row>
    <row r="17312" spans="18:18" s="2" customFormat="1" ht="12.75" x14ac:dyDescent="0.2">
      <c r="R17312" s="1288"/>
    </row>
    <row r="17313" spans="18:18" s="2" customFormat="1" ht="12.75" x14ac:dyDescent="0.2">
      <c r="R17313" s="1288"/>
    </row>
    <row r="17314" spans="18:18" s="2" customFormat="1" ht="12.75" x14ac:dyDescent="0.2">
      <c r="R17314" s="1288"/>
    </row>
    <row r="17315" spans="18:18" s="2" customFormat="1" ht="12.75" x14ac:dyDescent="0.2">
      <c r="R17315" s="1288"/>
    </row>
    <row r="17316" spans="18:18" s="2" customFormat="1" ht="12.75" x14ac:dyDescent="0.2">
      <c r="R17316" s="1288"/>
    </row>
    <row r="17317" spans="18:18" s="2" customFormat="1" ht="12.75" x14ac:dyDescent="0.2">
      <c r="R17317" s="1288"/>
    </row>
    <row r="17318" spans="18:18" s="2" customFormat="1" ht="12.75" x14ac:dyDescent="0.2">
      <c r="R17318" s="1288"/>
    </row>
    <row r="17319" spans="18:18" s="2" customFormat="1" ht="12.75" x14ac:dyDescent="0.2">
      <c r="R17319" s="1288"/>
    </row>
    <row r="17320" spans="18:18" s="2" customFormat="1" ht="12.75" x14ac:dyDescent="0.2">
      <c r="R17320" s="1288"/>
    </row>
    <row r="17321" spans="18:18" s="2" customFormat="1" ht="12.75" x14ac:dyDescent="0.2">
      <c r="R17321" s="1288"/>
    </row>
    <row r="17322" spans="18:18" s="2" customFormat="1" ht="12.75" x14ac:dyDescent="0.2">
      <c r="R17322" s="1288"/>
    </row>
    <row r="17323" spans="18:18" s="2" customFormat="1" ht="12.75" x14ac:dyDescent="0.2">
      <c r="R17323" s="1288"/>
    </row>
    <row r="17324" spans="18:18" s="2" customFormat="1" ht="12.75" x14ac:dyDescent="0.2">
      <c r="R17324" s="1288"/>
    </row>
    <row r="17325" spans="18:18" s="2" customFormat="1" ht="12.75" x14ac:dyDescent="0.2">
      <c r="R17325" s="1288"/>
    </row>
    <row r="17326" spans="18:18" s="2" customFormat="1" ht="12.75" x14ac:dyDescent="0.2">
      <c r="R17326" s="1288"/>
    </row>
    <row r="17327" spans="18:18" s="2" customFormat="1" ht="12.75" x14ac:dyDescent="0.2">
      <c r="R17327" s="1288"/>
    </row>
    <row r="17328" spans="18:18" s="2" customFormat="1" ht="12.75" x14ac:dyDescent="0.2">
      <c r="R17328" s="1288"/>
    </row>
    <row r="17329" spans="18:18" s="2" customFormat="1" ht="12.75" x14ac:dyDescent="0.2">
      <c r="R17329" s="1288"/>
    </row>
    <row r="17330" spans="18:18" s="2" customFormat="1" ht="12.75" x14ac:dyDescent="0.2">
      <c r="R17330" s="1288"/>
    </row>
    <row r="17331" spans="18:18" s="2" customFormat="1" ht="12.75" x14ac:dyDescent="0.2">
      <c r="R17331" s="1288"/>
    </row>
    <row r="17332" spans="18:18" s="2" customFormat="1" ht="12.75" x14ac:dyDescent="0.2">
      <c r="R17332" s="1288"/>
    </row>
    <row r="17333" spans="18:18" s="2" customFormat="1" ht="12.75" x14ac:dyDescent="0.2">
      <c r="R17333" s="1288"/>
    </row>
    <row r="17334" spans="18:18" s="2" customFormat="1" ht="12.75" x14ac:dyDescent="0.2">
      <c r="R17334" s="1288"/>
    </row>
    <row r="17335" spans="18:18" s="2" customFormat="1" ht="12.75" x14ac:dyDescent="0.2">
      <c r="R17335" s="1288"/>
    </row>
    <row r="17336" spans="18:18" s="2" customFormat="1" ht="12.75" x14ac:dyDescent="0.2">
      <c r="R17336" s="1288"/>
    </row>
    <row r="17337" spans="18:18" s="2" customFormat="1" ht="12.75" x14ac:dyDescent="0.2">
      <c r="R17337" s="1288"/>
    </row>
    <row r="17338" spans="18:18" s="2" customFormat="1" ht="12.75" x14ac:dyDescent="0.2">
      <c r="R17338" s="1288"/>
    </row>
    <row r="17339" spans="18:18" s="2" customFormat="1" ht="12.75" x14ac:dyDescent="0.2">
      <c r="R17339" s="1288"/>
    </row>
    <row r="17340" spans="18:18" s="2" customFormat="1" ht="12.75" x14ac:dyDescent="0.2">
      <c r="R17340" s="1288"/>
    </row>
    <row r="17341" spans="18:18" s="2" customFormat="1" ht="12.75" x14ac:dyDescent="0.2">
      <c r="R17341" s="1288"/>
    </row>
    <row r="17342" spans="18:18" s="2" customFormat="1" ht="12.75" x14ac:dyDescent="0.2">
      <c r="R17342" s="1288"/>
    </row>
    <row r="17343" spans="18:18" s="2" customFormat="1" ht="12.75" x14ac:dyDescent="0.2">
      <c r="R17343" s="1288"/>
    </row>
    <row r="17344" spans="18:18" s="2" customFormat="1" ht="12.75" x14ac:dyDescent="0.2">
      <c r="R17344" s="1288"/>
    </row>
    <row r="17345" spans="18:18" s="2" customFormat="1" ht="12.75" x14ac:dyDescent="0.2">
      <c r="R17345" s="1288"/>
    </row>
    <row r="17346" spans="18:18" s="2" customFormat="1" ht="12.75" x14ac:dyDescent="0.2">
      <c r="R17346" s="1288"/>
    </row>
    <row r="17347" spans="18:18" s="2" customFormat="1" ht="12.75" x14ac:dyDescent="0.2">
      <c r="R17347" s="1288"/>
    </row>
    <row r="17348" spans="18:18" s="2" customFormat="1" ht="12.75" x14ac:dyDescent="0.2">
      <c r="R17348" s="1288"/>
    </row>
    <row r="17349" spans="18:18" s="2" customFormat="1" ht="12.75" x14ac:dyDescent="0.2">
      <c r="R17349" s="1288"/>
    </row>
    <row r="17350" spans="18:18" s="2" customFormat="1" ht="12.75" x14ac:dyDescent="0.2">
      <c r="R17350" s="1288"/>
    </row>
    <row r="17351" spans="18:18" s="2" customFormat="1" ht="12.75" x14ac:dyDescent="0.2">
      <c r="R17351" s="1288"/>
    </row>
    <row r="17352" spans="18:18" s="2" customFormat="1" ht="12.75" x14ac:dyDescent="0.2">
      <c r="R17352" s="1288"/>
    </row>
    <row r="17353" spans="18:18" s="2" customFormat="1" ht="12.75" x14ac:dyDescent="0.2">
      <c r="R17353" s="1288"/>
    </row>
    <row r="17354" spans="18:18" s="2" customFormat="1" ht="12.75" x14ac:dyDescent="0.2">
      <c r="R17354" s="1288"/>
    </row>
    <row r="17355" spans="18:18" s="2" customFormat="1" ht="12.75" x14ac:dyDescent="0.2">
      <c r="R17355" s="1288"/>
    </row>
    <row r="17356" spans="18:18" s="2" customFormat="1" ht="12.75" x14ac:dyDescent="0.2">
      <c r="R17356" s="1288"/>
    </row>
    <row r="17357" spans="18:18" s="2" customFormat="1" ht="12.75" x14ac:dyDescent="0.2">
      <c r="R17357" s="1288"/>
    </row>
    <row r="17358" spans="18:18" s="2" customFormat="1" ht="12.75" x14ac:dyDescent="0.2">
      <c r="R17358" s="1288"/>
    </row>
    <row r="17359" spans="18:18" s="2" customFormat="1" ht="12.75" x14ac:dyDescent="0.2">
      <c r="R17359" s="1288"/>
    </row>
    <row r="17360" spans="18:18" s="2" customFormat="1" ht="12.75" x14ac:dyDescent="0.2">
      <c r="R17360" s="1288"/>
    </row>
    <row r="17361" spans="18:18" s="2" customFormat="1" ht="12.75" x14ac:dyDescent="0.2">
      <c r="R17361" s="1288"/>
    </row>
    <row r="17362" spans="18:18" s="2" customFormat="1" ht="12.75" x14ac:dyDescent="0.2">
      <c r="R17362" s="1288"/>
    </row>
    <row r="17363" spans="18:18" s="2" customFormat="1" ht="12.75" x14ac:dyDescent="0.2">
      <c r="R17363" s="1288"/>
    </row>
    <row r="17364" spans="18:18" s="2" customFormat="1" ht="12.75" x14ac:dyDescent="0.2">
      <c r="R17364" s="1288"/>
    </row>
    <row r="17365" spans="18:18" s="2" customFormat="1" ht="12.75" x14ac:dyDescent="0.2">
      <c r="R17365" s="1288"/>
    </row>
    <row r="17366" spans="18:18" s="2" customFormat="1" ht="12.75" x14ac:dyDescent="0.2">
      <c r="R17366" s="1288"/>
    </row>
    <row r="17367" spans="18:18" s="2" customFormat="1" ht="12.75" x14ac:dyDescent="0.2">
      <c r="R17367" s="1288"/>
    </row>
    <row r="17368" spans="18:18" s="2" customFormat="1" ht="12.75" x14ac:dyDescent="0.2">
      <c r="R17368" s="1288"/>
    </row>
    <row r="17369" spans="18:18" s="2" customFormat="1" ht="12.75" x14ac:dyDescent="0.2">
      <c r="R17369" s="1288"/>
    </row>
    <row r="17370" spans="18:18" s="2" customFormat="1" ht="12.75" x14ac:dyDescent="0.2">
      <c r="R17370" s="1288"/>
    </row>
    <row r="17371" spans="18:18" s="2" customFormat="1" ht="12.75" x14ac:dyDescent="0.2">
      <c r="R17371" s="1288"/>
    </row>
    <row r="17372" spans="18:18" s="2" customFormat="1" ht="12.75" x14ac:dyDescent="0.2">
      <c r="R17372" s="1288"/>
    </row>
    <row r="17373" spans="18:18" s="2" customFormat="1" ht="12.75" x14ac:dyDescent="0.2">
      <c r="R17373" s="1288"/>
    </row>
    <row r="17374" spans="18:18" s="2" customFormat="1" ht="12.75" x14ac:dyDescent="0.2">
      <c r="R17374" s="1288"/>
    </row>
    <row r="17375" spans="18:18" s="2" customFormat="1" ht="12.75" x14ac:dyDescent="0.2">
      <c r="R17375" s="1288"/>
    </row>
    <row r="17376" spans="18:18" s="2" customFormat="1" ht="12.75" x14ac:dyDescent="0.2">
      <c r="R17376" s="1288"/>
    </row>
    <row r="17377" spans="18:18" s="2" customFormat="1" ht="12.75" x14ac:dyDescent="0.2">
      <c r="R17377" s="1288"/>
    </row>
    <row r="17378" spans="18:18" s="2" customFormat="1" ht="12.75" x14ac:dyDescent="0.2">
      <c r="R17378" s="1288"/>
    </row>
    <row r="17379" spans="18:18" s="2" customFormat="1" ht="12.75" x14ac:dyDescent="0.2">
      <c r="R17379" s="1288"/>
    </row>
    <row r="17380" spans="18:18" s="2" customFormat="1" ht="12.75" x14ac:dyDescent="0.2">
      <c r="R17380" s="1288"/>
    </row>
    <row r="17381" spans="18:18" s="2" customFormat="1" ht="12.75" x14ac:dyDescent="0.2">
      <c r="R17381" s="1288"/>
    </row>
    <row r="17382" spans="18:18" s="2" customFormat="1" ht="12.75" x14ac:dyDescent="0.2">
      <c r="R17382" s="1288"/>
    </row>
    <row r="17383" spans="18:18" s="2" customFormat="1" ht="12.75" x14ac:dyDescent="0.2">
      <c r="R17383" s="1288"/>
    </row>
    <row r="17384" spans="18:18" s="2" customFormat="1" ht="12.75" x14ac:dyDescent="0.2">
      <c r="R17384" s="1288"/>
    </row>
    <row r="17385" spans="18:18" s="2" customFormat="1" ht="12.75" x14ac:dyDescent="0.2">
      <c r="R17385" s="1288"/>
    </row>
    <row r="17386" spans="18:18" s="2" customFormat="1" ht="12.75" x14ac:dyDescent="0.2">
      <c r="R17386" s="1288"/>
    </row>
    <row r="17387" spans="18:18" s="2" customFormat="1" ht="12.75" x14ac:dyDescent="0.2">
      <c r="R17387" s="1288"/>
    </row>
    <row r="17388" spans="18:18" s="2" customFormat="1" ht="12.75" x14ac:dyDescent="0.2">
      <c r="R17388" s="1288"/>
    </row>
    <row r="17389" spans="18:18" s="2" customFormat="1" ht="12.75" x14ac:dyDescent="0.2">
      <c r="R17389" s="1288"/>
    </row>
    <row r="17390" spans="18:18" s="2" customFormat="1" ht="12.75" x14ac:dyDescent="0.2">
      <c r="R17390" s="1288"/>
    </row>
    <row r="17391" spans="18:18" s="2" customFormat="1" ht="12.75" x14ac:dyDescent="0.2">
      <c r="R17391" s="1288"/>
    </row>
    <row r="17392" spans="18:18" s="2" customFormat="1" ht="12.75" x14ac:dyDescent="0.2">
      <c r="R17392" s="1288"/>
    </row>
    <row r="17393" spans="18:18" s="2" customFormat="1" ht="12.75" x14ac:dyDescent="0.2">
      <c r="R17393" s="1288"/>
    </row>
    <row r="17394" spans="18:18" s="2" customFormat="1" ht="12.75" x14ac:dyDescent="0.2">
      <c r="R17394" s="1288"/>
    </row>
    <row r="17395" spans="18:18" s="2" customFormat="1" ht="12.75" x14ac:dyDescent="0.2">
      <c r="R17395" s="1288"/>
    </row>
    <row r="17396" spans="18:18" s="2" customFormat="1" ht="12.75" x14ac:dyDescent="0.2">
      <c r="R17396" s="1288"/>
    </row>
    <row r="17397" spans="18:18" s="2" customFormat="1" ht="12.75" x14ac:dyDescent="0.2">
      <c r="R17397" s="1288"/>
    </row>
    <row r="17398" spans="18:18" s="2" customFormat="1" ht="12.75" x14ac:dyDescent="0.2">
      <c r="R17398" s="1288"/>
    </row>
    <row r="17399" spans="18:18" s="2" customFormat="1" ht="12.75" x14ac:dyDescent="0.2">
      <c r="R17399" s="1288"/>
    </row>
    <row r="17400" spans="18:18" s="2" customFormat="1" ht="12.75" x14ac:dyDescent="0.2">
      <c r="R17400" s="1288"/>
    </row>
    <row r="17401" spans="18:18" s="2" customFormat="1" ht="12.75" x14ac:dyDescent="0.2">
      <c r="R17401" s="1288"/>
    </row>
    <row r="17402" spans="18:18" s="2" customFormat="1" ht="12.75" x14ac:dyDescent="0.2">
      <c r="R17402" s="1288"/>
    </row>
    <row r="17403" spans="18:18" s="2" customFormat="1" ht="12.75" x14ac:dyDescent="0.2">
      <c r="R17403" s="1288"/>
    </row>
    <row r="17404" spans="18:18" s="2" customFormat="1" ht="12.75" x14ac:dyDescent="0.2">
      <c r="R17404" s="1288"/>
    </row>
    <row r="17405" spans="18:18" s="2" customFormat="1" ht="12.75" x14ac:dyDescent="0.2">
      <c r="R17405" s="1288"/>
    </row>
    <row r="17406" spans="18:18" s="2" customFormat="1" ht="12.75" x14ac:dyDescent="0.2">
      <c r="R17406" s="1288"/>
    </row>
    <row r="17407" spans="18:18" s="2" customFormat="1" ht="12.75" x14ac:dyDescent="0.2">
      <c r="R17407" s="1288"/>
    </row>
    <row r="17408" spans="18:18" s="2" customFormat="1" ht="12.75" x14ac:dyDescent="0.2">
      <c r="R17408" s="1288"/>
    </row>
    <row r="17409" spans="18:18" s="2" customFormat="1" ht="12.75" x14ac:dyDescent="0.2">
      <c r="R17409" s="1288"/>
    </row>
    <row r="17410" spans="18:18" s="2" customFormat="1" ht="12.75" x14ac:dyDescent="0.2">
      <c r="R17410" s="1288"/>
    </row>
    <row r="17411" spans="18:18" s="2" customFormat="1" ht="12.75" x14ac:dyDescent="0.2">
      <c r="R17411" s="1288"/>
    </row>
    <row r="17412" spans="18:18" s="2" customFormat="1" ht="12.75" x14ac:dyDescent="0.2">
      <c r="R17412" s="1288"/>
    </row>
    <row r="17413" spans="18:18" s="2" customFormat="1" ht="12.75" x14ac:dyDescent="0.2">
      <c r="R17413" s="1288"/>
    </row>
    <row r="17414" spans="18:18" s="2" customFormat="1" ht="12.75" x14ac:dyDescent="0.2">
      <c r="R17414" s="1288"/>
    </row>
    <row r="17415" spans="18:18" s="2" customFormat="1" ht="12.75" x14ac:dyDescent="0.2">
      <c r="R17415" s="1288"/>
    </row>
    <row r="17416" spans="18:18" s="2" customFormat="1" ht="12.75" x14ac:dyDescent="0.2">
      <c r="R17416" s="1288"/>
    </row>
    <row r="17417" spans="18:18" s="2" customFormat="1" ht="12.75" x14ac:dyDescent="0.2">
      <c r="R17417" s="1288"/>
    </row>
    <row r="17418" spans="18:18" s="2" customFormat="1" ht="12.75" x14ac:dyDescent="0.2">
      <c r="R17418" s="1288"/>
    </row>
    <row r="17419" spans="18:18" s="2" customFormat="1" ht="12.75" x14ac:dyDescent="0.2">
      <c r="R17419" s="1288"/>
    </row>
    <row r="17420" spans="18:18" s="2" customFormat="1" ht="12.75" x14ac:dyDescent="0.2">
      <c r="R17420" s="1288"/>
    </row>
    <row r="17421" spans="18:18" s="2" customFormat="1" ht="12.75" x14ac:dyDescent="0.2">
      <c r="R17421" s="1288"/>
    </row>
    <row r="17422" spans="18:18" s="2" customFormat="1" ht="12.75" x14ac:dyDescent="0.2">
      <c r="R17422" s="1288"/>
    </row>
    <row r="17423" spans="18:18" s="2" customFormat="1" ht="12.75" x14ac:dyDescent="0.2">
      <c r="R17423" s="1288"/>
    </row>
    <row r="17424" spans="18:18" s="2" customFormat="1" ht="12.75" x14ac:dyDescent="0.2">
      <c r="R17424" s="1288"/>
    </row>
    <row r="17425" spans="18:18" s="2" customFormat="1" ht="12.75" x14ac:dyDescent="0.2">
      <c r="R17425" s="1288"/>
    </row>
    <row r="17426" spans="18:18" s="2" customFormat="1" ht="12.75" x14ac:dyDescent="0.2">
      <c r="R17426" s="1288"/>
    </row>
    <row r="17427" spans="18:18" s="2" customFormat="1" ht="12.75" x14ac:dyDescent="0.2">
      <c r="R17427" s="1288"/>
    </row>
    <row r="17428" spans="18:18" s="2" customFormat="1" ht="12.75" x14ac:dyDescent="0.2">
      <c r="R17428" s="1288"/>
    </row>
    <row r="17429" spans="18:18" s="2" customFormat="1" ht="12.75" x14ac:dyDescent="0.2">
      <c r="R17429" s="1288"/>
    </row>
    <row r="17430" spans="18:18" s="2" customFormat="1" ht="12.75" x14ac:dyDescent="0.2">
      <c r="R17430" s="1288"/>
    </row>
    <row r="17431" spans="18:18" s="2" customFormat="1" ht="12.75" x14ac:dyDescent="0.2">
      <c r="R17431" s="1288"/>
    </row>
    <row r="17432" spans="18:18" s="2" customFormat="1" ht="12.75" x14ac:dyDescent="0.2">
      <c r="R17432" s="1288"/>
    </row>
    <row r="17433" spans="18:18" s="2" customFormat="1" ht="12.75" x14ac:dyDescent="0.2">
      <c r="R17433" s="1288"/>
    </row>
    <row r="17434" spans="18:18" s="2" customFormat="1" ht="12.75" x14ac:dyDescent="0.2">
      <c r="R17434" s="1288"/>
    </row>
    <row r="17435" spans="18:18" s="2" customFormat="1" ht="12.75" x14ac:dyDescent="0.2">
      <c r="R17435" s="1288"/>
    </row>
    <row r="17436" spans="18:18" s="2" customFormat="1" ht="12.75" x14ac:dyDescent="0.2">
      <c r="R17436" s="1288"/>
    </row>
    <row r="17437" spans="18:18" s="2" customFormat="1" ht="12.75" x14ac:dyDescent="0.2">
      <c r="R17437" s="1288"/>
    </row>
    <row r="17438" spans="18:18" s="2" customFormat="1" ht="12.75" x14ac:dyDescent="0.2">
      <c r="R17438" s="1288"/>
    </row>
    <row r="17439" spans="18:18" s="2" customFormat="1" ht="12.75" x14ac:dyDescent="0.2">
      <c r="R17439" s="1288"/>
    </row>
    <row r="17440" spans="18:18" s="2" customFormat="1" ht="12.75" x14ac:dyDescent="0.2">
      <c r="R17440" s="1288"/>
    </row>
    <row r="17441" spans="18:18" s="2" customFormat="1" ht="12.75" x14ac:dyDescent="0.2">
      <c r="R17441" s="1288"/>
    </row>
    <row r="17442" spans="18:18" s="2" customFormat="1" ht="12.75" x14ac:dyDescent="0.2">
      <c r="R17442" s="1288"/>
    </row>
    <row r="17443" spans="18:18" s="2" customFormat="1" ht="12.75" x14ac:dyDescent="0.2">
      <c r="R17443" s="1288"/>
    </row>
    <row r="17444" spans="18:18" s="2" customFormat="1" ht="12.75" x14ac:dyDescent="0.2">
      <c r="R17444" s="1288"/>
    </row>
    <row r="17445" spans="18:18" s="2" customFormat="1" ht="12.75" x14ac:dyDescent="0.2">
      <c r="R17445" s="1288"/>
    </row>
    <row r="17446" spans="18:18" s="2" customFormat="1" ht="12.75" x14ac:dyDescent="0.2">
      <c r="R17446" s="1288"/>
    </row>
    <row r="17447" spans="18:18" s="2" customFormat="1" ht="12.75" x14ac:dyDescent="0.2">
      <c r="R17447" s="1288"/>
    </row>
    <row r="17448" spans="18:18" s="2" customFormat="1" ht="12.75" x14ac:dyDescent="0.2">
      <c r="R17448" s="1288"/>
    </row>
    <row r="17449" spans="18:18" s="2" customFormat="1" ht="12.75" x14ac:dyDescent="0.2">
      <c r="R17449" s="1288"/>
    </row>
    <row r="17450" spans="18:18" s="2" customFormat="1" ht="12.75" x14ac:dyDescent="0.2">
      <c r="R17450" s="1288"/>
    </row>
    <row r="17451" spans="18:18" s="2" customFormat="1" ht="12.75" x14ac:dyDescent="0.2">
      <c r="R17451" s="1288"/>
    </row>
    <row r="17452" spans="18:18" s="2" customFormat="1" ht="12.75" x14ac:dyDescent="0.2">
      <c r="R17452" s="1288"/>
    </row>
    <row r="17453" spans="18:18" s="2" customFormat="1" ht="12.75" x14ac:dyDescent="0.2">
      <c r="R17453" s="1288"/>
    </row>
    <row r="17454" spans="18:18" s="2" customFormat="1" ht="12.75" x14ac:dyDescent="0.2">
      <c r="R17454" s="1288"/>
    </row>
    <row r="17455" spans="18:18" s="2" customFormat="1" ht="12.75" x14ac:dyDescent="0.2">
      <c r="R17455" s="1288"/>
    </row>
    <row r="17456" spans="18:18" s="2" customFormat="1" ht="12.75" x14ac:dyDescent="0.2">
      <c r="R17456" s="1288"/>
    </row>
    <row r="17457" spans="18:18" s="2" customFormat="1" ht="12.75" x14ac:dyDescent="0.2">
      <c r="R17457" s="1288"/>
    </row>
    <row r="17458" spans="18:18" s="2" customFormat="1" ht="12.75" x14ac:dyDescent="0.2">
      <c r="R17458" s="1288"/>
    </row>
    <row r="17459" spans="18:18" s="2" customFormat="1" ht="12.75" x14ac:dyDescent="0.2">
      <c r="R17459" s="1288"/>
    </row>
    <row r="17460" spans="18:18" s="2" customFormat="1" ht="12.75" x14ac:dyDescent="0.2">
      <c r="R17460" s="1288"/>
    </row>
    <row r="17461" spans="18:18" s="2" customFormat="1" ht="12.75" x14ac:dyDescent="0.2">
      <c r="R17461" s="1288"/>
    </row>
    <row r="17462" spans="18:18" s="2" customFormat="1" ht="12.75" x14ac:dyDescent="0.2">
      <c r="R17462" s="1288"/>
    </row>
    <row r="17463" spans="18:18" s="2" customFormat="1" ht="12.75" x14ac:dyDescent="0.2">
      <c r="R17463" s="1288"/>
    </row>
    <row r="17464" spans="18:18" s="2" customFormat="1" ht="12.75" x14ac:dyDescent="0.2">
      <c r="R17464" s="1288"/>
    </row>
    <row r="17465" spans="18:18" s="2" customFormat="1" ht="12.75" x14ac:dyDescent="0.2">
      <c r="R17465" s="1288"/>
    </row>
    <row r="17466" spans="18:18" s="2" customFormat="1" ht="12.75" x14ac:dyDescent="0.2">
      <c r="R17466" s="1288"/>
    </row>
    <row r="17467" spans="18:18" s="2" customFormat="1" ht="12.75" x14ac:dyDescent="0.2">
      <c r="R17467" s="1288"/>
    </row>
    <row r="17468" spans="18:18" s="2" customFormat="1" ht="12.75" x14ac:dyDescent="0.2">
      <c r="R17468" s="1288"/>
    </row>
    <row r="17469" spans="18:18" s="2" customFormat="1" ht="12.75" x14ac:dyDescent="0.2">
      <c r="R17469" s="1288"/>
    </row>
    <row r="17470" spans="18:18" s="2" customFormat="1" ht="12.75" x14ac:dyDescent="0.2">
      <c r="R17470" s="1288"/>
    </row>
    <row r="17471" spans="18:18" s="2" customFormat="1" ht="12.75" x14ac:dyDescent="0.2">
      <c r="R17471" s="1288"/>
    </row>
    <row r="17472" spans="18:18" s="2" customFormat="1" ht="12.75" x14ac:dyDescent="0.2">
      <c r="R17472" s="1288"/>
    </row>
    <row r="17473" spans="18:18" s="2" customFormat="1" ht="12.75" x14ac:dyDescent="0.2">
      <c r="R17473" s="1288"/>
    </row>
    <row r="17474" spans="18:18" s="2" customFormat="1" ht="12.75" x14ac:dyDescent="0.2">
      <c r="R17474" s="1288"/>
    </row>
    <row r="17475" spans="18:18" s="2" customFormat="1" ht="12.75" x14ac:dyDescent="0.2">
      <c r="R17475" s="1288"/>
    </row>
    <row r="17476" spans="18:18" s="2" customFormat="1" ht="12.75" x14ac:dyDescent="0.2">
      <c r="R17476" s="1288"/>
    </row>
    <row r="17477" spans="18:18" s="2" customFormat="1" ht="12.75" x14ac:dyDescent="0.2">
      <c r="R17477" s="1288"/>
    </row>
    <row r="17478" spans="18:18" s="2" customFormat="1" ht="12.75" x14ac:dyDescent="0.2">
      <c r="R17478" s="1288"/>
    </row>
    <row r="17479" spans="18:18" s="2" customFormat="1" ht="12.75" x14ac:dyDescent="0.2">
      <c r="R17479" s="1288"/>
    </row>
    <row r="17480" spans="18:18" s="2" customFormat="1" ht="12.75" x14ac:dyDescent="0.2">
      <c r="R17480" s="1288"/>
    </row>
    <row r="17481" spans="18:18" s="2" customFormat="1" ht="12.75" x14ac:dyDescent="0.2">
      <c r="R17481" s="1288"/>
    </row>
    <row r="17482" spans="18:18" s="2" customFormat="1" ht="12.75" x14ac:dyDescent="0.2">
      <c r="R17482" s="1288"/>
    </row>
    <row r="17483" spans="18:18" s="2" customFormat="1" ht="12.75" x14ac:dyDescent="0.2">
      <c r="R17483" s="1288"/>
    </row>
    <row r="17484" spans="18:18" s="2" customFormat="1" ht="12.75" x14ac:dyDescent="0.2">
      <c r="R17484" s="1288"/>
    </row>
    <row r="17485" spans="18:18" s="2" customFormat="1" ht="12.75" x14ac:dyDescent="0.2">
      <c r="R17485" s="1288"/>
    </row>
    <row r="17486" spans="18:18" s="2" customFormat="1" ht="12.75" x14ac:dyDescent="0.2">
      <c r="R17486" s="1288"/>
    </row>
    <row r="17487" spans="18:18" s="2" customFormat="1" ht="12.75" x14ac:dyDescent="0.2">
      <c r="R17487" s="1288"/>
    </row>
    <row r="17488" spans="18:18" s="2" customFormat="1" ht="12.75" x14ac:dyDescent="0.2">
      <c r="R17488" s="1288"/>
    </row>
    <row r="17489" spans="18:18" s="2" customFormat="1" ht="12.75" x14ac:dyDescent="0.2">
      <c r="R17489" s="1288"/>
    </row>
    <row r="17490" spans="18:18" s="2" customFormat="1" ht="12.75" x14ac:dyDescent="0.2">
      <c r="R17490" s="1288"/>
    </row>
    <row r="17491" spans="18:18" s="2" customFormat="1" ht="12.75" x14ac:dyDescent="0.2">
      <c r="R17491" s="1288"/>
    </row>
    <row r="17492" spans="18:18" s="2" customFormat="1" ht="12.75" x14ac:dyDescent="0.2">
      <c r="R17492" s="1288"/>
    </row>
    <row r="17493" spans="18:18" s="2" customFormat="1" ht="12.75" x14ac:dyDescent="0.2">
      <c r="R17493" s="1288"/>
    </row>
    <row r="17494" spans="18:18" s="2" customFormat="1" ht="12.75" x14ac:dyDescent="0.2">
      <c r="R17494" s="1288"/>
    </row>
    <row r="17495" spans="18:18" s="2" customFormat="1" ht="12.75" x14ac:dyDescent="0.2">
      <c r="R17495" s="1288"/>
    </row>
    <row r="17496" spans="18:18" s="2" customFormat="1" ht="12.75" x14ac:dyDescent="0.2">
      <c r="R17496" s="1288"/>
    </row>
    <row r="17497" spans="18:18" s="2" customFormat="1" ht="12.75" x14ac:dyDescent="0.2">
      <c r="R17497" s="1288"/>
    </row>
    <row r="17498" spans="18:18" s="2" customFormat="1" ht="12.75" x14ac:dyDescent="0.2">
      <c r="R17498" s="1288"/>
    </row>
    <row r="17499" spans="18:18" s="2" customFormat="1" ht="12.75" x14ac:dyDescent="0.2">
      <c r="R17499" s="1288"/>
    </row>
    <row r="17500" spans="18:18" s="2" customFormat="1" ht="12.75" x14ac:dyDescent="0.2">
      <c r="R17500" s="1288"/>
    </row>
    <row r="17501" spans="18:18" s="2" customFormat="1" ht="12.75" x14ac:dyDescent="0.2">
      <c r="R17501" s="1288"/>
    </row>
    <row r="17502" spans="18:18" s="2" customFormat="1" ht="12.75" x14ac:dyDescent="0.2">
      <c r="R17502" s="1288"/>
    </row>
    <row r="17503" spans="18:18" s="2" customFormat="1" ht="12.75" x14ac:dyDescent="0.2">
      <c r="R17503" s="1288"/>
    </row>
    <row r="17504" spans="18:18" s="2" customFormat="1" ht="12.75" x14ac:dyDescent="0.2">
      <c r="R17504" s="1288"/>
    </row>
    <row r="17505" spans="18:18" s="2" customFormat="1" ht="12.75" x14ac:dyDescent="0.2">
      <c r="R17505" s="1288"/>
    </row>
    <row r="17506" spans="18:18" s="2" customFormat="1" ht="12.75" x14ac:dyDescent="0.2">
      <c r="R17506" s="1288"/>
    </row>
    <row r="17507" spans="18:18" s="2" customFormat="1" ht="12.75" x14ac:dyDescent="0.2">
      <c r="R17507" s="1288"/>
    </row>
    <row r="17508" spans="18:18" s="2" customFormat="1" ht="12.75" x14ac:dyDescent="0.2">
      <c r="R17508" s="1288"/>
    </row>
    <row r="17509" spans="18:18" s="2" customFormat="1" ht="12.75" x14ac:dyDescent="0.2">
      <c r="R17509" s="1288"/>
    </row>
    <row r="17510" spans="18:18" s="2" customFormat="1" ht="12.75" x14ac:dyDescent="0.2">
      <c r="R17510" s="1288"/>
    </row>
    <row r="17511" spans="18:18" s="2" customFormat="1" ht="12.75" x14ac:dyDescent="0.2">
      <c r="R17511" s="1288"/>
    </row>
    <row r="17512" spans="18:18" s="2" customFormat="1" ht="12.75" x14ac:dyDescent="0.2">
      <c r="R17512" s="1288"/>
    </row>
    <row r="17513" spans="18:18" s="2" customFormat="1" ht="12.75" x14ac:dyDescent="0.2">
      <c r="R17513" s="1288"/>
    </row>
    <row r="17514" spans="18:18" s="2" customFormat="1" ht="12.75" x14ac:dyDescent="0.2">
      <c r="R17514" s="1288"/>
    </row>
    <row r="17515" spans="18:18" s="2" customFormat="1" ht="12.75" x14ac:dyDescent="0.2">
      <c r="R17515" s="1288"/>
    </row>
    <row r="17516" spans="18:18" s="2" customFormat="1" ht="12.75" x14ac:dyDescent="0.2">
      <c r="R17516" s="1288"/>
    </row>
    <row r="17517" spans="18:18" s="2" customFormat="1" ht="12.75" x14ac:dyDescent="0.2">
      <c r="R17517" s="1288"/>
    </row>
    <row r="17518" spans="18:18" s="2" customFormat="1" ht="12.75" x14ac:dyDescent="0.2">
      <c r="R17518" s="1288"/>
    </row>
    <row r="17519" spans="18:18" s="2" customFormat="1" ht="12.75" x14ac:dyDescent="0.2">
      <c r="R17519" s="1288"/>
    </row>
    <row r="17520" spans="18:18" s="2" customFormat="1" ht="12.75" x14ac:dyDescent="0.2">
      <c r="R17520" s="1288"/>
    </row>
    <row r="17521" spans="18:18" s="2" customFormat="1" ht="12.75" x14ac:dyDescent="0.2">
      <c r="R17521" s="1288"/>
    </row>
    <row r="17522" spans="18:18" s="2" customFormat="1" ht="12.75" x14ac:dyDescent="0.2">
      <c r="R17522" s="1288"/>
    </row>
    <row r="17523" spans="18:18" s="2" customFormat="1" ht="12.75" x14ac:dyDescent="0.2">
      <c r="R17523" s="1288"/>
    </row>
    <row r="17524" spans="18:18" s="2" customFormat="1" ht="12.75" x14ac:dyDescent="0.2">
      <c r="R17524" s="1288"/>
    </row>
    <row r="17525" spans="18:18" s="2" customFormat="1" ht="12.75" x14ac:dyDescent="0.2">
      <c r="R17525" s="1288"/>
    </row>
    <row r="17526" spans="18:18" s="2" customFormat="1" ht="12.75" x14ac:dyDescent="0.2">
      <c r="R17526" s="1288"/>
    </row>
    <row r="17527" spans="18:18" s="2" customFormat="1" ht="12.75" x14ac:dyDescent="0.2">
      <c r="R17527" s="1288"/>
    </row>
    <row r="17528" spans="18:18" s="2" customFormat="1" ht="12.75" x14ac:dyDescent="0.2">
      <c r="R17528" s="1288"/>
    </row>
    <row r="17529" spans="18:18" s="2" customFormat="1" ht="12.75" x14ac:dyDescent="0.2">
      <c r="R17529" s="1288"/>
    </row>
    <row r="17530" spans="18:18" s="2" customFormat="1" ht="12.75" x14ac:dyDescent="0.2">
      <c r="R17530" s="1288"/>
    </row>
    <row r="17531" spans="18:18" s="2" customFormat="1" ht="12.75" x14ac:dyDescent="0.2">
      <c r="R17531" s="1288"/>
    </row>
    <row r="17532" spans="18:18" s="2" customFormat="1" ht="12.75" x14ac:dyDescent="0.2">
      <c r="R17532" s="1288"/>
    </row>
    <row r="17533" spans="18:18" s="2" customFormat="1" ht="12.75" x14ac:dyDescent="0.2">
      <c r="R17533" s="1288"/>
    </row>
    <row r="17534" spans="18:18" s="2" customFormat="1" ht="12.75" x14ac:dyDescent="0.2">
      <c r="R17534" s="1288"/>
    </row>
    <row r="17535" spans="18:18" s="2" customFormat="1" ht="12.75" x14ac:dyDescent="0.2">
      <c r="R17535" s="1288"/>
    </row>
    <row r="17536" spans="18:18" s="2" customFormat="1" ht="12.75" x14ac:dyDescent="0.2">
      <c r="R17536" s="1288"/>
    </row>
    <row r="17537" spans="18:18" s="2" customFormat="1" ht="12.75" x14ac:dyDescent="0.2">
      <c r="R17537" s="1288"/>
    </row>
    <row r="17538" spans="18:18" s="2" customFormat="1" ht="12.75" x14ac:dyDescent="0.2">
      <c r="R17538" s="1288"/>
    </row>
    <row r="17539" spans="18:18" s="2" customFormat="1" ht="12.75" x14ac:dyDescent="0.2">
      <c r="R17539" s="1288"/>
    </row>
    <row r="17540" spans="18:18" s="2" customFormat="1" ht="12.75" x14ac:dyDescent="0.2">
      <c r="R17540" s="1288"/>
    </row>
    <row r="17541" spans="18:18" s="2" customFormat="1" ht="12.75" x14ac:dyDescent="0.2">
      <c r="R17541" s="1288"/>
    </row>
    <row r="17542" spans="18:18" s="2" customFormat="1" ht="12.75" x14ac:dyDescent="0.2">
      <c r="R17542" s="1288"/>
    </row>
    <row r="17543" spans="18:18" s="2" customFormat="1" ht="12.75" x14ac:dyDescent="0.2">
      <c r="R17543" s="1288"/>
    </row>
    <row r="17544" spans="18:18" s="2" customFormat="1" ht="12.75" x14ac:dyDescent="0.2">
      <c r="R17544" s="1288"/>
    </row>
    <row r="17545" spans="18:18" s="2" customFormat="1" ht="12.75" x14ac:dyDescent="0.2">
      <c r="R17545" s="1288"/>
    </row>
    <row r="17546" spans="18:18" s="2" customFormat="1" ht="12.75" x14ac:dyDescent="0.2">
      <c r="R17546" s="1288"/>
    </row>
    <row r="17547" spans="18:18" s="2" customFormat="1" ht="12.75" x14ac:dyDescent="0.2">
      <c r="R17547" s="1288"/>
    </row>
    <row r="17548" spans="18:18" s="2" customFormat="1" ht="12.75" x14ac:dyDescent="0.2">
      <c r="R17548" s="1288"/>
    </row>
    <row r="17549" spans="18:18" s="2" customFormat="1" ht="12.75" x14ac:dyDescent="0.2">
      <c r="R17549" s="1288"/>
    </row>
    <row r="17550" spans="18:18" s="2" customFormat="1" ht="12.75" x14ac:dyDescent="0.2">
      <c r="R17550" s="1288"/>
    </row>
    <row r="17551" spans="18:18" s="2" customFormat="1" ht="12.75" x14ac:dyDescent="0.2">
      <c r="R17551" s="1288"/>
    </row>
    <row r="17552" spans="18:18" s="2" customFormat="1" ht="12.75" x14ac:dyDescent="0.2">
      <c r="R17552" s="1288"/>
    </row>
    <row r="17553" spans="18:18" s="2" customFormat="1" ht="12.75" x14ac:dyDescent="0.2">
      <c r="R17553" s="1288"/>
    </row>
    <row r="17554" spans="18:18" s="2" customFormat="1" ht="12.75" x14ac:dyDescent="0.2">
      <c r="R17554" s="1288"/>
    </row>
    <row r="17555" spans="18:18" s="2" customFormat="1" ht="12.75" x14ac:dyDescent="0.2">
      <c r="R17555" s="1288"/>
    </row>
    <row r="17556" spans="18:18" s="2" customFormat="1" ht="12.75" x14ac:dyDescent="0.2">
      <c r="R17556" s="1288"/>
    </row>
    <row r="17557" spans="18:18" s="2" customFormat="1" ht="12.75" x14ac:dyDescent="0.2">
      <c r="R17557" s="1288"/>
    </row>
    <row r="17558" spans="18:18" s="2" customFormat="1" ht="12.75" x14ac:dyDescent="0.2">
      <c r="R17558" s="1288"/>
    </row>
    <row r="17559" spans="18:18" s="2" customFormat="1" ht="12.75" x14ac:dyDescent="0.2">
      <c r="R17559" s="1288"/>
    </row>
    <row r="17560" spans="18:18" s="2" customFormat="1" ht="12.75" x14ac:dyDescent="0.2">
      <c r="R17560" s="1288"/>
    </row>
    <row r="17561" spans="18:18" s="2" customFormat="1" ht="12.75" x14ac:dyDescent="0.2">
      <c r="R17561" s="1288"/>
    </row>
    <row r="17562" spans="18:18" s="2" customFormat="1" ht="12.75" x14ac:dyDescent="0.2">
      <c r="R17562" s="1288"/>
    </row>
    <row r="17563" spans="18:18" s="2" customFormat="1" ht="12.75" x14ac:dyDescent="0.2">
      <c r="R17563" s="1288"/>
    </row>
    <row r="17564" spans="18:18" s="2" customFormat="1" ht="12.75" x14ac:dyDescent="0.2">
      <c r="R17564" s="1288"/>
    </row>
    <row r="17565" spans="18:18" s="2" customFormat="1" ht="12.75" x14ac:dyDescent="0.2">
      <c r="R17565" s="1288"/>
    </row>
    <row r="17566" spans="18:18" s="2" customFormat="1" ht="12.75" x14ac:dyDescent="0.2">
      <c r="R17566" s="1288"/>
    </row>
    <row r="17567" spans="18:18" s="2" customFormat="1" ht="12.75" x14ac:dyDescent="0.2">
      <c r="R17567" s="1288"/>
    </row>
    <row r="17568" spans="18:18" s="2" customFormat="1" ht="12.75" x14ac:dyDescent="0.2">
      <c r="R17568" s="1288"/>
    </row>
    <row r="17569" spans="18:18" s="2" customFormat="1" ht="12.75" x14ac:dyDescent="0.2">
      <c r="R17569" s="1288"/>
    </row>
    <row r="17570" spans="18:18" s="2" customFormat="1" ht="12.75" x14ac:dyDescent="0.2">
      <c r="R17570" s="1288"/>
    </row>
    <row r="17571" spans="18:18" s="2" customFormat="1" ht="12.75" x14ac:dyDescent="0.2">
      <c r="R17571" s="1288"/>
    </row>
    <row r="17572" spans="18:18" s="2" customFormat="1" ht="12.75" x14ac:dyDescent="0.2">
      <c r="R17572" s="1288"/>
    </row>
    <row r="17573" spans="18:18" s="2" customFormat="1" ht="12.75" x14ac:dyDescent="0.2">
      <c r="R17573" s="1288"/>
    </row>
    <row r="17574" spans="18:18" s="2" customFormat="1" ht="12.75" x14ac:dyDescent="0.2">
      <c r="R17574" s="1288"/>
    </row>
    <row r="17575" spans="18:18" s="2" customFormat="1" ht="12.75" x14ac:dyDescent="0.2">
      <c r="R17575" s="1288"/>
    </row>
    <row r="17576" spans="18:18" s="2" customFormat="1" ht="12.75" x14ac:dyDescent="0.2">
      <c r="R17576" s="1288"/>
    </row>
    <row r="17577" spans="18:18" s="2" customFormat="1" ht="12.75" x14ac:dyDescent="0.2">
      <c r="R17577" s="1288"/>
    </row>
    <row r="17578" spans="18:18" s="2" customFormat="1" ht="12.75" x14ac:dyDescent="0.2">
      <c r="R17578" s="1288"/>
    </row>
    <row r="17579" spans="18:18" s="2" customFormat="1" ht="12.75" x14ac:dyDescent="0.2">
      <c r="R17579" s="1288"/>
    </row>
    <row r="17580" spans="18:18" s="2" customFormat="1" ht="12.75" x14ac:dyDescent="0.2">
      <c r="R17580" s="1288"/>
    </row>
    <row r="17581" spans="18:18" s="2" customFormat="1" ht="12.75" x14ac:dyDescent="0.2">
      <c r="R17581" s="1288"/>
    </row>
    <row r="17582" spans="18:18" s="2" customFormat="1" ht="12.75" x14ac:dyDescent="0.2">
      <c r="R17582" s="1288"/>
    </row>
    <row r="17583" spans="18:18" s="2" customFormat="1" ht="12.75" x14ac:dyDescent="0.2">
      <c r="R17583" s="1288"/>
    </row>
    <row r="17584" spans="18:18" s="2" customFormat="1" ht="12.75" x14ac:dyDescent="0.2">
      <c r="R17584" s="1288"/>
    </row>
    <row r="17585" spans="18:18" s="2" customFormat="1" ht="12.75" x14ac:dyDescent="0.2">
      <c r="R17585" s="1288"/>
    </row>
    <row r="17586" spans="18:18" s="2" customFormat="1" ht="12.75" x14ac:dyDescent="0.2">
      <c r="R17586" s="1288"/>
    </row>
    <row r="17587" spans="18:18" s="2" customFormat="1" ht="12.75" x14ac:dyDescent="0.2">
      <c r="R17587" s="1288"/>
    </row>
    <row r="17588" spans="18:18" s="2" customFormat="1" ht="12.75" x14ac:dyDescent="0.2">
      <c r="R17588" s="1288"/>
    </row>
    <row r="17589" spans="18:18" s="2" customFormat="1" ht="12.75" x14ac:dyDescent="0.2">
      <c r="R17589" s="1288"/>
    </row>
    <row r="17590" spans="18:18" s="2" customFormat="1" ht="12.75" x14ac:dyDescent="0.2">
      <c r="R17590" s="1288"/>
    </row>
    <row r="17591" spans="18:18" s="2" customFormat="1" ht="12.75" x14ac:dyDescent="0.2">
      <c r="R17591" s="1288"/>
    </row>
    <row r="17592" spans="18:18" s="2" customFormat="1" ht="12.75" x14ac:dyDescent="0.2">
      <c r="R17592" s="1288"/>
    </row>
    <row r="17593" spans="18:18" s="2" customFormat="1" ht="12.75" x14ac:dyDescent="0.2">
      <c r="R17593" s="1288"/>
    </row>
    <row r="17594" spans="18:18" s="2" customFormat="1" ht="12.75" x14ac:dyDescent="0.2">
      <c r="R17594" s="1288"/>
    </row>
    <row r="17595" spans="18:18" s="2" customFormat="1" ht="12.75" x14ac:dyDescent="0.2">
      <c r="R17595" s="1288"/>
    </row>
    <row r="17596" spans="18:18" s="2" customFormat="1" ht="12.75" x14ac:dyDescent="0.2">
      <c r="R17596" s="1288"/>
    </row>
    <row r="17597" spans="18:18" s="2" customFormat="1" ht="12.75" x14ac:dyDescent="0.2">
      <c r="R17597" s="1288"/>
    </row>
    <row r="17598" spans="18:18" s="2" customFormat="1" ht="12.75" x14ac:dyDescent="0.2">
      <c r="R17598" s="1288"/>
    </row>
    <row r="17599" spans="18:18" s="2" customFormat="1" ht="12.75" x14ac:dyDescent="0.2">
      <c r="R17599" s="1288"/>
    </row>
    <row r="17600" spans="18:18" s="2" customFormat="1" ht="12.75" x14ac:dyDescent="0.2">
      <c r="R17600" s="1288"/>
    </row>
    <row r="17601" spans="18:18" s="2" customFormat="1" ht="12.75" x14ac:dyDescent="0.2">
      <c r="R17601" s="1288"/>
    </row>
    <row r="17602" spans="18:18" s="2" customFormat="1" ht="12.75" x14ac:dyDescent="0.2">
      <c r="R17602" s="1288"/>
    </row>
    <row r="17603" spans="18:18" s="2" customFormat="1" ht="12.75" x14ac:dyDescent="0.2">
      <c r="R17603" s="1288"/>
    </row>
    <row r="17604" spans="18:18" s="2" customFormat="1" ht="12.75" x14ac:dyDescent="0.2">
      <c r="R17604" s="1288"/>
    </row>
    <row r="17605" spans="18:18" s="2" customFormat="1" ht="12.75" x14ac:dyDescent="0.2">
      <c r="R17605" s="1288"/>
    </row>
    <row r="17606" spans="18:18" s="2" customFormat="1" ht="12.75" x14ac:dyDescent="0.2">
      <c r="R17606" s="1288"/>
    </row>
    <row r="17607" spans="18:18" s="2" customFormat="1" ht="12.75" x14ac:dyDescent="0.2">
      <c r="R17607" s="1288"/>
    </row>
    <row r="17608" spans="18:18" s="2" customFormat="1" ht="12.75" x14ac:dyDescent="0.2">
      <c r="R17608" s="1288"/>
    </row>
    <row r="17609" spans="18:18" s="2" customFormat="1" ht="12.75" x14ac:dyDescent="0.2">
      <c r="R17609" s="1288"/>
    </row>
    <row r="17610" spans="18:18" s="2" customFormat="1" ht="12.75" x14ac:dyDescent="0.2">
      <c r="R17610" s="1288"/>
    </row>
    <row r="17611" spans="18:18" s="2" customFormat="1" ht="12.75" x14ac:dyDescent="0.2">
      <c r="R17611" s="1288"/>
    </row>
    <row r="17612" spans="18:18" s="2" customFormat="1" ht="12.75" x14ac:dyDescent="0.2">
      <c r="R17612" s="1288"/>
    </row>
    <row r="17613" spans="18:18" s="2" customFormat="1" ht="12.75" x14ac:dyDescent="0.2">
      <c r="R17613" s="1288"/>
    </row>
    <row r="17614" spans="18:18" s="2" customFormat="1" ht="12.75" x14ac:dyDescent="0.2">
      <c r="R17614" s="1288"/>
    </row>
    <row r="17615" spans="18:18" s="2" customFormat="1" ht="12.75" x14ac:dyDescent="0.2">
      <c r="R17615" s="1288"/>
    </row>
    <row r="17616" spans="18:18" s="2" customFormat="1" ht="12.75" x14ac:dyDescent="0.2">
      <c r="R17616" s="1288"/>
    </row>
    <row r="17617" spans="18:18" s="2" customFormat="1" ht="12.75" x14ac:dyDescent="0.2">
      <c r="R17617" s="1288"/>
    </row>
    <row r="17618" spans="18:18" s="2" customFormat="1" ht="12.75" x14ac:dyDescent="0.2">
      <c r="R17618" s="1288"/>
    </row>
    <row r="17619" spans="18:18" s="2" customFormat="1" ht="12.75" x14ac:dyDescent="0.2">
      <c r="R17619" s="1288"/>
    </row>
    <row r="17620" spans="18:18" s="2" customFormat="1" ht="12.75" x14ac:dyDescent="0.2">
      <c r="R17620" s="1288"/>
    </row>
    <row r="17621" spans="18:18" s="2" customFormat="1" ht="12.75" x14ac:dyDescent="0.2">
      <c r="R17621" s="1288"/>
    </row>
    <row r="17622" spans="18:18" s="2" customFormat="1" ht="12.75" x14ac:dyDescent="0.2">
      <c r="R17622" s="1288"/>
    </row>
    <row r="17623" spans="18:18" s="2" customFormat="1" ht="12.75" x14ac:dyDescent="0.2">
      <c r="R17623" s="1288"/>
    </row>
    <row r="17624" spans="18:18" s="2" customFormat="1" ht="12.75" x14ac:dyDescent="0.2">
      <c r="R17624" s="1288"/>
    </row>
    <row r="17625" spans="18:18" s="2" customFormat="1" ht="12.75" x14ac:dyDescent="0.2">
      <c r="R17625" s="1288"/>
    </row>
    <row r="17626" spans="18:18" s="2" customFormat="1" ht="12.75" x14ac:dyDescent="0.2">
      <c r="R17626" s="1288"/>
    </row>
    <row r="17627" spans="18:18" s="2" customFormat="1" ht="12.75" x14ac:dyDescent="0.2">
      <c r="R17627" s="1288"/>
    </row>
    <row r="17628" spans="18:18" s="2" customFormat="1" ht="12.75" x14ac:dyDescent="0.2">
      <c r="R17628" s="1288"/>
    </row>
    <row r="17629" spans="18:18" s="2" customFormat="1" ht="12.75" x14ac:dyDescent="0.2">
      <c r="R17629" s="1288"/>
    </row>
    <row r="17630" spans="18:18" s="2" customFormat="1" ht="12.75" x14ac:dyDescent="0.2">
      <c r="R17630" s="1288"/>
    </row>
    <row r="17631" spans="18:18" s="2" customFormat="1" ht="12.75" x14ac:dyDescent="0.2">
      <c r="R17631" s="1288"/>
    </row>
    <row r="17632" spans="18:18" s="2" customFormat="1" ht="12.75" x14ac:dyDescent="0.2">
      <c r="R17632" s="1288"/>
    </row>
    <row r="17633" spans="18:18" s="2" customFormat="1" ht="12.75" x14ac:dyDescent="0.2">
      <c r="R17633" s="1288"/>
    </row>
    <row r="17634" spans="18:18" s="2" customFormat="1" ht="12.75" x14ac:dyDescent="0.2">
      <c r="R17634" s="1288"/>
    </row>
    <row r="17635" spans="18:18" s="2" customFormat="1" ht="12.75" x14ac:dyDescent="0.2">
      <c r="R17635" s="1288"/>
    </row>
    <row r="17636" spans="18:18" s="2" customFormat="1" ht="12.75" x14ac:dyDescent="0.2">
      <c r="R17636" s="1288"/>
    </row>
    <row r="17637" spans="18:18" s="2" customFormat="1" ht="12.75" x14ac:dyDescent="0.2">
      <c r="R17637" s="1288"/>
    </row>
    <row r="17638" spans="18:18" s="2" customFormat="1" ht="12.75" x14ac:dyDescent="0.2">
      <c r="R17638" s="1288"/>
    </row>
    <row r="17639" spans="18:18" s="2" customFormat="1" ht="12.75" x14ac:dyDescent="0.2">
      <c r="R17639" s="1288"/>
    </row>
    <row r="17640" spans="18:18" s="2" customFormat="1" ht="12.75" x14ac:dyDescent="0.2">
      <c r="R17640" s="1288"/>
    </row>
    <row r="17641" spans="18:18" s="2" customFormat="1" ht="12.75" x14ac:dyDescent="0.2">
      <c r="R17641" s="1288"/>
    </row>
    <row r="17642" spans="18:18" s="2" customFormat="1" ht="12.75" x14ac:dyDescent="0.2">
      <c r="R17642" s="1288"/>
    </row>
    <row r="17643" spans="18:18" s="2" customFormat="1" ht="12.75" x14ac:dyDescent="0.2">
      <c r="R17643" s="1288"/>
    </row>
    <row r="17644" spans="18:18" s="2" customFormat="1" ht="12.75" x14ac:dyDescent="0.2">
      <c r="R17644" s="1288"/>
    </row>
    <row r="17645" spans="18:18" s="2" customFormat="1" ht="12.75" x14ac:dyDescent="0.2">
      <c r="R17645" s="1288"/>
    </row>
    <row r="17646" spans="18:18" s="2" customFormat="1" ht="12.75" x14ac:dyDescent="0.2">
      <c r="R17646" s="1288"/>
    </row>
    <row r="17647" spans="18:18" s="2" customFormat="1" ht="12.75" x14ac:dyDescent="0.2">
      <c r="R17647" s="1288"/>
    </row>
    <row r="17648" spans="18:18" s="2" customFormat="1" ht="12.75" x14ac:dyDescent="0.2">
      <c r="R17648" s="1288"/>
    </row>
    <row r="17649" spans="18:18" s="2" customFormat="1" ht="12.75" x14ac:dyDescent="0.2">
      <c r="R17649" s="1288"/>
    </row>
    <row r="17650" spans="18:18" s="2" customFormat="1" ht="12.75" x14ac:dyDescent="0.2">
      <c r="R17650" s="1288"/>
    </row>
    <row r="17651" spans="18:18" s="2" customFormat="1" ht="12.75" x14ac:dyDescent="0.2">
      <c r="R17651" s="1288"/>
    </row>
    <row r="17652" spans="18:18" s="2" customFormat="1" ht="12.75" x14ac:dyDescent="0.2">
      <c r="R17652" s="1288"/>
    </row>
    <row r="17653" spans="18:18" s="2" customFormat="1" ht="12.75" x14ac:dyDescent="0.2">
      <c r="R17653" s="1288"/>
    </row>
    <row r="17654" spans="18:18" s="2" customFormat="1" ht="12.75" x14ac:dyDescent="0.2">
      <c r="R17654" s="1288"/>
    </row>
    <row r="17655" spans="18:18" s="2" customFormat="1" ht="12.75" x14ac:dyDescent="0.2">
      <c r="R17655" s="1288"/>
    </row>
    <row r="17656" spans="18:18" s="2" customFormat="1" ht="12.75" x14ac:dyDescent="0.2">
      <c r="R17656" s="1288"/>
    </row>
    <row r="17657" spans="18:18" s="2" customFormat="1" ht="12.75" x14ac:dyDescent="0.2">
      <c r="R17657" s="1288"/>
    </row>
    <row r="17658" spans="18:18" s="2" customFormat="1" ht="12.75" x14ac:dyDescent="0.2">
      <c r="R17658" s="1288"/>
    </row>
    <row r="17659" spans="18:18" s="2" customFormat="1" ht="12.75" x14ac:dyDescent="0.2">
      <c r="R17659" s="1288"/>
    </row>
    <row r="17660" spans="18:18" s="2" customFormat="1" ht="12.75" x14ac:dyDescent="0.2">
      <c r="R17660" s="1288"/>
    </row>
    <row r="17661" spans="18:18" s="2" customFormat="1" ht="12.75" x14ac:dyDescent="0.2">
      <c r="R17661" s="1288"/>
    </row>
    <row r="17662" spans="18:18" s="2" customFormat="1" ht="12.75" x14ac:dyDescent="0.2">
      <c r="R17662" s="1288"/>
    </row>
    <row r="17663" spans="18:18" s="2" customFormat="1" ht="12.75" x14ac:dyDescent="0.2">
      <c r="R17663" s="1288"/>
    </row>
    <row r="17664" spans="18:18" s="2" customFormat="1" ht="12.75" x14ac:dyDescent="0.2">
      <c r="R17664" s="1288"/>
    </row>
    <row r="17665" spans="18:18" s="2" customFormat="1" ht="12.75" x14ac:dyDescent="0.2">
      <c r="R17665" s="1288"/>
    </row>
    <row r="17666" spans="18:18" s="2" customFormat="1" ht="12.75" x14ac:dyDescent="0.2">
      <c r="R17666" s="1288"/>
    </row>
    <row r="17667" spans="18:18" s="2" customFormat="1" ht="12.75" x14ac:dyDescent="0.2">
      <c r="R17667" s="1288"/>
    </row>
    <row r="17668" spans="18:18" s="2" customFormat="1" ht="12.75" x14ac:dyDescent="0.2">
      <c r="R17668" s="1288"/>
    </row>
    <row r="17669" spans="18:18" s="2" customFormat="1" ht="12.75" x14ac:dyDescent="0.2">
      <c r="R17669" s="1288"/>
    </row>
    <row r="17670" spans="18:18" s="2" customFormat="1" ht="12.75" x14ac:dyDescent="0.2">
      <c r="R17670" s="1288"/>
    </row>
    <row r="17671" spans="18:18" s="2" customFormat="1" ht="12.75" x14ac:dyDescent="0.2">
      <c r="R17671" s="1288"/>
    </row>
    <row r="17672" spans="18:18" s="2" customFormat="1" ht="12.75" x14ac:dyDescent="0.2">
      <c r="R17672" s="1288"/>
    </row>
    <row r="17673" spans="18:18" s="2" customFormat="1" ht="12.75" x14ac:dyDescent="0.2">
      <c r="R17673" s="1288"/>
    </row>
    <row r="17674" spans="18:18" s="2" customFormat="1" ht="12.75" x14ac:dyDescent="0.2">
      <c r="R17674" s="1288"/>
    </row>
    <row r="17675" spans="18:18" s="2" customFormat="1" ht="12.75" x14ac:dyDescent="0.2">
      <c r="R17675" s="1288"/>
    </row>
    <row r="17676" spans="18:18" s="2" customFormat="1" ht="12.75" x14ac:dyDescent="0.2">
      <c r="R17676" s="1288"/>
    </row>
    <row r="17677" spans="18:18" s="2" customFormat="1" ht="12.75" x14ac:dyDescent="0.2">
      <c r="R17677" s="1288"/>
    </row>
    <row r="17678" spans="18:18" s="2" customFormat="1" ht="12.75" x14ac:dyDescent="0.2">
      <c r="R17678" s="1288"/>
    </row>
    <row r="17679" spans="18:18" s="2" customFormat="1" ht="12.75" x14ac:dyDescent="0.2">
      <c r="R17679" s="1288"/>
    </row>
    <row r="17680" spans="18:18" s="2" customFormat="1" ht="12.75" x14ac:dyDescent="0.2">
      <c r="R17680" s="1288"/>
    </row>
    <row r="17681" spans="18:18" s="2" customFormat="1" ht="12.75" x14ac:dyDescent="0.2">
      <c r="R17681" s="1288"/>
    </row>
    <row r="17682" spans="18:18" s="2" customFormat="1" ht="12.75" x14ac:dyDescent="0.2">
      <c r="R17682" s="1288"/>
    </row>
    <row r="17683" spans="18:18" s="2" customFormat="1" ht="12.75" x14ac:dyDescent="0.2">
      <c r="R17683" s="1288"/>
    </row>
    <row r="17684" spans="18:18" s="2" customFormat="1" ht="12.75" x14ac:dyDescent="0.2">
      <c r="R17684" s="1288"/>
    </row>
    <row r="17685" spans="18:18" s="2" customFormat="1" ht="12.75" x14ac:dyDescent="0.2">
      <c r="R17685" s="1288"/>
    </row>
    <row r="17686" spans="18:18" s="2" customFormat="1" ht="12.75" x14ac:dyDescent="0.2">
      <c r="R17686" s="1288"/>
    </row>
    <row r="17687" spans="18:18" s="2" customFormat="1" ht="12.75" x14ac:dyDescent="0.2">
      <c r="R17687" s="1288"/>
    </row>
    <row r="17688" spans="18:18" s="2" customFormat="1" ht="12.75" x14ac:dyDescent="0.2">
      <c r="R17688" s="1288"/>
    </row>
    <row r="17689" spans="18:18" s="2" customFormat="1" ht="12.75" x14ac:dyDescent="0.2">
      <c r="R17689" s="1288"/>
    </row>
    <row r="17690" spans="18:18" s="2" customFormat="1" ht="12.75" x14ac:dyDescent="0.2">
      <c r="R17690" s="1288"/>
    </row>
    <row r="17691" spans="18:18" s="2" customFormat="1" ht="12.75" x14ac:dyDescent="0.2">
      <c r="R17691" s="1288"/>
    </row>
    <row r="17692" spans="18:18" s="2" customFormat="1" ht="12.75" x14ac:dyDescent="0.2">
      <c r="R17692" s="1288"/>
    </row>
    <row r="17693" spans="18:18" s="2" customFormat="1" ht="12.75" x14ac:dyDescent="0.2">
      <c r="R17693" s="1288"/>
    </row>
    <row r="17694" spans="18:18" s="2" customFormat="1" ht="12.75" x14ac:dyDescent="0.2">
      <c r="R17694" s="1288"/>
    </row>
    <row r="17695" spans="18:18" s="2" customFormat="1" ht="12.75" x14ac:dyDescent="0.2">
      <c r="R17695" s="1288"/>
    </row>
    <row r="17696" spans="18:18" s="2" customFormat="1" ht="12.75" x14ac:dyDescent="0.2">
      <c r="R17696" s="1288"/>
    </row>
    <row r="17697" spans="18:18" s="2" customFormat="1" ht="12.75" x14ac:dyDescent="0.2">
      <c r="R17697" s="1288"/>
    </row>
    <row r="17698" spans="18:18" s="2" customFormat="1" ht="12.75" x14ac:dyDescent="0.2">
      <c r="R17698" s="1288"/>
    </row>
    <row r="17699" spans="18:18" s="2" customFormat="1" ht="12.75" x14ac:dyDescent="0.2">
      <c r="R17699" s="1288"/>
    </row>
    <row r="17700" spans="18:18" s="2" customFormat="1" ht="12.75" x14ac:dyDescent="0.2">
      <c r="R17700" s="1288"/>
    </row>
    <row r="17701" spans="18:18" s="2" customFormat="1" ht="12.75" x14ac:dyDescent="0.2">
      <c r="R17701" s="1288"/>
    </row>
    <row r="17702" spans="18:18" s="2" customFormat="1" ht="12.75" x14ac:dyDescent="0.2">
      <c r="R17702" s="1288"/>
    </row>
    <row r="17703" spans="18:18" s="2" customFormat="1" ht="12.75" x14ac:dyDescent="0.2">
      <c r="R17703" s="1288"/>
    </row>
    <row r="17704" spans="18:18" s="2" customFormat="1" ht="12.75" x14ac:dyDescent="0.2">
      <c r="R17704" s="1288"/>
    </row>
    <row r="17705" spans="18:18" s="2" customFormat="1" ht="12.75" x14ac:dyDescent="0.2">
      <c r="R17705" s="1288"/>
    </row>
    <row r="17706" spans="18:18" s="2" customFormat="1" ht="12.75" x14ac:dyDescent="0.2">
      <c r="R17706" s="1288"/>
    </row>
    <row r="17707" spans="18:18" s="2" customFormat="1" ht="12.75" x14ac:dyDescent="0.2">
      <c r="R17707" s="1288"/>
    </row>
    <row r="17708" spans="18:18" s="2" customFormat="1" ht="12.75" x14ac:dyDescent="0.2">
      <c r="R17708" s="1288"/>
    </row>
    <row r="17709" spans="18:18" s="2" customFormat="1" ht="12.75" x14ac:dyDescent="0.2">
      <c r="R17709" s="1288"/>
    </row>
    <row r="17710" spans="18:18" s="2" customFormat="1" ht="12.75" x14ac:dyDescent="0.2">
      <c r="R17710" s="1288"/>
    </row>
    <row r="17711" spans="18:18" s="2" customFormat="1" ht="12.75" x14ac:dyDescent="0.2">
      <c r="R17711" s="1288"/>
    </row>
    <row r="17712" spans="18:18" s="2" customFormat="1" ht="12.75" x14ac:dyDescent="0.2">
      <c r="R17712" s="1288"/>
    </row>
    <row r="17713" spans="18:18" s="2" customFormat="1" ht="12.75" x14ac:dyDescent="0.2">
      <c r="R17713" s="1288"/>
    </row>
    <row r="17714" spans="18:18" s="2" customFormat="1" ht="12.75" x14ac:dyDescent="0.2">
      <c r="R17714" s="1288"/>
    </row>
    <row r="17715" spans="18:18" s="2" customFormat="1" ht="12.75" x14ac:dyDescent="0.2">
      <c r="R17715" s="1288"/>
    </row>
    <row r="17716" spans="18:18" s="2" customFormat="1" ht="12.75" x14ac:dyDescent="0.2">
      <c r="R17716" s="1288"/>
    </row>
    <row r="17717" spans="18:18" s="2" customFormat="1" ht="12.75" x14ac:dyDescent="0.2">
      <c r="R17717" s="1288"/>
    </row>
    <row r="17718" spans="18:18" s="2" customFormat="1" ht="12.75" x14ac:dyDescent="0.2">
      <c r="R17718" s="1288"/>
    </row>
    <row r="17719" spans="18:18" s="2" customFormat="1" ht="12.75" x14ac:dyDescent="0.2">
      <c r="R17719" s="1288"/>
    </row>
    <row r="17720" spans="18:18" s="2" customFormat="1" ht="12.75" x14ac:dyDescent="0.2">
      <c r="R17720" s="1288"/>
    </row>
    <row r="17721" spans="18:18" s="2" customFormat="1" ht="12.75" x14ac:dyDescent="0.2">
      <c r="R17721" s="1288"/>
    </row>
    <row r="17722" spans="18:18" s="2" customFormat="1" ht="12.75" x14ac:dyDescent="0.2">
      <c r="R17722" s="1288"/>
    </row>
    <row r="17723" spans="18:18" s="2" customFormat="1" ht="12.75" x14ac:dyDescent="0.2">
      <c r="R17723" s="1288"/>
    </row>
    <row r="17724" spans="18:18" s="2" customFormat="1" ht="12.75" x14ac:dyDescent="0.2">
      <c r="R17724" s="1288"/>
    </row>
    <row r="17725" spans="18:18" s="2" customFormat="1" ht="12.75" x14ac:dyDescent="0.2">
      <c r="R17725" s="1288"/>
    </row>
    <row r="17726" spans="18:18" s="2" customFormat="1" ht="12.75" x14ac:dyDescent="0.2">
      <c r="R17726" s="1288"/>
    </row>
    <row r="17727" spans="18:18" s="2" customFormat="1" ht="12.75" x14ac:dyDescent="0.2">
      <c r="R17727" s="1288"/>
    </row>
    <row r="17728" spans="18:18" s="2" customFormat="1" ht="12.75" x14ac:dyDescent="0.2">
      <c r="R17728" s="1288"/>
    </row>
    <row r="17729" spans="18:18" s="2" customFormat="1" ht="12.75" x14ac:dyDescent="0.2">
      <c r="R17729" s="1288"/>
    </row>
    <row r="17730" spans="18:18" s="2" customFormat="1" ht="12.75" x14ac:dyDescent="0.2">
      <c r="R17730" s="1288"/>
    </row>
    <row r="17731" spans="18:18" s="2" customFormat="1" ht="12.75" x14ac:dyDescent="0.2">
      <c r="R17731" s="1288"/>
    </row>
    <row r="17732" spans="18:18" s="2" customFormat="1" ht="12.75" x14ac:dyDescent="0.2">
      <c r="R17732" s="1288"/>
    </row>
    <row r="17733" spans="18:18" s="2" customFormat="1" ht="12.75" x14ac:dyDescent="0.2">
      <c r="R17733" s="1288"/>
    </row>
    <row r="17734" spans="18:18" s="2" customFormat="1" ht="12.75" x14ac:dyDescent="0.2">
      <c r="R17734" s="1288"/>
    </row>
    <row r="17735" spans="18:18" s="2" customFormat="1" ht="12.75" x14ac:dyDescent="0.2">
      <c r="R17735" s="1288"/>
    </row>
    <row r="17736" spans="18:18" s="2" customFormat="1" ht="12.75" x14ac:dyDescent="0.2">
      <c r="R17736" s="1288"/>
    </row>
    <row r="17737" spans="18:18" s="2" customFormat="1" ht="12.75" x14ac:dyDescent="0.2">
      <c r="R17737" s="1288"/>
    </row>
    <row r="17738" spans="18:18" s="2" customFormat="1" ht="12.75" x14ac:dyDescent="0.2">
      <c r="R17738" s="1288"/>
    </row>
    <row r="17739" spans="18:18" s="2" customFormat="1" ht="12.75" x14ac:dyDescent="0.2">
      <c r="R17739" s="1288"/>
    </row>
    <row r="17740" spans="18:18" s="2" customFormat="1" ht="12.75" x14ac:dyDescent="0.2">
      <c r="R17740" s="1288"/>
    </row>
    <row r="17741" spans="18:18" s="2" customFormat="1" ht="12.75" x14ac:dyDescent="0.2">
      <c r="R17741" s="1288"/>
    </row>
    <row r="17742" spans="18:18" s="2" customFormat="1" ht="12.75" x14ac:dyDescent="0.2">
      <c r="R17742" s="1288"/>
    </row>
    <row r="17743" spans="18:18" s="2" customFormat="1" ht="12.75" x14ac:dyDescent="0.2">
      <c r="R17743" s="1288"/>
    </row>
    <row r="17744" spans="18:18" s="2" customFormat="1" ht="12.75" x14ac:dyDescent="0.2">
      <c r="R17744" s="1288"/>
    </row>
    <row r="17745" spans="18:18" s="2" customFormat="1" ht="12.75" x14ac:dyDescent="0.2">
      <c r="R17745" s="1288"/>
    </row>
    <row r="17746" spans="18:18" s="2" customFormat="1" ht="12.75" x14ac:dyDescent="0.2">
      <c r="R17746" s="1288"/>
    </row>
    <row r="17747" spans="18:18" s="2" customFormat="1" ht="12.75" x14ac:dyDescent="0.2">
      <c r="R17747" s="1288"/>
    </row>
    <row r="17748" spans="18:18" s="2" customFormat="1" ht="12.75" x14ac:dyDescent="0.2">
      <c r="R17748" s="1288"/>
    </row>
    <row r="17749" spans="18:18" s="2" customFormat="1" ht="12.75" x14ac:dyDescent="0.2">
      <c r="R17749" s="1288"/>
    </row>
    <row r="17750" spans="18:18" s="2" customFormat="1" ht="12.75" x14ac:dyDescent="0.2">
      <c r="R17750" s="1288"/>
    </row>
    <row r="17751" spans="18:18" s="2" customFormat="1" ht="12.75" x14ac:dyDescent="0.2">
      <c r="R17751" s="1288"/>
    </row>
    <row r="17752" spans="18:18" s="2" customFormat="1" ht="12.75" x14ac:dyDescent="0.2">
      <c r="R17752" s="1288"/>
    </row>
    <row r="17753" spans="18:18" s="2" customFormat="1" ht="12.75" x14ac:dyDescent="0.2">
      <c r="R17753" s="1288"/>
    </row>
    <row r="17754" spans="18:18" s="2" customFormat="1" ht="12.75" x14ac:dyDescent="0.2">
      <c r="R17754" s="1288"/>
    </row>
    <row r="17755" spans="18:18" s="2" customFormat="1" ht="12.75" x14ac:dyDescent="0.2">
      <c r="R17755" s="1288"/>
    </row>
    <row r="17756" spans="18:18" s="2" customFormat="1" ht="12.75" x14ac:dyDescent="0.2">
      <c r="R17756" s="1288"/>
    </row>
    <row r="17757" spans="18:18" s="2" customFormat="1" ht="12.75" x14ac:dyDescent="0.2">
      <c r="R17757" s="1288"/>
    </row>
    <row r="17758" spans="18:18" s="2" customFormat="1" ht="12.75" x14ac:dyDescent="0.2">
      <c r="R17758" s="1288"/>
    </row>
    <row r="17759" spans="18:18" s="2" customFormat="1" ht="12.75" x14ac:dyDescent="0.2">
      <c r="R17759" s="1288"/>
    </row>
    <row r="17760" spans="18:18" s="2" customFormat="1" ht="12.75" x14ac:dyDescent="0.2">
      <c r="R17760" s="1288"/>
    </row>
    <row r="17761" spans="18:18" s="2" customFormat="1" ht="12.75" x14ac:dyDescent="0.2">
      <c r="R17761" s="1288"/>
    </row>
    <row r="17762" spans="18:18" s="2" customFormat="1" ht="12.75" x14ac:dyDescent="0.2">
      <c r="R17762" s="1288"/>
    </row>
    <row r="17763" spans="18:18" s="2" customFormat="1" ht="12.75" x14ac:dyDescent="0.2">
      <c r="R17763" s="1288"/>
    </row>
    <row r="17764" spans="18:18" s="2" customFormat="1" ht="12.75" x14ac:dyDescent="0.2">
      <c r="R17764" s="1288"/>
    </row>
    <row r="17765" spans="18:18" s="2" customFormat="1" ht="12.75" x14ac:dyDescent="0.2">
      <c r="R17765" s="1288"/>
    </row>
    <row r="17766" spans="18:18" s="2" customFormat="1" ht="12.75" x14ac:dyDescent="0.2">
      <c r="R17766" s="1288"/>
    </row>
    <row r="17767" spans="18:18" s="2" customFormat="1" ht="12.75" x14ac:dyDescent="0.2">
      <c r="R17767" s="1288"/>
    </row>
    <row r="17768" spans="18:18" s="2" customFormat="1" ht="12.75" x14ac:dyDescent="0.2">
      <c r="R17768" s="1288"/>
    </row>
    <row r="17769" spans="18:18" s="2" customFormat="1" ht="12.75" x14ac:dyDescent="0.2">
      <c r="R17769" s="1288"/>
    </row>
    <row r="17770" spans="18:18" s="2" customFormat="1" ht="12.75" x14ac:dyDescent="0.2">
      <c r="R17770" s="1288"/>
    </row>
    <row r="17771" spans="18:18" s="2" customFormat="1" ht="12.75" x14ac:dyDescent="0.2">
      <c r="R17771" s="1288"/>
    </row>
    <row r="17772" spans="18:18" s="2" customFormat="1" ht="12.75" x14ac:dyDescent="0.2">
      <c r="R17772" s="1288"/>
    </row>
    <row r="17773" spans="18:18" s="2" customFormat="1" ht="12.75" x14ac:dyDescent="0.2">
      <c r="R17773" s="1288"/>
    </row>
    <row r="17774" spans="18:18" s="2" customFormat="1" ht="12.75" x14ac:dyDescent="0.2">
      <c r="R17774" s="1288"/>
    </row>
    <row r="17775" spans="18:18" s="2" customFormat="1" ht="12.75" x14ac:dyDescent="0.2">
      <c r="R17775" s="1288"/>
    </row>
    <row r="17776" spans="18:18" s="2" customFormat="1" ht="12.75" x14ac:dyDescent="0.2">
      <c r="R17776" s="1288"/>
    </row>
    <row r="17777" spans="18:18" s="2" customFormat="1" ht="12.75" x14ac:dyDescent="0.2">
      <c r="R17777" s="1288"/>
    </row>
    <row r="17778" spans="18:18" s="2" customFormat="1" ht="12.75" x14ac:dyDescent="0.2">
      <c r="R17778" s="1288"/>
    </row>
    <row r="17779" spans="18:18" s="2" customFormat="1" ht="12.75" x14ac:dyDescent="0.2">
      <c r="R17779" s="1288"/>
    </row>
    <row r="17780" spans="18:18" s="2" customFormat="1" ht="12.75" x14ac:dyDescent="0.2">
      <c r="R17780" s="1288"/>
    </row>
    <row r="17781" spans="18:18" s="2" customFormat="1" ht="12.75" x14ac:dyDescent="0.2">
      <c r="R17781" s="1288"/>
    </row>
    <row r="17782" spans="18:18" s="2" customFormat="1" ht="12.75" x14ac:dyDescent="0.2">
      <c r="R17782" s="1288"/>
    </row>
    <row r="17783" spans="18:18" s="2" customFormat="1" ht="12.75" x14ac:dyDescent="0.2">
      <c r="R17783" s="1288"/>
    </row>
    <row r="17784" spans="18:18" s="2" customFormat="1" ht="12.75" x14ac:dyDescent="0.2">
      <c r="R17784" s="1288"/>
    </row>
    <row r="17785" spans="18:18" s="2" customFormat="1" ht="12.75" x14ac:dyDescent="0.2">
      <c r="R17785" s="1288"/>
    </row>
    <row r="17786" spans="18:18" s="2" customFormat="1" ht="12.75" x14ac:dyDescent="0.2">
      <c r="R17786" s="1288"/>
    </row>
    <row r="17787" spans="18:18" s="2" customFormat="1" ht="12.75" x14ac:dyDescent="0.2">
      <c r="R17787" s="1288"/>
    </row>
    <row r="17788" spans="18:18" s="2" customFormat="1" ht="12.75" x14ac:dyDescent="0.2">
      <c r="R17788" s="1288"/>
    </row>
    <row r="17789" spans="18:18" s="2" customFormat="1" ht="12.75" x14ac:dyDescent="0.2">
      <c r="R17789" s="1288"/>
    </row>
    <row r="17790" spans="18:18" s="2" customFormat="1" ht="12.75" x14ac:dyDescent="0.2">
      <c r="R17790" s="1288"/>
    </row>
    <row r="17791" spans="18:18" s="2" customFormat="1" ht="12.75" x14ac:dyDescent="0.2">
      <c r="R17791" s="1288"/>
    </row>
    <row r="17792" spans="18:18" s="2" customFormat="1" ht="12.75" x14ac:dyDescent="0.2">
      <c r="R17792" s="1288"/>
    </row>
    <row r="17793" spans="18:18" s="2" customFormat="1" ht="12.75" x14ac:dyDescent="0.2">
      <c r="R17793" s="1288"/>
    </row>
    <row r="17794" spans="18:18" s="2" customFormat="1" ht="12.75" x14ac:dyDescent="0.2">
      <c r="R17794" s="1288"/>
    </row>
    <row r="17795" spans="18:18" s="2" customFormat="1" ht="12.75" x14ac:dyDescent="0.2">
      <c r="R17795" s="1288"/>
    </row>
    <row r="17796" spans="18:18" s="2" customFormat="1" ht="12.75" x14ac:dyDescent="0.2">
      <c r="R17796" s="1288"/>
    </row>
    <row r="17797" spans="18:18" s="2" customFormat="1" ht="12.75" x14ac:dyDescent="0.2">
      <c r="R17797" s="1288"/>
    </row>
    <row r="17798" spans="18:18" s="2" customFormat="1" ht="12.75" x14ac:dyDescent="0.2">
      <c r="R17798" s="1288"/>
    </row>
    <row r="17799" spans="18:18" s="2" customFormat="1" ht="12.75" x14ac:dyDescent="0.2">
      <c r="R17799" s="1288"/>
    </row>
    <row r="17800" spans="18:18" s="2" customFormat="1" ht="12.75" x14ac:dyDescent="0.2">
      <c r="R17800" s="1288"/>
    </row>
    <row r="17801" spans="18:18" s="2" customFormat="1" ht="12.75" x14ac:dyDescent="0.2">
      <c r="R17801" s="1288"/>
    </row>
    <row r="17802" spans="18:18" s="2" customFormat="1" ht="12.75" x14ac:dyDescent="0.2">
      <c r="R17802" s="1288"/>
    </row>
    <row r="17803" spans="18:18" s="2" customFormat="1" ht="12.75" x14ac:dyDescent="0.2">
      <c r="R17803" s="1288"/>
    </row>
    <row r="17804" spans="18:18" s="2" customFormat="1" ht="12.75" x14ac:dyDescent="0.2">
      <c r="R17804" s="1288"/>
    </row>
    <row r="17805" spans="18:18" s="2" customFormat="1" ht="12.75" x14ac:dyDescent="0.2">
      <c r="R17805" s="1288"/>
    </row>
    <row r="17806" spans="18:18" s="2" customFormat="1" ht="12.75" x14ac:dyDescent="0.2">
      <c r="R17806" s="1288"/>
    </row>
    <row r="17807" spans="18:18" s="2" customFormat="1" ht="12.75" x14ac:dyDescent="0.2">
      <c r="R17807" s="1288"/>
    </row>
    <row r="17808" spans="18:18" s="2" customFormat="1" ht="12.75" x14ac:dyDescent="0.2">
      <c r="R17808" s="1288"/>
    </row>
    <row r="17809" spans="18:18" s="2" customFormat="1" ht="12.75" x14ac:dyDescent="0.2">
      <c r="R17809" s="1288"/>
    </row>
    <row r="17810" spans="18:18" s="2" customFormat="1" ht="12.75" x14ac:dyDescent="0.2">
      <c r="R17810" s="1288"/>
    </row>
    <row r="17811" spans="18:18" s="2" customFormat="1" ht="12.75" x14ac:dyDescent="0.2">
      <c r="R17811" s="1288"/>
    </row>
    <row r="17812" spans="18:18" s="2" customFormat="1" ht="12.75" x14ac:dyDescent="0.2">
      <c r="R17812" s="1288"/>
    </row>
    <row r="17813" spans="18:18" s="2" customFormat="1" ht="12.75" x14ac:dyDescent="0.2">
      <c r="R17813" s="1288"/>
    </row>
    <row r="17814" spans="18:18" s="2" customFormat="1" ht="12.75" x14ac:dyDescent="0.2">
      <c r="R17814" s="1288"/>
    </row>
    <row r="17815" spans="18:18" s="2" customFormat="1" ht="12.75" x14ac:dyDescent="0.2">
      <c r="R17815" s="1288"/>
    </row>
    <row r="17816" spans="18:18" s="2" customFormat="1" ht="12.75" x14ac:dyDescent="0.2">
      <c r="R17816" s="1288"/>
    </row>
    <row r="17817" spans="18:18" s="2" customFormat="1" ht="12.75" x14ac:dyDescent="0.2">
      <c r="R17817" s="1288"/>
    </row>
    <row r="17818" spans="18:18" s="2" customFormat="1" ht="12.75" x14ac:dyDescent="0.2">
      <c r="R17818" s="1288"/>
    </row>
    <row r="17819" spans="18:18" s="2" customFormat="1" ht="12.75" x14ac:dyDescent="0.2">
      <c r="R17819" s="1288"/>
    </row>
    <row r="17820" spans="18:18" s="2" customFormat="1" ht="12.75" x14ac:dyDescent="0.2">
      <c r="R17820" s="1288"/>
    </row>
    <row r="17821" spans="18:18" s="2" customFormat="1" ht="12.75" x14ac:dyDescent="0.2">
      <c r="R17821" s="1288"/>
    </row>
    <row r="17822" spans="18:18" s="2" customFormat="1" ht="12.75" x14ac:dyDescent="0.2">
      <c r="R17822" s="1288"/>
    </row>
    <row r="17823" spans="18:18" s="2" customFormat="1" ht="12.75" x14ac:dyDescent="0.2">
      <c r="R17823" s="1288"/>
    </row>
    <row r="17824" spans="18:18" s="2" customFormat="1" ht="12.75" x14ac:dyDescent="0.2">
      <c r="R17824" s="1288"/>
    </row>
    <row r="17825" spans="18:18" s="2" customFormat="1" ht="12.75" x14ac:dyDescent="0.2">
      <c r="R17825" s="1288"/>
    </row>
    <row r="17826" spans="18:18" s="2" customFormat="1" ht="12.75" x14ac:dyDescent="0.2">
      <c r="R17826" s="1288"/>
    </row>
    <row r="17827" spans="18:18" s="2" customFormat="1" ht="12.75" x14ac:dyDescent="0.2">
      <c r="R17827" s="1288"/>
    </row>
    <row r="17828" spans="18:18" s="2" customFormat="1" ht="12.75" x14ac:dyDescent="0.2">
      <c r="R17828" s="1288"/>
    </row>
    <row r="17829" spans="18:18" s="2" customFormat="1" ht="12.75" x14ac:dyDescent="0.2">
      <c r="R17829" s="1288"/>
    </row>
    <row r="17830" spans="18:18" s="2" customFormat="1" ht="12.75" x14ac:dyDescent="0.2">
      <c r="R17830" s="1288"/>
    </row>
    <row r="17831" spans="18:18" s="2" customFormat="1" ht="12.75" x14ac:dyDescent="0.2">
      <c r="R17831" s="1288"/>
    </row>
    <row r="17832" spans="18:18" s="2" customFormat="1" ht="12.75" x14ac:dyDescent="0.2">
      <c r="R17832" s="1288"/>
    </row>
    <row r="17833" spans="18:18" s="2" customFormat="1" ht="12.75" x14ac:dyDescent="0.2">
      <c r="R17833" s="1288"/>
    </row>
    <row r="17834" spans="18:18" s="2" customFormat="1" ht="12.75" x14ac:dyDescent="0.2">
      <c r="R17834" s="1288"/>
    </row>
    <row r="17835" spans="18:18" s="2" customFormat="1" ht="12.75" x14ac:dyDescent="0.2">
      <c r="R17835" s="1288"/>
    </row>
    <row r="17836" spans="18:18" s="2" customFormat="1" ht="12.75" x14ac:dyDescent="0.2">
      <c r="R17836" s="1288"/>
    </row>
    <row r="17837" spans="18:18" s="2" customFormat="1" ht="12.75" x14ac:dyDescent="0.2">
      <c r="R17837" s="1288"/>
    </row>
    <row r="17838" spans="18:18" s="2" customFormat="1" ht="12.75" x14ac:dyDescent="0.2">
      <c r="R17838" s="1288"/>
    </row>
    <row r="17839" spans="18:18" s="2" customFormat="1" ht="12.75" x14ac:dyDescent="0.2">
      <c r="R17839" s="1288"/>
    </row>
    <row r="17840" spans="18:18" s="2" customFormat="1" ht="12.75" x14ac:dyDescent="0.2">
      <c r="R17840" s="1288"/>
    </row>
    <row r="17841" spans="18:18" s="2" customFormat="1" ht="12.75" x14ac:dyDescent="0.2">
      <c r="R17841" s="1288"/>
    </row>
    <row r="17842" spans="18:18" s="2" customFormat="1" ht="12.75" x14ac:dyDescent="0.2">
      <c r="R17842" s="1288"/>
    </row>
    <row r="17843" spans="18:18" s="2" customFormat="1" ht="12.75" x14ac:dyDescent="0.2">
      <c r="R17843" s="1288"/>
    </row>
    <row r="17844" spans="18:18" s="2" customFormat="1" ht="12.75" x14ac:dyDescent="0.2">
      <c r="R17844" s="1288"/>
    </row>
    <row r="17845" spans="18:18" s="2" customFormat="1" ht="12.75" x14ac:dyDescent="0.2">
      <c r="R17845" s="1288"/>
    </row>
    <row r="17846" spans="18:18" s="2" customFormat="1" ht="12.75" x14ac:dyDescent="0.2">
      <c r="R17846" s="1288"/>
    </row>
    <row r="17847" spans="18:18" s="2" customFormat="1" ht="12.75" x14ac:dyDescent="0.2">
      <c r="R17847" s="1288"/>
    </row>
    <row r="17848" spans="18:18" s="2" customFormat="1" ht="12.75" x14ac:dyDescent="0.2">
      <c r="R17848" s="1288"/>
    </row>
    <row r="17849" spans="18:18" s="2" customFormat="1" ht="12.75" x14ac:dyDescent="0.2">
      <c r="R17849" s="1288"/>
    </row>
    <row r="17850" spans="18:18" s="2" customFormat="1" ht="12.75" x14ac:dyDescent="0.2">
      <c r="R17850" s="1288"/>
    </row>
    <row r="17851" spans="18:18" s="2" customFormat="1" ht="12.75" x14ac:dyDescent="0.2">
      <c r="R17851" s="1288"/>
    </row>
    <row r="17852" spans="18:18" s="2" customFormat="1" ht="12.75" x14ac:dyDescent="0.2">
      <c r="R17852" s="1288"/>
    </row>
    <row r="17853" spans="18:18" s="2" customFormat="1" ht="12.75" x14ac:dyDescent="0.2">
      <c r="R17853" s="1288"/>
    </row>
    <row r="17854" spans="18:18" s="2" customFormat="1" ht="12.75" x14ac:dyDescent="0.2">
      <c r="R17854" s="1288"/>
    </row>
    <row r="17855" spans="18:18" s="2" customFormat="1" ht="12.75" x14ac:dyDescent="0.2">
      <c r="R17855" s="1288"/>
    </row>
    <row r="17856" spans="18:18" s="2" customFormat="1" ht="12.75" x14ac:dyDescent="0.2">
      <c r="R17856" s="1288"/>
    </row>
    <row r="17857" spans="18:18" s="2" customFormat="1" ht="12.75" x14ac:dyDescent="0.2">
      <c r="R17857" s="1288"/>
    </row>
    <row r="17858" spans="18:18" s="2" customFormat="1" ht="12.75" x14ac:dyDescent="0.2">
      <c r="R17858" s="1288"/>
    </row>
    <row r="17859" spans="18:18" s="2" customFormat="1" ht="12.75" x14ac:dyDescent="0.2">
      <c r="R17859" s="1288"/>
    </row>
    <row r="17860" spans="18:18" s="2" customFormat="1" ht="12.75" x14ac:dyDescent="0.2">
      <c r="R17860" s="1288"/>
    </row>
    <row r="17861" spans="18:18" s="2" customFormat="1" ht="12.75" x14ac:dyDescent="0.2">
      <c r="R17861" s="1288"/>
    </row>
    <row r="17862" spans="18:18" s="2" customFormat="1" ht="12.75" x14ac:dyDescent="0.2">
      <c r="R17862" s="1288"/>
    </row>
    <row r="17863" spans="18:18" s="2" customFormat="1" ht="12.75" x14ac:dyDescent="0.2">
      <c r="R17863" s="1288"/>
    </row>
    <row r="17864" spans="18:18" s="2" customFormat="1" ht="12.75" x14ac:dyDescent="0.2">
      <c r="R17864" s="1288"/>
    </row>
    <row r="17865" spans="18:18" s="2" customFormat="1" ht="12.75" x14ac:dyDescent="0.2">
      <c r="R17865" s="1288"/>
    </row>
    <row r="17866" spans="18:18" s="2" customFormat="1" ht="12.75" x14ac:dyDescent="0.2">
      <c r="R17866" s="1288"/>
    </row>
    <row r="17867" spans="18:18" s="2" customFormat="1" ht="12.75" x14ac:dyDescent="0.2">
      <c r="R17867" s="1288"/>
    </row>
    <row r="17868" spans="18:18" s="2" customFormat="1" ht="12.75" x14ac:dyDescent="0.2">
      <c r="R17868" s="1288"/>
    </row>
    <row r="17869" spans="18:18" s="2" customFormat="1" ht="12.75" x14ac:dyDescent="0.2">
      <c r="R17869" s="1288"/>
    </row>
    <row r="17870" spans="18:18" s="2" customFormat="1" ht="12.75" x14ac:dyDescent="0.2">
      <c r="R17870" s="1288"/>
    </row>
    <row r="17871" spans="18:18" s="2" customFormat="1" ht="12.75" x14ac:dyDescent="0.2">
      <c r="R17871" s="1288"/>
    </row>
    <row r="17872" spans="18:18" s="2" customFormat="1" ht="12.75" x14ac:dyDescent="0.2">
      <c r="R17872" s="1288"/>
    </row>
    <row r="17873" spans="18:18" s="2" customFormat="1" ht="12.75" x14ac:dyDescent="0.2">
      <c r="R17873" s="1288"/>
    </row>
    <row r="17874" spans="18:18" s="2" customFormat="1" ht="12.75" x14ac:dyDescent="0.2">
      <c r="R17874" s="1288"/>
    </row>
    <row r="17875" spans="18:18" s="2" customFormat="1" ht="12.75" x14ac:dyDescent="0.2">
      <c r="R17875" s="1288"/>
    </row>
    <row r="17876" spans="18:18" s="2" customFormat="1" ht="12.75" x14ac:dyDescent="0.2">
      <c r="R17876" s="1288"/>
    </row>
    <row r="17877" spans="18:18" s="2" customFormat="1" ht="12.75" x14ac:dyDescent="0.2">
      <c r="R17877" s="1288"/>
    </row>
    <row r="17878" spans="18:18" s="2" customFormat="1" ht="12.75" x14ac:dyDescent="0.2">
      <c r="R17878" s="1288"/>
    </row>
    <row r="17879" spans="18:18" s="2" customFormat="1" ht="12.75" x14ac:dyDescent="0.2">
      <c r="R17879" s="1288"/>
    </row>
    <row r="17880" spans="18:18" s="2" customFormat="1" ht="12.75" x14ac:dyDescent="0.2">
      <c r="R17880" s="1288"/>
    </row>
    <row r="17881" spans="18:18" s="2" customFormat="1" ht="12.75" x14ac:dyDescent="0.2">
      <c r="R17881" s="1288"/>
    </row>
    <row r="17882" spans="18:18" s="2" customFormat="1" ht="12.75" x14ac:dyDescent="0.2">
      <c r="R17882" s="1288"/>
    </row>
    <row r="17883" spans="18:18" s="2" customFormat="1" ht="12.75" x14ac:dyDescent="0.2">
      <c r="R17883" s="1288"/>
    </row>
    <row r="17884" spans="18:18" s="2" customFormat="1" ht="12.75" x14ac:dyDescent="0.2">
      <c r="R17884" s="1288"/>
    </row>
    <row r="17885" spans="18:18" s="2" customFormat="1" ht="12.75" x14ac:dyDescent="0.2">
      <c r="R17885" s="1288"/>
    </row>
    <row r="17886" spans="18:18" s="2" customFormat="1" ht="12.75" x14ac:dyDescent="0.2">
      <c r="R17886" s="1288"/>
    </row>
    <row r="17887" spans="18:18" s="2" customFormat="1" ht="12.75" x14ac:dyDescent="0.2">
      <c r="R17887" s="1288"/>
    </row>
    <row r="17888" spans="18:18" s="2" customFormat="1" ht="12.75" x14ac:dyDescent="0.2">
      <c r="R17888" s="1288"/>
    </row>
    <row r="17889" spans="18:18" s="2" customFormat="1" ht="12.75" x14ac:dyDescent="0.2">
      <c r="R17889" s="1288"/>
    </row>
    <row r="17890" spans="18:18" s="2" customFormat="1" ht="12.75" x14ac:dyDescent="0.2">
      <c r="R17890" s="1288"/>
    </row>
    <row r="17891" spans="18:18" s="2" customFormat="1" ht="12.75" x14ac:dyDescent="0.2">
      <c r="R17891" s="1288"/>
    </row>
    <row r="17892" spans="18:18" s="2" customFormat="1" ht="12.75" x14ac:dyDescent="0.2">
      <c r="R17892" s="1288"/>
    </row>
    <row r="17893" spans="18:18" s="2" customFormat="1" ht="12.75" x14ac:dyDescent="0.2">
      <c r="R17893" s="1288"/>
    </row>
    <row r="17894" spans="18:18" s="2" customFormat="1" ht="12.75" x14ac:dyDescent="0.2">
      <c r="R17894" s="1288"/>
    </row>
    <row r="17895" spans="18:18" s="2" customFormat="1" ht="12.75" x14ac:dyDescent="0.2">
      <c r="R17895" s="1288"/>
    </row>
    <row r="17896" spans="18:18" s="2" customFormat="1" ht="12.75" x14ac:dyDescent="0.2">
      <c r="R17896" s="1288"/>
    </row>
    <row r="17897" spans="18:18" s="2" customFormat="1" ht="12.75" x14ac:dyDescent="0.2">
      <c r="R17897" s="1288"/>
    </row>
    <row r="17898" spans="18:18" s="2" customFormat="1" ht="12.75" x14ac:dyDescent="0.2">
      <c r="R17898" s="1288"/>
    </row>
    <row r="17899" spans="18:18" s="2" customFormat="1" ht="12.75" x14ac:dyDescent="0.2">
      <c r="R17899" s="1288"/>
    </row>
    <row r="17900" spans="18:18" s="2" customFormat="1" ht="12.75" x14ac:dyDescent="0.2">
      <c r="R17900" s="1288"/>
    </row>
    <row r="17901" spans="18:18" s="2" customFormat="1" ht="12.75" x14ac:dyDescent="0.2">
      <c r="R17901" s="1288"/>
    </row>
    <row r="17902" spans="18:18" s="2" customFormat="1" ht="12.75" x14ac:dyDescent="0.2">
      <c r="R17902" s="1288"/>
    </row>
    <row r="17903" spans="18:18" s="2" customFormat="1" ht="12.75" x14ac:dyDescent="0.2">
      <c r="R17903" s="1288"/>
    </row>
    <row r="17904" spans="18:18" s="2" customFormat="1" ht="12.75" x14ac:dyDescent="0.2">
      <c r="R17904" s="1288"/>
    </row>
    <row r="17905" spans="18:18" s="2" customFormat="1" ht="12.75" x14ac:dyDescent="0.2">
      <c r="R17905" s="1288"/>
    </row>
    <row r="17906" spans="18:18" s="2" customFormat="1" ht="12.75" x14ac:dyDescent="0.2">
      <c r="R17906" s="1288"/>
    </row>
    <row r="17907" spans="18:18" s="2" customFormat="1" ht="12.75" x14ac:dyDescent="0.2">
      <c r="R17907" s="1288"/>
    </row>
    <row r="17908" spans="18:18" s="2" customFormat="1" ht="12.75" x14ac:dyDescent="0.2">
      <c r="R17908" s="1288"/>
    </row>
    <row r="17909" spans="18:18" s="2" customFormat="1" ht="12.75" x14ac:dyDescent="0.2">
      <c r="R17909" s="1288"/>
    </row>
    <row r="17910" spans="18:18" s="2" customFormat="1" ht="12.75" x14ac:dyDescent="0.2">
      <c r="R17910" s="1288"/>
    </row>
    <row r="17911" spans="18:18" s="2" customFormat="1" ht="12.75" x14ac:dyDescent="0.2">
      <c r="R17911" s="1288"/>
    </row>
    <row r="17912" spans="18:18" s="2" customFormat="1" ht="12.75" x14ac:dyDescent="0.2">
      <c r="R17912" s="1288"/>
    </row>
    <row r="17913" spans="18:18" s="2" customFormat="1" ht="12.75" x14ac:dyDescent="0.2">
      <c r="R17913" s="1288"/>
    </row>
    <row r="17914" spans="18:18" s="2" customFormat="1" ht="12.75" x14ac:dyDescent="0.2">
      <c r="R17914" s="1288"/>
    </row>
    <row r="17915" spans="18:18" s="2" customFormat="1" ht="12.75" x14ac:dyDescent="0.2">
      <c r="R17915" s="1288"/>
    </row>
    <row r="17916" spans="18:18" s="2" customFormat="1" ht="12.75" x14ac:dyDescent="0.2">
      <c r="R17916" s="1288"/>
    </row>
    <row r="17917" spans="18:18" s="2" customFormat="1" ht="12.75" x14ac:dyDescent="0.2">
      <c r="R17917" s="1288"/>
    </row>
    <row r="17918" spans="18:18" s="2" customFormat="1" ht="12.75" x14ac:dyDescent="0.2">
      <c r="R17918" s="1288"/>
    </row>
    <row r="17919" spans="18:18" s="2" customFormat="1" ht="12.75" x14ac:dyDescent="0.2">
      <c r="R17919" s="1288"/>
    </row>
    <row r="17920" spans="18:18" s="2" customFormat="1" ht="12.75" x14ac:dyDescent="0.2">
      <c r="R17920" s="1288"/>
    </row>
    <row r="17921" spans="18:18" s="2" customFormat="1" ht="12.75" x14ac:dyDescent="0.2">
      <c r="R17921" s="1288"/>
    </row>
    <row r="17922" spans="18:18" s="2" customFormat="1" ht="12.75" x14ac:dyDescent="0.2">
      <c r="R17922" s="1288"/>
    </row>
    <row r="17923" spans="18:18" s="2" customFormat="1" ht="12.75" x14ac:dyDescent="0.2">
      <c r="R17923" s="1288"/>
    </row>
    <row r="17924" spans="18:18" s="2" customFormat="1" ht="12.75" x14ac:dyDescent="0.2">
      <c r="R17924" s="1288"/>
    </row>
    <row r="17925" spans="18:18" s="2" customFormat="1" ht="12.75" x14ac:dyDescent="0.2">
      <c r="R17925" s="1288"/>
    </row>
    <row r="17926" spans="18:18" s="2" customFormat="1" ht="12.75" x14ac:dyDescent="0.2">
      <c r="R17926" s="1288"/>
    </row>
    <row r="17927" spans="18:18" s="2" customFormat="1" ht="12.75" x14ac:dyDescent="0.2">
      <c r="R17927" s="1288"/>
    </row>
    <row r="17928" spans="18:18" s="2" customFormat="1" ht="12.75" x14ac:dyDescent="0.2">
      <c r="R17928" s="1288"/>
    </row>
    <row r="17929" spans="18:18" s="2" customFormat="1" ht="12.75" x14ac:dyDescent="0.2">
      <c r="R17929" s="1288"/>
    </row>
    <row r="17930" spans="18:18" s="2" customFormat="1" ht="12.75" x14ac:dyDescent="0.2">
      <c r="R17930" s="1288"/>
    </row>
    <row r="17931" spans="18:18" s="2" customFormat="1" ht="12.75" x14ac:dyDescent="0.2">
      <c r="R17931" s="1288"/>
    </row>
    <row r="17932" spans="18:18" s="2" customFormat="1" ht="12.75" x14ac:dyDescent="0.2">
      <c r="R17932" s="1288"/>
    </row>
    <row r="17933" spans="18:18" s="2" customFormat="1" ht="12.75" x14ac:dyDescent="0.2">
      <c r="R17933" s="1288"/>
    </row>
    <row r="17934" spans="18:18" s="2" customFormat="1" ht="12.75" x14ac:dyDescent="0.2">
      <c r="R17934" s="1288"/>
    </row>
    <row r="17935" spans="18:18" s="2" customFormat="1" ht="12.75" x14ac:dyDescent="0.2">
      <c r="R17935" s="1288"/>
    </row>
    <row r="17936" spans="18:18" s="2" customFormat="1" ht="12.75" x14ac:dyDescent="0.2">
      <c r="R17936" s="1288"/>
    </row>
    <row r="17937" spans="18:18" s="2" customFormat="1" ht="12.75" x14ac:dyDescent="0.2">
      <c r="R17937" s="1288"/>
    </row>
    <row r="17938" spans="18:18" s="2" customFormat="1" ht="12.75" x14ac:dyDescent="0.2">
      <c r="R17938" s="1288"/>
    </row>
    <row r="17939" spans="18:18" s="2" customFormat="1" ht="12.75" x14ac:dyDescent="0.2">
      <c r="R17939" s="1288"/>
    </row>
    <row r="17940" spans="18:18" s="2" customFormat="1" ht="12.75" x14ac:dyDescent="0.2">
      <c r="R17940" s="1288"/>
    </row>
    <row r="17941" spans="18:18" s="2" customFormat="1" ht="12.75" x14ac:dyDescent="0.2">
      <c r="R17941" s="1288"/>
    </row>
    <row r="17942" spans="18:18" s="2" customFormat="1" ht="12.75" x14ac:dyDescent="0.2">
      <c r="R17942" s="1288"/>
    </row>
    <row r="17943" spans="18:18" s="2" customFormat="1" ht="12.75" x14ac:dyDescent="0.2">
      <c r="R17943" s="1288"/>
    </row>
    <row r="17944" spans="18:18" s="2" customFormat="1" ht="12.75" x14ac:dyDescent="0.2">
      <c r="R17944" s="1288"/>
    </row>
    <row r="17945" spans="18:18" s="2" customFormat="1" ht="12.75" x14ac:dyDescent="0.2">
      <c r="R17945" s="1288"/>
    </row>
    <row r="17946" spans="18:18" s="2" customFormat="1" ht="12.75" x14ac:dyDescent="0.2">
      <c r="R17946" s="1288"/>
    </row>
    <row r="17947" spans="18:18" s="2" customFormat="1" ht="12.75" x14ac:dyDescent="0.2">
      <c r="R17947" s="1288"/>
    </row>
    <row r="17948" spans="18:18" s="2" customFormat="1" ht="12.75" x14ac:dyDescent="0.2">
      <c r="R17948" s="1288"/>
    </row>
    <row r="17949" spans="18:18" s="2" customFormat="1" ht="12.75" x14ac:dyDescent="0.2">
      <c r="R17949" s="1288"/>
    </row>
    <row r="17950" spans="18:18" s="2" customFormat="1" ht="12.75" x14ac:dyDescent="0.2">
      <c r="R17950" s="1288"/>
    </row>
    <row r="17951" spans="18:18" s="2" customFormat="1" ht="12.75" x14ac:dyDescent="0.2">
      <c r="R17951" s="1288"/>
    </row>
    <row r="17952" spans="18:18" s="2" customFormat="1" ht="12.75" x14ac:dyDescent="0.2">
      <c r="R17952" s="1288"/>
    </row>
    <row r="17953" spans="18:18" s="2" customFormat="1" ht="12.75" x14ac:dyDescent="0.2">
      <c r="R17953" s="1288"/>
    </row>
    <row r="17954" spans="18:18" s="2" customFormat="1" ht="12.75" x14ac:dyDescent="0.2">
      <c r="R17954" s="1288"/>
    </row>
    <row r="17955" spans="18:18" s="2" customFormat="1" ht="12.75" x14ac:dyDescent="0.2">
      <c r="R17955" s="1288"/>
    </row>
    <row r="17956" spans="18:18" s="2" customFormat="1" ht="12.75" x14ac:dyDescent="0.2">
      <c r="R17956" s="1288"/>
    </row>
    <row r="17957" spans="18:18" s="2" customFormat="1" ht="12.75" x14ac:dyDescent="0.2">
      <c r="R17957" s="1288"/>
    </row>
    <row r="17958" spans="18:18" s="2" customFormat="1" ht="12.75" x14ac:dyDescent="0.2">
      <c r="R17958" s="1288"/>
    </row>
    <row r="17959" spans="18:18" s="2" customFormat="1" ht="12.75" x14ac:dyDescent="0.2">
      <c r="R17959" s="1288"/>
    </row>
    <row r="17960" spans="18:18" s="2" customFormat="1" ht="12.75" x14ac:dyDescent="0.2">
      <c r="R17960" s="1288"/>
    </row>
    <row r="17961" spans="18:18" s="2" customFormat="1" ht="12.75" x14ac:dyDescent="0.2">
      <c r="R17961" s="1288"/>
    </row>
    <row r="17962" spans="18:18" s="2" customFormat="1" ht="12.75" x14ac:dyDescent="0.2">
      <c r="R17962" s="1288"/>
    </row>
    <row r="17963" spans="18:18" s="2" customFormat="1" ht="12.75" x14ac:dyDescent="0.2">
      <c r="R17963" s="1288"/>
    </row>
    <row r="17964" spans="18:18" s="2" customFormat="1" ht="12.75" x14ac:dyDescent="0.2">
      <c r="R17964" s="1288"/>
    </row>
    <row r="17965" spans="18:18" s="2" customFormat="1" ht="12.75" x14ac:dyDescent="0.2">
      <c r="R17965" s="1288"/>
    </row>
    <row r="17966" spans="18:18" s="2" customFormat="1" ht="12.75" x14ac:dyDescent="0.2">
      <c r="R17966" s="1288"/>
    </row>
    <row r="17967" spans="18:18" s="2" customFormat="1" ht="12.75" x14ac:dyDescent="0.2">
      <c r="R17967" s="1288"/>
    </row>
    <row r="17968" spans="18:18" s="2" customFormat="1" ht="12.75" x14ac:dyDescent="0.2">
      <c r="R17968" s="1288"/>
    </row>
    <row r="17969" spans="18:18" s="2" customFormat="1" ht="12.75" x14ac:dyDescent="0.2">
      <c r="R17969" s="1288"/>
    </row>
    <row r="17970" spans="18:18" s="2" customFormat="1" ht="12.75" x14ac:dyDescent="0.2">
      <c r="R17970" s="1288"/>
    </row>
    <row r="17971" spans="18:18" s="2" customFormat="1" ht="12.75" x14ac:dyDescent="0.2">
      <c r="R17971" s="1288"/>
    </row>
    <row r="17972" spans="18:18" s="2" customFormat="1" ht="12.75" x14ac:dyDescent="0.2">
      <c r="R17972" s="1288"/>
    </row>
    <row r="17973" spans="18:18" s="2" customFormat="1" ht="12.75" x14ac:dyDescent="0.2">
      <c r="R17973" s="1288"/>
    </row>
    <row r="17974" spans="18:18" s="2" customFormat="1" ht="12.75" x14ac:dyDescent="0.2">
      <c r="R17974" s="1288"/>
    </row>
    <row r="17975" spans="18:18" s="2" customFormat="1" ht="12.75" x14ac:dyDescent="0.2">
      <c r="R17975" s="1288"/>
    </row>
    <row r="17976" spans="18:18" s="2" customFormat="1" ht="12.75" x14ac:dyDescent="0.2">
      <c r="R17976" s="1288"/>
    </row>
    <row r="17977" spans="18:18" s="2" customFormat="1" ht="12.75" x14ac:dyDescent="0.2">
      <c r="R17977" s="1288"/>
    </row>
    <row r="17978" spans="18:18" s="2" customFormat="1" ht="12.75" x14ac:dyDescent="0.2">
      <c r="R17978" s="1288"/>
    </row>
    <row r="17979" spans="18:18" s="2" customFormat="1" ht="12.75" x14ac:dyDescent="0.2">
      <c r="R17979" s="1288"/>
    </row>
    <row r="17980" spans="18:18" s="2" customFormat="1" ht="12.75" x14ac:dyDescent="0.2">
      <c r="R17980" s="1288"/>
    </row>
    <row r="17981" spans="18:18" s="2" customFormat="1" ht="12.75" x14ac:dyDescent="0.2">
      <c r="R17981" s="1288"/>
    </row>
    <row r="17982" spans="18:18" s="2" customFormat="1" ht="12.75" x14ac:dyDescent="0.2">
      <c r="R17982" s="1288"/>
    </row>
    <row r="17983" spans="18:18" s="2" customFormat="1" ht="12.75" x14ac:dyDescent="0.2">
      <c r="R17983" s="1288"/>
    </row>
    <row r="17984" spans="18:18" s="2" customFormat="1" ht="12.75" x14ac:dyDescent="0.2">
      <c r="R17984" s="1288"/>
    </row>
    <row r="17985" spans="18:18" s="2" customFormat="1" ht="12.75" x14ac:dyDescent="0.2">
      <c r="R17985" s="1288"/>
    </row>
    <row r="17986" spans="18:18" s="2" customFormat="1" ht="12.75" x14ac:dyDescent="0.2">
      <c r="R17986" s="1288"/>
    </row>
    <row r="17987" spans="18:18" s="2" customFormat="1" ht="12.75" x14ac:dyDescent="0.2">
      <c r="R17987" s="1288"/>
    </row>
    <row r="17988" spans="18:18" s="2" customFormat="1" ht="12.75" x14ac:dyDescent="0.2">
      <c r="R17988" s="1288"/>
    </row>
    <row r="17989" spans="18:18" s="2" customFormat="1" ht="12.75" x14ac:dyDescent="0.2">
      <c r="R17989" s="1288"/>
    </row>
    <row r="17990" spans="18:18" s="2" customFormat="1" ht="12.75" x14ac:dyDescent="0.2">
      <c r="R17990" s="1288"/>
    </row>
    <row r="17991" spans="18:18" s="2" customFormat="1" ht="12.75" x14ac:dyDescent="0.2">
      <c r="R17991" s="1288"/>
    </row>
    <row r="17992" spans="18:18" s="2" customFormat="1" ht="12.75" x14ac:dyDescent="0.2">
      <c r="R17992" s="1288"/>
    </row>
    <row r="17993" spans="18:18" s="2" customFormat="1" ht="12.75" x14ac:dyDescent="0.2">
      <c r="R17993" s="1288"/>
    </row>
    <row r="17994" spans="18:18" s="2" customFormat="1" ht="12.75" x14ac:dyDescent="0.2">
      <c r="R17994" s="1288"/>
    </row>
    <row r="17995" spans="18:18" s="2" customFormat="1" ht="12.75" x14ac:dyDescent="0.2">
      <c r="R17995" s="1288"/>
    </row>
    <row r="17996" spans="18:18" s="2" customFormat="1" ht="12.75" x14ac:dyDescent="0.2">
      <c r="R17996" s="1288"/>
    </row>
    <row r="17997" spans="18:18" s="2" customFormat="1" ht="12.75" x14ac:dyDescent="0.2">
      <c r="R17997" s="1288"/>
    </row>
    <row r="17998" spans="18:18" s="2" customFormat="1" ht="12.75" x14ac:dyDescent="0.2">
      <c r="R17998" s="1288"/>
    </row>
    <row r="17999" spans="18:18" s="2" customFormat="1" ht="12.75" x14ac:dyDescent="0.2">
      <c r="R17999" s="1288"/>
    </row>
    <row r="18000" spans="18:18" s="2" customFormat="1" ht="12.75" x14ac:dyDescent="0.2">
      <c r="R18000" s="1288"/>
    </row>
    <row r="18001" spans="18:18" s="2" customFormat="1" ht="12.75" x14ac:dyDescent="0.2">
      <c r="R18001" s="1288"/>
    </row>
    <row r="18002" spans="18:18" s="2" customFormat="1" ht="12.75" x14ac:dyDescent="0.2">
      <c r="R18002" s="1288"/>
    </row>
    <row r="18003" spans="18:18" s="2" customFormat="1" ht="12.75" x14ac:dyDescent="0.2">
      <c r="R18003" s="1288"/>
    </row>
    <row r="18004" spans="18:18" s="2" customFormat="1" ht="12.75" x14ac:dyDescent="0.2">
      <c r="R18004" s="1288"/>
    </row>
    <row r="18005" spans="18:18" s="2" customFormat="1" ht="12.75" x14ac:dyDescent="0.2">
      <c r="R18005" s="1288"/>
    </row>
    <row r="18006" spans="18:18" s="2" customFormat="1" ht="12.75" x14ac:dyDescent="0.2">
      <c r="R18006" s="1288"/>
    </row>
    <row r="18007" spans="18:18" s="2" customFormat="1" ht="12.75" x14ac:dyDescent="0.2">
      <c r="R18007" s="1288"/>
    </row>
    <row r="18008" spans="18:18" s="2" customFormat="1" ht="12.75" x14ac:dyDescent="0.2">
      <c r="R18008" s="1288"/>
    </row>
    <row r="18009" spans="18:18" s="2" customFormat="1" ht="12.75" x14ac:dyDescent="0.2">
      <c r="R18009" s="1288"/>
    </row>
    <row r="18010" spans="18:18" s="2" customFormat="1" ht="12.75" x14ac:dyDescent="0.2">
      <c r="R18010" s="1288"/>
    </row>
    <row r="18011" spans="18:18" s="2" customFormat="1" ht="12.75" x14ac:dyDescent="0.2">
      <c r="R18011" s="1288"/>
    </row>
    <row r="18012" spans="18:18" s="2" customFormat="1" ht="12.75" x14ac:dyDescent="0.2">
      <c r="R18012" s="1288"/>
    </row>
    <row r="18013" spans="18:18" s="2" customFormat="1" ht="12.75" x14ac:dyDescent="0.2">
      <c r="R18013" s="1288"/>
    </row>
    <row r="18014" spans="18:18" s="2" customFormat="1" ht="12.75" x14ac:dyDescent="0.2">
      <c r="R18014" s="1288"/>
    </row>
    <row r="18015" spans="18:18" s="2" customFormat="1" ht="12.75" x14ac:dyDescent="0.2">
      <c r="R18015" s="1288"/>
    </row>
    <row r="18016" spans="18:18" s="2" customFormat="1" ht="12.75" x14ac:dyDescent="0.2">
      <c r="R18016" s="1288"/>
    </row>
    <row r="18017" spans="18:18" s="2" customFormat="1" ht="12.75" x14ac:dyDescent="0.2">
      <c r="R18017" s="1288"/>
    </row>
    <row r="18018" spans="18:18" s="2" customFormat="1" ht="12.75" x14ac:dyDescent="0.2">
      <c r="R18018" s="1288"/>
    </row>
    <row r="18019" spans="18:18" s="2" customFormat="1" ht="12.75" x14ac:dyDescent="0.2">
      <c r="R18019" s="1288"/>
    </row>
    <row r="18020" spans="18:18" s="2" customFormat="1" ht="12.75" x14ac:dyDescent="0.2">
      <c r="R18020" s="1288"/>
    </row>
    <row r="18021" spans="18:18" s="2" customFormat="1" ht="12.75" x14ac:dyDescent="0.2">
      <c r="R18021" s="1288"/>
    </row>
    <row r="18022" spans="18:18" s="2" customFormat="1" ht="12.75" x14ac:dyDescent="0.2">
      <c r="R18022" s="1288"/>
    </row>
    <row r="18023" spans="18:18" s="2" customFormat="1" ht="12.75" x14ac:dyDescent="0.2">
      <c r="R18023" s="1288"/>
    </row>
    <row r="18024" spans="18:18" s="2" customFormat="1" ht="12.75" x14ac:dyDescent="0.2">
      <c r="R18024" s="1288"/>
    </row>
    <row r="18025" spans="18:18" s="2" customFormat="1" ht="12.75" x14ac:dyDescent="0.2">
      <c r="R18025" s="1288"/>
    </row>
    <row r="18026" spans="18:18" s="2" customFormat="1" ht="12.75" x14ac:dyDescent="0.2">
      <c r="R18026" s="1288"/>
    </row>
    <row r="18027" spans="18:18" s="2" customFormat="1" ht="12.75" x14ac:dyDescent="0.2">
      <c r="R18027" s="1288"/>
    </row>
    <row r="18028" spans="18:18" s="2" customFormat="1" ht="12.75" x14ac:dyDescent="0.2">
      <c r="R18028" s="1288"/>
    </row>
    <row r="18029" spans="18:18" s="2" customFormat="1" ht="12.75" x14ac:dyDescent="0.2">
      <c r="R18029" s="1288"/>
    </row>
    <row r="18030" spans="18:18" s="2" customFormat="1" ht="12.75" x14ac:dyDescent="0.2">
      <c r="R18030" s="1288"/>
    </row>
    <row r="18031" spans="18:18" s="2" customFormat="1" ht="12.75" x14ac:dyDescent="0.2">
      <c r="R18031" s="1288"/>
    </row>
    <row r="18032" spans="18:18" s="2" customFormat="1" ht="12.75" x14ac:dyDescent="0.2">
      <c r="R18032" s="1288"/>
    </row>
    <row r="18033" spans="18:18" s="2" customFormat="1" ht="12.75" x14ac:dyDescent="0.2">
      <c r="R18033" s="1288"/>
    </row>
    <row r="18034" spans="18:18" s="2" customFormat="1" ht="12.75" x14ac:dyDescent="0.2">
      <c r="R18034" s="1288"/>
    </row>
    <row r="18035" spans="18:18" s="2" customFormat="1" ht="12.75" x14ac:dyDescent="0.2">
      <c r="R18035" s="1288"/>
    </row>
    <row r="18036" spans="18:18" s="2" customFormat="1" ht="12.75" x14ac:dyDescent="0.2">
      <c r="R18036" s="1288"/>
    </row>
    <row r="18037" spans="18:18" s="2" customFormat="1" ht="12.75" x14ac:dyDescent="0.2">
      <c r="R18037" s="1288"/>
    </row>
    <row r="18038" spans="18:18" s="2" customFormat="1" ht="12.75" x14ac:dyDescent="0.2">
      <c r="R18038" s="1288"/>
    </row>
    <row r="18039" spans="18:18" s="2" customFormat="1" ht="12.75" x14ac:dyDescent="0.2">
      <c r="R18039" s="1288"/>
    </row>
    <row r="18040" spans="18:18" s="2" customFormat="1" ht="12.75" x14ac:dyDescent="0.2">
      <c r="R18040" s="1288"/>
    </row>
    <row r="18041" spans="18:18" s="2" customFormat="1" ht="12.75" x14ac:dyDescent="0.2">
      <c r="R18041" s="1288"/>
    </row>
    <row r="18042" spans="18:18" s="2" customFormat="1" ht="12.75" x14ac:dyDescent="0.2">
      <c r="R18042" s="1288"/>
    </row>
    <row r="18043" spans="18:18" s="2" customFormat="1" ht="12.75" x14ac:dyDescent="0.2">
      <c r="R18043" s="1288"/>
    </row>
    <row r="18044" spans="18:18" s="2" customFormat="1" ht="12.75" x14ac:dyDescent="0.2">
      <c r="R18044" s="1288"/>
    </row>
    <row r="18045" spans="18:18" s="2" customFormat="1" ht="12.75" x14ac:dyDescent="0.2">
      <c r="R18045" s="1288"/>
    </row>
    <row r="18046" spans="18:18" s="2" customFormat="1" ht="12.75" x14ac:dyDescent="0.2">
      <c r="R18046" s="1288"/>
    </row>
    <row r="18047" spans="18:18" s="2" customFormat="1" ht="12.75" x14ac:dyDescent="0.2">
      <c r="R18047" s="1288"/>
    </row>
    <row r="18048" spans="18:18" s="2" customFormat="1" ht="12.75" x14ac:dyDescent="0.2">
      <c r="R18048" s="1288"/>
    </row>
    <row r="18049" spans="18:18" s="2" customFormat="1" ht="12.75" x14ac:dyDescent="0.2">
      <c r="R18049" s="1288"/>
    </row>
    <row r="18050" spans="18:18" s="2" customFormat="1" ht="12.75" x14ac:dyDescent="0.2">
      <c r="R18050" s="1288"/>
    </row>
    <row r="18051" spans="18:18" s="2" customFormat="1" ht="12.75" x14ac:dyDescent="0.2">
      <c r="R18051" s="1288"/>
    </row>
    <row r="18052" spans="18:18" s="2" customFormat="1" ht="12.75" x14ac:dyDescent="0.2">
      <c r="R18052" s="1288"/>
    </row>
    <row r="18053" spans="18:18" s="2" customFormat="1" ht="12.75" x14ac:dyDescent="0.2">
      <c r="R18053" s="1288"/>
    </row>
    <row r="18054" spans="18:18" s="2" customFormat="1" ht="12.75" x14ac:dyDescent="0.2">
      <c r="R18054" s="1288"/>
    </row>
    <row r="18055" spans="18:18" s="2" customFormat="1" ht="12.75" x14ac:dyDescent="0.2">
      <c r="R18055" s="1288"/>
    </row>
    <row r="18056" spans="18:18" s="2" customFormat="1" ht="12.75" x14ac:dyDescent="0.2">
      <c r="R18056" s="1288"/>
    </row>
    <row r="18057" spans="18:18" s="2" customFormat="1" ht="12.75" x14ac:dyDescent="0.2">
      <c r="R18057" s="1288"/>
    </row>
    <row r="18058" spans="18:18" s="2" customFormat="1" ht="12.75" x14ac:dyDescent="0.2">
      <c r="R18058" s="1288"/>
    </row>
    <row r="18059" spans="18:18" s="2" customFormat="1" ht="12.75" x14ac:dyDescent="0.2">
      <c r="R18059" s="1288"/>
    </row>
    <row r="18060" spans="18:18" s="2" customFormat="1" ht="12.75" x14ac:dyDescent="0.2">
      <c r="R18060" s="1288"/>
    </row>
    <row r="18061" spans="18:18" s="2" customFormat="1" ht="12.75" x14ac:dyDescent="0.2">
      <c r="R18061" s="1288"/>
    </row>
    <row r="18062" spans="18:18" s="2" customFormat="1" ht="12.75" x14ac:dyDescent="0.2">
      <c r="R18062" s="1288"/>
    </row>
    <row r="18063" spans="18:18" s="2" customFormat="1" ht="12.75" x14ac:dyDescent="0.2">
      <c r="R18063" s="1288"/>
    </row>
    <row r="18064" spans="18:18" s="2" customFormat="1" ht="12.75" x14ac:dyDescent="0.2">
      <c r="R18064" s="1288"/>
    </row>
    <row r="18065" spans="18:18" s="2" customFormat="1" ht="12.75" x14ac:dyDescent="0.2">
      <c r="R18065" s="1288"/>
    </row>
    <row r="18066" spans="18:18" s="2" customFormat="1" ht="12.75" x14ac:dyDescent="0.2">
      <c r="R18066" s="1288"/>
    </row>
    <row r="18067" spans="18:18" s="2" customFormat="1" ht="12.75" x14ac:dyDescent="0.2">
      <c r="R18067" s="1288"/>
    </row>
    <row r="18068" spans="18:18" s="2" customFormat="1" ht="12.75" x14ac:dyDescent="0.2">
      <c r="R18068" s="1288"/>
    </row>
    <row r="18069" spans="18:18" s="2" customFormat="1" ht="12.75" x14ac:dyDescent="0.2">
      <c r="R18069" s="1288"/>
    </row>
    <row r="18070" spans="18:18" s="2" customFormat="1" ht="12.75" x14ac:dyDescent="0.2">
      <c r="R18070" s="1288"/>
    </row>
    <row r="18071" spans="18:18" s="2" customFormat="1" ht="12.75" x14ac:dyDescent="0.2">
      <c r="R18071" s="1288"/>
    </row>
    <row r="18072" spans="18:18" s="2" customFormat="1" ht="12.75" x14ac:dyDescent="0.2">
      <c r="R18072" s="1288"/>
    </row>
    <row r="18073" spans="18:18" s="2" customFormat="1" ht="12.75" x14ac:dyDescent="0.2">
      <c r="R18073" s="1288"/>
    </row>
    <row r="18074" spans="18:18" s="2" customFormat="1" ht="12.75" x14ac:dyDescent="0.2">
      <c r="R18074" s="1288"/>
    </row>
    <row r="18075" spans="18:18" s="2" customFormat="1" ht="12.75" x14ac:dyDescent="0.2">
      <c r="R18075" s="1288"/>
    </row>
    <row r="18076" spans="18:18" s="2" customFormat="1" ht="12.75" x14ac:dyDescent="0.2">
      <c r="R18076" s="1288"/>
    </row>
    <row r="18077" spans="18:18" s="2" customFormat="1" ht="12.75" x14ac:dyDescent="0.2">
      <c r="R18077" s="1288"/>
    </row>
    <row r="18078" spans="18:18" s="2" customFormat="1" ht="12.75" x14ac:dyDescent="0.2">
      <c r="R18078" s="1288"/>
    </row>
    <row r="18079" spans="18:18" s="2" customFormat="1" ht="12.75" x14ac:dyDescent="0.2">
      <c r="R18079" s="1288"/>
    </row>
    <row r="18080" spans="18:18" s="2" customFormat="1" ht="12.75" x14ac:dyDescent="0.2">
      <c r="R18080" s="1288"/>
    </row>
    <row r="18081" spans="18:18" s="2" customFormat="1" ht="12.75" x14ac:dyDescent="0.2">
      <c r="R18081" s="1288"/>
    </row>
    <row r="18082" spans="18:18" s="2" customFormat="1" ht="12.75" x14ac:dyDescent="0.2">
      <c r="R18082" s="1288"/>
    </row>
    <row r="18083" spans="18:18" s="2" customFormat="1" ht="12.75" x14ac:dyDescent="0.2">
      <c r="R18083" s="1288"/>
    </row>
    <row r="18084" spans="18:18" s="2" customFormat="1" ht="12.75" x14ac:dyDescent="0.2">
      <c r="R18084" s="1288"/>
    </row>
    <row r="18085" spans="18:18" s="2" customFormat="1" ht="12.75" x14ac:dyDescent="0.2">
      <c r="R18085" s="1288"/>
    </row>
    <row r="18086" spans="18:18" s="2" customFormat="1" ht="12.75" x14ac:dyDescent="0.2">
      <c r="R18086" s="1288"/>
    </row>
    <row r="18087" spans="18:18" s="2" customFormat="1" ht="12.75" x14ac:dyDescent="0.2">
      <c r="R18087" s="1288"/>
    </row>
    <row r="18088" spans="18:18" s="2" customFormat="1" ht="12.75" x14ac:dyDescent="0.2">
      <c r="R18088" s="1288"/>
    </row>
    <row r="18089" spans="18:18" s="2" customFormat="1" ht="12.75" x14ac:dyDescent="0.2">
      <c r="R18089" s="1288"/>
    </row>
    <row r="18090" spans="18:18" s="2" customFormat="1" ht="12.75" x14ac:dyDescent="0.2">
      <c r="R18090" s="1288"/>
    </row>
    <row r="18091" spans="18:18" s="2" customFormat="1" ht="12.75" x14ac:dyDescent="0.2">
      <c r="R18091" s="1288"/>
    </row>
    <row r="18092" spans="18:18" s="2" customFormat="1" ht="12.75" x14ac:dyDescent="0.2">
      <c r="R18092" s="1288"/>
    </row>
    <row r="18093" spans="18:18" s="2" customFormat="1" ht="12.75" x14ac:dyDescent="0.2">
      <c r="R18093" s="1288"/>
    </row>
    <row r="18094" spans="18:18" s="2" customFormat="1" ht="12.75" x14ac:dyDescent="0.2">
      <c r="R18094" s="1288"/>
    </row>
    <row r="18095" spans="18:18" s="2" customFormat="1" ht="12.75" x14ac:dyDescent="0.2">
      <c r="R18095" s="1288"/>
    </row>
    <row r="18096" spans="18:18" s="2" customFormat="1" ht="12.75" x14ac:dyDescent="0.2">
      <c r="R18096" s="1288"/>
    </row>
    <row r="18097" spans="18:18" s="2" customFormat="1" ht="12.75" x14ac:dyDescent="0.2">
      <c r="R18097" s="1288"/>
    </row>
    <row r="18098" spans="18:18" s="2" customFormat="1" ht="12.75" x14ac:dyDescent="0.2">
      <c r="R18098" s="1288"/>
    </row>
    <row r="18099" spans="18:18" s="2" customFormat="1" ht="12.75" x14ac:dyDescent="0.2">
      <c r="R18099" s="1288"/>
    </row>
    <row r="18100" spans="18:18" s="2" customFormat="1" ht="12.75" x14ac:dyDescent="0.2">
      <c r="R18100" s="1288"/>
    </row>
    <row r="18101" spans="18:18" s="2" customFormat="1" ht="12.75" x14ac:dyDescent="0.2">
      <c r="R18101" s="1288"/>
    </row>
    <row r="18102" spans="18:18" s="2" customFormat="1" ht="12.75" x14ac:dyDescent="0.2">
      <c r="R18102" s="1288"/>
    </row>
    <row r="18103" spans="18:18" s="2" customFormat="1" ht="12.75" x14ac:dyDescent="0.2">
      <c r="R18103" s="1288"/>
    </row>
    <row r="18104" spans="18:18" s="2" customFormat="1" ht="12.75" x14ac:dyDescent="0.2">
      <c r="R18104" s="1288"/>
    </row>
    <row r="18105" spans="18:18" s="2" customFormat="1" ht="12.75" x14ac:dyDescent="0.2">
      <c r="R18105" s="1288"/>
    </row>
    <row r="18106" spans="18:18" s="2" customFormat="1" ht="12.75" x14ac:dyDescent="0.2">
      <c r="R18106" s="1288"/>
    </row>
    <row r="18107" spans="18:18" s="2" customFormat="1" ht="12.75" x14ac:dyDescent="0.2">
      <c r="R18107" s="1288"/>
    </row>
    <row r="18108" spans="18:18" s="2" customFormat="1" ht="12.75" x14ac:dyDescent="0.2">
      <c r="R18108" s="1288"/>
    </row>
    <row r="18109" spans="18:18" s="2" customFormat="1" ht="12.75" x14ac:dyDescent="0.2">
      <c r="R18109" s="1288"/>
    </row>
    <row r="18110" spans="18:18" s="2" customFormat="1" ht="12.75" x14ac:dyDescent="0.2">
      <c r="R18110" s="1288"/>
    </row>
    <row r="18111" spans="18:18" s="2" customFormat="1" ht="12.75" x14ac:dyDescent="0.2">
      <c r="R18111" s="1288"/>
    </row>
    <row r="18112" spans="18:18" s="2" customFormat="1" ht="12.75" x14ac:dyDescent="0.2">
      <c r="R18112" s="1288"/>
    </row>
    <row r="18113" spans="18:18" s="2" customFormat="1" ht="12.75" x14ac:dyDescent="0.2">
      <c r="R18113" s="1288"/>
    </row>
    <row r="18114" spans="18:18" s="2" customFormat="1" ht="12.75" x14ac:dyDescent="0.2">
      <c r="R18114" s="1288"/>
    </row>
    <row r="18115" spans="18:18" s="2" customFormat="1" ht="12.75" x14ac:dyDescent="0.2">
      <c r="R18115" s="1288"/>
    </row>
    <row r="18116" spans="18:18" s="2" customFormat="1" ht="12.75" x14ac:dyDescent="0.2">
      <c r="R18116" s="1288"/>
    </row>
    <row r="18117" spans="18:18" s="2" customFormat="1" ht="12.75" x14ac:dyDescent="0.2">
      <c r="R18117" s="1288"/>
    </row>
    <row r="18118" spans="18:18" s="2" customFormat="1" ht="12.75" x14ac:dyDescent="0.2">
      <c r="R18118" s="1288"/>
    </row>
    <row r="18119" spans="18:18" s="2" customFormat="1" ht="12.75" x14ac:dyDescent="0.2">
      <c r="R18119" s="1288"/>
    </row>
    <row r="18120" spans="18:18" s="2" customFormat="1" ht="12.75" x14ac:dyDescent="0.2">
      <c r="R18120" s="1288"/>
    </row>
    <row r="18121" spans="18:18" s="2" customFormat="1" ht="12.75" x14ac:dyDescent="0.2">
      <c r="R18121" s="1288"/>
    </row>
    <row r="18122" spans="18:18" s="2" customFormat="1" ht="12.75" x14ac:dyDescent="0.2">
      <c r="R18122" s="1288"/>
    </row>
    <row r="18123" spans="18:18" s="2" customFormat="1" ht="12.75" x14ac:dyDescent="0.2">
      <c r="R18123" s="1288"/>
    </row>
    <row r="18124" spans="18:18" s="2" customFormat="1" ht="12.75" x14ac:dyDescent="0.2">
      <c r="R18124" s="1288"/>
    </row>
    <row r="18125" spans="18:18" s="2" customFormat="1" ht="12.75" x14ac:dyDescent="0.2">
      <c r="R18125" s="1288"/>
    </row>
    <row r="18126" spans="18:18" s="2" customFormat="1" ht="12.75" x14ac:dyDescent="0.2">
      <c r="R18126" s="1288"/>
    </row>
    <row r="18127" spans="18:18" s="2" customFormat="1" ht="12.75" x14ac:dyDescent="0.2">
      <c r="R18127" s="1288"/>
    </row>
    <row r="18128" spans="18:18" s="2" customFormat="1" ht="12.75" x14ac:dyDescent="0.2">
      <c r="R18128" s="1288"/>
    </row>
    <row r="18129" spans="18:18" s="2" customFormat="1" ht="12.75" x14ac:dyDescent="0.2">
      <c r="R18129" s="1288"/>
    </row>
    <row r="18130" spans="18:18" s="2" customFormat="1" ht="12.75" x14ac:dyDescent="0.2">
      <c r="R18130" s="1288"/>
    </row>
    <row r="18131" spans="18:18" s="2" customFormat="1" ht="12.75" x14ac:dyDescent="0.2">
      <c r="R18131" s="1288"/>
    </row>
    <row r="18132" spans="18:18" s="2" customFormat="1" ht="12.75" x14ac:dyDescent="0.2">
      <c r="R18132" s="1288"/>
    </row>
    <row r="18133" spans="18:18" s="2" customFormat="1" ht="12.75" x14ac:dyDescent="0.2">
      <c r="R18133" s="1288"/>
    </row>
    <row r="18134" spans="18:18" s="2" customFormat="1" ht="12.75" x14ac:dyDescent="0.2">
      <c r="R18134" s="1288"/>
    </row>
    <row r="18135" spans="18:18" s="2" customFormat="1" ht="12.75" x14ac:dyDescent="0.2">
      <c r="R18135" s="1288"/>
    </row>
    <row r="18136" spans="18:18" s="2" customFormat="1" ht="12.75" x14ac:dyDescent="0.2">
      <c r="R18136" s="1288"/>
    </row>
    <row r="18137" spans="18:18" s="2" customFormat="1" ht="12.75" x14ac:dyDescent="0.2">
      <c r="R18137" s="1288"/>
    </row>
    <row r="18138" spans="18:18" s="2" customFormat="1" ht="12.75" x14ac:dyDescent="0.2">
      <c r="R18138" s="1288"/>
    </row>
    <row r="18139" spans="18:18" s="2" customFormat="1" ht="12.75" x14ac:dyDescent="0.2">
      <c r="R18139" s="1288"/>
    </row>
    <row r="18140" spans="18:18" s="2" customFormat="1" ht="12.75" x14ac:dyDescent="0.2">
      <c r="R18140" s="1288"/>
    </row>
    <row r="18141" spans="18:18" s="2" customFormat="1" ht="12.75" x14ac:dyDescent="0.2">
      <c r="R18141" s="1288"/>
    </row>
    <row r="18142" spans="18:18" s="2" customFormat="1" ht="12.75" x14ac:dyDescent="0.2">
      <c r="R18142" s="1288"/>
    </row>
    <row r="18143" spans="18:18" s="2" customFormat="1" ht="12.75" x14ac:dyDescent="0.2">
      <c r="R18143" s="1288"/>
    </row>
    <row r="18144" spans="18:18" s="2" customFormat="1" ht="12.75" x14ac:dyDescent="0.2">
      <c r="R18144" s="1288"/>
    </row>
    <row r="18145" spans="18:18" s="2" customFormat="1" ht="12.75" x14ac:dyDescent="0.2">
      <c r="R18145" s="1288"/>
    </row>
    <row r="18146" spans="18:18" s="2" customFormat="1" ht="12.75" x14ac:dyDescent="0.2">
      <c r="R18146" s="1288"/>
    </row>
    <row r="18147" spans="18:18" s="2" customFormat="1" ht="12.75" x14ac:dyDescent="0.2">
      <c r="R18147" s="1288"/>
    </row>
    <row r="18148" spans="18:18" s="2" customFormat="1" ht="12.75" x14ac:dyDescent="0.2">
      <c r="R18148" s="1288"/>
    </row>
    <row r="18149" spans="18:18" s="2" customFormat="1" ht="12.75" x14ac:dyDescent="0.2">
      <c r="R18149" s="1288"/>
    </row>
    <row r="18150" spans="18:18" s="2" customFormat="1" ht="12.75" x14ac:dyDescent="0.2">
      <c r="R18150" s="1288"/>
    </row>
    <row r="18151" spans="18:18" s="2" customFormat="1" ht="12.75" x14ac:dyDescent="0.2">
      <c r="R18151" s="1288"/>
    </row>
    <row r="18152" spans="18:18" s="2" customFormat="1" ht="12.75" x14ac:dyDescent="0.2">
      <c r="R18152" s="1288"/>
    </row>
    <row r="18153" spans="18:18" s="2" customFormat="1" ht="12.75" x14ac:dyDescent="0.2">
      <c r="R18153" s="1288"/>
    </row>
    <row r="18154" spans="18:18" s="2" customFormat="1" ht="12.75" x14ac:dyDescent="0.2">
      <c r="R18154" s="1288"/>
    </row>
    <row r="18155" spans="18:18" s="2" customFormat="1" ht="12.75" x14ac:dyDescent="0.2">
      <c r="R18155" s="1288"/>
    </row>
    <row r="18156" spans="18:18" s="2" customFormat="1" ht="12.75" x14ac:dyDescent="0.2">
      <c r="R18156" s="1288"/>
    </row>
    <row r="18157" spans="18:18" s="2" customFormat="1" ht="12.75" x14ac:dyDescent="0.2">
      <c r="R18157" s="1288"/>
    </row>
    <row r="18158" spans="18:18" s="2" customFormat="1" ht="12.75" x14ac:dyDescent="0.2">
      <c r="R18158" s="1288"/>
    </row>
    <row r="18159" spans="18:18" s="2" customFormat="1" ht="12.75" x14ac:dyDescent="0.2">
      <c r="R18159" s="1288"/>
    </row>
    <row r="18160" spans="18:18" s="2" customFormat="1" ht="12.75" x14ac:dyDescent="0.2">
      <c r="R18160" s="1288"/>
    </row>
    <row r="18161" spans="18:18" s="2" customFormat="1" ht="12.75" x14ac:dyDescent="0.2">
      <c r="R18161" s="1288"/>
    </row>
    <row r="18162" spans="18:18" s="2" customFormat="1" ht="12.75" x14ac:dyDescent="0.2">
      <c r="R18162" s="1288"/>
    </row>
    <row r="18163" spans="18:18" s="2" customFormat="1" ht="12.75" x14ac:dyDescent="0.2">
      <c r="R18163" s="1288"/>
    </row>
    <row r="18164" spans="18:18" s="2" customFormat="1" ht="12.75" x14ac:dyDescent="0.2">
      <c r="R18164" s="1288"/>
    </row>
    <row r="18165" spans="18:18" s="2" customFormat="1" ht="12.75" x14ac:dyDescent="0.2">
      <c r="R18165" s="1288"/>
    </row>
    <row r="18166" spans="18:18" s="2" customFormat="1" ht="12.75" x14ac:dyDescent="0.2">
      <c r="R18166" s="1288"/>
    </row>
    <row r="18167" spans="18:18" s="2" customFormat="1" ht="12.75" x14ac:dyDescent="0.2">
      <c r="R18167" s="1288"/>
    </row>
    <row r="18168" spans="18:18" s="2" customFormat="1" ht="12.75" x14ac:dyDescent="0.2">
      <c r="R18168" s="1288"/>
    </row>
    <row r="18169" spans="18:18" s="2" customFormat="1" ht="12.75" x14ac:dyDescent="0.2">
      <c r="R18169" s="1288"/>
    </row>
    <row r="18170" spans="18:18" s="2" customFormat="1" ht="12.75" x14ac:dyDescent="0.2">
      <c r="R18170" s="1288"/>
    </row>
    <row r="18171" spans="18:18" s="2" customFormat="1" ht="12.75" x14ac:dyDescent="0.2">
      <c r="R18171" s="1288"/>
    </row>
    <row r="18172" spans="18:18" s="2" customFormat="1" ht="12.75" x14ac:dyDescent="0.2">
      <c r="R18172" s="1288"/>
    </row>
    <row r="18173" spans="18:18" s="2" customFormat="1" ht="12.75" x14ac:dyDescent="0.2">
      <c r="R18173" s="1288"/>
    </row>
    <row r="18174" spans="18:18" s="2" customFormat="1" ht="12.75" x14ac:dyDescent="0.2">
      <c r="R18174" s="1288"/>
    </row>
    <row r="18175" spans="18:18" s="2" customFormat="1" ht="12.75" x14ac:dyDescent="0.2">
      <c r="R18175" s="1288"/>
    </row>
    <row r="18176" spans="18:18" s="2" customFormat="1" ht="12.75" x14ac:dyDescent="0.2">
      <c r="R18176" s="1288"/>
    </row>
    <row r="18177" spans="18:18" s="2" customFormat="1" ht="12.75" x14ac:dyDescent="0.2">
      <c r="R18177" s="1288"/>
    </row>
    <row r="18178" spans="18:18" s="2" customFormat="1" ht="12.75" x14ac:dyDescent="0.2">
      <c r="R18178" s="1288"/>
    </row>
    <row r="18179" spans="18:18" s="2" customFormat="1" ht="12.75" x14ac:dyDescent="0.2">
      <c r="R18179" s="1288"/>
    </row>
    <row r="18180" spans="18:18" s="2" customFormat="1" ht="12.75" x14ac:dyDescent="0.2">
      <c r="R18180" s="1288"/>
    </row>
    <row r="18181" spans="18:18" s="2" customFormat="1" ht="12.75" x14ac:dyDescent="0.2">
      <c r="R18181" s="1288"/>
    </row>
    <row r="18182" spans="18:18" s="2" customFormat="1" ht="12.75" x14ac:dyDescent="0.2">
      <c r="R18182" s="1288"/>
    </row>
    <row r="18183" spans="18:18" s="2" customFormat="1" ht="12.75" x14ac:dyDescent="0.2">
      <c r="R18183" s="1288"/>
    </row>
    <row r="18184" spans="18:18" s="2" customFormat="1" ht="12.75" x14ac:dyDescent="0.2">
      <c r="R18184" s="1288"/>
    </row>
    <row r="18185" spans="18:18" s="2" customFormat="1" ht="12.75" x14ac:dyDescent="0.2">
      <c r="R18185" s="1288"/>
    </row>
    <row r="18186" spans="18:18" s="2" customFormat="1" ht="12.75" x14ac:dyDescent="0.2">
      <c r="R18186" s="1288"/>
    </row>
    <row r="18187" spans="18:18" s="2" customFormat="1" ht="12.75" x14ac:dyDescent="0.2">
      <c r="R18187" s="1288"/>
    </row>
    <row r="18188" spans="18:18" s="2" customFormat="1" ht="12.75" x14ac:dyDescent="0.2">
      <c r="R18188" s="1288"/>
    </row>
    <row r="18189" spans="18:18" s="2" customFormat="1" ht="12.75" x14ac:dyDescent="0.2">
      <c r="R18189" s="1288"/>
    </row>
    <row r="18190" spans="18:18" s="2" customFormat="1" ht="12.75" x14ac:dyDescent="0.2">
      <c r="R18190" s="1288"/>
    </row>
    <row r="18191" spans="18:18" s="2" customFormat="1" ht="12.75" x14ac:dyDescent="0.2">
      <c r="R18191" s="1288"/>
    </row>
    <row r="18192" spans="18:18" s="2" customFormat="1" ht="12.75" x14ac:dyDescent="0.2">
      <c r="R18192" s="1288"/>
    </row>
    <row r="18193" spans="18:18" s="2" customFormat="1" ht="12.75" x14ac:dyDescent="0.2">
      <c r="R18193" s="1288"/>
    </row>
    <row r="18194" spans="18:18" s="2" customFormat="1" ht="12.75" x14ac:dyDescent="0.2">
      <c r="R18194" s="1288"/>
    </row>
    <row r="18195" spans="18:18" s="2" customFormat="1" ht="12.75" x14ac:dyDescent="0.2">
      <c r="R18195" s="1288"/>
    </row>
    <row r="18196" spans="18:18" s="2" customFormat="1" ht="12.75" x14ac:dyDescent="0.2">
      <c r="R18196" s="1288"/>
    </row>
    <row r="18197" spans="18:18" s="2" customFormat="1" ht="12.75" x14ac:dyDescent="0.2">
      <c r="R18197" s="1288"/>
    </row>
    <row r="18198" spans="18:18" s="2" customFormat="1" ht="12.75" x14ac:dyDescent="0.2">
      <c r="R18198" s="1288"/>
    </row>
    <row r="18199" spans="18:18" s="2" customFormat="1" ht="12.75" x14ac:dyDescent="0.2">
      <c r="R18199" s="1288"/>
    </row>
    <row r="18200" spans="18:18" s="2" customFormat="1" ht="12.75" x14ac:dyDescent="0.2">
      <c r="R18200" s="1288"/>
    </row>
    <row r="18201" spans="18:18" s="2" customFormat="1" ht="12.75" x14ac:dyDescent="0.2">
      <c r="R18201" s="1288"/>
    </row>
    <row r="18202" spans="18:18" s="2" customFormat="1" ht="12.75" x14ac:dyDescent="0.2">
      <c r="R18202" s="1288"/>
    </row>
    <row r="18203" spans="18:18" s="2" customFormat="1" ht="12.75" x14ac:dyDescent="0.2">
      <c r="R18203" s="1288"/>
    </row>
    <row r="18204" spans="18:18" s="2" customFormat="1" ht="12.75" x14ac:dyDescent="0.2">
      <c r="R18204" s="1288"/>
    </row>
    <row r="18205" spans="18:18" s="2" customFormat="1" ht="12.75" x14ac:dyDescent="0.2">
      <c r="R18205" s="1288"/>
    </row>
    <row r="18206" spans="18:18" s="2" customFormat="1" ht="12.75" x14ac:dyDescent="0.2">
      <c r="R18206" s="1288"/>
    </row>
    <row r="18207" spans="18:18" s="2" customFormat="1" ht="12.75" x14ac:dyDescent="0.2">
      <c r="R18207" s="1288"/>
    </row>
    <row r="18208" spans="18:18" s="2" customFormat="1" ht="12.75" x14ac:dyDescent="0.2">
      <c r="R18208" s="1288"/>
    </row>
    <row r="18209" spans="18:18" s="2" customFormat="1" ht="12.75" x14ac:dyDescent="0.2">
      <c r="R18209" s="1288"/>
    </row>
    <row r="18210" spans="18:18" s="2" customFormat="1" ht="12.75" x14ac:dyDescent="0.2">
      <c r="R18210" s="1288"/>
    </row>
    <row r="18211" spans="18:18" s="2" customFormat="1" ht="12.75" x14ac:dyDescent="0.2">
      <c r="R18211" s="1288"/>
    </row>
    <row r="18212" spans="18:18" s="2" customFormat="1" ht="12.75" x14ac:dyDescent="0.2">
      <c r="R18212" s="1288"/>
    </row>
    <row r="18213" spans="18:18" s="2" customFormat="1" ht="12.75" x14ac:dyDescent="0.2">
      <c r="R18213" s="1288"/>
    </row>
    <row r="18214" spans="18:18" s="2" customFormat="1" ht="12.75" x14ac:dyDescent="0.2">
      <c r="R18214" s="1288"/>
    </row>
    <row r="18215" spans="18:18" s="2" customFormat="1" ht="12.75" x14ac:dyDescent="0.2">
      <c r="R18215" s="1288"/>
    </row>
    <row r="18216" spans="18:18" s="2" customFormat="1" ht="12.75" x14ac:dyDescent="0.2">
      <c r="R18216" s="1288"/>
    </row>
    <row r="18217" spans="18:18" s="2" customFormat="1" ht="12.75" x14ac:dyDescent="0.2">
      <c r="R18217" s="1288"/>
    </row>
    <row r="18218" spans="18:18" s="2" customFormat="1" ht="12.75" x14ac:dyDescent="0.2">
      <c r="R18218" s="1288"/>
    </row>
    <row r="18219" spans="18:18" s="2" customFormat="1" ht="12.75" x14ac:dyDescent="0.2">
      <c r="R18219" s="1288"/>
    </row>
    <row r="18220" spans="18:18" s="2" customFormat="1" ht="12.75" x14ac:dyDescent="0.2">
      <c r="R18220" s="1288"/>
    </row>
    <row r="18221" spans="18:18" s="2" customFormat="1" ht="12.75" x14ac:dyDescent="0.2">
      <c r="R18221" s="1288"/>
    </row>
    <row r="18222" spans="18:18" s="2" customFormat="1" ht="12.75" x14ac:dyDescent="0.2">
      <c r="R18222" s="1288"/>
    </row>
    <row r="18223" spans="18:18" s="2" customFormat="1" ht="12.75" x14ac:dyDescent="0.2">
      <c r="R18223" s="1288"/>
    </row>
    <row r="18224" spans="18:18" s="2" customFormat="1" ht="12.75" x14ac:dyDescent="0.2">
      <c r="R18224" s="1288"/>
    </row>
    <row r="18225" spans="18:18" s="2" customFormat="1" ht="12.75" x14ac:dyDescent="0.2">
      <c r="R18225" s="1288"/>
    </row>
    <row r="18226" spans="18:18" s="2" customFormat="1" ht="12.75" x14ac:dyDescent="0.2">
      <c r="R18226" s="1288"/>
    </row>
    <row r="18227" spans="18:18" s="2" customFormat="1" ht="12.75" x14ac:dyDescent="0.2">
      <c r="R18227" s="1288"/>
    </row>
    <row r="18228" spans="18:18" s="2" customFormat="1" ht="12.75" x14ac:dyDescent="0.2">
      <c r="R18228" s="1288"/>
    </row>
    <row r="18229" spans="18:18" s="2" customFormat="1" ht="12.75" x14ac:dyDescent="0.2">
      <c r="R18229" s="1288"/>
    </row>
    <row r="18230" spans="18:18" s="2" customFormat="1" ht="12.75" x14ac:dyDescent="0.2">
      <c r="R18230" s="1288"/>
    </row>
    <row r="18231" spans="18:18" s="2" customFormat="1" ht="12.75" x14ac:dyDescent="0.2">
      <c r="R18231" s="1288"/>
    </row>
    <row r="18232" spans="18:18" s="2" customFormat="1" ht="12.75" x14ac:dyDescent="0.2">
      <c r="R18232" s="1288"/>
    </row>
    <row r="18233" spans="18:18" s="2" customFormat="1" ht="12.75" x14ac:dyDescent="0.2">
      <c r="R18233" s="1288"/>
    </row>
    <row r="18234" spans="18:18" s="2" customFormat="1" ht="12.75" x14ac:dyDescent="0.2">
      <c r="R18234" s="1288"/>
    </row>
    <row r="18235" spans="18:18" s="2" customFormat="1" ht="12.75" x14ac:dyDescent="0.2">
      <c r="R18235" s="1288"/>
    </row>
    <row r="18236" spans="18:18" s="2" customFormat="1" ht="12.75" x14ac:dyDescent="0.2">
      <c r="R18236" s="1288"/>
    </row>
    <row r="18237" spans="18:18" s="2" customFormat="1" ht="12.75" x14ac:dyDescent="0.2">
      <c r="R18237" s="1288"/>
    </row>
    <row r="18238" spans="18:18" s="2" customFormat="1" ht="12.75" x14ac:dyDescent="0.2">
      <c r="R18238" s="1288"/>
    </row>
    <row r="18239" spans="18:18" s="2" customFormat="1" ht="12.75" x14ac:dyDescent="0.2">
      <c r="R18239" s="1288"/>
    </row>
    <row r="18240" spans="18:18" s="2" customFormat="1" ht="12.75" x14ac:dyDescent="0.2">
      <c r="R18240" s="1288"/>
    </row>
    <row r="18241" spans="18:18" s="2" customFormat="1" ht="12.75" x14ac:dyDescent="0.2">
      <c r="R18241" s="1288"/>
    </row>
    <row r="18242" spans="18:18" s="2" customFormat="1" ht="12.75" x14ac:dyDescent="0.2">
      <c r="R18242" s="1288"/>
    </row>
    <row r="18243" spans="18:18" s="2" customFormat="1" ht="12.75" x14ac:dyDescent="0.2">
      <c r="R18243" s="1288"/>
    </row>
    <row r="18244" spans="18:18" s="2" customFormat="1" ht="12.75" x14ac:dyDescent="0.2">
      <c r="R18244" s="1288"/>
    </row>
    <row r="18245" spans="18:18" s="2" customFormat="1" ht="12.75" x14ac:dyDescent="0.2">
      <c r="R18245" s="1288"/>
    </row>
    <row r="18246" spans="18:18" s="2" customFormat="1" ht="12.75" x14ac:dyDescent="0.2">
      <c r="R18246" s="1288"/>
    </row>
    <row r="18247" spans="18:18" s="2" customFormat="1" ht="12.75" x14ac:dyDescent="0.2">
      <c r="R18247" s="1288"/>
    </row>
    <row r="18248" spans="18:18" s="2" customFormat="1" ht="12.75" x14ac:dyDescent="0.2">
      <c r="R18248" s="1288"/>
    </row>
    <row r="18249" spans="18:18" s="2" customFormat="1" ht="12.75" x14ac:dyDescent="0.2">
      <c r="R18249" s="1288"/>
    </row>
    <row r="18250" spans="18:18" s="2" customFormat="1" ht="12.75" x14ac:dyDescent="0.2">
      <c r="R18250" s="1288"/>
    </row>
    <row r="18251" spans="18:18" s="2" customFormat="1" ht="12.75" x14ac:dyDescent="0.2">
      <c r="R18251" s="1288"/>
    </row>
    <row r="18252" spans="18:18" s="2" customFormat="1" ht="12.75" x14ac:dyDescent="0.2">
      <c r="R18252" s="1288"/>
    </row>
    <row r="18253" spans="18:18" s="2" customFormat="1" ht="12.75" x14ac:dyDescent="0.2">
      <c r="R18253" s="1288"/>
    </row>
    <row r="18254" spans="18:18" s="2" customFormat="1" ht="12.75" x14ac:dyDescent="0.2">
      <c r="R18254" s="1288"/>
    </row>
    <row r="18255" spans="18:18" s="2" customFormat="1" ht="12.75" x14ac:dyDescent="0.2">
      <c r="R18255" s="1288"/>
    </row>
    <row r="18256" spans="18:18" s="2" customFormat="1" ht="12.75" x14ac:dyDescent="0.2">
      <c r="R18256" s="1288"/>
    </row>
    <row r="18257" spans="18:18" s="2" customFormat="1" ht="12.75" x14ac:dyDescent="0.2">
      <c r="R18257" s="1288"/>
    </row>
    <row r="18258" spans="18:18" s="2" customFormat="1" ht="12.75" x14ac:dyDescent="0.2">
      <c r="R18258" s="1288"/>
    </row>
    <row r="18259" spans="18:18" s="2" customFormat="1" ht="12.75" x14ac:dyDescent="0.2">
      <c r="R18259" s="1288"/>
    </row>
    <row r="18260" spans="18:18" s="2" customFormat="1" ht="12.75" x14ac:dyDescent="0.2">
      <c r="R18260" s="1288"/>
    </row>
    <row r="18261" spans="18:18" s="2" customFormat="1" ht="12.75" x14ac:dyDescent="0.2">
      <c r="R18261" s="1288"/>
    </row>
    <row r="18262" spans="18:18" s="2" customFormat="1" ht="12.75" x14ac:dyDescent="0.2">
      <c r="R18262" s="1288"/>
    </row>
    <row r="18263" spans="18:18" s="2" customFormat="1" ht="12.75" x14ac:dyDescent="0.2">
      <c r="R18263" s="1288"/>
    </row>
    <row r="18264" spans="18:18" s="2" customFormat="1" ht="12.75" x14ac:dyDescent="0.2">
      <c r="R18264" s="1288"/>
    </row>
    <row r="18265" spans="18:18" s="2" customFormat="1" ht="12.75" x14ac:dyDescent="0.2">
      <c r="R18265" s="1288"/>
    </row>
    <row r="18266" spans="18:18" s="2" customFormat="1" ht="12.75" x14ac:dyDescent="0.2">
      <c r="R18266" s="1288"/>
    </row>
    <row r="18267" spans="18:18" s="2" customFormat="1" ht="12.75" x14ac:dyDescent="0.2">
      <c r="R18267" s="1288"/>
    </row>
    <row r="18268" spans="18:18" s="2" customFormat="1" ht="12.75" x14ac:dyDescent="0.2">
      <c r="R18268" s="1288"/>
    </row>
    <row r="18269" spans="18:18" s="2" customFormat="1" ht="12.75" x14ac:dyDescent="0.2">
      <c r="R18269" s="1288"/>
    </row>
    <row r="18270" spans="18:18" s="2" customFormat="1" ht="12.75" x14ac:dyDescent="0.2">
      <c r="R18270" s="1288"/>
    </row>
    <row r="18271" spans="18:18" s="2" customFormat="1" ht="12.75" x14ac:dyDescent="0.2">
      <c r="R18271" s="1288"/>
    </row>
    <row r="18272" spans="18:18" s="2" customFormat="1" ht="12.75" x14ac:dyDescent="0.2">
      <c r="R18272" s="1288"/>
    </row>
    <row r="18273" spans="18:18" s="2" customFormat="1" ht="12.75" x14ac:dyDescent="0.2">
      <c r="R18273" s="1288"/>
    </row>
    <row r="18274" spans="18:18" s="2" customFormat="1" ht="12.75" x14ac:dyDescent="0.2">
      <c r="R18274" s="1288"/>
    </row>
    <row r="18275" spans="18:18" s="2" customFormat="1" ht="12.75" x14ac:dyDescent="0.2">
      <c r="R18275" s="1288"/>
    </row>
    <row r="18276" spans="18:18" s="2" customFormat="1" ht="12.75" x14ac:dyDescent="0.2">
      <c r="R18276" s="1288"/>
    </row>
    <row r="18277" spans="18:18" s="2" customFormat="1" ht="12.75" x14ac:dyDescent="0.2">
      <c r="R18277" s="1288"/>
    </row>
    <row r="18278" spans="18:18" s="2" customFormat="1" ht="12.75" x14ac:dyDescent="0.2">
      <c r="R18278" s="1288"/>
    </row>
    <row r="18279" spans="18:18" s="2" customFormat="1" ht="12.75" x14ac:dyDescent="0.2">
      <c r="R18279" s="1288"/>
    </row>
    <row r="18280" spans="18:18" s="2" customFormat="1" ht="12.75" x14ac:dyDescent="0.2">
      <c r="R18280" s="1288"/>
    </row>
    <row r="18281" spans="18:18" s="2" customFormat="1" ht="12.75" x14ac:dyDescent="0.2">
      <c r="R18281" s="1288"/>
    </row>
    <row r="18282" spans="18:18" s="2" customFormat="1" ht="12.75" x14ac:dyDescent="0.2">
      <c r="R18282" s="1288"/>
    </row>
    <row r="18283" spans="18:18" s="2" customFormat="1" ht="12.75" x14ac:dyDescent="0.2">
      <c r="R18283" s="1288"/>
    </row>
    <row r="18284" spans="18:18" s="2" customFormat="1" ht="12.75" x14ac:dyDescent="0.2">
      <c r="R18284" s="1288"/>
    </row>
    <row r="18285" spans="18:18" s="2" customFormat="1" ht="12.75" x14ac:dyDescent="0.2">
      <c r="R18285" s="1288"/>
    </row>
    <row r="18286" spans="18:18" s="2" customFormat="1" ht="12.75" x14ac:dyDescent="0.2">
      <c r="R18286" s="1288"/>
    </row>
    <row r="18287" spans="18:18" s="2" customFormat="1" ht="12.75" x14ac:dyDescent="0.2">
      <c r="R18287" s="1288"/>
    </row>
    <row r="18288" spans="18:18" s="2" customFormat="1" ht="12.75" x14ac:dyDescent="0.2">
      <c r="R18288" s="1288"/>
    </row>
    <row r="18289" spans="18:18" s="2" customFormat="1" ht="12.75" x14ac:dyDescent="0.2">
      <c r="R18289" s="1288"/>
    </row>
    <row r="18290" spans="18:18" s="2" customFormat="1" ht="12.75" x14ac:dyDescent="0.2">
      <c r="R18290" s="1288"/>
    </row>
    <row r="18291" spans="18:18" s="2" customFormat="1" ht="12.75" x14ac:dyDescent="0.2">
      <c r="R18291" s="1288"/>
    </row>
    <row r="18292" spans="18:18" s="2" customFormat="1" ht="12.75" x14ac:dyDescent="0.2">
      <c r="R18292" s="1288"/>
    </row>
    <row r="18293" spans="18:18" s="2" customFormat="1" ht="12.75" x14ac:dyDescent="0.2">
      <c r="R18293" s="1288"/>
    </row>
    <row r="18294" spans="18:18" s="2" customFormat="1" ht="12.75" x14ac:dyDescent="0.2">
      <c r="R18294" s="1288"/>
    </row>
    <row r="18295" spans="18:18" s="2" customFormat="1" ht="12.75" x14ac:dyDescent="0.2">
      <c r="R18295" s="1288"/>
    </row>
    <row r="18296" spans="18:18" s="2" customFormat="1" ht="12.75" x14ac:dyDescent="0.2">
      <c r="R18296" s="1288"/>
    </row>
    <row r="18297" spans="18:18" s="2" customFormat="1" ht="12.75" x14ac:dyDescent="0.2">
      <c r="R18297" s="1288"/>
    </row>
    <row r="18298" spans="18:18" s="2" customFormat="1" ht="12.75" x14ac:dyDescent="0.2">
      <c r="R18298" s="1288"/>
    </row>
    <row r="18299" spans="18:18" s="2" customFormat="1" ht="12.75" x14ac:dyDescent="0.2">
      <c r="R18299" s="1288"/>
    </row>
    <row r="18300" spans="18:18" s="2" customFormat="1" ht="12.75" x14ac:dyDescent="0.2">
      <c r="R18300" s="1288"/>
    </row>
    <row r="18301" spans="18:18" s="2" customFormat="1" ht="12.75" x14ac:dyDescent="0.2">
      <c r="R18301" s="1288"/>
    </row>
    <row r="18302" spans="18:18" s="2" customFormat="1" ht="12.75" x14ac:dyDescent="0.2">
      <c r="R18302" s="1288"/>
    </row>
    <row r="18303" spans="18:18" s="2" customFormat="1" ht="12.75" x14ac:dyDescent="0.2">
      <c r="R18303" s="1288"/>
    </row>
    <row r="18304" spans="18:18" s="2" customFormat="1" ht="12.75" x14ac:dyDescent="0.2">
      <c r="R18304" s="1288"/>
    </row>
    <row r="18305" spans="18:18" s="2" customFormat="1" ht="12.75" x14ac:dyDescent="0.2">
      <c r="R18305" s="1288"/>
    </row>
    <row r="18306" spans="18:18" s="2" customFormat="1" ht="12.75" x14ac:dyDescent="0.2">
      <c r="R18306" s="1288"/>
    </row>
    <row r="18307" spans="18:18" s="2" customFormat="1" ht="12.75" x14ac:dyDescent="0.2">
      <c r="R18307" s="1288"/>
    </row>
    <row r="18308" spans="18:18" s="2" customFormat="1" ht="12.75" x14ac:dyDescent="0.2">
      <c r="R18308" s="1288"/>
    </row>
    <row r="18309" spans="18:18" s="2" customFormat="1" ht="12.75" x14ac:dyDescent="0.2">
      <c r="R18309" s="1288"/>
    </row>
    <row r="18310" spans="18:18" s="2" customFormat="1" ht="12.75" x14ac:dyDescent="0.2">
      <c r="R18310" s="1288"/>
    </row>
    <row r="18311" spans="18:18" s="2" customFormat="1" ht="12.75" x14ac:dyDescent="0.2">
      <c r="R18311" s="1288"/>
    </row>
    <row r="18312" spans="18:18" s="2" customFormat="1" ht="12.75" x14ac:dyDescent="0.2">
      <c r="R18312" s="1288"/>
    </row>
    <row r="18313" spans="18:18" s="2" customFormat="1" ht="12.75" x14ac:dyDescent="0.2">
      <c r="R18313" s="1288"/>
    </row>
    <row r="18314" spans="18:18" s="2" customFormat="1" ht="12.75" x14ac:dyDescent="0.2">
      <c r="R18314" s="1288"/>
    </row>
    <row r="18315" spans="18:18" s="2" customFormat="1" ht="12.75" x14ac:dyDescent="0.2">
      <c r="R18315" s="1288"/>
    </row>
    <row r="18316" spans="18:18" s="2" customFormat="1" ht="12.75" x14ac:dyDescent="0.2">
      <c r="R18316" s="1288"/>
    </row>
    <row r="18317" spans="18:18" s="2" customFormat="1" ht="12.75" x14ac:dyDescent="0.2">
      <c r="R18317" s="1288"/>
    </row>
    <row r="18318" spans="18:18" s="2" customFormat="1" ht="12.75" x14ac:dyDescent="0.2">
      <c r="R18318" s="1288"/>
    </row>
    <row r="18319" spans="18:18" s="2" customFormat="1" ht="12.75" x14ac:dyDescent="0.2">
      <c r="R18319" s="1288"/>
    </row>
    <row r="18320" spans="18:18" s="2" customFormat="1" ht="12.75" x14ac:dyDescent="0.2">
      <c r="R18320" s="1288"/>
    </row>
    <row r="18321" spans="18:18" s="2" customFormat="1" ht="12.75" x14ac:dyDescent="0.2">
      <c r="R18321" s="1288"/>
    </row>
    <row r="18322" spans="18:18" s="2" customFormat="1" ht="12.75" x14ac:dyDescent="0.2">
      <c r="R18322" s="1288"/>
    </row>
    <row r="18323" spans="18:18" s="2" customFormat="1" ht="12.75" x14ac:dyDescent="0.2">
      <c r="R18323" s="1288"/>
    </row>
    <row r="18324" spans="18:18" s="2" customFormat="1" ht="12.75" x14ac:dyDescent="0.2">
      <c r="R18324" s="1288"/>
    </row>
    <row r="18325" spans="18:18" s="2" customFormat="1" ht="12.75" x14ac:dyDescent="0.2">
      <c r="R18325" s="1288"/>
    </row>
    <row r="18326" spans="18:18" s="2" customFormat="1" ht="12.75" x14ac:dyDescent="0.2">
      <c r="R18326" s="1288"/>
    </row>
    <row r="18327" spans="18:18" s="2" customFormat="1" ht="12.75" x14ac:dyDescent="0.2">
      <c r="R18327" s="1288"/>
    </row>
    <row r="18328" spans="18:18" s="2" customFormat="1" ht="12.75" x14ac:dyDescent="0.2">
      <c r="R18328" s="1288"/>
    </row>
    <row r="18329" spans="18:18" s="2" customFormat="1" ht="12.75" x14ac:dyDescent="0.2">
      <c r="R18329" s="1288"/>
    </row>
    <row r="18330" spans="18:18" s="2" customFormat="1" ht="12.75" x14ac:dyDescent="0.2">
      <c r="R18330" s="1288"/>
    </row>
    <row r="18331" spans="18:18" s="2" customFormat="1" ht="12.75" x14ac:dyDescent="0.2">
      <c r="R18331" s="1288"/>
    </row>
    <row r="18332" spans="18:18" s="2" customFormat="1" ht="12.75" x14ac:dyDescent="0.2">
      <c r="R18332" s="1288"/>
    </row>
    <row r="18333" spans="18:18" s="2" customFormat="1" ht="12.75" x14ac:dyDescent="0.2">
      <c r="R18333" s="1288"/>
    </row>
    <row r="18334" spans="18:18" s="2" customFormat="1" ht="12.75" x14ac:dyDescent="0.2">
      <c r="R18334" s="1288"/>
    </row>
    <row r="18335" spans="18:18" s="2" customFormat="1" ht="12.75" x14ac:dyDescent="0.2">
      <c r="R18335" s="1288"/>
    </row>
    <row r="18336" spans="18:18" s="2" customFormat="1" ht="12.75" x14ac:dyDescent="0.2">
      <c r="R18336" s="1288"/>
    </row>
    <row r="18337" spans="18:18" s="2" customFormat="1" ht="12.75" x14ac:dyDescent="0.2">
      <c r="R18337" s="1288"/>
    </row>
    <row r="18338" spans="18:18" s="2" customFormat="1" ht="12.75" x14ac:dyDescent="0.2">
      <c r="R18338" s="1288"/>
    </row>
    <row r="18339" spans="18:18" s="2" customFormat="1" ht="12.75" x14ac:dyDescent="0.2">
      <c r="R18339" s="1288"/>
    </row>
    <row r="18340" spans="18:18" s="2" customFormat="1" ht="12.75" x14ac:dyDescent="0.2">
      <c r="R18340" s="1288"/>
    </row>
    <row r="18341" spans="18:18" s="2" customFormat="1" ht="12.75" x14ac:dyDescent="0.2">
      <c r="R18341" s="1288"/>
    </row>
    <row r="18342" spans="18:18" s="2" customFormat="1" ht="12.75" x14ac:dyDescent="0.2">
      <c r="R18342" s="1288"/>
    </row>
    <row r="18343" spans="18:18" s="2" customFormat="1" ht="12.75" x14ac:dyDescent="0.2">
      <c r="R18343" s="1288"/>
    </row>
    <row r="18344" spans="18:18" s="2" customFormat="1" ht="12.75" x14ac:dyDescent="0.2">
      <c r="R18344" s="1288"/>
    </row>
    <row r="18345" spans="18:18" s="2" customFormat="1" ht="12.75" x14ac:dyDescent="0.2">
      <c r="R18345" s="1288"/>
    </row>
    <row r="18346" spans="18:18" s="2" customFormat="1" ht="12.75" x14ac:dyDescent="0.2">
      <c r="R18346" s="1288"/>
    </row>
    <row r="18347" spans="18:18" s="2" customFormat="1" ht="12.75" x14ac:dyDescent="0.2">
      <c r="R18347" s="1288"/>
    </row>
    <row r="18348" spans="18:18" s="2" customFormat="1" ht="12.75" x14ac:dyDescent="0.2">
      <c r="R18348" s="1288"/>
    </row>
    <row r="18349" spans="18:18" s="2" customFormat="1" ht="12.75" x14ac:dyDescent="0.2">
      <c r="R18349" s="1288"/>
    </row>
    <row r="18350" spans="18:18" s="2" customFormat="1" ht="12.75" x14ac:dyDescent="0.2">
      <c r="R18350" s="1288"/>
    </row>
    <row r="18351" spans="18:18" s="2" customFormat="1" ht="12.75" x14ac:dyDescent="0.2">
      <c r="R18351" s="1288"/>
    </row>
    <row r="18352" spans="18:18" s="2" customFormat="1" ht="12.75" x14ac:dyDescent="0.2">
      <c r="R18352" s="1288"/>
    </row>
    <row r="18353" spans="18:18" s="2" customFormat="1" ht="12.75" x14ac:dyDescent="0.2">
      <c r="R18353" s="1288"/>
    </row>
    <row r="18354" spans="18:18" s="2" customFormat="1" ht="12.75" x14ac:dyDescent="0.2">
      <c r="R18354" s="1288"/>
    </row>
    <row r="18355" spans="18:18" s="2" customFormat="1" ht="12.75" x14ac:dyDescent="0.2">
      <c r="R18355" s="1288"/>
    </row>
    <row r="18356" spans="18:18" s="2" customFormat="1" ht="12.75" x14ac:dyDescent="0.2">
      <c r="R18356" s="1288"/>
    </row>
    <row r="18357" spans="18:18" s="2" customFormat="1" ht="12.75" x14ac:dyDescent="0.2">
      <c r="R18357" s="1288"/>
    </row>
    <row r="18358" spans="18:18" s="2" customFormat="1" ht="12.75" x14ac:dyDescent="0.2">
      <c r="R18358" s="1288"/>
    </row>
    <row r="18359" spans="18:18" s="2" customFormat="1" ht="12.75" x14ac:dyDescent="0.2">
      <c r="R18359" s="1288"/>
    </row>
    <row r="18360" spans="18:18" s="2" customFormat="1" ht="12.75" x14ac:dyDescent="0.2">
      <c r="R18360" s="1288"/>
    </row>
    <row r="18361" spans="18:18" s="2" customFormat="1" ht="12.75" x14ac:dyDescent="0.2">
      <c r="R18361" s="1288"/>
    </row>
    <row r="18362" spans="18:18" s="2" customFormat="1" ht="12.75" x14ac:dyDescent="0.2">
      <c r="R18362" s="1288"/>
    </row>
    <row r="18363" spans="18:18" s="2" customFormat="1" ht="12.75" x14ac:dyDescent="0.2">
      <c r="R18363" s="1288"/>
    </row>
    <row r="18364" spans="18:18" s="2" customFormat="1" ht="12.75" x14ac:dyDescent="0.2">
      <c r="R18364" s="1288"/>
    </row>
    <row r="18365" spans="18:18" s="2" customFormat="1" ht="12.75" x14ac:dyDescent="0.2">
      <c r="R18365" s="1288"/>
    </row>
    <row r="18366" spans="18:18" s="2" customFormat="1" ht="12.75" x14ac:dyDescent="0.2">
      <c r="R18366" s="1288"/>
    </row>
    <row r="18367" spans="18:18" s="2" customFormat="1" ht="12.75" x14ac:dyDescent="0.2">
      <c r="R18367" s="1288"/>
    </row>
    <row r="18368" spans="18:18" s="2" customFormat="1" ht="12.75" x14ac:dyDescent="0.2">
      <c r="R18368" s="1288"/>
    </row>
    <row r="18369" spans="18:18" s="2" customFormat="1" ht="12.75" x14ac:dyDescent="0.2">
      <c r="R18369" s="1288"/>
    </row>
    <row r="18370" spans="18:18" s="2" customFormat="1" ht="12.75" x14ac:dyDescent="0.2">
      <c r="R18370" s="1288"/>
    </row>
    <row r="18371" spans="18:18" s="2" customFormat="1" ht="12.75" x14ac:dyDescent="0.2">
      <c r="R18371" s="1288"/>
    </row>
    <row r="18372" spans="18:18" s="2" customFormat="1" ht="12.75" x14ac:dyDescent="0.2">
      <c r="R18372" s="1288"/>
    </row>
    <row r="18373" spans="18:18" s="2" customFormat="1" ht="12.75" x14ac:dyDescent="0.2">
      <c r="R18373" s="1288"/>
    </row>
    <row r="18374" spans="18:18" s="2" customFormat="1" ht="12.75" x14ac:dyDescent="0.2">
      <c r="R18374" s="1288"/>
    </row>
    <row r="18375" spans="18:18" s="2" customFormat="1" ht="12.75" x14ac:dyDescent="0.2">
      <c r="R18375" s="1288"/>
    </row>
    <row r="18376" spans="18:18" s="2" customFormat="1" ht="12.75" x14ac:dyDescent="0.2">
      <c r="R18376" s="1288"/>
    </row>
    <row r="18377" spans="18:18" s="2" customFormat="1" ht="12.75" x14ac:dyDescent="0.2">
      <c r="R18377" s="1288"/>
    </row>
    <row r="18378" spans="18:18" s="2" customFormat="1" ht="12.75" x14ac:dyDescent="0.2">
      <c r="R18378" s="1288"/>
    </row>
    <row r="18379" spans="18:18" s="2" customFormat="1" ht="12.75" x14ac:dyDescent="0.2">
      <c r="R18379" s="1288"/>
    </row>
    <row r="18380" spans="18:18" s="2" customFormat="1" ht="12.75" x14ac:dyDescent="0.2">
      <c r="R18380" s="1288"/>
    </row>
    <row r="18381" spans="18:18" s="2" customFormat="1" ht="12.75" x14ac:dyDescent="0.2">
      <c r="R18381" s="1288"/>
    </row>
    <row r="18382" spans="18:18" s="2" customFormat="1" ht="12.75" x14ac:dyDescent="0.2">
      <c r="R18382" s="1288"/>
    </row>
    <row r="18383" spans="18:18" s="2" customFormat="1" ht="12.75" x14ac:dyDescent="0.2">
      <c r="R18383" s="1288"/>
    </row>
    <row r="18384" spans="18:18" s="2" customFormat="1" ht="12.75" x14ac:dyDescent="0.2">
      <c r="R18384" s="1288"/>
    </row>
    <row r="18385" spans="18:18" s="2" customFormat="1" ht="12.75" x14ac:dyDescent="0.2">
      <c r="R18385" s="1288"/>
    </row>
    <row r="18386" spans="18:18" s="2" customFormat="1" ht="12.75" x14ac:dyDescent="0.2">
      <c r="R18386" s="1288"/>
    </row>
    <row r="18387" spans="18:18" s="2" customFormat="1" ht="12.75" x14ac:dyDescent="0.2">
      <c r="R18387" s="1288"/>
    </row>
    <row r="18388" spans="18:18" s="2" customFormat="1" ht="12.75" x14ac:dyDescent="0.2">
      <c r="R18388" s="1288"/>
    </row>
    <row r="18389" spans="18:18" s="2" customFormat="1" ht="12.75" x14ac:dyDescent="0.2">
      <c r="R18389" s="1288"/>
    </row>
    <row r="18390" spans="18:18" s="2" customFormat="1" ht="12.75" x14ac:dyDescent="0.2">
      <c r="R18390" s="1288"/>
    </row>
    <row r="18391" spans="18:18" s="2" customFormat="1" ht="12.75" x14ac:dyDescent="0.2">
      <c r="R18391" s="1288"/>
    </row>
    <row r="18392" spans="18:18" s="2" customFormat="1" ht="12.75" x14ac:dyDescent="0.2">
      <c r="R18392" s="1288"/>
    </row>
    <row r="18393" spans="18:18" s="2" customFormat="1" ht="12.75" x14ac:dyDescent="0.2">
      <c r="R18393" s="1288"/>
    </row>
    <row r="18394" spans="18:18" s="2" customFormat="1" ht="12.75" x14ac:dyDescent="0.2">
      <c r="R18394" s="1288"/>
    </row>
    <row r="18395" spans="18:18" s="2" customFormat="1" ht="12.75" x14ac:dyDescent="0.2">
      <c r="R18395" s="1288"/>
    </row>
    <row r="18396" spans="18:18" s="2" customFormat="1" ht="12.75" x14ac:dyDescent="0.2">
      <c r="R18396" s="1288"/>
    </row>
    <row r="18397" spans="18:18" s="2" customFormat="1" ht="12.75" x14ac:dyDescent="0.2">
      <c r="R18397" s="1288"/>
    </row>
    <row r="18398" spans="18:18" s="2" customFormat="1" ht="12.75" x14ac:dyDescent="0.2">
      <c r="R18398" s="1288"/>
    </row>
    <row r="18399" spans="18:18" s="2" customFormat="1" ht="12.75" x14ac:dyDescent="0.2">
      <c r="R18399" s="1288"/>
    </row>
    <row r="18400" spans="18:18" s="2" customFormat="1" ht="12.75" x14ac:dyDescent="0.2">
      <c r="R18400" s="1288"/>
    </row>
    <row r="18401" spans="18:18" s="2" customFormat="1" ht="12.75" x14ac:dyDescent="0.2">
      <c r="R18401" s="1288"/>
    </row>
    <row r="18402" spans="18:18" s="2" customFormat="1" ht="12.75" x14ac:dyDescent="0.2">
      <c r="R18402" s="1288"/>
    </row>
    <row r="18403" spans="18:18" s="2" customFormat="1" ht="12.75" x14ac:dyDescent="0.2">
      <c r="R18403" s="1288"/>
    </row>
    <row r="18404" spans="18:18" s="2" customFormat="1" ht="12.75" x14ac:dyDescent="0.2">
      <c r="R18404" s="1288"/>
    </row>
    <row r="18405" spans="18:18" s="2" customFormat="1" ht="12.75" x14ac:dyDescent="0.2">
      <c r="R18405" s="1288"/>
    </row>
    <row r="18406" spans="18:18" s="2" customFormat="1" ht="12.75" x14ac:dyDescent="0.2">
      <c r="R18406" s="1288"/>
    </row>
    <row r="18407" spans="18:18" s="2" customFormat="1" ht="12.75" x14ac:dyDescent="0.2">
      <c r="R18407" s="1288"/>
    </row>
    <row r="18408" spans="18:18" s="2" customFormat="1" ht="12.75" x14ac:dyDescent="0.2">
      <c r="R18408" s="1288"/>
    </row>
    <row r="18409" spans="18:18" s="2" customFormat="1" ht="12.75" x14ac:dyDescent="0.2">
      <c r="R18409" s="1288"/>
    </row>
    <row r="18410" spans="18:18" s="2" customFormat="1" ht="12.75" x14ac:dyDescent="0.2">
      <c r="R18410" s="1288"/>
    </row>
    <row r="18411" spans="18:18" s="2" customFormat="1" ht="12.75" x14ac:dyDescent="0.2">
      <c r="R18411" s="1288"/>
    </row>
    <row r="18412" spans="18:18" s="2" customFormat="1" ht="12.75" x14ac:dyDescent="0.2">
      <c r="R18412" s="1288"/>
    </row>
    <row r="18413" spans="18:18" s="2" customFormat="1" ht="12.75" x14ac:dyDescent="0.2">
      <c r="R18413" s="1288"/>
    </row>
    <row r="18414" spans="18:18" s="2" customFormat="1" ht="12.75" x14ac:dyDescent="0.2">
      <c r="R18414" s="1288"/>
    </row>
    <row r="18415" spans="18:18" s="2" customFormat="1" ht="12.75" x14ac:dyDescent="0.2">
      <c r="R18415" s="1288"/>
    </row>
    <row r="18416" spans="18:18" s="2" customFormat="1" ht="12.75" x14ac:dyDescent="0.2">
      <c r="R18416" s="1288"/>
    </row>
    <row r="18417" spans="18:18" s="2" customFormat="1" ht="12.75" x14ac:dyDescent="0.2">
      <c r="R18417" s="1288"/>
    </row>
    <row r="18418" spans="18:18" s="2" customFormat="1" ht="12.75" x14ac:dyDescent="0.2">
      <c r="R18418" s="1288"/>
    </row>
    <row r="18419" spans="18:18" s="2" customFormat="1" ht="12.75" x14ac:dyDescent="0.2">
      <c r="R18419" s="1288"/>
    </row>
    <row r="18420" spans="18:18" s="2" customFormat="1" ht="12.75" x14ac:dyDescent="0.2">
      <c r="R18420" s="1288"/>
    </row>
    <row r="18421" spans="18:18" s="2" customFormat="1" ht="12.75" x14ac:dyDescent="0.2">
      <c r="R18421" s="1288"/>
    </row>
    <row r="18422" spans="18:18" s="2" customFormat="1" ht="12.75" x14ac:dyDescent="0.2">
      <c r="R18422" s="1288"/>
    </row>
    <row r="18423" spans="18:18" s="2" customFormat="1" ht="12.75" x14ac:dyDescent="0.2">
      <c r="R18423" s="1288"/>
    </row>
    <row r="18424" spans="18:18" s="2" customFormat="1" ht="12.75" x14ac:dyDescent="0.2">
      <c r="R18424" s="1288"/>
    </row>
    <row r="18425" spans="18:18" s="2" customFormat="1" ht="12.75" x14ac:dyDescent="0.2">
      <c r="R18425" s="1288"/>
    </row>
    <row r="18426" spans="18:18" s="2" customFormat="1" ht="12.75" x14ac:dyDescent="0.2">
      <c r="R18426" s="1288"/>
    </row>
    <row r="18427" spans="18:18" s="2" customFormat="1" ht="12.75" x14ac:dyDescent="0.2">
      <c r="R18427" s="1288"/>
    </row>
    <row r="18428" spans="18:18" s="2" customFormat="1" ht="12.75" x14ac:dyDescent="0.2">
      <c r="R18428" s="1288"/>
    </row>
    <row r="18429" spans="18:18" s="2" customFormat="1" ht="12.75" x14ac:dyDescent="0.2">
      <c r="R18429" s="1288"/>
    </row>
    <row r="18430" spans="18:18" s="2" customFormat="1" ht="12.75" x14ac:dyDescent="0.2">
      <c r="R18430" s="1288"/>
    </row>
    <row r="18431" spans="18:18" s="2" customFormat="1" ht="12.75" x14ac:dyDescent="0.2">
      <c r="R18431" s="1288"/>
    </row>
    <row r="18432" spans="18:18" s="2" customFormat="1" ht="12.75" x14ac:dyDescent="0.2">
      <c r="R18432" s="1288"/>
    </row>
    <row r="18433" spans="18:18" s="2" customFormat="1" ht="12.75" x14ac:dyDescent="0.2">
      <c r="R18433" s="1288"/>
    </row>
    <row r="18434" spans="18:18" s="2" customFormat="1" ht="12.75" x14ac:dyDescent="0.2">
      <c r="R18434" s="1288"/>
    </row>
    <row r="18435" spans="18:18" s="2" customFormat="1" ht="12.75" x14ac:dyDescent="0.2">
      <c r="R18435" s="1288"/>
    </row>
    <row r="18436" spans="18:18" s="2" customFormat="1" ht="12.75" x14ac:dyDescent="0.2">
      <c r="R18436" s="1288"/>
    </row>
    <row r="18437" spans="18:18" s="2" customFormat="1" ht="12.75" x14ac:dyDescent="0.2">
      <c r="R18437" s="1288"/>
    </row>
    <row r="18438" spans="18:18" s="2" customFormat="1" ht="12.75" x14ac:dyDescent="0.2">
      <c r="R18438" s="1288"/>
    </row>
    <row r="18439" spans="18:18" s="2" customFormat="1" ht="12.75" x14ac:dyDescent="0.2">
      <c r="R18439" s="1288"/>
    </row>
    <row r="18440" spans="18:18" s="2" customFormat="1" ht="12.75" x14ac:dyDescent="0.2">
      <c r="R18440" s="1288"/>
    </row>
    <row r="18441" spans="18:18" s="2" customFormat="1" ht="12.75" x14ac:dyDescent="0.2">
      <c r="R18441" s="1288"/>
    </row>
    <row r="18442" spans="18:18" s="2" customFormat="1" ht="12.75" x14ac:dyDescent="0.2">
      <c r="R18442" s="1288"/>
    </row>
    <row r="18443" spans="18:18" s="2" customFormat="1" ht="12.75" x14ac:dyDescent="0.2">
      <c r="R18443" s="1288"/>
    </row>
    <row r="18444" spans="18:18" s="2" customFormat="1" ht="12.75" x14ac:dyDescent="0.2">
      <c r="R18444" s="1288"/>
    </row>
    <row r="18445" spans="18:18" s="2" customFormat="1" ht="12.75" x14ac:dyDescent="0.2">
      <c r="R18445" s="1288"/>
    </row>
    <row r="18446" spans="18:18" s="2" customFormat="1" ht="12.75" x14ac:dyDescent="0.2">
      <c r="R18446" s="1288"/>
    </row>
    <row r="18447" spans="18:18" s="2" customFormat="1" ht="12.75" x14ac:dyDescent="0.2">
      <c r="R18447" s="1288"/>
    </row>
    <row r="18448" spans="18:18" s="2" customFormat="1" ht="12.75" x14ac:dyDescent="0.2">
      <c r="R18448" s="1288"/>
    </row>
    <row r="18449" spans="18:18" s="2" customFormat="1" ht="12.75" x14ac:dyDescent="0.2">
      <c r="R18449" s="1288"/>
    </row>
    <row r="18450" spans="18:18" s="2" customFormat="1" ht="12.75" x14ac:dyDescent="0.2">
      <c r="R18450" s="1288"/>
    </row>
    <row r="18451" spans="18:18" s="2" customFormat="1" ht="12.75" x14ac:dyDescent="0.2">
      <c r="R18451" s="1288"/>
    </row>
    <row r="18452" spans="18:18" s="2" customFormat="1" ht="12.75" x14ac:dyDescent="0.2">
      <c r="R18452" s="1288"/>
    </row>
    <row r="18453" spans="18:18" s="2" customFormat="1" ht="12.75" x14ac:dyDescent="0.2">
      <c r="R18453" s="1288"/>
    </row>
    <row r="18454" spans="18:18" s="2" customFormat="1" ht="12.75" x14ac:dyDescent="0.2">
      <c r="R18454" s="1288"/>
    </row>
    <row r="18455" spans="18:18" s="2" customFormat="1" ht="12.75" x14ac:dyDescent="0.2">
      <c r="R18455" s="1288"/>
    </row>
    <row r="18456" spans="18:18" s="2" customFormat="1" ht="12.75" x14ac:dyDescent="0.2">
      <c r="R18456" s="1288"/>
    </row>
    <row r="18457" spans="18:18" s="2" customFormat="1" ht="12.75" x14ac:dyDescent="0.2">
      <c r="R18457" s="1288"/>
    </row>
    <row r="18458" spans="18:18" s="2" customFormat="1" ht="12.75" x14ac:dyDescent="0.2">
      <c r="R18458" s="1288"/>
    </row>
    <row r="18459" spans="18:18" s="2" customFormat="1" ht="12.75" x14ac:dyDescent="0.2">
      <c r="R18459" s="1288"/>
    </row>
    <row r="18460" spans="18:18" s="2" customFormat="1" ht="12.75" x14ac:dyDescent="0.2">
      <c r="R18460" s="1288"/>
    </row>
    <row r="18461" spans="18:18" s="2" customFormat="1" ht="12.75" x14ac:dyDescent="0.2">
      <c r="R18461" s="1288"/>
    </row>
    <row r="18462" spans="18:18" s="2" customFormat="1" ht="12.75" x14ac:dyDescent="0.2">
      <c r="R18462" s="1288"/>
    </row>
    <row r="18463" spans="18:18" s="2" customFormat="1" ht="12.75" x14ac:dyDescent="0.2">
      <c r="R18463" s="1288"/>
    </row>
    <row r="18464" spans="18:18" s="2" customFormat="1" ht="12.75" x14ac:dyDescent="0.2">
      <c r="R18464" s="1288"/>
    </row>
    <row r="18465" spans="18:18" s="2" customFormat="1" ht="12.75" x14ac:dyDescent="0.2">
      <c r="R18465" s="1288"/>
    </row>
    <row r="18466" spans="18:18" s="2" customFormat="1" ht="12.75" x14ac:dyDescent="0.2">
      <c r="R18466" s="1288"/>
    </row>
    <row r="18467" spans="18:18" s="2" customFormat="1" ht="12.75" x14ac:dyDescent="0.2">
      <c r="R18467" s="1288"/>
    </row>
    <row r="18468" spans="18:18" s="2" customFormat="1" ht="12.75" x14ac:dyDescent="0.2">
      <c r="R18468" s="1288"/>
    </row>
    <row r="18469" spans="18:18" s="2" customFormat="1" ht="12.75" x14ac:dyDescent="0.2">
      <c r="R18469" s="1288"/>
    </row>
    <row r="18470" spans="18:18" s="2" customFormat="1" ht="12.75" x14ac:dyDescent="0.2">
      <c r="R18470" s="1288"/>
    </row>
    <row r="18471" spans="18:18" s="2" customFormat="1" ht="12.75" x14ac:dyDescent="0.2">
      <c r="R18471" s="1288"/>
    </row>
    <row r="18472" spans="18:18" s="2" customFormat="1" ht="12.75" x14ac:dyDescent="0.2">
      <c r="R18472" s="1288"/>
    </row>
    <row r="18473" spans="18:18" s="2" customFormat="1" ht="12.75" x14ac:dyDescent="0.2">
      <c r="R18473" s="1288"/>
    </row>
    <row r="18474" spans="18:18" s="2" customFormat="1" ht="12.75" x14ac:dyDescent="0.2">
      <c r="R18474" s="1288"/>
    </row>
    <row r="18475" spans="18:18" s="2" customFormat="1" ht="12.75" x14ac:dyDescent="0.2">
      <c r="R18475" s="1288"/>
    </row>
    <row r="18476" spans="18:18" s="2" customFormat="1" ht="12.75" x14ac:dyDescent="0.2">
      <c r="R18476" s="1288"/>
    </row>
    <row r="18477" spans="18:18" s="2" customFormat="1" ht="12.75" x14ac:dyDescent="0.2">
      <c r="R18477" s="1288"/>
    </row>
    <row r="18478" spans="18:18" s="2" customFormat="1" ht="12.75" x14ac:dyDescent="0.2">
      <c r="R18478" s="1288"/>
    </row>
    <row r="18479" spans="18:18" s="2" customFormat="1" ht="12.75" x14ac:dyDescent="0.2">
      <c r="R18479" s="1288"/>
    </row>
    <row r="18480" spans="18:18" s="2" customFormat="1" ht="12.75" x14ac:dyDescent="0.2">
      <c r="R18480" s="1288"/>
    </row>
    <row r="18481" spans="18:18" s="2" customFormat="1" ht="12.75" x14ac:dyDescent="0.2">
      <c r="R18481" s="1288"/>
    </row>
    <row r="18482" spans="18:18" s="2" customFormat="1" ht="12.75" x14ac:dyDescent="0.2">
      <c r="R18482" s="1288"/>
    </row>
    <row r="18483" spans="18:18" s="2" customFormat="1" ht="12.75" x14ac:dyDescent="0.2">
      <c r="R18483" s="1288"/>
    </row>
    <row r="18484" spans="18:18" s="2" customFormat="1" ht="12.75" x14ac:dyDescent="0.2">
      <c r="R18484" s="1288"/>
    </row>
    <row r="18485" spans="18:18" s="2" customFormat="1" ht="12.75" x14ac:dyDescent="0.2">
      <c r="R18485" s="1288"/>
    </row>
    <row r="18486" spans="18:18" s="2" customFormat="1" ht="12.75" x14ac:dyDescent="0.2">
      <c r="R18486" s="1288"/>
    </row>
    <row r="18487" spans="18:18" s="2" customFormat="1" ht="12.75" x14ac:dyDescent="0.2">
      <c r="R18487" s="1288"/>
    </row>
    <row r="18488" spans="18:18" s="2" customFormat="1" ht="12.75" x14ac:dyDescent="0.2">
      <c r="R18488" s="1288"/>
    </row>
    <row r="18489" spans="18:18" s="2" customFormat="1" ht="12.75" x14ac:dyDescent="0.2">
      <c r="R18489" s="1288"/>
    </row>
    <row r="18490" spans="18:18" s="2" customFormat="1" ht="12.75" x14ac:dyDescent="0.2">
      <c r="R18490" s="1288"/>
    </row>
    <row r="18491" spans="18:18" s="2" customFormat="1" ht="12.75" x14ac:dyDescent="0.2">
      <c r="R18491" s="1288"/>
    </row>
    <row r="18492" spans="18:18" s="2" customFormat="1" ht="12.75" x14ac:dyDescent="0.2">
      <c r="R18492" s="1288"/>
    </row>
    <row r="18493" spans="18:18" s="2" customFormat="1" ht="12.75" x14ac:dyDescent="0.2">
      <c r="R18493" s="1288"/>
    </row>
    <row r="18494" spans="18:18" s="2" customFormat="1" ht="12.75" x14ac:dyDescent="0.2">
      <c r="R18494" s="1288"/>
    </row>
    <row r="18495" spans="18:18" s="2" customFormat="1" ht="12.75" x14ac:dyDescent="0.2">
      <c r="R18495" s="1288"/>
    </row>
    <row r="18496" spans="18:18" s="2" customFormat="1" ht="12.75" x14ac:dyDescent="0.2">
      <c r="R18496" s="1288"/>
    </row>
    <row r="18497" spans="18:18" s="2" customFormat="1" ht="12.75" x14ac:dyDescent="0.2">
      <c r="R18497" s="1288"/>
    </row>
    <row r="18498" spans="18:18" s="2" customFormat="1" ht="12.75" x14ac:dyDescent="0.2">
      <c r="R18498" s="1288"/>
    </row>
    <row r="18499" spans="18:18" s="2" customFormat="1" ht="12.75" x14ac:dyDescent="0.2">
      <c r="R18499" s="1288"/>
    </row>
    <row r="18500" spans="18:18" s="2" customFormat="1" ht="12.75" x14ac:dyDescent="0.2">
      <c r="R18500" s="1288"/>
    </row>
    <row r="18501" spans="18:18" s="2" customFormat="1" ht="12.75" x14ac:dyDescent="0.2">
      <c r="R18501" s="1288"/>
    </row>
    <row r="18502" spans="18:18" s="2" customFormat="1" ht="12.75" x14ac:dyDescent="0.2">
      <c r="R18502" s="1288"/>
    </row>
    <row r="18503" spans="18:18" s="2" customFormat="1" ht="12.75" x14ac:dyDescent="0.2">
      <c r="R18503" s="1288"/>
    </row>
    <row r="18504" spans="18:18" s="2" customFormat="1" ht="12.75" x14ac:dyDescent="0.2">
      <c r="R18504" s="1288"/>
    </row>
    <row r="18505" spans="18:18" s="2" customFormat="1" ht="12.75" x14ac:dyDescent="0.2">
      <c r="R18505" s="1288"/>
    </row>
    <row r="18506" spans="18:18" s="2" customFormat="1" ht="12.75" x14ac:dyDescent="0.2">
      <c r="R18506" s="1288"/>
    </row>
    <row r="18507" spans="18:18" s="2" customFormat="1" ht="12.75" x14ac:dyDescent="0.2">
      <c r="R18507" s="1288"/>
    </row>
    <row r="18508" spans="18:18" s="2" customFormat="1" ht="12.75" x14ac:dyDescent="0.2">
      <c r="R18508" s="1288"/>
    </row>
    <row r="18509" spans="18:18" s="2" customFormat="1" ht="12.75" x14ac:dyDescent="0.2">
      <c r="R18509" s="1288"/>
    </row>
    <row r="18510" spans="18:18" s="2" customFormat="1" ht="12.75" x14ac:dyDescent="0.2">
      <c r="R18510" s="1288"/>
    </row>
    <row r="18511" spans="18:18" s="2" customFormat="1" ht="12.75" x14ac:dyDescent="0.2">
      <c r="R18511" s="1288"/>
    </row>
    <row r="18512" spans="18:18" s="2" customFormat="1" ht="12.75" x14ac:dyDescent="0.2">
      <c r="R18512" s="1288"/>
    </row>
    <row r="18513" spans="18:18" s="2" customFormat="1" ht="12.75" x14ac:dyDescent="0.2">
      <c r="R18513" s="1288"/>
    </row>
    <row r="18514" spans="18:18" s="2" customFormat="1" ht="12.75" x14ac:dyDescent="0.2">
      <c r="R18514" s="1288"/>
    </row>
    <row r="18515" spans="18:18" s="2" customFormat="1" ht="12.75" x14ac:dyDescent="0.2">
      <c r="R18515" s="1288"/>
    </row>
    <row r="18516" spans="18:18" s="2" customFormat="1" ht="12.75" x14ac:dyDescent="0.2">
      <c r="R18516" s="1288"/>
    </row>
    <row r="18517" spans="18:18" s="2" customFormat="1" ht="12.75" x14ac:dyDescent="0.2">
      <c r="R18517" s="1288"/>
    </row>
    <row r="18518" spans="18:18" s="2" customFormat="1" ht="12.75" x14ac:dyDescent="0.2">
      <c r="R18518" s="1288"/>
    </row>
    <row r="18519" spans="18:18" s="2" customFormat="1" ht="12.75" x14ac:dyDescent="0.2">
      <c r="R18519" s="1288"/>
    </row>
    <row r="18520" spans="18:18" s="2" customFormat="1" ht="12.75" x14ac:dyDescent="0.2">
      <c r="R18520" s="1288"/>
    </row>
    <row r="18521" spans="18:18" s="2" customFormat="1" ht="12.75" x14ac:dyDescent="0.2">
      <c r="R18521" s="1288"/>
    </row>
    <row r="18522" spans="18:18" s="2" customFormat="1" ht="12.75" x14ac:dyDescent="0.2">
      <c r="R18522" s="1288"/>
    </row>
    <row r="18523" spans="18:18" s="2" customFormat="1" ht="12.75" x14ac:dyDescent="0.2">
      <c r="R18523" s="1288"/>
    </row>
    <row r="18524" spans="18:18" s="2" customFormat="1" ht="12.75" x14ac:dyDescent="0.2">
      <c r="R18524" s="1288"/>
    </row>
    <row r="18525" spans="18:18" s="2" customFormat="1" ht="12.75" x14ac:dyDescent="0.2">
      <c r="R18525" s="1288"/>
    </row>
    <row r="18526" spans="18:18" s="2" customFormat="1" ht="12.75" x14ac:dyDescent="0.2">
      <c r="R18526" s="1288"/>
    </row>
    <row r="18527" spans="18:18" s="2" customFormat="1" ht="12.75" x14ac:dyDescent="0.2">
      <c r="R18527" s="1288"/>
    </row>
    <row r="18528" spans="18:18" s="2" customFormat="1" ht="12.75" x14ac:dyDescent="0.2">
      <c r="R18528" s="1288"/>
    </row>
    <row r="18529" spans="18:18" s="2" customFormat="1" ht="12.75" x14ac:dyDescent="0.2">
      <c r="R18529" s="1288"/>
    </row>
    <row r="18530" spans="18:18" s="2" customFormat="1" ht="12.75" x14ac:dyDescent="0.2">
      <c r="R18530" s="1288"/>
    </row>
    <row r="18531" spans="18:18" s="2" customFormat="1" ht="12.75" x14ac:dyDescent="0.2">
      <c r="R18531" s="1288"/>
    </row>
    <row r="18532" spans="18:18" s="2" customFormat="1" ht="12.75" x14ac:dyDescent="0.2">
      <c r="R18532" s="1288"/>
    </row>
    <row r="18533" spans="18:18" s="2" customFormat="1" ht="12.75" x14ac:dyDescent="0.2">
      <c r="R18533" s="1288"/>
    </row>
    <row r="18534" spans="18:18" s="2" customFormat="1" ht="12.75" x14ac:dyDescent="0.2">
      <c r="R18534" s="1288"/>
    </row>
    <row r="18535" spans="18:18" s="2" customFormat="1" ht="12.75" x14ac:dyDescent="0.2">
      <c r="R18535" s="1288"/>
    </row>
    <row r="18536" spans="18:18" s="2" customFormat="1" ht="12.75" x14ac:dyDescent="0.2">
      <c r="R18536" s="1288"/>
    </row>
    <row r="18537" spans="18:18" s="2" customFormat="1" ht="12.75" x14ac:dyDescent="0.2">
      <c r="R18537" s="1288"/>
    </row>
    <row r="18538" spans="18:18" s="2" customFormat="1" ht="12.75" x14ac:dyDescent="0.2">
      <c r="R18538" s="1288"/>
    </row>
    <row r="18539" spans="18:18" s="2" customFormat="1" ht="12.75" x14ac:dyDescent="0.2">
      <c r="R18539" s="1288"/>
    </row>
    <row r="18540" spans="18:18" s="2" customFormat="1" ht="12.75" x14ac:dyDescent="0.2">
      <c r="R18540" s="1288"/>
    </row>
    <row r="18541" spans="18:18" s="2" customFormat="1" ht="12.75" x14ac:dyDescent="0.2">
      <c r="R18541" s="1288"/>
    </row>
    <row r="18542" spans="18:18" s="2" customFormat="1" ht="12.75" x14ac:dyDescent="0.2">
      <c r="R18542" s="1288"/>
    </row>
    <row r="18543" spans="18:18" s="2" customFormat="1" ht="12.75" x14ac:dyDescent="0.2">
      <c r="R18543" s="1288"/>
    </row>
    <row r="18544" spans="18:18" s="2" customFormat="1" ht="12.75" x14ac:dyDescent="0.2">
      <c r="R18544" s="1288"/>
    </row>
    <row r="18545" spans="18:18" s="2" customFormat="1" ht="12.75" x14ac:dyDescent="0.2">
      <c r="R18545" s="1288"/>
    </row>
    <row r="18546" spans="18:18" s="2" customFormat="1" ht="12.75" x14ac:dyDescent="0.2">
      <c r="R18546" s="1288"/>
    </row>
    <row r="18547" spans="18:18" s="2" customFormat="1" ht="12.75" x14ac:dyDescent="0.2">
      <c r="R18547" s="1288"/>
    </row>
    <row r="18548" spans="18:18" s="2" customFormat="1" ht="12.75" x14ac:dyDescent="0.2">
      <c r="R18548" s="1288"/>
    </row>
    <row r="18549" spans="18:18" s="2" customFormat="1" ht="12.75" x14ac:dyDescent="0.2">
      <c r="R18549" s="1288"/>
    </row>
    <row r="18550" spans="18:18" s="2" customFormat="1" ht="12.75" x14ac:dyDescent="0.2">
      <c r="R18550" s="1288"/>
    </row>
    <row r="18551" spans="18:18" s="2" customFormat="1" ht="12.75" x14ac:dyDescent="0.2">
      <c r="R18551" s="1288"/>
    </row>
    <row r="18552" spans="18:18" s="2" customFormat="1" ht="12.75" x14ac:dyDescent="0.2">
      <c r="R18552" s="1288"/>
    </row>
    <row r="18553" spans="18:18" s="2" customFormat="1" ht="12.75" x14ac:dyDescent="0.2">
      <c r="R18553" s="1288"/>
    </row>
    <row r="18554" spans="18:18" s="2" customFormat="1" ht="12.75" x14ac:dyDescent="0.2">
      <c r="R18554" s="1288"/>
    </row>
    <row r="18555" spans="18:18" s="2" customFormat="1" ht="12.75" x14ac:dyDescent="0.2">
      <c r="R18555" s="1288"/>
    </row>
    <row r="18556" spans="18:18" s="2" customFormat="1" ht="12.75" x14ac:dyDescent="0.2">
      <c r="R18556" s="1288"/>
    </row>
    <row r="18557" spans="18:18" s="2" customFormat="1" ht="12.75" x14ac:dyDescent="0.2">
      <c r="R18557" s="1288"/>
    </row>
    <row r="18558" spans="18:18" s="2" customFormat="1" ht="12.75" x14ac:dyDescent="0.2">
      <c r="R18558" s="1288"/>
    </row>
    <row r="18559" spans="18:18" s="2" customFormat="1" ht="12.75" x14ac:dyDescent="0.2">
      <c r="R18559" s="1288"/>
    </row>
    <row r="18560" spans="18:18" s="2" customFormat="1" ht="12.75" x14ac:dyDescent="0.2">
      <c r="R18560" s="1288"/>
    </row>
    <row r="18561" spans="18:18" s="2" customFormat="1" ht="12.75" x14ac:dyDescent="0.2">
      <c r="R18561" s="1288"/>
    </row>
    <row r="18562" spans="18:18" s="2" customFormat="1" ht="12.75" x14ac:dyDescent="0.2">
      <c r="R18562" s="1288"/>
    </row>
    <row r="18563" spans="18:18" s="2" customFormat="1" ht="12.75" x14ac:dyDescent="0.2">
      <c r="R18563" s="1288"/>
    </row>
    <row r="18564" spans="18:18" s="2" customFormat="1" ht="12.75" x14ac:dyDescent="0.2">
      <c r="R18564" s="1288"/>
    </row>
    <row r="18565" spans="18:18" s="2" customFormat="1" ht="12.75" x14ac:dyDescent="0.2">
      <c r="R18565" s="1288"/>
    </row>
    <row r="18566" spans="18:18" s="2" customFormat="1" ht="12.75" x14ac:dyDescent="0.2">
      <c r="R18566" s="1288"/>
    </row>
    <row r="18567" spans="18:18" s="2" customFormat="1" ht="12.75" x14ac:dyDescent="0.2">
      <c r="R18567" s="1288"/>
    </row>
    <row r="18568" spans="18:18" s="2" customFormat="1" ht="12.75" x14ac:dyDescent="0.2">
      <c r="R18568" s="1288"/>
    </row>
    <row r="18569" spans="18:18" s="2" customFormat="1" ht="12.75" x14ac:dyDescent="0.2">
      <c r="R18569" s="1288"/>
    </row>
    <row r="18570" spans="18:18" s="2" customFormat="1" ht="12.75" x14ac:dyDescent="0.2">
      <c r="R18570" s="1288"/>
    </row>
    <row r="18571" spans="18:18" s="2" customFormat="1" ht="12.75" x14ac:dyDescent="0.2">
      <c r="R18571" s="1288"/>
    </row>
    <row r="18572" spans="18:18" s="2" customFormat="1" ht="12.75" x14ac:dyDescent="0.2">
      <c r="R18572" s="1288"/>
    </row>
    <row r="18573" spans="18:18" s="2" customFormat="1" ht="12.75" x14ac:dyDescent="0.2">
      <c r="R18573" s="1288"/>
    </row>
    <row r="18574" spans="18:18" s="2" customFormat="1" ht="12.75" x14ac:dyDescent="0.2">
      <c r="R18574" s="1288"/>
    </row>
    <row r="18575" spans="18:18" s="2" customFormat="1" ht="12.75" x14ac:dyDescent="0.2">
      <c r="R18575" s="1288"/>
    </row>
    <row r="18576" spans="18:18" s="2" customFormat="1" ht="12.75" x14ac:dyDescent="0.2">
      <c r="R18576" s="1288"/>
    </row>
    <row r="18577" spans="18:18" s="2" customFormat="1" ht="12.75" x14ac:dyDescent="0.2">
      <c r="R18577" s="1288"/>
    </row>
    <row r="18578" spans="18:18" s="2" customFormat="1" ht="12.75" x14ac:dyDescent="0.2">
      <c r="R18578" s="1288"/>
    </row>
    <row r="18579" spans="18:18" s="2" customFormat="1" ht="12.75" x14ac:dyDescent="0.2">
      <c r="R18579" s="1288"/>
    </row>
    <row r="18580" spans="18:18" s="2" customFormat="1" ht="12.75" x14ac:dyDescent="0.2">
      <c r="R18580" s="1288"/>
    </row>
    <row r="18581" spans="18:18" s="2" customFormat="1" ht="12.75" x14ac:dyDescent="0.2">
      <c r="R18581" s="1288"/>
    </row>
    <row r="18582" spans="18:18" s="2" customFormat="1" ht="12.75" x14ac:dyDescent="0.2">
      <c r="R18582" s="1288"/>
    </row>
    <row r="18583" spans="18:18" s="2" customFormat="1" ht="12.75" x14ac:dyDescent="0.2">
      <c r="R18583" s="1288"/>
    </row>
    <row r="18584" spans="18:18" s="2" customFormat="1" ht="12.75" x14ac:dyDescent="0.2">
      <c r="R18584" s="1288"/>
    </row>
    <row r="18585" spans="18:18" s="2" customFormat="1" ht="12.75" x14ac:dyDescent="0.2">
      <c r="R18585" s="1288"/>
    </row>
    <row r="18586" spans="18:18" s="2" customFormat="1" ht="12.75" x14ac:dyDescent="0.2">
      <c r="R18586" s="1288"/>
    </row>
    <row r="18587" spans="18:18" s="2" customFormat="1" ht="12.75" x14ac:dyDescent="0.2">
      <c r="R18587" s="1288"/>
    </row>
    <row r="18588" spans="18:18" s="2" customFormat="1" ht="12.75" x14ac:dyDescent="0.2">
      <c r="R18588" s="1288"/>
    </row>
    <row r="18589" spans="18:18" s="2" customFormat="1" ht="12.75" x14ac:dyDescent="0.2">
      <c r="R18589" s="1288"/>
    </row>
    <row r="18590" spans="18:18" s="2" customFormat="1" ht="12.75" x14ac:dyDescent="0.2">
      <c r="R18590" s="1288"/>
    </row>
    <row r="18591" spans="18:18" s="2" customFormat="1" ht="12.75" x14ac:dyDescent="0.2">
      <c r="R18591" s="1288"/>
    </row>
    <row r="18592" spans="18:18" s="2" customFormat="1" ht="12.75" x14ac:dyDescent="0.2">
      <c r="R18592" s="1288"/>
    </row>
    <row r="18593" spans="18:18" s="2" customFormat="1" ht="12.75" x14ac:dyDescent="0.2">
      <c r="R18593" s="1288"/>
    </row>
    <row r="18594" spans="18:18" s="2" customFormat="1" ht="12.75" x14ac:dyDescent="0.2">
      <c r="R18594" s="1288"/>
    </row>
    <row r="18595" spans="18:18" s="2" customFormat="1" ht="12.75" x14ac:dyDescent="0.2">
      <c r="R18595" s="1288"/>
    </row>
    <row r="18596" spans="18:18" s="2" customFormat="1" ht="12.75" x14ac:dyDescent="0.2">
      <c r="R18596" s="1288"/>
    </row>
    <row r="18597" spans="18:18" s="2" customFormat="1" ht="12.75" x14ac:dyDescent="0.2">
      <c r="R18597" s="1288"/>
    </row>
    <row r="18598" spans="18:18" s="2" customFormat="1" ht="12.75" x14ac:dyDescent="0.2">
      <c r="R18598" s="1288"/>
    </row>
    <row r="18599" spans="18:18" s="2" customFormat="1" ht="12.75" x14ac:dyDescent="0.2">
      <c r="R18599" s="1288"/>
    </row>
    <row r="18600" spans="18:18" s="2" customFormat="1" ht="12.75" x14ac:dyDescent="0.2">
      <c r="R18600" s="1288"/>
    </row>
    <row r="18601" spans="18:18" s="2" customFormat="1" ht="12.75" x14ac:dyDescent="0.2">
      <c r="R18601" s="1288"/>
    </row>
    <row r="18602" spans="18:18" s="2" customFormat="1" ht="12.75" x14ac:dyDescent="0.2">
      <c r="R18602" s="1288"/>
    </row>
    <row r="18603" spans="18:18" s="2" customFormat="1" ht="12.75" x14ac:dyDescent="0.2">
      <c r="R18603" s="1288"/>
    </row>
    <row r="18604" spans="18:18" s="2" customFormat="1" ht="12.75" x14ac:dyDescent="0.2">
      <c r="R18604" s="1288"/>
    </row>
    <row r="18605" spans="18:18" s="2" customFormat="1" ht="12.75" x14ac:dyDescent="0.2">
      <c r="R18605" s="1288"/>
    </row>
    <row r="18606" spans="18:18" s="2" customFormat="1" ht="12.75" x14ac:dyDescent="0.2">
      <c r="R18606" s="1288"/>
    </row>
    <row r="18607" spans="18:18" s="2" customFormat="1" ht="12.75" x14ac:dyDescent="0.2">
      <c r="R18607" s="1288"/>
    </row>
    <row r="18608" spans="18:18" s="2" customFormat="1" ht="12.75" x14ac:dyDescent="0.2">
      <c r="R18608" s="1288"/>
    </row>
    <row r="18609" spans="18:18" s="2" customFormat="1" ht="12.75" x14ac:dyDescent="0.2">
      <c r="R18609" s="1288"/>
    </row>
    <row r="18610" spans="18:18" s="2" customFormat="1" ht="12.75" x14ac:dyDescent="0.2">
      <c r="R18610" s="1288"/>
    </row>
    <row r="18611" spans="18:18" s="2" customFormat="1" ht="12.75" x14ac:dyDescent="0.2">
      <c r="R18611" s="1288"/>
    </row>
    <row r="18612" spans="18:18" s="2" customFormat="1" ht="12.75" x14ac:dyDescent="0.2">
      <c r="R18612" s="1288"/>
    </row>
    <row r="18613" spans="18:18" s="2" customFormat="1" ht="12.75" x14ac:dyDescent="0.2">
      <c r="R18613" s="1288"/>
    </row>
    <row r="18614" spans="18:18" s="2" customFormat="1" ht="12.75" x14ac:dyDescent="0.2">
      <c r="R18614" s="1288"/>
    </row>
    <row r="18615" spans="18:18" s="2" customFormat="1" ht="12.75" x14ac:dyDescent="0.2">
      <c r="R18615" s="1288"/>
    </row>
    <row r="18616" spans="18:18" s="2" customFormat="1" ht="12.75" x14ac:dyDescent="0.2">
      <c r="R18616" s="1288"/>
    </row>
    <row r="18617" spans="18:18" s="2" customFormat="1" ht="12.75" x14ac:dyDescent="0.2">
      <c r="R18617" s="1288"/>
    </row>
    <row r="18618" spans="18:18" s="2" customFormat="1" ht="12.75" x14ac:dyDescent="0.2">
      <c r="R18618" s="1288"/>
    </row>
    <row r="18619" spans="18:18" s="2" customFormat="1" ht="12.75" x14ac:dyDescent="0.2">
      <c r="R18619" s="1288"/>
    </row>
    <row r="18620" spans="18:18" s="2" customFormat="1" ht="12.75" x14ac:dyDescent="0.2">
      <c r="R18620" s="1288"/>
    </row>
    <row r="18621" spans="18:18" s="2" customFormat="1" ht="12.75" x14ac:dyDescent="0.2">
      <c r="R18621" s="1288"/>
    </row>
    <row r="18622" spans="18:18" s="2" customFormat="1" ht="12.75" x14ac:dyDescent="0.2">
      <c r="R18622" s="1288"/>
    </row>
    <row r="18623" spans="18:18" s="2" customFormat="1" ht="12.75" x14ac:dyDescent="0.2">
      <c r="R18623" s="1288"/>
    </row>
    <row r="18624" spans="18:18" s="2" customFormat="1" ht="12.75" x14ac:dyDescent="0.2">
      <c r="R18624" s="1288"/>
    </row>
    <row r="18625" spans="18:18" s="2" customFormat="1" ht="12.75" x14ac:dyDescent="0.2">
      <c r="R18625" s="1288"/>
    </row>
    <row r="18626" spans="18:18" s="2" customFormat="1" ht="12.75" x14ac:dyDescent="0.2">
      <c r="R18626" s="1288"/>
    </row>
    <row r="18627" spans="18:18" s="2" customFormat="1" ht="12.75" x14ac:dyDescent="0.2">
      <c r="R18627" s="1288"/>
    </row>
    <row r="18628" spans="18:18" s="2" customFormat="1" ht="12.75" x14ac:dyDescent="0.2">
      <c r="R18628" s="1288"/>
    </row>
    <row r="18629" spans="18:18" s="2" customFormat="1" ht="12.75" x14ac:dyDescent="0.2">
      <c r="R18629" s="1288"/>
    </row>
    <row r="18630" spans="18:18" s="2" customFormat="1" ht="12.75" x14ac:dyDescent="0.2">
      <c r="R18630" s="1288"/>
    </row>
    <row r="18631" spans="18:18" s="2" customFormat="1" ht="12.75" x14ac:dyDescent="0.2">
      <c r="R18631" s="1288"/>
    </row>
    <row r="18632" spans="18:18" s="2" customFormat="1" ht="12.75" x14ac:dyDescent="0.2">
      <c r="R18632" s="1288"/>
    </row>
    <row r="18633" spans="18:18" s="2" customFormat="1" ht="12.75" x14ac:dyDescent="0.2">
      <c r="R18633" s="1288"/>
    </row>
    <row r="18634" spans="18:18" s="2" customFormat="1" ht="12.75" x14ac:dyDescent="0.2">
      <c r="R18634" s="1288"/>
    </row>
    <row r="18635" spans="18:18" s="2" customFormat="1" ht="12.75" x14ac:dyDescent="0.2">
      <c r="R18635" s="1288"/>
    </row>
    <row r="18636" spans="18:18" s="2" customFormat="1" ht="12.75" x14ac:dyDescent="0.2">
      <c r="R18636" s="1288"/>
    </row>
    <row r="18637" spans="18:18" s="2" customFormat="1" ht="12.75" x14ac:dyDescent="0.2">
      <c r="R18637" s="1288"/>
    </row>
    <row r="18638" spans="18:18" s="2" customFormat="1" ht="12.75" x14ac:dyDescent="0.2">
      <c r="R18638" s="1288"/>
    </row>
    <row r="18639" spans="18:18" s="2" customFormat="1" ht="12.75" x14ac:dyDescent="0.2">
      <c r="R18639" s="1288"/>
    </row>
    <row r="18640" spans="18:18" s="2" customFormat="1" ht="12.75" x14ac:dyDescent="0.2">
      <c r="R18640" s="1288"/>
    </row>
    <row r="18641" spans="18:18" s="2" customFormat="1" ht="12.75" x14ac:dyDescent="0.2">
      <c r="R18641" s="1288"/>
    </row>
    <row r="18642" spans="18:18" s="2" customFormat="1" ht="12.75" x14ac:dyDescent="0.2">
      <c r="R18642" s="1288"/>
    </row>
    <row r="18643" spans="18:18" s="2" customFormat="1" ht="12.75" x14ac:dyDescent="0.2">
      <c r="R18643" s="1288"/>
    </row>
    <row r="18644" spans="18:18" s="2" customFormat="1" ht="12.75" x14ac:dyDescent="0.2">
      <c r="R18644" s="1288"/>
    </row>
    <row r="18645" spans="18:18" s="2" customFormat="1" ht="12.75" x14ac:dyDescent="0.2">
      <c r="R18645" s="1288"/>
    </row>
    <row r="18646" spans="18:18" s="2" customFormat="1" ht="12.75" x14ac:dyDescent="0.2">
      <c r="R18646" s="1288"/>
    </row>
    <row r="18647" spans="18:18" s="2" customFormat="1" ht="12.75" x14ac:dyDescent="0.2">
      <c r="R18647" s="1288"/>
    </row>
    <row r="18648" spans="18:18" s="2" customFormat="1" ht="12.75" x14ac:dyDescent="0.2">
      <c r="R18648" s="1288"/>
    </row>
    <row r="18649" spans="18:18" s="2" customFormat="1" ht="12.75" x14ac:dyDescent="0.2">
      <c r="R18649" s="1288"/>
    </row>
    <row r="18650" spans="18:18" s="2" customFormat="1" ht="12.75" x14ac:dyDescent="0.2">
      <c r="R18650" s="1288"/>
    </row>
    <row r="18651" spans="18:18" s="2" customFormat="1" ht="12.75" x14ac:dyDescent="0.2">
      <c r="R18651" s="1288"/>
    </row>
    <row r="18652" spans="18:18" s="2" customFormat="1" ht="12.75" x14ac:dyDescent="0.2">
      <c r="R18652" s="1288"/>
    </row>
    <row r="18653" spans="18:18" s="2" customFormat="1" ht="12.75" x14ac:dyDescent="0.2">
      <c r="R18653" s="1288"/>
    </row>
    <row r="18654" spans="18:18" s="2" customFormat="1" ht="12.75" x14ac:dyDescent="0.2">
      <c r="R18654" s="1288"/>
    </row>
    <row r="18655" spans="18:18" s="2" customFormat="1" ht="12.75" x14ac:dyDescent="0.2">
      <c r="R18655" s="1288"/>
    </row>
    <row r="18656" spans="18:18" s="2" customFormat="1" ht="12.75" x14ac:dyDescent="0.2">
      <c r="R18656" s="1288"/>
    </row>
    <row r="18657" spans="18:18" s="2" customFormat="1" ht="12.75" x14ac:dyDescent="0.2">
      <c r="R18657" s="1288"/>
    </row>
    <row r="18658" spans="18:18" s="2" customFormat="1" ht="12.75" x14ac:dyDescent="0.2">
      <c r="R18658" s="1288"/>
    </row>
    <row r="18659" spans="18:18" s="2" customFormat="1" ht="12.75" x14ac:dyDescent="0.2">
      <c r="R18659" s="1288"/>
    </row>
    <row r="18660" spans="18:18" s="2" customFormat="1" ht="12.75" x14ac:dyDescent="0.2">
      <c r="R18660" s="1288"/>
    </row>
    <row r="18661" spans="18:18" s="2" customFormat="1" ht="12.75" x14ac:dyDescent="0.2">
      <c r="R18661" s="1288"/>
    </row>
    <row r="18662" spans="18:18" s="2" customFormat="1" ht="12.75" x14ac:dyDescent="0.2">
      <c r="R18662" s="1288"/>
    </row>
    <row r="18663" spans="18:18" s="2" customFormat="1" ht="12.75" x14ac:dyDescent="0.2">
      <c r="R18663" s="1288"/>
    </row>
    <row r="18664" spans="18:18" s="2" customFormat="1" ht="12.75" x14ac:dyDescent="0.2">
      <c r="R18664" s="1288"/>
    </row>
    <row r="18665" spans="18:18" s="2" customFormat="1" ht="12.75" x14ac:dyDescent="0.2">
      <c r="R18665" s="1288"/>
    </row>
    <row r="18666" spans="18:18" s="2" customFormat="1" ht="12.75" x14ac:dyDescent="0.2">
      <c r="R18666" s="1288"/>
    </row>
    <row r="18667" spans="18:18" s="2" customFormat="1" ht="12.75" x14ac:dyDescent="0.2">
      <c r="R18667" s="1288"/>
    </row>
    <row r="18668" spans="18:18" s="2" customFormat="1" ht="12.75" x14ac:dyDescent="0.2">
      <c r="R18668" s="1288"/>
    </row>
    <row r="18669" spans="18:18" s="2" customFormat="1" ht="12.75" x14ac:dyDescent="0.2">
      <c r="R18669" s="1288"/>
    </row>
    <row r="18670" spans="18:18" s="2" customFormat="1" ht="12.75" x14ac:dyDescent="0.2">
      <c r="R18670" s="1288"/>
    </row>
    <row r="18671" spans="18:18" s="2" customFormat="1" ht="12.75" x14ac:dyDescent="0.2">
      <c r="R18671" s="1288"/>
    </row>
    <row r="18672" spans="18:18" s="2" customFormat="1" ht="12.75" x14ac:dyDescent="0.2">
      <c r="R18672" s="1288"/>
    </row>
    <row r="18673" spans="18:18" s="2" customFormat="1" ht="12.75" x14ac:dyDescent="0.2">
      <c r="R18673" s="1288"/>
    </row>
    <row r="18674" spans="18:18" s="2" customFormat="1" ht="12.75" x14ac:dyDescent="0.2">
      <c r="R18674" s="1288"/>
    </row>
    <row r="18675" spans="18:18" s="2" customFormat="1" ht="12.75" x14ac:dyDescent="0.2">
      <c r="R18675" s="1288"/>
    </row>
    <row r="18676" spans="18:18" s="2" customFormat="1" ht="12.75" x14ac:dyDescent="0.2">
      <c r="R18676" s="1288"/>
    </row>
    <row r="18677" spans="18:18" s="2" customFormat="1" ht="12.75" x14ac:dyDescent="0.2">
      <c r="R18677" s="1288"/>
    </row>
    <row r="18678" spans="18:18" s="2" customFormat="1" ht="12.75" x14ac:dyDescent="0.2">
      <c r="R18678" s="1288"/>
    </row>
    <row r="18679" spans="18:18" s="2" customFormat="1" ht="12.75" x14ac:dyDescent="0.2">
      <c r="R18679" s="1288"/>
    </row>
    <row r="18680" spans="18:18" s="2" customFormat="1" ht="12.75" x14ac:dyDescent="0.2">
      <c r="R18680" s="1288"/>
    </row>
    <row r="18681" spans="18:18" s="2" customFormat="1" ht="12.75" x14ac:dyDescent="0.2">
      <c r="R18681" s="1288"/>
    </row>
    <row r="18682" spans="18:18" s="2" customFormat="1" ht="12.75" x14ac:dyDescent="0.2">
      <c r="R18682" s="1288"/>
    </row>
    <row r="18683" spans="18:18" s="2" customFormat="1" ht="12.75" x14ac:dyDescent="0.2">
      <c r="R18683" s="1288"/>
    </row>
    <row r="18684" spans="18:18" s="2" customFormat="1" ht="12.75" x14ac:dyDescent="0.2">
      <c r="R18684" s="1288"/>
    </row>
    <row r="18685" spans="18:18" s="2" customFormat="1" ht="12.75" x14ac:dyDescent="0.2">
      <c r="R18685" s="1288"/>
    </row>
    <row r="18686" spans="18:18" s="2" customFormat="1" ht="12.75" x14ac:dyDescent="0.2">
      <c r="R18686" s="1288"/>
    </row>
    <row r="18687" spans="18:18" s="2" customFormat="1" ht="12.75" x14ac:dyDescent="0.2">
      <c r="R18687" s="1288"/>
    </row>
    <row r="18688" spans="18:18" s="2" customFormat="1" ht="12.75" x14ac:dyDescent="0.2">
      <c r="R18688" s="1288"/>
    </row>
    <row r="18689" spans="18:18" s="2" customFormat="1" ht="12.75" x14ac:dyDescent="0.2">
      <c r="R18689" s="1288"/>
    </row>
    <row r="18690" spans="18:18" s="2" customFormat="1" ht="12.75" x14ac:dyDescent="0.2">
      <c r="R18690" s="1288"/>
    </row>
    <row r="18691" spans="18:18" s="2" customFormat="1" ht="12.75" x14ac:dyDescent="0.2">
      <c r="R18691" s="1288"/>
    </row>
    <row r="18692" spans="18:18" s="2" customFormat="1" ht="12.75" x14ac:dyDescent="0.2">
      <c r="R18692" s="1288"/>
    </row>
    <row r="18693" spans="18:18" s="2" customFormat="1" ht="12.75" x14ac:dyDescent="0.2">
      <c r="R18693" s="1288"/>
    </row>
    <row r="18694" spans="18:18" s="2" customFormat="1" ht="12.75" x14ac:dyDescent="0.2">
      <c r="R18694" s="1288"/>
    </row>
    <row r="18695" spans="18:18" s="2" customFormat="1" ht="12.75" x14ac:dyDescent="0.2">
      <c r="R18695" s="1288"/>
    </row>
    <row r="18696" spans="18:18" s="2" customFormat="1" ht="12.75" x14ac:dyDescent="0.2">
      <c r="R18696" s="1288"/>
    </row>
    <row r="18697" spans="18:18" s="2" customFormat="1" ht="12.75" x14ac:dyDescent="0.2">
      <c r="R18697" s="1288"/>
    </row>
    <row r="18698" spans="18:18" s="2" customFormat="1" ht="12.75" x14ac:dyDescent="0.2">
      <c r="R18698" s="1288"/>
    </row>
    <row r="18699" spans="18:18" s="2" customFormat="1" ht="12.75" x14ac:dyDescent="0.2">
      <c r="R18699" s="1288"/>
    </row>
    <row r="18700" spans="18:18" s="2" customFormat="1" ht="12.75" x14ac:dyDescent="0.2">
      <c r="R18700" s="1288"/>
    </row>
    <row r="18701" spans="18:18" s="2" customFormat="1" ht="12.75" x14ac:dyDescent="0.2">
      <c r="R18701" s="1288"/>
    </row>
    <row r="18702" spans="18:18" s="2" customFormat="1" ht="12.75" x14ac:dyDescent="0.2">
      <c r="R18702" s="1288"/>
    </row>
    <row r="18703" spans="18:18" s="2" customFormat="1" ht="12.75" x14ac:dyDescent="0.2">
      <c r="R18703" s="1288"/>
    </row>
    <row r="18704" spans="18:18" s="2" customFormat="1" ht="12.75" x14ac:dyDescent="0.2">
      <c r="R18704" s="1288"/>
    </row>
    <row r="18705" spans="18:18" s="2" customFormat="1" ht="12.75" x14ac:dyDescent="0.2">
      <c r="R18705" s="1288"/>
    </row>
    <row r="18706" spans="18:18" s="2" customFormat="1" ht="12.75" x14ac:dyDescent="0.2">
      <c r="R18706" s="1288"/>
    </row>
    <row r="18707" spans="18:18" s="2" customFormat="1" ht="12.75" x14ac:dyDescent="0.2">
      <c r="R18707" s="1288"/>
    </row>
    <row r="18708" spans="18:18" s="2" customFormat="1" ht="12.75" x14ac:dyDescent="0.2">
      <c r="R18708" s="1288"/>
    </row>
    <row r="18709" spans="18:18" s="2" customFormat="1" ht="12.75" x14ac:dyDescent="0.2">
      <c r="R18709" s="1288"/>
    </row>
    <row r="18710" spans="18:18" s="2" customFormat="1" ht="12.75" x14ac:dyDescent="0.2">
      <c r="R18710" s="1288"/>
    </row>
    <row r="18711" spans="18:18" s="2" customFormat="1" ht="12.75" x14ac:dyDescent="0.2">
      <c r="R18711" s="1288"/>
    </row>
    <row r="18712" spans="18:18" s="2" customFormat="1" ht="12.75" x14ac:dyDescent="0.2">
      <c r="R18712" s="1288"/>
    </row>
    <row r="18713" spans="18:18" s="2" customFormat="1" ht="12.75" x14ac:dyDescent="0.2">
      <c r="R18713" s="1288"/>
    </row>
    <row r="18714" spans="18:18" s="2" customFormat="1" ht="12.75" x14ac:dyDescent="0.2">
      <c r="R18714" s="1288"/>
    </row>
    <row r="18715" spans="18:18" s="2" customFormat="1" ht="12.75" x14ac:dyDescent="0.2">
      <c r="R18715" s="1288"/>
    </row>
    <row r="18716" spans="18:18" s="2" customFormat="1" ht="12.75" x14ac:dyDescent="0.2">
      <c r="R18716" s="1288"/>
    </row>
    <row r="18717" spans="18:18" s="2" customFormat="1" ht="12.75" x14ac:dyDescent="0.2">
      <c r="R18717" s="1288"/>
    </row>
    <row r="18718" spans="18:18" s="2" customFormat="1" ht="12.75" x14ac:dyDescent="0.2">
      <c r="R18718" s="1288"/>
    </row>
    <row r="18719" spans="18:18" s="2" customFormat="1" ht="12.75" x14ac:dyDescent="0.2">
      <c r="R18719" s="1288"/>
    </row>
    <row r="18720" spans="18:18" s="2" customFormat="1" ht="12.75" x14ac:dyDescent="0.2">
      <c r="R18720" s="1288"/>
    </row>
    <row r="18721" spans="18:18" s="2" customFormat="1" ht="12.75" x14ac:dyDescent="0.2">
      <c r="R18721" s="1288"/>
    </row>
    <row r="18722" spans="18:18" s="2" customFormat="1" ht="12.75" x14ac:dyDescent="0.2">
      <c r="R18722" s="1288"/>
    </row>
    <row r="18723" spans="18:18" s="2" customFormat="1" ht="12.75" x14ac:dyDescent="0.2">
      <c r="R18723" s="1288"/>
    </row>
    <row r="18724" spans="18:18" s="2" customFormat="1" ht="12.75" x14ac:dyDescent="0.2">
      <c r="R18724" s="1288"/>
    </row>
    <row r="18725" spans="18:18" s="2" customFormat="1" ht="12.75" x14ac:dyDescent="0.2">
      <c r="R18725" s="1288"/>
    </row>
    <row r="18726" spans="18:18" s="2" customFormat="1" ht="12.75" x14ac:dyDescent="0.2">
      <c r="R18726" s="1288"/>
    </row>
    <row r="18727" spans="18:18" s="2" customFormat="1" ht="12.75" x14ac:dyDescent="0.2">
      <c r="R18727" s="1288"/>
    </row>
    <row r="18728" spans="18:18" s="2" customFormat="1" ht="12.75" x14ac:dyDescent="0.2">
      <c r="R18728" s="1288"/>
    </row>
    <row r="18729" spans="18:18" s="2" customFormat="1" ht="12.75" x14ac:dyDescent="0.2">
      <c r="R18729" s="1288"/>
    </row>
    <row r="18730" spans="18:18" s="2" customFormat="1" ht="12.75" x14ac:dyDescent="0.2">
      <c r="R18730" s="1288"/>
    </row>
    <row r="18731" spans="18:18" s="2" customFormat="1" ht="12.75" x14ac:dyDescent="0.2">
      <c r="R18731" s="1288"/>
    </row>
    <row r="18732" spans="18:18" s="2" customFormat="1" ht="12.75" x14ac:dyDescent="0.2">
      <c r="R18732" s="1288"/>
    </row>
    <row r="18733" spans="18:18" s="2" customFormat="1" ht="12.75" x14ac:dyDescent="0.2">
      <c r="R18733" s="1288"/>
    </row>
    <row r="18734" spans="18:18" s="2" customFormat="1" ht="12.75" x14ac:dyDescent="0.2">
      <c r="R18734" s="1288"/>
    </row>
    <row r="18735" spans="18:18" s="2" customFormat="1" ht="12.75" x14ac:dyDescent="0.2">
      <c r="R18735" s="1288"/>
    </row>
    <row r="18736" spans="18:18" s="2" customFormat="1" ht="12.75" x14ac:dyDescent="0.2">
      <c r="R18736" s="1288"/>
    </row>
    <row r="18737" spans="18:18" s="2" customFormat="1" ht="12.75" x14ac:dyDescent="0.2">
      <c r="R18737" s="1288"/>
    </row>
    <row r="18738" spans="18:18" s="2" customFormat="1" ht="12.75" x14ac:dyDescent="0.2">
      <c r="R18738" s="1288"/>
    </row>
    <row r="18739" spans="18:18" s="2" customFormat="1" ht="12.75" x14ac:dyDescent="0.2">
      <c r="R18739" s="1288"/>
    </row>
    <row r="18740" spans="18:18" s="2" customFormat="1" ht="12.75" x14ac:dyDescent="0.2">
      <c r="R18740" s="1288"/>
    </row>
    <row r="18741" spans="18:18" s="2" customFormat="1" ht="12.75" x14ac:dyDescent="0.2">
      <c r="R18741" s="1288"/>
    </row>
    <row r="18742" spans="18:18" s="2" customFormat="1" ht="12.75" x14ac:dyDescent="0.2">
      <c r="R18742" s="1288"/>
    </row>
    <row r="18743" spans="18:18" s="2" customFormat="1" ht="12.75" x14ac:dyDescent="0.2">
      <c r="R18743" s="1288"/>
    </row>
    <row r="18744" spans="18:18" s="2" customFormat="1" ht="12.75" x14ac:dyDescent="0.2">
      <c r="R18744" s="1288"/>
    </row>
    <row r="18745" spans="18:18" s="2" customFormat="1" ht="12.75" x14ac:dyDescent="0.2">
      <c r="R18745" s="1288"/>
    </row>
    <row r="18746" spans="18:18" s="2" customFormat="1" ht="12.75" x14ac:dyDescent="0.2">
      <c r="R18746" s="1288"/>
    </row>
    <row r="18747" spans="18:18" s="2" customFormat="1" ht="12.75" x14ac:dyDescent="0.2">
      <c r="R18747" s="1288"/>
    </row>
    <row r="18748" spans="18:18" s="2" customFormat="1" ht="12.75" x14ac:dyDescent="0.2">
      <c r="R18748" s="1288"/>
    </row>
    <row r="18749" spans="18:18" s="2" customFormat="1" ht="12.75" x14ac:dyDescent="0.2">
      <c r="R18749" s="1288"/>
    </row>
    <row r="18750" spans="18:18" s="2" customFormat="1" ht="12.75" x14ac:dyDescent="0.2">
      <c r="R18750" s="1288"/>
    </row>
    <row r="18751" spans="18:18" s="2" customFormat="1" ht="12.75" x14ac:dyDescent="0.2">
      <c r="R18751" s="1288"/>
    </row>
    <row r="18752" spans="18:18" s="2" customFormat="1" ht="12.75" x14ac:dyDescent="0.2">
      <c r="R18752" s="1288"/>
    </row>
    <row r="18753" spans="18:18" s="2" customFormat="1" ht="12.75" x14ac:dyDescent="0.2">
      <c r="R18753" s="1288"/>
    </row>
    <row r="18754" spans="18:18" s="2" customFormat="1" ht="12.75" x14ac:dyDescent="0.2">
      <c r="R18754" s="1288"/>
    </row>
    <row r="18755" spans="18:18" s="2" customFormat="1" ht="12.75" x14ac:dyDescent="0.2">
      <c r="R18755" s="1288"/>
    </row>
    <row r="18756" spans="18:18" s="2" customFormat="1" ht="12.75" x14ac:dyDescent="0.2">
      <c r="R18756" s="1288"/>
    </row>
    <row r="18757" spans="18:18" s="2" customFormat="1" ht="12.75" x14ac:dyDescent="0.2">
      <c r="R18757" s="1288"/>
    </row>
    <row r="18758" spans="18:18" s="2" customFormat="1" ht="12.75" x14ac:dyDescent="0.2">
      <c r="R18758" s="1288"/>
    </row>
    <row r="18759" spans="18:18" s="2" customFormat="1" ht="12.75" x14ac:dyDescent="0.2">
      <c r="R18759" s="1288"/>
    </row>
    <row r="18760" spans="18:18" s="2" customFormat="1" ht="12.75" x14ac:dyDescent="0.2">
      <c r="R18760" s="1288"/>
    </row>
    <row r="18761" spans="18:18" s="2" customFormat="1" ht="12.75" x14ac:dyDescent="0.2">
      <c r="R18761" s="1288"/>
    </row>
    <row r="18762" spans="18:18" s="2" customFormat="1" ht="12.75" x14ac:dyDescent="0.2">
      <c r="R18762" s="1288"/>
    </row>
    <row r="18763" spans="18:18" s="2" customFormat="1" ht="12.75" x14ac:dyDescent="0.2">
      <c r="R18763" s="1288"/>
    </row>
    <row r="18764" spans="18:18" s="2" customFormat="1" ht="12.75" x14ac:dyDescent="0.2">
      <c r="R18764" s="1288"/>
    </row>
    <row r="18765" spans="18:18" s="2" customFormat="1" ht="12.75" x14ac:dyDescent="0.2">
      <c r="R18765" s="1288"/>
    </row>
    <row r="18766" spans="18:18" s="2" customFormat="1" ht="12.75" x14ac:dyDescent="0.2">
      <c r="R18766" s="1288"/>
    </row>
    <row r="18767" spans="18:18" s="2" customFormat="1" ht="12.75" x14ac:dyDescent="0.2">
      <c r="R18767" s="1288"/>
    </row>
    <row r="18768" spans="18:18" s="2" customFormat="1" ht="12.75" x14ac:dyDescent="0.2">
      <c r="R18768" s="1288"/>
    </row>
    <row r="18769" spans="18:18" s="2" customFormat="1" ht="12.75" x14ac:dyDescent="0.2">
      <c r="R18769" s="1288"/>
    </row>
    <row r="18770" spans="18:18" s="2" customFormat="1" ht="12.75" x14ac:dyDescent="0.2">
      <c r="R18770" s="1288"/>
    </row>
    <row r="18771" spans="18:18" s="2" customFormat="1" ht="12.75" x14ac:dyDescent="0.2">
      <c r="R18771" s="1288"/>
    </row>
    <row r="18772" spans="18:18" s="2" customFormat="1" ht="12.75" x14ac:dyDescent="0.2">
      <c r="R18772" s="1288"/>
    </row>
    <row r="18773" spans="18:18" s="2" customFormat="1" ht="12.75" x14ac:dyDescent="0.2">
      <c r="R18773" s="1288"/>
    </row>
    <row r="18774" spans="18:18" s="2" customFormat="1" ht="12.75" x14ac:dyDescent="0.2">
      <c r="R18774" s="1288"/>
    </row>
    <row r="18775" spans="18:18" s="2" customFormat="1" ht="12.75" x14ac:dyDescent="0.2">
      <c r="R18775" s="1288"/>
    </row>
    <row r="18776" spans="18:18" s="2" customFormat="1" ht="12.75" x14ac:dyDescent="0.2">
      <c r="R18776" s="1288"/>
    </row>
    <row r="18777" spans="18:18" s="2" customFormat="1" ht="12.75" x14ac:dyDescent="0.2">
      <c r="R18777" s="1288"/>
    </row>
    <row r="18778" spans="18:18" s="2" customFormat="1" ht="12.75" x14ac:dyDescent="0.2">
      <c r="R18778" s="1288"/>
    </row>
    <row r="18779" spans="18:18" s="2" customFormat="1" ht="12.75" x14ac:dyDescent="0.2">
      <c r="R18779" s="1288"/>
    </row>
    <row r="18780" spans="18:18" s="2" customFormat="1" ht="12.75" x14ac:dyDescent="0.2">
      <c r="R18780" s="1288"/>
    </row>
    <row r="18781" spans="18:18" s="2" customFormat="1" ht="12.75" x14ac:dyDescent="0.2">
      <c r="R18781" s="1288"/>
    </row>
    <row r="18782" spans="18:18" s="2" customFormat="1" ht="12.75" x14ac:dyDescent="0.2">
      <c r="R18782" s="1288"/>
    </row>
    <row r="18783" spans="18:18" s="2" customFormat="1" ht="12.75" x14ac:dyDescent="0.2">
      <c r="R18783" s="1288"/>
    </row>
    <row r="18784" spans="18:18" s="2" customFormat="1" ht="12.75" x14ac:dyDescent="0.2">
      <c r="R18784" s="1288"/>
    </row>
    <row r="18785" spans="18:18" s="2" customFormat="1" ht="12.75" x14ac:dyDescent="0.2">
      <c r="R18785" s="1288"/>
    </row>
    <row r="18786" spans="18:18" s="2" customFormat="1" ht="12.75" x14ac:dyDescent="0.2">
      <c r="R18786" s="1288"/>
    </row>
    <row r="18787" spans="18:18" s="2" customFormat="1" ht="12.75" x14ac:dyDescent="0.2">
      <c r="R18787" s="1288"/>
    </row>
    <row r="18788" spans="18:18" s="2" customFormat="1" ht="12.75" x14ac:dyDescent="0.2">
      <c r="R18788" s="1288"/>
    </row>
    <row r="18789" spans="18:18" s="2" customFormat="1" ht="12.75" x14ac:dyDescent="0.2">
      <c r="R18789" s="1288"/>
    </row>
    <row r="18790" spans="18:18" s="2" customFormat="1" ht="12.75" x14ac:dyDescent="0.2">
      <c r="R18790" s="1288"/>
    </row>
    <row r="18791" spans="18:18" s="2" customFormat="1" ht="12.75" x14ac:dyDescent="0.2">
      <c r="R18791" s="1288"/>
    </row>
    <row r="18792" spans="18:18" s="2" customFormat="1" ht="12.75" x14ac:dyDescent="0.2">
      <c r="R18792" s="1288"/>
    </row>
    <row r="18793" spans="18:18" s="2" customFormat="1" ht="12.75" x14ac:dyDescent="0.2">
      <c r="R18793" s="1288"/>
    </row>
    <row r="18794" spans="18:18" s="2" customFormat="1" ht="12.75" x14ac:dyDescent="0.2">
      <c r="R18794" s="1288"/>
    </row>
    <row r="18795" spans="18:18" s="2" customFormat="1" ht="12.75" x14ac:dyDescent="0.2">
      <c r="R18795" s="1288"/>
    </row>
    <row r="18796" spans="18:18" s="2" customFormat="1" ht="12.75" x14ac:dyDescent="0.2">
      <c r="R18796" s="1288"/>
    </row>
    <row r="18797" spans="18:18" s="2" customFormat="1" ht="12.75" x14ac:dyDescent="0.2">
      <c r="R18797" s="1288"/>
    </row>
    <row r="18798" spans="18:18" s="2" customFormat="1" ht="12.75" x14ac:dyDescent="0.2">
      <c r="R18798" s="1288"/>
    </row>
    <row r="18799" spans="18:18" s="2" customFormat="1" ht="12.75" x14ac:dyDescent="0.2">
      <c r="R18799" s="1288"/>
    </row>
    <row r="18800" spans="18:18" s="2" customFormat="1" ht="12.75" x14ac:dyDescent="0.2">
      <c r="R18800" s="1288"/>
    </row>
    <row r="18801" spans="18:18" s="2" customFormat="1" ht="12.75" x14ac:dyDescent="0.2">
      <c r="R18801" s="1288"/>
    </row>
    <row r="18802" spans="18:18" s="2" customFormat="1" ht="12.75" x14ac:dyDescent="0.2">
      <c r="R18802" s="1288"/>
    </row>
    <row r="18803" spans="18:18" s="2" customFormat="1" ht="12.75" x14ac:dyDescent="0.2">
      <c r="R18803" s="1288"/>
    </row>
    <row r="18804" spans="18:18" s="2" customFormat="1" ht="12.75" x14ac:dyDescent="0.2">
      <c r="R18804" s="1288"/>
    </row>
    <row r="18805" spans="18:18" s="2" customFormat="1" ht="12.75" x14ac:dyDescent="0.2">
      <c r="R18805" s="1288"/>
    </row>
    <row r="18806" spans="18:18" s="2" customFormat="1" ht="12.75" x14ac:dyDescent="0.2">
      <c r="R18806" s="1288"/>
    </row>
    <row r="18807" spans="18:18" s="2" customFormat="1" ht="12.75" x14ac:dyDescent="0.2">
      <c r="R18807" s="1288"/>
    </row>
    <row r="18808" spans="18:18" s="2" customFormat="1" ht="12.75" x14ac:dyDescent="0.2">
      <c r="R18808" s="1288"/>
    </row>
    <row r="18809" spans="18:18" s="2" customFormat="1" ht="12.75" x14ac:dyDescent="0.2">
      <c r="R18809" s="1288"/>
    </row>
    <row r="18810" spans="18:18" s="2" customFormat="1" ht="12.75" x14ac:dyDescent="0.2">
      <c r="R18810" s="1288"/>
    </row>
    <row r="18811" spans="18:18" s="2" customFormat="1" ht="12.75" x14ac:dyDescent="0.2">
      <c r="R18811" s="1288"/>
    </row>
    <row r="18812" spans="18:18" s="2" customFormat="1" ht="12.75" x14ac:dyDescent="0.2">
      <c r="R18812" s="1288"/>
    </row>
    <row r="18813" spans="18:18" s="2" customFormat="1" ht="12.75" x14ac:dyDescent="0.2">
      <c r="R18813" s="1288"/>
    </row>
    <row r="18814" spans="18:18" s="2" customFormat="1" ht="12.75" x14ac:dyDescent="0.2">
      <c r="R18814" s="1288"/>
    </row>
    <row r="18815" spans="18:18" s="2" customFormat="1" ht="12.75" x14ac:dyDescent="0.2">
      <c r="R18815" s="1288"/>
    </row>
    <row r="18816" spans="18:18" s="2" customFormat="1" ht="12.75" x14ac:dyDescent="0.2">
      <c r="R18816" s="1288"/>
    </row>
    <row r="18817" spans="18:18" s="2" customFormat="1" ht="12.75" x14ac:dyDescent="0.2">
      <c r="R18817" s="1288"/>
    </row>
    <row r="18818" spans="18:18" s="2" customFormat="1" ht="12.75" x14ac:dyDescent="0.2">
      <c r="R18818" s="1288"/>
    </row>
    <row r="18819" spans="18:18" s="2" customFormat="1" ht="12.75" x14ac:dyDescent="0.2">
      <c r="R18819" s="1288"/>
    </row>
    <row r="18820" spans="18:18" s="2" customFormat="1" ht="12.75" x14ac:dyDescent="0.2">
      <c r="R18820" s="1288"/>
    </row>
    <row r="18821" spans="18:18" s="2" customFormat="1" ht="12.75" x14ac:dyDescent="0.2">
      <c r="R18821" s="1288"/>
    </row>
    <row r="18822" spans="18:18" s="2" customFormat="1" ht="12.75" x14ac:dyDescent="0.2">
      <c r="R18822" s="1288"/>
    </row>
    <row r="18823" spans="18:18" s="2" customFormat="1" ht="12.75" x14ac:dyDescent="0.2">
      <c r="R18823" s="1288"/>
    </row>
    <row r="18824" spans="18:18" s="2" customFormat="1" ht="12.75" x14ac:dyDescent="0.2">
      <c r="R18824" s="1288"/>
    </row>
    <row r="18825" spans="18:18" s="2" customFormat="1" ht="12.75" x14ac:dyDescent="0.2">
      <c r="R18825" s="1288"/>
    </row>
    <row r="18826" spans="18:18" s="2" customFormat="1" ht="12.75" x14ac:dyDescent="0.2">
      <c r="R18826" s="1288"/>
    </row>
    <row r="18827" spans="18:18" s="2" customFormat="1" ht="12.75" x14ac:dyDescent="0.2">
      <c r="R18827" s="1288"/>
    </row>
    <row r="18828" spans="18:18" s="2" customFormat="1" ht="12.75" x14ac:dyDescent="0.2">
      <c r="R18828" s="1288"/>
    </row>
    <row r="18829" spans="18:18" s="2" customFormat="1" ht="12.75" x14ac:dyDescent="0.2">
      <c r="R18829" s="1288"/>
    </row>
    <row r="18830" spans="18:18" s="2" customFormat="1" ht="12.75" x14ac:dyDescent="0.2">
      <c r="R18830" s="1288"/>
    </row>
    <row r="18831" spans="18:18" s="2" customFormat="1" ht="12.75" x14ac:dyDescent="0.2">
      <c r="R18831" s="1288"/>
    </row>
    <row r="18832" spans="18:18" s="2" customFormat="1" ht="12.75" x14ac:dyDescent="0.2">
      <c r="R18832" s="1288"/>
    </row>
    <row r="18833" spans="18:18" s="2" customFormat="1" ht="12.75" x14ac:dyDescent="0.2">
      <c r="R18833" s="1288"/>
    </row>
    <row r="18834" spans="18:18" s="2" customFormat="1" ht="12.75" x14ac:dyDescent="0.2">
      <c r="R18834" s="1288"/>
    </row>
    <row r="18835" spans="18:18" s="2" customFormat="1" ht="12.75" x14ac:dyDescent="0.2">
      <c r="R18835" s="1288"/>
    </row>
    <row r="18836" spans="18:18" s="2" customFormat="1" ht="12.75" x14ac:dyDescent="0.2">
      <c r="R18836" s="1288"/>
    </row>
    <row r="18837" spans="18:18" s="2" customFormat="1" ht="12.75" x14ac:dyDescent="0.2">
      <c r="R18837" s="1288"/>
    </row>
    <row r="18838" spans="18:18" s="2" customFormat="1" ht="12.75" x14ac:dyDescent="0.2">
      <c r="R18838" s="1288"/>
    </row>
    <row r="18839" spans="18:18" s="2" customFormat="1" ht="12.75" x14ac:dyDescent="0.2">
      <c r="R18839" s="1288"/>
    </row>
    <row r="18840" spans="18:18" s="2" customFormat="1" ht="12.75" x14ac:dyDescent="0.2">
      <c r="R18840" s="1288"/>
    </row>
    <row r="18841" spans="18:18" s="2" customFormat="1" ht="12.75" x14ac:dyDescent="0.2">
      <c r="R18841" s="1288"/>
    </row>
    <row r="18842" spans="18:18" s="2" customFormat="1" ht="12.75" x14ac:dyDescent="0.2">
      <c r="R18842" s="1288"/>
    </row>
    <row r="18843" spans="18:18" s="2" customFormat="1" ht="12.75" x14ac:dyDescent="0.2">
      <c r="R18843" s="1288"/>
    </row>
    <row r="18844" spans="18:18" s="2" customFormat="1" ht="12.75" x14ac:dyDescent="0.2">
      <c r="R18844" s="1288"/>
    </row>
    <row r="18845" spans="18:18" s="2" customFormat="1" ht="12.75" x14ac:dyDescent="0.2">
      <c r="R18845" s="1288"/>
    </row>
    <row r="18846" spans="18:18" s="2" customFormat="1" ht="12.75" x14ac:dyDescent="0.2">
      <c r="R18846" s="1288"/>
    </row>
    <row r="18847" spans="18:18" s="2" customFormat="1" ht="12.75" x14ac:dyDescent="0.2">
      <c r="R18847" s="1288"/>
    </row>
    <row r="18848" spans="18:18" s="2" customFormat="1" ht="12.75" x14ac:dyDescent="0.2">
      <c r="R18848" s="1288"/>
    </row>
    <row r="18849" spans="18:18" s="2" customFormat="1" ht="12.75" x14ac:dyDescent="0.2">
      <c r="R18849" s="1288"/>
    </row>
    <row r="18850" spans="18:18" s="2" customFormat="1" ht="12.75" x14ac:dyDescent="0.2">
      <c r="R18850" s="1288"/>
    </row>
    <row r="18851" spans="18:18" s="2" customFormat="1" ht="12.75" x14ac:dyDescent="0.2">
      <c r="R18851" s="1288"/>
    </row>
    <row r="18852" spans="18:18" s="2" customFormat="1" ht="12.75" x14ac:dyDescent="0.2">
      <c r="R18852" s="1288"/>
    </row>
    <row r="18853" spans="18:18" s="2" customFormat="1" ht="12.75" x14ac:dyDescent="0.2">
      <c r="R18853" s="1288"/>
    </row>
    <row r="18854" spans="18:18" s="2" customFormat="1" ht="12.75" x14ac:dyDescent="0.2">
      <c r="R18854" s="1288"/>
    </row>
    <row r="18855" spans="18:18" s="2" customFormat="1" ht="12.75" x14ac:dyDescent="0.2">
      <c r="R18855" s="1288"/>
    </row>
    <row r="18856" spans="18:18" s="2" customFormat="1" ht="12.75" x14ac:dyDescent="0.2">
      <c r="R18856" s="1288"/>
    </row>
    <row r="18857" spans="18:18" s="2" customFormat="1" ht="12.75" x14ac:dyDescent="0.2">
      <c r="R18857" s="1288"/>
    </row>
    <row r="18858" spans="18:18" s="2" customFormat="1" ht="12.75" x14ac:dyDescent="0.2">
      <c r="R18858" s="1288"/>
    </row>
    <row r="18859" spans="18:18" s="2" customFormat="1" ht="12.75" x14ac:dyDescent="0.2">
      <c r="R18859" s="1288"/>
    </row>
    <row r="18860" spans="18:18" s="2" customFormat="1" ht="12.75" x14ac:dyDescent="0.2">
      <c r="R18860" s="1288"/>
    </row>
    <row r="18861" spans="18:18" s="2" customFormat="1" ht="12.75" x14ac:dyDescent="0.2">
      <c r="R18861" s="1288"/>
    </row>
    <row r="18862" spans="18:18" s="2" customFormat="1" ht="12.75" x14ac:dyDescent="0.2">
      <c r="R18862" s="1288"/>
    </row>
    <row r="18863" spans="18:18" s="2" customFormat="1" ht="12.75" x14ac:dyDescent="0.2">
      <c r="R18863" s="1288"/>
    </row>
    <row r="18864" spans="18:18" s="2" customFormat="1" ht="12.75" x14ac:dyDescent="0.2">
      <c r="R18864" s="1288"/>
    </row>
    <row r="18865" spans="18:18" s="2" customFormat="1" ht="12.75" x14ac:dyDescent="0.2">
      <c r="R18865" s="1288"/>
    </row>
    <row r="18866" spans="18:18" s="2" customFormat="1" ht="12.75" x14ac:dyDescent="0.2">
      <c r="R18866" s="1288"/>
    </row>
    <row r="18867" spans="18:18" s="2" customFormat="1" ht="12.75" x14ac:dyDescent="0.2">
      <c r="R18867" s="1288"/>
    </row>
    <row r="18868" spans="18:18" s="2" customFormat="1" ht="12.75" x14ac:dyDescent="0.2">
      <c r="R18868" s="1288"/>
    </row>
    <row r="18869" spans="18:18" s="2" customFormat="1" ht="12.75" x14ac:dyDescent="0.2">
      <c r="R18869" s="1288"/>
    </row>
    <row r="18870" spans="18:18" s="2" customFormat="1" ht="12.75" x14ac:dyDescent="0.2">
      <c r="R18870" s="1288"/>
    </row>
    <row r="18871" spans="18:18" s="2" customFormat="1" ht="12.75" x14ac:dyDescent="0.2">
      <c r="R18871" s="1288"/>
    </row>
    <row r="18872" spans="18:18" s="2" customFormat="1" ht="12.75" x14ac:dyDescent="0.2">
      <c r="R18872" s="1288"/>
    </row>
    <row r="18873" spans="18:18" s="2" customFormat="1" ht="12.75" x14ac:dyDescent="0.2">
      <c r="R18873" s="1288"/>
    </row>
    <row r="18874" spans="18:18" s="2" customFormat="1" ht="12.75" x14ac:dyDescent="0.2">
      <c r="R18874" s="1288"/>
    </row>
    <row r="18875" spans="18:18" s="2" customFormat="1" ht="12.75" x14ac:dyDescent="0.2">
      <c r="R18875" s="1288"/>
    </row>
    <row r="18876" spans="18:18" s="2" customFormat="1" ht="12.75" x14ac:dyDescent="0.2">
      <c r="R18876" s="1288"/>
    </row>
    <row r="18877" spans="18:18" s="2" customFormat="1" ht="12.75" x14ac:dyDescent="0.2">
      <c r="R18877" s="1288"/>
    </row>
    <row r="18878" spans="18:18" s="2" customFormat="1" ht="12.75" x14ac:dyDescent="0.2">
      <c r="R18878" s="1288"/>
    </row>
    <row r="18879" spans="18:18" s="2" customFormat="1" ht="12.75" x14ac:dyDescent="0.2">
      <c r="R18879" s="1288"/>
    </row>
    <row r="18880" spans="18:18" s="2" customFormat="1" ht="12.75" x14ac:dyDescent="0.2">
      <c r="R18880" s="1288"/>
    </row>
    <row r="18881" spans="18:18" s="2" customFormat="1" ht="12.75" x14ac:dyDescent="0.2">
      <c r="R18881" s="1288"/>
    </row>
    <row r="18882" spans="18:18" s="2" customFormat="1" ht="12.75" x14ac:dyDescent="0.2">
      <c r="R18882" s="1288"/>
    </row>
    <row r="18883" spans="18:18" s="2" customFormat="1" ht="12.75" x14ac:dyDescent="0.2">
      <c r="R18883" s="1288"/>
    </row>
    <row r="18884" spans="18:18" s="2" customFormat="1" ht="12.75" x14ac:dyDescent="0.2">
      <c r="R18884" s="1288"/>
    </row>
    <row r="18885" spans="18:18" s="2" customFormat="1" ht="12.75" x14ac:dyDescent="0.2">
      <c r="R18885" s="1288"/>
    </row>
    <row r="18886" spans="18:18" s="2" customFormat="1" ht="12.75" x14ac:dyDescent="0.2">
      <c r="R18886" s="1288"/>
    </row>
    <row r="18887" spans="18:18" s="2" customFormat="1" ht="12.75" x14ac:dyDescent="0.2">
      <c r="R18887" s="1288"/>
    </row>
    <row r="18888" spans="18:18" s="2" customFormat="1" ht="12.75" x14ac:dyDescent="0.2">
      <c r="R18888" s="1288"/>
    </row>
    <row r="18889" spans="18:18" s="2" customFormat="1" ht="12.75" x14ac:dyDescent="0.2">
      <c r="R18889" s="1288"/>
    </row>
    <row r="18890" spans="18:18" s="2" customFormat="1" ht="12.75" x14ac:dyDescent="0.2">
      <c r="R18890" s="1288"/>
    </row>
    <row r="18891" spans="18:18" s="2" customFormat="1" ht="12.75" x14ac:dyDescent="0.2">
      <c r="R18891" s="1288"/>
    </row>
    <row r="18892" spans="18:18" s="2" customFormat="1" ht="12.75" x14ac:dyDescent="0.2">
      <c r="R18892" s="1288"/>
    </row>
    <row r="18893" spans="18:18" s="2" customFormat="1" ht="12.75" x14ac:dyDescent="0.2">
      <c r="R18893" s="1288"/>
    </row>
    <row r="18894" spans="18:18" s="2" customFormat="1" ht="12.75" x14ac:dyDescent="0.2">
      <c r="R18894" s="1288"/>
    </row>
    <row r="18895" spans="18:18" s="2" customFormat="1" ht="12.75" x14ac:dyDescent="0.2">
      <c r="R18895" s="1288"/>
    </row>
    <row r="18896" spans="18:18" s="2" customFormat="1" ht="12.75" x14ac:dyDescent="0.2">
      <c r="R18896" s="1288"/>
    </row>
    <row r="18897" spans="18:18" s="2" customFormat="1" ht="12.75" x14ac:dyDescent="0.2">
      <c r="R18897" s="1288"/>
    </row>
    <row r="18898" spans="18:18" s="2" customFormat="1" ht="12.75" x14ac:dyDescent="0.2">
      <c r="R18898" s="1288"/>
    </row>
    <row r="18899" spans="18:18" s="2" customFormat="1" ht="12.75" x14ac:dyDescent="0.2">
      <c r="R18899" s="1288"/>
    </row>
    <row r="18900" spans="18:18" s="2" customFormat="1" ht="12.75" x14ac:dyDescent="0.2">
      <c r="R18900" s="1288"/>
    </row>
    <row r="18901" spans="18:18" s="2" customFormat="1" ht="12.75" x14ac:dyDescent="0.2">
      <c r="R18901" s="1288"/>
    </row>
    <row r="18902" spans="18:18" s="2" customFormat="1" ht="12.75" x14ac:dyDescent="0.2">
      <c r="R18902" s="1288"/>
    </row>
    <row r="18903" spans="18:18" s="2" customFormat="1" ht="12.75" x14ac:dyDescent="0.2">
      <c r="R18903" s="1288"/>
    </row>
    <row r="18904" spans="18:18" s="2" customFormat="1" ht="12.75" x14ac:dyDescent="0.2">
      <c r="R18904" s="1288"/>
    </row>
    <row r="18905" spans="18:18" s="2" customFormat="1" ht="12.75" x14ac:dyDescent="0.2">
      <c r="R18905" s="1288"/>
    </row>
    <row r="18906" spans="18:18" s="2" customFormat="1" ht="12.75" x14ac:dyDescent="0.2">
      <c r="R18906" s="1288"/>
    </row>
    <row r="18907" spans="18:18" s="2" customFormat="1" ht="12.75" x14ac:dyDescent="0.2">
      <c r="R18907" s="1288"/>
    </row>
    <row r="18908" spans="18:18" s="2" customFormat="1" ht="12.75" x14ac:dyDescent="0.2">
      <c r="R18908" s="1288"/>
    </row>
    <row r="18909" spans="18:18" s="2" customFormat="1" ht="12.75" x14ac:dyDescent="0.2">
      <c r="R18909" s="1288"/>
    </row>
    <row r="18910" spans="18:18" s="2" customFormat="1" ht="12.75" x14ac:dyDescent="0.2">
      <c r="R18910" s="1288"/>
    </row>
    <row r="18911" spans="18:18" s="2" customFormat="1" ht="12.75" x14ac:dyDescent="0.2">
      <c r="R18911" s="1288"/>
    </row>
    <row r="18912" spans="18:18" s="2" customFormat="1" ht="12.75" x14ac:dyDescent="0.2">
      <c r="R18912" s="1288"/>
    </row>
    <row r="18913" spans="18:18" s="2" customFormat="1" ht="12.75" x14ac:dyDescent="0.2">
      <c r="R18913" s="1288"/>
    </row>
    <row r="18914" spans="18:18" s="2" customFormat="1" ht="12.75" x14ac:dyDescent="0.2">
      <c r="R18914" s="1288"/>
    </row>
    <row r="18915" spans="18:18" s="2" customFormat="1" ht="12.75" x14ac:dyDescent="0.2">
      <c r="R18915" s="1288"/>
    </row>
    <row r="18916" spans="18:18" s="2" customFormat="1" ht="12.75" x14ac:dyDescent="0.2">
      <c r="R18916" s="1288"/>
    </row>
    <row r="18917" spans="18:18" s="2" customFormat="1" ht="12.75" x14ac:dyDescent="0.2">
      <c r="R18917" s="1288"/>
    </row>
    <row r="18918" spans="18:18" s="2" customFormat="1" ht="12.75" x14ac:dyDescent="0.2">
      <c r="R18918" s="1288"/>
    </row>
    <row r="18919" spans="18:18" s="2" customFormat="1" ht="12.75" x14ac:dyDescent="0.2">
      <c r="R18919" s="1288"/>
    </row>
    <row r="18920" spans="18:18" s="2" customFormat="1" ht="12.75" x14ac:dyDescent="0.2">
      <c r="R18920" s="1288"/>
    </row>
    <row r="18921" spans="18:18" s="2" customFormat="1" ht="12.75" x14ac:dyDescent="0.2">
      <c r="R18921" s="1288"/>
    </row>
    <row r="18922" spans="18:18" s="2" customFormat="1" ht="12.75" x14ac:dyDescent="0.2">
      <c r="R18922" s="1288"/>
    </row>
    <row r="18923" spans="18:18" s="2" customFormat="1" ht="12.75" x14ac:dyDescent="0.2">
      <c r="R18923" s="1288"/>
    </row>
    <row r="18924" spans="18:18" s="2" customFormat="1" ht="12.75" x14ac:dyDescent="0.2">
      <c r="R18924" s="1288"/>
    </row>
    <row r="18925" spans="18:18" s="2" customFormat="1" ht="12.75" x14ac:dyDescent="0.2">
      <c r="R18925" s="1288"/>
    </row>
    <row r="18926" spans="18:18" s="2" customFormat="1" ht="12.75" x14ac:dyDescent="0.2">
      <c r="R18926" s="1288"/>
    </row>
    <row r="18927" spans="18:18" s="2" customFormat="1" ht="12.75" x14ac:dyDescent="0.2">
      <c r="R18927" s="1288"/>
    </row>
    <row r="18928" spans="18:18" s="2" customFormat="1" ht="12.75" x14ac:dyDescent="0.2">
      <c r="R18928" s="1288"/>
    </row>
    <row r="18929" spans="18:18" s="2" customFormat="1" ht="12.75" x14ac:dyDescent="0.2">
      <c r="R18929" s="1288"/>
    </row>
    <row r="18930" spans="18:18" s="2" customFormat="1" ht="12.75" x14ac:dyDescent="0.2">
      <c r="R18930" s="1288"/>
    </row>
    <row r="18931" spans="18:18" s="2" customFormat="1" ht="12.75" x14ac:dyDescent="0.2">
      <c r="R18931" s="1288"/>
    </row>
    <row r="18932" spans="18:18" s="2" customFormat="1" ht="12.75" x14ac:dyDescent="0.2">
      <c r="R18932" s="1288"/>
    </row>
    <row r="18933" spans="18:18" s="2" customFormat="1" ht="12.75" x14ac:dyDescent="0.2">
      <c r="R18933" s="1288"/>
    </row>
    <row r="18934" spans="18:18" s="2" customFormat="1" ht="12.75" x14ac:dyDescent="0.2">
      <c r="R18934" s="1288"/>
    </row>
    <row r="18935" spans="18:18" s="2" customFormat="1" ht="12.75" x14ac:dyDescent="0.2">
      <c r="R18935" s="1288"/>
    </row>
    <row r="18936" spans="18:18" s="2" customFormat="1" ht="12.75" x14ac:dyDescent="0.2">
      <c r="R18936" s="1288"/>
    </row>
    <row r="18937" spans="18:18" s="2" customFormat="1" ht="12.75" x14ac:dyDescent="0.2">
      <c r="R18937" s="1288"/>
    </row>
    <row r="18938" spans="18:18" s="2" customFormat="1" ht="12.75" x14ac:dyDescent="0.2">
      <c r="R18938" s="1288"/>
    </row>
    <row r="18939" spans="18:18" s="2" customFormat="1" ht="12.75" x14ac:dyDescent="0.2">
      <c r="R18939" s="1288"/>
    </row>
    <row r="18940" spans="18:18" s="2" customFormat="1" ht="12.75" x14ac:dyDescent="0.2">
      <c r="R18940" s="1288"/>
    </row>
    <row r="18941" spans="18:18" s="2" customFormat="1" ht="12.75" x14ac:dyDescent="0.2">
      <c r="R18941" s="1288"/>
    </row>
    <row r="18942" spans="18:18" s="2" customFormat="1" ht="12.75" x14ac:dyDescent="0.2">
      <c r="R18942" s="1288"/>
    </row>
    <row r="18943" spans="18:18" s="2" customFormat="1" ht="12.75" x14ac:dyDescent="0.2">
      <c r="R18943" s="1288"/>
    </row>
    <row r="18944" spans="18:18" s="2" customFormat="1" ht="12.75" x14ac:dyDescent="0.2">
      <c r="R18944" s="1288"/>
    </row>
    <row r="18945" spans="18:18" s="2" customFormat="1" ht="12.75" x14ac:dyDescent="0.2">
      <c r="R18945" s="1288"/>
    </row>
    <row r="18946" spans="18:18" s="2" customFormat="1" ht="12.75" x14ac:dyDescent="0.2">
      <c r="R18946" s="1288"/>
    </row>
    <row r="18947" spans="18:18" s="2" customFormat="1" ht="12.75" x14ac:dyDescent="0.2">
      <c r="R18947" s="1288"/>
    </row>
    <row r="18948" spans="18:18" s="2" customFormat="1" ht="12.75" x14ac:dyDescent="0.2">
      <c r="R18948" s="1288"/>
    </row>
    <row r="18949" spans="18:18" s="2" customFormat="1" ht="12.75" x14ac:dyDescent="0.2">
      <c r="R18949" s="1288"/>
    </row>
    <row r="18950" spans="18:18" s="2" customFormat="1" ht="12.75" x14ac:dyDescent="0.2">
      <c r="R18950" s="1288"/>
    </row>
    <row r="18951" spans="18:18" s="2" customFormat="1" ht="12.75" x14ac:dyDescent="0.2">
      <c r="R18951" s="1288"/>
    </row>
    <row r="18952" spans="18:18" s="2" customFormat="1" ht="12.75" x14ac:dyDescent="0.2">
      <c r="R18952" s="1288"/>
    </row>
    <row r="18953" spans="18:18" s="2" customFormat="1" ht="12.75" x14ac:dyDescent="0.2">
      <c r="R18953" s="1288"/>
    </row>
    <row r="18954" spans="18:18" s="2" customFormat="1" ht="12.75" x14ac:dyDescent="0.2">
      <c r="R18954" s="1288"/>
    </row>
    <row r="18955" spans="18:18" s="2" customFormat="1" ht="12.75" x14ac:dyDescent="0.2">
      <c r="R18955" s="1288"/>
    </row>
    <row r="18956" spans="18:18" s="2" customFormat="1" ht="12.75" x14ac:dyDescent="0.2">
      <c r="R18956" s="1288"/>
    </row>
    <row r="18957" spans="18:18" s="2" customFormat="1" ht="12.75" x14ac:dyDescent="0.2">
      <c r="R18957" s="1288"/>
    </row>
    <row r="18958" spans="18:18" s="2" customFormat="1" ht="12.75" x14ac:dyDescent="0.2">
      <c r="R18958" s="1288"/>
    </row>
    <row r="18959" spans="18:18" s="2" customFormat="1" ht="12.75" x14ac:dyDescent="0.2">
      <c r="R18959" s="1288"/>
    </row>
    <row r="18960" spans="18:18" s="2" customFormat="1" ht="12.75" x14ac:dyDescent="0.2">
      <c r="R18960" s="1288"/>
    </row>
    <row r="18961" spans="18:18" s="2" customFormat="1" ht="12.75" x14ac:dyDescent="0.2">
      <c r="R18961" s="1288"/>
    </row>
    <row r="18962" spans="18:18" s="2" customFormat="1" ht="12.75" x14ac:dyDescent="0.2">
      <c r="R18962" s="1288"/>
    </row>
    <row r="18963" spans="18:18" s="2" customFormat="1" ht="12.75" x14ac:dyDescent="0.2">
      <c r="R18963" s="1288"/>
    </row>
    <row r="18964" spans="18:18" s="2" customFormat="1" ht="12.75" x14ac:dyDescent="0.2">
      <c r="R18964" s="1288"/>
    </row>
    <row r="18965" spans="18:18" s="2" customFormat="1" ht="12.75" x14ac:dyDescent="0.2">
      <c r="R18965" s="1288"/>
    </row>
    <row r="18966" spans="18:18" s="2" customFormat="1" ht="12.75" x14ac:dyDescent="0.2">
      <c r="R18966" s="1288"/>
    </row>
    <row r="18967" spans="18:18" s="2" customFormat="1" ht="12.75" x14ac:dyDescent="0.2">
      <c r="R18967" s="1288"/>
    </row>
    <row r="18968" spans="18:18" s="2" customFormat="1" ht="12.75" x14ac:dyDescent="0.2">
      <c r="R18968" s="1288"/>
    </row>
    <row r="18969" spans="18:18" s="2" customFormat="1" ht="12.75" x14ac:dyDescent="0.2">
      <c r="R18969" s="1288"/>
    </row>
    <row r="18970" spans="18:18" s="2" customFormat="1" ht="12.75" x14ac:dyDescent="0.2">
      <c r="R18970" s="1288"/>
    </row>
    <row r="18971" spans="18:18" s="2" customFormat="1" ht="12.75" x14ac:dyDescent="0.2">
      <c r="R18971" s="1288"/>
    </row>
    <row r="18972" spans="18:18" s="2" customFormat="1" ht="12.75" x14ac:dyDescent="0.2">
      <c r="R18972" s="1288"/>
    </row>
    <row r="18973" spans="18:18" s="2" customFormat="1" ht="12.75" x14ac:dyDescent="0.2">
      <c r="R18973" s="1288"/>
    </row>
    <row r="18974" spans="18:18" s="2" customFormat="1" ht="12.75" x14ac:dyDescent="0.2">
      <c r="R18974" s="1288"/>
    </row>
    <row r="18975" spans="18:18" s="2" customFormat="1" ht="12.75" x14ac:dyDescent="0.2">
      <c r="R18975" s="1288"/>
    </row>
    <row r="18976" spans="18:18" s="2" customFormat="1" ht="12.75" x14ac:dyDescent="0.2">
      <c r="R18976" s="1288"/>
    </row>
    <row r="18977" spans="18:18" s="2" customFormat="1" ht="12.75" x14ac:dyDescent="0.2">
      <c r="R18977" s="1288"/>
    </row>
    <row r="18978" spans="18:18" s="2" customFormat="1" ht="12.75" x14ac:dyDescent="0.2">
      <c r="R18978" s="1288"/>
    </row>
    <row r="18979" spans="18:18" s="2" customFormat="1" ht="12.75" x14ac:dyDescent="0.2">
      <c r="R18979" s="1288"/>
    </row>
    <row r="18980" spans="18:18" s="2" customFormat="1" ht="12.75" x14ac:dyDescent="0.2">
      <c r="R18980" s="1288"/>
    </row>
    <row r="18981" spans="18:18" s="2" customFormat="1" ht="12.75" x14ac:dyDescent="0.2">
      <c r="R18981" s="1288"/>
    </row>
    <row r="18982" spans="18:18" s="2" customFormat="1" ht="12.75" x14ac:dyDescent="0.2">
      <c r="R18982" s="1288"/>
    </row>
    <row r="18983" spans="18:18" s="2" customFormat="1" ht="12.75" x14ac:dyDescent="0.2">
      <c r="R18983" s="1288"/>
    </row>
    <row r="18984" spans="18:18" s="2" customFormat="1" ht="12.75" x14ac:dyDescent="0.2">
      <c r="R18984" s="1288"/>
    </row>
    <row r="18985" spans="18:18" s="2" customFormat="1" ht="12.75" x14ac:dyDescent="0.2">
      <c r="R18985" s="1288"/>
    </row>
    <row r="18986" spans="18:18" s="2" customFormat="1" ht="12.75" x14ac:dyDescent="0.2">
      <c r="R18986" s="1288"/>
    </row>
    <row r="18987" spans="18:18" s="2" customFormat="1" ht="12.75" x14ac:dyDescent="0.2">
      <c r="R18987" s="1288"/>
    </row>
    <row r="18988" spans="18:18" s="2" customFormat="1" ht="12.75" x14ac:dyDescent="0.2">
      <c r="R18988" s="1288"/>
    </row>
    <row r="18989" spans="18:18" s="2" customFormat="1" ht="12.75" x14ac:dyDescent="0.2">
      <c r="R18989" s="1288"/>
    </row>
    <row r="18990" spans="18:18" s="2" customFormat="1" ht="12.75" x14ac:dyDescent="0.2">
      <c r="R18990" s="1288"/>
    </row>
    <row r="18991" spans="18:18" s="2" customFormat="1" ht="12.75" x14ac:dyDescent="0.2">
      <c r="R18991" s="1288"/>
    </row>
    <row r="18992" spans="18:18" s="2" customFormat="1" ht="12.75" x14ac:dyDescent="0.2">
      <c r="R18992" s="1288"/>
    </row>
    <row r="18993" spans="18:18" s="2" customFormat="1" ht="12.75" x14ac:dyDescent="0.2">
      <c r="R18993" s="1288"/>
    </row>
    <row r="18994" spans="18:18" s="2" customFormat="1" ht="12.75" x14ac:dyDescent="0.2">
      <c r="R18994" s="1288"/>
    </row>
    <row r="18995" spans="18:18" s="2" customFormat="1" ht="12.75" x14ac:dyDescent="0.2">
      <c r="R18995" s="1288"/>
    </row>
    <row r="18996" spans="18:18" s="2" customFormat="1" ht="12.75" x14ac:dyDescent="0.2">
      <c r="R18996" s="1288"/>
    </row>
    <row r="18997" spans="18:18" s="2" customFormat="1" ht="12.75" x14ac:dyDescent="0.2">
      <c r="R18997" s="1288"/>
    </row>
    <row r="18998" spans="18:18" s="2" customFormat="1" ht="12.75" x14ac:dyDescent="0.2">
      <c r="R18998" s="1288"/>
    </row>
    <row r="18999" spans="18:18" s="2" customFormat="1" ht="12.75" x14ac:dyDescent="0.2">
      <c r="R18999" s="1288"/>
    </row>
    <row r="19000" spans="18:18" s="2" customFormat="1" ht="12.75" x14ac:dyDescent="0.2">
      <c r="R19000" s="1288"/>
    </row>
    <row r="19001" spans="18:18" s="2" customFormat="1" ht="12.75" x14ac:dyDescent="0.2">
      <c r="R19001" s="1288"/>
    </row>
    <row r="19002" spans="18:18" s="2" customFormat="1" ht="12.75" x14ac:dyDescent="0.2">
      <c r="R19002" s="1288"/>
    </row>
    <row r="19003" spans="18:18" s="2" customFormat="1" ht="12.75" x14ac:dyDescent="0.2">
      <c r="R19003" s="1288"/>
    </row>
    <row r="19004" spans="18:18" s="2" customFormat="1" ht="12.75" x14ac:dyDescent="0.2">
      <c r="R19004" s="1288"/>
    </row>
    <row r="19005" spans="18:18" s="2" customFormat="1" ht="12.75" x14ac:dyDescent="0.2">
      <c r="R19005" s="1288"/>
    </row>
    <row r="19006" spans="18:18" s="2" customFormat="1" ht="12.75" x14ac:dyDescent="0.2">
      <c r="R19006" s="1288"/>
    </row>
    <row r="19007" spans="18:18" s="2" customFormat="1" ht="12.75" x14ac:dyDescent="0.2">
      <c r="R19007" s="1288"/>
    </row>
    <row r="19008" spans="18:18" s="2" customFormat="1" ht="12.75" x14ac:dyDescent="0.2">
      <c r="R19008" s="1288"/>
    </row>
    <row r="19009" spans="18:18" s="2" customFormat="1" ht="12.75" x14ac:dyDescent="0.2">
      <c r="R19009" s="1288"/>
    </row>
    <row r="19010" spans="18:18" s="2" customFormat="1" ht="12.75" x14ac:dyDescent="0.2">
      <c r="R19010" s="1288"/>
    </row>
    <row r="19011" spans="18:18" s="2" customFormat="1" ht="12.75" x14ac:dyDescent="0.2">
      <c r="R19011" s="1288"/>
    </row>
    <row r="19012" spans="18:18" s="2" customFormat="1" ht="12.75" x14ac:dyDescent="0.2">
      <c r="R19012" s="1288"/>
    </row>
    <row r="19013" spans="18:18" s="2" customFormat="1" ht="12.75" x14ac:dyDescent="0.2">
      <c r="R19013" s="1288"/>
    </row>
    <row r="19014" spans="18:18" s="2" customFormat="1" ht="12.75" x14ac:dyDescent="0.2">
      <c r="R19014" s="1288"/>
    </row>
    <row r="19015" spans="18:18" s="2" customFormat="1" ht="12.75" x14ac:dyDescent="0.2">
      <c r="R19015" s="1288"/>
    </row>
    <row r="19016" spans="18:18" s="2" customFormat="1" ht="12.75" x14ac:dyDescent="0.2">
      <c r="R19016" s="1288"/>
    </row>
    <row r="19017" spans="18:18" s="2" customFormat="1" ht="12.75" x14ac:dyDescent="0.2">
      <c r="R19017" s="1288"/>
    </row>
    <row r="19018" spans="18:18" s="2" customFormat="1" ht="12.75" x14ac:dyDescent="0.2">
      <c r="R19018" s="1288"/>
    </row>
    <row r="19019" spans="18:18" s="2" customFormat="1" ht="12.75" x14ac:dyDescent="0.2">
      <c r="R19019" s="1288"/>
    </row>
    <row r="19020" spans="18:18" s="2" customFormat="1" ht="12.75" x14ac:dyDescent="0.2">
      <c r="R19020" s="1288"/>
    </row>
    <row r="19021" spans="18:18" s="2" customFormat="1" ht="12.75" x14ac:dyDescent="0.2">
      <c r="R19021" s="1288"/>
    </row>
    <row r="19022" spans="18:18" s="2" customFormat="1" ht="12.75" x14ac:dyDescent="0.2">
      <c r="R19022" s="1288"/>
    </row>
    <row r="19023" spans="18:18" s="2" customFormat="1" ht="12.75" x14ac:dyDescent="0.2">
      <c r="R19023" s="1288"/>
    </row>
    <row r="19024" spans="18:18" s="2" customFormat="1" ht="12.75" x14ac:dyDescent="0.2">
      <c r="R19024" s="1288"/>
    </row>
    <row r="19025" spans="18:18" s="2" customFormat="1" ht="12.75" x14ac:dyDescent="0.2">
      <c r="R19025" s="1288"/>
    </row>
    <row r="19026" spans="18:18" s="2" customFormat="1" ht="12.75" x14ac:dyDescent="0.2">
      <c r="R19026" s="1288"/>
    </row>
    <row r="19027" spans="18:18" s="2" customFormat="1" ht="12.75" x14ac:dyDescent="0.2">
      <c r="R19027" s="1288"/>
    </row>
    <row r="19028" spans="18:18" s="2" customFormat="1" ht="12.75" x14ac:dyDescent="0.2">
      <c r="R19028" s="1288"/>
    </row>
    <row r="19029" spans="18:18" s="2" customFormat="1" ht="12.75" x14ac:dyDescent="0.2">
      <c r="R19029" s="1288"/>
    </row>
    <row r="19030" spans="18:18" s="2" customFormat="1" ht="12.75" x14ac:dyDescent="0.2">
      <c r="R19030" s="1288"/>
    </row>
    <row r="19031" spans="18:18" s="2" customFormat="1" ht="12.75" x14ac:dyDescent="0.2">
      <c r="R19031" s="1288"/>
    </row>
    <row r="19032" spans="18:18" s="2" customFormat="1" ht="12.75" x14ac:dyDescent="0.2">
      <c r="R19032" s="1288"/>
    </row>
    <row r="19033" spans="18:18" s="2" customFormat="1" ht="12.75" x14ac:dyDescent="0.2">
      <c r="R19033" s="1288"/>
    </row>
    <row r="19034" spans="18:18" s="2" customFormat="1" ht="12.75" x14ac:dyDescent="0.2">
      <c r="R19034" s="1288"/>
    </row>
    <row r="19035" spans="18:18" s="2" customFormat="1" ht="12.75" x14ac:dyDescent="0.2">
      <c r="R19035" s="1288"/>
    </row>
    <row r="19036" spans="18:18" s="2" customFormat="1" ht="12.75" x14ac:dyDescent="0.2">
      <c r="R19036" s="1288"/>
    </row>
    <row r="19037" spans="18:18" s="2" customFormat="1" ht="12.75" x14ac:dyDescent="0.2">
      <c r="R19037" s="1288"/>
    </row>
    <row r="19038" spans="18:18" s="2" customFormat="1" ht="12.75" x14ac:dyDescent="0.2">
      <c r="R19038" s="1288"/>
    </row>
    <row r="19039" spans="18:18" s="2" customFormat="1" ht="12.75" x14ac:dyDescent="0.2">
      <c r="R19039" s="1288"/>
    </row>
    <row r="19040" spans="18:18" s="2" customFormat="1" ht="12.75" x14ac:dyDescent="0.2">
      <c r="R19040" s="1288"/>
    </row>
    <row r="19041" spans="18:18" s="2" customFormat="1" ht="12.75" x14ac:dyDescent="0.2">
      <c r="R19041" s="1288"/>
    </row>
    <row r="19042" spans="18:18" s="2" customFormat="1" ht="12.75" x14ac:dyDescent="0.2">
      <c r="R19042" s="1288"/>
    </row>
    <row r="19043" spans="18:18" s="2" customFormat="1" ht="12.75" x14ac:dyDescent="0.2">
      <c r="R19043" s="1288"/>
    </row>
    <row r="19044" spans="18:18" s="2" customFormat="1" ht="12.75" x14ac:dyDescent="0.2">
      <c r="R19044" s="1288"/>
    </row>
    <row r="19045" spans="18:18" s="2" customFormat="1" ht="12.75" x14ac:dyDescent="0.2">
      <c r="R19045" s="1288"/>
    </row>
    <row r="19046" spans="18:18" s="2" customFormat="1" ht="12.75" x14ac:dyDescent="0.2">
      <c r="R19046" s="1288"/>
    </row>
    <row r="19047" spans="18:18" s="2" customFormat="1" ht="12.75" x14ac:dyDescent="0.2">
      <c r="R19047" s="1288"/>
    </row>
    <row r="19048" spans="18:18" s="2" customFormat="1" ht="12.75" x14ac:dyDescent="0.2">
      <c r="R19048" s="1288"/>
    </row>
    <row r="19049" spans="18:18" s="2" customFormat="1" ht="12.75" x14ac:dyDescent="0.2">
      <c r="R19049" s="1288"/>
    </row>
    <row r="19050" spans="18:18" s="2" customFormat="1" ht="12.75" x14ac:dyDescent="0.2">
      <c r="R19050" s="1288"/>
    </row>
    <row r="19051" spans="18:18" s="2" customFormat="1" ht="12.75" x14ac:dyDescent="0.2">
      <c r="R19051" s="1288"/>
    </row>
    <row r="19052" spans="18:18" s="2" customFormat="1" ht="12.75" x14ac:dyDescent="0.2">
      <c r="R19052" s="1288"/>
    </row>
    <row r="19053" spans="18:18" s="2" customFormat="1" ht="12.75" x14ac:dyDescent="0.2">
      <c r="R19053" s="1288"/>
    </row>
    <row r="19054" spans="18:18" s="2" customFormat="1" ht="12.75" x14ac:dyDescent="0.2">
      <c r="R19054" s="1288"/>
    </row>
    <row r="19055" spans="18:18" s="2" customFormat="1" ht="12.75" x14ac:dyDescent="0.2">
      <c r="R19055" s="1288"/>
    </row>
    <row r="19056" spans="18:18" s="2" customFormat="1" ht="12.75" x14ac:dyDescent="0.2">
      <c r="R19056" s="1288"/>
    </row>
    <row r="19057" spans="18:18" s="2" customFormat="1" ht="12.75" x14ac:dyDescent="0.2">
      <c r="R19057" s="1288"/>
    </row>
    <row r="19058" spans="18:18" s="2" customFormat="1" ht="12.75" x14ac:dyDescent="0.2">
      <c r="R19058" s="1288"/>
    </row>
    <row r="19059" spans="18:18" s="2" customFormat="1" ht="12.75" x14ac:dyDescent="0.2">
      <c r="R19059" s="1288"/>
    </row>
    <row r="19060" spans="18:18" s="2" customFormat="1" ht="12.75" x14ac:dyDescent="0.2">
      <c r="R19060" s="1288"/>
    </row>
    <row r="19061" spans="18:18" s="2" customFormat="1" ht="12.75" x14ac:dyDescent="0.2">
      <c r="R19061" s="1288"/>
    </row>
    <row r="19062" spans="18:18" s="2" customFormat="1" ht="12.75" x14ac:dyDescent="0.2">
      <c r="R19062" s="1288"/>
    </row>
    <row r="19063" spans="18:18" s="2" customFormat="1" ht="12.75" x14ac:dyDescent="0.2">
      <c r="R19063" s="1288"/>
    </row>
    <row r="19064" spans="18:18" s="2" customFormat="1" ht="12.75" x14ac:dyDescent="0.2">
      <c r="R19064" s="1288"/>
    </row>
    <row r="19065" spans="18:18" s="2" customFormat="1" ht="12.75" x14ac:dyDescent="0.2">
      <c r="R19065" s="1288"/>
    </row>
    <row r="19066" spans="18:18" s="2" customFormat="1" ht="12.75" x14ac:dyDescent="0.2">
      <c r="R19066" s="1288"/>
    </row>
    <row r="19067" spans="18:18" s="2" customFormat="1" ht="12.75" x14ac:dyDescent="0.2">
      <c r="R19067" s="1288"/>
    </row>
    <row r="19068" spans="18:18" s="2" customFormat="1" ht="12.75" x14ac:dyDescent="0.2">
      <c r="R19068" s="1288"/>
    </row>
    <row r="19069" spans="18:18" s="2" customFormat="1" ht="12.75" x14ac:dyDescent="0.2">
      <c r="R19069" s="1288"/>
    </row>
    <row r="19070" spans="18:18" s="2" customFormat="1" ht="12.75" x14ac:dyDescent="0.2">
      <c r="R19070" s="1288"/>
    </row>
    <row r="19071" spans="18:18" s="2" customFormat="1" ht="12.75" x14ac:dyDescent="0.2">
      <c r="R19071" s="1288"/>
    </row>
    <row r="19072" spans="18:18" s="2" customFormat="1" ht="12.75" x14ac:dyDescent="0.2">
      <c r="R19072" s="1288"/>
    </row>
    <row r="19073" spans="18:18" s="2" customFormat="1" ht="12.75" x14ac:dyDescent="0.2">
      <c r="R19073" s="1288"/>
    </row>
    <row r="19074" spans="18:18" s="2" customFormat="1" ht="12.75" x14ac:dyDescent="0.2">
      <c r="R19074" s="1288"/>
    </row>
    <row r="19075" spans="18:18" s="2" customFormat="1" ht="12.75" x14ac:dyDescent="0.2">
      <c r="R19075" s="1288"/>
    </row>
    <row r="19076" spans="18:18" s="2" customFormat="1" ht="12.75" x14ac:dyDescent="0.2">
      <c r="R19076" s="1288"/>
    </row>
    <row r="19077" spans="18:18" s="2" customFormat="1" ht="12.75" x14ac:dyDescent="0.2">
      <c r="R19077" s="1288"/>
    </row>
    <row r="19078" spans="18:18" s="2" customFormat="1" ht="12.75" x14ac:dyDescent="0.2">
      <c r="R19078" s="1288"/>
    </row>
    <row r="19079" spans="18:18" s="2" customFormat="1" ht="12.75" x14ac:dyDescent="0.2">
      <c r="R19079" s="1288"/>
    </row>
    <row r="19080" spans="18:18" s="2" customFormat="1" ht="12.75" x14ac:dyDescent="0.2">
      <c r="R19080" s="1288"/>
    </row>
    <row r="19081" spans="18:18" s="2" customFormat="1" ht="12.75" x14ac:dyDescent="0.2">
      <c r="R19081" s="1288"/>
    </row>
    <row r="19082" spans="18:18" s="2" customFormat="1" ht="12.75" x14ac:dyDescent="0.2">
      <c r="R19082" s="1288"/>
    </row>
    <row r="19083" spans="18:18" s="2" customFormat="1" ht="12.75" x14ac:dyDescent="0.2">
      <c r="R19083" s="1288"/>
    </row>
    <row r="19084" spans="18:18" s="2" customFormat="1" ht="12.75" x14ac:dyDescent="0.2">
      <c r="R19084" s="1288"/>
    </row>
    <row r="19085" spans="18:18" s="2" customFormat="1" ht="12.75" x14ac:dyDescent="0.2">
      <c r="R19085" s="1288"/>
    </row>
    <row r="19086" spans="18:18" s="2" customFormat="1" ht="12.75" x14ac:dyDescent="0.2">
      <c r="R19086" s="1288"/>
    </row>
    <row r="19087" spans="18:18" s="2" customFormat="1" ht="12.75" x14ac:dyDescent="0.2">
      <c r="R19087" s="1288"/>
    </row>
    <row r="19088" spans="18:18" s="2" customFormat="1" ht="12.75" x14ac:dyDescent="0.2">
      <c r="R19088" s="1288"/>
    </row>
    <row r="19089" spans="18:18" s="2" customFormat="1" ht="12.75" x14ac:dyDescent="0.2">
      <c r="R19089" s="1288"/>
    </row>
    <row r="19090" spans="18:18" s="2" customFormat="1" ht="12.75" x14ac:dyDescent="0.2">
      <c r="R19090" s="1288"/>
    </row>
    <row r="19091" spans="18:18" s="2" customFormat="1" ht="12.75" x14ac:dyDescent="0.2">
      <c r="R19091" s="1288"/>
    </row>
    <row r="19092" spans="18:18" s="2" customFormat="1" ht="12.75" x14ac:dyDescent="0.2">
      <c r="R19092" s="1288"/>
    </row>
    <row r="19093" spans="18:18" s="2" customFormat="1" ht="12.75" x14ac:dyDescent="0.2">
      <c r="R19093" s="1288"/>
    </row>
    <row r="19094" spans="18:18" s="2" customFormat="1" ht="12.75" x14ac:dyDescent="0.2">
      <c r="R19094" s="1288"/>
    </row>
    <row r="19095" spans="18:18" s="2" customFormat="1" ht="12.75" x14ac:dyDescent="0.2">
      <c r="R19095" s="1288"/>
    </row>
    <row r="19096" spans="18:18" s="2" customFormat="1" ht="12.75" x14ac:dyDescent="0.2">
      <c r="R19096" s="1288"/>
    </row>
    <row r="19097" spans="18:18" s="2" customFormat="1" ht="12.75" x14ac:dyDescent="0.2">
      <c r="R19097" s="1288"/>
    </row>
    <row r="19098" spans="18:18" s="2" customFormat="1" ht="12.75" x14ac:dyDescent="0.2">
      <c r="R19098" s="1288"/>
    </row>
    <row r="19099" spans="18:18" s="2" customFormat="1" ht="12.75" x14ac:dyDescent="0.2">
      <c r="R19099" s="1288"/>
    </row>
    <row r="19100" spans="18:18" s="2" customFormat="1" ht="12.75" x14ac:dyDescent="0.2">
      <c r="R19100" s="1288"/>
    </row>
    <row r="19101" spans="18:18" s="2" customFormat="1" ht="12.75" x14ac:dyDescent="0.2">
      <c r="R19101" s="1288"/>
    </row>
    <row r="19102" spans="18:18" s="2" customFormat="1" ht="12.75" x14ac:dyDescent="0.2">
      <c r="R19102" s="1288"/>
    </row>
    <row r="19103" spans="18:18" s="2" customFormat="1" ht="12.75" x14ac:dyDescent="0.2">
      <c r="R19103" s="1288"/>
    </row>
    <row r="19104" spans="18:18" s="2" customFormat="1" ht="12.75" x14ac:dyDescent="0.2">
      <c r="R19104" s="1288"/>
    </row>
    <row r="19105" spans="18:18" s="2" customFormat="1" ht="12.75" x14ac:dyDescent="0.2">
      <c r="R19105" s="1288"/>
    </row>
    <row r="19106" spans="18:18" s="2" customFormat="1" ht="12.75" x14ac:dyDescent="0.2">
      <c r="R19106" s="1288"/>
    </row>
    <row r="19107" spans="18:18" s="2" customFormat="1" ht="12.75" x14ac:dyDescent="0.2">
      <c r="R19107" s="1288"/>
    </row>
    <row r="19108" spans="18:18" s="2" customFormat="1" ht="12.75" x14ac:dyDescent="0.2">
      <c r="R19108" s="1288"/>
    </row>
    <row r="19109" spans="18:18" s="2" customFormat="1" ht="12.75" x14ac:dyDescent="0.2">
      <c r="R19109" s="1288"/>
    </row>
    <row r="19110" spans="18:18" s="2" customFormat="1" ht="12.75" x14ac:dyDescent="0.2">
      <c r="R19110" s="1288"/>
    </row>
    <row r="19111" spans="18:18" s="2" customFormat="1" ht="12.75" x14ac:dyDescent="0.2">
      <c r="R19111" s="1288"/>
    </row>
    <row r="19112" spans="18:18" s="2" customFormat="1" ht="12.75" x14ac:dyDescent="0.2">
      <c r="R19112" s="1288"/>
    </row>
    <row r="19113" spans="18:18" s="2" customFormat="1" ht="12.75" x14ac:dyDescent="0.2">
      <c r="R19113" s="1288"/>
    </row>
    <row r="19114" spans="18:18" s="2" customFormat="1" ht="12.75" x14ac:dyDescent="0.2">
      <c r="R19114" s="1288"/>
    </row>
    <row r="19115" spans="18:18" s="2" customFormat="1" ht="12.75" x14ac:dyDescent="0.2">
      <c r="R19115" s="1288"/>
    </row>
    <row r="19116" spans="18:18" s="2" customFormat="1" ht="12.75" x14ac:dyDescent="0.2">
      <c r="R19116" s="1288"/>
    </row>
    <row r="19117" spans="18:18" s="2" customFormat="1" ht="12.75" x14ac:dyDescent="0.2">
      <c r="R19117" s="1288"/>
    </row>
    <row r="19118" spans="18:18" s="2" customFormat="1" ht="12.75" x14ac:dyDescent="0.2">
      <c r="R19118" s="1288"/>
    </row>
    <row r="19119" spans="18:18" s="2" customFormat="1" ht="12.75" x14ac:dyDescent="0.2">
      <c r="R19119" s="1288"/>
    </row>
    <row r="19120" spans="18:18" s="2" customFormat="1" ht="12.75" x14ac:dyDescent="0.2">
      <c r="R19120" s="1288"/>
    </row>
    <row r="19121" spans="18:18" s="2" customFormat="1" ht="12.75" x14ac:dyDescent="0.2">
      <c r="R19121" s="1288"/>
    </row>
    <row r="19122" spans="18:18" s="2" customFormat="1" ht="12.75" x14ac:dyDescent="0.2">
      <c r="R19122" s="1288"/>
    </row>
    <row r="19123" spans="18:18" s="2" customFormat="1" ht="12.75" x14ac:dyDescent="0.2">
      <c r="R19123" s="1288"/>
    </row>
    <row r="19124" spans="18:18" s="2" customFormat="1" ht="12.75" x14ac:dyDescent="0.2">
      <c r="R19124" s="1288"/>
    </row>
    <row r="19125" spans="18:18" s="2" customFormat="1" ht="12.75" x14ac:dyDescent="0.2">
      <c r="R19125" s="1288"/>
    </row>
    <row r="19126" spans="18:18" s="2" customFormat="1" ht="12.75" x14ac:dyDescent="0.2">
      <c r="R19126" s="1288"/>
    </row>
    <row r="19127" spans="18:18" s="2" customFormat="1" ht="12.75" x14ac:dyDescent="0.2">
      <c r="R19127" s="1288"/>
    </row>
    <row r="19128" spans="18:18" s="2" customFormat="1" ht="12.75" x14ac:dyDescent="0.2">
      <c r="R19128" s="1288"/>
    </row>
    <row r="19129" spans="18:18" s="2" customFormat="1" ht="12.75" x14ac:dyDescent="0.2">
      <c r="R19129" s="1288"/>
    </row>
    <row r="19130" spans="18:18" s="2" customFormat="1" ht="12.75" x14ac:dyDescent="0.2">
      <c r="R19130" s="1288"/>
    </row>
    <row r="19131" spans="18:18" s="2" customFormat="1" ht="12.75" x14ac:dyDescent="0.2">
      <c r="R19131" s="1288"/>
    </row>
    <row r="19132" spans="18:18" s="2" customFormat="1" ht="12.75" x14ac:dyDescent="0.2">
      <c r="R19132" s="1288"/>
    </row>
    <row r="19133" spans="18:18" s="2" customFormat="1" ht="12.75" x14ac:dyDescent="0.2">
      <c r="R19133" s="1288"/>
    </row>
    <row r="19134" spans="18:18" s="2" customFormat="1" ht="12.75" x14ac:dyDescent="0.2">
      <c r="R19134" s="1288"/>
    </row>
    <row r="19135" spans="18:18" s="2" customFormat="1" ht="12.75" x14ac:dyDescent="0.2">
      <c r="R19135" s="1288"/>
    </row>
    <row r="19136" spans="18:18" s="2" customFormat="1" ht="12.75" x14ac:dyDescent="0.2">
      <c r="R19136" s="1288"/>
    </row>
    <row r="19137" spans="18:18" s="2" customFormat="1" ht="12.75" x14ac:dyDescent="0.2">
      <c r="R19137" s="1288"/>
    </row>
    <row r="19138" spans="18:18" s="2" customFormat="1" ht="12.75" x14ac:dyDescent="0.2">
      <c r="R19138" s="1288"/>
    </row>
    <row r="19139" spans="18:18" s="2" customFormat="1" ht="12.75" x14ac:dyDescent="0.2">
      <c r="R19139" s="1288"/>
    </row>
    <row r="19140" spans="18:18" s="2" customFormat="1" ht="12.75" x14ac:dyDescent="0.2">
      <c r="R19140" s="1288"/>
    </row>
    <row r="19141" spans="18:18" s="2" customFormat="1" ht="12.75" x14ac:dyDescent="0.2">
      <c r="R19141" s="1288"/>
    </row>
    <row r="19142" spans="18:18" s="2" customFormat="1" ht="12.75" x14ac:dyDescent="0.2">
      <c r="R19142" s="1288"/>
    </row>
    <row r="19143" spans="18:18" s="2" customFormat="1" ht="12.75" x14ac:dyDescent="0.2">
      <c r="R19143" s="1288"/>
    </row>
    <row r="19144" spans="18:18" s="2" customFormat="1" ht="12.75" x14ac:dyDescent="0.2">
      <c r="R19144" s="1288"/>
    </row>
    <row r="19145" spans="18:18" s="2" customFormat="1" ht="12.75" x14ac:dyDescent="0.2">
      <c r="R19145" s="1288"/>
    </row>
    <row r="19146" spans="18:18" s="2" customFormat="1" ht="12.75" x14ac:dyDescent="0.2">
      <c r="R19146" s="1288"/>
    </row>
    <row r="19147" spans="18:18" s="2" customFormat="1" ht="12.75" x14ac:dyDescent="0.2">
      <c r="R19147" s="1288"/>
    </row>
    <row r="19148" spans="18:18" s="2" customFormat="1" ht="12.75" x14ac:dyDescent="0.2">
      <c r="R19148" s="1288"/>
    </row>
    <row r="19149" spans="18:18" s="2" customFormat="1" ht="12.75" x14ac:dyDescent="0.2">
      <c r="R19149" s="1288"/>
    </row>
    <row r="19150" spans="18:18" s="2" customFormat="1" ht="12.75" x14ac:dyDescent="0.2">
      <c r="R19150" s="1288"/>
    </row>
    <row r="19151" spans="18:18" s="2" customFormat="1" ht="12.75" x14ac:dyDescent="0.2">
      <c r="R19151" s="1288"/>
    </row>
    <row r="19152" spans="18:18" s="2" customFormat="1" ht="12.75" x14ac:dyDescent="0.2">
      <c r="R19152" s="1288"/>
    </row>
    <row r="19153" spans="18:18" s="2" customFormat="1" ht="12.75" x14ac:dyDescent="0.2">
      <c r="R19153" s="1288"/>
    </row>
    <row r="19154" spans="18:18" s="2" customFormat="1" ht="12.75" x14ac:dyDescent="0.2">
      <c r="R19154" s="1288"/>
    </row>
    <row r="19155" spans="18:18" s="2" customFormat="1" ht="12.75" x14ac:dyDescent="0.2">
      <c r="R19155" s="1288"/>
    </row>
    <row r="19156" spans="18:18" s="2" customFormat="1" ht="12.75" x14ac:dyDescent="0.2">
      <c r="R19156" s="1288"/>
    </row>
    <row r="19157" spans="18:18" s="2" customFormat="1" ht="12.75" x14ac:dyDescent="0.2">
      <c r="R19157" s="1288"/>
    </row>
    <row r="19158" spans="18:18" s="2" customFormat="1" ht="12.75" x14ac:dyDescent="0.2">
      <c r="R19158" s="1288"/>
    </row>
    <row r="19159" spans="18:18" s="2" customFormat="1" ht="12.75" x14ac:dyDescent="0.2">
      <c r="R19159" s="1288"/>
    </row>
    <row r="19160" spans="18:18" s="2" customFormat="1" ht="12.75" x14ac:dyDescent="0.2">
      <c r="R19160" s="1288"/>
    </row>
    <row r="19161" spans="18:18" s="2" customFormat="1" ht="12.75" x14ac:dyDescent="0.2">
      <c r="R19161" s="1288"/>
    </row>
    <row r="19162" spans="18:18" s="2" customFormat="1" ht="12.75" x14ac:dyDescent="0.2">
      <c r="R19162" s="1288"/>
    </row>
    <row r="19163" spans="18:18" s="2" customFormat="1" ht="12.75" x14ac:dyDescent="0.2">
      <c r="R19163" s="1288"/>
    </row>
    <row r="19164" spans="18:18" s="2" customFormat="1" ht="12.75" x14ac:dyDescent="0.2">
      <c r="R19164" s="1288"/>
    </row>
    <row r="19165" spans="18:18" s="2" customFormat="1" ht="12.75" x14ac:dyDescent="0.2">
      <c r="R19165" s="1288"/>
    </row>
    <row r="19166" spans="18:18" s="2" customFormat="1" ht="12.75" x14ac:dyDescent="0.2">
      <c r="R19166" s="1288"/>
    </row>
    <row r="19167" spans="18:18" s="2" customFormat="1" ht="12.75" x14ac:dyDescent="0.2">
      <c r="R19167" s="1288"/>
    </row>
    <row r="19168" spans="18:18" s="2" customFormat="1" ht="12.75" x14ac:dyDescent="0.2">
      <c r="R19168" s="1288"/>
    </row>
    <row r="19169" spans="18:18" s="2" customFormat="1" ht="12.75" x14ac:dyDescent="0.2">
      <c r="R19169" s="1288"/>
    </row>
    <row r="19170" spans="18:18" s="2" customFormat="1" ht="12.75" x14ac:dyDescent="0.2">
      <c r="R19170" s="1288"/>
    </row>
    <row r="19171" spans="18:18" s="2" customFormat="1" ht="12.75" x14ac:dyDescent="0.2">
      <c r="R19171" s="1288"/>
    </row>
    <row r="19172" spans="18:18" s="2" customFormat="1" ht="12.75" x14ac:dyDescent="0.2">
      <c r="R19172" s="1288"/>
    </row>
    <row r="19173" spans="18:18" s="2" customFormat="1" ht="12.75" x14ac:dyDescent="0.2">
      <c r="R19173" s="1288"/>
    </row>
    <row r="19174" spans="18:18" s="2" customFormat="1" ht="12.75" x14ac:dyDescent="0.2">
      <c r="R19174" s="1288"/>
    </row>
    <row r="19175" spans="18:18" s="2" customFormat="1" ht="12.75" x14ac:dyDescent="0.2">
      <c r="R19175" s="1288"/>
    </row>
    <row r="19176" spans="18:18" s="2" customFormat="1" ht="12.75" x14ac:dyDescent="0.2">
      <c r="R19176" s="1288"/>
    </row>
    <row r="19177" spans="18:18" s="2" customFormat="1" ht="12.75" x14ac:dyDescent="0.2">
      <c r="R19177" s="1288"/>
    </row>
    <row r="19178" spans="18:18" s="2" customFormat="1" ht="12.75" x14ac:dyDescent="0.2">
      <c r="R19178" s="1288"/>
    </row>
    <row r="19179" spans="18:18" s="2" customFormat="1" ht="12.75" x14ac:dyDescent="0.2">
      <c r="R19179" s="1288"/>
    </row>
    <row r="19180" spans="18:18" s="2" customFormat="1" ht="12.75" x14ac:dyDescent="0.2">
      <c r="R19180" s="1288"/>
    </row>
    <row r="19181" spans="18:18" s="2" customFormat="1" ht="12.75" x14ac:dyDescent="0.2">
      <c r="R19181" s="1288"/>
    </row>
    <row r="19182" spans="18:18" s="2" customFormat="1" ht="12.75" x14ac:dyDescent="0.2">
      <c r="R19182" s="1288"/>
    </row>
    <row r="19183" spans="18:18" s="2" customFormat="1" ht="12.75" x14ac:dyDescent="0.2">
      <c r="R19183" s="1288"/>
    </row>
    <row r="19184" spans="18:18" s="2" customFormat="1" ht="12.75" x14ac:dyDescent="0.2">
      <c r="R19184" s="1288"/>
    </row>
    <row r="19185" spans="18:18" s="2" customFormat="1" ht="12.75" x14ac:dyDescent="0.2">
      <c r="R19185" s="1288"/>
    </row>
    <row r="19186" spans="18:18" s="2" customFormat="1" ht="12.75" x14ac:dyDescent="0.2">
      <c r="R19186" s="1288"/>
    </row>
    <row r="19187" spans="18:18" s="2" customFormat="1" ht="12.75" x14ac:dyDescent="0.2">
      <c r="R19187" s="1288"/>
    </row>
    <row r="19188" spans="18:18" s="2" customFormat="1" ht="12.75" x14ac:dyDescent="0.2">
      <c r="R19188" s="1288"/>
    </row>
    <row r="19189" spans="18:18" s="2" customFormat="1" ht="12.75" x14ac:dyDescent="0.2">
      <c r="R19189" s="1288"/>
    </row>
    <row r="19190" spans="18:18" s="2" customFormat="1" ht="12.75" x14ac:dyDescent="0.2">
      <c r="R19190" s="1288"/>
    </row>
    <row r="19191" spans="18:18" s="2" customFormat="1" ht="12.75" x14ac:dyDescent="0.2">
      <c r="R19191" s="1288"/>
    </row>
    <row r="19192" spans="18:18" s="2" customFormat="1" ht="12.75" x14ac:dyDescent="0.2">
      <c r="R19192" s="1288"/>
    </row>
    <row r="19193" spans="18:18" s="2" customFormat="1" ht="12.75" x14ac:dyDescent="0.2">
      <c r="R19193" s="1288"/>
    </row>
    <row r="19194" spans="18:18" s="2" customFormat="1" ht="12.75" x14ac:dyDescent="0.2">
      <c r="R19194" s="1288"/>
    </row>
    <row r="19195" spans="18:18" s="2" customFormat="1" ht="12.75" x14ac:dyDescent="0.2">
      <c r="R19195" s="1288"/>
    </row>
    <row r="19196" spans="18:18" s="2" customFormat="1" ht="12.75" x14ac:dyDescent="0.2">
      <c r="R19196" s="1288"/>
    </row>
    <row r="19197" spans="18:18" s="2" customFormat="1" ht="12.75" x14ac:dyDescent="0.2">
      <c r="R19197" s="1288"/>
    </row>
    <row r="19198" spans="18:18" s="2" customFormat="1" ht="12.75" x14ac:dyDescent="0.2">
      <c r="R19198" s="1288"/>
    </row>
    <row r="19199" spans="18:18" s="2" customFormat="1" ht="12.75" x14ac:dyDescent="0.2">
      <c r="R19199" s="1288"/>
    </row>
    <row r="19200" spans="18:18" s="2" customFormat="1" ht="12.75" x14ac:dyDescent="0.2">
      <c r="R19200" s="1288"/>
    </row>
    <row r="19201" spans="18:18" s="2" customFormat="1" ht="12.75" x14ac:dyDescent="0.2">
      <c r="R19201" s="1288"/>
    </row>
    <row r="19202" spans="18:18" s="2" customFormat="1" ht="12.75" x14ac:dyDescent="0.2">
      <c r="R19202" s="1288"/>
    </row>
    <row r="19203" spans="18:18" s="2" customFormat="1" ht="12.75" x14ac:dyDescent="0.2">
      <c r="R19203" s="1288"/>
    </row>
    <row r="19204" spans="18:18" s="2" customFormat="1" ht="12.75" x14ac:dyDescent="0.2">
      <c r="R19204" s="1288"/>
    </row>
    <row r="19205" spans="18:18" s="2" customFormat="1" ht="12.75" x14ac:dyDescent="0.2">
      <c r="R19205" s="1288"/>
    </row>
    <row r="19206" spans="18:18" s="2" customFormat="1" ht="12.75" x14ac:dyDescent="0.2">
      <c r="R19206" s="1288"/>
    </row>
    <row r="19207" spans="18:18" s="2" customFormat="1" ht="12.75" x14ac:dyDescent="0.2">
      <c r="R19207" s="1288"/>
    </row>
    <row r="19208" spans="18:18" s="2" customFormat="1" ht="12.75" x14ac:dyDescent="0.2">
      <c r="R19208" s="1288"/>
    </row>
    <row r="19209" spans="18:18" s="2" customFormat="1" ht="12.75" x14ac:dyDescent="0.2">
      <c r="R19209" s="1288"/>
    </row>
    <row r="19210" spans="18:18" s="2" customFormat="1" ht="12.75" x14ac:dyDescent="0.2">
      <c r="R19210" s="1288"/>
    </row>
    <row r="19211" spans="18:18" s="2" customFormat="1" ht="12.75" x14ac:dyDescent="0.2">
      <c r="R19211" s="1288"/>
    </row>
    <row r="19212" spans="18:18" s="2" customFormat="1" ht="12.75" x14ac:dyDescent="0.2">
      <c r="R19212" s="1288"/>
    </row>
    <row r="19213" spans="18:18" s="2" customFormat="1" ht="12.75" x14ac:dyDescent="0.2">
      <c r="R19213" s="1288"/>
    </row>
    <row r="19214" spans="18:18" s="2" customFormat="1" ht="12.75" x14ac:dyDescent="0.2">
      <c r="R19214" s="1288"/>
    </row>
    <row r="19215" spans="18:18" s="2" customFormat="1" ht="12.75" x14ac:dyDescent="0.2">
      <c r="R19215" s="1288"/>
    </row>
    <row r="19216" spans="18:18" s="2" customFormat="1" ht="12.75" x14ac:dyDescent="0.2">
      <c r="R19216" s="1288"/>
    </row>
    <row r="19217" spans="18:18" s="2" customFormat="1" ht="12.75" x14ac:dyDescent="0.2">
      <c r="R19217" s="1288"/>
    </row>
    <row r="19218" spans="18:18" s="2" customFormat="1" ht="12.75" x14ac:dyDescent="0.2">
      <c r="R19218" s="1288"/>
    </row>
    <row r="19219" spans="18:18" s="2" customFormat="1" ht="12.75" x14ac:dyDescent="0.2">
      <c r="R19219" s="1288"/>
    </row>
    <row r="19220" spans="18:18" s="2" customFormat="1" ht="12.75" x14ac:dyDescent="0.2">
      <c r="R19220" s="1288"/>
    </row>
    <row r="19221" spans="18:18" s="2" customFormat="1" ht="12.75" x14ac:dyDescent="0.2">
      <c r="R19221" s="1288"/>
    </row>
    <row r="19222" spans="18:18" s="2" customFormat="1" ht="12.75" x14ac:dyDescent="0.2">
      <c r="R19222" s="1288"/>
    </row>
    <row r="19223" spans="18:18" s="2" customFormat="1" ht="12.75" x14ac:dyDescent="0.2">
      <c r="R19223" s="1288"/>
    </row>
    <row r="19224" spans="18:18" s="2" customFormat="1" ht="12.75" x14ac:dyDescent="0.2">
      <c r="R19224" s="1288"/>
    </row>
    <row r="19225" spans="18:18" s="2" customFormat="1" ht="12.75" x14ac:dyDescent="0.2">
      <c r="R19225" s="1288"/>
    </row>
    <row r="19226" spans="18:18" s="2" customFormat="1" ht="12.75" x14ac:dyDescent="0.2">
      <c r="R19226" s="1288"/>
    </row>
    <row r="19227" spans="18:18" s="2" customFormat="1" ht="12.75" x14ac:dyDescent="0.2">
      <c r="R19227" s="1288"/>
    </row>
    <row r="19228" spans="18:18" s="2" customFormat="1" ht="12.75" x14ac:dyDescent="0.2">
      <c r="R19228" s="1288"/>
    </row>
    <row r="19229" spans="18:18" s="2" customFormat="1" ht="12.75" x14ac:dyDescent="0.2">
      <c r="R19229" s="1288"/>
    </row>
    <row r="19230" spans="18:18" s="2" customFormat="1" ht="12.75" x14ac:dyDescent="0.2">
      <c r="R19230" s="1288"/>
    </row>
    <row r="19231" spans="18:18" s="2" customFormat="1" ht="12.75" x14ac:dyDescent="0.2">
      <c r="R19231" s="1288"/>
    </row>
    <row r="19232" spans="18:18" s="2" customFormat="1" ht="12.75" x14ac:dyDescent="0.2">
      <c r="R19232" s="1288"/>
    </row>
    <row r="19233" spans="18:18" s="2" customFormat="1" ht="12.75" x14ac:dyDescent="0.2">
      <c r="R19233" s="1288"/>
    </row>
    <row r="19234" spans="18:18" s="2" customFormat="1" ht="12.75" x14ac:dyDescent="0.2">
      <c r="R19234" s="1288"/>
    </row>
    <row r="19235" spans="18:18" s="2" customFormat="1" ht="12.75" x14ac:dyDescent="0.2">
      <c r="R19235" s="1288"/>
    </row>
    <row r="19236" spans="18:18" s="2" customFormat="1" ht="12.75" x14ac:dyDescent="0.2">
      <c r="R19236" s="1288"/>
    </row>
    <row r="19237" spans="18:18" s="2" customFormat="1" ht="12.75" x14ac:dyDescent="0.2">
      <c r="R19237" s="1288"/>
    </row>
    <row r="19238" spans="18:18" s="2" customFormat="1" ht="12.75" x14ac:dyDescent="0.2">
      <c r="R19238" s="1288"/>
    </row>
    <row r="19239" spans="18:18" s="2" customFormat="1" ht="12.75" x14ac:dyDescent="0.2">
      <c r="R19239" s="1288"/>
    </row>
    <row r="19240" spans="18:18" s="2" customFormat="1" ht="12.75" x14ac:dyDescent="0.2">
      <c r="R19240" s="1288"/>
    </row>
    <row r="19241" spans="18:18" s="2" customFormat="1" ht="12.75" x14ac:dyDescent="0.2">
      <c r="R19241" s="1288"/>
    </row>
    <row r="19242" spans="18:18" s="2" customFormat="1" ht="12.75" x14ac:dyDescent="0.2">
      <c r="R19242" s="1288"/>
    </row>
    <row r="19243" spans="18:18" s="2" customFormat="1" ht="12.75" x14ac:dyDescent="0.2">
      <c r="R19243" s="1288"/>
    </row>
    <row r="19244" spans="18:18" s="2" customFormat="1" ht="12.75" x14ac:dyDescent="0.2">
      <c r="R19244" s="1288"/>
    </row>
    <row r="19245" spans="18:18" s="2" customFormat="1" ht="12.75" x14ac:dyDescent="0.2">
      <c r="R19245" s="1288"/>
    </row>
    <row r="19246" spans="18:18" s="2" customFormat="1" ht="12.75" x14ac:dyDescent="0.2">
      <c r="R19246" s="1288"/>
    </row>
    <row r="19247" spans="18:18" s="2" customFormat="1" ht="12.75" x14ac:dyDescent="0.2">
      <c r="R19247" s="1288"/>
    </row>
    <row r="19248" spans="18:18" s="2" customFormat="1" ht="12.75" x14ac:dyDescent="0.2">
      <c r="R19248" s="1288"/>
    </row>
    <row r="19249" spans="18:18" s="2" customFormat="1" ht="12.75" x14ac:dyDescent="0.2">
      <c r="R19249" s="1288"/>
    </row>
    <row r="19250" spans="18:18" s="2" customFormat="1" ht="12.75" x14ac:dyDescent="0.2">
      <c r="R19250" s="1288"/>
    </row>
    <row r="19251" spans="18:18" s="2" customFormat="1" ht="12.75" x14ac:dyDescent="0.2">
      <c r="R19251" s="1288"/>
    </row>
    <row r="19252" spans="18:18" s="2" customFormat="1" ht="12.75" x14ac:dyDescent="0.2">
      <c r="R19252" s="1288"/>
    </row>
    <row r="19253" spans="18:18" s="2" customFormat="1" ht="12.75" x14ac:dyDescent="0.2">
      <c r="R19253" s="1288"/>
    </row>
    <row r="19254" spans="18:18" s="2" customFormat="1" ht="12.75" x14ac:dyDescent="0.2">
      <c r="R19254" s="1288"/>
    </row>
    <row r="19255" spans="18:18" s="2" customFormat="1" ht="12.75" x14ac:dyDescent="0.2">
      <c r="R19255" s="1288"/>
    </row>
    <row r="19256" spans="18:18" s="2" customFormat="1" ht="12.75" x14ac:dyDescent="0.2">
      <c r="R19256" s="1288"/>
    </row>
    <row r="19257" spans="18:18" s="2" customFormat="1" ht="12.75" x14ac:dyDescent="0.2">
      <c r="R19257" s="1288"/>
    </row>
    <row r="19258" spans="18:18" s="2" customFormat="1" ht="12.75" x14ac:dyDescent="0.2">
      <c r="R19258" s="1288"/>
    </row>
    <row r="19259" spans="18:18" s="2" customFormat="1" ht="12.75" x14ac:dyDescent="0.2">
      <c r="R19259" s="1288"/>
    </row>
    <row r="19260" spans="18:18" s="2" customFormat="1" ht="12.75" x14ac:dyDescent="0.2">
      <c r="R19260" s="1288"/>
    </row>
    <row r="19261" spans="18:18" s="2" customFormat="1" ht="12.75" x14ac:dyDescent="0.2">
      <c r="R19261" s="1288"/>
    </row>
    <row r="19262" spans="18:18" s="2" customFormat="1" ht="12.75" x14ac:dyDescent="0.2">
      <c r="R19262" s="1288"/>
    </row>
    <row r="19263" spans="18:18" s="2" customFormat="1" ht="12.75" x14ac:dyDescent="0.2">
      <c r="R19263" s="1288"/>
    </row>
    <row r="19264" spans="18:18" s="2" customFormat="1" ht="12.75" x14ac:dyDescent="0.2">
      <c r="R19264" s="1288"/>
    </row>
    <row r="19265" spans="18:18" s="2" customFormat="1" ht="12.75" x14ac:dyDescent="0.2">
      <c r="R19265" s="1288"/>
    </row>
    <row r="19266" spans="18:18" s="2" customFormat="1" ht="12.75" x14ac:dyDescent="0.2">
      <c r="R19266" s="1288"/>
    </row>
    <row r="19267" spans="18:18" s="2" customFormat="1" ht="12.75" x14ac:dyDescent="0.2">
      <c r="R19267" s="1288"/>
    </row>
    <row r="19268" spans="18:18" s="2" customFormat="1" ht="12.75" x14ac:dyDescent="0.2">
      <c r="R19268" s="1288"/>
    </row>
    <row r="19269" spans="18:18" s="2" customFormat="1" ht="12.75" x14ac:dyDescent="0.2">
      <c r="R19269" s="1288"/>
    </row>
    <row r="19270" spans="18:18" s="2" customFormat="1" ht="12.75" x14ac:dyDescent="0.2">
      <c r="R19270" s="1288"/>
    </row>
    <row r="19271" spans="18:18" s="2" customFormat="1" ht="12.75" x14ac:dyDescent="0.2">
      <c r="R19271" s="1288"/>
    </row>
    <row r="19272" spans="18:18" s="2" customFormat="1" ht="12.75" x14ac:dyDescent="0.2">
      <c r="R19272" s="1288"/>
    </row>
    <row r="19273" spans="18:18" s="2" customFormat="1" ht="12.75" x14ac:dyDescent="0.2">
      <c r="R19273" s="1288"/>
    </row>
    <row r="19274" spans="18:18" s="2" customFormat="1" ht="12.75" x14ac:dyDescent="0.2">
      <c r="R19274" s="1288"/>
    </row>
    <row r="19275" spans="18:18" s="2" customFormat="1" ht="12.75" x14ac:dyDescent="0.2">
      <c r="R19275" s="1288"/>
    </row>
    <row r="19276" spans="18:18" s="2" customFormat="1" ht="12.75" x14ac:dyDescent="0.2">
      <c r="R19276" s="1288"/>
    </row>
    <row r="19277" spans="18:18" s="2" customFormat="1" ht="12.75" x14ac:dyDescent="0.2">
      <c r="R19277" s="1288"/>
    </row>
    <row r="19278" spans="18:18" s="2" customFormat="1" ht="12.75" x14ac:dyDescent="0.2">
      <c r="R19278" s="1288"/>
    </row>
    <row r="19279" spans="18:18" s="2" customFormat="1" ht="12.75" x14ac:dyDescent="0.2">
      <c r="R19279" s="1288"/>
    </row>
    <row r="19280" spans="18:18" s="2" customFormat="1" ht="12.75" x14ac:dyDescent="0.2">
      <c r="R19280" s="1288"/>
    </row>
    <row r="19281" spans="18:18" s="2" customFormat="1" ht="12.75" x14ac:dyDescent="0.2">
      <c r="R19281" s="1288"/>
    </row>
    <row r="19282" spans="18:18" s="2" customFormat="1" ht="12.75" x14ac:dyDescent="0.2">
      <c r="R19282" s="1288"/>
    </row>
    <row r="19283" spans="18:18" s="2" customFormat="1" ht="12.75" x14ac:dyDescent="0.2">
      <c r="R19283" s="1288"/>
    </row>
    <row r="19284" spans="18:18" s="2" customFormat="1" ht="12.75" x14ac:dyDescent="0.2">
      <c r="R19284" s="1288"/>
    </row>
    <row r="19285" spans="18:18" s="2" customFormat="1" ht="12.75" x14ac:dyDescent="0.2">
      <c r="R19285" s="1288"/>
    </row>
    <row r="19286" spans="18:18" s="2" customFormat="1" ht="12.75" x14ac:dyDescent="0.2">
      <c r="R19286" s="1288"/>
    </row>
    <row r="19287" spans="18:18" s="2" customFormat="1" ht="12.75" x14ac:dyDescent="0.2">
      <c r="R19287" s="1288"/>
    </row>
    <row r="19288" spans="18:18" s="2" customFormat="1" ht="12.75" x14ac:dyDescent="0.2">
      <c r="R19288" s="1288"/>
    </row>
    <row r="19289" spans="18:18" s="2" customFormat="1" ht="12.75" x14ac:dyDescent="0.2">
      <c r="R19289" s="1288"/>
    </row>
    <row r="19290" spans="18:18" s="2" customFormat="1" ht="12.75" x14ac:dyDescent="0.2">
      <c r="R19290" s="1288"/>
    </row>
    <row r="19291" spans="18:18" s="2" customFormat="1" ht="12.75" x14ac:dyDescent="0.2">
      <c r="R19291" s="1288"/>
    </row>
    <row r="19292" spans="18:18" s="2" customFormat="1" ht="12.75" x14ac:dyDescent="0.2">
      <c r="R19292" s="1288"/>
    </row>
    <row r="19293" spans="18:18" s="2" customFormat="1" ht="12.75" x14ac:dyDescent="0.2">
      <c r="R19293" s="1288"/>
    </row>
    <row r="19294" spans="18:18" s="2" customFormat="1" ht="12.75" x14ac:dyDescent="0.2">
      <c r="R19294" s="1288"/>
    </row>
    <row r="19295" spans="18:18" s="2" customFormat="1" ht="12.75" x14ac:dyDescent="0.2">
      <c r="R19295" s="1288"/>
    </row>
    <row r="19296" spans="18:18" s="2" customFormat="1" ht="12.75" x14ac:dyDescent="0.2">
      <c r="R19296" s="1288"/>
    </row>
    <row r="19297" spans="18:18" s="2" customFormat="1" ht="12.75" x14ac:dyDescent="0.2">
      <c r="R19297" s="1288"/>
    </row>
    <row r="19298" spans="18:18" s="2" customFormat="1" ht="12.75" x14ac:dyDescent="0.2">
      <c r="R19298" s="1288"/>
    </row>
    <row r="19299" spans="18:18" s="2" customFormat="1" ht="12.75" x14ac:dyDescent="0.2">
      <c r="R19299" s="1288"/>
    </row>
    <row r="19300" spans="18:18" s="2" customFormat="1" ht="12.75" x14ac:dyDescent="0.2">
      <c r="R19300" s="1288"/>
    </row>
    <row r="19301" spans="18:18" s="2" customFormat="1" ht="12.75" x14ac:dyDescent="0.2">
      <c r="R19301" s="1288"/>
    </row>
    <row r="19302" spans="18:18" s="2" customFormat="1" ht="12.75" x14ac:dyDescent="0.2">
      <c r="R19302" s="1288"/>
    </row>
    <row r="19303" spans="18:18" s="2" customFormat="1" ht="12.75" x14ac:dyDescent="0.2">
      <c r="R19303" s="1288"/>
    </row>
    <row r="19304" spans="18:18" s="2" customFormat="1" ht="12.75" x14ac:dyDescent="0.2">
      <c r="R19304" s="1288"/>
    </row>
    <row r="19305" spans="18:18" s="2" customFormat="1" ht="12.75" x14ac:dyDescent="0.2">
      <c r="R19305" s="1288"/>
    </row>
    <row r="19306" spans="18:18" s="2" customFormat="1" ht="12.75" x14ac:dyDescent="0.2">
      <c r="R19306" s="1288"/>
    </row>
    <row r="19307" spans="18:18" s="2" customFormat="1" ht="12.75" x14ac:dyDescent="0.2">
      <c r="R19307" s="1288"/>
    </row>
    <row r="19308" spans="18:18" s="2" customFormat="1" ht="12.75" x14ac:dyDescent="0.2">
      <c r="R19308" s="1288"/>
    </row>
    <row r="19309" spans="18:18" s="2" customFormat="1" ht="12.75" x14ac:dyDescent="0.2">
      <c r="R19309" s="1288"/>
    </row>
    <row r="19310" spans="18:18" s="2" customFormat="1" ht="12.75" x14ac:dyDescent="0.2">
      <c r="R19310" s="1288"/>
    </row>
    <row r="19311" spans="18:18" s="2" customFormat="1" ht="12.75" x14ac:dyDescent="0.2">
      <c r="R19311" s="1288"/>
    </row>
    <row r="19312" spans="18:18" s="2" customFormat="1" ht="12.75" x14ac:dyDescent="0.2">
      <c r="R19312" s="1288"/>
    </row>
    <row r="19313" spans="18:18" s="2" customFormat="1" ht="12.75" x14ac:dyDescent="0.2">
      <c r="R19313" s="1288"/>
    </row>
    <row r="19314" spans="18:18" s="2" customFormat="1" ht="12.75" x14ac:dyDescent="0.2">
      <c r="R19314" s="1288"/>
    </row>
    <row r="19315" spans="18:18" s="2" customFormat="1" ht="12.75" x14ac:dyDescent="0.2">
      <c r="R19315" s="1288"/>
    </row>
    <row r="19316" spans="18:18" s="2" customFormat="1" ht="12.75" x14ac:dyDescent="0.2">
      <c r="R19316" s="1288"/>
    </row>
    <row r="19317" spans="18:18" s="2" customFormat="1" ht="12.75" x14ac:dyDescent="0.2">
      <c r="R19317" s="1288"/>
    </row>
    <row r="19318" spans="18:18" s="2" customFormat="1" ht="12.75" x14ac:dyDescent="0.2">
      <c r="R19318" s="1288"/>
    </row>
    <row r="19319" spans="18:18" s="2" customFormat="1" ht="12.75" x14ac:dyDescent="0.2">
      <c r="R19319" s="1288"/>
    </row>
    <row r="19320" spans="18:18" s="2" customFormat="1" ht="12.75" x14ac:dyDescent="0.2">
      <c r="R19320" s="1288"/>
    </row>
    <row r="19321" spans="18:18" s="2" customFormat="1" ht="12.75" x14ac:dyDescent="0.2">
      <c r="R19321" s="1288"/>
    </row>
    <row r="19322" spans="18:18" s="2" customFormat="1" ht="12.75" x14ac:dyDescent="0.2">
      <c r="R19322" s="1288"/>
    </row>
    <row r="19323" spans="18:18" s="2" customFormat="1" ht="12.75" x14ac:dyDescent="0.2">
      <c r="R19323" s="1288"/>
    </row>
    <row r="19324" spans="18:18" s="2" customFormat="1" ht="12.75" x14ac:dyDescent="0.2">
      <c r="R19324" s="1288"/>
    </row>
    <row r="19325" spans="18:18" s="2" customFormat="1" ht="12.75" x14ac:dyDescent="0.2">
      <c r="R19325" s="1288"/>
    </row>
    <row r="19326" spans="18:18" s="2" customFormat="1" ht="12.75" x14ac:dyDescent="0.2">
      <c r="R19326" s="1288"/>
    </row>
    <row r="19327" spans="18:18" s="2" customFormat="1" ht="12.75" x14ac:dyDescent="0.2">
      <c r="R19327" s="1288"/>
    </row>
    <row r="19328" spans="18:18" s="2" customFormat="1" ht="12.75" x14ac:dyDescent="0.2">
      <c r="R19328" s="1288"/>
    </row>
    <row r="19329" spans="18:18" s="2" customFormat="1" ht="12.75" x14ac:dyDescent="0.2">
      <c r="R19329" s="1288"/>
    </row>
    <row r="19330" spans="18:18" s="2" customFormat="1" ht="12.75" x14ac:dyDescent="0.2">
      <c r="R19330" s="1288"/>
    </row>
    <row r="19331" spans="18:18" s="2" customFormat="1" ht="12.75" x14ac:dyDescent="0.2">
      <c r="R19331" s="1288"/>
    </row>
    <row r="19332" spans="18:18" s="2" customFormat="1" ht="12.75" x14ac:dyDescent="0.2">
      <c r="R19332" s="1288"/>
    </row>
    <row r="19333" spans="18:18" s="2" customFormat="1" ht="12.75" x14ac:dyDescent="0.2">
      <c r="R19333" s="1288"/>
    </row>
    <row r="19334" spans="18:18" s="2" customFormat="1" ht="12.75" x14ac:dyDescent="0.2">
      <c r="R19334" s="1288"/>
    </row>
    <row r="19335" spans="18:18" s="2" customFormat="1" ht="12.75" x14ac:dyDescent="0.2">
      <c r="R19335" s="1288"/>
    </row>
    <row r="19336" spans="18:18" s="2" customFormat="1" ht="12.75" x14ac:dyDescent="0.2">
      <c r="R19336" s="1288"/>
    </row>
    <row r="19337" spans="18:18" s="2" customFormat="1" ht="12.75" x14ac:dyDescent="0.2">
      <c r="R19337" s="1288"/>
    </row>
    <row r="19338" spans="18:18" s="2" customFormat="1" ht="12.75" x14ac:dyDescent="0.2">
      <c r="R19338" s="1288"/>
    </row>
    <row r="19339" spans="18:18" s="2" customFormat="1" ht="12.75" x14ac:dyDescent="0.2">
      <c r="R19339" s="1288"/>
    </row>
    <row r="19340" spans="18:18" s="2" customFormat="1" ht="12.75" x14ac:dyDescent="0.2">
      <c r="R19340" s="1288"/>
    </row>
    <row r="19341" spans="18:18" s="2" customFormat="1" ht="12.75" x14ac:dyDescent="0.2">
      <c r="R19341" s="1288"/>
    </row>
    <row r="19342" spans="18:18" s="2" customFormat="1" ht="12.75" x14ac:dyDescent="0.2">
      <c r="R19342" s="1288"/>
    </row>
    <row r="19343" spans="18:18" s="2" customFormat="1" ht="12.75" x14ac:dyDescent="0.2">
      <c r="R19343" s="1288"/>
    </row>
    <row r="19344" spans="18:18" s="2" customFormat="1" ht="12.75" x14ac:dyDescent="0.2">
      <c r="R19344" s="1288"/>
    </row>
    <row r="19345" spans="18:18" s="2" customFormat="1" ht="12.75" x14ac:dyDescent="0.2">
      <c r="R19345" s="1288"/>
    </row>
    <row r="19346" spans="18:18" s="2" customFormat="1" ht="12.75" x14ac:dyDescent="0.2">
      <c r="R19346" s="1288"/>
    </row>
    <row r="19347" spans="18:18" s="2" customFormat="1" ht="12.75" x14ac:dyDescent="0.2">
      <c r="R19347" s="1288"/>
    </row>
    <row r="19348" spans="18:18" s="2" customFormat="1" ht="12.75" x14ac:dyDescent="0.2">
      <c r="R19348" s="1288"/>
    </row>
    <row r="19349" spans="18:18" s="2" customFormat="1" ht="12.75" x14ac:dyDescent="0.2">
      <c r="R19349" s="1288"/>
    </row>
    <row r="19350" spans="18:18" s="2" customFormat="1" ht="12.75" x14ac:dyDescent="0.2">
      <c r="R19350" s="1288"/>
    </row>
    <row r="19351" spans="18:18" s="2" customFormat="1" ht="12.75" x14ac:dyDescent="0.2">
      <c r="R19351" s="1288"/>
    </row>
    <row r="19352" spans="18:18" s="2" customFormat="1" ht="12.75" x14ac:dyDescent="0.2">
      <c r="R19352" s="1288"/>
    </row>
    <row r="19353" spans="18:18" s="2" customFormat="1" ht="12.75" x14ac:dyDescent="0.2">
      <c r="R19353" s="1288"/>
    </row>
    <row r="19354" spans="18:18" s="2" customFormat="1" ht="12.75" x14ac:dyDescent="0.2">
      <c r="R19354" s="1288"/>
    </row>
    <row r="19355" spans="18:18" s="2" customFormat="1" ht="12.75" x14ac:dyDescent="0.2">
      <c r="R19355" s="1288"/>
    </row>
    <row r="19356" spans="18:18" s="2" customFormat="1" ht="12.75" x14ac:dyDescent="0.2">
      <c r="R19356" s="1288"/>
    </row>
    <row r="19357" spans="18:18" s="2" customFormat="1" ht="12.75" x14ac:dyDescent="0.2">
      <c r="R19357" s="1288"/>
    </row>
    <row r="19358" spans="18:18" s="2" customFormat="1" ht="12.75" x14ac:dyDescent="0.2">
      <c r="R19358" s="1288"/>
    </row>
    <row r="19359" spans="18:18" s="2" customFormat="1" ht="12.75" x14ac:dyDescent="0.2">
      <c r="R19359" s="1288"/>
    </row>
    <row r="19360" spans="18:18" s="2" customFormat="1" ht="12.75" x14ac:dyDescent="0.2">
      <c r="R19360" s="1288"/>
    </row>
    <row r="19361" spans="18:18" s="2" customFormat="1" ht="12.75" x14ac:dyDescent="0.2">
      <c r="R19361" s="1288"/>
    </row>
    <row r="19362" spans="18:18" s="2" customFormat="1" ht="12.75" x14ac:dyDescent="0.2">
      <c r="R19362" s="1288"/>
    </row>
    <row r="19363" spans="18:18" s="2" customFormat="1" ht="12.75" x14ac:dyDescent="0.2">
      <c r="R19363" s="1288"/>
    </row>
    <row r="19364" spans="18:18" s="2" customFormat="1" ht="12.75" x14ac:dyDescent="0.2">
      <c r="R19364" s="1288"/>
    </row>
    <row r="19365" spans="18:18" s="2" customFormat="1" ht="12.75" x14ac:dyDescent="0.2">
      <c r="R19365" s="1288"/>
    </row>
    <row r="19366" spans="18:18" s="2" customFormat="1" ht="12.75" x14ac:dyDescent="0.2">
      <c r="R19366" s="1288"/>
    </row>
    <row r="19367" spans="18:18" s="2" customFormat="1" ht="12.75" x14ac:dyDescent="0.2">
      <c r="R19367" s="1288"/>
    </row>
    <row r="19368" spans="18:18" s="2" customFormat="1" ht="12.75" x14ac:dyDescent="0.2">
      <c r="R19368" s="1288"/>
    </row>
    <row r="19369" spans="18:18" s="2" customFormat="1" ht="12.75" x14ac:dyDescent="0.2">
      <c r="R19369" s="1288"/>
    </row>
    <row r="19370" spans="18:18" s="2" customFormat="1" ht="12.75" x14ac:dyDescent="0.2">
      <c r="R19370" s="1288"/>
    </row>
    <row r="19371" spans="18:18" s="2" customFormat="1" ht="12.75" x14ac:dyDescent="0.2">
      <c r="R19371" s="1288"/>
    </row>
    <row r="19372" spans="18:18" s="2" customFormat="1" ht="12.75" x14ac:dyDescent="0.2">
      <c r="R19372" s="1288"/>
    </row>
    <row r="19373" spans="18:18" s="2" customFormat="1" ht="12.75" x14ac:dyDescent="0.2">
      <c r="R19373" s="1288"/>
    </row>
    <row r="19374" spans="18:18" s="2" customFormat="1" ht="12.75" x14ac:dyDescent="0.2">
      <c r="R19374" s="1288"/>
    </row>
    <row r="19375" spans="18:18" s="2" customFormat="1" ht="12.75" x14ac:dyDescent="0.2">
      <c r="R19375" s="1288"/>
    </row>
    <row r="19376" spans="18:18" s="2" customFormat="1" ht="12.75" x14ac:dyDescent="0.2">
      <c r="R19376" s="1288"/>
    </row>
    <row r="19377" spans="18:18" s="2" customFormat="1" ht="12.75" x14ac:dyDescent="0.2">
      <c r="R19377" s="1288"/>
    </row>
    <row r="19378" spans="18:18" s="2" customFormat="1" ht="12.75" x14ac:dyDescent="0.2">
      <c r="R19378" s="1288"/>
    </row>
    <row r="19379" spans="18:18" s="2" customFormat="1" ht="12.75" x14ac:dyDescent="0.2">
      <c r="R19379" s="1288"/>
    </row>
    <row r="19380" spans="18:18" s="2" customFormat="1" ht="12.75" x14ac:dyDescent="0.2">
      <c r="R19380" s="1288"/>
    </row>
    <row r="19381" spans="18:18" s="2" customFormat="1" ht="12.75" x14ac:dyDescent="0.2">
      <c r="R19381" s="1288"/>
    </row>
    <row r="19382" spans="18:18" s="2" customFormat="1" ht="12.75" x14ac:dyDescent="0.2">
      <c r="R19382" s="1288"/>
    </row>
    <row r="19383" spans="18:18" s="2" customFormat="1" ht="12.75" x14ac:dyDescent="0.2">
      <c r="R19383" s="1288"/>
    </row>
    <row r="19384" spans="18:18" s="2" customFormat="1" ht="12.75" x14ac:dyDescent="0.2">
      <c r="R19384" s="1288"/>
    </row>
    <row r="19385" spans="18:18" s="2" customFormat="1" ht="12.75" x14ac:dyDescent="0.2">
      <c r="R19385" s="1288"/>
    </row>
    <row r="19386" spans="18:18" s="2" customFormat="1" ht="12.75" x14ac:dyDescent="0.2">
      <c r="R19386" s="1288"/>
    </row>
    <row r="19387" spans="18:18" s="2" customFormat="1" ht="12.75" x14ac:dyDescent="0.2">
      <c r="R19387" s="1288"/>
    </row>
    <row r="19388" spans="18:18" s="2" customFormat="1" ht="12.75" x14ac:dyDescent="0.2">
      <c r="R19388" s="1288"/>
    </row>
    <row r="19389" spans="18:18" s="2" customFormat="1" ht="12.75" x14ac:dyDescent="0.2">
      <c r="R19389" s="1288"/>
    </row>
    <row r="19390" spans="18:18" s="2" customFormat="1" ht="12.75" x14ac:dyDescent="0.2">
      <c r="R19390" s="1288"/>
    </row>
    <row r="19391" spans="18:18" s="2" customFormat="1" ht="12.75" x14ac:dyDescent="0.2">
      <c r="R19391" s="1288"/>
    </row>
    <row r="19392" spans="18:18" s="2" customFormat="1" ht="12.75" x14ac:dyDescent="0.2">
      <c r="R19392" s="1288"/>
    </row>
    <row r="19393" spans="18:18" s="2" customFormat="1" ht="12.75" x14ac:dyDescent="0.2">
      <c r="R19393" s="1288"/>
    </row>
    <row r="19394" spans="18:18" s="2" customFormat="1" ht="12.75" x14ac:dyDescent="0.2">
      <c r="R19394" s="1288"/>
    </row>
    <row r="19395" spans="18:18" s="2" customFormat="1" ht="12.75" x14ac:dyDescent="0.2">
      <c r="R19395" s="1288"/>
    </row>
    <row r="19396" spans="18:18" s="2" customFormat="1" ht="12.75" x14ac:dyDescent="0.2">
      <c r="R19396" s="1288"/>
    </row>
    <row r="19397" spans="18:18" s="2" customFormat="1" ht="12.75" x14ac:dyDescent="0.2">
      <c r="R19397" s="1288"/>
    </row>
    <row r="19398" spans="18:18" s="2" customFormat="1" ht="12.75" x14ac:dyDescent="0.2">
      <c r="R19398" s="1288"/>
    </row>
    <row r="19399" spans="18:18" s="2" customFormat="1" ht="12.75" x14ac:dyDescent="0.2">
      <c r="R19399" s="1288"/>
    </row>
    <row r="19400" spans="18:18" s="2" customFormat="1" ht="12.75" x14ac:dyDescent="0.2">
      <c r="R19400" s="1288"/>
    </row>
    <row r="19401" spans="18:18" s="2" customFormat="1" ht="12.75" x14ac:dyDescent="0.2">
      <c r="R19401" s="1288"/>
    </row>
    <row r="19402" spans="18:18" s="2" customFormat="1" ht="12.75" x14ac:dyDescent="0.2">
      <c r="R19402" s="1288"/>
    </row>
    <row r="19403" spans="18:18" s="2" customFormat="1" ht="12.75" x14ac:dyDescent="0.2">
      <c r="R19403" s="1288"/>
    </row>
    <row r="19404" spans="18:18" s="2" customFormat="1" ht="12.75" x14ac:dyDescent="0.2">
      <c r="R19404" s="1288"/>
    </row>
    <row r="19405" spans="18:18" s="2" customFormat="1" ht="12.75" x14ac:dyDescent="0.2">
      <c r="R19405" s="1288"/>
    </row>
    <row r="19406" spans="18:18" s="2" customFormat="1" ht="12.75" x14ac:dyDescent="0.2">
      <c r="R19406" s="1288"/>
    </row>
    <row r="19407" spans="18:18" s="2" customFormat="1" ht="12.75" x14ac:dyDescent="0.2">
      <c r="R19407" s="1288"/>
    </row>
    <row r="19408" spans="18:18" s="2" customFormat="1" ht="12.75" x14ac:dyDescent="0.2">
      <c r="R19408" s="1288"/>
    </row>
    <row r="19409" spans="18:18" s="2" customFormat="1" ht="12.75" x14ac:dyDescent="0.2">
      <c r="R19409" s="1288"/>
    </row>
    <row r="19410" spans="18:18" s="2" customFormat="1" ht="12.75" x14ac:dyDescent="0.2">
      <c r="R19410" s="1288"/>
    </row>
    <row r="19411" spans="18:18" s="2" customFormat="1" ht="12.75" x14ac:dyDescent="0.2">
      <c r="R19411" s="1288"/>
    </row>
    <row r="19412" spans="18:18" s="2" customFormat="1" ht="12.75" x14ac:dyDescent="0.2">
      <c r="R19412" s="1288"/>
    </row>
    <row r="19413" spans="18:18" s="2" customFormat="1" ht="12.75" x14ac:dyDescent="0.2">
      <c r="R19413" s="1288"/>
    </row>
    <row r="19414" spans="18:18" s="2" customFormat="1" ht="12.75" x14ac:dyDescent="0.2">
      <c r="R19414" s="1288"/>
    </row>
    <row r="19415" spans="18:18" s="2" customFormat="1" ht="12.75" x14ac:dyDescent="0.2">
      <c r="R19415" s="1288"/>
    </row>
    <row r="19416" spans="18:18" s="2" customFormat="1" ht="12.75" x14ac:dyDescent="0.2">
      <c r="R19416" s="1288"/>
    </row>
    <row r="19417" spans="18:18" s="2" customFormat="1" ht="12.75" x14ac:dyDescent="0.2">
      <c r="R19417" s="1288"/>
    </row>
    <row r="19418" spans="18:18" s="2" customFormat="1" ht="12.75" x14ac:dyDescent="0.2">
      <c r="R19418" s="1288"/>
    </row>
    <row r="19419" spans="18:18" s="2" customFormat="1" ht="12.75" x14ac:dyDescent="0.2">
      <c r="R19419" s="1288"/>
    </row>
    <row r="19420" spans="18:18" s="2" customFormat="1" ht="12.75" x14ac:dyDescent="0.2">
      <c r="R19420" s="1288"/>
    </row>
    <row r="19421" spans="18:18" s="2" customFormat="1" ht="12.75" x14ac:dyDescent="0.2">
      <c r="R19421" s="1288"/>
    </row>
    <row r="19422" spans="18:18" s="2" customFormat="1" ht="12.75" x14ac:dyDescent="0.2">
      <c r="R19422" s="1288"/>
    </row>
    <row r="19423" spans="18:18" s="2" customFormat="1" ht="12.75" x14ac:dyDescent="0.2">
      <c r="R19423" s="1288"/>
    </row>
    <row r="19424" spans="18:18" s="2" customFormat="1" ht="12.75" x14ac:dyDescent="0.2">
      <c r="R19424" s="1288"/>
    </row>
    <row r="19425" spans="18:18" s="2" customFormat="1" ht="12.75" x14ac:dyDescent="0.2">
      <c r="R19425" s="1288"/>
    </row>
    <row r="19426" spans="18:18" s="2" customFormat="1" ht="12.75" x14ac:dyDescent="0.2">
      <c r="R19426" s="1288"/>
    </row>
    <row r="19427" spans="18:18" s="2" customFormat="1" ht="12.75" x14ac:dyDescent="0.2">
      <c r="R19427" s="1288"/>
    </row>
    <row r="19428" spans="18:18" s="2" customFormat="1" ht="12.75" x14ac:dyDescent="0.2">
      <c r="R19428" s="1288"/>
    </row>
    <row r="19429" spans="18:18" s="2" customFormat="1" ht="12.75" x14ac:dyDescent="0.2">
      <c r="R19429" s="1288"/>
    </row>
    <row r="19430" spans="18:18" s="2" customFormat="1" ht="12.75" x14ac:dyDescent="0.2">
      <c r="R19430" s="1288"/>
    </row>
    <row r="19431" spans="18:18" s="2" customFormat="1" ht="12.75" x14ac:dyDescent="0.2">
      <c r="R19431" s="1288"/>
    </row>
    <row r="19432" spans="18:18" s="2" customFormat="1" ht="12.75" x14ac:dyDescent="0.2">
      <c r="R19432" s="1288"/>
    </row>
    <row r="19433" spans="18:18" s="2" customFormat="1" ht="12.75" x14ac:dyDescent="0.2">
      <c r="R19433" s="1288"/>
    </row>
    <row r="19434" spans="18:18" s="2" customFormat="1" ht="12.75" x14ac:dyDescent="0.2">
      <c r="R19434" s="1288"/>
    </row>
    <row r="19435" spans="18:18" s="2" customFormat="1" ht="12.75" x14ac:dyDescent="0.2">
      <c r="R19435" s="1288"/>
    </row>
    <row r="19436" spans="18:18" s="2" customFormat="1" ht="12.75" x14ac:dyDescent="0.2">
      <c r="R19436" s="1288"/>
    </row>
    <row r="19437" spans="18:18" s="2" customFormat="1" ht="12.75" x14ac:dyDescent="0.2">
      <c r="R19437" s="1288"/>
    </row>
    <row r="19438" spans="18:18" s="2" customFormat="1" ht="12.75" x14ac:dyDescent="0.2">
      <c r="R19438" s="1288"/>
    </row>
    <row r="19439" spans="18:18" s="2" customFormat="1" ht="12.75" x14ac:dyDescent="0.2">
      <c r="R19439" s="1288"/>
    </row>
    <row r="19440" spans="18:18" s="2" customFormat="1" ht="12.75" x14ac:dyDescent="0.2">
      <c r="R19440" s="1288"/>
    </row>
    <row r="19441" spans="18:18" s="2" customFormat="1" ht="12.75" x14ac:dyDescent="0.2">
      <c r="R19441" s="1288"/>
    </row>
    <row r="19442" spans="18:18" s="2" customFormat="1" ht="12.75" x14ac:dyDescent="0.2">
      <c r="R19442" s="1288"/>
    </row>
    <row r="19443" spans="18:18" s="2" customFormat="1" ht="12.75" x14ac:dyDescent="0.2">
      <c r="R19443" s="1288"/>
    </row>
    <row r="19444" spans="18:18" s="2" customFormat="1" ht="12.75" x14ac:dyDescent="0.2">
      <c r="R19444" s="1288"/>
    </row>
    <row r="19445" spans="18:18" s="2" customFormat="1" ht="12.75" x14ac:dyDescent="0.2">
      <c r="R19445" s="1288"/>
    </row>
    <row r="19446" spans="18:18" s="2" customFormat="1" ht="12.75" x14ac:dyDescent="0.2">
      <c r="R19446" s="1288"/>
    </row>
    <row r="19447" spans="18:18" s="2" customFormat="1" ht="12.75" x14ac:dyDescent="0.2">
      <c r="R19447" s="1288"/>
    </row>
    <row r="19448" spans="18:18" s="2" customFormat="1" ht="12.75" x14ac:dyDescent="0.2">
      <c r="R19448" s="1288"/>
    </row>
    <row r="19449" spans="18:18" s="2" customFormat="1" ht="12.75" x14ac:dyDescent="0.2">
      <c r="R19449" s="1288"/>
    </row>
    <row r="19450" spans="18:18" s="2" customFormat="1" ht="12.75" x14ac:dyDescent="0.2">
      <c r="R19450" s="1288"/>
    </row>
    <row r="19451" spans="18:18" s="2" customFormat="1" ht="12.75" x14ac:dyDescent="0.2">
      <c r="R19451" s="1288"/>
    </row>
    <row r="19452" spans="18:18" s="2" customFormat="1" ht="12.75" x14ac:dyDescent="0.2">
      <c r="R19452" s="1288"/>
    </row>
    <row r="19453" spans="18:18" s="2" customFormat="1" ht="12.75" x14ac:dyDescent="0.2">
      <c r="R19453" s="1288"/>
    </row>
    <row r="19454" spans="18:18" s="2" customFormat="1" ht="12.75" x14ac:dyDescent="0.2">
      <c r="R19454" s="1288"/>
    </row>
    <row r="19455" spans="18:18" s="2" customFormat="1" ht="12.75" x14ac:dyDescent="0.2">
      <c r="R19455" s="1288"/>
    </row>
    <row r="19456" spans="18:18" s="2" customFormat="1" ht="12.75" x14ac:dyDescent="0.2">
      <c r="R19456" s="1288"/>
    </row>
    <row r="19457" spans="18:18" s="2" customFormat="1" ht="12.75" x14ac:dyDescent="0.2">
      <c r="R19457" s="1288"/>
    </row>
    <row r="19458" spans="18:18" s="2" customFormat="1" ht="12.75" x14ac:dyDescent="0.2">
      <c r="R19458" s="1288"/>
    </row>
    <row r="19459" spans="18:18" s="2" customFormat="1" ht="12.75" x14ac:dyDescent="0.2">
      <c r="R19459" s="1288"/>
    </row>
    <row r="19460" spans="18:18" s="2" customFormat="1" ht="12.75" x14ac:dyDescent="0.2">
      <c r="R19460" s="1288"/>
    </row>
    <row r="19461" spans="18:18" s="2" customFormat="1" ht="12.75" x14ac:dyDescent="0.2">
      <c r="R19461" s="1288"/>
    </row>
    <row r="19462" spans="18:18" s="2" customFormat="1" ht="12.75" x14ac:dyDescent="0.2">
      <c r="R19462" s="1288"/>
    </row>
    <row r="19463" spans="18:18" s="2" customFormat="1" ht="12.75" x14ac:dyDescent="0.2">
      <c r="R19463" s="1288"/>
    </row>
    <row r="19464" spans="18:18" s="2" customFormat="1" ht="12.75" x14ac:dyDescent="0.2">
      <c r="R19464" s="1288"/>
    </row>
    <row r="19465" spans="18:18" s="2" customFormat="1" ht="12.75" x14ac:dyDescent="0.2">
      <c r="R19465" s="1288"/>
    </row>
    <row r="19466" spans="18:18" s="2" customFormat="1" ht="12.75" x14ac:dyDescent="0.2">
      <c r="R19466" s="1288"/>
    </row>
    <row r="19467" spans="18:18" s="2" customFormat="1" ht="12.75" x14ac:dyDescent="0.2">
      <c r="R19467" s="1288"/>
    </row>
    <row r="19468" spans="18:18" s="2" customFormat="1" ht="12.75" x14ac:dyDescent="0.2">
      <c r="R19468" s="1288"/>
    </row>
    <row r="19469" spans="18:18" s="2" customFormat="1" ht="12.75" x14ac:dyDescent="0.2">
      <c r="R19469" s="1288"/>
    </row>
    <row r="19470" spans="18:18" s="2" customFormat="1" ht="12.75" x14ac:dyDescent="0.2">
      <c r="R19470" s="1288"/>
    </row>
    <row r="19471" spans="18:18" s="2" customFormat="1" ht="12.75" x14ac:dyDescent="0.2">
      <c r="R19471" s="1288"/>
    </row>
    <row r="19472" spans="18:18" s="2" customFormat="1" ht="12.75" x14ac:dyDescent="0.2">
      <c r="R19472" s="1288"/>
    </row>
    <row r="19473" spans="18:18" s="2" customFormat="1" ht="12.75" x14ac:dyDescent="0.2">
      <c r="R19473" s="1288"/>
    </row>
    <row r="19474" spans="18:18" s="2" customFormat="1" ht="12.75" x14ac:dyDescent="0.2">
      <c r="R19474" s="1288"/>
    </row>
    <row r="19475" spans="18:18" s="2" customFormat="1" ht="12.75" x14ac:dyDescent="0.2">
      <c r="R19475" s="1288"/>
    </row>
    <row r="19476" spans="18:18" s="2" customFormat="1" ht="12.75" x14ac:dyDescent="0.2">
      <c r="R19476" s="1288"/>
    </row>
    <row r="19477" spans="18:18" s="2" customFormat="1" ht="12.75" x14ac:dyDescent="0.2">
      <c r="R19477" s="1288"/>
    </row>
    <row r="19478" spans="18:18" s="2" customFormat="1" ht="12.75" x14ac:dyDescent="0.2">
      <c r="R19478" s="1288"/>
    </row>
    <row r="19479" spans="18:18" s="2" customFormat="1" ht="12.75" x14ac:dyDescent="0.2">
      <c r="R19479" s="1288"/>
    </row>
    <row r="19480" spans="18:18" s="2" customFormat="1" ht="12.75" x14ac:dyDescent="0.2">
      <c r="R19480" s="1288"/>
    </row>
    <row r="19481" spans="18:18" s="2" customFormat="1" ht="12.75" x14ac:dyDescent="0.2">
      <c r="R19481" s="1288"/>
    </row>
    <row r="19482" spans="18:18" s="2" customFormat="1" ht="12.75" x14ac:dyDescent="0.2">
      <c r="R19482" s="1288"/>
    </row>
    <row r="19483" spans="18:18" s="2" customFormat="1" ht="12.75" x14ac:dyDescent="0.2">
      <c r="R19483" s="1288"/>
    </row>
    <row r="19484" spans="18:18" s="2" customFormat="1" ht="12.75" x14ac:dyDescent="0.2">
      <c r="R19484" s="1288"/>
    </row>
    <row r="19485" spans="18:18" s="2" customFormat="1" ht="12.75" x14ac:dyDescent="0.2">
      <c r="R19485" s="1288"/>
    </row>
    <row r="19486" spans="18:18" s="2" customFormat="1" ht="12.75" x14ac:dyDescent="0.2">
      <c r="R19486" s="1288"/>
    </row>
    <row r="19487" spans="18:18" s="2" customFormat="1" ht="12.75" x14ac:dyDescent="0.2">
      <c r="R19487" s="1288"/>
    </row>
    <row r="19488" spans="18:18" s="2" customFormat="1" ht="12.75" x14ac:dyDescent="0.2">
      <c r="R19488" s="1288"/>
    </row>
    <row r="19489" spans="18:18" s="2" customFormat="1" ht="12.75" x14ac:dyDescent="0.2">
      <c r="R19489" s="1288"/>
    </row>
    <row r="19490" spans="18:18" s="2" customFormat="1" ht="12.75" x14ac:dyDescent="0.2">
      <c r="R19490" s="1288"/>
    </row>
    <row r="19491" spans="18:18" s="2" customFormat="1" ht="12.75" x14ac:dyDescent="0.2">
      <c r="R19491" s="1288"/>
    </row>
    <row r="19492" spans="18:18" s="2" customFormat="1" ht="12.75" x14ac:dyDescent="0.2">
      <c r="R19492" s="1288"/>
    </row>
    <row r="19493" spans="18:18" s="2" customFormat="1" ht="12.75" x14ac:dyDescent="0.2">
      <c r="R19493" s="1288"/>
    </row>
    <row r="19494" spans="18:18" s="2" customFormat="1" ht="12.75" x14ac:dyDescent="0.2">
      <c r="R19494" s="1288"/>
    </row>
    <row r="19495" spans="18:18" s="2" customFormat="1" ht="12.75" x14ac:dyDescent="0.2">
      <c r="R19495" s="1288"/>
    </row>
    <row r="19496" spans="18:18" s="2" customFormat="1" ht="12.75" x14ac:dyDescent="0.2">
      <c r="R19496" s="1288"/>
    </row>
    <row r="19497" spans="18:18" s="2" customFormat="1" ht="12.75" x14ac:dyDescent="0.2">
      <c r="R19497" s="1288"/>
    </row>
    <row r="19498" spans="18:18" s="2" customFormat="1" ht="12.75" x14ac:dyDescent="0.2">
      <c r="R19498" s="1288"/>
    </row>
    <row r="19499" spans="18:18" s="2" customFormat="1" ht="12.75" x14ac:dyDescent="0.2">
      <c r="R19499" s="1288"/>
    </row>
    <row r="19500" spans="18:18" s="2" customFormat="1" ht="12.75" x14ac:dyDescent="0.2">
      <c r="R19500" s="1288"/>
    </row>
    <row r="19501" spans="18:18" s="2" customFormat="1" ht="12.75" x14ac:dyDescent="0.2">
      <c r="R19501" s="1288"/>
    </row>
    <row r="19502" spans="18:18" s="2" customFormat="1" ht="12.75" x14ac:dyDescent="0.2">
      <c r="R19502" s="1288"/>
    </row>
    <row r="19503" spans="18:18" s="2" customFormat="1" ht="12.75" x14ac:dyDescent="0.2">
      <c r="R19503" s="1288"/>
    </row>
    <row r="19504" spans="18:18" s="2" customFormat="1" ht="12.75" x14ac:dyDescent="0.2">
      <c r="R19504" s="1288"/>
    </row>
    <row r="19505" spans="18:18" s="2" customFormat="1" ht="12.75" x14ac:dyDescent="0.2">
      <c r="R19505" s="1288"/>
    </row>
    <row r="19506" spans="18:18" s="2" customFormat="1" ht="12.75" x14ac:dyDescent="0.2">
      <c r="R19506" s="1288"/>
    </row>
    <row r="19507" spans="18:18" s="2" customFormat="1" ht="12.75" x14ac:dyDescent="0.2">
      <c r="R19507" s="1288"/>
    </row>
    <row r="19508" spans="18:18" s="2" customFormat="1" ht="12.75" x14ac:dyDescent="0.2">
      <c r="R19508" s="1288"/>
    </row>
    <row r="19509" spans="18:18" s="2" customFormat="1" ht="12.75" x14ac:dyDescent="0.2">
      <c r="R19509" s="1288"/>
    </row>
    <row r="19510" spans="18:18" s="2" customFormat="1" ht="12.75" x14ac:dyDescent="0.2">
      <c r="R19510" s="1288"/>
    </row>
    <row r="19511" spans="18:18" s="2" customFormat="1" ht="12.75" x14ac:dyDescent="0.2">
      <c r="R19511" s="1288"/>
    </row>
    <row r="19512" spans="18:18" s="2" customFormat="1" ht="12.75" x14ac:dyDescent="0.2">
      <c r="R19512" s="1288"/>
    </row>
    <row r="19513" spans="18:18" s="2" customFormat="1" ht="12.75" x14ac:dyDescent="0.2">
      <c r="R19513" s="1288"/>
    </row>
    <row r="19514" spans="18:18" s="2" customFormat="1" ht="12.75" x14ac:dyDescent="0.2">
      <c r="R19514" s="1288"/>
    </row>
    <row r="19515" spans="18:18" s="2" customFormat="1" ht="12.75" x14ac:dyDescent="0.2">
      <c r="R19515" s="1288"/>
    </row>
    <row r="19516" spans="18:18" s="2" customFormat="1" ht="12.75" x14ac:dyDescent="0.2">
      <c r="R19516" s="1288"/>
    </row>
    <row r="19517" spans="18:18" s="2" customFormat="1" ht="12.75" x14ac:dyDescent="0.2">
      <c r="R19517" s="1288"/>
    </row>
    <row r="19518" spans="18:18" s="2" customFormat="1" ht="12.75" x14ac:dyDescent="0.2">
      <c r="R19518" s="1288"/>
    </row>
    <row r="19519" spans="18:18" s="2" customFormat="1" ht="12.75" x14ac:dyDescent="0.2">
      <c r="R19519" s="1288"/>
    </row>
    <row r="19520" spans="18:18" s="2" customFormat="1" ht="12.75" x14ac:dyDescent="0.2">
      <c r="R19520" s="1288"/>
    </row>
    <row r="19521" spans="18:18" s="2" customFormat="1" ht="12.75" x14ac:dyDescent="0.2">
      <c r="R19521" s="1288"/>
    </row>
    <row r="19522" spans="18:18" s="2" customFormat="1" ht="12.75" x14ac:dyDescent="0.2">
      <c r="R19522" s="1288"/>
    </row>
    <row r="19523" spans="18:18" s="2" customFormat="1" ht="12.75" x14ac:dyDescent="0.2">
      <c r="R19523" s="1288"/>
    </row>
    <row r="19524" spans="18:18" s="2" customFormat="1" ht="12.75" x14ac:dyDescent="0.2">
      <c r="R19524" s="1288"/>
    </row>
    <row r="19525" spans="18:18" s="2" customFormat="1" ht="12.75" x14ac:dyDescent="0.2">
      <c r="R19525" s="1288"/>
    </row>
    <row r="19526" spans="18:18" s="2" customFormat="1" ht="12.75" x14ac:dyDescent="0.2">
      <c r="R19526" s="1288"/>
    </row>
    <row r="19527" spans="18:18" s="2" customFormat="1" ht="12.75" x14ac:dyDescent="0.2">
      <c r="R19527" s="1288"/>
    </row>
    <row r="19528" spans="18:18" s="2" customFormat="1" ht="12.75" x14ac:dyDescent="0.2">
      <c r="R19528" s="1288"/>
    </row>
    <row r="19529" spans="18:18" s="2" customFormat="1" ht="12.75" x14ac:dyDescent="0.2">
      <c r="R19529" s="1288"/>
    </row>
    <row r="19530" spans="18:18" s="2" customFormat="1" ht="12.75" x14ac:dyDescent="0.2">
      <c r="R19530" s="1288"/>
    </row>
    <row r="19531" spans="18:18" s="2" customFormat="1" ht="12.75" x14ac:dyDescent="0.2">
      <c r="R19531" s="1288"/>
    </row>
    <row r="19532" spans="18:18" s="2" customFormat="1" ht="12.75" x14ac:dyDescent="0.2">
      <c r="R19532" s="1288"/>
    </row>
    <row r="19533" spans="18:18" s="2" customFormat="1" ht="12.75" x14ac:dyDescent="0.2">
      <c r="R19533" s="1288"/>
    </row>
    <row r="19534" spans="18:18" s="2" customFormat="1" ht="12.75" x14ac:dyDescent="0.2">
      <c r="R19534" s="1288"/>
    </row>
    <row r="19535" spans="18:18" s="2" customFormat="1" ht="12.75" x14ac:dyDescent="0.2">
      <c r="R19535" s="1288"/>
    </row>
    <row r="19536" spans="18:18" s="2" customFormat="1" ht="12.75" x14ac:dyDescent="0.2">
      <c r="R19536" s="1288"/>
    </row>
    <row r="19537" spans="18:18" s="2" customFormat="1" ht="12.75" x14ac:dyDescent="0.2">
      <c r="R19537" s="1288"/>
    </row>
    <row r="19538" spans="18:18" s="2" customFormat="1" ht="12.75" x14ac:dyDescent="0.2">
      <c r="R19538" s="1288"/>
    </row>
    <row r="19539" spans="18:18" s="2" customFormat="1" ht="12.75" x14ac:dyDescent="0.2">
      <c r="R19539" s="1288"/>
    </row>
    <row r="19540" spans="18:18" s="2" customFormat="1" ht="12.75" x14ac:dyDescent="0.2">
      <c r="R19540" s="1288"/>
    </row>
    <row r="19541" spans="18:18" s="2" customFormat="1" ht="12.75" x14ac:dyDescent="0.2">
      <c r="R19541" s="1288"/>
    </row>
    <row r="19542" spans="18:18" s="2" customFormat="1" ht="12.75" x14ac:dyDescent="0.2">
      <c r="R19542" s="1288"/>
    </row>
    <row r="19543" spans="18:18" s="2" customFormat="1" ht="12.75" x14ac:dyDescent="0.2">
      <c r="R19543" s="1288"/>
    </row>
    <row r="19544" spans="18:18" s="2" customFormat="1" ht="12.75" x14ac:dyDescent="0.2">
      <c r="R19544" s="1288"/>
    </row>
    <row r="19545" spans="18:18" s="2" customFormat="1" ht="12.75" x14ac:dyDescent="0.2">
      <c r="R19545" s="1288"/>
    </row>
    <row r="19546" spans="18:18" s="2" customFormat="1" ht="12.75" x14ac:dyDescent="0.2">
      <c r="R19546" s="1288"/>
    </row>
    <row r="19547" spans="18:18" s="2" customFormat="1" ht="12.75" x14ac:dyDescent="0.2">
      <c r="R19547" s="1288"/>
    </row>
    <row r="19548" spans="18:18" s="2" customFormat="1" ht="12.75" x14ac:dyDescent="0.2">
      <c r="R19548" s="1288"/>
    </row>
    <row r="19549" spans="18:18" s="2" customFormat="1" ht="12.75" x14ac:dyDescent="0.2">
      <c r="R19549" s="1288"/>
    </row>
    <row r="19550" spans="18:18" s="2" customFormat="1" ht="12.75" x14ac:dyDescent="0.2">
      <c r="R19550" s="1288"/>
    </row>
    <row r="19551" spans="18:18" s="2" customFormat="1" ht="12.75" x14ac:dyDescent="0.2">
      <c r="R19551" s="1288"/>
    </row>
    <row r="19552" spans="18:18" s="2" customFormat="1" ht="12.75" x14ac:dyDescent="0.2">
      <c r="R19552" s="1288"/>
    </row>
    <row r="19553" spans="18:18" s="2" customFormat="1" ht="12.75" x14ac:dyDescent="0.2">
      <c r="R19553" s="1288"/>
    </row>
    <row r="19554" spans="18:18" s="2" customFormat="1" ht="12.75" x14ac:dyDescent="0.2">
      <c r="R19554" s="1288"/>
    </row>
    <row r="19555" spans="18:18" s="2" customFormat="1" ht="12.75" x14ac:dyDescent="0.2">
      <c r="R19555" s="1288"/>
    </row>
    <row r="19556" spans="18:18" s="2" customFormat="1" ht="12.75" x14ac:dyDescent="0.2">
      <c r="R19556" s="1288"/>
    </row>
    <row r="19557" spans="18:18" s="2" customFormat="1" ht="12.75" x14ac:dyDescent="0.2">
      <c r="R19557" s="1288"/>
    </row>
    <row r="19558" spans="18:18" s="2" customFormat="1" ht="12.75" x14ac:dyDescent="0.2">
      <c r="R19558" s="1288"/>
    </row>
    <row r="19559" spans="18:18" s="2" customFormat="1" ht="12.75" x14ac:dyDescent="0.2">
      <c r="R19559" s="1288"/>
    </row>
    <row r="19560" spans="18:18" s="2" customFormat="1" ht="12.75" x14ac:dyDescent="0.2">
      <c r="R19560" s="1288"/>
    </row>
    <row r="19561" spans="18:18" s="2" customFormat="1" ht="12.75" x14ac:dyDescent="0.2">
      <c r="R19561" s="1288"/>
    </row>
    <row r="19562" spans="18:18" s="2" customFormat="1" ht="12.75" x14ac:dyDescent="0.2">
      <c r="R19562" s="1288"/>
    </row>
    <row r="19563" spans="18:18" s="2" customFormat="1" ht="12.75" x14ac:dyDescent="0.2">
      <c r="R19563" s="1288"/>
    </row>
    <row r="19564" spans="18:18" s="2" customFormat="1" ht="12.75" x14ac:dyDescent="0.2">
      <c r="R19564" s="1288"/>
    </row>
    <row r="19565" spans="18:18" s="2" customFormat="1" ht="12.75" x14ac:dyDescent="0.2">
      <c r="R19565" s="1288"/>
    </row>
    <row r="19566" spans="18:18" s="2" customFormat="1" ht="12.75" x14ac:dyDescent="0.2">
      <c r="R19566" s="1288"/>
    </row>
    <row r="19567" spans="18:18" s="2" customFormat="1" ht="12.75" x14ac:dyDescent="0.2">
      <c r="R19567" s="1288"/>
    </row>
    <row r="19568" spans="18:18" s="2" customFormat="1" ht="12.75" x14ac:dyDescent="0.2">
      <c r="R19568" s="1288"/>
    </row>
    <row r="19569" spans="18:18" s="2" customFormat="1" ht="12.75" x14ac:dyDescent="0.2">
      <c r="R19569" s="1288"/>
    </row>
    <row r="19570" spans="18:18" s="2" customFormat="1" ht="12.75" x14ac:dyDescent="0.2">
      <c r="R19570" s="1288"/>
    </row>
    <row r="19571" spans="18:18" s="2" customFormat="1" ht="12.75" x14ac:dyDescent="0.2">
      <c r="R19571" s="1288"/>
    </row>
    <row r="19572" spans="18:18" s="2" customFormat="1" ht="12.75" x14ac:dyDescent="0.2">
      <c r="R19572" s="1288"/>
    </row>
    <row r="19573" spans="18:18" s="2" customFormat="1" ht="12.75" x14ac:dyDescent="0.2">
      <c r="R19573" s="1288"/>
    </row>
    <row r="19574" spans="18:18" s="2" customFormat="1" ht="12.75" x14ac:dyDescent="0.2">
      <c r="R19574" s="1288"/>
    </row>
    <row r="19575" spans="18:18" s="2" customFormat="1" ht="12.75" x14ac:dyDescent="0.2">
      <c r="R19575" s="1288"/>
    </row>
    <row r="19576" spans="18:18" s="2" customFormat="1" ht="12.75" x14ac:dyDescent="0.2">
      <c r="R19576" s="1288"/>
    </row>
    <row r="19577" spans="18:18" s="2" customFormat="1" ht="12.75" x14ac:dyDescent="0.2">
      <c r="R19577" s="1288"/>
    </row>
    <row r="19578" spans="18:18" s="2" customFormat="1" ht="12.75" x14ac:dyDescent="0.2">
      <c r="R19578" s="1288"/>
    </row>
    <row r="19579" spans="18:18" s="2" customFormat="1" ht="12.75" x14ac:dyDescent="0.2">
      <c r="R19579" s="1288"/>
    </row>
    <row r="19580" spans="18:18" s="2" customFormat="1" ht="12.75" x14ac:dyDescent="0.2">
      <c r="R19580" s="1288"/>
    </row>
    <row r="19581" spans="18:18" s="2" customFormat="1" ht="12.75" x14ac:dyDescent="0.2">
      <c r="R19581" s="1288"/>
    </row>
    <row r="19582" spans="18:18" s="2" customFormat="1" ht="12.75" x14ac:dyDescent="0.2">
      <c r="R19582" s="1288"/>
    </row>
    <row r="19583" spans="18:18" s="2" customFormat="1" ht="12.75" x14ac:dyDescent="0.2">
      <c r="R19583" s="1288"/>
    </row>
    <row r="19584" spans="18:18" s="2" customFormat="1" ht="12.75" x14ac:dyDescent="0.2">
      <c r="R19584" s="1288"/>
    </row>
    <row r="19585" spans="18:18" s="2" customFormat="1" ht="12.75" x14ac:dyDescent="0.2">
      <c r="R19585" s="1288"/>
    </row>
    <row r="19586" spans="18:18" s="2" customFormat="1" ht="12.75" x14ac:dyDescent="0.2">
      <c r="R19586" s="1288"/>
    </row>
    <row r="19587" spans="18:18" s="2" customFormat="1" ht="12.75" x14ac:dyDescent="0.2">
      <c r="R19587" s="1288"/>
    </row>
    <row r="19588" spans="18:18" s="2" customFormat="1" ht="12.75" x14ac:dyDescent="0.2">
      <c r="R19588" s="1288"/>
    </row>
    <row r="19589" spans="18:18" s="2" customFormat="1" ht="12.75" x14ac:dyDescent="0.2">
      <c r="R19589" s="1288"/>
    </row>
    <row r="19590" spans="18:18" s="2" customFormat="1" ht="12.75" x14ac:dyDescent="0.2">
      <c r="R19590" s="1288"/>
    </row>
    <row r="19591" spans="18:18" s="2" customFormat="1" ht="12.75" x14ac:dyDescent="0.2">
      <c r="R19591" s="1288"/>
    </row>
    <row r="19592" spans="18:18" s="2" customFormat="1" ht="12.75" x14ac:dyDescent="0.2">
      <c r="R19592" s="1288"/>
    </row>
    <row r="19593" spans="18:18" s="2" customFormat="1" ht="12.75" x14ac:dyDescent="0.2">
      <c r="R19593" s="1288"/>
    </row>
    <row r="19594" spans="18:18" s="2" customFormat="1" ht="12.75" x14ac:dyDescent="0.2">
      <c r="R19594" s="1288"/>
    </row>
    <row r="19595" spans="18:18" s="2" customFormat="1" ht="12.75" x14ac:dyDescent="0.2">
      <c r="R19595" s="1288"/>
    </row>
    <row r="19596" spans="18:18" s="2" customFormat="1" ht="12.75" x14ac:dyDescent="0.2">
      <c r="R19596" s="1288"/>
    </row>
    <row r="19597" spans="18:18" s="2" customFormat="1" ht="12.75" x14ac:dyDescent="0.2">
      <c r="R19597" s="1288"/>
    </row>
    <row r="19598" spans="18:18" s="2" customFormat="1" ht="12.75" x14ac:dyDescent="0.2">
      <c r="R19598" s="1288"/>
    </row>
    <row r="19599" spans="18:18" s="2" customFormat="1" ht="12.75" x14ac:dyDescent="0.2">
      <c r="R19599" s="1288"/>
    </row>
    <row r="19600" spans="18:18" s="2" customFormat="1" ht="12.75" x14ac:dyDescent="0.2">
      <c r="R19600" s="1288"/>
    </row>
    <row r="19601" spans="18:18" s="2" customFormat="1" ht="12.75" x14ac:dyDescent="0.2">
      <c r="R19601" s="1288"/>
    </row>
    <row r="19602" spans="18:18" s="2" customFormat="1" ht="12.75" x14ac:dyDescent="0.2">
      <c r="R19602" s="1288"/>
    </row>
    <row r="19603" spans="18:18" s="2" customFormat="1" ht="12.75" x14ac:dyDescent="0.2">
      <c r="R19603" s="1288"/>
    </row>
    <row r="19604" spans="18:18" s="2" customFormat="1" ht="12.75" x14ac:dyDescent="0.2">
      <c r="R19604" s="1288"/>
    </row>
    <row r="19605" spans="18:18" s="2" customFormat="1" ht="12.75" x14ac:dyDescent="0.2">
      <c r="R19605" s="1288"/>
    </row>
    <row r="19606" spans="18:18" s="2" customFormat="1" ht="12.75" x14ac:dyDescent="0.2">
      <c r="R19606" s="1288"/>
    </row>
    <row r="19607" spans="18:18" s="2" customFormat="1" ht="12.75" x14ac:dyDescent="0.2">
      <c r="R19607" s="1288"/>
    </row>
    <row r="19608" spans="18:18" s="2" customFormat="1" ht="12.75" x14ac:dyDescent="0.2">
      <c r="R19608" s="1288"/>
    </row>
    <row r="19609" spans="18:18" s="2" customFormat="1" ht="12.75" x14ac:dyDescent="0.2">
      <c r="R19609" s="1288"/>
    </row>
    <row r="19610" spans="18:18" s="2" customFormat="1" ht="12.75" x14ac:dyDescent="0.2">
      <c r="R19610" s="1288"/>
    </row>
    <row r="19611" spans="18:18" s="2" customFormat="1" ht="12.75" x14ac:dyDescent="0.2">
      <c r="R19611" s="1288"/>
    </row>
    <row r="19612" spans="18:18" s="2" customFormat="1" ht="12.75" x14ac:dyDescent="0.2">
      <c r="R19612" s="1288"/>
    </row>
    <row r="19613" spans="18:18" s="2" customFormat="1" ht="12.75" x14ac:dyDescent="0.2">
      <c r="R19613" s="1288"/>
    </row>
    <row r="19614" spans="18:18" s="2" customFormat="1" ht="12.75" x14ac:dyDescent="0.2">
      <c r="R19614" s="1288"/>
    </row>
    <row r="19615" spans="18:18" s="2" customFormat="1" ht="12.75" x14ac:dyDescent="0.2">
      <c r="R19615" s="1288"/>
    </row>
    <row r="19616" spans="18:18" s="2" customFormat="1" ht="12.75" x14ac:dyDescent="0.2">
      <c r="R19616" s="1288"/>
    </row>
    <row r="19617" spans="18:18" s="2" customFormat="1" ht="12.75" x14ac:dyDescent="0.2">
      <c r="R19617" s="1288"/>
    </row>
    <row r="19618" spans="18:18" s="2" customFormat="1" ht="12.75" x14ac:dyDescent="0.2">
      <c r="R19618" s="1288"/>
    </row>
    <row r="19619" spans="18:18" s="2" customFormat="1" ht="12.75" x14ac:dyDescent="0.2">
      <c r="R19619" s="1288"/>
    </row>
    <row r="19620" spans="18:18" s="2" customFormat="1" ht="12.75" x14ac:dyDescent="0.2">
      <c r="R19620" s="1288"/>
    </row>
    <row r="19621" spans="18:18" s="2" customFormat="1" ht="12.75" x14ac:dyDescent="0.2">
      <c r="R19621" s="1288"/>
    </row>
    <row r="19622" spans="18:18" s="2" customFormat="1" ht="12.75" x14ac:dyDescent="0.2">
      <c r="R19622" s="1288"/>
    </row>
    <row r="19623" spans="18:18" s="2" customFormat="1" ht="12.75" x14ac:dyDescent="0.2">
      <c r="R19623" s="1288"/>
    </row>
    <row r="19624" spans="18:18" s="2" customFormat="1" ht="12.75" x14ac:dyDescent="0.2">
      <c r="R19624" s="1288"/>
    </row>
    <row r="19625" spans="18:18" s="2" customFormat="1" ht="12.75" x14ac:dyDescent="0.2">
      <c r="R19625" s="1288"/>
    </row>
    <row r="19626" spans="18:18" s="2" customFormat="1" ht="12.75" x14ac:dyDescent="0.2">
      <c r="R19626" s="1288"/>
    </row>
    <row r="19627" spans="18:18" s="2" customFormat="1" ht="12.75" x14ac:dyDescent="0.2">
      <c r="R19627" s="1288"/>
    </row>
    <row r="19628" spans="18:18" s="2" customFormat="1" ht="12.75" x14ac:dyDescent="0.2">
      <c r="R19628" s="1288"/>
    </row>
    <row r="19629" spans="18:18" s="2" customFormat="1" ht="12.75" x14ac:dyDescent="0.2">
      <c r="R19629" s="1288"/>
    </row>
    <row r="19630" spans="18:18" s="2" customFormat="1" ht="12.75" x14ac:dyDescent="0.2">
      <c r="R19630" s="1288"/>
    </row>
    <row r="19631" spans="18:18" s="2" customFormat="1" ht="12.75" x14ac:dyDescent="0.2">
      <c r="R19631" s="1288"/>
    </row>
    <row r="19632" spans="18:18" s="2" customFormat="1" ht="12.75" x14ac:dyDescent="0.2">
      <c r="R19632" s="1288"/>
    </row>
    <row r="19633" spans="18:18" s="2" customFormat="1" ht="12.75" x14ac:dyDescent="0.2">
      <c r="R19633" s="1288"/>
    </row>
    <row r="19634" spans="18:18" s="2" customFormat="1" ht="12.75" x14ac:dyDescent="0.2">
      <c r="R19634" s="1288"/>
    </row>
    <row r="19635" spans="18:18" s="2" customFormat="1" ht="12.75" x14ac:dyDescent="0.2">
      <c r="R19635" s="1288"/>
    </row>
    <row r="19636" spans="18:18" s="2" customFormat="1" ht="12.75" x14ac:dyDescent="0.2">
      <c r="R19636" s="1288"/>
    </row>
    <row r="19637" spans="18:18" s="2" customFormat="1" ht="12.75" x14ac:dyDescent="0.2">
      <c r="R19637" s="1288"/>
    </row>
    <row r="19638" spans="18:18" s="2" customFormat="1" ht="12.75" x14ac:dyDescent="0.2">
      <c r="R19638" s="1288"/>
    </row>
    <row r="19639" spans="18:18" s="2" customFormat="1" ht="12.75" x14ac:dyDescent="0.2">
      <c r="R19639" s="1288"/>
    </row>
    <row r="19640" spans="18:18" s="2" customFormat="1" ht="12.75" x14ac:dyDescent="0.2">
      <c r="R19640" s="1288"/>
    </row>
    <row r="19641" spans="18:18" s="2" customFormat="1" ht="12.75" x14ac:dyDescent="0.2">
      <c r="R19641" s="1288"/>
    </row>
    <row r="19642" spans="18:18" s="2" customFormat="1" ht="12.75" x14ac:dyDescent="0.2">
      <c r="R19642" s="1288"/>
    </row>
    <row r="19643" spans="18:18" s="2" customFormat="1" ht="12.75" x14ac:dyDescent="0.2">
      <c r="R19643" s="1288"/>
    </row>
    <row r="19644" spans="18:18" s="2" customFormat="1" ht="12.75" x14ac:dyDescent="0.2">
      <c r="R19644" s="1288"/>
    </row>
    <row r="19645" spans="18:18" s="2" customFormat="1" ht="12.75" x14ac:dyDescent="0.2">
      <c r="R19645" s="1288"/>
    </row>
    <row r="19646" spans="18:18" s="2" customFormat="1" ht="12.75" x14ac:dyDescent="0.2">
      <c r="R19646" s="1288"/>
    </row>
    <row r="19647" spans="18:18" s="2" customFormat="1" ht="12.75" x14ac:dyDescent="0.2">
      <c r="R19647" s="1288"/>
    </row>
    <row r="19648" spans="18:18" s="2" customFormat="1" ht="12.75" x14ac:dyDescent="0.2">
      <c r="R19648" s="1288"/>
    </row>
    <row r="19649" spans="18:18" s="2" customFormat="1" ht="12.75" x14ac:dyDescent="0.2">
      <c r="R19649" s="1288"/>
    </row>
    <row r="19650" spans="18:18" s="2" customFormat="1" ht="12.75" x14ac:dyDescent="0.2">
      <c r="R19650" s="1288"/>
    </row>
    <row r="19651" spans="18:18" s="2" customFormat="1" ht="12.75" x14ac:dyDescent="0.2">
      <c r="R19651" s="1288"/>
    </row>
    <row r="19652" spans="18:18" s="2" customFormat="1" ht="12.75" x14ac:dyDescent="0.2">
      <c r="R19652" s="1288"/>
    </row>
    <row r="19653" spans="18:18" s="2" customFormat="1" ht="12.75" x14ac:dyDescent="0.2">
      <c r="R19653" s="1288"/>
    </row>
    <row r="19654" spans="18:18" s="2" customFormat="1" ht="12.75" x14ac:dyDescent="0.2">
      <c r="R19654" s="1288"/>
    </row>
    <row r="19655" spans="18:18" s="2" customFormat="1" ht="12.75" x14ac:dyDescent="0.2">
      <c r="R19655" s="1288"/>
    </row>
    <row r="19656" spans="18:18" s="2" customFormat="1" ht="12.75" x14ac:dyDescent="0.2">
      <c r="R19656" s="1288"/>
    </row>
    <row r="19657" spans="18:18" s="2" customFormat="1" ht="12.75" x14ac:dyDescent="0.2">
      <c r="R19657" s="1288"/>
    </row>
    <row r="19658" spans="18:18" s="2" customFormat="1" ht="12.75" x14ac:dyDescent="0.2">
      <c r="R19658" s="1288"/>
    </row>
    <row r="19659" spans="18:18" s="2" customFormat="1" ht="12.75" x14ac:dyDescent="0.2">
      <c r="R19659" s="1288"/>
    </row>
    <row r="19660" spans="18:18" s="2" customFormat="1" ht="12.75" x14ac:dyDescent="0.2">
      <c r="R19660" s="1288"/>
    </row>
    <row r="19661" spans="18:18" s="2" customFormat="1" ht="12.75" x14ac:dyDescent="0.2">
      <c r="R19661" s="1288"/>
    </row>
    <row r="19662" spans="18:18" s="2" customFormat="1" ht="12.75" x14ac:dyDescent="0.2">
      <c r="R19662" s="1288"/>
    </row>
    <row r="19663" spans="18:18" s="2" customFormat="1" ht="12.75" x14ac:dyDescent="0.2">
      <c r="R19663" s="1288"/>
    </row>
    <row r="19664" spans="18:18" s="2" customFormat="1" ht="12.75" x14ac:dyDescent="0.2">
      <c r="R19664" s="1288"/>
    </row>
    <row r="19665" spans="18:18" s="2" customFormat="1" ht="12.75" x14ac:dyDescent="0.2">
      <c r="R19665" s="1288"/>
    </row>
    <row r="19666" spans="18:18" s="2" customFormat="1" ht="12.75" x14ac:dyDescent="0.2">
      <c r="R19666" s="1288"/>
    </row>
    <row r="19667" spans="18:18" s="2" customFormat="1" ht="12.75" x14ac:dyDescent="0.2">
      <c r="R19667" s="1288"/>
    </row>
    <row r="19668" spans="18:18" s="2" customFormat="1" ht="12.75" x14ac:dyDescent="0.2">
      <c r="R19668" s="1288"/>
    </row>
    <row r="19669" spans="18:18" s="2" customFormat="1" ht="12.75" x14ac:dyDescent="0.2">
      <c r="R19669" s="1288"/>
    </row>
    <row r="19670" spans="18:18" s="2" customFormat="1" ht="12.75" x14ac:dyDescent="0.2">
      <c r="R19670" s="1288"/>
    </row>
    <row r="19671" spans="18:18" s="2" customFormat="1" ht="12.75" x14ac:dyDescent="0.2">
      <c r="R19671" s="1288"/>
    </row>
    <row r="19672" spans="18:18" s="2" customFormat="1" ht="12.75" x14ac:dyDescent="0.2">
      <c r="R19672" s="1288"/>
    </row>
    <row r="19673" spans="18:18" s="2" customFormat="1" ht="12.75" x14ac:dyDescent="0.2">
      <c r="R19673" s="1288"/>
    </row>
    <row r="19674" spans="18:18" s="2" customFormat="1" ht="12.75" x14ac:dyDescent="0.2">
      <c r="R19674" s="1288"/>
    </row>
    <row r="19675" spans="18:18" s="2" customFormat="1" ht="12.75" x14ac:dyDescent="0.2">
      <c r="R19675" s="1288"/>
    </row>
    <row r="19676" spans="18:18" s="2" customFormat="1" ht="12.75" x14ac:dyDescent="0.2">
      <c r="R19676" s="1288"/>
    </row>
    <row r="19677" spans="18:18" s="2" customFormat="1" ht="12.75" x14ac:dyDescent="0.2">
      <c r="R19677" s="1288"/>
    </row>
    <row r="19678" spans="18:18" s="2" customFormat="1" ht="12.75" x14ac:dyDescent="0.2">
      <c r="R19678" s="1288"/>
    </row>
    <row r="19679" spans="18:18" s="2" customFormat="1" ht="12.75" x14ac:dyDescent="0.2">
      <c r="R19679" s="1288"/>
    </row>
    <row r="19680" spans="18:18" s="2" customFormat="1" ht="12.75" x14ac:dyDescent="0.2">
      <c r="R19680" s="1288"/>
    </row>
    <row r="19681" spans="18:18" s="2" customFormat="1" ht="12.75" x14ac:dyDescent="0.2">
      <c r="R19681" s="1288"/>
    </row>
    <row r="19682" spans="18:18" s="2" customFormat="1" ht="12.75" x14ac:dyDescent="0.2">
      <c r="R19682" s="1288"/>
    </row>
    <row r="19683" spans="18:18" s="2" customFormat="1" ht="12.75" x14ac:dyDescent="0.2">
      <c r="R19683" s="1288"/>
    </row>
    <row r="19684" spans="18:18" s="2" customFormat="1" ht="12.75" x14ac:dyDescent="0.2">
      <c r="R19684" s="1288"/>
    </row>
    <row r="19685" spans="18:18" s="2" customFormat="1" ht="12.75" x14ac:dyDescent="0.2">
      <c r="R19685" s="1288"/>
    </row>
    <row r="19686" spans="18:18" s="2" customFormat="1" ht="12.75" x14ac:dyDescent="0.2">
      <c r="R19686" s="1288"/>
    </row>
    <row r="19687" spans="18:18" s="2" customFormat="1" ht="12.75" x14ac:dyDescent="0.2">
      <c r="R19687" s="1288"/>
    </row>
    <row r="19688" spans="18:18" s="2" customFormat="1" ht="12.75" x14ac:dyDescent="0.2">
      <c r="R19688" s="1288"/>
    </row>
    <row r="19689" spans="18:18" s="2" customFormat="1" ht="12.75" x14ac:dyDescent="0.2">
      <c r="R19689" s="1288"/>
    </row>
    <row r="19690" spans="18:18" s="2" customFormat="1" ht="12.75" x14ac:dyDescent="0.2">
      <c r="R19690" s="1288"/>
    </row>
    <row r="19691" spans="18:18" s="2" customFormat="1" ht="12.75" x14ac:dyDescent="0.2">
      <c r="R19691" s="1288"/>
    </row>
    <row r="19692" spans="18:18" s="2" customFormat="1" ht="12.75" x14ac:dyDescent="0.2">
      <c r="R19692" s="1288"/>
    </row>
    <row r="19693" spans="18:18" s="2" customFormat="1" ht="12.75" x14ac:dyDescent="0.2">
      <c r="R19693" s="1288"/>
    </row>
    <row r="19694" spans="18:18" s="2" customFormat="1" ht="12.75" x14ac:dyDescent="0.2">
      <c r="R19694" s="1288"/>
    </row>
    <row r="19695" spans="18:18" s="2" customFormat="1" ht="12.75" x14ac:dyDescent="0.2">
      <c r="R19695" s="1288"/>
    </row>
    <row r="19696" spans="18:18" s="2" customFormat="1" ht="12.75" x14ac:dyDescent="0.2">
      <c r="R19696" s="1288"/>
    </row>
    <row r="19697" spans="18:18" s="2" customFormat="1" ht="12.75" x14ac:dyDescent="0.2">
      <c r="R19697" s="1288"/>
    </row>
    <row r="19698" spans="18:18" s="2" customFormat="1" ht="12.75" x14ac:dyDescent="0.2">
      <c r="R19698" s="1288"/>
    </row>
    <row r="19699" spans="18:18" s="2" customFormat="1" ht="12.75" x14ac:dyDescent="0.2">
      <c r="R19699" s="1288"/>
    </row>
    <row r="19700" spans="18:18" s="2" customFormat="1" ht="12.75" x14ac:dyDescent="0.2">
      <c r="R19700" s="1288"/>
    </row>
    <row r="19701" spans="18:18" s="2" customFormat="1" ht="12.75" x14ac:dyDescent="0.2">
      <c r="R19701" s="1288"/>
    </row>
    <row r="19702" spans="18:18" s="2" customFormat="1" ht="12.75" x14ac:dyDescent="0.2">
      <c r="R19702" s="1288"/>
    </row>
    <row r="19703" spans="18:18" s="2" customFormat="1" ht="12.75" x14ac:dyDescent="0.2">
      <c r="R19703" s="1288"/>
    </row>
    <row r="19704" spans="18:18" s="2" customFormat="1" ht="12.75" x14ac:dyDescent="0.2">
      <c r="R19704" s="1288"/>
    </row>
    <row r="19705" spans="18:18" s="2" customFormat="1" ht="12.75" x14ac:dyDescent="0.2">
      <c r="R19705" s="1288"/>
    </row>
    <row r="19706" spans="18:18" s="2" customFormat="1" ht="12.75" x14ac:dyDescent="0.2">
      <c r="R19706" s="1288"/>
    </row>
    <row r="19707" spans="18:18" s="2" customFormat="1" ht="12.75" x14ac:dyDescent="0.2">
      <c r="R19707" s="1288"/>
    </row>
    <row r="19708" spans="18:18" s="2" customFormat="1" ht="12.75" x14ac:dyDescent="0.2">
      <c r="R19708" s="1288"/>
    </row>
    <row r="19709" spans="18:18" s="2" customFormat="1" ht="12.75" x14ac:dyDescent="0.2">
      <c r="R19709" s="1288"/>
    </row>
    <row r="19710" spans="18:18" s="2" customFormat="1" ht="12.75" x14ac:dyDescent="0.2">
      <c r="R19710" s="1288"/>
    </row>
    <row r="19711" spans="18:18" s="2" customFormat="1" ht="12.75" x14ac:dyDescent="0.2">
      <c r="R19711" s="1288"/>
    </row>
    <row r="19712" spans="18:18" s="2" customFormat="1" ht="12.75" x14ac:dyDescent="0.2">
      <c r="R19712" s="1288"/>
    </row>
    <row r="19713" spans="18:18" s="2" customFormat="1" ht="12.75" x14ac:dyDescent="0.2">
      <c r="R19713" s="1288"/>
    </row>
    <row r="19714" spans="18:18" s="2" customFormat="1" ht="12.75" x14ac:dyDescent="0.2">
      <c r="R19714" s="1288"/>
    </row>
    <row r="19715" spans="18:18" s="2" customFormat="1" ht="12.75" x14ac:dyDescent="0.2">
      <c r="R19715" s="1288"/>
    </row>
    <row r="19716" spans="18:18" s="2" customFormat="1" ht="12.75" x14ac:dyDescent="0.2">
      <c r="R19716" s="1288"/>
    </row>
    <row r="19717" spans="18:18" s="2" customFormat="1" ht="12.75" x14ac:dyDescent="0.2">
      <c r="R19717" s="1288"/>
    </row>
    <row r="19718" spans="18:18" s="2" customFormat="1" ht="12.75" x14ac:dyDescent="0.2">
      <c r="R19718" s="1288"/>
    </row>
    <row r="19719" spans="18:18" s="2" customFormat="1" ht="12.75" x14ac:dyDescent="0.2">
      <c r="R19719" s="1288"/>
    </row>
    <row r="19720" spans="18:18" s="2" customFormat="1" ht="12.75" x14ac:dyDescent="0.2">
      <c r="R19720" s="1288"/>
    </row>
    <row r="19721" spans="18:18" s="2" customFormat="1" ht="12.75" x14ac:dyDescent="0.2">
      <c r="R19721" s="1288"/>
    </row>
    <row r="19722" spans="18:18" s="2" customFormat="1" ht="12.75" x14ac:dyDescent="0.2">
      <c r="R19722" s="1288"/>
    </row>
    <row r="19723" spans="18:18" s="2" customFormat="1" ht="12.75" x14ac:dyDescent="0.2">
      <c r="R19723" s="1288"/>
    </row>
    <row r="19724" spans="18:18" s="2" customFormat="1" ht="12.75" x14ac:dyDescent="0.2">
      <c r="R19724" s="1288"/>
    </row>
    <row r="19725" spans="18:18" s="2" customFormat="1" ht="12.75" x14ac:dyDescent="0.2">
      <c r="R19725" s="1288"/>
    </row>
    <row r="19726" spans="18:18" s="2" customFormat="1" ht="12.75" x14ac:dyDescent="0.2">
      <c r="R19726" s="1288"/>
    </row>
    <row r="19727" spans="18:18" s="2" customFormat="1" ht="12.75" x14ac:dyDescent="0.2">
      <c r="R19727" s="1288"/>
    </row>
    <row r="19728" spans="18:18" s="2" customFormat="1" ht="12.75" x14ac:dyDescent="0.2">
      <c r="R19728" s="1288"/>
    </row>
    <row r="19729" spans="18:18" s="2" customFormat="1" ht="12.75" x14ac:dyDescent="0.2">
      <c r="R19729" s="1288"/>
    </row>
    <row r="19730" spans="18:18" s="2" customFormat="1" ht="12.75" x14ac:dyDescent="0.2">
      <c r="R19730" s="1288"/>
    </row>
    <row r="19731" spans="18:18" s="2" customFormat="1" ht="12.75" x14ac:dyDescent="0.2">
      <c r="R19731" s="1288"/>
    </row>
    <row r="19732" spans="18:18" s="2" customFormat="1" ht="12.75" x14ac:dyDescent="0.2">
      <c r="R19732" s="1288"/>
    </row>
    <row r="19733" spans="18:18" s="2" customFormat="1" ht="12.75" x14ac:dyDescent="0.2">
      <c r="R19733" s="1288"/>
    </row>
    <row r="19734" spans="18:18" s="2" customFormat="1" ht="12.75" x14ac:dyDescent="0.2">
      <c r="R19734" s="1288"/>
    </row>
    <row r="19735" spans="18:18" s="2" customFormat="1" ht="12.75" x14ac:dyDescent="0.2">
      <c r="R19735" s="1288"/>
    </row>
    <row r="19736" spans="18:18" s="2" customFormat="1" ht="12.75" x14ac:dyDescent="0.2">
      <c r="R19736" s="1288"/>
    </row>
    <row r="19737" spans="18:18" s="2" customFormat="1" ht="12.75" x14ac:dyDescent="0.2">
      <c r="R19737" s="1288"/>
    </row>
    <row r="19738" spans="18:18" s="2" customFormat="1" ht="12.75" x14ac:dyDescent="0.2">
      <c r="R19738" s="1288"/>
    </row>
    <row r="19739" spans="18:18" s="2" customFormat="1" ht="12.75" x14ac:dyDescent="0.2">
      <c r="R19739" s="1288"/>
    </row>
    <row r="19740" spans="18:18" s="2" customFormat="1" ht="12.75" x14ac:dyDescent="0.2">
      <c r="R19740" s="1288"/>
    </row>
    <row r="19741" spans="18:18" s="2" customFormat="1" ht="12.75" x14ac:dyDescent="0.2">
      <c r="R19741" s="1288"/>
    </row>
    <row r="19742" spans="18:18" s="2" customFormat="1" ht="12.75" x14ac:dyDescent="0.2">
      <c r="R19742" s="1288"/>
    </row>
    <row r="19743" spans="18:18" s="2" customFormat="1" ht="12.75" x14ac:dyDescent="0.2">
      <c r="R19743" s="1288"/>
    </row>
    <row r="19744" spans="18:18" s="2" customFormat="1" ht="12.75" x14ac:dyDescent="0.2">
      <c r="R19744" s="1288"/>
    </row>
    <row r="19745" spans="18:18" s="2" customFormat="1" ht="12.75" x14ac:dyDescent="0.2">
      <c r="R19745" s="1288"/>
    </row>
    <row r="19746" spans="18:18" s="2" customFormat="1" ht="12.75" x14ac:dyDescent="0.2">
      <c r="R19746" s="1288"/>
    </row>
    <row r="19747" spans="18:18" s="2" customFormat="1" ht="12.75" x14ac:dyDescent="0.2">
      <c r="R19747" s="1288"/>
    </row>
    <row r="19748" spans="18:18" s="2" customFormat="1" ht="12.75" x14ac:dyDescent="0.2">
      <c r="R19748" s="1288"/>
    </row>
    <row r="19749" spans="18:18" s="2" customFormat="1" ht="12.75" x14ac:dyDescent="0.2">
      <c r="R19749" s="1288"/>
    </row>
    <row r="19750" spans="18:18" s="2" customFormat="1" ht="12.75" x14ac:dyDescent="0.2">
      <c r="R19750" s="1288"/>
    </row>
    <row r="19751" spans="18:18" s="2" customFormat="1" ht="12.75" x14ac:dyDescent="0.2">
      <c r="R19751" s="1288"/>
    </row>
    <row r="19752" spans="18:18" s="2" customFormat="1" ht="12.75" x14ac:dyDescent="0.2">
      <c r="R19752" s="1288"/>
    </row>
    <row r="19753" spans="18:18" s="2" customFormat="1" ht="12.75" x14ac:dyDescent="0.2">
      <c r="R19753" s="1288"/>
    </row>
    <row r="19754" spans="18:18" s="2" customFormat="1" ht="12.75" x14ac:dyDescent="0.2">
      <c r="R19754" s="1288"/>
    </row>
    <row r="19755" spans="18:18" s="2" customFormat="1" ht="12.75" x14ac:dyDescent="0.2">
      <c r="R19755" s="1288"/>
    </row>
    <row r="19756" spans="18:18" s="2" customFormat="1" ht="12.75" x14ac:dyDescent="0.2">
      <c r="R19756" s="1288"/>
    </row>
    <row r="19757" spans="18:18" s="2" customFormat="1" ht="12.75" x14ac:dyDescent="0.2">
      <c r="R19757" s="1288"/>
    </row>
    <row r="19758" spans="18:18" s="2" customFormat="1" ht="12.75" x14ac:dyDescent="0.2">
      <c r="R19758" s="1288"/>
    </row>
    <row r="19759" spans="18:18" s="2" customFormat="1" ht="12.75" x14ac:dyDescent="0.2">
      <c r="R19759" s="1288"/>
    </row>
    <row r="19760" spans="18:18" s="2" customFormat="1" ht="12.75" x14ac:dyDescent="0.2">
      <c r="R19760" s="1288"/>
    </row>
    <row r="19761" spans="18:18" s="2" customFormat="1" ht="12.75" x14ac:dyDescent="0.2">
      <c r="R19761" s="1288"/>
    </row>
    <row r="19762" spans="18:18" s="2" customFormat="1" ht="12.75" x14ac:dyDescent="0.2">
      <c r="R19762" s="1288"/>
    </row>
    <row r="19763" spans="18:18" s="2" customFormat="1" ht="12.75" x14ac:dyDescent="0.2">
      <c r="R19763" s="1288"/>
    </row>
    <row r="19764" spans="18:18" s="2" customFormat="1" ht="12.75" x14ac:dyDescent="0.2">
      <c r="R19764" s="1288"/>
    </row>
    <row r="19765" spans="18:18" s="2" customFormat="1" ht="12.75" x14ac:dyDescent="0.2">
      <c r="R19765" s="1288"/>
    </row>
    <row r="19766" spans="18:18" s="2" customFormat="1" ht="12.75" x14ac:dyDescent="0.2">
      <c r="R19766" s="1288"/>
    </row>
    <row r="19767" spans="18:18" s="2" customFormat="1" ht="12.75" x14ac:dyDescent="0.2">
      <c r="R19767" s="1288"/>
    </row>
    <row r="19768" spans="18:18" s="2" customFormat="1" ht="12.75" x14ac:dyDescent="0.2">
      <c r="R19768" s="1288"/>
    </row>
    <row r="19769" spans="18:18" s="2" customFormat="1" ht="12.75" x14ac:dyDescent="0.2">
      <c r="R19769" s="1288"/>
    </row>
    <row r="19770" spans="18:18" s="2" customFormat="1" ht="12.75" x14ac:dyDescent="0.2">
      <c r="R19770" s="1288"/>
    </row>
    <row r="19771" spans="18:18" s="2" customFormat="1" ht="12.75" x14ac:dyDescent="0.2">
      <c r="R19771" s="1288"/>
    </row>
    <row r="19772" spans="18:18" s="2" customFormat="1" ht="12.75" x14ac:dyDescent="0.2">
      <c r="R19772" s="1288"/>
    </row>
    <row r="19773" spans="18:18" s="2" customFormat="1" ht="12.75" x14ac:dyDescent="0.2">
      <c r="R19773" s="1288"/>
    </row>
    <row r="19774" spans="18:18" s="2" customFormat="1" ht="12.75" x14ac:dyDescent="0.2">
      <c r="R19774" s="1288"/>
    </row>
    <row r="19775" spans="18:18" s="2" customFormat="1" ht="12.75" x14ac:dyDescent="0.2">
      <c r="R19775" s="1288"/>
    </row>
    <row r="19776" spans="18:18" s="2" customFormat="1" ht="12.75" x14ac:dyDescent="0.2">
      <c r="R19776" s="1288"/>
    </row>
    <row r="19777" spans="18:18" s="2" customFormat="1" ht="12.75" x14ac:dyDescent="0.2">
      <c r="R19777" s="1288"/>
    </row>
    <row r="19778" spans="18:18" s="2" customFormat="1" ht="12.75" x14ac:dyDescent="0.2">
      <c r="R19778" s="1288"/>
    </row>
    <row r="19779" spans="18:18" s="2" customFormat="1" ht="12.75" x14ac:dyDescent="0.2">
      <c r="R19779" s="1288"/>
    </row>
    <row r="19780" spans="18:18" s="2" customFormat="1" ht="12.75" x14ac:dyDescent="0.2">
      <c r="R19780" s="1288"/>
    </row>
    <row r="19781" spans="18:18" s="2" customFormat="1" ht="12.75" x14ac:dyDescent="0.2">
      <c r="R19781" s="1288"/>
    </row>
    <row r="19782" spans="18:18" s="2" customFormat="1" ht="12.75" x14ac:dyDescent="0.2">
      <c r="R19782" s="1288"/>
    </row>
    <row r="19783" spans="18:18" s="2" customFormat="1" ht="12.75" x14ac:dyDescent="0.2">
      <c r="R19783" s="1288"/>
    </row>
    <row r="19784" spans="18:18" s="2" customFormat="1" ht="12.75" x14ac:dyDescent="0.2">
      <c r="R19784" s="1288"/>
    </row>
    <row r="19785" spans="18:18" s="2" customFormat="1" ht="12.75" x14ac:dyDescent="0.2">
      <c r="R19785" s="1288"/>
    </row>
    <row r="19786" spans="18:18" s="2" customFormat="1" ht="12.75" x14ac:dyDescent="0.2">
      <c r="R19786" s="1288"/>
    </row>
    <row r="19787" spans="18:18" s="2" customFormat="1" ht="12.75" x14ac:dyDescent="0.2">
      <c r="R19787" s="1288"/>
    </row>
    <row r="19788" spans="18:18" s="2" customFormat="1" ht="12.75" x14ac:dyDescent="0.2">
      <c r="R19788" s="1288"/>
    </row>
    <row r="19789" spans="18:18" s="2" customFormat="1" ht="12.75" x14ac:dyDescent="0.2">
      <c r="R19789" s="1288"/>
    </row>
    <row r="19790" spans="18:18" s="2" customFormat="1" ht="12.75" x14ac:dyDescent="0.2">
      <c r="R19790" s="1288"/>
    </row>
    <row r="19791" spans="18:18" s="2" customFormat="1" ht="12.75" x14ac:dyDescent="0.2">
      <c r="R19791" s="1288"/>
    </row>
    <row r="19792" spans="18:18" s="2" customFormat="1" ht="12.75" x14ac:dyDescent="0.2">
      <c r="R19792" s="1288"/>
    </row>
    <row r="19793" spans="18:18" s="2" customFormat="1" ht="12.75" x14ac:dyDescent="0.2">
      <c r="R19793" s="1288"/>
    </row>
    <row r="19794" spans="18:18" s="2" customFormat="1" ht="12.75" x14ac:dyDescent="0.2">
      <c r="R19794" s="1288"/>
    </row>
    <row r="19795" spans="18:18" s="2" customFormat="1" ht="12.75" x14ac:dyDescent="0.2">
      <c r="R19795" s="1288"/>
    </row>
    <row r="19796" spans="18:18" s="2" customFormat="1" ht="12.75" x14ac:dyDescent="0.2">
      <c r="R19796" s="1288"/>
    </row>
    <row r="19797" spans="18:18" s="2" customFormat="1" ht="12.75" x14ac:dyDescent="0.2">
      <c r="R19797" s="1288"/>
    </row>
    <row r="19798" spans="18:18" s="2" customFormat="1" ht="12.75" x14ac:dyDescent="0.2">
      <c r="R19798" s="1288"/>
    </row>
    <row r="19799" spans="18:18" s="2" customFormat="1" ht="12.75" x14ac:dyDescent="0.2">
      <c r="R19799" s="1288"/>
    </row>
    <row r="19800" spans="18:18" s="2" customFormat="1" ht="12.75" x14ac:dyDescent="0.2">
      <c r="R19800" s="1288"/>
    </row>
    <row r="19801" spans="18:18" s="2" customFormat="1" ht="12.75" x14ac:dyDescent="0.2">
      <c r="R19801" s="1288"/>
    </row>
    <row r="19802" spans="18:18" s="2" customFormat="1" ht="12.75" x14ac:dyDescent="0.2">
      <c r="R19802" s="1288"/>
    </row>
    <row r="19803" spans="18:18" s="2" customFormat="1" ht="12.75" x14ac:dyDescent="0.2">
      <c r="R19803" s="1288"/>
    </row>
    <row r="19804" spans="18:18" s="2" customFormat="1" ht="12.75" x14ac:dyDescent="0.2">
      <c r="R19804" s="1288"/>
    </row>
    <row r="19805" spans="18:18" s="2" customFormat="1" ht="12.75" x14ac:dyDescent="0.2">
      <c r="R19805" s="1288"/>
    </row>
    <row r="19806" spans="18:18" s="2" customFormat="1" ht="12.75" x14ac:dyDescent="0.2">
      <c r="R19806" s="1288"/>
    </row>
    <row r="19807" spans="18:18" s="2" customFormat="1" ht="12.75" x14ac:dyDescent="0.2">
      <c r="R19807" s="1288"/>
    </row>
    <row r="19808" spans="18:18" s="2" customFormat="1" ht="12.75" x14ac:dyDescent="0.2">
      <c r="R19808" s="1288"/>
    </row>
    <row r="19809" spans="18:18" s="2" customFormat="1" ht="12.75" x14ac:dyDescent="0.2">
      <c r="R19809" s="1288"/>
    </row>
    <row r="19810" spans="18:18" s="2" customFormat="1" ht="12.75" x14ac:dyDescent="0.2">
      <c r="R19810" s="1288"/>
    </row>
    <row r="19811" spans="18:18" s="2" customFormat="1" ht="12.75" x14ac:dyDescent="0.2">
      <c r="R19811" s="1288"/>
    </row>
    <row r="19812" spans="18:18" s="2" customFormat="1" ht="12.75" x14ac:dyDescent="0.2">
      <c r="R19812" s="1288"/>
    </row>
    <row r="19813" spans="18:18" s="2" customFormat="1" ht="12.75" x14ac:dyDescent="0.2">
      <c r="R19813" s="1288"/>
    </row>
    <row r="19814" spans="18:18" s="2" customFormat="1" ht="12.75" x14ac:dyDescent="0.2">
      <c r="R19814" s="1288"/>
    </row>
    <row r="19815" spans="18:18" s="2" customFormat="1" ht="12.75" x14ac:dyDescent="0.2">
      <c r="R19815" s="1288"/>
    </row>
    <row r="19816" spans="18:18" s="2" customFormat="1" ht="12.75" x14ac:dyDescent="0.2">
      <c r="R19816" s="1288"/>
    </row>
    <row r="19817" spans="18:18" s="2" customFormat="1" ht="12.75" x14ac:dyDescent="0.2">
      <c r="R19817" s="1288"/>
    </row>
    <row r="19818" spans="18:18" s="2" customFormat="1" ht="12.75" x14ac:dyDescent="0.2">
      <c r="R19818" s="1288"/>
    </row>
    <row r="19819" spans="18:18" s="2" customFormat="1" ht="12.75" x14ac:dyDescent="0.2">
      <c r="R19819" s="1288"/>
    </row>
    <row r="19820" spans="18:18" s="2" customFormat="1" ht="12.75" x14ac:dyDescent="0.2">
      <c r="R19820" s="1288"/>
    </row>
    <row r="19821" spans="18:18" s="2" customFormat="1" ht="12.75" x14ac:dyDescent="0.2">
      <c r="R19821" s="1288"/>
    </row>
    <row r="19822" spans="18:18" s="2" customFormat="1" ht="12.75" x14ac:dyDescent="0.2">
      <c r="R19822" s="1288"/>
    </row>
    <row r="19823" spans="18:18" s="2" customFormat="1" ht="12.75" x14ac:dyDescent="0.2">
      <c r="R19823" s="1288"/>
    </row>
    <row r="19824" spans="18:18" s="2" customFormat="1" ht="12.75" x14ac:dyDescent="0.2">
      <c r="R19824" s="1288"/>
    </row>
    <row r="19825" spans="18:18" s="2" customFormat="1" ht="12.75" x14ac:dyDescent="0.2">
      <c r="R19825" s="1288"/>
    </row>
    <row r="19826" spans="18:18" s="2" customFormat="1" ht="12.75" x14ac:dyDescent="0.2">
      <c r="R19826" s="1288"/>
    </row>
    <row r="19827" spans="18:18" s="2" customFormat="1" ht="12.75" x14ac:dyDescent="0.2">
      <c r="R19827" s="1288"/>
    </row>
    <row r="19828" spans="18:18" s="2" customFormat="1" ht="12.75" x14ac:dyDescent="0.2">
      <c r="R19828" s="1288"/>
    </row>
    <row r="19829" spans="18:18" s="2" customFormat="1" ht="12.75" x14ac:dyDescent="0.2">
      <c r="R19829" s="1288"/>
    </row>
    <row r="19830" spans="18:18" s="2" customFormat="1" ht="12.75" x14ac:dyDescent="0.2">
      <c r="R19830" s="1288"/>
    </row>
    <row r="19831" spans="18:18" s="2" customFormat="1" ht="12.75" x14ac:dyDescent="0.2">
      <c r="R19831" s="1288"/>
    </row>
    <row r="19832" spans="18:18" s="2" customFormat="1" ht="12.75" x14ac:dyDescent="0.2">
      <c r="R19832" s="1288"/>
    </row>
    <row r="19833" spans="18:18" s="2" customFormat="1" ht="12.75" x14ac:dyDescent="0.2">
      <c r="R19833" s="1288"/>
    </row>
    <row r="19834" spans="18:18" s="2" customFormat="1" ht="12.75" x14ac:dyDescent="0.2">
      <c r="R19834" s="1288"/>
    </row>
    <row r="19835" spans="18:18" s="2" customFormat="1" ht="12.75" x14ac:dyDescent="0.2">
      <c r="R19835" s="1288"/>
    </row>
    <row r="19836" spans="18:18" s="2" customFormat="1" ht="12.75" x14ac:dyDescent="0.2">
      <c r="R19836" s="1288"/>
    </row>
    <row r="19837" spans="18:18" s="2" customFormat="1" ht="12.75" x14ac:dyDescent="0.2">
      <c r="R19837" s="1288"/>
    </row>
    <row r="19838" spans="18:18" s="2" customFormat="1" ht="12.75" x14ac:dyDescent="0.2">
      <c r="R19838" s="1288"/>
    </row>
    <row r="19839" spans="18:18" s="2" customFormat="1" ht="12.75" x14ac:dyDescent="0.2">
      <c r="R19839" s="1288"/>
    </row>
    <row r="19840" spans="18:18" s="2" customFormat="1" ht="12.75" x14ac:dyDescent="0.2">
      <c r="R19840" s="1288"/>
    </row>
    <row r="19841" spans="18:18" s="2" customFormat="1" ht="12.75" x14ac:dyDescent="0.2">
      <c r="R19841" s="1288"/>
    </row>
    <row r="19842" spans="18:18" s="2" customFormat="1" ht="12.75" x14ac:dyDescent="0.2">
      <c r="R19842" s="1288"/>
    </row>
    <row r="19843" spans="18:18" s="2" customFormat="1" ht="12.75" x14ac:dyDescent="0.2">
      <c r="R19843" s="1288"/>
    </row>
    <row r="19844" spans="18:18" s="2" customFormat="1" ht="12.75" x14ac:dyDescent="0.2">
      <c r="R19844" s="1288"/>
    </row>
    <row r="19845" spans="18:18" s="2" customFormat="1" ht="12.75" x14ac:dyDescent="0.2">
      <c r="R19845" s="1288"/>
    </row>
    <row r="19846" spans="18:18" s="2" customFormat="1" ht="12.75" x14ac:dyDescent="0.2">
      <c r="R19846" s="1288"/>
    </row>
    <row r="19847" spans="18:18" s="2" customFormat="1" ht="12.75" x14ac:dyDescent="0.2">
      <c r="R19847" s="1288"/>
    </row>
    <row r="19848" spans="18:18" s="2" customFormat="1" ht="12.75" x14ac:dyDescent="0.2">
      <c r="R19848" s="1288"/>
    </row>
    <row r="19849" spans="18:18" s="2" customFormat="1" ht="12.75" x14ac:dyDescent="0.2">
      <c r="R19849" s="1288"/>
    </row>
    <row r="19850" spans="18:18" s="2" customFormat="1" ht="12.75" x14ac:dyDescent="0.2">
      <c r="R19850" s="1288"/>
    </row>
    <row r="19851" spans="18:18" s="2" customFormat="1" ht="12.75" x14ac:dyDescent="0.2">
      <c r="R19851" s="1288"/>
    </row>
    <row r="19852" spans="18:18" s="2" customFormat="1" ht="12.75" x14ac:dyDescent="0.2">
      <c r="R19852" s="1288"/>
    </row>
    <row r="19853" spans="18:18" s="2" customFormat="1" ht="12.75" x14ac:dyDescent="0.2">
      <c r="R19853" s="1288"/>
    </row>
    <row r="19854" spans="18:18" s="2" customFormat="1" ht="12.75" x14ac:dyDescent="0.2">
      <c r="R19854" s="1288"/>
    </row>
    <row r="19855" spans="18:18" s="2" customFormat="1" ht="12.75" x14ac:dyDescent="0.2">
      <c r="R19855" s="1288"/>
    </row>
    <row r="19856" spans="18:18" s="2" customFormat="1" ht="12.75" x14ac:dyDescent="0.2">
      <c r="R19856" s="1288"/>
    </row>
    <row r="19857" spans="18:18" s="2" customFormat="1" ht="12.75" x14ac:dyDescent="0.2">
      <c r="R19857" s="1288"/>
    </row>
    <row r="19858" spans="18:18" s="2" customFormat="1" ht="12.75" x14ac:dyDescent="0.2">
      <c r="R19858" s="1288"/>
    </row>
    <row r="19859" spans="18:18" s="2" customFormat="1" ht="12.75" x14ac:dyDescent="0.2">
      <c r="R19859" s="1288"/>
    </row>
    <row r="19860" spans="18:18" s="2" customFormat="1" ht="12.75" x14ac:dyDescent="0.2">
      <c r="R19860" s="1288"/>
    </row>
    <row r="19861" spans="18:18" s="2" customFormat="1" ht="12.75" x14ac:dyDescent="0.2">
      <c r="R19861" s="1288"/>
    </row>
    <row r="19862" spans="18:18" s="2" customFormat="1" ht="12.75" x14ac:dyDescent="0.2">
      <c r="R19862" s="1288"/>
    </row>
    <row r="19863" spans="18:18" s="2" customFormat="1" ht="12.75" x14ac:dyDescent="0.2">
      <c r="R19863" s="1288"/>
    </row>
    <row r="19864" spans="18:18" s="2" customFormat="1" ht="12.75" x14ac:dyDescent="0.2">
      <c r="R19864" s="1288"/>
    </row>
    <row r="19865" spans="18:18" s="2" customFormat="1" ht="12.75" x14ac:dyDescent="0.2">
      <c r="R19865" s="1288"/>
    </row>
    <row r="19866" spans="18:18" s="2" customFormat="1" ht="12.75" x14ac:dyDescent="0.2">
      <c r="R19866" s="1288"/>
    </row>
    <row r="19867" spans="18:18" s="2" customFormat="1" ht="12.75" x14ac:dyDescent="0.2">
      <c r="R19867" s="1288"/>
    </row>
    <row r="19868" spans="18:18" s="2" customFormat="1" ht="12.75" x14ac:dyDescent="0.2">
      <c r="R19868" s="1288"/>
    </row>
    <row r="19869" spans="18:18" s="2" customFormat="1" ht="12.75" x14ac:dyDescent="0.2">
      <c r="R19869" s="1288"/>
    </row>
    <row r="19870" spans="18:18" s="2" customFormat="1" ht="12.75" x14ac:dyDescent="0.2">
      <c r="R19870" s="1288"/>
    </row>
    <row r="19871" spans="18:18" s="2" customFormat="1" ht="12.75" x14ac:dyDescent="0.2">
      <c r="R19871" s="1288"/>
    </row>
    <row r="19872" spans="18:18" s="2" customFormat="1" ht="12.75" x14ac:dyDescent="0.2">
      <c r="R19872" s="1288"/>
    </row>
    <row r="19873" spans="18:18" s="2" customFormat="1" ht="12.75" x14ac:dyDescent="0.2">
      <c r="R19873" s="1288"/>
    </row>
    <row r="19874" spans="18:18" s="2" customFormat="1" ht="12.75" x14ac:dyDescent="0.2">
      <c r="R19874" s="1288"/>
    </row>
    <row r="19875" spans="18:18" s="2" customFormat="1" ht="12.75" x14ac:dyDescent="0.2">
      <c r="R19875" s="1288"/>
    </row>
    <row r="19876" spans="18:18" s="2" customFormat="1" ht="12.75" x14ac:dyDescent="0.2">
      <c r="R19876" s="1288"/>
    </row>
    <row r="19877" spans="18:18" s="2" customFormat="1" ht="12.75" x14ac:dyDescent="0.2">
      <c r="R19877" s="1288"/>
    </row>
    <row r="19878" spans="18:18" s="2" customFormat="1" ht="12.75" x14ac:dyDescent="0.2">
      <c r="R19878" s="1288"/>
    </row>
    <row r="19879" spans="18:18" s="2" customFormat="1" ht="12.75" x14ac:dyDescent="0.2">
      <c r="R19879" s="1288"/>
    </row>
    <row r="19880" spans="18:18" s="2" customFormat="1" ht="12.75" x14ac:dyDescent="0.2">
      <c r="R19880" s="1288"/>
    </row>
    <row r="19881" spans="18:18" s="2" customFormat="1" ht="12.75" x14ac:dyDescent="0.2">
      <c r="R19881" s="1288"/>
    </row>
    <row r="19882" spans="18:18" s="2" customFormat="1" ht="12.75" x14ac:dyDescent="0.2">
      <c r="R19882" s="1288"/>
    </row>
    <row r="19883" spans="18:18" s="2" customFormat="1" ht="12.75" x14ac:dyDescent="0.2">
      <c r="R19883" s="1288"/>
    </row>
    <row r="19884" spans="18:18" s="2" customFormat="1" ht="12.75" x14ac:dyDescent="0.2">
      <c r="R19884" s="1288"/>
    </row>
    <row r="19885" spans="18:18" s="2" customFormat="1" ht="12.75" x14ac:dyDescent="0.2">
      <c r="R19885" s="1288"/>
    </row>
    <row r="19886" spans="18:18" s="2" customFormat="1" ht="12.75" x14ac:dyDescent="0.2">
      <c r="R19886" s="1288"/>
    </row>
    <row r="19887" spans="18:18" s="2" customFormat="1" ht="12.75" x14ac:dyDescent="0.2">
      <c r="R19887" s="1288"/>
    </row>
    <row r="19888" spans="18:18" s="2" customFormat="1" ht="12.75" x14ac:dyDescent="0.2">
      <c r="R19888" s="1288"/>
    </row>
    <row r="19889" spans="18:18" s="2" customFormat="1" ht="12.75" x14ac:dyDescent="0.2">
      <c r="R19889" s="1288"/>
    </row>
    <row r="19890" spans="18:18" s="2" customFormat="1" ht="12.75" x14ac:dyDescent="0.2">
      <c r="R19890" s="1288"/>
    </row>
    <row r="19891" spans="18:18" s="2" customFormat="1" ht="12.75" x14ac:dyDescent="0.2">
      <c r="R19891" s="1288"/>
    </row>
    <row r="19892" spans="18:18" s="2" customFormat="1" ht="12.75" x14ac:dyDescent="0.2">
      <c r="R19892" s="1288"/>
    </row>
    <row r="19893" spans="18:18" s="2" customFormat="1" ht="12.75" x14ac:dyDescent="0.2">
      <c r="R19893" s="1288"/>
    </row>
    <row r="19894" spans="18:18" s="2" customFormat="1" ht="12.75" x14ac:dyDescent="0.2">
      <c r="R19894" s="1288"/>
    </row>
    <row r="19895" spans="18:18" s="2" customFormat="1" ht="12.75" x14ac:dyDescent="0.2">
      <c r="R19895" s="1288"/>
    </row>
    <row r="19896" spans="18:18" s="2" customFormat="1" ht="12.75" x14ac:dyDescent="0.2">
      <c r="R19896" s="1288"/>
    </row>
    <row r="19897" spans="18:18" s="2" customFormat="1" ht="12.75" x14ac:dyDescent="0.2">
      <c r="R19897" s="1288"/>
    </row>
    <row r="19898" spans="18:18" s="2" customFormat="1" ht="12.75" x14ac:dyDescent="0.2">
      <c r="R19898" s="1288"/>
    </row>
    <row r="19899" spans="18:18" s="2" customFormat="1" ht="12.75" x14ac:dyDescent="0.2">
      <c r="R19899" s="1288"/>
    </row>
    <row r="19900" spans="18:18" s="2" customFormat="1" ht="12.75" x14ac:dyDescent="0.2">
      <c r="R19900" s="1288"/>
    </row>
    <row r="19901" spans="18:18" s="2" customFormat="1" ht="12.75" x14ac:dyDescent="0.2">
      <c r="R19901" s="1288"/>
    </row>
    <row r="19902" spans="18:18" s="2" customFormat="1" ht="12.75" x14ac:dyDescent="0.2">
      <c r="R19902" s="1288"/>
    </row>
    <row r="19903" spans="18:18" s="2" customFormat="1" ht="12.75" x14ac:dyDescent="0.2">
      <c r="R19903" s="1288"/>
    </row>
    <row r="19904" spans="18:18" s="2" customFormat="1" ht="12.75" x14ac:dyDescent="0.2">
      <c r="R19904" s="1288"/>
    </row>
    <row r="19905" spans="18:18" s="2" customFormat="1" ht="12.75" x14ac:dyDescent="0.2">
      <c r="R19905" s="1288"/>
    </row>
    <row r="19906" spans="18:18" s="2" customFormat="1" ht="12.75" x14ac:dyDescent="0.2">
      <c r="R19906" s="1288"/>
    </row>
    <row r="19907" spans="18:18" s="2" customFormat="1" ht="12.75" x14ac:dyDescent="0.2">
      <c r="R19907" s="1288"/>
    </row>
    <row r="19908" spans="18:18" s="2" customFormat="1" ht="12.75" x14ac:dyDescent="0.2">
      <c r="R19908" s="1288"/>
    </row>
    <row r="19909" spans="18:18" s="2" customFormat="1" ht="12.75" x14ac:dyDescent="0.2">
      <c r="R19909" s="1288"/>
    </row>
    <row r="19910" spans="18:18" s="2" customFormat="1" ht="12.75" x14ac:dyDescent="0.2">
      <c r="R19910" s="1288"/>
    </row>
    <row r="19911" spans="18:18" s="2" customFormat="1" ht="12.75" x14ac:dyDescent="0.2">
      <c r="R19911" s="1288"/>
    </row>
    <row r="19912" spans="18:18" s="2" customFormat="1" ht="12.75" x14ac:dyDescent="0.2">
      <c r="R19912" s="1288"/>
    </row>
    <row r="19913" spans="18:18" s="2" customFormat="1" ht="12.75" x14ac:dyDescent="0.2">
      <c r="R19913" s="1288"/>
    </row>
    <row r="19914" spans="18:18" s="2" customFormat="1" ht="12.75" x14ac:dyDescent="0.2">
      <c r="R19914" s="1288"/>
    </row>
    <row r="19915" spans="18:18" s="2" customFormat="1" ht="12.75" x14ac:dyDescent="0.2">
      <c r="R19915" s="1288"/>
    </row>
    <row r="19916" spans="18:18" s="2" customFormat="1" ht="12.75" x14ac:dyDescent="0.2">
      <c r="R19916" s="1288"/>
    </row>
    <row r="19917" spans="18:18" s="2" customFormat="1" ht="12.75" x14ac:dyDescent="0.2">
      <c r="R19917" s="1288"/>
    </row>
    <row r="19918" spans="18:18" s="2" customFormat="1" ht="12.75" x14ac:dyDescent="0.2">
      <c r="R19918" s="1288"/>
    </row>
    <row r="19919" spans="18:18" s="2" customFormat="1" ht="12.75" x14ac:dyDescent="0.2">
      <c r="R19919" s="1288"/>
    </row>
    <row r="19920" spans="18:18" s="2" customFormat="1" ht="12.75" x14ac:dyDescent="0.2">
      <c r="R19920" s="1288"/>
    </row>
    <row r="19921" spans="18:18" s="2" customFormat="1" ht="12.75" x14ac:dyDescent="0.2">
      <c r="R19921" s="1288"/>
    </row>
    <row r="19922" spans="18:18" s="2" customFormat="1" ht="12.75" x14ac:dyDescent="0.2">
      <c r="R19922" s="1288"/>
    </row>
    <row r="19923" spans="18:18" s="2" customFormat="1" ht="12.75" x14ac:dyDescent="0.2">
      <c r="R19923" s="1288"/>
    </row>
    <row r="19924" spans="18:18" s="2" customFormat="1" ht="12.75" x14ac:dyDescent="0.2">
      <c r="R19924" s="1288"/>
    </row>
    <row r="19925" spans="18:18" s="2" customFormat="1" ht="12.75" x14ac:dyDescent="0.2">
      <c r="R19925" s="1288"/>
    </row>
    <row r="19926" spans="18:18" s="2" customFormat="1" ht="12.75" x14ac:dyDescent="0.2">
      <c r="R19926" s="1288"/>
    </row>
    <row r="19927" spans="18:18" s="2" customFormat="1" ht="12.75" x14ac:dyDescent="0.2">
      <c r="R19927" s="1288"/>
    </row>
    <row r="19928" spans="18:18" s="2" customFormat="1" ht="12.75" x14ac:dyDescent="0.2">
      <c r="R19928" s="1288"/>
    </row>
    <row r="19929" spans="18:18" s="2" customFormat="1" ht="12.75" x14ac:dyDescent="0.2">
      <c r="R19929" s="1288"/>
    </row>
    <row r="19930" spans="18:18" s="2" customFormat="1" ht="12.75" x14ac:dyDescent="0.2">
      <c r="R19930" s="1288"/>
    </row>
    <row r="19931" spans="18:18" s="2" customFormat="1" ht="12.75" x14ac:dyDescent="0.2">
      <c r="R19931" s="1288"/>
    </row>
    <row r="19932" spans="18:18" s="2" customFormat="1" ht="12.75" x14ac:dyDescent="0.2">
      <c r="R19932" s="1288"/>
    </row>
    <row r="19933" spans="18:18" s="2" customFormat="1" ht="12.75" x14ac:dyDescent="0.2">
      <c r="R19933" s="1288"/>
    </row>
    <row r="19934" spans="18:18" s="2" customFormat="1" ht="12.75" x14ac:dyDescent="0.2">
      <c r="R19934" s="1288"/>
    </row>
    <row r="19935" spans="18:18" s="2" customFormat="1" ht="12.75" x14ac:dyDescent="0.2">
      <c r="R19935" s="1288"/>
    </row>
    <row r="19936" spans="18:18" s="2" customFormat="1" ht="12.75" x14ac:dyDescent="0.2">
      <c r="R19936" s="1288"/>
    </row>
    <row r="19937" spans="18:18" s="2" customFormat="1" ht="12.75" x14ac:dyDescent="0.2">
      <c r="R19937" s="1288"/>
    </row>
    <row r="19938" spans="18:18" s="2" customFormat="1" ht="12.75" x14ac:dyDescent="0.2">
      <c r="R19938" s="1288"/>
    </row>
    <row r="19939" spans="18:18" s="2" customFormat="1" ht="12.75" x14ac:dyDescent="0.2">
      <c r="R19939" s="1288"/>
    </row>
    <row r="19940" spans="18:18" s="2" customFormat="1" ht="12.75" x14ac:dyDescent="0.2">
      <c r="R19940" s="1288"/>
    </row>
    <row r="19941" spans="18:18" s="2" customFormat="1" ht="12.75" x14ac:dyDescent="0.2">
      <c r="R19941" s="1288"/>
    </row>
    <row r="19942" spans="18:18" s="2" customFormat="1" ht="12.75" x14ac:dyDescent="0.2">
      <c r="R19942" s="1288"/>
    </row>
    <row r="19943" spans="18:18" s="2" customFormat="1" ht="12.75" x14ac:dyDescent="0.2">
      <c r="R19943" s="1288"/>
    </row>
    <row r="19944" spans="18:18" s="2" customFormat="1" ht="12.75" x14ac:dyDescent="0.2">
      <c r="R19944" s="1288"/>
    </row>
    <row r="19945" spans="18:18" s="2" customFormat="1" ht="12.75" x14ac:dyDescent="0.2">
      <c r="R19945" s="1288"/>
    </row>
    <row r="19946" spans="18:18" s="2" customFormat="1" ht="12.75" x14ac:dyDescent="0.2">
      <c r="R19946" s="1288"/>
    </row>
    <row r="19947" spans="18:18" s="2" customFormat="1" ht="12.75" x14ac:dyDescent="0.2">
      <c r="R19947" s="1288"/>
    </row>
    <row r="19948" spans="18:18" s="2" customFormat="1" ht="12.75" x14ac:dyDescent="0.2">
      <c r="R19948" s="1288"/>
    </row>
    <row r="19949" spans="18:18" s="2" customFormat="1" ht="12.75" x14ac:dyDescent="0.2">
      <c r="R19949" s="1288"/>
    </row>
    <row r="19950" spans="18:18" s="2" customFormat="1" ht="12.75" x14ac:dyDescent="0.2">
      <c r="R19950" s="1288"/>
    </row>
    <row r="19951" spans="18:18" s="2" customFormat="1" ht="12.75" x14ac:dyDescent="0.2">
      <c r="R19951" s="1288"/>
    </row>
    <row r="19952" spans="18:18" s="2" customFormat="1" ht="12.75" x14ac:dyDescent="0.2">
      <c r="R19952" s="1288"/>
    </row>
    <row r="19953" spans="18:18" s="2" customFormat="1" ht="12.75" x14ac:dyDescent="0.2">
      <c r="R19953" s="1288"/>
    </row>
    <row r="19954" spans="18:18" s="2" customFormat="1" ht="12.75" x14ac:dyDescent="0.2">
      <c r="R19954" s="1288"/>
    </row>
    <row r="19955" spans="18:18" s="2" customFormat="1" ht="12.75" x14ac:dyDescent="0.2">
      <c r="R19955" s="1288"/>
    </row>
    <row r="19956" spans="18:18" s="2" customFormat="1" ht="12.75" x14ac:dyDescent="0.2">
      <c r="R19956" s="1288"/>
    </row>
    <row r="19957" spans="18:18" s="2" customFormat="1" ht="12.75" x14ac:dyDescent="0.2">
      <c r="R19957" s="1288"/>
    </row>
    <row r="19958" spans="18:18" s="2" customFormat="1" ht="12.75" x14ac:dyDescent="0.2">
      <c r="R19958" s="1288"/>
    </row>
    <row r="19959" spans="18:18" s="2" customFormat="1" ht="12.75" x14ac:dyDescent="0.2">
      <c r="R19959" s="1288"/>
    </row>
    <row r="19960" spans="18:18" s="2" customFormat="1" ht="12.75" x14ac:dyDescent="0.2">
      <c r="R19960" s="1288"/>
    </row>
    <row r="19961" spans="18:18" s="2" customFormat="1" ht="12.75" x14ac:dyDescent="0.2">
      <c r="R19961" s="1288"/>
    </row>
    <row r="19962" spans="18:18" s="2" customFormat="1" ht="12.75" x14ac:dyDescent="0.2">
      <c r="R19962" s="1288"/>
    </row>
    <row r="19963" spans="18:18" s="2" customFormat="1" ht="12.75" x14ac:dyDescent="0.2">
      <c r="R19963" s="1288"/>
    </row>
    <row r="19964" spans="18:18" s="2" customFormat="1" ht="12.75" x14ac:dyDescent="0.2">
      <c r="R19964" s="1288"/>
    </row>
    <row r="19965" spans="18:18" s="2" customFormat="1" ht="12.75" x14ac:dyDescent="0.2">
      <c r="R19965" s="1288"/>
    </row>
    <row r="19966" spans="18:18" s="2" customFormat="1" ht="12.75" x14ac:dyDescent="0.2">
      <c r="R19966" s="1288"/>
    </row>
    <row r="19967" spans="18:18" s="2" customFormat="1" ht="12.75" x14ac:dyDescent="0.2">
      <c r="R19967" s="1288"/>
    </row>
    <row r="19968" spans="18:18" s="2" customFormat="1" ht="12.75" x14ac:dyDescent="0.2">
      <c r="R19968" s="1288"/>
    </row>
    <row r="19969" spans="18:18" s="2" customFormat="1" ht="12.75" x14ac:dyDescent="0.2">
      <c r="R19969" s="1288"/>
    </row>
    <row r="19970" spans="18:18" s="2" customFormat="1" ht="12.75" x14ac:dyDescent="0.2">
      <c r="R19970" s="1288"/>
    </row>
    <row r="19971" spans="18:18" s="2" customFormat="1" ht="12.75" x14ac:dyDescent="0.2">
      <c r="R19971" s="1288"/>
    </row>
    <row r="19972" spans="18:18" s="2" customFormat="1" ht="12.75" x14ac:dyDescent="0.2">
      <c r="R19972" s="1288"/>
    </row>
    <row r="19973" spans="18:18" s="2" customFormat="1" ht="12.75" x14ac:dyDescent="0.2">
      <c r="R19973" s="1288"/>
    </row>
    <row r="19974" spans="18:18" s="2" customFormat="1" ht="12.75" x14ac:dyDescent="0.2">
      <c r="R19974" s="1288"/>
    </row>
    <row r="19975" spans="18:18" s="2" customFormat="1" ht="12.75" x14ac:dyDescent="0.2">
      <c r="R19975" s="1288"/>
    </row>
    <row r="19976" spans="18:18" s="2" customFormat="1" ht="12.75" x14ac:dyDescent="0.2">
      <c r="R19976" s="1288"/>
    </row>
    <row r="19977" spans="18:18" s="2" customFormat="1" ht="12.75" x14ac:dyDescent="0.2">
      <c r="R19977" s="1288"/>
    </row>
    <row r="19978" spans="18:18" s="2" customFormat="1" ht="12.75" x14ac:dyDescent="0.2">
      <c r="R19978" s="1288"/>
    </row>
    <row r="19979" spans="18:18" s="2" customFormat="1" ht="12.75" x14ac:dyDescent="0.2">
      <c r="R19979" s="1288"/>
    </row>
    <row r="19980" spans="18:18" s="2" customFormat="1" ht="12.75" x14ac:dyDescent="0.2">
      <c r="R19980" s="1288"/>
    </row>
    <row r="19981" spans="18:18" s="2" customFormat="1" ht="12.75" x14ac:dyDescent="0.2">
      <c r="R19981" s="1288"/>
    </row>
    <row r="19982" spans="18:18" s="2" customFormat="1" ht="12.75" x14ac:dyDescent="0.2">
      <c r="R19982" s="1288"/>
    </row>
    <row r="19983" spans="18:18" s="2" customFormat="1" ht="12.75" x14ac:dyDescent="0.2">
      <c r="R19983" s="1288"/>
    </row>
    <row r="19984" spans="18:18" s="2" customFormat="1" ht="12.75" x14ac:dyDescent="0.2">
      <c r="R19984" s="1288"/>
    </row>
    <row r="19985" spans="18:18" s="2" customFormat="1" ht="12.75" x14ac:dyDescent="0.2">
      <c r="R19985" s="1288"/>
    </row>
    <row r="19986" spans="18:18" s="2" customFormat="1" ht="12.75" x14ac:dyDescent="0.2">
      <c r="R19986" s="1288"/>
    </row>
    <row r="19987" spans="18:18" s="2" customFormat="1" ht="12.75" x14ac:dyDescent="0.2">
      <c r="R19987" s="1288"/>
    </row>
    <row r="19988" spans="18:18" s="2" customFormat="1" ht="12.75" x14ac:dyDescent="0.2">
      <c r="R19988" s="1288"/>
    </row>
    <row r="19989" spans="18:18" s="2" customFormat="1" ht="12.75" x14ac:dyDescent="0.2">
      <c r="R19989" s="1288"/>
    </row>
    <row r="19990" spans="18:18" s="2" customFormat="1" ht="12.75" x14ac:dyDescent="0.2">
      <c r="R19990" s="1288"/>
    </row>
    <row r="19991" spans="18:18" s="2" customFormat="1" ht="12.75" x14ac:dyDescent="0.2">
      <c r="R19991" s="1288"/>
    </row>
    <row r="19992" spans="18:18" s="2" customFormat="1" ht="12.75" x14ac:dyDescent="0.2">
      <c r="R19992" s="1288"/>
    </row>
    <row r="19993" spans="18:18" s="2" customFormat="1" ht="12.75" x14ac:dyDescent="0.2">
      <c r="R19993" s="1288"/>
    </row>
    <row r="19994" spans="18:18" s="2" customFormat="1" ht="12.75" x14ac:dyDescent="0.2">
      <c r="R19994" s="1288"/>
    </row>
    <row r="19995" spans="18:18" s="2" customFormat="1" ht="12.75" x14ac:dyDescent="0.2">
      <c r="R19995" s="1288"/>
    </row>
    <row r="19996" spans="18:18" s="2" customFormat="1" ht="12.75" x14ac:dyDescent="0.2">
      <c r="R19996" s="1288"/>
    </row>
    <row r="19997" spans="18:18" s="2" customFormat="1" ht="12.75" x14ac:dyDescent="0.2">
      <c r="R19997" s="1288"/>
    </row>
    <row r="19998" spans="18:18" s="2" customFormat="1" ht="12.75" x14ac:dyDescent="0.2">
      <c r="R19998" s="1288"/>
    </row>
    <row r="19999" spans="18:18" s="2" customFormat="1" ht="12.75" x14ac:dyDescent="0.2">
      <c r="R19999" s="1288"/>
    </row>
    <row r="20000" spans="18:18" s="2" customFormat="1" ht="12.75" x14ac:dyDescent="0.2">
      <c r="R20000" s="1288"/>
    </row>
    <row r="20001" spans="18:18" s="2" customFormat="1" ht="12.75" x14ac:dyDescent="0.2">
      <c r="R20001" s="1288"/>
    </row>
    <row r="20002" spans="18:18" s="2" customFormat="1" ht="12.75" x14ac:dyDescent="0.2">
      <c r="R20002" s="1288"/>
    </row>
    <row r="20003" spans="18:18" s="2" customFormat="1" ht="12.75" x14ac:dyDescent="0.2">
      <c r="R20003" s="1288"/>
    </row>
    <row r="20004" spans="18:18" s="2" customFormat="1" ht="12.75" x14ac:dyDescent="0.2">
      <c r="R20004" s="1288"/>
    </row>
    <row r="20005" spans="18:18" s="2" customFormat="1" ht="12.75" x14ac:dyDescent="0.2">
      <c r="R20005" s="1288"/>
    </row>
    <row r="20006" spans="18:18" s="2" customFormat="1" ht="12.75" x14ac:dyDescent="0.2">
      <c r="R20006" s="1288"/>
    </row>
    <row r="20007" spans="18:18" s="2" customFormat="1" ht="12.75" x14ac:dyDescent="0.2">
      <c r="R20007" s="1288"/>
    </row>
    <row r="20008" spans="18:18" s="2" customFormat="1" ht="12.75" x14ac:dyDescent="0.2">
      <c r="R20008" s="1288"/>
    </row>
    <row r="20009" spans="18:18" s="2" customFormat="1" ht="12.75" x14ac:dyDescent="0.2">
      <c r="R20009" s="1288"/>
    </row>
    <row r="20010" spans="18:18" s="2" customFormat="1" ht="12.75" x14ac:dyDescent="0.2">
      <c r="R20010" s="1288"/>
    </row>
    <row r="20011" spans="18:18" s="2" customFormat="1" ht="12.75" x14ac:dyDescent="0.2">
      <c r="R20011" s="1288"/>
    </row>
    <row r="20012" spans="18:18" s="2" customFormat="1" ht="12.75" x14ac:dyDescent="0.2">
      <c r="R20012" s="1288"/>
    </row>
    <row r="20013" spans="18:18" s="2" customFormat="1" ht="12.75" x14ac:dyDescent="0.2">
      <c r="R20013" s="1288"/>
    </row>
    <row r="20014" spans="18:18" s="2" customFormat="1" ht="12.75" x14ac:dyDescent="0.2">
      <c r="R20014" s="1288"/>
    </row>
    <row r="20015" spans="18:18" s="2" customFormat="1" ht="12.75" x14ac:dyDescent="0.2">
      <c r="R20015" s="1288"/>
    </row>
    <row r="20016" spans="18:18" s="2" customFormat="1" ht="12.75" x14ac:dyDescent="0.2">
      <c r="R20016" s="1288"/>
    </row>
    <row r="20017" spans="18:18" s="2" customFormat="1" ht="12.75" x14ac:dyDescent="0.2">
      <c r="R20017" s="1288"/>
    </row>
    <row r="20018" spans="18:18" s="2" customFormat="1" ht="12.75" x14ac:dyDescent="0.2">
      <c r="R20018" s="1288"/>
    </row>
    <row r="20019" spans="18:18" s="2" customFormat="1" ht="12.75" x14ac:dyDescent="0.2">
      <c r="R20019" s="1288"/>
    </row>
    <row r="20020" spans="18:18" s="2" customFormat="1" ht="12.75" x14ac:dyDescent="0.2">
      <c r="R20020" s="1288"/>
    </row>
    <row r="20021" spans="18:18" s="2" customFormat="1" ht="12.75" x14ac:dyDescent="0.2">
      <c r="R20021" s="1288"/>
    </row>
    <row r="20022" spans="18:18" s="2" customFormat="1" ht="12.75" x14ac:dyDescent="0.2">
      <c r="R20022" s="1288"/>
    </row>
    <row r="20023" spans="18:18" s="2" customFormat="1" ht="12.75" x14ac:dyDescent="0.2">
      <c r="R20023" s="1288"/>
    </row>
    <row r="20024" spans="18:18" s="2" customFormat="1" ht="12.75" x14ac:dyDescent="0.2">
      <c r="R20024" s="1288"/>
    </row>
    <row r="20025" spans="18:18" s="2" customFormat="1" ht="12.75" x14ac:dyDescent="0.2">
      <c r="R20025" s="1288"/>
    </row>
    <row r="20026" spans="18:18" s="2" customFormat="1" ht="12.75" x14ac:dyDescent="0.2">
      <c r="R20026" s="1288"/>
    </row>
    <row r="20027" spans="18:18" s="2" customFormat="1" ht="12.75" x14ac:dyDescent="0.2">
      <c r="R20027" s="1288"/>
    </row>
    <row r="20028" spans="18:18" s="2" customFormat="1" ht="12.75" x14ac:dyDescent="0.2">
      <c r="R20028" s="1288"/>
    </row>
    <row r="20029" spans="18:18" s="2" customFormat="1" ht="12.75" x14ac:dyDescent="0.2">
      <c r="R20029" s="1288"/>
    </row>
    <row r="20030" spans="18:18" s="2" customFormat="1" ht="12.75" x14ac:dyDescent="0.2">
      <c r="R20030" s="1288"/>
    </row>
    <row r="20031" spans="18:18" s="2" customFormat="1" ht="12.75" x14ac:dyDescent="0.2">
      <c r="R20031" s="1288"/>
    </row>
    <row r="20032" spans="18:18" s="2" customFormat="1" ht="12.75" x14ac:dyDescent="0.2">
      <c r="R20032" s="1288"/>
    </row>
    <row r="20033" spans="18:18" s="2" customFormat="1" ht="12.75" x14ac:dyDescent="0.2">
      <c r="R20033" s="1288"/>
    </row>
    <row r="20034" spans="18:18" s="2" customFormat="1" ht="12.75" x14ac:dyDescent="0.2">
      <c r="R20034" s="1288"/>
    </row>
    <row r="20035" spans="18:18" s="2" customFormat="1" ht="12.75" x14ac:dyDescent="0.2">
      <c r="R20035" s="1288"/>
    </row>
    <row r="20036" spans="18:18" s="2" customFormat="1" ht="12.75" x14ac:dyDescent="0.2">
      <c r="R20036" s="1288"/>
    </row>
    <row r="20037" spans="18:18" s="2" customFormat="1" ht="12.75" x14ac:dyDescent="0.2">
      <c r="R20037" s="1288"/>
    </row>
    <row r="20038" spans="18:18" s="2" customFormat="1" ht="12.75" x14ac:dyDescent="0.2">
      <c r="R20038" s="1288"/>
    </row>
    <row r="20039" spans="18:18" s="2" customFormat="1" ht="12.75" x14ac:dyDescent="0.2">
      <c r="R20039" s="1288"/>
    </row>
    <row r="20040" spans="18:18" s="2" customFormat="1" ht="12.75" x14ac:dyDescent="0.2">
      <c r="R20040" s="1288"/>
    </row>
    <row r="20041" spans="18:18" s="2" customFormat="1" ht="12.75" x14ac:dyDescent="0.2">
      <c r="R20041" s="1288"/>
    </row>
    <row r="20042" spans="18:18" s="2" customFormat="1" ht="12.75" x14ac:dyDescent="0.2">
      <c r="R20042" s="1288"/>
    </row>
    <row r="20043" spans="18:18" s="2" customFormat="1" ht="12.75" x14ac:dyDescent="0.2">
      <c r="R20043" s="1288"/>
    </row>
    <row r="20044" spans="18:18" s="2" customFormat="1" ht="12.75" x14ac:dyDescent="0.2">
      <c r="R20044" s="1288"/>
    </row>
    <row r="20045" spans="18:18" s="2" customFormat="1" ht="12.75" x14ac:dyDescent="0.2">
      <c r="R20045" s="1288"/>
    </row>
    <row r="20046" spans="18:18" s="2" customFormat="1" ht="12.75" x14ac:dyDescent="0.2">
      <c r="R20046" s="1288"/>
    </row>
    <row r="20047" spans="18:18" s="2" customFormat="1" ht="12.75" x14ac:dyDescent="0.2">
      <c r="R20047" s="1288"/>
    </row>
    <row r="20048" spans="18:18" s="2" customFormat="1" ht="12.75" x14ac:dyDescent="0.2">
      <c r="R20048" s="1288"/>
    </row>
    <row r="20049" spans="18:18" s="2" customFormat="1" ht="12.75" x14ac:dyDescent="0.2">
      <c r="R20049" s="1288"/>
    </row>
    <row r="20050" spans="18:18" s="2" customFormat="1" ht="12.75" x14ac:dyDescent="0.2">
      <c r="R20050" s="1288"/>
    </row>
    <row r="20051" spans="18:18" s="2" customFormat="1" ht="12.75" x14ac:dyDescent="0.2">
      <c r="R20051" s="1288"/>
    </row>
    <row r="20052" spans="18:18" s="2" customFormat="1" ht="12.75" x14ac:dyDescent="0.2">
      <c r="R20052" s="1288"/>
    </row>
    <row r="20053" spans="18:18" s="2" customFormat="1" ht="12.75" x14ac:dyDescent="0.2">
      <c r="R20053" s="1288"/>
    </row>
    <row r="20054" spans="18:18" s="2" customFormat="1" ht="12.75" x14ac:dyDescent="0.2">
      <c r="R20054" s="1288"/>
    </row>
    <row r="20055" spans="18:18" s="2" customFormat="1" ht="12.75" x14ac:dyDescent="0.2">
      <c r="R20055" s="1288"/>
    </row>
    <row r="20056" spans="18:18" s="2" customFormat="1" ht="12.75" x14ac:dyDescent="0.2">
      <c r="R20056" s="1288"/>
    </row>
    <row r="20057" spans="18:18" s="2" customFormat="1" ht="12.75" x14ac:dyDescent="0.2">
      <c r="R20057" s="1288"/>
    </row>
    <row r="20058" spans="18:18" s="2" customFormat="1" ht="12.75" x14ac:dyDescent="0.2">
      <c r="R20058" s="1288"/>
    </row>
    <row r="20059" spans="18:18" s="2" customFormat="1" ht="12.75" x14ac:dyDescent="0.2">
      <c r="R20059" s="1288"/>
    </row>
    <row r="20060" spans="18:18" s="2" customFormat="1" ht="12.75" x14ac:dyDescent="0.2">
      <c r="R20060" s="1288"/>
    </row>
    <row r="20061" spans="18:18" s="2" customFormat="1" ht="12.75" x14ac:dyDescent="0.2">
      <c r="R20061" s="1288"/>
    </row>
    <row r="20062" spans="18:18" s="2" customFormat="1" ht="12.75" x14ac:dyDescent="0.2">
      <c r="R20062" s="1288"/>
    </row>
    <row r="20063" spans="18:18" s="2" customFormat="1" ht="12.75" x14ac:dyDescent="0.2">
      <c r="R20063" s="1288"/>
    </row>
    <row r="20064" spans="18:18" s="2" customFormat="1" ht="12.75" x14ac:dyDescent="0.2">
      <c r="R20064" s="1288"/>
    </row>
    <row r="20065" spans="18:18" s="2" customFormat="1" ht="12.75" x14ac:dyDescent="0.2">
      <c r="R20065" s="1288"/>
    </row>
    <row r="20066" spans="18:18" s="2" customFormat="1" ht="12.75" x14ac:dyDescent="0.2">
      <c r="R20066" s="1288"/>
    </row>
    <row r="20067" spans="18:18" s="2" customFormat="1" ht="12.75" x14ac:dyDescent="0.2">
      <c r="R20067" s="1288"/>
    </row>
    <row r="20068" spans="18:18" s="2" customFormat="1" ht="12.75" x14ac:dyDescent="0.2">
      <c r="R20068" s="1288"/>
    </row>
    <row r="20069" spans="18:18" s="2" customFormat="1" ht="12.75" x14ac:dyDescent="0.2">
      <c r="R20069" s="1288"/>
    </row>
    <row r="20070" spans="18:18" s="2" customFormat="1" ht="12.75" x14ac:dyDescent="0.2">
      <c r="R20070" s="1288"/>
    </row>
    <row r="20071" spans="18:18" s="2" customFormat="1" ht="12.75" x14ac:dyDescent="0.2">
      <c r="R20071" s="1288"/>
    </row>
    <row r="20072" spans="18:18" s="2" customFormat="1" ht="12.75" x14ac:dyDescent="0.2">
      <c r="R20072" s="1288"/>
    </row>
    <row r="20073" spans="18:18" s="2" customFormat="1" ht="12.75" x14ac:dyDescent="0.2">
      <c r="R20073" s="1288"/>
    </row>
    <row r="20074" spans="18:18" s="2" customFormat="1" ht="12.75" x14ac:dyDescent="0.2">
      <c r="R20074" s="1288"/>
    </row>
    <row r="20075" spans="18:18" s="2" customFormat="1" ht="12.75" x14ac:dyDescent="0.2">
      <c r="R20075" s="1288"/>
    </row>
    <row r="20076" spans="18:18" s="2" customFormat="1" ht="12.75" x14ac:dyDescent="0.2">
      <c r="R20076" s="1288"/>
    </row>
    <row r="20077" spans="18:18" s="2" customFormat="1" ht="12.75" x14ac:dyDescent="0.2">
      <c r="R20077" s="1288"/>
    </row>
    <row r="20078" spans="18:18" s="2" customFormat="1" ht="12.75" x14ac:dyDescent="0.2">
      <c r="R20078" s="1288"/>
    </row>
    <row r="20079" spans="18:18" s="2" customFormat="1" ht="12.75" x14ac:dyDescent="0.2">
      <c r="R20079" s="1288"/>
    </row>
    <row r="20080" spans="18:18" s="2" customFormat="1" ht="12.75" x14ac:dyDescent="0.2">
      <c r="R20080" s="1288"/>
    </row>
    <row r="20081" spans="18:18" s="2" customFormat="1" ht="12.75" x14ac:dyDescent="0.2">
      <c r="R20081" s="1288"/>
    </row>
    <row r="20082" spans="18:18" s="2" customFormat="1" ht="12.75" x14ac:dyDescent="0.2">
      <c r="R20082" s="1288"/>
    </row>
    <row r="20083" spans="18:18" s="2" customFormat="1" ht="12.75" x14ac:dyDescent="0.2">
      <c r="R20083" s="1288"/>
    </row>
    <row r="20084" spans="18:18" s="2" customFormat="1" ht="12.75" x14ac:dyDescent="0.2">
      <c r="R20084" s="1288"/>
    </row>
    <row r="20085" spans="18:18" s="2" customFormat="1" ht="12.75" x14ac:dyDescent="0.2">
      <c r="R20085" s="1288"/>
    </row>
    <row r="20086" spans="18:18" s="2" customFormat="1" ht="12.75" x14ac:dyDescent="0.2">
      <c r="R20086" s="1288"/>
    </row>
    <row r="20087" spans="18:18" s="2" customFormat="1" ht="12.75" x14ac:dyDescent="0.2">
      <c r="R20087" s="1288"/>
    </row>
    <row r="20088" spans="18:18" s="2" customFormat="1" ht="12.75" x14ac:dyDescent="0.2">
      <c r="R20088" s="1288"/>
    </row>
    <row r="20089" spans="18:18" s="2" customFormat="1" ht="12.75" x14ac:dyDescent="0.2">
      <c r="R20089" s="1288"/>
    </row>
    <row r="20090" spans="18:18" s="2" customFormat="1" ht="12.75" x14ac:dyDescent="0.2">
      <c r="R20090" s="1288"/>
    </row>
    <row r="20091" spans="18:18" s="2" customFormat="1" ht="12.75" x14ac:dyDescent="0.2">
      <c r="R20091" s="1288"/>
    </row>
    <row r="20092" spans="18:18" s="2" customFormat="1" ht="12.75" x14ac:dyDescent="0.2">
      <c r="R20092" s="1288"/>
    </row>
    <row r="20093" spans="18:18" s="2" customFormat="1" ht="12.75" x14ac:dyDescent="0.2">
      <c r="R20093" s="1288"/>
    </row>
    <row r="20094" spans="18:18" s="2" customFormat="1" ht="12.75" x14ac:dyDescent="0.2">
      <c r="R20094" s="1288"/>
    </row>
    <row r="20095" spans="18:18" s="2" customFormat="1" ht="12.75" x14ac:dyDescent="0.2">
      <c r="R20095" s="1288"/>
    </row>
    <row r="20096" spans="18:18" s="2" customFormat="1" ht="12.75" x14ac:dyDescent="0.2">
      <c r="R20096" s="1288"/>
    </row>
    <row r="20097" spans="18:18" s="2" customFormat="1" ht="12.75" x14ac:dyDescent="0.2">
      <c r="R20097" s="1288"/>
    </row>
    <row r="20098" spans="18:18" s="2" customFormat="1" ht="12.75" x14ac:dyDescent="0.2">
      <c r="R20098" s="1288"/>
    </row>
    <row r="20099" spans="18:18" s="2" customFormat="1" ht="12.75" x14ac:dyDescent="0.2">
      <c r="R20099" s="1288"/>
    </row>
    <row r="20100" spans="18:18" s="2" customFormat="1" ht="12.75" x14ac:dyDescent="0.2">
      <c r="R20100" s="1288"/>
    </row>
    <row r="20101" spans="18:18" s="2" customFormat="1" ht="12.75" x14ac:dyDescent="0.2">
      <c r="R20101" s="1288"/>
    </row>
    <row r="20102" spans="18:18" s="2" customFormat="1" ht="12.75" x14ac:dyDescent="0.2">
      <c r="R20102" s="1288"/>
    </row>
    <row r="20103" spans="18:18" s="2" customFormat="1" ht="12.75" x14ac:dyDescent="0.2">
      <c r="R20103" s="1288"/>
    </row>
    <row r="20104" spans="18:18" s="2" customFormat="1" ht="12.75" x14ac:dyDescent="0.2">
      <c r="R20104" s="1288"/>
    </row>
    <row r="20105" spans="18:18" s="2" customFormat="1" ht="12.75" x14ac:dyDescent="0.2">
      <c r="R20105" s="1288"/>
    </row>
    <row r="20106" spans="18:18" s="2" customFormat="1" ht="12.75" x14ac:dyDescent="0.2">
      <c r="R20106" s="1288"/>
    </row>
    <row r="20107" spans="18:18" s="2" customFormat="1" ht="12.75" x14ac:dyDescent="0.2">
      <c r="R20107" s="1288"/>
    </row>
    <row r="20108" spans="18:18" s="2" customFormat="1" ht="12.75" x14ac:dyDescent="0.2">
      <c r="R20108" s="1288"/>
    </row>
    <row r="20109" spans="18:18" s="2" customFormat="1" ht="12.75" x14ac:dyDescent="0.2">
      <c r="R20109" s="1288"/>
    </row>
    <row r="20110" spans="18:18" s="2" customFormat="1" ht="12.75" x14ac:dyDescent="0.2">
      <c r="R20110" s="1288"/>
    </row>
    <row r="20111" spans="18:18" s="2" customFormat="1" ht="12.75" x14ac:dyDescent="0.2">
      <c r="R20111" s="1288"/>
    </row>
    <row r="20112" spans="18:18" s="2" customFormat="1" ht="12.75" x14ac:dyDescent="0.2">
      <c r="R20112" s="1288"/>
    </row>
    <row r="20113" spans="18:18" s="2" customFormat="1" ht="12.75" x14ac:dyDescent="0.2">
      <c r="R20113" s="1288"/>
    </row>
    <row r="20114" spans="18:18" s="2" customFormat="1" ht="12.75" x14ac:dyDescent="0.2">
      <c r="R20114" s="1288"/>
    </row>
    <row r="20115" spans="18:18" s="2" customFormat="1" ht="12.75" x14ac:dyDescent="0.2">
      <c r="R20115" s="1288"/>
    </row>
    <row r="20116" spans="18:18" s="2" customFormat="1" ht="12.75" x14ac:dyDescent="0.2">
      <c r="R20116" s="1288"/>
    </row>
    <row r="20117" spans="18:18" s="2" customFormat="1" ht="12.75" x14ac:dyDescent="0.2">
      <c r="R20117" s="1288"/>
    </row>
    <row r="20118" spans="18:18" s="2" customFormat="1" ht="12.75" x14ac:dyDescent="0.2">
      <c r="R20118" s="1288"/>
    </row>
    <row r="20119" spans="18:18" s="2" customFormat="1" ht="12.75" x14ac:dyDescent="0.2">
      <c r="R20119" s="1288"/>
    </row>
    <row r="20120" spans="18:18" s="2" customFormat="1" ht="12.75" x14ac:dyDescent="0.2">
      <c r="R20120" s="1288"/>
    </row>
    <row r="20121" spans="18:18" s="2" customFormat="1" ht="12.75" x14ac:dyDescent="0.2">
      <c r="R20121" s="1288"/>
    </row>
    <row r="20122" spans="18:18" s="2" customFormat="1" ht="12.75" x14ac:dyDescent="0.2">
      <c r="R20122" s="1288"/>
    </row>
    <row r="20123" spans="18:18" s="2" customFormat="1" ht="12.75" x14ac:dyDescent="0.2">
      <c r="R20123" s="1288"/>
    </row>
    <row r="20124" spans="18:18" s="2" customFormat="1" ht="12.75" x14ac:dyDescent="0.2">
      <c r="R20124" s="1288"/>
    </row>
    <row r="20125" spans="18:18" s="2" customFormat="1" ht="12.75" x14ac:dyDescent="0.2">
      <c r="R20125" s="1288"/>
    </row>
    <row r="20126" spans="18:18" s="2" customFormat="1" ht="12.75" x14ac:dyDescent="0.2">
      <c r="R20126" s="1288"/>
    </row>
    <row r="20127" spans="18:18" s="2" customFormat="1" ht="12.75" x14ac:dyDescent="0.2">
      <c r="R20127" s="1288"/>
    </row>
    <row r="20128" spans="18:18" s="2" customFormat="1" ht="12.75" x14ac:dyDescent="0.2">
      <c r="R20128" s="1288"/>
    </row>
    <row r="20129" spans="18:18" s="2" customFormat="1" ht="12.75" x14ac:dyDescent="0.2">
      <c r="R20129" s="1288"/>
    </row>
    <row r="20130" spans="18:18" s="2" customFormat="1" ht="12.75" x14ac:dyDescent="0.2">
      <c r="R20130" s="1288"/>
    </row>
    <row r="20131" spans="18:18" s="2" customFormat="1" ht="12.75" x14ac:dyDescent="0.2">
      <c r="R20131" s="1288"/>
    </row>
    <row r="20132" spans="18:18" s="2" customFormat="1" ht="12.75" x14ac:dyDescent="0.2">
      <c r="R20132" s="1288"/>
    </row>
    <row r="20133" spans="18:18" s="2" customFormat="1" ht="12.75" x14ac:dyDescent="0.2">
      <c r="R20133" s="1288"/>
    </row>
    <row r="20134" spans="18:18" s="2" customFormat="1" ht="12.75" x14ac:dyDescent="0.2">
      <c r="R20134" s="1288"/>
    </row>
    <row r="20135" spans="18:18" s="2" customFormat="1" ht="12.75" x14ac:dyDescent="0.2">
      <c r="R20135" s="1288"/>
    </row>
    <row r="20136" spans="18:18" s="2" customFormat="1" ht="12.75" x14ac:dyDescent="0.2">
      <c r="R20136" s="1288"/>
    </row>
    <row r="20137" spans="18:18" s="2" customFormat="1" ht="12.75" x14ac:dyDescent="0.2">
      <c r="R20137" s="1288"/>
    </row>
    <row r="20138" spans="18:18" s="2" customFormat="1" ht="12.75" x14ac:dyDescent="0.2">
      <c r="R20138" s="1288"/>
    </row>
    <row r="20139" spans="18:18" s="2" customFormat="1" ht="12.75" x14ac:dyDescent="0.2">
      <c r="R20139" s="1288"/>
    </row>
    <row r="20140" spans="18:18" s="2" customFormat="1" ht="12.75" x14ac:dyDescent="0.2">
      <c r="R20140" s="1288"/>
    </row>
    <row r="20141" spans="18:18" s="2" customFormat="1" ht="12.75" x14ac:dyDescent="0.2">
      <c r="R20141" s="1288"/>
    </row>
    <row r="20142" spans="18:18" s="2" customFormat="1" ht="12.75" x14ac:dyDescent="0.2">
      <c r="R20142" s="1288"/>
    </row>
    <row r="20143" spans="18:18" s="2" customFormat="1" ht="12.75" x14ac:dyDescent="0.2">
      <c r="R20143" s="1288"/>
    </row>
    <row r="20144" spans="18:18" s="2" customFormat="1" ht="12.75" x14ac:dyDescent="0.2">
      <c r="R20144" s="1288"/>
    </row>
    <row r="20145" spans="18:18" s="2" customFormat="1" ht="12.75" x14ac:dyDescent="0.2">
      <c r="R20145" s="1288"/>
    </row>
    <row r="20146" spans="18:18" s="2" customFormat="1" ht="12.75" x14ac:dyDescent="0.2">
      <c r="R20146" s="1288"/>
    </row>
    <row r="20147" spans="18:18" s="2" customFormat="1" ht="12.75" x14ac:dyDescent="0.2">
      <c r="R20147" s="1288"/>
    </row>
    <row r="20148" spans="18:18" s="2" customFormat="1" ht="12.75" x14ac:dyDescent="0.2">
      <c r="R20148" s="1288"/>
    </row>
    <row r="20149" spans="18:18" s="2" customFormat="1" ht="12.75" x14ac:dyDescent="0.2">
      <c r="R20149" s="1288"/>
    </row>
    <row r="20150" spans="18:18" s="2" customFormat="1" ht="12.75" x14ac:dyDescent="0.2">
      <c r="R20150" s="1288"/>
    </row>
    <row r="20151" spans="18:18" s="2" customFormat="1" ht="12.75" x14ac:dyDescent="0.2">
      <c r="R20151" s="1288"/>
    </row>
    <row r="20152" spans="18:18" s="2" customFormat="1" ht="12.75" x14ac:dyDescent="0.2">
      <c r="R20152" s="1288"/>
    </row>
    <row r="20153" spans="18:18" s="2" customFormat="1" ht="12.75" x14ac:dyDescent="0.2">
      <c r="R20153" s="1288"/>
    </row>
    <row r="20154" spans="18:18" s="2" customFormat="1" ht="12.75" x14ac:dyDescent="0.2">
      <c r="R20154" s="1288"/>
    </row>
    <row r="20155" spans="18:18" s="2" customFormat="1" ht="12.75" x14ac:dyDescent="0.2">
      <c r="R20155" s="1288"/>
    </row>
    <row r="20156" spans="18:18" s="2" customFormat="1" ht="12.75" x14ac:dyDescent="0.2">
      <c r="R20156" s="1288"/>
    </row>
    <row r="20157" spans="18:18" s="2" customFormat="1" ht="12.75" x14ac:dyDescent="0.2">
      <c r="R20157" s="1288"/>
    </row>
    <row r="20158" spans="18:18" s="2" customFormat="1" ht="12.75" x14ac:dyDescent="0.2">
      <c r="R20158" s="1288"/>
    </row>
    <row r="20159" spans="18:18" s="2" customFormat="1" ht="12.75" x14ac:dyDescent="0.2">
      <c r="R20159" s="1288"/>
    </row>
    <row r="20160" spans="18:18" s="2" customFormat="1" ht="12.75" x14ac:dyDescent="0.2">
      <c r="R20160" s="1288"/>
    </row>
    <row r="20161" spans="18:18" s="2" customFormat="1" ht="12.75" x14ac:dyDescent="0.2">
      <c r="R20161" s="1288"/>
    </row>
    <row r="20162" spans="18:18" s="2" customFormat="1" ht="12.75" x14ac:dyDescent="0.2">
      <c r="R20162" s="1288"/>
    </row>
    <row r="20163" spans="18:18" s="2" customFormat="1" ht="12.75" x14ac:dyDescent="0.2">
      <c r="R20163" s="1288"/>
    </row>
    <row r="20164" spans="18:18" s="2" customFormat="1" ht="12.75" x14ac:dyDescent="0.2">
      <c r="R20164" s="1288"/>
    </row>
    <row r="20165" spans="18:18" s="2" customFormat="1" ht="12.75" x14ac:dyDescent="0.2">
      <c r="R20165" s="1288"/>
    </row>
    <row r="20166" spans="18:18" s="2" customFormat="1" ht="12.75" x14ac:dyDescent="0.2">
      <c r="R20166" s="1288"/>
    </row>
    <row r="20167" spans="18:18" s="2" customFormat="1" ht="12.75" x14ac:dyDescent="0.2">
      <c r="R20167" s="1288"/>
    </row>
    <row r="20168" spans="18:18" s="2" customFormat="1" ht="12.75" x14ac:dyDescent="0.2">
      <c r="R20168" s="1288"/>
    </row>
    <row r="20169" spans="18:18" s="2" customFormat="1" ht="12.75" x14ac:dyDescent="0.2">
      <c r="R20169" s="1288"/>
    </row>
    <row r="20170" spans="18:18" s="2" customFormat="1" ht="12.75" x14ac:dyDescent="0.2">
      <c r="R20170" s="1288"/>
    </row>
    <row r="20171" spans="18:18" s="2" customFormat="1" ht="12.75" x14ac:dyDescent="0.2">
      <c r="R20171" s="1288"/>
    </row>
    <row r="20172" spans="18:18" s="2" customFormat="1" ht="12.75" x14ac:dyDescent="0.2">
      <c r="R20172" s="1288"/>
    </row>
    <row r="20173" spans="18:18" s="2" customFormat="1" ht="12.75" x14ac:dyDescent="0.2">
      <c r="R20173" s="1288"/>
    </row>
    <row r="20174" spans="18:18" s="2" customFormat="1" ht="12.75" x14ac:dyDescent="0.2">
      <c r="R20174" s="1288"/>
    </row>
    <row r="20175" spans="18:18" s="2" customFormat="1" ht="12.75" x14ac:dyDescent="0.2">
      <c r="R20175" s="1288"/>
    </row>
    <row r="20176" spans="18:18" s="2" customFormat="1" ht="12.75" x14ac:dyDescent="0.2">
      <c r="R20176" s="1288"/>
    </row>
    <row r="20177" spans="18:18" s="2" customFormat="1" ht="12.75" x14ac:dyDescent="0.2">
      <c r="R20177" s="1288"/>
    </row>
    <row r="20178" spans="18:18" s="2" customFormat="1" ht="12.75" x14ac:dyDescent="0.2">
      <c r="R20178" s="1288"/>
    </row>
    <row r="20179" spans="18:18" s="2" customFormat="1" ht="12.75" x14ac:dyDescent="0.2">
      <c r="R20179" s="1288"/>
    </row>
    <row r="20180" spans="18:18" s="2" customFormat="1" ht="12.75" x14ac:dyDescent="0.2">
      <c r="R20180" s="1288"/>
    </row>
    <row r="20181" spans="18:18" s="2" customFormat="1" ht="12.75" x14ac:dyDescent="0.2">
      <c r="R20181" s="1288"/>
    </row>
    <row r="20182" spans="18:18" s="2" customFormat="1" ht="12.75" x14ac:dyDescent="0.2">
      <c r="R20182" s="1288"/>
    </row>
    <row r="20183" spans="18:18" s="2" customFormat="1" ht="12.75" x14ac:dyDescent="0.2">
      <c r="R20183" s="1288"/>
    </row>
    <row r="20184" spans="18:18" s="2" customFormat="1" ht="12.75" x14ac:dyDescent="0.2">
      <c r="R20184" s="1288"/>
    </row>
    <row r="20185" spans="18:18" s="2" customFormat="1" ht="12.75" x14ac:dyDescent="0.2">
      <c r="R20185" s="1288"/>
    </row>
    <row r="20186" spans="18:18" s="2" customFormat="1" ht="12.75" x14ac:dyDescent="0.2">
      <c r="R20186" s="1288"/>
    </row>
    <row r="20187" spans="18:18" s="2" customFormat="1" ht="12.75" x14ac:dyDescent="0.2">
      <c r="R20187" s="1288"/>
    </row>
    <row r="20188" spans="18:18" s="2" customFormat="1" ht="12.75" x14ac:dyDescent="0.2">
      <c r="R20188" s="1288"/>
    </row>
    <row r="20189" spans="18:18" s="2" customFormat="1" ht="12.75" x14ac:dyDescent="0.2">
      <c r="R20189" s="1288"/>
    </row>
    <row r="20190" spans="18:18" s="2" customFormat="1" ht="12.75" x14ac:dyDescent="0.2">
      <c r="R20190" s="1288"/>
    </row>
    <row r="20191" spans="18:18" s="2" customFormat="1" ht="12.75" x14ac:dyDescent="0.2">
      <c r="R20191" s="1288"/>
    </row>
    <row r="20192" spans="18:18" s="2" customFormat="1" ht="12.75" x14ac:dyDescent="0.2">
      <c r="R20192" s="1288"/>
    </row>
    <row r="20193" spans="18:18" s="2" customFormat="1" ht="12.75" x14ac:dyDescent="0.2">
      <c r="R20193" s="1288"/>
    </row>
    <row r="20194" spans="18:18" s="2" customFormat="1" ht="12.75" x14ac:dyDescent="0.2">
      <c r="R20194" s="1288"/>
    </row>
    <row r="20195" spans="18:18" s="2" customFormat="1" ht="12.75" x14ac:dyDescent="0.2">
      <c r="R20195" s="1288"/>
    </row>
    <row r="20196" spans="18:18" s="2" customFormat="1" ht="12.75" x14ac:dyDescent="0.2">
      <c r="R20196" s="1288"/>
    </row>
    <row r="20197" spans="18:18" s="2" customFormat="1" ht="12.75" x14ac:dyDescent="0.2">
      <c r="R20197" s="1288"/>
    </row>
    <row r="20198" spans="18:18" s="2" customFormat="1" ht="12.75" x14ac:dyDescent="0.2">
      <c r="R20198" s="1288"/>
    </row>
    <row r="20199" spans="18:18" s="2" customFormat="1" ht="12.75" x14ac:dyDescent="0.2">
      <c r="R20199" s="1288"/>
    </row>
    <row r="20200" spans="18:18" s="2" customFormat="1" ht="12.75" x14ac:dyDescent="0.2">
      <c r="R20200" s="1288"/>
    </row>
    <row r="20201" spans="18:18" s="2" customFormat="1" ht="12.75" x14ac:dyDescent="0.2">
      <c r="R20201" s="1288"/>
    </row>
    <row r="20202" spans="18:18" s="2" customFormat="1" ht="12.75" x14ac:dyDescent="0.2">
      <c r="R20202" s="1288"/>
    </row>
    <row r="20203" spans="18:18" s="2" customFormat="1" ht="12.75" x14ac:dyDescent="0.2">
      <c r="R20203" s="1288"/>
    </row>
    <row r="20204" spans="18:18" s="2" customFormat="1" ht="12.75" x14ac:dyDescent="0.2">
      <c r="R20204" s="1288"/>
    </row>
    <row r="20205" spans="18:18" s="2" customFormat="1" ht="12.75" x14ac:dyDescent="0.2">
      <c r="R20205" s="1288"/>
    </row>
    <row r="20206" spans="18:18" s="2" customFormat="1" ht="12.75" x14ac:dyDescent="0.2">
      <c r="R20206" s="1288"/>
    </row>
    <row r="20207" spans="18:18" s="2" customFormat="1" ht="12.75" x14ac:dyDescent="0.2">
      <c r="R20207" s="1288"/>
    </row>
    <row r="20208" spans="18:18" s="2" customFormat="1" ht="12.75" x14ac:dyDescent="0.2">
      <c r="R20208" s="1288"/>
    </row>
    <row r="20209" spans="18:18" s="2" customFormat="1" ht="12.75" x14ac:dyDescent="0.2">
      <c r="R20209" s="1288"/>
    </row>
    <row r="20210" spans="18:18" s="2" customFormat="1" ht="12.75" x14ac:dyDescent="0.2">
      <c r="R20210" s="1288"/>
    </row>
    <row r="20211" spans="18:18" s="2" customFormat="1" ht="12.75" x14ac:dyDescent="0.2">
      <c r="R20211" s="1288"/>
    </row>
    <row r="20212" spans="18:18" s="2" customFormat="1" ht="12.75" x14ac:dyDescent="0.2">
      <c r="R20212" s="1288"/>
    </row>
    <row r="20213" spans="18:18" s="2" customFormat="1" ht="12.75" x14ac:dyDescent="0.2">
      <c r="R20213" s="1288"/>
    </row>
    <row r="20214" spans="18:18" s="2" customFormat="1" ht="12.75" x14ac:dyDescent="0.2">
      <c r="R20214" s="1288"/>
    </row>
    <row r="20215" spans="18:18" s="2" customFormat="1" ht="12.75" x14ac:dyDescent="0.2">
      <c r="R20215" s="1288"/>
    </row>
    <row r="20216" spans="18:18" s="2" customFormat="1" ht="12.75" x14ac:dyDescent="0.2">
      <c r="R20216" s="1288"/>
    </row>
    <row r="20217" spans="18:18" s="2" customFormat="1" ht="12.75" x14ac:dyDescent="0.2">
      <c r="R20217" s="1288"/>
    </row>
    <row r="20218" spans="18:18" s="2" customFormat="1" ht="12.75" x14ac:dyDescent="0.2">
      <c r="R20218" s="1288"/>
    </row>
    <row r="20219" spans="18:18" s="2" customFormat="1" ht="12.75" x14ac:dyDescent="0.2">
      <c r="R20219" s="1288"/>
    </row>
    <row r="20220" spans="18:18" s="2" customFormat="1" ht="12.75" x14ac:dyDescent="0.2">
      <c r="R20220" s="1288"/>
    </row>
    <row r="20221" spans="18:18" s="2" customFormat="1" ht="12.75" x14ac:dyDescent="0.2">
      <c r="R20221" s="1288"/>
    </row>
    <row r="20222" spans="18:18" s="2" customFormat="1" ht="12.75" x14ac:dyDescent="0.2">
      <c r="R20222" s="1288"/>
    </row>
    <row r="20223" spans="18:18" s="2" customFormat="1" ht="12.75" x14ac:dyDescent="0.2">
      <c r="R20223" s="1288"/>
    </row>
    <row r="20224" spans="18:18" s="2" customFormat="1" ht="12.75" x14ac:dyDescent="0.2">
      <c r="R20224" s="1288"/>
    </row>
    <row r="20225" spans="18:18" s="2" customFormat="1" ht="12.75" x14ac:dyDescent="0.2">
      <c r="R20225" s="1288"/>
    </row>
    <row r="20226" spans="18:18" s="2" customFormat="1" ht="12.75" x14ac:dyDescent="0.2">
      <c r="R20226" s="1288"/>
    </row>
    <row r="20227" spans="18:18" s="2" customFormat="1" ht="12.75" x14ac:dyDescent="0.2">
      <c r="R20227" s="1288"/>
    </row>
    <row r="20228" spans="18:18" s="2" customFormat="1" ht="12.75" x14ac:dyDescent="0.2">
      <c r="R20228" s="1288"/>
    </row>
    <row r="20229" spans="18:18" s="2" customFormat="1" ht="12.75" x14ac:dyDescent="0.2">
      <c r="R20229" s="1288"/>
    </row>
    <row r="20230" spans="18:18" s="2" customFormat="1" ht="12.75" x14ac:dyDescent="0.2">
      <c r="R20230" s="1288"/>
    </row>
    <row r="20231" spans="18:18" s="2" customFormat="1" ht="12.75" x14ac:dyDescent="0.2">
      <c r="R20231" s="1288"/>
    </row>
    <row r="20232" spans="18:18" s="2" customFormat="1" ht="12.75" x14ac:dyDescent="0.2">
      <c r="R20232" s="1288"/>
    </row>
    <row r="20233" spans="18:18" s="2" customFormat="1" ht="12.75" x14ac:dyDescent="0.2">
      <c r="R20233" s="1288"/>
    </row>
    <row r="20234" spans="18:18" s="2" customFormat="1" ht="12.75" x14ac:dyDescent="0.2">
      <c r="R20234" s="1288"/>
    </row>
    <row r="20235" spans="18:18" s="2" customFormat="1" ht="12.75" x14ac:dyDescent="0.2">
      <c r="R20235" s="1288"/>
    </row>
    <row r="20236" spans="18:18" s="2" customFormat="1" ht="12.75" x14ac:dyDescent="0.2">
      <c r="R20236" s="1288"/>
    </row>
    <row r="20237" spans="18:18" s="2" customFormat="1" ht="12.75" x14ac:dyDescent="0.2">
      <c r="R20237" s="1288"/>
    </row>
    <row r="20238" spans="18:18" s="2" customFormat="1" ht="12.75" x14ac:dyDescent="0.2">
      <c r="R20238" s="1288"/>
    </row>
    <row r="20239" spans="18:18" s="2" customFormat="1" ht="12.75" x14ac:dyDescent="0.2">
      <c r="R20239" s="1288"/>
    </row>
    <row r="20240" spans="18:18" s="2" customFormat="1" ht="12.75" x14ac:dyDescent="0.2">
      <c r="R20240" s="1288"/>
    </row>
    <row r="20241" spans="18:18" s="2" customFormat="1" ht="12.75" x14ac:dyDescent="0.2">
      <c r="R20241" s="1288"/>
    </row>
    <row r="20242" spans="18:18" s="2" customFormat="1" ht="12.75" x14ac:dyDescent="0.2">
      <c r="R20242" s="1288"/>
    </row>
    <row r="20243" spans="18:18" s="2" customFormat="1" ht="12.75" x14ac:dyDescent="0.2">
      <c r="R20243" s="1288"/>
    </row>
    <row r="20244" spans="18:18" s="2" customFormat="1" ht="12.75" x14ac:dyDescent="0.2">
      <c r="R20244" s="1288"/>
    </row>
    <row r="20245" spans="18:18" s="2" customFormat="1" ht="12.75" x14ac:dyDescent="0.2">
      <c r="R20245" s="1288"/>
    </row>
    <row r="20246" spans="18:18" s="2" customFormat="1" ht="12.75" x14ac:dyDescent="0.2">
      <c r="R20246" s="1288"/>
    </row>
    <row r="20247" spans="18:18" s="2" customFormat="1" ht="12.75" x14ac:dyDescent="0.2">
      <c r="R20247" s="1288"/>
    </row>
    <row r="20248" spans="18:18" s="2" customFormat="1" ht="12.75" x14ac:dyDescent="0.2">
      <c r="R20248" s="1288"/>
    </row>
    <row r="20249" spans="18:18" s="2" customFormat="1" ht="12.75" x14ac:dyDescent="0.2">
      <c r="R20249" s="1288"/>
    </row>
    <row r="20250" spans="18:18" s="2" customFormat="1" ht="12.75" x14ac:dyDescent="0.2">
      <c r="R20250" s="1288"/>
    </row>
    <row r="20251" spans="18:18" s="2" customFormat="1" ht="12.75" x14ac:dyDescent="0.2">
      <c r="R20251" s="1288"/>
    </row>
    <row r="20252" spans="18:18" s="2" customFormat="1" ht="12.75" x14ac:dyDescent="0.2">
      <c r="R20252" s="1288"/>
    </row>
    <row r="20253" spans="18:18" s="2" customFormat="1" ht="12.75" x14ac:dyDescent="0.2">
      <c r="R20253" s="1288"/>
    </row>
    <row r="20254" spans="18:18" s="2" customFormat="1" ht="12.75" x14ac:dyDescent="0.2">
      <c r="R20254" s="1288"/>
    </row>
    <row r="20255" spans="18:18" s="2" customFormat="1" ht="12.75" x14ac:dyDescent="0.2">
      <c r="R20255" s="1288"/>
    </row>
    <row r="20256" spans="18:18" s="2" customFormat="1" ht="12.75" x14ac:dyDescent="0.2">
      <c r="R20256" s="1288"/>
    </row>
    <row r="20257" spans="18:18" s="2" customFormat="1" ht="12.75" x14ac:dyDescent="0.2">
      <c r="R20257" s="1288"/>
    </row>
    <row r="20258" spans="18:18" s="2" customFormat="1" ht="12.75" x14ac:dyDescent="0.2">
      <c r="R20258" s="1288"/>
    </row>
    <row r="20259" spans="18:18" s="2" customFormat="1" ht="12.75" x14ac:dyDescent="0.2">
      <c r="R20259" s="1288"/>
    </row>
    <row r="20260" spans="18:18" s="2" customFormat="1" ht="12.75" x14ac:dyDescent="0.2">
      <c r="R20260" s="1288"/>
    </row>
    <row r="20261" spans="18:18" s="2" customFormat="1" ht="12.75" x14ac:dyDescent="0.2">
      <c r="R20261" s="1288"/>
    </row>
    <row r="20262" spans="18:18" s="2" customFormat="1" ht="12.75" x14ac:dyDescent="0.2">
      <c r="R20262" s="1288"/>
    </row>
    <row r="20263" spans="18:18" s="2" customFormat="1" ht="12.75" x14ac:dyDescent="0.2">
      <c r="R20263" s="1288"/>
    </row>
    <row r="20264" spans="18:18" s="2" customFormat="1" ht="12.75" x14ac:dyDescent="0.2">
      <c r="R20264" s="1288"/>
    </row>
    <row r="20265" spans="18:18" s="2" customFormat="1" ht="12.75" x14ac:dyDescent="0.2">
      <c r="R20265" s="1288"/>
    </row>
    <row r="20266" spans="18:18" s="2" customFormat="1" ht="12.75" x14ac:dyDescent="0.2">
      <c r="R20266" s="1288"/>
    </row>
    <row r="20267" spans="18:18" s="2" customFormat="1" ht="12.75" x14ac:dyDescent="0.2">
      <c r="R20267" s="1288"/>
    </row>
    <row r="20268" spans="18:18" s="2" customFormat="1" ht="12.75" x14ac:dyDescent="0.2">
      <c r="R20268" s="1288"/>
    </row>
    <row r="20269" spans="18:18" s="2" customFormat="1" ht="12.75" x14ac:dyDescent="0.2">
      <c r="R20269" s="1288"/>
    </row>
    <row r="20270" spans="18:18" s="2" customFormat="1" ht="12.75" x14ac:dyDescent="0.2">
      <c r="R20270" s="1288"/>
    </row>
    <row r="20271" spans="18:18" s="2" customFormat="1" ht="12.75" x14ac:dyDescent="0.2">
      <c r="R20271" s="1288"/>
    </row>
    <row r="20272" spans="18:18" s="2" customFormat="1" ht="12.75" x14ac:dyDescent="0.2">
      <c r="R20272" s="1288"/>
    </row>
    <row r="20273" spans="18:18" s="2" customFormat="1" ht="12.75" x14ac:dyDescent="0.2">
      <c r="R20273" s="1288"/>
    </row>
    <row r="20274" spans="18:18" s="2" customFormat="1" ht="12.75" x14ac:dyDescent="0.2">
      <c r="R20274" s="1288"/>
    </row>
    <row r="20275" spans="18:18" s="2" customFormat="1" ht="12.75" x14ac:dyDescent="0.2">
      <c r="R20275" s="1288"/>
    </row>
    <row r="20276" spans="18:18" s="2" customFormat="1" ht="12.75" x14ac:dyDescent="0.2">
      <c r="R20276" s="1288"/>
    </row>
    <row r="20277" spans="18:18" s="2" customFormat="1" ht="12.75" x14ac:dyDescent="0.2">
      <c r="R20277" s="1288"/>
    </row>
    <row r="20278" spans="18:18" s="2" customFormat="1" ht="12.75" x14ac:dyDescent="0.2">
      <c r="R20278" s="1288"/>
    </row>
    <row r="20279" spans="18:18" s="2" customFormat="1" ht="12.75" x14ac:dyDescent="0.2">
      <c r="R20279" s="1288"/>
    </row>
    <row r="20280" spans="18:18" s="2" customFormat="1" ht="12.75" x14ac:dyDescent="0.2">
      <c r="R20280" s="1288"/>
    </row>
    <row r="20281" spans="18:18" s="2" customFormat="1" ht="12.75" x14ac:dyDescent="0.2">
      <c r="R20281" s="1288"/>
    </row>
    <row r="20282" spans="18:18" s="2" customFormat="1" ht="12.75" x14ac:dyDescent="0.2">
      <c r="R20282" s="1288"/>
    </row>
    <row r="20283" spans="18:18" s="2" customFormat="1" ht="12.75" x14ac:dyDescent="0.2">
      <c r="R20283" s="1288"/>
    </row>
    <row r="20284" spans="18:18" s="2" customFormat="1" ht="12.75" x14ac:dyDescent="0.2">
      <c r="R20284" s="1288"/>
    </row>
    <row r="20285" spans="18:18" s="2" customFormat="1" ht="12.75" x14ac:dyDescent="0.2">
      <c r="R20285" s="1288"/>
    </row>
    <row r="20286" spans="18:18" s="2" customFormat="1" ht="12.75" x14ac:dyDescent="0.2">
      <c r="R20286" s="1288"/>
    </row>
    <row r="20287" spans="18:18" s="2" customFormat="1" ht="12.75" x14ac:dyDescent="0.2">
      <c r="R20287" s="1288"/>
    </row>
    <row r="20288" spans="18:18" s="2" customFormat="1" ht="12.75" x14ac:dyDescent="0.2">
      <c r="R20288" s="1288"/>
    </row>
    <row r="20289" spans="18:18" s="2" customFormat="1" ht="12.75" x14ac:dyDescent="0.2">
      <c r="R20289" s="1288"/>
    </row>
    <row r="20290" spans="18:18" s="2" customFormat="1" ht="12.75" x14ac:dyDescent="0.2">
      <c r="R20290" s="1288"/>
    </row>
    <row r="20291" spans="18:18" s="2" customFormat="1" ht="12.75" x14ac:dyDescent="0.2">
      <c r="R20291" s="1288"/>
    </row>
    <row r="20292" spans="18:18" s="2" customFormat="1" ht="12.75" x14ac:dyDescent="0.2">
      <c r="R20292" s="1288"/>
    </row>
    <row r="20293" spans="18:18" s="2" customFormat="1" ht="12.75" x14ac:dyDescent="0.2">
      <c r="R20293" s="1288"/>
    </row>
    <row r="20294" spans="18:18" s="2" customFormat="1" ht="12.75" x14ac:dyDescent="0.2">
      <c r="R20294" s="1288"/>
    </row>
    <row r="20295" spans="18:18" s="2" customFormat="1" ht="12.75" x14ac:dyDescent="0.2">
      <c r="R20295" s="1288"/>
    </row>
    <row r="20296" spans="18:18" s="2" customFormat="1" ht="12.75" x14ac:dyDescent="0.2">
      <c r="R20296" s="1288"/>
    </row>
    <row r="20297" spans="18:18" s="2" customFormat="1" ht="12.75" x14ac:dyDescent="0.2">
      <c r="R20297" s="1288"/>
    </row>
    <row r="20298" spans="18:18" s="2" customFormat="1" ht="12.75" x14ac:dyDescent="0.2">
      <c r="R20298" s="1288"/>
    </row>
    <row r="20299" spans="18:18" s="2" customFormat="1" ht="12.75" x14ac:dyDescent="0.2">
      <c r="R20299" s="1288"/>
    </row>
    <row r="20300" spans="18:18" s="2" customFormat="1" ht="12.75" x14ac:dyDescent="0.2">
      <c r="R20300" s="1288"/>
    </row>
    <row r="20301" spans="18:18" s="2" customFormat="1" ht="12.75" x14ac:dyDescent="0.2">
      <c r="R20301" s="1288"/>
    </row>
    <row r="20302" spans="18:18" s="2" customFormat="1" ht="12.75" x14ac:dyDescent="0.2">
      <c r="R20302" s="1288"/>
    </row>
    <row r="20303" spans="18:18" s="2" customFormat="1" ht="12.75" x14ac:dyDescent="0.2">
      <c r="R20303" s="1288"/>
    </row>
    <row r="20304" spans="18:18" s="2" customFormat="1" ht="12.75" x14ac:dyDescent="0.2">
      <c r="R20304" s="1288"/>
    </row>
    <row r="20305" spans="18:18" s="2" customFormat="1" ht="12.75" x14ac:dyDescent="0.2">
      <c r="R20305" s="1288"/>
    </row>
    <row r="20306" spans="18:18" s="2" customFormat="1" ht="12.75" x14ac:dyDescent="0.2">
      <c r="R20306" s="1288"/>
    </row>
    <row r="20307" spans="18:18" s="2" customFormat="1" ht="12.75" x14ac:dyDescent="0.2">
      <c r="R20307" s="1288"/>
    </row>
    <row r="20308" spans="18:18" s="2" customFormat="1" ht="12.75" x14ac:dyDescent="0.2">
      <c r="R20308" s="1288"/>
    </row>
    <row r="20309" spans="18:18" s="2" customFormat="1" ht="12.75" x14ac:dyDescent="0.2">
      <c r="R20309" s="1288"/>
    </row>
    <row r="20310" spans="18:18" s="2" customFormat="1" ht="12.75" x14ac:dyDescent="0.2">
      <c r="R20310" s="1288"/>
    </row>
    <row r="20311" spans="18:18" s="2" customFormat="1" ht="12.75" x14ac:dyDescent="0.2">
      <c r="R20311" s="1288"/>
    </row>
    <row r="20312" spans="18:18" s="2" customFormat="1" ht="12.75" x14ac:dyDescent="0.2">
      <c r="R20312" s="1288"/>
    </row>
    <row r="20313" spans="18:18" s="2" customFormat="1" ht="12.75" x14ac:dyDescent="0.2">
      <c r="R20313" s="1288"/>
    </row>
    <row r="20314" spans="18:18" s="2" customFormat="1" ht="12.75" x14ac:dyDescent="0.2">
      <c r="R20314" s="1288"/>
    </row>
    <row r="20315" spans="18:18" s="2" customFormat="1" ht="12.75" x14ac:dyDescent="0.2">
      <c r="R20315" s="1288"/>
    </row>
    <row r="20316" spans="18:18" s="2" customFormat="1" ht="12.75" x14ac:dyDescent="0.2">
      <c r="R20316" s="1288"/>
    </row>
    <row r="20317" spans="18:18" s="2" customFormat="1" ht="12.75" x14ac:dyDescent="0.2">
      <c r="R20317" s="1288"/>
    </row>
    <row r="20318" spans="18:18" s="2" customFormat="1" ht="12.75" x14ac:dyDescent="0.2">
      <c r="R20318" s="1288"/>
    </row>
    <row r="20319" spans="18:18" s="2" customFormat="1" ht="12.75" x14ac:dyDescent="0.2">
      <c r="R20319" s="1288"/>
    </row>
    <row r="20320" spans="18:18" s="2" customFormat="1" ht="12.75" x14ac:dyDescent="0.2">
      <c r="R20320" s="1288"/>
    </row>
    <row r="20321" spans="18:18" s="2" customFormat="1" ht="12.75" x14ac:dyDescent="0.2">
      <c r="R20321" s="1288"/>
    </row>
    <row r="20322" spans="18:18" s="2" customFormat="1" ht="12.75" x14ac:dyDescent="0.2">
      <c r="R20322" s="1288"/>
    </row>
    <row r="20323" spans="18:18" s="2" customFormat="1" ht="12.75" x14ac:dyDescent="0.2">
      <c r="R20323" s="1288"/>
    </row>
    <row r="20324" spans="18:18" s="2" customFormat="1" ht="12.75" x14ac:dyDescent="0.2">
      <c r="R20324" s="1288"/>
    </row>
    <row r="20325" spans="18:18" s="2" customFormat="1" ht="12.75" x14ac:dyDescent="0.2">
      <c r="R20325" s="1288"/>
    </row>
    <row r="20326" spans="18:18" s="2" customFormat="1" ht="12.75" x14ac:dyDescent="0.2">
      <c r="R20326" s="1288"/>
    </row>
    <row r="20327" spans="18:18" s="2" customFormat="1" ht="12.75" x14ac:dyDescent="0.2">
      <c r="R20327" s="1288"/>
    </row>
    <row r="20328" spans="18:18" s="2" customFormat="1" ht="12.75" x14ac:dyDescent="0.2">
      <c r="R20328" s="1288"/>
    </row>
    <row r="20329" spans="18:18" s="2" customFormat="1" ht="12.75" x14ac:dyDescent="0.2">
      <c r="R20329" s="1288"/>
    </row>
    <row r="20330" spans="18:18" s="2" customFormat="1" ht="12.75" x14ac:dyDescent="0.2">
      <c r="R20330" s="1288"/>
    </row>
    <row r="20331" spans="18:18" s="2" customFormat="1" ht="12.75" x14ac:dyDescent="0.2">
      <c r="R20331" s="1288"/>
    </row>
    <row r="20332" spans="18:18" s="2" customFormat="1" ht="12.75" x14ac:dyDescent="0.2">
      <c r="R20332" s="1288"/>
    </row>
    <row r="20333" spans="18:18" s="2" customFormat="1" ht="12.75" x14ac:dyDescent="0.2">
      <c r="R20333" s="1288"/>
    </row>
    <row r="20334" spans="18:18" s="2" customFormat="1" ht="12.75" x14ac:dyDescent="0.2">
      <c r="R20334" s="1288"/>
    </row>
    <row r="20335" spans="18:18" s="2" customFormat="1" ht="12.75" x14ac:dyDescent="0.2">
      <c r="R20335" s="1288"/>
    </row>
    <row r="20336" spans="18:18" s="2" customFormat="1" ht="12.75" x14ac:dyDescent="0.2">
      <c r="R20336" s="1288"/>
    </row>
    <row r="20337" spans="18:18" s="2" customFormat="1" ht="12.75" x14ac:dyDescent="0.2">
      <c r="R20337" s="1288"/>
    </row>
    <row r="20338" spans="18:18" s="2" customFormat="1" ht="12.75" x14ac:dyDescent="0.2">
      <c r="R20338" s="1288"/>
    </row>
    <row r="20339" spans="18:18" s="2" customFormat="1" ht="12.75" x14ac:dyDescent="0.2">
      <c r="R20339" s="1288"/>
    </row>
    <row r="20340" spans="18:18" s="2" customFormat="1" ht="12.75" x14ac:dyDescent="0.2">
      <c r="R20340" s="1288"/>
    </row>
    <row r="20341" spans="18:18" s="2" customFormat="1" ht="12.75" x14ac:dyDescent="0.2">
      <c r="R20341" s="1288"/>
    </row>
    <row r="20342" spans="18:18" s="2" customFormat="1" ht="12.75" x14ac:dyDescent="0.2">
      <c r="R20342" s="1288"/>
    </row>
    <row r="20343" spans="18:18" s="2" customFormat="1" ht="12.75" x14ac:dyDescent="0.2">
      <c r="R20343" s="1288"/>
    </row>
    <row r="20344" spans="18:18" s="2" customFormat="1" ht="12.75" x14ac:dyDescent="0.2">
      <c r="R20344" s="1288"/>
    </row>
    <row r="20345" spans="18:18" s="2" customFormat="1" ht="12.75" x14ac:dyDescent="0.2">
      <c r="R20345" s="1288"/>
    </row>
    <row r="20346" spans="18:18" s="2" customFormat="1" ht="12.75" x14ac:dyDescent="0.2">
      <c r="R20346" s="1288"/>
    </row>
    <row r="20347" spans="18:18" s="2" customFormat="1" ht="12.75" x14ac:dyDescent="0.2">
      <c r="R20347" s="1288"/>
    </row>
    <row r="20348" spans="18:18" s="2" customFormat="1" ht="12.75" x14ac:dyDescent="0.2">
      <c r="R20348" s="1288"/>
    </row>
    <row r="20349" spans="18:18" s="2" customFormat="1" ht="12.75" x14ac:dyDescent="0.2">
      <c r="R20349" s="1288"/>
    </row>
    <row r="20350" spans="18:18" s="2" customFormat="1" ht="12.75" x14ac:dyDescent="0.2">
      <c r="R20350" s="1288"/>
    </row>
    <row r="20351" spans="18:18" s="2" customFormat="1" ht="12.75" x14ac:dyDescent="0.2">
      <c r="R20351" s="1288"/>
    </row>
    <row r="20352" spans="18:18" s="2" customFormat="1" ht="12.75" x14ac:dyDescent="0.2">
      <c r="R20352" s="1288"/>
    </row>
    <row r="20353" spans="18:18" s="2" customFormat="1" ht="12.75" x14ac:dyDescent="0.2">
      <c r="R20353" s="1288"/>
    </row>
    <row r="20354" spans="18:18" s="2" customFormat="1" ht="12.75" x14ac:dyDescent="0.2">
      <c r="R20354" s="1288"/>
    </row>
    <row r="20355" spans="18:18" s="2" customFormat="1" ht="12.75" x14ac:dyDescent="0.2">
      <c r="R20355" s="1288"/>
    </row>
    <row r="20356" spans="18:18" s="2" customFormat="1" ht="12.75" x14ac:dyDescent="0.2">
      <c r="R20356" s="1288"/>
    </row>
    <row r="20357" spans="18:18" s="2" customFormat="1" ht="12.75" x14ac:dyDescent="0.2">
      <c r="R20357" s="1288"/>
    </row>
    <row r="20358" spans="18:18" s="2" customFormat="1" ht="12.75" x14ac:dyDescent="0.2">
      <c r="R20358" s="1288"/>
    </row>
    <row r="20359" spans="18:18" s="2" customFormat="1" ht="12.75" x14ac:dyDescent="0.2">
      <c r="R20359" s="1288"/>
    </row>
    <row r="20360" spans="18:18" s="2" customFormat="1" ht="12.75" x14ac:dyDescent="0.2">
      <c r="R20360" s="1288"/>
    </row>
    <row r="20361" spans="18:18" s="2" customFormat="1" ht="12.75" x14ac:dyDescent="0.2">
      <c r="R20361" s="1288"/>
    </row>
    <row r="20362" spans="18:18" s="2" customFormat="1" ht="12.75" x14ac:dyDescent="0.2">
      <c r="R20362" s="1288"/>
    </row>
    <row r="20363" spans="18:18" s="2" customFormat="1" ht="12.75" x14ac:dyDescent="0.2">
      <c r="R20363" s="1288"/>
    </row>
    <row r="20364" spans="18:18" s="2" customFormat="1" ht="12.75" x14ac:dyDescent="0.2">
      <c r="R20364" s="1288"/>
    </row>
    <row r="20365" spans="18:18" s="2" customFormat="1" ht="12.75" x14ac:dyDescent="0.2">
      <c r="R20365" s="1288"/>
    </row>
    <row r="20366" spans="18:18" s="2" customFormat="1" ht="12.75" x14ac:dyDescent="0.2">
      <c r="R20366" s="1288"/>
    </row>
    <row r="20367" spans="18:18" s="2" customFormat="1" ht="12.75" x14ac:dyDescent="0.2">
      <c r="R20367" s="1288"/>
    </row>
    <row r="20368" spans="18:18" s="2" customFormat="1" ht="12.75" x14ac:dyDescent="0.2">
      <c r="R20368" s="1288"/>
    </row>
    <row r="20369" spans="18:18" s="2" customFormat="1" ht="12.75" x14ac:dyDescent="0.2">
      <c r="R20369" s="1288"/>
    </row>
    <row r="20370" spans="18:18" s="2" customFormat="1" ht="12.75" x14ac:dyDescent="0.2">
      <c r="R20370" s="1288"/>
    </row>
    <row r="20371" spans="18:18" s="2" customFormat="1" ht="12.75" x14ac:dyDescent="0.2">
      <c r="R20371" s="1288"/>
    </row>
    <row r="20372" spans="18:18" s="2" customFormat="1" ht="12.75" x14ac:dyDescent="0.2">
      <c r="R20372" s="1288"/>
    </row>
    <row r="20373" spans="18:18" s="2" customFormat="1" ht="12.75" x14ac:dyDescent="0.2">
      <c r="R20373" s="1288"/>
    </row>
    <row r="20374" spans="18:18" s="2" customFormat="1" ht="12.75" x14ac:dyDescent="0.2">
      <c r="R20374" s="1288"/>
    </row>
    <row r="20375" spans="18:18" s="2" customFormat="1" ht="12.75" x14ac:dyDescent="0.2">
      <c r="R20375" s="1288"/>
    </row>
    <row r="20376" spans="18:18" s="2" customFormat="1" ht="12.75" x14ac:dyDescent="0.2">
      <c r="R20376" s="1288"/>
    </row>
    <row r="20377" spans="18:18" s="2" customFormat="1" ht="12.75" x14ac:dyDescent="0.2">
      <c r="R20377" s="1288"/>
    </row>
    <row r="20378" spans="18:18" s="2" customFormat="1" ht="12.75" x14ac:dyDescent="0.2">
      <c r="R20378" s="1288"/>
    </row>
    <row r="20379" spans="18:18" s="2" customFormat="1" ht="12.75" x14ac:dyDescent="0.2">
      <c r="R20379" s="1288"/>
    </row>
    <row r="20380" spans="18:18" s="2" customFormat="1" ht="12.75" x14ac:dyDescent="0.2">
      <c r="R20380" s="1288"/>
    </row>
    <row r="20381" spans="18:18" s="2" customFormat="1" ht="12.75" x14ac:dyDescent="0.2">
      <c r="R20381" s="1288"/>
    </row>
    <row r="20382" spans="18:18" s="2" customFormat="1" ht="12.75" x14ac:dyDescent="0.2">
      <c r="R20382" s="1288"/>
    </row>
    <row r="20383" spans="18:18" s="2" customFormat="1" ht="12.75" x14ac:dyDescent="0.2">
      <c r="R20383" s="1288"/>
    </row>
    <row r="20384" spans="18:18" s="2" customFormat="1" ht="12.75" x14ac:dyDescent="0.2">
      <c r="R20384" s="1288"/>
    </row>
    <row r="20385" spans="18:18" s="2" customFormat="1" ht="12.75" x14ac:dyDescent="0.2">
      <c r="R20385" s="1288"/>
    </row>
    <row r="20386" spans="18:18" s="2" customFormat="1" ht="12.75" x14ac:dyDescent="0.2">
      <c r="R20386" s="1288"/>
    </row>
    <row r="20387" spans="18:18" s="2" customFormat="1" ht="12.75" x14ac:dyDescent="0.2">
      <c r="R20387" s="1288"/>
    </row>
    <row r="20388" spans="18:18" s="2" customFormat="1" ht="12.75" x14ac:dyDescent="0.2">
      <c r="R20388" s="1288"/>
    </row>
    <row r="20389" spans="18:18" s="2" customFormat="1" ht="12.75" x14ac:dyDescent="0.2">
      <c r="R20389" s="1288"/>
    </row>
    <row r="20390" spans="18:18" s="2" customFormat="1" ht="12.75" x14ac:dyDescent="0.2">
      <c r="R20390" s="1288"/>
    </row>
    <row r="20391" spans="18:18" s="2" customFormat="1" ht="12.75" x14ac:dyDescent="0.2">
      <c r="R20391" s="1288"/>
    </row>
    <row r="20392" spans="18:18" s="2" customFormat="1" ht="12.75" x14ac:dyDescent="0.2">
      <c r="R20392" s="1288"/>
    </row>
    <row r="20393" spans="18:18" s="2" customFormat="1" ht="12.75" x14ac:dyDescent="0.2">
      <c r="R20393" s="1288"/>
    </row>
    <row r="20394" spans="18:18" s="2" customFormat="1" ht="12.75" x14ac:dyDescent="0.2">
      <c r="R20394" s="1288"/>
    </row>
    <row r="20395" spans="18:18" s="2" customFormat="1" ht="12.75" x14ac:dyDescent="0.2">
      <c r="R20395" s="1288"/>
    </row>
    <row r="20396" spans="18:18" s="2" customFormat="1" ht="12.75" x14ac:dyDescent="0.2">
      <c r="R20396" s="1288"/>
    </row>
    <row r="20397" spans="18:18" s="2" customFormat="1" ht="12.75" x14ac:dyDescent="0.2">
      <c r="R20397" s="1288"/>
    </row>
    <row r="20398" spans="18:18" s="2" customFormat="1" ht="12.75" x14ac:dyDescent="0.2">
      <c r="R20398" s="1288"/>
    </row>
    <row r="20399" spans="18:18" s="2" customFormat="1" ht="12.75" x14ac:dyDescent="0.2">
      <c r="R20399" s="1288"/>
    </row>
    <row r="20400" spans="18:18" s="2" customFormat="1" ht="12.75" x14ac:dyDescent="0.2">
      <c r="R20400" s="1288"/>
    </row>
    <row r="20401" spans="18:18" s="2" customFormat="1" ht="12.75" x14ac:dyDescent="0.2">
      <c r="R20401" s="1288"/>
    </row>
    <row r="20402" spans="18:18" s="2" customFormat="1" ht="12.75" x14ac:dyDescent="0.2">
      <c r="R20402" s="1288"/>
    </row>
    <row r="20403" spans="18:18" s="2" customFormat="1" ht="12.75" x14ac:dyDescent="0.2">
      <c r="R20403" s="1288"/>
    </row>
    <row r="20404" spans="18:18" s="2" customFormat="1" ht="12.75" x14ac:dyDescent="0.2">
      <c r="R20404" s="1288"/>
    </row>
    <row r="20405" spans="18:18" s="2" customFormat="1" ht="12.75" x14ac:dyDescent="0.2">
      <c r="R20405" s="1288"/>
    </row>
    <row r="20406" spans="18:18" s="2" customFormat="1" ht="12.75" x14ac:dyDescent="0.2">
      <c r="R20406" s="1288"/>
    </row>
    <row r="20407" spans="18:18" s="2" customFormat="1" ht="12.75" x14ac:dyDescent="0.2">
      <c r="R20407" s="1288"/>
    </row>
    <row r="20408" spans="18:18" s="2" customFormat="1" ht="12.75" x14ac:dyDescent="0.2">
      <c r="R20408" s="1288"/>
    </row>
    <row r="20409" spans="18:18" s="2" customFormat="1" ht="12.75" x14ac:dyDescent="0.2">
      <c r="R20409" s="1288"/>
    </row>
    <row r="20410" spans="18:18" s="2" customFormat="1" ht="12.75" x14ac:dyDescent="0.2">
      <c r="R20410" s="1288"/>
    </row>
    <row r="20411" spans="18:18" s="2" customFormat="1" ht="12.75" x14ac:dyDescent="0.2">
      <c r="R20411" s="1288"/>
    </row>
    <row r="20412" spans="18:18" s="2" customFormat="1" ht="12.75" x14ac:dyDescent="0.2">
      <c r="R20412" s="1288"/>
    </row>
    <row r="20413" spans="18:18" s="2" customFormat="1" ht="12.75" x14ac:dyDescent="0.2">
      <c r="R20413" s="1288"/>
    </row>
    <row r="20414" spans="18:18" s="2" customFormat="1" ht="12.75" x14ac:dyDescent="0.2">
      <c r="R20414" s="1288"/>
    </row>
    <row r="20415" spans="18:18" s="2" customFormat="1" ht="12.75" x14ac:dyDescent="0.2">
      <c r="R20415" s="1288"/>
    </row>
    <row r="20416" spans="18:18" s="2" customFormat="1" ht="12.75" x14ac:dyDescent="0.2">
      <c r="R20416" s="1288"/>
    </row>
    <row r="20417" spans="18:18" s="2" customFormat="1" ht="12.75" x14ac:dyDescent="0.2">
      <c r="R20417" s="1288"/>
    </row>
    <row r="20418" spans="18:18" s="2" customFormat="1" ht="12.75" x14ac:dyDescent="0.2">
      <c r="R20418" s="1288"/>
    </row>
    <row r="20419" spans="18:18" s="2" customFormat="1" ht="12.75" x14ac:dyDescent="0.2">
      <c r="R20419" s="1288"/>
    </row>
    <row r="20420" spans="18:18" s="2" customFormat="1" ht="12.75" x14ac:dyDescent="0.2">
      <c r="R20420" s="1288"/>
    </row>
    <row r="20421" spans="18:18" s="2" customFormat="1" ht="12.75" x14ac:dyDescent="0.2">
      <c r="R20421" s="1288"/>
    </row>
    <row r="20422" spans="18:18" s="2" customFormat="1" ht="12.75" x14ac:dyDescent="0.2">
      <c r="R20422" s="1288"/>
    </row>
    <row r="20423" spans="18:18" s="2" customFormat="1" ht="12.75" x14ac:dyDescent="0.2">
      <c r="R20423" s="1288"/>
    </row>
    <row r="20424" spans="18:18" s="2" customFormat="1" ht="12.75" x14ac:dyDescent="0.2">
      <c r="R20424" s="1288"/>
    </row>
    <row r="20425" spans="18:18" s="2" customFormat="1" ht="12.75" x14ac:dyDescent="0.2">
      <c r="R20425" s="1288"/>
    </row>
    <row r="20426" spans="18:18" s="2" customFormat="1" ht="12.75" x14ac:dyDescent="0.2">
      <c r="R20426" s="1288"/>
    </row>
    <row r="20427" spans="18:18" s="2" customFormat="1" ht="12.75" x14ac:dyDescent="0.2">
      <c r="R20427" s="1288"/>
    </row>
    <row r="20428" spans="18:18" s="2" customFormat="1" ht="12.75" x14ac:dyDescent="0.2">
      <c r="R20428" s="1288"/>
    </row>
    <row r="20429" spans="18:18" s="2" customFormat="1" ht="12.75" x14ac:dyDescent="0.2">
      <c r="R20429" s="1288"/>
    </row>
    <row r="20430" spans="18:18" s="2" customFormat="1" ht="12.75" x14ac:dyDescent="0.2">
      <c r="R20430" s="1288"/>
    </row>
    <row r="20431" spans="18:18" s="2" customFormat="1" ht="12.75" x14ac:dyDescent="0.2">
      <c r="R20431" s="1288"/>
    </row>
    <row r="20432" spans="18:18" s="2" customFormat="1" ht="12.75" x14ac:dyDescent="0.2">
      <c r="R20432" s="1288"/>
    </row>
    <row r="20433" spans="18:18" s="2" customFormat="1" ht="12.75" x14ac:dyDescent="0.2">
      <c r="R20433" s="1288"/>
    </row>
    <row r="20434" spans="18:18" s="2" customFormat="1" ht="12.75" x14ac:dyDescent="0.2">
      <c r="R20434" s="1288"/>
    </row>
    <row r="20435" spans="18:18" s="2" customFormat="1" ht="12.75" x14ac:dyDescent="0.2">
      <c r="R20435" s="1288"/>
    </row>
    <row r="20436" spans="18:18" s="2" customFormat="1" ht="12.75" x14ac:dyDescent="0.2">
      <c r="R20436" s="1288"/>
    </row>
    <row r="20437" spans="18:18" s="2" customFormat="1" ht="12.75" x14ac:dyDescent="0.2">
      <c r="R20437" s="1288"/>
    </row>
    <row r="20438" spans="18:18" s="2" customFormat="1" ht="12.75" x14ac:dyDescent="0.2">
      <c r="R20438" s="1288"/>
    </row>
    <row r="20439" spans="18:18" s="2" customFormat="1" ht="12.75" x14ac:dyDescent="0.2">
      <c r="R20439" s="1288"/>
    </row>
    <row r="20440" spans="18:18" s="2" customFormat="1" ht="12.75" x14ac:dyDescent="0.2">
      <c r="R20440" s="1288"/>
    </row>
    <row r="20441" spans="18:18" s="2" customFormat="1" ht="12.75" x14ac:dyDescent="0.2">
      <c r="R20441" s="1288"/>
    </row>
    <row r="20442" spans="18:18" s="2" customFormat="1" ht="12.75" x14ac:dyDescent="0.2">
      <c r="R20442" s="1288"/>
    </row>
    <row r="20443" spans="18:18" s="2" customFormat="1" ht="12.75" x14ac:dyDescent="0.2">
      <c r="R20443" s="1288"/>
    </row>
    <row r="20444" spans="18:18" s="2" customFormat="1" ht="12.75" x14ac:dyDescent="0.2">
      <c r="R20444" s="1288"/>
    </row>
    <row r="20445" spans="18:18" s="2" customFormat="1" ht="12.75" x14ac:dyDescent="0.2">
      <c r="R20445" s="1288"/>
    </row>
    <row r="20446" spans="18:18" s="2" customFormat="1" ht="12.75" x14ac:dyDescent="0.2">
      <c r="R20446" s="1288"/>
    </row>
    <row r="20447" spans="18:18" s="2" customFormat="1" ht="12.75" x14ac:dyDescent="0.2">
      <c r="R20447" s="1288"/>
    </row>
    <row r="20448" spans="18:18" s="2" customFormat="1" ht="12.75" x14ac:dyDescent="0.2">
      <c r="R20448" s="1288"/>
    </row>
    <row r="20449" spans="18:18" s="2" customFormat="1" ht="12.75" x14ac:dyDescent="0.2">
      <c r="R20449" s="1288"/>
    </row>
    <row r="20450" spans="18:18" s="2" customFormat="1" ht="12.75" x14ac:dyDescent="0.2">
      <c r="R20450" s="1288"/>
    </row>
    <row r="20451" spans="18:18" s="2" customFormat="1" ht="12.75" x14ac:dyDescent="0.2">
      <c r="R20451" s="1288"/>
    </row>
    <row r="20452" spans="18:18" s="2" customFormat="1" ht="12.75" x14ac:dyDescent="0.2">
      <c r="R20452" s="1288"/>
    </row>
    <row r="20453" spans="18:18" s="2" customFormat="1" ht="12.75" x14ac:dyDescent="0.2">
      <c r="R20453" s="1288"/>
    </row>
    <row r="20454" spans="18:18" s="2" customFormat="1" ht="12.75" x14ac:dyDescent="0.2">
      <c r="R20454" s="1288"/>
    </row>
    <row r="20455" spans="18:18" s="2" customFormat="1" ht="12.75" x14ac:dyDescent="0.2">
      <c r="R20455" s="1288"/>
    </row>
    <row r="20456" spans="18:18" s="2" customFormat="1" ht="12.75" x14ac:dyDescent="0.2">
      <c r="R20456" s="1288"/>
    </row>
    <row r="20457" spans="18:18" s="2" customFormat="1" ht="12.75" x14ac:dyDescent="0.2">
      <c r="R20457" s="1288"/>
    </row>
    <row r="20458" spans="18:18" s="2" customFormat="1" ht="12.75" x14ac:dyDescent="0.2">
      <c r="R20458" s="1288"/>
    </row>
    <row r="20459" spans="18:18" s="2" customFormat="1" ht="12.75" x14ac:dyDescent="0.2">
      <c r="R20459" s="1288"/>
    </row>
    <row r="20460" spans="18:18" s="2" customFormat="1" ht="12.75" x14ac:dyDescent="0.2">
      <c r="R20460" s="1288"/>
    </row>
    <row r="20461" spans="18:18" s="2" customFormat="1" ht="12.75" x14ac:dyDescent="0.2">
      <c r="R20461" s="1288"/>
    </row>
    <row r="20462" spans="18:18" s="2" customFormat="1" ht="12.75" x14ac:dyDescent="0.2">
      <c r="R20462" s="1288"/>
    </row>
    <row r="20463" spans="18:18" s="2" customFormat="1" ht="12.75" x14ac:dyDescent="0.2">
      <c r="R20463" s="1288"/>
    </row>
    <row r="20464" spans="18:18" s="2" customFormat="1" ht="12.75" x14ac:dyDescent="0.2">
      <c r="R20464" s="1288"/>
    </row>
    <row r="20465" spans="18:18" s="2" customFormat="1" ht="12.75" x14ac:dyDescent="0.2">
      <c r="R20465" s="1288"/>
    </row>
    <row r="20466" spans="18:18" s="2" customFormat="1" ht="12.75" x14ac:dyDescent="0.2">
      <c r="R20466" s="1288"/>
    </row>
    <row r="20467" spans="18:18" s="2" customFormat="1" ht="12.75" x14ac:dyDescent="0.2">
      <c r="R20467" s="1288"/>
    </row>
    <row r="20468" spans="18:18" s="2" customFormat="1" ht="12.75" x14ac:dyDescent="0.2">
      <c r="R20468" s="1288"/>
    </row>
    <row r="20469" spans="18:18" s="2" customFormat="1" ht="12.75" x14ac:dyDescent="0.2">
      <c r="R20469" s="1288"/>
    </row>
    <row r="20470" spans="18:18" s="2" customFormat="1" ht="12.75" x14ac:dyDescent="0.2">
      <c r="R20470" s="1288"/>
    </row>
    <row r="20471" spans="18:18" s="2" customFormat="1" ht="12.75" x14ac:dyDescent="0.2">
      <c r="R20471" s="1288"/>
    </row>
    <row r="20472" spans="18:18" s="2" customFormat="1" ht="12.75" x14ac:dyDescent="0.2">
      <c r="R20472" s="1288"/>
    </row>
    <row r="20473" spans="18:18" s="2" customFormat="1" ht="12.75" x14ac:dyDescent="0.2">
      <c r="R20473" s="1288"/>
    </row>
    <row r="20474" spans="18:18" s="2" customFormat="1" ht="12.75" x14ac:dyDescent="0.2">
      <c r="R20474" s="1288"/>
    </row>
    <row r="20475" spans="18:18" s="2" customFormat="1" ht="12.75" x14ac:dyDescent="0.2">
      <c r="R20475" s="1288"/>
    </row>
    <row r="20476" spans="18:18" s="2" customFormat="1" ht="12.75" x14ac:dyDescent="0.2">
      <c r="R20476" s="1288"/>
    </row>
    <row r="20477" spans="18:18" s="2" customFormat="1" ht="12.75" x14ac:dyDescent="0.2">
      <c r="R20477" s="1288"/>
    </row>
    <row r="20478" spans="18:18" s="2" customFormat="1" ht="12.75" x14ac:dyDescent="0.2">
      <c r="R20478" s="1288"/>
    </row>
    <row r="20479" spans="18:18" s="2" customFormat="1" ht="12.75" x14ac:dyDescent="0.2">
      <c r="R20479" s="1288"/>
    </row>
    <row r="20480" spans="18:18" s="2" customFormat="1" ht="12.75" x14ac:dyDescent="0.2">
      <c r="R20480" s="1288"/>
    </row>
    <row r="20481" spans="18:18" s="2" customFormat="1" ht="12.75" x14ac:dyDescent="0.2">
      <c r="R20481" s="1288"/>
    </row>
    <row r="20482" spans="18:18" s="2" customFormat="1" ht="12.75" x14ac:dyDescent="0.2">
      <c r="R20482" s="1288"/>
    </row>
    <row r="20483" spans="18:18" s="2" customFormat="1" ht="12.75" x14ac:dyDescent="0.2">
      <c r="R20483" s="1288"/>
    </row>
    <row r="20484" spans="18:18" s="2" customFormat="1" ht="12.75" x14ac:dyDescent="0.2">
      <c r="R20484" s="1288"/>
    </row>
    <row r="20485" spans="18:18" s="2" customFormat="1" ht="12.75" x14ac:dyDescent="0.2">
      <c r="R20485" s="1288"/>
    </row>
    <row r="20486" spans="18:18" s="2" customFormat="1" ht="12.75" x14ac:dyDescent="0.2">
      <c r="R20486" s="1288"/>
    </row>
    <row r="20487" spans="18:18" s="2" customFormat="1" ht="12.75" x14ac:dyDescent="0.2">
      <c r="R20487" s="1288"/>
    </row>
    <row r="20488" spans="18:18" s="2" customFormat="1" ht="12.75" x14ac:dyDescent="0.2">
      <c r="R20488" s="1288"/>
    </row>
    <row r="20489" spans="18:18" s="2" customFormat="1" ht="12.75" x14ac:dyDescent="0.2">
      <c r="R20489" s="1288"/>
    </row>
    <row r="20490" spans="18:18" s="2" customFormat="1" ht="12.75" x14ac:dyDescent="0.2">
      <c r="R20490" s="1288"/>
    </row>
    <row r="20491" spans="18:18" s="2" customFormat="1" ht="12.75" x14ac:dyDescent="0.2">
      <c r="R20491" s="1288"/>
    </row>
    <row r="20492" spans="18:18" s="2" customFormat="1" ht="12.75" x14ac:dyDescent="0.2">
      <c r="R20492" s="1288"/>
    </row>
    <row r="20493" spans="18:18" s="2" customFormat="1" ht="12.75" x14ac:dyDescent="0.2">
      <c r="R20493" s="1288"/>
    </row>
    <row r="20494" spans="18:18" s="2" customFormat="1" ht="12.75" x14ac:dyDescent="0.2">
      <c r="R20494" s="1288"/>
    </row>
    <row r="20495" spans="18:18" s="2" customFormat="1" ht="12.75" x14ac:dyDescent="0.2">
      <c r="R20495" s="1288"/>
    </row>
    <row r="20496" spans="18:18" s="2" customFormat="1" ht="12.75" x14ac:dyDescent="0.2">
      <c r="R20496" s="1288"/>
    </row>
    <row r="20497" spans="18:18" s="2" customFormat="1" ht="12.75" x14ac:dyDescent="0.2">
      <c r="R20497" s="1288"/>
    </row>
    <row r="20498" spans="18:18" s="2" customFormat="1" ht="12.75" x14ac:dyDescent="0.2">
      <c r="R20498" s="1288"/>
    </row>
    <row r="20499" spans="18:18" s="2" customFormat="1" ht="12.75" x14ac:dyDescent="0.2">
      <c r="R20499" s="1288"/>
    </row>
    <row r="20500" spans="18:18" s="2" customFormat="1" ht="12.75" x14ac:dyDescent="0.2">
      <c r="R20500" s="1288"/>
    </row>
    <row r="20501" spans="18:18" s="2" customFormat="1" ht="12.75" x14ac:dyDescent="0.2">
      <c r="R20501" s="1288"/>
    </row>
    <row r="20502" spans="18:18" s="2" customFormat="1" ht="12.75" x14ac:dyDescent="0.2">
      <c r="R20502" s="1288"/>
    </row>
    <row r="20503" spans="18:18" s="2" customFormat="1" ht="12.75" x14ac:dyDescent="0.2">
      <c r="R20503" s="1288"/>
    </row>
    <row r="20504" spans="18:18" s="2" customFormat="1" ht="12.75" x14ac:dyDescent="0.2">
      <c r="R20504" s="1288"/>
    </row>
    <row r="20505" spans="18:18" s="2" customFormat="1" ht="12.75" x14ac:dyDescent="0.2">
      <c r="R20505" s="1288"/>
    </row>
    <row r="20506" spans="18:18" s="2" customFormat="1" ht="12.75" x14ac:dyDescent="0.2">
      <c r="R20506" s="1288"/>
    </row>
    <row r="20507" spans="18:18" s="2" customFormat="1" ht="12.75" x14ac:dyDescent="0.2">
      <c r="R20507" s="1288"/>
    </row>
    <row r="20508" spans="18:18" s="2" customFormat="1" ht="12.75" x14ac:dyDescent="0.2">
      <c r="R20508" s="1288"/>
    </row>
    <row r="20509" spans="18:18" s="2" customFormat="1" ht="12.75" x14ac:dyDescent="0.2">
      <c r="R20509" s="1288"/>
    </row>
    <row r="20510" spans="18:18" s="2" customFormat="1" ht="12.75" x14ac:dyDescent="0.2">
      <c r="R20510" s="1288"/>
    </row>
    <row r="20511" spans="18:18" s="2" customFormat="1" ht="12.75" x14ac:dyDescent="0.2">
      <c r="R20511" s="1288"/>
    </row>
    <row r="20512" spans="18:18" s="2" customFormat="1" ht="12.75" x14ac:dyDescent="0.2">
      <c r="R20512" s="1288"/>
    </row>
    <row r="20513" spans="18:18" s="2" customFormat="1" ht="12.75" x14ac:dyDescent="0.2">
      <c r="R20513" s="1288"/>
    </row>
    <row r="20514" spans="18:18" s="2" customFormat="1" ht="12.75" x14ac:dyDescent="0.2">
      <c r="R20514" s="1288"/>
    </row>
    <row r="20515" spans="18:18" s="2" customFormat="1" ht="12.75" x14ac:dyDescent="0.2">
      <c r="R20515" s="1288"/>
    </row>
    <row r="20516" spans="18:18" s="2" customFormat="1" ht="12.75" x14ac:dyDescent="0.2">
      <c r="R20516" s="1288"/>
    </row>
    <row r="20517" spans="18:18" s="2" customFormat="1" ht="12.75" x14ac:dyDescent="0.2">
      <c r="R20517" s="1288"/>
    </row>
    <row r="20518" spans="18:18" s="2" customFormat="1" ht="12.75" x14ac:dyDescent="0.2">
      <c r="R20518" s="1288"/>
    </row>
    <row r="20519" spans="18:18" s="2" customFormat="1" ht="12.75" x14ac:dyDescent="0.2">
      <c r="R20519" s="1288"/>
    </row>
    <row r="20520" spans="18:18" s="2" customFormat="1" ht="12.75" x14ac:dyDescent="0.2">
      <c r="R20520" s="1288"/>
    </row>
    <row r="20521" spans="18:18" s="2" customFormat="1" ht="12.75" x14ac:dyDescent="0.2">
      <c r="R20521" s="1288"/>
    </row>
    <row r="20522" spans="18:18" s="2" customFormat="1" ht="12.75" x14ac:dyDescent="0.2">
      <c r="R20522" s="1288"/>
    </row>
    <row r="20523" spans="18:18" s="2" customFormat="1" ht="12.75" x14ac:dyDescent="0.2">
      <c r="R20523" s="1288"/>
    </row>
    <row r="20524" spans="18:18" s="2" customFormat="1" ht="12.75" x14ac:dyDescent="0.2">
      <c r="R20524" s="1288"/>
    </row>
    <row r="20525" spans="18:18" s="2" customFormat="1" ht="12.75" x14ac:dyDescent="0.2">
      <c r="R20525" s="1288"/>
    </row>
    <row r="20526" spans="18:18" s="2" customFormat="1" ht="12.75" x14ac:dyDescent="0.2">
      <c r="R20526" s="1288"/>
    </row>
    <row r="20527" spans="18:18" s="2" customFormat="1" ht="12.75" x14ac:dyDescent="0.2">
      <c r="R20527" s="1288"/>
    </row>
    <row r="20528" spans="18:18" s="2" customFormat="1" ht="12.75" x14ac:dyDescent="0.2">
      <c r="R20528" s="1288"/>
    </row>
    <row r="20529" spans="18:18" s="2" customFormat="1" ht="12.75" x14ac:dyDescent="0.2">
      <c r="R20529" s="1288"/>
    </row>
    <row r="20530" spans="18:18" s="2" customFormat="1" ht="12.75" x14ac:dyDescent="0.2">
      <c r="R20530" s="1288"/>
    </row>
    <row r="20531" spans="18:18" s="2" customFormat="1" ht="12.75" x14ac:dyDescent="0.2">
      <c r="R20531" s="1288"/>
    </row>
    <row r="20532" spans="18:18" s="2" customFormat="1" ht="12.75" x14ac:dyDescent="0.2">
      <c r="R20532" s="1288"/>
    </row>
    <row r="20533" spans="18:18" s="2" customFormat="1" ht="12.75" x14ac:dyDescent="0.2">
      <c r="R20533" s="1288"/>
    </row>
    <row r="20534" spans="18:18" s="2" customFormat="1" ht="12.75" x14ac:dyDescent="0.2">
      <c r="R20534" s="1288"/>
    </row>
    <row r="20535" spans="18:18" s="2" customFormat="1" ht="12.75" x14ac:dyDescent="0.2">
      <c r="R20535" s="1288"/>
    </row>
    <row r="20536" spans="18:18" s="2" customFormat="1" ht="12.75" x14ac:dyDescent="0.2">
      <c r="R20536" s="1288"/>
    </row>
    <row r="20537" spans="18:18" s="2" customFormat="1" ht="12.75" x14ac:dyDescent="0.2">
      <c r="R20537" s="1288"/>
    </row>
    <row r="20538" spans="18:18" s="2" customFormat="1" ht="12.75" x14ac:dyDescent="0.2">
      <c r="R20538" s="1288"/>
    </row>
    <row r="20539" spans="18:18" s="2" customFormat="1" ht="12.75" x14ac:dyDescent="0.2">
      <c r="R20539" s="1288"/>
    </row>
    <row r="20540" spans="18:18" s="2" customFormat="1" ht="12.75" x14ac:dyDescent="0.2">
      <c r="R20540" s="1288"/>
    </row>
    <row r="20541" spans="18:18" s="2" customFormat="1" ht="12.75" x14ac:dyDescent="0.2">
      <c r="R20541" s="1288"/>
    </row>
    <row r="20542" spans="18:18" s="2" customFormat="1" ht="12.75" x14ac:dyDescent="0.2">
      <c r="R20542" s="1288"/>
    </row>
    <row r="20543" spans="18:18" s="2" customFormat="1" ht="12.75" x14ac:dyDescent="0.2">
      <c r="R20543" s="1288"/>
    </row>
    <row r="20544" spans="18:18" s="2" customFormat="1" ht="12.75" x14ac:dyDescent="0.2">
      <c r="R20544" s="1288"/>
    </row>
    <row r="20545" spans="18:18" s="2" customFormat="1" ht="12.75" x14ac:dyDescent="0.2">
      <c r="R20545" s="1288"/>
    </row>
    <row r="20546" spans="18:18" s="2" customFormat="1" ht="12.75" x14ac:dyDescent="0.2">
      <c r="R20546" s="1288"/>
    </row>
    <row r="20547" spans="18:18" s="2" customFormat="1" ht="12.75" x14ac:dyDescent="0.2">
      <c r="R20547" s="1288"/>
    </row>
    <row r="20548" spans="18:18" s="2" customFormat="1" ht="12.75" x14ac:dyDescent="0.2">
      <c r="R20548" s="1288"/>
    </row>
    <row r="20549" spans="18:18" s="2" customFormat="1" ht="12.75" x14ac:dyDescent="0.2">
      <c r="R20549" s="1288"/>
    </row>
    <row r="20550" spans="18:18" s="2" customFormat="1" ht="12.75" x14ac:dyDescent="0.2">
      <c r="R20550" s="1288"/>
    </row>
    <row r="20551" spans="18:18" s="2" customFormat="1" ht="12.75" x14ac:dyDescent="0.2">
      <c r="R20551" s="1288"/>
    </row>
    <row r="20552" spans="18:18" s="2" customFormat="1" ht="12.75" x14ac:dyDescent="0.2">
      <c r="R20552" s="1288"/>
    </row>
    <row r="20553" spans="18:18" s="2" customFormat="1" ht="12.75" x14ac:dyDescent="0.2">
      <c r="R20553" s="1288"/>
    </row>
    <row r="20554" spans="18:18" s="2" customFormat="1" ht="12.75" x14ac:dyDescent="0.2">
      <c r="R20554" s="1288"/>
    </row>
    <row r="20555" spans="18:18" s="2" customFormat="1" ht="12.75" x14ac:dyDescent="0.2">
      <c r="R20555" s="1288"/>
    </row>
    <row r="20556" spans="18:18" s="2" customFormat="1" ht="12.75" x14ac:dyDescent="0.2">
      <c r="R20556" s="1288"/>
    </row>
    <row r="20557" spans="18:18" s="2" customFormat="1" ht="12.75" x14ac:dyDescent="0.2">
      <c r="R20557" s="1288"/>
    </row>
    <row r="20558" spans="18:18" s="2" customFormat="1" ht="12.75" x14ac:dyDescent="0.2">
      <c r="R20558" s="1288"/>
    </row>
    <row r="20559" spans="18:18" s="2" customFormat="1" ht="12.75" x14ac:dyDescent="0.2">
      <c r="R20559" s="1288"/>
    </row>
    <row r="20560" spans="18:18" s="2" customFormat="1" ht="12.75" x14ac:dyDescent="0.2">
      <c r="R20560" s="1288"/>
    </row>
    <row r="20561" spans="18:18" s="2" customFormat="1" ht="12.75" x14ac:dyDescent="0.2">
      <c r="R20561" s="1288"/>
    </row>
    <row r="20562" spans="18:18" s="2" customFormat="1" ht="12.75" x14ac:dyDescent="0.2">
      <c r="R20562" s="1288"/>
    </row>
    <row r="20563" spans="18:18" s="2" customFormat="1" ht="12.75" x14ac:dyDescent="0.2">
      <c r="R20563" s="1288"/>
    </row>
    <row r="20564" spans="18:18" s="2" customFormat="1" ht="12.75" x14ac:dyDescent="0.2">
      <c r="R20564" s="1288"/>
    </row>
    <row r="20565" spans="18:18" s="2" customFormat="1" ht="12.75" x14ac:dyDescent="0.2">
      <c r="R20565" s="1288"/>
    </row>
    <row r="20566" spans="18:18" s="2" customFormat="1" ht="12.75" x14ac:dyDescent="0.2">
      <c r="R20566" s="1288"/>
    </row>
    <row r="20567" spans="18:18" s="2" customFormat="1" ht="12.75" x14ac:dyDescent="0.2">
      <c r="R20567" s="1288"/>
    </row>
    <row r="20568" spans="18:18" s="2" customFormat="1" ht="12.75" x14ac:dyDescent="0.2">
      <c r="R20568" s="1288"/>
    </row>
    <row r="20569" spans="18:18" s="2" customFormat="1" ht="12.75" x14ac:dyDescent="0.2">
      <c r="R20569" s="1288"/>
    </row>
    <row r="20570" spans="18:18" s="2" customFormat="1" ht="12.75" x14ac:dyDescent="0.2">
      <c r="R20570" s="1288"/>
    </row>
    <row r="20571" spans="18:18" s="2" customFormat="1" ht="12.75" x14ac:dyDescent="0.2">
      <c r="R20571" s="1288"/>
    </row>
    <row r="20572" spans="18:18" s="2" customFormat="1" ht="12.75" x14ac:dyDescent="0.2">
      <c r="R20572" s="1288"/>
    </row>
    <row r="20573" spans="18:18" s="2" customFormat="1" ht="12.75" x14ac:dyDescent="0.2">
      <c r="R20573" s="1288"/>
    </row>
    <row r="20574" spans="18:18" s="2" customFormat="1" ht="12.75" x14ac:dyDescent="0.2">
      <c r="R20574" s="1288"/>
    </row>
    <row r="20575" spans="18:18" s="2" customFormat="1" ht="12.75" x14ac:dyDescent="0.2">
      <c r="R20575" s="1288"/>
    </row>
    <row r="20576" spans="18:18" s="2" customFormat="1" ht="12.75" x14ac:dyDescent="0.2">
      <c r="R20576" s="1288"/>
    </row>
    <row r="20577" spans="18:18" s="2" customFormat="1" ht="12.75" x14ac:dyDescent="0.2">
      <c r="R20577" s="1288"/>
    </row>
    <row r="20578" spans="18:18" s="2" customFormat="1" ht="12.75" x14ac:dyDescent="0.2">
      <c r="R20578" s="1288"/>
    </row>
    <row r="20579" spans="18:18" s="2" customFormat="1" ht="12.75" x14ac:dyDescent="0.2">
      <c r="R20579" s="1288"/>
    </row>
    <row r="20580" spans="18:18" s="2" customFormat="1" ht="12.75" x14ac:dyDescent="0.2">
      <c r="R20580" s="1288"/>
    </row>
    <row r="20581" spans="18:18" s="2" customFormat="1" ht="12.75" x14ac:dyDescent="0.2">
      <c r="R20581" s="1288"/>
    </row>
    <row r="20582" spans="18:18" s="2" customFormat="1" ht="12.75" x14ac:dyDescent="0.2">
      <c r="R20582" s="1288"/>
    </row>
    <row r="20583" spans="18:18" s="2" customFormat="1" ht="12.75" x14ac:dyDescent="0.2">
      <c r="R20583" s="1288"/>
    </row>
    <row r="20584" spans="18:18" s="2" customFormat="1" ht="12.75" x14ac:dyDescent="0.2">
      <c r="R20584" s="1288"/>
    </row>
    <row r="20585" spans="18:18" s="2" customFormat="1" ht="12.75" x14ac:dyDescent="0.2">
      <c r="R20585" s="1288"/>
    </row>
    <row r="20586" spans="18:18" s="2" customFormat="1" ht="12.75" x14ac:dyDescent="0.2">
      <c r="R20586" s="1288"/>
    </row>
    <row r="20587" spans="18:18" s="2" customFormat="1" ht="12.75" x14ac:dyDescent="0.2">
      <c r="R20587" s="1288"/>
    </row>
    <row r="20588" spans="18:18" s="2" customFormat="1" ht="12.75" x14ac:dyDescent="0.2">
      <c r="R20588" s="1288"/>
    </row>
    <row r="20589" spans="18:18" s="2" customFormat="1" ht="12.75" x14ac:dyDescent="0.2">
      <c r="R20589" s="1288"/>
    </row>
    <row r="20590" spans="18:18" s="2" customFormat="1" ht="12.75" x14ac:dyDescent="0.2">
      <c r="R20590" s="1288"/>
    </row>
    <row r="20591" spans="18:18" s="2" customFormat="1" ht="12.75" x14ac:dyDescent="0.2">
      <c r="R20591" s="1288"/>
    </row>
    <row r="20592" spans="18:18" s="2" customFormat="1" ht="12.75" x14ac:dyDescent="0.2">
      <c r="R20592" s="1288"/>
    </row>
    <row r="20593" spans="18:18" s="2" customFormat="1" ht="12.75" x14ac:dyDescent="0.2">
      <c r="R20593" s="1288"/>
    </row>
    <row r="20594" spans="18:18" s="2" customFormat="1" ht="12.75" x14ac:dyDescent="0.2">
      <c r="R20594" s="1288"/>
    </row>
    <row r="20595" spans="18:18" s="2" customFormat="1" ht="12.75" x14ac:dyDescent="0.2">
      <c r="R20595" s="1288"/>
    </row>
    <row r="20596" spans="18:18" s="2" customFormat="1" ht="12.75" x14ac:dyDescent="0.2">
      <c r="R20596" s="1288"/>
    </row>
    <row r="20597" spans="18:18" s="2" customFormat="1" ht="12.75" x14ac:dyDescent="0.2">
      <c r="R20597" s="1288"/>
    </row>
    <row r="20598" spans="18:18" s="2" customFormat="1" ht="12.75" x14ac:dyDescent="0.2">
      <c r="R20598" s="1288"/>
    </row>
    <row r="20599" spans="18:18" s="2" customFormat="1" ht="12.75" x14ac:dyDescent="0.2">
      <c r="R20599" s="1288"/>
    </row>
    <row r="20600" spans="18:18" s="2" customFormat="1" ht="12.75" x14ac:dyDescent="0.2">
      <c r="R20600" s="1288"/>
    </row>
    <row r="20601" spans="18:18" s="2" customFormat="1" ht="12.75" x14ac:dyDescent="0.2">
      <c r="R20601" s="1288"/>
    </row>
    <row r="20602" spans="18:18" s="2" customFormat="1" ht="12.75" x14ac:dyDescent="0.2">
      <c r="R20602" s="1288"/>
    </row>
    <row r="20603" spans="18:18" s="2" customFormat="1" ht="12.75" x14ac:dyDescent="0.2">
      <c r="R20603" s="1288"/>
    </row>
    <row r="20604" spans="18:18" s="2" customFormat="1" ht="12.75" x14ac:dyDescent="0.2">
      <c r="R20604" s="1288"/>
    </row>
    <row r="20605" spans="18:18" s="2" customFormat="1" ht="12.75" x14ac:dyDescent="0.2">
      <c r="R20605" s="1288"/>
    </row>
    <row r="20606" spans="18:18" s="2" customFormat="1" ht="12.75" x14ac:dyDescent="0.2">
      <c r="R20606" s="1288"/>
    </row>
    <row r="20607" spans="18:18" s="2" customFormat="1" ht="12.75" x14ac:dyDescent="0.2">
      <c r="R20607" s="1288"/>
    </row>
    <row r="20608" spans="18:18" s="2" customFormat="1" ht="12.75" x14ac:dyDescent="0.2">
      <c r="R20608" s="1288"/>
    </row>
    <row r="20609" spans="18:18" s="2" customFormat="1" ht="12.75" x14ac:dyDescent="0.2">
      <c r="R20609" s="1288"/>
    </row>
    <row r="20610" spans="18:18" s="2" customFormat="1" ht="12.75" x14ac:dyDescent="0.2">
      <c r="R20610" s="1288"/>
    </row>
    <row r="20611" spans="18:18" s="2" customFormat="1" ht="12.75" x14ac:dyDescent="0.2">
      <c r="R20611" s="1288"/>
    </row>
    <row r="20612" spans="18:18" s="2" customFormat="1" ht="12.75" x14ac:dyDescent="0.2">
      <c r="R20612" s="1288"/>
    </row>
    <row r="20613" spans="18:18" s="2" customFormat="1" ht="12.75" x14ac:dyDescent="0.2">
      <c r="R20613" s="1288"/>
    </row>
    <row r="20614" spans="18:18" s="2" customFormat="1" ht="12.75" x14ac:dyDescent="0.2">
      <c r="R20614" s="1288"/>
    </row>
    <row r="20615" spans="18:18" s="2" customFormat="1" ht="12.75" x14ac:dyDescent="0.2">
      <c r="R20615" s="1288"/>
    </row>
    <row r="20616" spans="18:18" s="2" customFormat="1" ht="12.75" x14ac:dyDescent="0.2">
      <c r="R20616" s="1288"/>
    </row>
    <row r="20617" spans="18:18" s="2" customFormat="1" ht="12.75" x14ac:dyDescent="0.2">
      <c r="R20617" s="1288"/>
    </row>
    <row r="20618" spans="18:18" s="2" customFormat="1" ht="12.75" x14ac:dyDescent="0.2">
      <c r="R20618" s="1288"/>
    </row>
    <row r="20619" spans="18:18" s="2" customFormat="1" ht="12.75" x14ac:dyDescent="0.2">
      <c r="R20619" s="1288"/>
    </row>
    <row r="20620" spans="18:18" s="2" customFormat="1" ht="12.75" x14ac:dyDescent="0.2">
      <c r="R20620" s="1288"/>
    </row>
    <row r="20621" spans="18:18" s="2" customFormat="1" ht="12.75" x14ac:dyDescent="0.2">
      <c r="R20621" s="1288"/>
    </row>
    <row r="20622" spans="18:18" s="2" customFormat="1" ht="12.75" x14ac:dyDescent="0.2">
      <c r="R20622" s="1288"/>
    </row>
    <row r="20623" spans="18:18" s="2" customFormat="1" ht="12.75" x14ac:dyDescent="0.2">
      <c r="R20623" s="1288"/>
    </row>
    <row r="20624" spans="18:18" s="2" customFormat="1" ht="12.75" x14ac:dyDescent="0.2">
      <c r="R20624" s="1288"/>
    </row>
    <row r="20625" spans="18:18" s="2" customFormat="1" ht="12.75" x14ac:dyDescent="0.2">
      <c r="R20625" s="1288"/>
    </row>
    <row r="20626" spans="18:18" s="2" customFormat="1" ht="12.75" x14ac:dyDescent="0.2">
      <c r="R20626" s="1288"/>
    </row>
    <row r="20627" spans="18:18" s="2" customFormat="1" ht="12.75" x14ac:dyDescent="0.2">
      <c r="R20627" s="1288"/>
    </row>
    <row r="20628" spans="18:18" s="2" customFormat="1" ht="12.75" x14ac:dyDescent="0.2">
      <c r="R20628" s="1288"/>
    </row>
    <row r="20629" spans="18:18" s="2" customFormat="1" ht="12.75" x14ac:dyDescent="0.2">
      <c r="R20629" s="1288"/>
    </row>
    <row r="20630" spans="18:18" s="2" customFormat="1" ht="12.75" x14ac:dyDescent="0.2">
      <c r="R20630" s="1288"/>
    </row>
    <row r="20631" spans="18:18" s="2" customFormat="1" ht="12.75" x14ac:dyDescent="0.2">
      <c r="R20631" s="1288"/>
    </row>
    <row r="20632" spans="18:18" s="2" customFormat="1" ht="12.75" x14ac:dyDescent="0.2">
      <c r="R20632" s="1288"/>
    </row>
    <row r="20633" spans="18:18" s="2" customFormat="1" ht="12.75" x14ac:dyDescent="0.2">
      <c r="R20633" s="1288"/>
    </row>
    <row r="20634" spans="18:18" s="2" customFormat="1" ht="12.75" x14ac:dyDescent="0.2">
      <c r="R20634" s="1288"/>
    </row>
    <row r="20635" spans="18:18" s="2" customFormat="1" ht="12.75" x14ac:dyDescent="0.2">
      <c r="R20635" s="1288"/>
    </row>
    <row r="20636" spans="18:18" s="2" customFormat="1" ht="12.75" x14ac:dyDescent="0.2">
      <c r="R20636" s="1288"/>
    </row>
    <row r="20637" spans="18:18" s="2" customFormat="1" ht="12.75" x14ac:dyDescent="0.2">
      <c r="R20637" s="1288"/>
    </row>
    <row r="20638" spans="18:18" s="2" customFormat="1" ht="12.75" x14ac:dyDescent="0.2">
      <c r="R20638" s="1288"/>
    </row>
    <row r="20639" spans="18:18" s="2" customFormat="1" ht="12.75" x14ac:dyDescent="0.2">
      <c r="R20639" s="1288"/>
    </row>
    <row r="20640" spans="18:18" s="2" customFormat="1" ht="12.75" x14ac:dyDescent="0.2">
      <c r="R20640" s="1288"/>
    </row>
    <row r="20641" spans="18:18" s="2" customFormat="1" ht="12.75" x14ac:dyDescent="0.2">
      <c r="R20641" s="1288"/>
    </row>
    <row r="20642" spans="18:18" s="2" customFormat="1" ht="12.75" x14ac:dyDescent="0.2">
      <c r="R20642" s="1288"/>
    </row>
    <row r="20643" spans="18:18" s="2" customFormat="1" ht="12.75" x14ac:dyDescent="0.2">
      <c r="R20643" s="1288"/>
    </row>
    <row r="20644" spans="18:18" s="2" customFormat="1" ht="12.75" x14ac:dyDescent="0.2">
      <c r="R20644" s="1288"/>
    </row>
    <row r="20645" spans="18:18" s="2" customFormat="1" ht="12.75" x14ac:dyDescent="0.2">
      <c r="R20645" s="1288"/>
    </row>
    <row r="20646" spans="18:18" s="2" customFormat="1" ht="12.75" x14ac:dyDescent="0.2">
      <c r="R20646" s="1288"/>
    </row>
    <row r="20647" spans="18:18" s="2" customFormat="1" ht="12.75" x14ac:dyDescent="0.2">
      <c r="R20647" s="1288"/>
    </row>
    <row r="20648" spans="18:18" s="2" customFormat="1" ht="12.75" x14ac:dyDescent="0.2">
      <c r="R20648" s="1288"/>
    </row>
    <row r="20649" spans="18:18" s="2" customFormat="1" ht="12.75" x14ac:dyDescent="0.2">
      <c r="R20649" s="1288"/>
    </row>
    <row r="20650" spans="18:18" s="2" customFormat="1" ht="12.75" x14ac:dyDescent="0.2">
      <c r="R20650" s="1288"/>
    </row>
    <row r="20651" spans="18:18" s="2" customFormat="1" ht="12.75" x14ac:dyDescent="0.2">
      <c r="R20651" s="1288"/>
    </row>
    <row r="20652" spans="18:18" s="2" customFormat="1" ht="12.75" x14ac:dyDescent="0.2">
      <c r="R20652" s="1288"/>
    </row>
    <row r="20653" spans="18:18" s="2" customFormat="1" ht="12.75" x14ac:dyDescent="0.2">
      <c r="R20653" s="1288"/>
    </row>
    <row r="20654" spans="18:18" s="2" customFormat="1" ht="12.75" x14ac:dyDescent="0.2">
      <c r="R20654" s="1288"/>
    </row>
    <row r="20655" spans="18:18" s="2" customFormat="1" ht="12.75" x14ac:dyDescent="0.2">
      <c r="R20655" s="1288"/>
    </row>
    <row r="20656" spans="18:18" s="2" customFormat="1" ht="12.75" x14ac:dyDescent="0.2">
      <c r="R20656" s="1288"/>
    </row>
    <row r="20657" spans="18:18" s="2" customFormat="1" ht="12.75" x14ac:dyDescent="0.2">
      <c r="R20657" s="1288"/>
    </row>
    <row r="20658" spans="18:18" s="2" customFormat="1" ht="12.75" x14ac:dyDescent="0.2">
      <c r="R20658" s="1288"/>
    </row>
    <row r="20659" spans="18:18" s="2" customFormat="1" ht="12.75" x14ac:dyDescent="0.2">
      <c r="R20659" s="1288"/>
    </row>
    <row r="20660" spans="18:18" s="2" customFormat="1" ht="12.75" x14ac:dyDescent="0.2">
      <c r="R20660" s="1288"/>
    </row>
    <row r="20661" spans="18:18" s="2" customFormat="1" ht="12.75" x14ac:dyDescent="0.2">
      <c r="R20661" s="1288"/>
    </row>
    <row r="20662" spans="18:18" s="2" customFormat="1" ht="12.75" x14ac:dyDescent="0.2">
      <c r="R20662" s="1288"/>
    </row>
    <row r="20663" spans="18:18" s="2" customFormat="1" ht="12.75" x14ac:dyDescent="0.2">
      <c r="R20663" s="1288"/>
    </row>
    <row r="20664" spans="18:18" s="2" customFormat="1" ht="12.75" x14ac:dyDescent="0.2">
      <c r="R20664" s="1288"/>
    </row>
    <row r="20665" spans="18:18" s="2" customFormat="1" ht="12.75" x14ac:dyDescent="0.2">
      <c r="R20665" s="1288"/>
    </row>
    <row r="20666" spans="18:18" s="2" customFormat="1" ht="12.75" x14ac:dyDescent="0.2">
      <c r="R20666" s="1288"/>
    </row>
    <row r="20667" spans="18:18" s="2" customFormat="1" ht="12.75" x14ac:dyDescent="0.2">
      <c r="R20667" s="1288"/>
    </row>
    <row r="20668" spans="18:18" s="2" customFormat="1" ht="12.75" x14ac:dyDescent="0.2">
      <c r="R20668" s="1288"/>
    </row>
    <row r="20669" spans="18:18" s="2" customFormat="1" ht="12.75" x14ac:dyDescent="0.2">
      <c r="R20669" s="1288"/>
    </row>
    <row r="20670" spans="18:18" s="2" customFormat="1" ht="12.75" x14ac:dyDescent="0.2">
      <c r="R20670" s="1288"/>
    </row>
    <row r="20671" spans="18:18" s="2" customFormat="1" ht="12.75" x14ac:dyDescent="0.2">
      <c r="R20671" s="1288"/>
    </row>
    <row r="20672" spans="18:18" s="2" customFormat="1" ht="12.75" x14ac:dyDescent="0.2">
      <c r="R20672" s="1288"/>
    </row>
    <row r="20673" spans="18:18" s="2" customFormat="1" ht="12.75" x14ac:dyDescent="0.2">
      <c r="R20673" s="1288"/>
    </row>
    <row r="20674" spans="18:18" s="2" customFormat="1" ht="12.75" x14ac:dyDescent="0.2">
      <c r="R20674" s="1288"/>
    </row>
    <row r="20675" spans="18:18" s="2" customFormat="1" ht="12.75" x14ac:dyDescent="0.2">
      <c r="R20675" s="1288"/>
    </row>
    <row r="20676" spans="18:18" s="2" customFormat="1" ht="12.75" x14ac:dyDescent="0.2">
      <c r="R20676" s="1288"/>
    </row>
    <row r="20677" spans="18:18" s="2" customFormat="1" ht="12.75" x14ac:dyDescent="0.2">
      <c r="R20677" s="1288"/>
    </row>
    <row r="20678" spans="18:18" s="2" customFormat="1" ht="12.75" x14ac:dyDescent="0.2">
      <c r="R20678" s="1288"/>
    </row>
    <row r="20679" spans="18:18" s="2" customFormat="1" ht="12.75" x14ac:dyDescent="0.2">
      <c r="R20679" s="1288"/>
    </row>
    <row r="20680" spans="18:18" s="2" customFormat="1" ht="12.75" x14ac:dyDescent="0.2">
      <c r="R20680" s="1288"/>
    </row>
    <row r="20681" spans="18:18" s="2" customFormat="1" ht="12.75" x14ac:dyDescent="0.2">
      <c r="R20681" s="1288"/>
    </row>
    <row r="20682" spans="18:18" s="2" customFormat="1" ht="12.75" x14ac:dyDescent="0.2">
      <c r="R20682" s="1288"/>
    </row>
    <row r="20683" spans="18:18" s="2" customFormat="1" ht="12.75" x14ac:dyDescent="0.2">
      <c r="R20683" s="1288"/>
    </row>
    <row r="20684" spans="18:18" s="2" customFormat="1" ht="12.75" x14ac:dyDescent="0.2">
      <c r="R20684" s="1288"/>
    </row>
    <row r="20685" spans="18:18" s="2" customFormat="1" ht="12.75" x14ac:dyDescent="0.2">
      <c r="R20685" s="1288"/>
    </row>
    <row r="20686" spans="18:18" s="2" customFormat="1" ht="12.75" x14ac:dyDescent="0.2">
      <c r="R20686" s="1288"/>
    </row>
    <row r="20687" spans="18:18" s="2" customFormat="1" ht="12.75" x14ac:dyDescent="0.2">
      <c r="R20687" s="1288"/>
    </row>
    <row r="20688" spans="18:18" s="2" customFormat="1" ht="12.75" x14ac:dyDescent="0.2">
      <c r="R20688" s="1288"/>
    </row>
    <row r="20689" spans="18:18" s="2" customFormat="1" ht="12.75" x14ac:dyDescent="0.2">
      <c r="R20689" s="1288"/>
    </row>
    <row r="20690" spans="18:18" s="2" customFormat="1" ht="12.75" x14ac:dyDescent="0.2">
      <c r="R20690" s="1288"/>
    </row>
    <row r="20691" spans="18:18" s="2" customFormat="1" ht="12.75" x14ac:dyDescent="0.2">
      <c r="R20691" s="1288"/>
    </row>
    <row r="20692" spans="18:18" s="2" customFormat="1" ht="12.75" x14ac:dyDescent="0.2">
      <c r="R20692" s="1288"/>
    </row>
    <row r="20693" spans="18:18" s="2" customFormat="1" ht="12.75" x14ac:dyDescent="0.2">
      <c r="R20693" s="1288"/>
    </row>
    <row r="20694" spans="18:18" s="2" customFormat="1" ht="12.75" x14ac:dyDescent="0.2">
      <c r="R20694" s="1288"/>
    </row>
    <row r="20695" spans="18:18" s="2" customFormat="1" ht="12.75" x14ac:dyDescent="0.2">
      <c r="R20695" s="1288"/>
    </row>
    <row r="20696" spans="18:18" s="2" customFormat="1" ht="12.75" x14ac:dyDescent="0.2">
      <c r="R20696" s="1288"/>
    </row>
    <row r="20697" spans="18:18" s="2" customFormat="1" ht="12.75" x14ac:dyDescent="0.2">
      <c r="R20697" s="1288"/>
    </row>
    <row r="20698" spans="18:18" s="2" customFormat="1" ht="12.75" x14ac:dyDescent="0.2">
      <c r="R20698" s="1288"/>
    </row>
    <row r="20699" spans="18:18" s="2" customFormat="1" ht="12.75" x14ac:dyDescent="0.2">
      <c r="R20699" s="1288"/>
    </row>
    <row r="20700" spans="18:18" s="2" customFormat="1" ht="12.75" x14ac:dyDescent="0.2">
      <c r="R20700" s="1288"/>
    </row>
    <row r="20701" spans="18:18" s="2" customFormat="1" ht="12.75" x14ac:dyDescent="0.2">
      <c r="R20701" s="1288"/>
    </row>
    <row r="20702" spans="18:18" s="2" customFormat="1" ht="12.75" x14ac:dyDescent="0.2">
      <c r="R20702" s="1288"/>
    </row>
    <row r="20703" spans="18:18" s="2" customFormat="1" ht="12.75" x14ac:dyDescent="0.2">
      <c r="R20703" s="1288"/>
    </row>
    <row r="20704" spans="18:18" s="2" customFormat="1" ht="12.75" x14ac:dyDescent="0.2">
      <c r="R20704" s="1288"/>
    </row>
    <row r="20705" spans="18:18" s="2" customFormat="1" ht="12.75" x14ac:dyDescent="0.2">
      <c r="R20705" s="1288"/>
    </row>
    <row r="20706" spans="18:18" s="2" customFormat="1" ht="12.75" x14ac:dyDescent="0.2">
      <c r="R20706" s="1288"/>
    </row>
    <row r="20707" spans="18:18" s="2" customFormat="1" ht="12.75" x14ac:dyDescent="0.2">
      <c r="R20707" s="1288"/>
    </row>
    <row r="20708" spans="18:18" s="2" customFormat="1" ht="12.75" x14ac:dyDescent="0.2">
      <c r="R20708" s="1288"/>
    </row>
    <row r="20709" spans="18:18" s="2" customFormat="1" ht="12.75" x14ac:dyDescent="0.2">
      <c r="R20709" s="1288"/>
    </row>
    <row r="20710" spans="18:18" s="2" customFormat="1" ht="12.75" x14ac:dyDescent="0.2">
      <c r="R20710" s="1288"/>
    </row>
    <row r="20711" spans="18:18" s="2" customFormat="1" ht="12.75" x14ac:dyDescent="0.2">
      <c r="R20711" s="1288"/>
    </row>
    <row r="20712" spans="18:18" s="2" customFormat="1" ht="12.75" x14ac:dyDescent="0.2">
      <c r="R20712" s="1288"/>
    </row>
    <row r="20713" spans="18:18" s="2" customFormat="1" ht="12.75" x14ac:dyDescent="0.2">
      <c r="R20713" s="1288"/>
    </row>
    <row r="20714" spans="18:18" s="2" customFormat="1" ht="12.75" x14ac:dyDescent="0.2">
      <c r="R20714" s="1288"/>
    </row>
    <row r="20715" spans="18:18" s="2" customFormat="1" ht="12.75" x14ac:dyDescent="0.2">
      <c r="R20715" s="1288"/>
    </row>
    <row r="20716" spans="18:18" s="2" customFormat="1" ht="12.75" x14ac:dyDescent="0.2">
      <c r="R20716" s="1288"/>
    </row>
    <row r="20717" spans="18:18" s="2" customFormat="1" ht="12.75" x14ac:dyDescent="0.2">
      <c r="R20717" s="1288"/>
    </row>
    <row r="20718" spans="18:18" s="2" customFormat="1" ht="12.75" x14ac:dyDescent="0.2">
      <c r="R20718" s="1288"/>
    </row>
    <row r="20719" spans="18:18" s="2" customFormat="1" ht="12.75" x14ac:dyDescent="0.2">
      <c r="R20719" s="1288"/>
    </row>
    <row r="20720" spans="18:18" s="2" customFormat="1" ht="12.75" x14ac:dyDescent="0.2">
      <c r="R20720" s="1288"/>
    </row>
    <row r="20721" spans="18:18" s="2" customFormat="1" ht="12.75" x14ac:dyDescent="0.2">
      <c r="R20721" s="1288"/>
    </row>
    <row r="20722" spans="18:18" s="2" customFormat="1" ht="12.75" x14ac:dyDescent="0.2">
      <c r="R20722" s="1288"/>
    </row>
    <row r="20723" spans="18:18" s="2" customFormat="1" ht="12.75" x14ac:dyDescent="0.2">
      <c r="R20723" s="1288"/>
    </row>
    <row r="20724" spans="18:18" s="2" customFormat="1" ht="12.75" x14ac:dyDescent="0.2">
      <c r="R20724" s="1288"/>
    </row>
    <row r="20725" spans="18:18" s="2" customFormat="1" ht="12.75" x14ac:dyDescent="0.2">
      <c r="R20725" s="1288"/>
    </row>
    <row r="20726" spans="18:18" s="2" customFormat="1" ht="12.75" x14ac:dyDescent="0.2">
      <c r="R20726" s="1288"/>
    </row>
    <row r="20727" spans="18:18" s="2" customFormat="1" ht="12.75" x14ac:dyDescent="0.2">
      <c r="R20727" s="1288"/>
    </row>
    <row r="20728" spans="18:18" s="2" customFormat="1" ht="12.75" x14ac:dyDescent="0.2">
      <c r="R20728" s="1288"/>
    </row>
    <row r="20729" spans="18:18" s="2" customFormat="1" ht="12.75" x14ac:dyDescent="0.2">
      <c r="R20729" s="1288"/>
    </row>
    <row r="20730" spans="18:18" s="2" customFormat="1" ht="12.75" x14ac:dyDescent="0.2">
      <c r="R20730" s="1288"/>
    </row>
    <row r="20731" spans="18:18" s="2" customFormat="1" ht="12.75" x14ac:dyDescent="0.2">
      <c r="R20731" s="1288"/>
    </row>
    <row r="20732" spans="18:18" s="2" customFormat="1" ht="12.75" x14ac:dyDescent="0.2">
      <c r="R20732" s="1288"/>
    </row>
    <row r="20733" spans="18:18" s="2" customFormat="1" ht="12.75" x14ac:dyDescent="0.2">
      <c r="R20733" s="1288"/>
    </row>
    <row r="20734" spans="18:18" s="2" customFormat="1" ht="12.75" x14ac:dyDescent="0.2">
      <c r="R20734" s="1288"/>
    </row>
    <row r="20735" spans="18:18" s="2" customFormat="1" ht="12.75" x14ac:dyDescent="0.2">
      <c r="R20735" s="1288"/>
    </row>
    <row r="20736" spans="18:18" s="2" customFormat="1" ht="12.75" x14ac:dyDescent="0.2">
      <c r="R20736" s="1288"/>
    </row>
    <row r="20737" spans="18:18" s="2" customFormat="1" ht="12.75" x14ac:dyDescent="0.2">
      <c r="R20737" s="1288"/>
    </row>
    <row r="20738" spans="18:18" s="2" customFormat="1" ht="12.75" x14ac:dyDescent="0.2">
      <c r="R20738" s="1288"/>
    </row>
    <row r="20739" spans="18:18" s="2" customFormat="1" ht="12.75" x14ac:dyDescent="0.2">
      <c r="R20739" s="1288"/>
    </row>
    <row r="20740" spans="18:18" s="2" customFormat="1" ht="12.75" x14ac:dyDescent="0.2">
      <c r="R20740" s="1288"/>
    </row>
    <row r="20741" spans="18:18" s="2" customFormat="1" ht="12.75" x14ac:dyDescent="0.2">
      <c r="R20741" s="1288"/>
    </row>
    <row r="20742" spans="18:18" s="2" customFormat="1" ht="12.75" x14ac:dyDescent="0.2">
      <c r="R20742" s="1288"/>
    </row>
    <row r="20743" spans="18:18" s="2" customFormat="1" ht="12.75" x14ac:dyDescent="0.2">
      <c r="R20743" s="1288"/>
    </row>
    <row r="20744" spans="18:18" s="2" customFormat="1" ht="12.75" x14ac:dyDescent="0.2">
      <c r="R20744" s="1288"/>
    </row>
    <row r="20745" spans="18:18" s="2" customFormat="1" ht="12.75" x14ac:dyDescent="0.2">
      <c r="R20745" s="1288"/>
    </row>
    <row r="20746" spans="18:18" s="2" customFormat="1" ht="12.75" x14ac:dyDescent="0.2">
      <c r="R20746" s="1288"/>
    </row>
    <row r="20747" spans="18:18" s="2" customFormat="1" ht="12.75" x14ac:dyDescent="0.2">
      <c r="R20747" s="1288"/>
    </row>
    <row r="20748" spans="18:18" s="2" customFormat="1" ht="12.75" x14ac:dyDescent="0.2">
      <c r="R20748" s="1288"/>
    </row>
    <row r="20749" spans="18:18" s="2" customFormat="1" ht="12.75" x14ac:dyDescent="0.2">
      <c r="R20749" s="1288"/>
    </row>
    <row r="20750" spans="18:18" s="2" customFormat="1" ht="12.75" x14ac:dyDescent="0.2">
      <c r="R20750" s="1288"/>
    </row>
    <row r="20751" spans="18:18" s="2" customFormat="1" ht="12.75" x14ac:dyDescent="0.2">
      <c r="R20751" s="1288"/>
    </row>
    <row r="20752" spans="18:18" s="2" customFormat="1" ht="12.75" x14ac:dyDescent="0.2">
      <c r="R20752" s="1288"/>
    </row>
    <row r="20753" spans="18:18" s="2" customFormat="1" ht="12.75" x14ac:dyDescent="0.2">
      <c r="R20753" s="1288"/>
    </row>
    <row r="20754" spans="18:18" s="2" customFormat="1" ht="12.75" x14ac:dyDescent="0.2">
      <c r="R20754" s="1288"/>
    </row>
    <row r="20755" spans="18:18" s="2" customFormat="1" ht="12.75" x14ac:dyDescent="0.2">
      <c r="R20755" s="1288"/>
    </row>
    <row r="20756" spans="18:18" s="2" customFormat="1" ht="12.75" x14ac:dyDescent="0.2">
      <c r="R20756" s="1288"/>
    </row>
    <row r="20757" spans="18:18" s="2" customFormat="1" ht="12.75" x14ac:dyDescent="0.2">
      <c r="R20757" s="1288"/>
    </row>
    <row r="20758" spans="18:18" s="2" customFormat="1" ht="12.75" x14ac:dyDescent="0.2">
      <c r="R20758" s="1288"/>
    </row>
    <row r="20759" spans="18:18" s="2" customFormat="1" ht="12.75" x14ac:dyDescent="0.2">
      <c r="R20759" s="1288"/>
    </row>
    <row r="20760" spans="18:18" s="2" customFormat="1" ht="12.75" x14ac:dyDescent="0.2">
      <c r="R20760" s="1288"/>
    </row>
    <row r="20761" spans="18:18" s="2" customFormat="1" ht="12.75" x14ac:dyDescent="0.2">
      <c r="R20761" s="1288"/>
    </row>
    <row r="20762" spans="18:18" s="2" customFormat="1" ht="12.75" x14ac:dyDescent="0.2">
      <c r="R20762" s="1288"/>
    </row>
    <row r="20763" spans="18:18" s="2" customFormat="1" ht="12.75" x14ac:dyDescent="0.2">
      <c r="R20763" s="1288"/>
    </row>
    <row r="20764" spans="18:18" s="2" customFormat="1" ht="12.75" x14ac:dyDescent="0.2">
      <c r="R20764" s="1288"/>
    </row>
    <row r="20765" spans="18:18" s="2" customFormat="1" ht="12.75" x14ac:dyDescent="0.2">
      <c r="R20765" s="1288"/>
    </row>
    <row r="20766" spans="18:18" s="2" customFormat="1" ht="12.75" x14ac:dyDescent="0.2">
      <c r="R20766" s="1288"/>
    </row>
    <row r="20767" spans="18:18" s="2" customFormat="1" ht="12.75" x14ac:dyDescent="0.2">
      <c r="R20767" s="1288"/>
    </row>
    <row r="20768" spans="18:18" s="2" customFormat="1" ht="12.75" x14ac:dyDescent="0.2">
      <c r="R20768" s="1288"/>
    </row>
    <row r="20769" spans="18:18" s="2" customFormat="1" ht="12.75" x14ac:dyDescent="0.2">
      <c r="R20769" s="1288"/>
    </row>
    <row r="20770" spans="18:18" s="2" customFormat="1" ht="12.75" x14ac:dyDescent="0.2">
      <c r="R20770" s="1288"/>
    </row>
    <row r="20771" spans="18:18" s="2" customFormat="1" ht="12.75" x14ac:dyDescent="0.2">
      <c r="R20771" s="1288"/>
    </row>
    <row r="20772" spans="18:18" s="2" customFormat="1" ht="12.75" x14ac:dyDescent="0.2">
      <c r="R20772" s="1288"/>
    </row>
    <row r="20773" spans="18:18" s="2" customFormat="1" ht="12.75" x14ac:dyDescent="0.2">
      <c r="R20773" s="1288"/>
    </row>
    <row r="20774" spans="18:18" s="2" customFormat="1" ht="12.75" x14ac:dyDescent="0.2">
      <c r="R20774" s="1288"/>
    </row>
    <row r="20775" spans="18:18" s="2" customFormat="1" ht="12.75" x14ac:dyDescent="0.2">
      <c r="R20775" s="1288"/>
    </row>
    <row r="20776" spans="18:18" s="2" customFormat="1" ht="12.75" x14ac:dyDescent="0.2">
      <c r="R20776" s="1288"/>
    </row>
    <row r="20777" spans="18:18" s="2" customFormat="1" ht="12.75" x14ac:dyDescent="0.2">
      <c r="R20777" s="1288"/>
    </row>
    <row r="20778" spans="18:18" s="2" customFormat="1" ht="12.75" x14ac:dyDescent="0.2">
      <c r="R20778" s="1288"/>
    </row>
    <row r="20779" spans="18:18" s="2" customFormat="1" ht="12.75" x14ac:dyDescent="0.2">
      <c r="R20779" s="1288"/>
    </row>
    <row r="20780" spans="18:18" s="2" customFormat="1" ht="12.75" x14ac:dyDescent="0.2">
      <c r="R20780" s="1288"/>
    </row>
    <row r="20781" spans="18:18" s="2" customFormat="1" ht="12.75" x14ac:dyDescent="0.2">
      <c r="R20781" s="1288"/>
    </row>
    <row r="20782" spans="18:18" s="2" customFormat="1" ht="12.75" x14ac:dyDescent="0.2">
      <c r="R20782" s="1288"/>
    </row>
    <row r="20783" spans="18:18" s="2" customFormat="1" ht="12.75" x14ac:dyDescent="0.2">
      <c r="R20783" s="1288"/>
    </row>
    <row r="20784" spans="18:18" s="2" customFormat="1" ht="12.75" x14ac:dyDescent="0.2">
      <c r="R20784" s="1288"/>
    </row>
    <row r="20785" spans="18:18" s="2" customFormat="1" ht="12.75" x14ac:dyDescent="0.2">
      <c r="R20785" s="1288"/>
    </row>
    <row r="20786" spans="18:18" s="2" customFormat="1" ht="12.75" x14ac:dyDescent="0.2">
      <c r="R20786" s="1288"/>
    </row>
    <row r="20787" spans="18:18" s="2" customFormat="1" ht="12.75" x14ac:dyDescent="0.2">
      <c r="R20787" s="1288"/>
    </row>
    <row r="20788" spans="18:18" s="2" customFormat="1" ht="12.75" x14ac:dyDescent="0.2">
      <c r="R20788" s="1288"/>
    </row>
    <row r="20789" spans="18:18" s="2" customFormat="1" ht="12.75" x14ac:dyDescent="0.2">
      <c r="R20789" s="1288"/>
    </row>
    <row r="20790" spans="18:18" s="2" customFormat="1" ht="12.75" x14ac:dyDescent="0.2">
      <c r="R20790" s="1288"/>
    </row>
    <row r="20791" spans="18:18" s="2" customFormat="1" ht="12.75" x14ac:dyDescent="0.2">
      <c r="R20791" s="1288"/>
    </row>
    <row r="20792" spans="18:18" s="2" customFormat="1" ht="12.75" x14ac:dyDescent="0.2">
      <c r="R20792" s="1288"/>
    </row>
    <row r="20793" spans="18:18" s="2" customFormat="1" ht="12.75" x14ac:dyDescent="0.2">
      <c r="R20793" s="1288"/>
    </row>
    <row r="20794" spans="18:18" s="2" customFormat="1" ht="12.75" x14ac:dyDescent="0.2">
      <c r="R20794" s="1288"/>
    </row>
    <row r="20795" spans="18:18" s="2" customFormat="1" ht="12.75" x14ac:dyDescent="0.2">
      <c r="R20795" s="1288"/>
    </row>
    <row r="20796" spans="18:18" s="2" customFormat="1" ht="12.75" x14ac:dyDescent="0.2">
      <c r="R20796" s="1288"/>
    </row>
    <row r="20797" spans="18:18" s="2" customFormat="1" ht="12.75" x14ac:dyDescent="0.2">
      <c r="R20797" s="1288"/>
    </row>
    <row r="20798" spans="18:18" s="2" customFormat="1" ht="12.75" x14ac:dyDescent="0.2">
      <c r="R20798" s="1288"/>
    </row>
    <row r="20799" spans="18:18" s="2" customFormat="1" ht="12.75" x14ac:dyDescent="0.2">
      <c r="R20799" s="1288"/>
    </row>
    <row r="20800" spans="18:18" s="2" customFormat="1" ht="12.75" x14ac:dyDescent="0.2">
      <c r="R20800" s="1288"/>
    </row>
    <row r="20801" spans="18:18" s="2" customFormat="1" ht="12.75" x14ac:dyDescent="0.2">
      <c r="R20801" s="1288"/>
    </row>
    <row r="20802" spans="18:18" s="2" customFormat="1" ht="12.75" x14ac:dyDescent="0.2">
      <c r="R20802" s="1288"/>
    </row>
    <row r="20803" spans="18:18" s="2" customFormat="1" ht="12.75" x14ac:dyDescent="0.2">
      <c r="R20803" s="1288"/>
    </row>
    <row r="20804" spans="18:18" s="2" customFormat="1" ht="12.75" x14ac:dyDescent="0.2">
      <c r="R20804" s="1288"/>
    </row>
    <row r="20805" spans="18:18" s="2" customFormat="1" ht="12.75" x14ac:dyDescent="0.2">
      <c r="R20805" s="1288"/>
    </row>
    <row r="20806" spans="18:18" s="2" customFormat="1" ht="12.75" x14ac:dyDescent="0.2">
      <c r="R20806" s="1288"/>
    </row>
    <row r="20807" spans="18:18" s="2" customFormat="1" ht="12.75" x14ac:dyDescent="0.2">
      <c r="R20807" s="1288"/>
    </row>
    <row r="20808" spans="18:18" s="2" customFormat="1" ht="12.75" x14ac:dyDescent="0.2">
      <c r="R20808" s="1288"/>
    </row>
    <row r="20809" spans="18:18" s="2" customFormat="1" ht="12.75" x14ac:dyDescent="0.2">
      <c r="R20809" s="1288"/>
    </row>
    <row r="20810" spans="18:18" s="2" customFormat="1" ht="12.75" x14ac:dyDescent="0.2">
      <c r="R20810" s="1288"/>
    </row>
    <row r="20811" spans="18:18" s="2" customFormat="1" ht="12.75" x14ac:dyDescent="0.2">
      <c r="R20811" s="1288"/>
    </row>
    <row r="20812" spans="18:18" s="2" customFormat="1" ht="12.75" x14ac:dyDescent="0.2">
      <c r="R20812" s="1288"/>
    </row>
    <row r="20813" spans="18:18" s="2" customFormat="1" ht="12.75" x14ac:dyDescent="0.2">
      <c r="R20813" s="1288"/>
    </row>
    <row r="20814" spans="18:18" s="2" customFormat="1" ht="12.75" x14ac:dyDescent="0.2">
      <c r="R20814" s="1288"/>
    </row>
    <row r="20815" spans="18:18" s="2" customFormat="1" ht="12.75" x14ac:dyDescent="0.2">
      <c r="R20815" s="1288"/>
    </row>
    <row r="20816" spans="18:18" s="2" customFormat="1" ht="12.75" x14ac:dyDescent="0.2">
      <c r="R20816" s="1288"/>
    </row>
    <row r="20817" spans="18:18" s="2" customFormat="1" ht="12.75" x14ac:dyDescent="0.2">
      <c r="R20817" s="1288"/>
    </row>
    <row r="20818" spans="18:18" s="2" customFormat="1" ht="12.75" x14ac:dyDescent="0.2">
      <c r="R20818" s="1288"/>
    </row>
    <row r="20819" spans="18:18" s="2" customFormat="1" ht="12.75" x14ac:dyDescent="0.2">
      <c r="R20819" s="1288"/>
    </row>
    <row r="20820" spans="18:18" s="2" customFormat="1" ht="12.75" x14ac:dyDescent="0.2">
      <c r="R20820" s="1288"/>
    </row>
    <row r="20821" spans="18:18" s="2" customFormat="1" ht="12.75" x14ac:dyDescent="0.2">
      <c r="R20821" s="1288"/>
    </row>
    <row r="20822" spans="18:18" s="2" customFormat="1" ht="12.75" x14ac:dyDescent="0.2">
      <c r="R20822" s="1288"/>
    </row>
    <row r="20823" spans="18:18" s="2" customFormat="1" ht="12.75" x14ac:dyDescent="0.2">
      <c r="R20823" s="1288"/>
    </row>
    <row r="20824" spans="18:18" s="2" customFormat="1" ht="12.75" x14ac:dyDescent="0.2">
      <c r="R20824" s="1288"/>
    </row>
    <row r="20825" spans="18:18" s="2" customFormat="1" ht="12.75" x14ac:dyDescent="0.2">
      <c r="R20825" s="1288"/>
    </row>
    <row r="20826" spans="18:18" s="2" customFormat="1" ht="12.75" x14ac:dyDescent="0.2">
      <c r="R20826" s="1288"/>
    </row>
    <row r="20827" spans="18:18" s="2" customFormat="1" ht="12.75" x14ac:dyDescent="0.2">
      <c r="R20827" s="1288"/>
    </row>
    <row r="20828" spans="18:18" s="2" customFormat="1" ht="12.75" x14ac:dyDescent="0.2">
      <c r="R20828" s="1288"/>
    </row>
    <row r="20829" spans="18:18" s="2" customFormat="1" ht="12.75" x14ac:dyDescent="0.2">
      <c r="R20829" s="1288"/>
    </row>
    <row r="20830" spans="18:18" s="2" customFormat="1" ht="12.75" x14ac:dyDescent="0.2">
      <c r="R20830" s="1288"/>
    </row>
    <row r="20831" spans="18:18" s="2" customFormat="1" ht="12.75" x14ac:dyDescent="0.2">
      <c r="R20831" s="1288"/>
    </row>
    <row r="20832" spans="18:18" s="2" customFormat="1" ht="12.75" x14ac:dyDescent="0.2">
      <c r="R20832" s="1288"/>
    </row>
    <row r="20833" spans="18:18" s="2" customFormat="1" ht="12.75" x14ac:dyDescent="0.2">
      <c r="R20833" s="1288"/>
    </row>
    <row r="20834" spans="18:18" s="2" customFormat="1" ht="12.75" x14ac:dyDescent="0.2">
      <c r="R20834" s="1288"/>
    </row>
    <row r="20835" spans="18:18" s="2" customFormat="1" ht="12.75" x14ac:dyDescent="0.2">
      <c r="R20835" s="1288"/>
    </row>
    <row r="20836" spans="18:18" s="2" customFormat="1" ht="12.75" x14ac:dyDescent="0.2">
      <c r="R20836" s="1288"/>
    </row>
    <row r="20837" spans="18:18" s="2" customFormat="1" ht="12.75" x14ac:dyDescent="0.2">
      <c r="R20837" s="1288"/>
    </row>
    <row r="20838" spans="18:18" s="2" customFormat="1" ht="12.75" x14ac:dyDescent="0.2">
      <c r="R20838" s="1288"/>
    </row>
    <row r="20839" spans="18:18" s="2" customFormat="1" ht="12.75" x14ac:dyDescent="0.2">
      <c r="R20839" s="1288"/>
    </row>
    <row r="20840" spans="18:18" s="2" customFormat="1" ht="12.75" x14ac:dyDescent="0.2">
      <c r="R20840" s="1288"/>
    </row>
    <row r="20841" spans="18:18" s="2" customFormat="1" ht="12.75" x14ac:dyDescent="0.2">
      <c r="R20841" s="1288"/>
    </row>
    <row r="20842" spans="18:18" s="2" customFormat="1" ht="12.75" x14ac:dyDescent="0.2">
      <c r="R20842" s="1288"/>
    </row>
    <row r="20843" spans="18:18" s="2" customFormat="1" ht="12.75" x14ac:dyDescent="0.2">
      <c r="R20843" s="1288"/>
    </row>
    <row r="20844" spans="18:18" s="2" customFormat="1" ht="12.75" x14ac:dyDescent="0.2">
      <c r="R20844" s="1288"/>
    </row>
    <row r="20845" spans="18:18" s="2" customFormat="1" ht="12.75" x14ac:dyDescent="0.2">
      <c r="R20845" s="1288"/>
    </row>
    <row r="20846" spans="18:18" s="2" customFormat="1" ht="12.75" x14ac:dyDescent="0.2">
      <c r="R20846" s="1288"/>
    </row>
    <row r="20847" spans="18:18" s="2" customFormat="1" ht="12.75" x14ac:dyDescent="0.2">
      <c r="R20847" s="1288"/>
    </row>
    <row r="20848" spans="18:18" s="2" customFormat="1" ht="12.75" x14ac:dyDescent="0.2">
      <c r="R20848" s="1288"/>
    </row>
    <row r="20849" spans="18:18" s="2" customFormat="1" ht="12.75" x14ac:dyDescent="0.2">
      <c r="R20849" s="1288"/>
    </row>
    <row r="20850" spans="18:18" s="2" customFormat="1" ht="12.75" x14ac:dyDescent="0.2">
      <c r="R20850" s="1288"/>
    </row>
    <row r="20851" spans="18:18" s="2" customFormat="1" ht="12.75" x14ac:dyDescent="0.2">
      <c r="R20851" s="1288"/>
    </row>
    <row r="20852" spans="18:18" s="2" customFormat="1" ht="12.75" x14ac:dyDescent="0.2">
      <c r="R20852" s="1288"/>
    </row>
    <row r="20853" spans="18:18" s="2" customFormat="1" ht="12.75" x14ac:dyDescent="0.2">
      <c r="R20853" s="1288"/>
    </row>
    <row r="20854" spans="18:18" s="2" customFormat="1" ht="12.75" x14ac:dyDescent="0.2">
      <c r="R20854" s="1288"/>
    </row>
    <row r="20855" spans="18:18" s="2" customFormat="1" ht="12.75" x14ac:dyDescent="0.2">
      <c r="R20855" s="1288"/>
    </row>
    <row r="20856" spans="18:18" s="2" customFormat="1" ht="12.75" x14ac:dyDescent="0.2">
      <c r="R20856" s="1288"/>
    </row>
    <row r="20857" spans="18:18" s="2" customFormat="1" ht="12.75" x14ac:dyDescent="0.2">
      <c r="R20857" s="1288"/>
    </row>
    <row r="20858" spans="18:18" s="2" customFormat="1" ht="12.75" x14ac:dyDescent="0.2">
      <c r="R20858" s="1288"/>
    </row>
    <row r="20859" spans="18:18" s="2" customFormat="1" ht="12.75" x14ac:dyDescent="0.2">
      <c r="R20859" s="1288"/>
    </row>
    <row r="20860" spans="18:18" s="2" customFormat="1" ht="12.75" x14ac:dyDescent="0.2">
      <c r="R20860" s="1288"/>
    </row>
    <row r="20861" spans="18:18" s="2" customFormat="1" ht="12.75" x14ac:dyDescent="0.2">
      <c r="R20861" s="1288"/>
    </row>
    <row r="20862" spans="18:18" s="2" customFormat="1" ht="12.75" x14ac:dyDescent="0.2">
      <c r="R20862" s="1288"/>
    </row>
    <row r="20863" spans="18:18" s="2" customFormat="1" ht="12.75" x14ac:dyDescent="0.2">
      <c r="R20863" s="1288"/>
    </row>
    <row r="20864" spans="18:18" s="2" customFormat="1" ht="12.75" x14ac:dyDescent="0.2">
      <c r="R20864" s="1288"/>
    </row>
    <row r="20865" spans="18:18" s="2" customFormat="1" ht="12.75" x14ac:dyDescent="0.2">
      <c r="R20865" s="1288"/>
    </row>
    <row r="20866" spans="18:18" s="2" customFormat="1" ht="12.75" x14ac:dyDescent="0.2">
      <c r="R20866" s="1288"/>
    </row>
    <row r="20867" spans="18:18" s="2" customFormat="1" ht="12.75" x14ac:dyDescent="0.2">
      <c r="R20867" s="1288"/>
    </row>
    <row r="20868" spans="18:18" s="2" customFormat="1" ht="12.75" x14ac:dyDescent="0.2">
      <c r="R20868" s="1288"/>
    </row>
    <row r="20869" spans="18:18" s="2" customFormat="1" ht="12.75" x14ac:dyDescent="0.2">
      <c r="R20869" s="1288"/>
    </row>
    <row r="20870" spans="18:18" s="2" customFormat="1" ht="12.75" x14ac:dyDescent="0.2">
      <c r="R20870" s="1288"/>
    </row>
    <row r="20871" spans="18:18" s="2" customFormat="1" ht="12.75" x14ac:dyDescent="0.2">
      <c r="R20871" s="1288"/>
    </row>
    <row r="20872" spans="18:18" s="2" customFormat="1" ht="12.75" x14ac:dyDescent="0.2">
      <c r="R20872" s="1288"/>
    </row>
    <row r="20873" spans="18:18" s="2" customFormat="1" ht="12.75" x14ac:dyDescent="0.2">
      <c r="R20873" s="1288"/>
    </row>
    <row r="20874" spans="18:18" s="2" customFormat="1" ht="12.75" x14ac:dyDescent="0.2">
      <c r="R20874" s="1288"/>
    </row>
    <row r="20875" spans="18:18" s="2" customFormat="1" ht="12.75" x14ac:dyDescent="0.2">
      <c r="R20875" s="1288"/>
    </row>
    <row r="20876" spans="18:18" s="2" customFormat="1" ht="12.75" x14ac:dyDescent="0.2">
      <c r="R20876" s="1288"/>
    </row>
    <row r="20877" spans="18:18" s="2" customFormat="1" ht="12.75" x14ac:dyDescent="0.2">
      <c r="R20877" s="1288"/>
    </row>
    <row r="20878" spans="18:18" s="2" customFormat="1" ht="12.75" x14ac:dyDescent="0.2">
      <c r="R20878" s="1288"/>
    </row>
    <row r="20879" spans="18:18" s="2" customFormat="1" ht="12.75" x14ac:dyDescent="0.2">
      <c r="R20879" s="1288"/>
    </row>
    <row r="20880" spans="18:18" s="2" customFormat="1" ht="12.75" x14ac:dyDescent="0.2">
      <c r="R20880" s="1288"/>
    </row>
    <row r="20881" spans="18:18" s="2" customFormat="1" ht="12.75" x14ac:dyDescent="0.2">
      <c r="R20881" s="1288"/>
    </row>
    <row r="20882" spans="18:18" s="2" customFormat="1" ht="12.75" x14ac:dyDescent="0.2">
      <c r="R20882" s="1288"/>
    </row>
    <row r="20883" spans="18:18" s="2" customFormat="1" ht="12.75" x14ac:dyDescent="0.2">
      <c r="R20883" s="1288"/>
    </row>
    <row r="20884" spans="18:18" s="2" customFormat="1" ht="12.75" x14ac:dyDescent="0.2">
      <c r="R20884" s="1288"/>
    </row>
    <row r="20885" spans="18:18" s="2" customFormat="1" ht="12.75" x14ac:dyDescent="0.2">
      <c r="R20885" s="1288"/>
    </row>
    <row r="20886" spans="18:18" s="2" customFormat="1" ht="12.75" x14ac:dyDescent="0.2">
      <c r="R20886" s="1288"/>
    </row>
    <row r="20887" spans="18:18" s="2" customFormat="1" ht="12.75" x14ac:dyDescent="0.2">
      <c r="R20887" s="1288"/>
    </row>
    <row r="20888" spans="18:18" s="2" customFormat="1" ht="12.75" x14ac:dyDescent="0.2">
      <c r="R20888" s="1288"/>
    </row>
    <row r="20889" spans="18:18" s="2" customFormat="1" ht="12.75" x14ac:dyDescent="0.2">
      <c r="R20889" s="1288"/>
    </row>
    <row r="20890" spans="18:18" s="2" customFormat="1" ht="12.75" x14ac:dyDescent="0.2">
      <c r="R20890" s="1288"/>
    </row>
    <row r="20891" spans="18:18" s="2" customFormat="1" ht="12.75" x14ac:dyDescent="0.2">
      <c r="R20891" s="1288"/>
    </row>
    <row r="20892" spans="18:18" s="2" customFormat="1" ht="12.75" x14ac:dyDescent="0.2">
      <c r="R20892" s="1288"/>
    </row>
    <row r="20893" spans="18:18" s="2" customFormat="1" ht="12.75" x14ac:dyDescent="0.2">
      <c r="R20893" s="1288"/>
    </row>
    <row r="20894" spans="18:18" s="2" customFormat="1" ht="12.75" x14ac:dyDescent="0.2">
      <c r="R20894" s="1288"/>
    </row>
    <row r="20895" spans="18:18" s="2" customFormat="1" ht="12.75" x14ac:dyDescent="0.2">
      <c r="R20895" s="1288"/>
    </row>
    <row r="20896" spans="18:18" s="2" customFormat="1" ht="12.75" x14ac:dyDescent="0.2">
      <c r="R20896" s="1288"/>
    </row>
    <row r="20897" spans="18:18" s="2" customFormat="1" ht="12.75" x14ac:dyDescent="0.2">
      <c r="R20897" s="1288"/>
    </row>
    <row r="20898" spans="18:18" s="2" customFormat="1" ht="12.75" x14ac:dyDescent="0.2">
      <c r="R20898" s="1288"/>
    </row>
    <row r="20899" spans="18:18" s="2" customFormat="1" ht="12.75" x14ac:dyDescent="0.2">
      <c r="R20899" s="1288"/>
    </row>
    <row r="20900" spans="18:18" s="2" customFormat="1" ht="12.75" x14ac:dyDescent="0.2">
      <c r="R20900" s="1288"/>
    </row>
    <row r="20901" spans="18:18" s="2" customFormat="1" ht="12.75" x14ac:dyDescent="0.2">
      <c r="R20901" s="1288"/>
    </row>
    <row r="20902" spans="18:18" s="2" customFormat="1" ht="12.75" x14ac:dyDescent="0.2">
      <c r="R20902" s="1288"/>
    </row>
    <row r="20903" spans="18:18" s="2" customFormat="1" ht="12.75" x14ac:dyDescent="0.2">
      <c r="R20903" s="1288"/>
    </row>
    <row r="20904" spans="18:18" s="2" customFormat="1" ht="12.75" x14ac:dyDescent="0.2">
      <c r="R20904" s="1288"/>
    </row>
    <row r="20905" spans="18:18" s="2" customFormat="1" ht="12.75" x14ac:dyDescent="0.2">
      <c r="R20905" s="1288"/>
    </row>
    <row r="20906" spans="18:18" s="2" customFormat="1" ht="12.75" x14ac:dyDescent="0.2">
      <c r="R20906" s="1288"/>
    </row>
    <row r="20907" spans="18:18" s="2" customFormat="1" ht="12.75" x14ac:dyDescent="0.2">
      <c r="R20907" s="1288"/>
    </row>
    <row r="20908" spans="18:18" s="2" customFormat="1" ht="12.75" x14ac:dyDescent="0.2">
      <c r="R20908" s="1288"/>
    </row>
    <row r="20909" spans="18:18" s="2" customFormat="1" ht="12.75" x14ac:dyDescent="0.2">
      <c r="R20909" s="1288"/>
    </row>
    <row r="20910" spans="18:18" s="2" customFormat="1" ht="12.75" x14ac:dyDescent="0.2">
      <c r="R20910" s="1288"/>
    </row>
    <row r="20911" spans="18:18" s="2" customFormat="1" ht="12.75" x14ac:dyDescent="0.2">
      <c r="R20911" s="1288"/>
    </row>
    <row r="20912" spans="18:18" s="2" customFormat="1" ht="12.75" x14ac:dyDescent="0.2">
      <c r="R20912" s="1288"/>
    </row>
    <row r="20913" spans="18:18" s="2" customFormat="1" ht="12.75" x14ac:dyDescent="0.2">
      <c r="R20913" s="1288"/>
    </row>
    <row r="20914" spans="18:18" s="2" customFormat="1" ht="12.75" x14ac:dyDescent="0.2">
      <c r="R20914" s="1288"/>
    </row>
    <row r="20915" spans="18:18" s="2" customFormat="1" ht="12.75" x14ac:dyDescent="0.2">
      <c r="R20915" s="1288"/>
    </row>
    <row r="20916" spans="18:18" s="2" customFormat="1" ht="12.75" x14ac:dyDescent="0.2">
      <c r="R20916" s="1288"/>
    </row>
    <row r="20917" spans="18:18" s="2" customFormat="1" ht="12.75" x14ac:dyDescent="0.2">
      <c r="R20917" s="1288"/>
    </row>
    <row r="20918" spans="18:18" s="2" customFormat="1" ht="12.75" x14ac:dyDescent="0.2">
      <c r="R20918" s="1288"/>
    </row>
    <row r="20919" spans="18:18" s="2" customFormat="1" ht="12.75" x14ac:dyDescent="0.2">
      <c r="R20919" s="1288"/>
    </row>
    <row r="20920" spans="18:18" s="2" customFormat="1" ht="12.75" x14ac:dyDescent="0.2">
      <c r="R20920" s="1288"/>
    </row>
    <row r="20921" spans="18:18" s="2" customFormat="1" ht="12.75" x14ac:dyDescent="0.2">
      <c r="R20921" s="1288"/>
    </row>
    <row r="20922" spans="18:18" s="2" customFormat="1" ht="12.75" x14ac:dyDescent="0.2">
      <c r="R20922" s="1288"/>
    </row>
    <row r="20923" spans="18:18" s="2" customFormat="1" ht="12.75" x14ac:dyDescent="0.2">
      <c r="R20923" s="1288"/>
    </row>
    <row r="20924" spans="18:18" s="2" customFormat="1" ht="12.75" x14ac:dyDescent="0.2">
      <c r="R20924" s="1288"/>
    </row>
    <row r="20925" spans="18:18" s="2" customFormat="1" ht="12.75" x14ac:dyDescent="0.2">
      <c r="R20925" s="1288"/>
    </row>
    <row r="20926" spans="18:18" s="2" customFormat="1" ht="12.75" x14ac:dyDescent="0.2">
      <c r="R20926" s="1288"/>
    </row>
    <row r="20927" spans="18:18" s="2" customFormat="1" ht="12.75" x14ac:dyDescent="0.2">
      <c r="R20927" s="1288"/>
    </row>
    <row r="20928" spans="18:18" s="2" customFormat="1" ht="12.75" x14ac:dyDescent="0.2">
      <c r="R20928" s="1288"/>
    </row>
    <row r="20929" spans="18:18" s="2" customFormat="1" ht="12.75" x14ac:dyDescent="0.2">
      <c r="R20929" s="1288"/>
    </row>
    <row r="20930" spans="18:18" s="2" customFormat="1" ht="12.75" x14ac:dyDescent="0.2">
      <c r="R20930" s="1288"/>
    </row>
    <row r="20931" spans="18:18" s="2" customFormat="1" ht="12.75" x14ac:dyDescent="0.2">
      <c r="R20931" s="1288"/>
    </row>
    <row r="20932" spans="18:18" s="2" customFormat="1" ht="12.75" x14ac:dyDescent="0.2">
      <c r="R20932" s="1288"/>
    </row>
    <row r="20933" spans="18:18" s="2" customFormat="1" ht="12.75" x14ac:dyDescent="0.2">
      <c r="R20933" s="1288"/>
    </row>
    <row r="20934" spans="18:18" s="2" customFormat="1" ht="12.75" x14ac:dyDescent="0.2">
      <c r="R20934" s="1288"/>
    </row>
    <row r="20935" spans="18:18" s="2" customFormat="1" ht="12.75" x14ac:dyDescent="0.2">
      <c r="R20935" s="1288"/>
    </row>
    <row r="20936" spans="18:18" s="2" customFormat="1" ht="12.75" x14ac:dyDescent="0.2">
      <c r="R20936" s="1288"/>
    </row>
    <row r="20937" spans="18:18" s="2" customFormat="1" ht="12.75" x14ac:dyDescent="0.2">
      <c r="R20937" s="1288"/>
    </row>
    <row r="20938" spans="18:18" s="2" customFormat="1" ht="12.75" x14ac:dyDescent="0.2">
      <c r="R20938" s="1288"/>
    </row>
    <row r="20939" spans="18:18" s="2" customFormat="1" ht="12.75" x14ac:dyDescent="0.2">
      <c r="R20939" s="1288"/>
    </row>
    <row r="20940" spans="18:18" s="2" customFormat="1" ht="12.75" x14ac:dyDescent="0.2">
      <c r="R20940" s="1288"/>
    </row>
    <row r="20941" spans="18:18" s="2" customFormat="1" ht="12.75" x14ac:dyDescent="0.2">
      <c r="R20941" s="1288"/>
    </row>
    <row r="20942" spans="18:18" s="2" customFormat="1" ht="12.75" x14ac:dyDescent="0.2">
      <c r="R20942" s="1288"/>
    </row>
    <row r="20943" spans="18:18" s="2" customFormat="1" ht="12.75" x14ac:dyDescent="0.2">
      <c r="R20943" s="1288"/>
    </row>
    <row r="20944" spans="18:18" s="2" customFormat="1" ht="12.75" x14ac:dyDescent="0.2">
      <c r="R20944" s="1288"/>
    </row>
    <row r="20945" spans="18:18" s="2" customFormat="1" ht="12.75" x14ac:dyDescent="0.2">
      <c r="R20945" s="1288"/>
    </row>
    <row r="20946" spans="18:18" s="2" customFormat="1" ht="12.75" x14ac:dyDescent="0.2">
      <c r="R20946" s="1288"/>
    </row>
    <row r="20947" spans="18:18" s="2" customFormat="1" ht="12.75" x14ac:dyDescent="0.2">
      <c r="R20947" s="1288"/>
    </row>
    <row r="20948" spans="18:18" s="2" customFormat="1" ht="12.75" x14ac:dyDescent="0.2">
      <c r="R20948" s="1288"/>
    </row>
    <row r="20949" spans="18:18" s="2" customFormat="1" ht="12.75" x14ac:dyDescent="0.2">
      <c r="R20949" s="1288"/>
    </row>
    <row r="20950" spans="18:18" s="2" customFormat="1" ht="12.75" x14ac:dyDescent="0.2">
      <c r="R20950" s="1288"/>
    </row>
    <row r="20951" spans="18:18" s="2" customFormat="1" ht="12.75" x14ac:dyDescent="0.2">
      <c r="R20951" s="1288"/>
    </row>
    <row r="20952" spans="18:18" s="2" customFormat="1" ht="12.75" x14ac:dyDescent="0.2">
      <c r="R20952" s="1288"/>
    </row>
    <row r="20953" spans="18:18" s="2" customFormat="1" ht="12.75" x14ac:dyDescent="0.2">
      <c r="R20953" s="1288"/>
    </row>
    <row r="20954" spans="18:18" s="2" customFormat="1" ht="12.75" x14ac:dyDescent="0.2">
      <c r="R20954" s="1288"/>
    </row>
    <row r="20955" spans="18:18" s="2" customFormat="1" ht="12.75" x14ac:dyDescent="0.2">
      <c r="R20955" s="1288"/>
    </row>
    <row r="20956" spans="18:18" s="2" customFormat="1" ht="12.75" x14ac:dyDescent="0.2">
      <c r="R20956" s="1288"/>
    </row>
    <row r="20957" spans="18:18" s="2" customFormat="1" ht="12.75" x14ac:dyDescent="0.2">
      <c r="R20957" s="1288"/>
    </row>
    <row r="20958" spans="18:18" s="2" customFormat="1" ht="12.75" x14ac:dyDescent="0.2">
      <c r="R20958" s="1288"/>
    </row>
    <row r="20959" spans="18:18" s="2" customFormat="1" ht="12.75" x14ac:dyDescent="0.2">
      <c r="R20959" s="1288"/>
    </row>
    <row r="20960" spans="18:18" s="2" customFormat="1" ht="12.75" x14ac:dyDescent="0.2">
      <c r="R20960" s="1288"/>
    </row>
    <row r="20961" spans="18:18" s="2" customFormat="1" ht="12.75" x14ac:dyDescent="0.2">
      <c r="R20961" s="1288"/>
    </row>
    <row r="20962" spans="18:18" s="2" customFormat="1" ht="12.75" x14ac:dyDescent="0.2">
      <c r="R20962" s="1288"/>
    </row>
    <row r="20963" spans="18:18" s="2" customFormat="1" ht="12.75" x14ac:dyDescent="0.2">
      <c r="R20963" s="1288"/>
    </row>
    <row r="20964" spans="18:18" s="2" customFormat="1" ht="12.75" x14ac:dyDescent="0.2">
      <c r="R20964" s="1288"/>
    </row>
    <row r="20965" spans="18:18" s="2" customFormat="1" ht="12.75" x14ac:dyDescent="0.2">
      <c r="R20965" s="1288"/>
    </row>
    <row r="20966" spans="18:18" s="2" customFormat="1" ht="12.75" x14ac:dyDescent="0.2">
      <c r="R20966" s="1288"/>
    </row>
    <row r="20967" spans="18:18" s="2" customFormat="1" ht="12.75" x14ac:dyDescent="0.2">
      <c r="R20967" s="1288"/>
    </row>
    <row r="20968" spans="18:18" s="2" customFormat="1" ht="12.75" x14ac:dyDescent="0.2">
      <c r="R20968" s="1288"/>
    </row>
    <row r="20969" spans="18:18" s="2" customFormat="1" ht="12.75" x14ac:dyDescent="0.2">
      <c r="R20969" s="1288"/>
    </row>
    <row r="20970" spans="18:18" s="2" customFormat="1" ht="12.75" x14ac:dyDescent="0.2">
      <c r="R20970" s="1288"/>
    </row>
    <row r="20971" spans="18:18" s="2" customFormat="1" ht="12.75" x14ac:dyDescent="0.2">
      <c r="R20971" s="1288"/>
    </row>
    <row r="20972" spans="18:18" s="2" customFormat="1" ht="12.75" x14ac:dyDescent="0.2">
      <c r="R20972" s="1288"/>
    </row>
    <row r="20973" spans="18:18" s="2" customFormat="1" ht="12.75" x14ac:dyDescent="0.2">
      <c r="R20973" s="1288"/>
    </row>
    <row r="20974" spans="18:18" s="2" customFormat="1" ht="12.75" x14ac:dyDescent="0.2">
      <c r="R20974" s="1288"/>
    </row>
    <row r="20975" spans="18:18" s="2" customFormat="1" ht="12.75" x14ac:dyDescent="0.2">
      <c r="R20975" s="1288"/>
    </row>
    <row r="20976" spans="18:18" s="2" customFormat="1" ht="12.75" x14ac:dyDescent="0.2">
      <c r="R20976" s="1288"/>
    </row>
    <row r="20977" spans="18:18" s="2" customFormat="1" ht="12.75" x14ac:dyDescent="0.2">
      <c r="R20977" s="1288"/>
    </row>
    <row r="20978" spans="18:18" s="2" customFormat="1" ht="12.75" x14ac:dyDescent="0.2">
      <c r="R20978" s="1288"/>
    </row>
    <row r="20979" spans="18:18" s="2" customFormat="1" ht="12.75" x14ac:dyDescent="0.2">
      <c r="R20979" s="1288"/>
    </row>
    <row r="20980" spans="18:18" s="2" customFormat="1" ht="12.75" x14ac:dyDescent="0.2">
      <c r="R20980" s="1288"/>
    </row>
    <row r="20981" spans="18:18" s="2" customFormat="1" ht="12.75" x14ac:dyDescent="0.2">
      <c r="R20981" s="1288"/>
    </row>
    <row r="20982" spans="18:18" s="2" customFormat="1" ht="12.75" x14ac:dyDescent="0.2">
      <c r="R20982" s="1288"/>
    </row>
    <row r="20983" spans="18:18" s="2" customFormat="1" ht="12.75" x14ac:dyDescent="0.2">
      <c r="R20983" s="1288"/>
    </row>
    <row r="20984" spans="18:18" s="2" customFormat="1" ht="12.75" x14ac:dyDescent="0.2">
      <c r="R20984" s="1288"/>
    </row>
    <row r="20985" spans="18:18" s="2" customFormat="1" ht="12.75" x14ac:dyDescent="0.2">
      <c r="R20985" s="1288"/>
    </row>
    <row r="20986" spans="18:18" s="2" customFormat="1" ht="12.75" x14ac:dyDescent="0.2">
      <c r="R20986" s="1288"/>
    </row>
    <row r="20987" spans="18:18" s="2" customFormat="1" ht="12.75" x14ac:dyDescent="0.2">
      <c r="R20987" s="1288"/>
    </row>
    <row r="20988" spans="18:18" s="2" customFormat="1" ht="12.75" x14ac:dyDescent="0.2">
      <c r="R20988" s="1288"/>
    </row>
    <row r="20989" spans="18:18" s="2" customFormat="1" ht="12.75" x14ac:dyDescent="0.2">
      <c r="R20989" s="1288"/>
    </row>
    <row r="20990" spans="18:18" s="2" customFormat="1" ht="12.75" x14ac:dyDescent="0.2">
      <c r="R20990" s="1288"/>
    </row>
    <row r="20991" spans="18:18" s="2" customFormat="1" ht="12.75" x14ac:dyDescent="0.2">
      <c r="R20991" s="1288"/>
    </row>
    <row r="20992" spans="18:18" s="2" customFormat="1" ht="12.75" x14ac:dyDescent="0.2">
      <c r="R20992" s="1288"/>
    </row>
    <row r="20993" spans="18:18" s="2" customFormat="1" ht="12.75" x14ac:dyDescent="0.2">
      <c r="R20993" s="1288"/>
    </row>
    <row r="20994" spans="18:18" s="2" customFormat="1" ht="12.75" x14ac:dyDescent="0.2">
      <c r="R20994" s="1288"/>
    </row>
    <row r="20995" spans="18:18" s="2" customFormat="1" ht="12.75" x14ac:dyDescent="0.2">
      <c r="R20995" s="1288"/>
    </row>
    <row r="20996" spans="18:18" s="2" customFormat="1" ht="12.75" x14ac:dyDescent="0.2">
      <c r="R20996" s="1288"/>
    </row>
    <row r="20997" spans="18:18" s="2" customFormat="1" ht="12.75" x14ac:dyDescent="0.2">
      <c r="R20997" s="1288"/>
    </row>
    <row r="20998" spans="18:18" s="2" customFormat="1" ht="12.75" x14ac:dyDescent="0.2">
      <c r="R20998" s="1288"/>
    </row>
    <row r="20999" spans="18:18" s="2" customFormat="1" ht="12.75" x14ac:dyDescent="0.2">
      <c r="R20999" s="1288"/>
    </row>
    <row r="21000" spans="18:18" s="2" customFormat="1" ht="12.75" x14ac:dyDescent="0.2">
      <c r="R21000" s="1288"/>
    </row>
    <row r="21001" spans="18:18" s="2" customFormat="1" ht="12.75" x14ac:dyDescent="0.2">
      <c r="R21001" s="1288"/>
    </row>
    <row r="21002" spans="18:18" s="2" customFormat="1" ht="12.75" x14ac:dyDescent="0.2">
      <c r="R21002" s="1288"/>
    </row>
    <row r="21003" spans="18:18" s="2" customFormat="1" ht="12.75" x14ac:dyDescent="0.2">
      <c r="R21003" s="1288"/>
    </row>
    <row r="21004" spans="18:18" s="2" customFormat="1" ht="12.75" x14ac:dyDescent="0.2">
      <c r="R21004" s="1288"/>
    </row>
    <row r="21005" spans="18:18" s="2" customFormat="1" ht="12.75" x14ac:dyDescent="0.2">
      <c r="R21005" s="1288"/>
    </row>
    <row r="21006" spans="18:18" s="2" customFormat="1" ht="12.75" x14ac:dyDescent="0.2">
      <c r="R21006" s="1288"/>
    </row>
    <row r="21007" spans="18:18" s="2" customFormat="1" ht="12.75" x14ac:dyDescent="0.2">
      <c r="R21007" s="1288"/>
    </row>
    <row r="21008" spans="18:18" s="2" customFormat="1" ht="12.75" x14ac:dyDescent="0.2">
      <c r="R21008" s="1288"/>
    </row>
    <row r="21009" spans="18:18" s="2" customFormat="1" ht="12.75" x14ac:dyDescent="0.2">
      <c r="R21009" s="1288"/>
    </row>
    <row r="21010" spans="18:18" s="2" customFormat="1" ht="12.75" x14ac:dyDescent="0.2">
      <c r="R21010" s="1288"/>
    </row>
    <row r="21011" spans="18:18" s="2" customFormat="1" ht="12.75" x14ac:dyDescent="0.2">
      <c r="R21011" s="1288"/>
    </row>
    <row r="21012" spans="18:18" s="2" customFormat="1" ht="12.75" x14ac:dyDescent="0.2">
      <c r="R21012" s="1288"/>
    </row>
    <row r="21013" spans="18:18" s="2" customFormat="1" ht="12.75" x14ac:dyDescent="0.2">
      <c r="R21013" s="1288"/>
    </row>
    <row r="21014" spans="18:18" s="2" customFormat="1" ht="12.75" x14ac:dyDescent="0.2">
      <c r="R21014" s="1288"/>
    </row>
    <row r="21015" spans="18:18" s="2" customFormat="1" ht="12.75" x14ac:dyDescent="0.2">
      <c r="R21015" s="1288"/>
    </row>
    <row r="21016" spans="18:18" s="2" customFormat="1" ht="12.75" x14ac:dyDescent="0.2">
      <c r="R21016" s="1288"/>
    </row>
    <row r="21017" spans="18:18" s="2" customFormat="1" ht="12.75" x14ac:dyDescent="0.2">
      <c r="R21017" s="1288"/>
    </row>
    <row r="21018" spans="18:18" s="2" customFormat="1" ht="12.75" x14ac:dyDescent="0.2">
      <c r="R21018" s="1288"/>
    </row>
    <row r="21019" spans="18:18" s="2" customFormat="1" ht="12.75" x14ac:dyDescent="0.2">
      <c r="R21019" s="1288"/>
    </row>
    <row r="21020" spans="18:18" s="2" customFormat="1" ht="12.75" x14ac:dyDescent="0.2">
      <c r="R21020" s="1288"/>
    </row>
    <row r="21021" spans="18:18" s="2" customFormat="1" ht="12.75" x14ac:dyDescent="0.2">
      <c r="R21021" s="1288"/>
    </row>
    <row r="21022" spans="18:18" s="2" customFormat="1" ht="12.75" x14ac:dyDescent="0.2">
      <c r="R21022" s="1288"/>
    </row>
    <row r="21023" spans="18:18" s="2" customFormat="1" ht="12.75" x14ac:dyDescent="0.2">
      <c r="R21023" s="1288"/>
    </row>
    <row r="21024" spans="18:18" s="2" customFormat="1" ht="12.75" x14ac:dyDescent="0.2">
      <c r="R21024" s="1288"/>
    </row>
    <row r="21025" spans="18:18" s="2" customFormat="1" ht="12.75" x14ac:dyDescent="0.2">
      <c r="R21025" s="1288"/>
    </row>
    <row r="21026" spans="18:18" s="2" customFormat="1" ht="12.75" x14ac:dyDescent="0.2">
      <c r="R21026" s="1288"/>
    </row>
    <row r="21027" spans="18:18" s="2" customFormat="1" ht="12.75" x14ac:dyDescent="0.2">
      <c r="R21027" s="1288"/>
    </row>
    <row r="21028" spans="18:18" s="2" customFormat="1" ht="12.75" x14ac:dyDescent="0.2">
      <c r="R21028" s="1288"/>
    </row>
    <row r="21029" spans="18:18" s="2" customFormat="1" ht="12.75" x14ac:dyDescent="0.2">
      <c r="R21029" s="1288"/>
    </row>
    <row r="21030" spans="18:18" s="2" customFormat="1" ht="12.75" x14ac:dyDescent="0.2">
      <c r="R21030" s="1288"/>
    </row>
    <row r="21031" spans="18:18" s="2" customFormat="1" ht="12.75" x14ac:dyDescent="0.2">
      <c r="R21031" s="1288"/>
    </row>
    <row r="21032" spans="18:18" s="2" customFormat="1" ht="12.75" x14ac:dyDescent="0.2">
      <c r="R21032" s="1288"/>
    </row>
    <row r="21033" spans="18:18" s="2" customFormat="1" ht="12.75" x14ac:dyDescent="0.2">
      <c r="R21033" s="1288"/>
    </row>
    <row r="21034" spans="18:18" s="2" customFormat="1" ht="12.75" x14ac:dyDescent="0.2">
      <c r="R21034" s="1288"/>
    </row>
    <row r="21035" spans="18:18" s="2" customFormat="1" ht="12.75" x14ac:dyDescent="0.2">
      <c r="R21035" s="1288"/>
    </row>
    <row r="21036" spans="18:18" s="2" customFormat="1" ht="12.75" x14ac:dyDescent="0.2">
      <c r="R21036" s="1288"/>
    </row>
    <row r="21037" spans="18:18" s="2" customFormat="1" ht="12.75" x14ac:dyDescent="0.2">
      <c r="R21037" s="1288"/>
    </row>
    <row r="21038" spans="18:18" s="2" customFormat="1" ht="12.75" x14ac:dyDescent="0.2">
      <c r="R21038" s="1288"/>
    </row>
    <row r="21039" spans="18:18" s="2" customFormat="1" ht="12.75" x14ac:dyDescent="0.2">
      <c r="R21039" s="1288"/>
    </row>
    <row r="21040" spans="18:18" s="2" customFormat="1" ht="12.75" x14ac:dyDescent="0.2">
      <c r="R21040" s="1288"/>
    </row>
    <row r="21041" spans="18:18" s="2" customFormat="1" ht="12.75" x14ac:dyDescent="0.2">
      <c r="R21041" s="1288"/>
    </row>
    <row r="21042" spans="18:18" s="2" customFormat="1" ht="12.75" x14ac:dyDescent="0.2">
      <c r="R21042" s="1288"/>
    </row>
    <row r="21043" spans="18:18" s="2" customFormat="1" ht="12.75" x14ac:dyDescent="0.2">
      <c r="R21043" s="1288"/>
    </row>
    <row r="21044" spans="18:18" s="2" customFormat="1" ht="12.75" x14ac:dyDescent="0.2">
      <c r="R21044" s="1288"/>
    </row>
    <row r="21045" spans="18:18" s="2" customFormat="1" ht="12.75" x14ac:dyDescent="0.2">
      <c r="R21045" s="1288"/>
    </row>
    <row r="21046" spans="18:18" s="2" customFormat="1" ht="12.75" x14ac:dyDescent="0.2">
      <c r="R21046" s="1288"/>
    </row>
    <row r="21047" spans="18:18" s="2" customFormat="1" ht="12.75" x14ac:dyDescent="0.2">
      <c r="R21047" s="1288"/>
    </row>
    <row r="21048" spans="18:18" s="2" customFormat="1" ht="12.75" x14ac:dyDescent="0.2">
      <c r="R21048" s="1288"/>
    </row>
    <row r="21049" spans="18:18" s="2" customFormat="1" ht="12.75" x14ac:dyDescent="0.2">
      <c r="R21049" s="1288"/>
    </row>
    <row r="21050" spans="18:18" s="2" customFormat="1" ht="12.75" x14ac:dyDescent="0.2">
      <c r="R21050" s="1288"/>
    </row>
    <row r="21051" spans="18:18" s="2" customFormat="1" ht="12.75" x14ac:dyDescent="0.2">
      <c r="R21051" s="1288"/>
    </row>
    <row r="21052" spans="18:18" s="2" customFormat="1" ht="12.75" x14ac:dyDescent="0.2">
      <c r="R21052" s="1288"/>
    </row>
    <row r="21053" spans="18:18" s="2" customFormat="1" ht="12.75" x14ac:dyDescent="0.2">
      <c r="R21053" s="1288"/>
    </row>
    <row r="21054" spans="18:18" s="2" customFormat="1" ht="12.75" x14ac:dyDescent="0.2">
      <c r="R21054" s="1288"/>
    </row>
    <row r="21055" spans="18:18" s="2" customFormat="1" ht="12.75" x14ac:dyDescent="0.2">
      <c r="R21055" s="1288"/>
    </row>
    <row r="21056" spans="18:18" s="2" customFormat="1" ht="12.75" x14ac:dyDescent="0.2">
      <c r="R21056" s="1288"/>
    </row>
    <row r="21057" spans="18:18" s="2" customFormat="1" ht="12.75" x14ac:dyDescent="0.2">
      <c r="R21057" s="1288"/>
    </row>
    <row r="21058" spans="18:18" s="2" customFormat="1" ht="12.75" x14ac:dyDescent="0.2">
      <c r="R21058" s="1288"/>
    </row>
    <row r="21059" spans="18:18" s="2" customFormat="1" ht="12.75" x14ac:dyDescent="0.2">
      <c r="R21059" s="1288"/>
    </row>
    <row r="21060" spans="18:18" s="2" customFormat="1" ht="12.75" x14ac:dyDescent="0.2">
      <c r="R21060" s="1288"/>
    </row>
    <row r="21061" spans="18:18" s="2" customFormat="1" ht="12.75" x14ac:dyDescent="0.2">
      <c r="R21061" s="1288"/>
    </row>
    <row r="21062" spans="18:18" s="2" customFormat="1" ht="12.75" x14ac:dyDescent="0.2">
      <c r="R21062" s="1288"/>
    </row>
    <row r="21063" spans="18:18" s="2" customFormat="1" ht="12.75" x14ac:dyDescent="0.2">
      <c r="R21063" s="1288"/>
    </row>
    <row r="21064" spans="18:18" s="2" customFormat="1" ht="12.75" x14ac:dyDescent="0.2">
      <c r="R21064" s="1288"/>
    </row>
    <row r="21065" spans="18:18" s="2" customFormat="1" ht="12.75" x14ac:dyDescent="0.2">
      <c r="R21065" s="1288"/>
    </row>
    <row r="21066" spans="18:18" s="2" customFormat="1" ht="12.75" x14ac:dyDescent="0.2">
      <c r="R21066" s="1288"/>
    </row>
    <row r="21067" spans="18:18" s="2" customFormat="1" ht="12.75" x14ac:dyDescent="0.2">
      <c r="R21067" s="1288"/>
    </row>
    <row r="21068" spans="18:18" s="2" customFormat="1" ht="12.75" x14ac:dyDescent="0.2">
      <c r="R21068" s="1288"/>
    </row>
    <row r="21069" spans="18:18" s="2" customFormat="1" ht="12.75" x14ac:dyDescent="0.2">
      <c r="R21069" s="1288"/>
    </row>
    <row r="21070" spans="18:18" s="2" customFormat="1" ht="12.75" x14ac:dyDescent="0.2">
      <c r="R21070" s="1288"/>
    </row>
    <row r="21071" spans="18:18" s="2" customFormat="1" ht="12.75" x14ac:dyDescent="0.2">
      <c r="R21071" s="1288"/>
    </row>
    <row r="21072" spans="18:18" s="2" customFormat="1" ht="12.75" x14ac:dyDescent="0.2">
      <c r="R21072" s="1288"/>
    </row>
    <row r="21073" spans="18:18" s="2" customFormat="1" ht="12.75" x14ac:dyDescent="0.2">
      <c r="R21073" s="1288"/>
    </row>
    <row r="21074" spans="18:18" s="2" customFormat="1" ht="12.75" x14ac:dyDescent="0.2">
      <c r="R21074" s="1288"/>
    </row>
    <row r="21075" spans="18:18" s="2" customFormat="1" ht="12.75" x14ac:dyDescent="0.2">
      <c r="R21075" s="1288"/>
    </row>
    <row r="21076" spans="18:18" s="2" customFormat="1" ht="12.75" x14ac:dyDescent="0.2">
      <c r="R21076" s="1288"/>
    </row>
    <row r="21077" spans="18:18" s="2" customFormat="1" ht="12.75" x14ac:dyDescent="0.2">
      <c r="R21077" s="1288"/>
    </row>
    <row r="21078" spans="18:18" s="2" customFormat="1" ht="12.75" x14ac:dyDescent="0.2">
      <c r="R21078" s="1288"/>
    </row>
    <row r="21079" spans="18:18" s="2" customFormat="1" ht="12.75" x14ac:dyDescent="0.2">
      <c r="R21079" s="1288"/>
    </row>
    <row r="21080" spans="18:18" s="2" customFormat="1" ht="12.75" x14ac:dyDescent="0.2">
      <c r="R21080" s="1288"/>
    </row>
    <row r="21081" spans="18:18" s="2" customFormat="1" ht="12.75" x14ac:dyDescent="0.2">
      <c r="R21081" s="1288"/>
    </row>
    <row r="21082" spans="18:18" s="2" customFormat="1" ht="12.75" x14ac:dyDescent="0.2">
      <c r="R21082" s="1288"/>
    </row>
    <row r="21083" spans="18:18" s="2" customFormat="1" ht="12.75" x14ac:dyDescent="0.2">
      <c r="R21083" s="1288"/>
    </row>
    <row r="21084" spans="18:18" s="2" customFormat="1" ht="12.75" x14ac:dyDescent="0.2">
      <c r="R21084" s="1288"/>
    </row>
    <row r="21085" spans="18:18" s="2" customFormat="1" ht="12.75" x14ac:dyDescent="0.2">
      <c r="R21085" s="1288"/>
    </row>
    <row r="21086" spans="18:18" s="2" customFormat="1" ht="12.75" x14ac:dyDescent="0.2">
      <c r="R21086" s="1288"/>
    </row>
    <row r="21087" spans="18:18" s="2" customFormat="1" ht="12.75" x14ac:dyDescent="0.2">
      <c r="R21087" s="1288"/>
    </row>
    <row r="21088" spans="18:18" s="2" customFormat="1" ht="12.75" x14ac:dyDescent="0.2">
      <c r="R21088" s="1288"/>
    </row>
    <row r="21089" spans="18:18" s="2" customFormat="1" ht="12.75" x14ac:dyDescent="0.2">
      <c r="R21089" s="1288"/>
    </row>
    <row r="21090" spans="18:18" s="2" customFormat="1" ht="12.75" x14ac:dyDescent="0.2">
      <c r="R21090" s="1288"/>
    </row>
    <row r="21091" spans="18:18" s="2" customFormat="1" ht="12.75" x14ac:dyDescent="0.2">
      <c r="R21091" s="1288"/>
    </row>
    <row r="21092" spans="18:18" s="2" customFormat="1" ht="12.75" x14ac:dyDescent="0.2">
      <c r="R21092" s="1288"/>
    </row>
    <row r="21093" spans="18:18" s="2" customFormat="1" ht="12.75" x14ac:dyDescent="0.2">
      <c r="R21093" s="1288"/>
    </row>
    <row r="21094" spans="18:18" s="2" customFormat="1" ht="12.75" x14ac:dyDescent="0.2">
      <c r="R21094" s="1288"/>
    </row>
    <row r="21095" spans="18:18" s="2" customFormat="1" ht="12.75" x14ac:dyDescent="0.2">
      <c r="R21095" s="1288"/>
    </row>
    <row r="21096" spans="18:18" s="2" customFormat="1" ht="12.75" x14ac:dyDescent="0.2">
      <c r="R21096" s="1288"/>
    </row>
    <row r="21097" spans="18:18" s="2" customFormat="1" ht="12.75" x14ac:dyDescent="0.2">
      <c r="R21097" s="1288"/>
    </row>
    <row r="21098" spans="18:18" s="2" customFormat="1" ht="12.75" x14ac:dyDescent="0.2">
      <c r="R21098" s="1288"/>
    </row>
    <row r="21099" spans="18:18" s="2" customFormat="1" ht="12.75" x14ac:dyDescent="0.2">
      <c r="R21099" s="1288"/>
    </row>
    <row r="21100" spans="18:18" s="2" customFormat="1" ht="12.75" x14ac:dyDescent="0.2">
      <c r="R21100" s="1288"/>
    </row>
    <row r="21101" spans="18:18" s="2" customFormat="1" ht="12.75" x14ac:dyDescent="0.2">
      <c r="R21101" s="1288"/>
    </row>
    <row r="21102" spans="18:18" s="2" customFormat="1" ht="12.75" x14ac:dyDescent="0.2">
      <c r="R21102" s="1288"/>
    </row>
    <row r="21103" spans="18:18" s="2" customFormat="1" ht="12.75" x14ac:dyDescent="0.2">
      <c r="R21103" s="1288"/>
    </row>
    <row r="21104" spans="18:18" s="2" customFormat="1" ht="12.75" x14ac:dyDescent="0.2">
      <c r="R21104" s="1288"/>
    </row>
    <row r="21105" spans="18:18" s="2" customFormat="1" ht="12.75" x14ac:dyDescent="0.2">
      <c r="R21105" s="1288"/>
    </row>
    <row r="21106" spans="18:18" s="2" customFormat="1" ht="12.75" x14ac:dyDescent="0.2">
      <c r="R21106" s="1288"/>
    </row>
    <row r="21107" spans="18:18" s="2" customFormat="1" ht="12.75" x14ac:dyDescent="0.2">
      <c r="R21107" s="1288"/>
    </row>
    <row r="21108" spans="18:18" s="2" customFormat="1" ht="12.75" x14ac:dyDescent="0.2">
      <c r="R21108" s="1288"/>
    </row>
    <row r="21109" spans="18:18" s="2" customFormat="1" ht="12.75" x14ac:dyDescent="0.2">
      <c r="R21109" s="1288"/>
    </row>
    <row r="21110" spans="18:18" s="2" customFormat="1" ht="12.75" x14ac:dyDescent="0.2">
      <c r="R21110" s="1288"/>
    </row>
    <row r="21111" spans="18:18" s="2" customFormat="1" ht="12.75" x14ac:dyDescent="0.2">
      <c r="R21111" s="1288"/>
    </row>
    <row r="21112" spans="18:18" s="2" customFormat="1" ht="12.75" x14ac:dyDescent="0.2">
      <c r="R21112" s="1288"/>
    </row>
    <row r="21113" spans="18:18" s="2" customFormat="1" ht="12.75" x14ac:dyDescent="0.2">
      <c r="R21113" s="1288"/>
    </row>
    <row r="21114" spans="18:18" s="2" customFormat="1" ht="12.75" x14ac:dyDescent="0.2">
      <c r="R21114" s="1288"/>
    </row>
    <row r="21115" spans="18:18" s="2" customFormat="1" ht="12.75" x14ac:dyDescent="0.2">
      <c r="R21115" s="1288"/>
    </row>
    <row r="21116" spans="18:18" s="2" customFormat="1" ht="12.75" x14ac:dyDescent="0.2">
      <c r="R21116" s="1288"/>
    </row>
    <row r="21117" spans="18:18" s="2" customFormat="1" ht="12.75" x14ac:dyDescent="0.2">
      <c r="R21117" s="1288"/>
    </row>
    <row r="21118" spans="18:18" s="2" customFormat="1" ht="12.75" x14ac:dyDescent="0.2">
      <c r="R21118" s="1288"/>
    </row>
    <row r="21119" spans="18:18" s="2" customFormat="1" ht="12.75" x14ac:dyDescent="0.2">
      <c r="R21119" s="1288"/>
    </row>
    <row r="21120" spans="18:18" s="2" customFormat="1" ht="12.75" x14ac:dyDescent="0.2">
      <c r="R21120" s="1288"/>
    </row>
    <row r="21121" spans="18:18" s="2" customFormat="1" ht="12.75" x14ac:dyDescent="0.2">
      <c r="R21121" s="1288"/>
    </row>
    <row r="21122" spans="18:18" s="2" customFormat="1" ht="12.75" x14ac:dyDescent="0.2">
      <c r="R21122" s="1288"/>
    </row>
    <row r="21123" spans="18:18" s="2" customFormat="1" ht="12.75" x14ac:dyDescent="0.2">
      <c r="R21123" s="1288"/>
    </row>
    <row r="21124" spans="18:18" s="2" customFormat="1" ht="12.75" x14ac:dyDescent="0.2">
      <c r="R21124" s="1288"/>
    </row>
    <row r="21125" spans="18:18" s="2" customFormat="1" ht="12.75" x14ac:dyDescent="0.2">
      <c r="R21125" s="1288"/>
    </row>
    <row r="21126" spans="18:18" s="2" customFormat="1" ht="12.75" x14ac:dyDescent="0.2">
      <c r="R21126" s="1288"/>
    </row>
    <row r="21127" spans="18:18" s="2" customFormat="1" ht="12.75" x14ac:dyDescent="0.2">
      <c r="R21127" s="1288"/>
    </row>
    <row r="21128" spans="18:18" s="2" customFormat="1" ht="12.75" x14ac:dyDescent="0.2">
      <c r="R21128" s="1288"/>
    </row>
    <row r="21129" spans="18:18" s="2" customFormat="1" ht="12.75" x14ac:dyDescent="0.2">
      <c r="R21129" s="1288"/>
    </row>
    <row r="21130" spans="18:18" s="2" customFormat="1" ht="12.75" x14ac:dyDescent="0.2">
      <c r="R21130" s="1288"/>
    </row>
    <row r="21131" spans="18:18" s="2" customFormat="1" ht="12.75" x14ac:dyDescent="0.2">
      <c r="R21131" s="1288"/>
    </row>
    <row r="21132" spans="18:18" s="2" customFormat="1" ht="12.75" x14ac:dyDescent="0.2">
      <c r="R21132" s="1288"/>
    </row>
    <row r="21133" spans="18:18" s="2" customFormat="1" ht="12.75" x14ac:dyDescent="0.2">
      <c r="R21133" s="1288"/>
    </row>
    <row r="21134" spans="18:18" s="2" customFormat="1" ht="12.75" x14ac:dyDescent="0.2">
      <c r="R21134" s="1288"/>
    </row>
    <row r="21135" spans="18:18" s="2" customFormat="1" ht="12.75" x14ac:dyDescent="0.2">
      <c r="R21135" s="1288"/>
    </row>
    <row r="21136" spans="18:18" s="2" customFormat="1" ht="12.75" x14ac:dyDescent="0.2">
      <c r="R21136" s="1288"/>
    </row>
    <row r="21137" spans="18:18" s="2" customFormat="1" ht="12.75" x14ac:dyDescent="0.2">
      <c r="R21137" s="1288"/>
    </row>
    <row r="21138" spans="18:18" s="2" customFormat="1" ht="12.75" x14ac:dyDescent="0.2">
      <c r="R21138" s="1288"/>
    </row>
    <row r="21139" spans="18:18" s="2" customFormat="1" ht="12.75" x14ac:dyDescent="0.2">
      <c r="R21139" s="1288"/>
    </row>
    <row r="21140" spans="18:18" s="2" customFormat="1" ht="12.75" x14ac:dyDescent="0.2">
      <c r="R21140" s="1288"/>
    </row>
    <row r="21141" spans="18:18" s="2" customFormat="1" ht="12.75" x14ac:dyDescent="0.2">
      <c r="R21141" s="1288"/>
    </row>
    <row r="21142" spans="18:18" s="2" customFormat="1" ht="12.75" x14ac:dyDescent="0.2">
      <c r="R21142" s="1288"/>
    </row>
    <row r="21143" spans="18:18" s="2" customFormat="1" ht="12.75" x14ac:dyDescent="0.2">
      <c r="R21143" s="1288"/>
    </row>
    <row r="21144" spans="18:18" s="2" customFormat="1" ht="12.75" x14ac:dyDescent="0.2">
      <c r="R21144" s="1288"/>
    </row>
    <row r="21145" spans="18:18" s="2" customFormat="1" ht="12.75" x14ac:dyDescent="0.2">
      <c r="R21145" s="1288"/>
    </row>
    <row r="21146" spans="18:18" s="2" customFormat="1" ht="12.75" x14ac:dyDescent="0.2">
      <c r="R21146" s="1288"/>
    </row>
    <row r="21147" spans="18:18" s="2" customFormat="1" ht="12.75" x14ac:dyDescent="0.2">
      <c r="R21147" s="1288"/>
    </row>
    <row r="21148" spans="18:18" s="2" customFormat="1" ht="12.75" x14ac:dyDescent="0.2">
      <c r="R21148" s="1288"/>
    </row>
    <row r="21149" spans="18:18" s="2" customFormat="1" ht="12.75" x14ac:dyDescent="0.2">
      <c r="R21149" s="1288"/>
    </row>
    <row r="21150" spans="18:18" s="2" customFormat="1" ht="12.75" x14ac:dyDescent="0.2">
      <c r="R21150" s="1288"/>
    </row>
    <row r="21151" spans="18:18" s="2" customFormat="1" ht="12.75" x14ac:dyDescent="0.2">
      <c r="R21151" s="1288"/>
    </row>
    <row r="21152" spans="18:18" s="2" customFormat="1" ht="12.75" x14ac:dyDescent="0.2">
      <c r="R21152" s="1288"/>
    </row>
    <row r="21153" spans="18:18" s="2" customFormat="1" ht="12.75" x14ac:dyDescent="0.2">
      <c r="R21153" s="1288"/>
    </row>
    <row r="21154" spans="18:18" s="2" customFormat="1" ht="12.75" x14ac:dyDescent="0.2">
      <c r="R21154" s="1288"/>
    </row>
    <row r="21155" spans="18:18" s="2" customFormat="1" ht="12.75" x14ac:dyDescent="0.2">
      <c r="R21155" s="1288"/>
    </row>
    <row r="21156" spans="18:18" s="2" customFormat="1" ht="12.75" x14ac:dyDescent="0.2">
      <c r="R21156" s="1288"/>
    </row>
    <row r="21157" spans="18:18" s="2" customFormat="1" ht="12.75" x14ac:dyDescent="0.2">
      <c r="R21157" s="1288"/>
    </row>
    <row r="21158" spans="18:18" s="2" customFormat="1" ht="12.75" x14ac:dyDescent="0.2">
      <c r="R21158" s="1288"/>
    </row>
    <row r="21159" spans="18:18" s="2" customFormat="1" ht="12.75" x14ac:dyDescent="0.2">
      <c r="R21159" s="1288"/>
    </row>
    <row r="21160" spans="18:18" s="2" customFormat="1" ht="12.75" x14ac:dyDescent="0.2">
      <c r="R21160" s="1288"/>
    </row>
    <row r="21161" spans="18:18" s="2" customFormat="1" ht="12.75" x14ac:dyDescent="0.2">
      <c r="R21161" s="1288"/>
    </row>
    <row r="21162" spans="18:18" s="2" customFormat="1" ht="12.75" x14ac:dyDescent="0.2">
      <c r="R21162" s="1288"/>
    </row>
    <row r="21163" spans="18:18" s="2" customFormat="1" ht="12.75" x14ac:dyDescent="0.2">
      <c r="R21163" s="1288"/>
    </row>
    <row r="21164" spans="18:18" s="2" customFormat="1" ht="12.75" x14ac:dyDescent="0.2">
      <c r="R21164" s="1288"/>
    </row>
    <row r="21165" spans="18:18" s="2" customFormat="1" ht="12.75" x14ac:dyDescent="0.2">
      <c r="R21165" s="1288"/>
    </row>
    <row r="21166" spans="18:18" s="2" customFormat="1" ht="12.75" x14ac:dyDescent="0.2">
      <c r="R21166" s="1288"/>
    </row>
    <row r="21167" spans="18:18" s="2" customFormat="1" ht="12.75" x14ac:dyDescent="0.2">
      <c r="R21167" s="1288"/>
    </row>
    <row r="21168" spans="18:18" s="2" customFormat="1" ht="12.75" x14ac:dyDescent="0.2">
      <c r="R21168" s="1288"/>
    </row>
    <row r="21169" spans="18:18" s="2" customFormat="1" ht="12.75" x14ac:dyDescent="0.2">
      <c r="R21169" s="1288"/>
    </row>
    <row r="21170" spans="18:18" s="2" customFormat="1" ht="12.75" x14ac:dyDescent="0.2">
      <c r="R21170" s="1288"/>
    </row>
    <row r="21171" spans="18:18" s="2" customFormat="1" ht="12.75" x14ac:dyDescent="0.2">
      <c r="R21171" s="1288"/>
    </row>
    <row r="21172" spans="18:18" s="2" customFormat="1" ht="12.75" x14ac:dyDescent="0.2">
      <c r="R21172" s="1288"/>
    </row>
    <row r="21173" spans="18:18" s="2" customFormat="1" ht="12.75" x14ac:dyDescent="0.2">
      <c r="R21173" s="1288"/>
    </row>
    <row r="21174" spans="18:18" s="2" customFormat="1" ht="12.75" x14ac:dyDescent="0.2">
      <c r="R21174" s="1288"/>
    </row>
    <row r="21175" spans="18:18" s="2" customFormat="1" ht="12.75" x14ac:dyDescent="0.2">
      <c r="R21175" s="1288"/>
    </row>
    <row r="21176" spans="18:18" s="2" customFormat="1" ht="12.75" x14ac:dyDescent="0.2">
      <c r="R21176" s="1288"/>
    </row>
    <row r="21177" spans="18:18" s="2" customFormat="1" ht="12.75" x14ac:dyDescent="0.2">
      <c r="R21177" s="1288"/>
    </row>
    <row r="21178" spans="18:18" s="2" customFormat="1" ht="12.75" x14ac:dyDescent="0.2">
      <c r="R21178" s="1288"/>
    </row>
    <row r="21179" spans="18:18" s="2" customFormat="1" ht="12.75" x14ac:dyDescent="0.2">
      <c r="R21179" s="1288"/>
    </row>
    <row r="21180" spans="18:18" s="2" customFormat="1" ht="12.75" x14ac:dyDescent="0.2">
      <c r="R21180" s="1288"/>
    </row>
    <row r="21181" spans="18:18" s="2" customFormat="1" ht="12.75" x14ac:dyDescent="0.2">
      <c r="R21181" s="1288"/>
    </row>
    <row r="21182" spans="18:18" s="2" customFormat="1" ht="12.75" x14ac:dyDescent="0.2">
      <c r="R21182" s="1288"/>
    </row>
    <row r="21183" spans="18:18" s="2" customFormat="1" ht="12.75" x14ac:dyDescent="0.2">
      <c r="R21183" s="1288"/>
    </row>
    <row r="21184" spans="18:18" s="2" customFormat="1" ht="12.75" x14ac:dyDescent="0.2">
      <c r="R21184" s="1288"/>
    </row>
    <row r="21185" spans="18:18" s="2" customFormat="1" ht="12.75" x14ac:dyDescent="0.2">
      <c r="R21185" s="1288"/>
    </row>
    <row r="21186" spans="18:18" s="2" customFormat="1" ht="12.75" x14ac:dyDescent="0.2">
      <c r="R21186" s="1288"/>
    </row>
    <row r="21187" spans="18:18" s="2" customFormat="1" ht="12.75" x14ac:dyDescent="0.2">
      <c r="R21187" s="1288"/>
    </row>
    <row r="21188" spans="18:18" s="2" customFormat="1" ht="12.75" x14ac:dyDescent="0.2">
      <c r="R21188" s="1288"/>
    </row>
    <row r="21189" spans="18:18" s="2" customFormat="1" ht="12.75" x14ac:dyDescent="0.2">
      <c r="R21189" s="1288"/>
    </row>
    <row r="21190" spans="18:18" s="2" customFormat="1" ht="12.75" x14ac:dyDescent="0.2">
      <c r="R21190" s="1288"/>
    </row>
    <row r="21191" spans="18:18" s="2" customFormat="1" ht="12.75" x14ac:dyDescent="0.2">
      <c r="R21191" s="1288"/>
    </row>
    <row r="21192" spans="18:18" s="2" customFormat="1" ht="12.75" x14ac:dyDescent="0.2">
      <c r="R21192" s="1288"/>
    </row>
    <row r="21193" spans="18:18" s="2" customFormat="1" ht="12.75" x14ac:dyDescent="0.2">
      <c r="R21193" s="1288"/>
    </row>
    <row r="21194" spans="18:18" s="2" customFormat="1" ht="12.75" x14ac:dyDescent="0.2">
      <c r="R21194" s="1288"/>
    </row>
    <row r="21195" spans="18:18" s="2" customFormat="1" ht="12.75" x14ac:dyDescent="0.2">
      <c r="R21195" s="1288"/>
    </row>
    <row r="21196" spans="18:18" s="2" customFormat="1" ht="12.75" x14ac:dyDescent="0.2">
      <c r="R21196" s="1288"/>
    </row>
    <row r="21197" spans="18:18" s="2" customFormat="1" ht="12.75" x14ac:dyDescent="0.2">
      <c r="R21197" s="1288"/>
    </row>
    <row r="21198" spans="18:18" s="2" customFormat="1" ht="12.75" x14ac:dyDescent="0.2">
      <c r="R21198" s="1288"/>
    </row>
    <row r="21199" spans="18:18" s="2" customFormat="1" ht="12.75" x14ac:dyDescent="0.2">
      <c r="R21199" s="1288"/>
    </row>
    <row r="21200" spans="18:18" s="2" customFormat="1" ht="12.75" x14ac:dyDescent="0.2">
      <c r="R21200" s="1288"/>
    </row>
    <row r="21201" spans="18:18" s="2" customFormat="1" ht="12.75" x14ac:dyDescent="0.2">
      <c r="R21201" s="1288"/>
    </row>
    <row r="21202" spans="18:18" s="2" customFormat="1" ht="12.75" x14ac:dyDescent="0.2">
      <c r="R21202" s="1288"/>
    </row>
    <row r="21203" spans="18:18" s="2" customFormat="1" ht="12.75" x14ac:dyDescent="0.2">
      <c r="R21203" s="1288"/>
    </row>
    <row r="21204" spans="18:18" s="2" customFormat="1" ht="12.75" x14ac:dyDescent="0.2">
      <c r="R21204" s="1288"/>
    </row>
    <row r="21205" spans="18:18" s="2" customFormat="1" ht="12.75" x14ac:dyDescent="0.2">
      <c r="R21205" s="1288"/>
    </row>
    <row r="21206" spans="18:18" s="2" customFormat="1" ht="12.75" x14ac:dyDescent="0.2">
      <c r="R21206" s="1288"/>
    </row>
    <row r="21207" spans="18:18" s="2" customFormat="1" ht="12.75" x14ac:dyDescent="0.2">
      <c r="R21207" s="1288"/>
    </row>
    <row r="21208" spans="18:18" s="2" customFormat="1" ht="12.75" x14ac:dyDescent="0.2">
      <c r="R21208" s="1288"/>
    </row>
    <row r="21209" spans="18:18" s="2" customFormat="1" ht="12.75" x14ac:dyDescent="0.2">
      <c r="R21209" s="1288"/>
    </row>
    <row r="21210" spans="18:18" s="2" customFormat="1" ht="12.75" x14ac:dyDescent="0.2">
      <c r="R21210" s="1288"/>
    </row>
    <row r="21211" spans="18:18" s="2" customFormat="1" ht="12.75" x14ac:dyDescent="0.2">
      <c r="R21211" s="1288"/>
    </row>
    <row r="21212" spans="18:18" s="2" customFormat="1" ht="12.75" x14ac:dyDescent="0.2">
      <c r="R21212" s="1288"/>
    </row>
    <row r="21213" spans="18:18" s="2" customFormat="1" ht="12.75" x14ac:dyDescent="0.2">
      <c r="R21213" s="1288"/>
    </row>
    <row r="21214" spans="18:18" s="2" customFormat="1" ht="12.75" x14ac:dyDescent="0.2">
      <c r="R21214" s="1288"/>
    </row>
    <row r="21215" spans="18:18" s="2" customFormat="1" ht="12.75" x14ac:dyDescent="0.2">
      <c r="R21215" s="1288"/>
    </row>
    <row r="21216" spans="18:18" s="2" customFormat="1" ht="12.75" x14ac:dyDescent="0.2">
      <c r="R21216" s="1288"/>
    </row>
    <row r="21217" spans="18:18" s="2" customFormat="1" ht="12.75" x14ac:dyDescent="0.2">
      <c r="R21217" s="1288"/>
    </row>
    <row r="21218" spans="18:18" s="2" customFormat="1" ht="12.75" x14ac:dyDescent="0.2">
      <c r="R21218" s="1288"/>
    </row>
    <row r="21219" spans="18:18" s="2" customFormat="1" ht="12.75" x14ac:dyDescent="0.2">
      <c r="R21219" s="1288"/>
    </row>
    <row r="21220" spans="18:18" s="2" customFormat="1" ht="12.75" x14ac:dyDescent="0.2">
      <c r="R21220" s="1288"/>
    </row>
    <row r="21221" spans="18:18" s="2" customFormat="1" ht="12.75" x14ac:dyDescent="0.2">
      <c r="R21221" s="1288"/>
    </row>
    <row r="21222" spans="18:18" s="2" customFormat="1" ht="12.75" x14ac:dyDescent="0.2">
      <c r="R21222" s="1288"/>
    </row>
    <row r="21223" spans="18:18" s="2" customFormat="1" ht="12.75" x14ac:dyDescent="0.2">
      <c r="R21223" s="1288"/>
    </row>
    <row r="21224" spans="18:18" s="2" customFormat="1" ht="12.75" x14ac:dyDescent="0.2">
      <c r="R21224" s="1288"/>
    </row>
    <row r="21225" spans="18:18" s="2" customFormat="1" ht="12.75" x14ac:dyDescent="0.2">
      <c r="R21225" s="1288"/>
    </row>
    <row r="21226" spans="18:18" s="2" customFormat="1" ht="12.75" x14ac:dyDescent="0.2">
      <c r="R21226" s="1288"/>
    </row>
    <row r="21227" spans="18:18" s="2" customFormat="1" ht="12.75" x14ac:dyDescent="0.2">
      <c r="R21227" s="1288"/>
    </row>
    <row r="21228" spans="18:18" s="2" customFormat="1" ht="12.75" x14ac:dyDescent="0.2">
      <c r="R21228" s="1288"/>
    </row>
    <row r="21229" spans="18:18" s="2" customFormat="1" ht="12.75" x14ac:dyDescent="0.2">
      <c r="R21229" s="1288"/>
    </row>
    <row r="21230" spans="18:18" s="2" customFormat="1" ht="12.75" x14ac:dyDescent="0.2">
      <c r="R21230" s="1288"/>
    </row>
    <row r="21231" spans="18:18" s="2" customFormat="1" ht="12.75" x14ac:dyDescent="0.2">
      <c r="R21231" s="1288"/>
    </row>
    <row r="21232" spans="18:18" s="2" customFormat="1" ht="12.75" x14ac:dyDescent="0.2">
      <c r="R21232" s="1288"/>
    </row>
    <row r="21233" spans="18:18" s="2" customFormat="1" ht="12.75" x14ac:dyDescent="0.2">
      <c r="R21233" s="1288"/>
    </row>
    <row r="21234" spans="18:18" s="2" customFormat="1" ht="12.75" x14ac:dyDescent="0.2">
      <c r="R21234" s="1288"/>
    </row>
    <row r="21235" spans="18:18" s="2" customFormat="1" ht="12.75" x14ac:dyDescent="0.2">
      <c r="R21235" s="1288"/>
    </row>
    <row r="21236" spans="18:18" s="2" customFormat="1" ht="12.75" x14ac:dyDescent="0.2">
      <c r="R21236" s="1288"/>
    </row>
    <row r="21237" spans="18:18" s="2" customFormat="1" ht="12.75" x14ac:dyDescent="0.2">
      <c r="R21237" s="1288"/>
    </row>
    <row r="21238" spans="18:18" s="2" customFormat="1" ht="12.75" x14ac:dyDescent="0.2">
      <c r="R21238" s="1288"/>
    </row>
    <row r="21239" spans="18:18" s="2" customFormat="1" ht="12.75" x14ac:dyDescent="0.2">
      <c r="R21239" s="1288"/>
    </row>
    <row r="21240" spans="18:18" s="2" customFormat="1" ht="12.75" x14ac:dyDescent="0.2">
      <c r="R21240" s="1288"/>
    </row>
    <row r="21241" spans="18:18" s="2" customFormat="1" ht="12.75" x14ac:dyDescent="0.2">
      <c r="R21241" s="1288"/>
    </row>
    <row r="21242" spans="18:18" s="2" customFormat="1" ht="12.75" x14ac:dyDescent="0.2">
      <c r="R21242" s="1288"/>
    </row>
    <row r="21243" spans="18:18" s="2" customFormat="1" ht="12.75" x14ac:dyDescent="0.2">
      <c r="R21243" s="1288"/>
    </row>
    <row r="21244" spans="18:18" s="2" customFormat="1" ht="12.75" x14ac:dyDescent="0.2">
      <c r="R21244" s="1288"/>
    </row>
    <row r="21245" spans="18:18" s="2" customFormat="1" ht="12.75" x14ac:dyDescent="0.2">
      <c r="R21245" s="1288"/>
    </row>
    <row r="21246" spans="18:18" s="2" customFormat="1" ht="12.75" x14ac:dyDescent="0.2">
      <c r="R21246" s="1288"/>
    </row>
    <row r="21247" spans="18:18" s="2" customFormat="1" ht="12.75" x14ac:dyDescent="0.2">
      <c r="R21247" s="1288"/>
    </row>
    <row r="21248" spans="18:18" s="2" customFormat="1" ht="12.75" x14ac:dyDescent="0.2">
      <c r="R21248" s="1288"/>
    </row>
    <row r="21249" spans="18:18" s="2" customFormat="1" ht="12.75" x14ac:dyDescent="0.2">
      <c r="R21249" s="1288"/>
    </row>
    <row r="21250" spans="18:18" s="2" customFormat="1" ht="12.75" x14ac:dyDescent="0.2">
      <c r="R21250" s="1288"/>
    </row>
    <row r="21251" spans="18:18" s="2" customFormat="1" ht="12.75" x14ac:dyDescent="0.2">
      <c r="R21251" s="1288"/>
    </row>
    <row r="21252" spans="18:18" s="2" customFormat="1" ht="12.75" x14ac:dyDescent="0.2">
      <c r="R21252" s="1288"/>
    </row>
    <row r="21253" spans="18:18" s="2" customFormat="1" ht="12.75" x14ac:dyDescent="0.2">
      <c r="R21253" s="1288"/>
    </row>
    <row r="21254" spans="18:18" s="2" customFormat="1" ht="12.75" x14ac:dyDescent="0.2">
      <c r="R21254" s="1288"/>
    </row>
    <row r="21255" spans="18:18" s="2" customFormat="1" ht="12.75" x14ac:dyDescent="0.2">
      <c r="R21255" s="1288"/>
    </row>
    <row r="21256" spans="18:18" s="2" customFormat="1" ht="12.75" x14ac:dyDescent="0.2">
      <c r="R21256" s="1288"/>
    </row>
    <row r="21257" spans="18:18" s="2" customFormat="1" ht="12.75" x14ac:dyDescent="0.2">
      <c r="R21257" s="1288"/>
    </row>
    <row r="21258" spans="18:18" s="2" customFormat="1" ht="12.75" x14ac:dyDescent="0.2">
      <c r="R21258" s="1288"/>
    </row>
    <row r="21259" spans="18:18" s="2" customFormat="1" ht="12.75" x14ac:dyDescent="0.2">
      <c r="R21259" s="1288"/>
    </row>
    <row r="21260" spans="18:18" s="2" customFormat="1" ht="12.75" x14ac:dyDescent="0.2">
      <c r="R21260" s="1288"/>
    </row>
    <row r="21261" spans="18:18" s="2" customFormat="1" ht="12.75" x14ac:dyDescent="0.2">
      <c r="R21261" s="1288"/>
    </row>
    <row r="21262" spans="18:18" s="2" customFormat="1" ht="12.75" x14ac:dyDescent="0.2">
      <c r="R21262" s="1288"/>
    </row>
    <row r="21263" spans="18:18" s="2" customFormat="1" ht="12.75" x14ac:dyDescent="0.2">
      <c r="R21263" s="1288"/>
    </row>
    <row r="21264" spans="18:18" s="2" customFormat="1" ht="12.75" x14ac:dyDescent="0.2">
      <c r="R21264" s="1288"/>
    </row>
    <row r="21265" spans="18:18" s="2" customFormat="1" ht="12.75" x14ac:dyDescent="0.2">
      <c r="R21265" s="1288"/>
    </row>
    <row r="21266" spans="18:18" s="2" customFormat="1" ht="12.75" x14ac:dyDescent="0.2">
      <c r="R21266" s="1288"/>
    </row>
    <row r="21267" spans="18:18" s="2" customFormat="1" ht="12.75" x14ac:dyDescent="0.2">
      <c r="R21267" s="1288"/>
    </row>
    <row r="21268" spans="18:18" s="2" customFormat="1" ht="12.75" x14ac:dyDescent="0.2">
      <c r="R21268" s="1288"/>
    </row>
    <row r="21269" spans="18:18" s="2" customFormat="1" ht="12.75" x14ac:dyDescent="0.2">
      <c r="R21269" s="1288"/>
    </row>
    <row r="21270" spans="18:18" s="2" customFormat="1" ht="12.75" x14ac:dyDescent="0.2">
      <c r="R21270" s="1288"/>
    </row>
    <row r="21271" spans="18:18" s="2" customFormat="1" ht="12.75" x14ac:dyDescent="0.2">
      <c r="R21271" s="1288"/>
    </row>
    <row r="21272" spans="18:18" s="2" customFormat="1" ht="12.75" x14ac:dyDescent="0.2">
      <c r="R21272" s="1288"/>
    </row>
    <row r="21273" spans="18:18" s="2" customFormat="1" ht="12.75" x14ac:dyDescent="0.2">
      <c r="R21273" s="1288"/>
    </row>
    <row r="21274" spans="18:18" s="2" customFormat="1" ht="12.75" x14ac:dyDescent="0.2">
      <c r="R21274" s="1288"/>
    </row>
    <row r="21275" spans="18:18" s="2" customFormat="1" ht="12.75" x14ac:dyDescent="0.2">
      <c r="R21275" s="1288"/>
    </row>
    <row r="21276" spans="18:18" s="2" customFormat="1" ht="12.75" x14ac:dyDescent="0.2">
      <c r="R21276" s="1288"/>
    </row>
    <row r="21277" spans="18:18" s="2" customFormat="1" ht="12.75" x14ac:dyDescent="0.2">
      <c r="R21277" s="1288"/>
    </row>
    <row r="21278" spans="18:18" s="2" customFormat="1" ht="12.75" x14ac:dyDescent="0.2">
      <c r="R21278" s="1288"/>
    </row>
    <row r="21279" spans="18:18" s="2" customFormat="1" ht="12.75" x14ac:dyDescent="0.2">
      <c r="R21279" s="1288"/>
    </row>
    <row r="21280" spans="18:18" s="2" customFormat="1" ht="12.75" x14ac:dyDescent="0.2">
      <c r="R21280" s="1288"/>
    </row>
    <row r="21281" spans="18:18" s="2" customFormat="1" ht="12.75" x14ac:dyDescent="0.2">
      <c r="R21281" s="1288"/>
    </row>
    <row r="21282" spans="18:18" s="2" customFormat="1" ht="12.75" x14ac:dyDescent="0.2">
      <c r="R21282" s="1288"/>
    </row>
    <row r="21283" spans="18:18" s="2" customFormat="1" ht="12.75" x14ac:dyDescent="0.2">
      <c r="R21283" s="1288"/>
    </row>
    <row r="21284" spans="18:18" s="2" customFormat="1" ht="12.75" x14ac:dyDescent="0.2">
      <c r="R21284" s="1288"/>
    </row>
    <row r="21285" spans="18:18" s="2" customFormat="1" ht="12.75" x14ac:dyDescent="0.2">
      <c r="R21285" s="1288"/>
    </row>
    <row r="21286" spans="18:18" s="2" customFormat="1" ht="12.75" x14ac:dyDescent="0.2">
      <c r="R21286" s="1288"/>
    </row>
    <row r="21287" spans="18:18" s="2" customFormat="1" ht="12.75" x14ac:dyDescent="0.2">
      <c r="R21287" s="1288"/>
    </row>
    <row r="21288" spans="18:18" s="2" customFormat="1" ht="12.75" x14ac:dyDescent="0.2">
      <c r="R21288" s="1288"/>
    </row>
    <row r="21289" spans="18:18" s="2" customFormat="1" ht="12.75" x14ac:dyDescent="0.2">
      <c r="R21289" s="1288"/>
    </row>
    <row r="21290" spans="18:18" s="2" customFormat="1" ht="12.75" x14ac:dyDescent="0.2">
      <c r="R21290" s="1288"/>
    </row>
    <row r="21291" spans="18:18" s="2" customFormat="1" ht="12.75" x14ac:dyDescent="0.2">
      <c r="R21291" s="1288"/>
    </row>
    <row r="21292" spans="18:18" s="2" customFormat="1" ht="12.75" x14ac:dyDescent="0.2">
      <c r="R21292" s="1288"/>
    </row>
    <row r="21293" spans="18:18" s="2" customFormat="1" ht="12.75" x14ac:dyDescent="0.2">
      <c r="R21293" s="1288"/>
    </row>
    <row r="21294" spans="18:18" s="2" customFormat="1" ht="12.75" x14ac:dyDescent="0.2">
      <c r="R21294" s="1288"/>
    </row>
    <row r="21295" spans="18:18" s="2" customFormat="1" ht="12.75" x14ac:dyDescent="0.2">
      <c r="R21295" s="1288"/>
    </row>
    <row r="21296" spans="18:18" s="2" customFormat="1" ht="12.75" x14ac:dyDescent="0.2">
      <c r="R21296" s="1288"/>
    </row>
    <row r="21297" spans="18:18" s="2" customFormat="1" ht="12.75" x14ac:dyDescent="0.2">
      <c r="R21297" s="1288"/>
    </row>
    <row r="21298" spans="18:18" s="2" customFormat="1" ht="12.75" x14ac:dyDescent="0.2">
      <c r="R21298" s="1288"/>
    </row>
    <row r="21299" spans="18:18" s="2" customFormat="1" ht="12.75" x14ac:dyDescent="0.2">
      <c r="R21299" s="1288"/>
    </row>
    <row r="21300" spans="18:18" s="2" customFormat="1" ht="12.75" x14ac:dyDescent="0.2">
      <c r="R21300" s="1288"/>
    </row>
    <row r="21301" spans="18:18" s="2" customFormat="1" ht="12.75" x14ac:dyDescent="0.2">
      <c r="R21301" s="1288"/>
    </row>
    <row r="21302" spans="18:18" s="2" customFormat="1" ht="12.75" x14ac:dyDescent="0.2">
      <c r="R21302" s="1288"/>
    </row>
    <row r="21303" spans="18:18" s="2" customFormat="1" ht="12.75" x14ac:dyDescent="0.2">
      <c r="R21303" s="1288"/>
    </row>
    <row r="21304" spans="18:18" s="2" customFormat="1" ht="12.75" x14ac:dyDescent="0.2">
      <c r="R21304" s="1288"/>
    </row>
    <row r="21305" spans="18:18" s="2" customFormat="1" ht="12.75" x14ac:dyDescent="0.2">
      <c r="R21305" s="1288"/>
    </row>
    <row r="21306" spans="18:18" s="2" customFormat="1" ht="12.75" x14ac:dyDescent="0.2">
      <c r="R21306" s="1288"/>
    </row>
    <row r="21307" spans="18:18" s="2" customFormat="1" ht="12.75" x14ac:dyDescent="0.2">
      <c r="R21307" s="1288"/>
    </row>
    <row r="21308" spans="18:18" s="2" customFormat="1" ht="12.75" x14ac:dyDescent="0.2">
      <c r="R21308" s="1288"/>
    </row>
    <row r="21309" spans="18:18" s="2" customFormat="1" ht="12.75" x14ac:dyDescent="0.2">
      <c r="R21309" s="1288"/>
    </row>
    <row r="21310" spans="18:18" s="2" customFormat="1" ht="12.75" x14ac:dyDescent="0.2">
      <c r="R21310" s="1288"/>
    </row>
    <row r="21311" spans="18:18" s="2" customFormat="1" ht="12.75" x14ac:dyDescent="0.2">
      <c r="R21311" s="1288"/>
    </row>
    <row r="21312" spans="18:18" s="2" customFormat="1" ht="12.75" x14ac:dyDescent="0.2">
      <c r="R21312" s="1288"/>
    </row>
    <row r="21313" spans="18:18" s="2" customFormat="1" ht="12.75" x14ac:dyDescent="0.2">
      <c r="R21313" s="1288"/>
    </row>
    <row r="21314" spans="18:18" s="2" customFormat="1" ht="12.75" x14ac:dyDescent="0.2">
      <c r="R21314" s="1288"/>
    </row>
    <row r="21315" spans="18:18" s="2" customFormat="1" ht="12.75" x14ac:dyDescent="0.2">
      <c r="R21315" s="1288"/>
    </row>
    <row r="21316" spans="18:18" s="2" customFormat="1" ht="12.75" x14ac:dyDescent="0.2">
      <c r="R21316" s="1288"/>
    </row>
    <row r="21317" spans="18:18" s="2" customFormat="1" ht="12.75" x14ac:dyDescent="0.2">
      <c r="R21317" s="1288"/>
    </row>
    <row r="21318" spans="18:18" s="2" customFormat="1" ht="12.75" x14ac:dyDescent="0.2">
      <c r="R21318" s="1288"/>
    </row>
    <row r="21319" spans="18:18" s="2" customFormat="1" ht="12.75" x14ac:dyDescent="0.2">
      <c r="R21319" s="1288"/>
    </row>
    <row r="21320" spans="18:18" s="2" customFormat="1" ht="12.75" x14ac:dyDescent="0.2">
      <c r="R21320" s="1288"/>
    </row>
    <row r="21321" spans="18:18" s="2" customFormat="1" ht="12.75" x14ac:dyDescent="0.2">
      <c r="R21321" s="1288"/>
    </row>
    <row r="21322" spans="18:18" s="2" customFormat="1" ht="12.75" x14ac:dyDescent="0.2">
      <c r="R21322" s="1288"/>
    </row>
    <row r="21323" spans="18:18" s="2" customFormat="1" ht="12.75" x14ac:dyDescent="0.2">
      <c r="R21323" s="1288"/>
    </row>
    <row r="21324" spans="18:18" s="2" customFormat="1" ht="12.75" x14ac:dyDescent="0.2">
      <c r="R21324" s="1288"/>
    </row>
    <row r="21325" spans="18:18" s="2" customFormat="1" ht="12.75" x14ac:dyDescent="0.2">
      <c r="R21325" s="1288"/>
    </row>
    <row r="21326" spans="18:18" s="2" customFormat="1" ht="12.75" x14ac:dyDescent="0.2">
      <c r="R21326" s="1288"/>
    </row>
    <row r="21327" spans="18:18" s="2" customFormat="1" ht="12.75" x14ac:dyDescent="0.2">
      <c r="R21327" s="1288"/>
    </row>
    <row r="21328" spans="18:18" s="2" customFormat="1" ht="12.75" x14ac:dyDescent="0.2">
      <c r="R21328" s="1288"/>
    </row>
    <row r="21329" spans="18:18" s="2" customFormat="1" ht="12.75" x14ac:dyDescent="0.2">
      <c r="R21329" s="1288"/>
    </row>
    <row r="21330" spans="18:18" s="2" customFormat="1" ht="12.75" x14ac:dyDescent="0.2">
      <c r="R21330" s="1288"/>
    </row>
    <row r="21331" spans="18:18" s="2" customFormat="1" ht="12.75" x14ac:dyDescent="0.2">
      <c r="R21331" s="1288"/>
    </row>
    <row r="21332" spans="18:18" s="2" customFormat="1" ht="12.75" x14ac:dyDescent="0.2">
      <c r="R21332" s="1288"/>
    </row>
    <row r="21333" spans="18:18" s="2" customFormat="1" ht="12.75" x14ac:dyDescent="0.2">
      <c r="R21333" s="1288"/>
    </row>
    <row r="21334" spans="18:18" s="2" customFormat="1" ht="12.75" x14ac:dyDescent="0.2">
      <c r="R21334" s="1288"/>
    </row>
    <row r="21335" spans="18:18" s="2" customFormat="1" ht="12.75" x14ac:dyDescent="0.2">
      <c r="R21335" s="1288"/>
    </row>
    <row r="21336" spans="18:18" s="2" customFormat="1" ht="12.75" x14ac:dyDescent="0.2">
      <c r="R21336" s="1288"/>
    </row>
    <row r="21337" spans="18:18" s="2" customFormat="1" ht="12.75" x14ac:dyDescent="0.2">
      <c r="R21337" s="1288"/>
    </row>
    <row r="21338" spans="18:18" s="2" customFormat="1" ht="12.75" x14ac:dyDescent="0.2">
      <c r="R21338" s="1288"/>
    </row>
    <row r="21339" spans="18:18" s="2" customFormat="1" ht="12.75" x14ac:dyDescent="0.2">
      <c r="R21339" s="1288"/>
    </row>
    <row r="21340" spans="18:18" s="2" customFormat="1" ht="12.75" x14ac:dyDescent="0.2">
      <c r="R21340" s="1288"/>
    </row>
    <row r="21341" spans="18:18" s="2" customFormat="1" ht="12.75" x14ac:dyDescent="0.2">
      <c r="R21341" s="1288"/>
    </row>
    <row r="21342" spans="18:18" s="2" customFormat="1" ht="12.75" x14ac:dyDescent="0.2">
      <c r="R21342" s="1288"/>
    </row>
    <row r="21343" spans="18:18" s="2" customFormat="1" ht="12.75" x14ac:dyDescent="0.2">
      <c r="R21343" s="1288"/>
    </row>
    <row r="21344" spans="18:18" s="2" customFormat="1" ht="12.75" x14ac:dyDescent="0.2">
      <c r="R21344" s="1288"/>
    </row>
    <row r="21345" spans="18:18" s="2" customFormat="1" ht="12.75" x14ac:dyDescent="0.2">
      <c r="R21345" s="1288"/>
    </row>
    <row r="21346" spans="18:18" s="2" customFormat="1" ht="12.75" x14ac:dyDescent="0.2">
      <c r="R21346" s="1288"/>
    </row>
    <row r="21347" spans="18:18" s="2" customFormat="1" ht="12.75" x14ac:dyDescent="0.2">
      <c r="R21347" s="1288"/>
    </row>
    <row r="21348" spans="18:18" s="2" customFormat="1" ht="12.75" x14ac:dyDescent="0.2">
      <c r="R21348" s="1288"/>
    </row>
    <row r="21349" spans="18:18" s="2" customFormat="1" ht="12.75" x14ac:dyDescent="0.2">
      <c r="R21349" s="1288"/>
    </row>
    <row r="21350" spans="18:18" s="2" customFormat="1" ht="12.75" x14ac:dyDescent="0.2">
      <c r="R21350" s="1288"/>
    </row>
    <row r="21351" spans="18:18" s="2" customFormat="1" ht="12.75" x14ac:dyDescent="0.2">
      <c r="R21351" s="1288"/>
    </row>
    <row r="21352" spans="18:18" s="2" customFormat="1" ht="12.75" x14ac:dyDescent="0.2">
      <c r="R21352" s="1288"/>
    </row>
    <row r="21353" spans="18:18" s="2" customFormat="1" ht="12.75" x14ac:dyDescent="0.2">
      <c r="R21353" s="1288"/>
    </row>
    <row r="21354" spans="18:18" s="2" customFormat="1" ht="12.75" x14ac:dyDescent="0.2">
      <c r="R21354" s="1288"/>
    </row>
    <row r="21355" spans="18:18" s="2" customFormat="1" ht="12.75" x14ac:dyDescent="0.2">
      <c r="R21355" s="1288"/>
    </row>
    <row r="21356" spans="18:18" s="2" customFormat="1" ht="12.75" x14ac:dyDescent="0.2">
      <c r="R21356" s="1288"/>
    </row>
    <row r="21357" spans="18:18" s="2" customFormat="1" ht="12.75" x14ac:dyDescent="0.2">
      <c r="R21357" s="1288"/>
    </row>
    <row r="21358" spans="18:18" s="2" customFormat="1" ht="12.75" x14ac:dyDescent="0.2">
      <c r="R21358" s="1288"/>
    </row>
    <row r="21359" spans="18:18" s="2" customFormat="1" ht="12.75" x14ac:dyDescent="0.2">
      <c r="R21359" s="1288"/>
    </row>
    <row r="21360" spans="18:18" s="2" customFormat="1" ht="12.75" x14ac:dyDescent="0.2">
      <c r="R21360" s="1288"/>
    </row>
    <row r="21361" spans="18:18" s="2" customFormat="1" ht="12.75" x14ac:dyDescent="0.2">
      <c r="R21361" s="1288"/>
    </row>
    <row r="21362" spans="18:18" s="2" customFormat="1" ht="12.75" x14ac:dyDescent="0.2">
      <c r="R21362" s="1288"/>
    </row>
    <row r="21363" spans="18:18" s="2" customFormat="1" ht="12.75" x14ac:dyDescent="0.2">
      <c r="R21363" s="1288"/>
    </row>
    <row r="21364" spans="18:18" s="2" customFormat="1" ht="12.75" x14ac:dyDescent="0.2">
      <c r="R21364" s="1288"/>
    </row>
    <row r="21365" spans="18:18" s="2" customFormat="1" ht="12.75" x14ac:dyDescent="0.2">
      <c r="R21365" s="1288"/>
    </row>
    <row r="21366" spans="18:18" s="2" customFormat="1" ht="12.75" x14ac:dyDescent="0.2">
      <c r="R21366" s="1288"/>
    </row>
    <row r="21367" spans="18:18" s="2" customFormat="1" ht="12.75" x14ac:dyDescent="0.2">
      <c r="R21367" s="1288"/>
    </row>
    <row r="21368" spans="18:18" s="2" customFormat="1" ht="12.75" x14ac:dyDescent="0.2">
      <c r="R21368" s="1288"/>
    </row>
    <row r="21369" spans="18:18" s="2" customFormat="1" ht="12.75" x14ac:dyDescent="0.2">
      <c r="R21369" s="1288"/>
    </row>
    <row r="21370" spans="18:18" s="2" customFormat="1" ht="12.75" x14ac:dyDescent="0.2">
      <c r="R21370" s="1288"/>
    </row>
    <row r="21371" spans="18:18" s="2" customFormat="1" ht="12.75" x14ac:dyDescent="0.2">
      <c r="R21371" s="1288"/>
    </row>
    <row r="21372" spans="18:18" s="2" customFormat="1" ht="12.75" x14ac:dyDescent="0.2">
      <c r="R21372" s="1288"/>
    </row>
    <row r="21373" spans="18:18" s="2" customFormat="1" ht="12.75" x14ac:dyDescent="0.2">
      <c r="R21373" s="1288"/>
    </row>
    <row r="21374" spans="18:18" s="2" customFormat="1" ht="12.75" x14ac:dyDescent="0.2">
      <c r="R21374" s="1288"/>
    </row>
    <row r="21375" spans="18:18" s="2" customFormat="1" ht="12.75" x14ac:dyDescent="0.2">
      <c r="R21375" s="1288"/>
    </row>
    <row r="21376" spans="18:18" s="2" customFormat="1" ht="12.75" x14ac:dyDescent="0.2">
      <c r="R21376" s="1288"/>
    </row>
    <row r="21377" spans="18:18" s="2" customFormat="1" ht="12.75" x14ac:dyDescent="0.2">
      <c r="R21377" s="1288"/>
    </row>
    <row r="21378" spans="18:18" s="2" customFormat="1" ht="12.75" x14ac:dyDescent="0.2">
      <c r="R21378" s="1288"/>
    </row>
    <row r="21379" spans="18:18" s="2" customFormat="1" ht="12.75" x14ac:dyDescent="0.2">
      <c r="R21379" s="1288"/>
    </row>
    <row r="21380" spans="18:18" s="2" customFormat="1" ht="12.75" x14ac:dyDescent="0.2">
      <c r="R21380" s="1288"/>
    </row>
    <row r="21381" spans="18:18" s="2" customFormat="1" ht="12.75" x14ac:dyDescent="0.2">
      <c r="R21381" s="1288"/>
    </row>
    <row r="21382" spans="18:18" s="2" customFormat="1" ht="12.75" x14ac:dyDescent="0.2">
      <c r="R21382" s="1288"/>
    </row>
    <row r="21383" spans="18:18" s="2" customFormat="1" ht="12.75" x14ac:dyDescent="0.2">
      <c r="R21383" s="1288"/>
    </row>
    <row r="21384" spans="18:18" s="2" customFormat="1" ht="12.75" x14ac:dyDescent="0.2">
      <c r="R21384" s="1288"/>
    </row>
    <row r="21385" spans="18:18" s="2" customFormat="1" ht="12.75" x14ac:dyDescent="0.2">
      <c r="R21385" s="1288"/>
    </row>
    <row r="21386" spans="18:18" s="2" customFormat="1" ht="12.75" x14ac:dyDescent="0.2">
      <c r="R21386" s="1288"/>
    </row>
    <row r="21387" spans="18:18" s="2" customFormat="1" ht="12.75" x14ac:dyDescent="0.2">
      <c r="R21387" s="1288"/>
    </row>
    <row r="21388" spans="18:18" s="2" customFormat="1" ht="12.75" x14ac:dyDescent="0.2">
      <c r="R21388" s="1288"/>
    </row>
    <row r="21389" spans="18:18" s="2" customFormat="1" ht="12.75" x14ac:dyDescent="0.2">
      <c r="R21389" s="1288"/>
    </row>
    <row r="21390" spans="18:18" s="2" customFormat="1" ht="12.75" x14ac:dyDescent="0.2">
      <c r="R21390" s="1288"/>
    </row>
    <row r="21391" spans="18:18" s="2" customFormat="1" ht="12.75" x14ac:dyDescent="0.2">
      <c r="R21391" s="1288"/>
    </row>
    <row r="21392" spans="18:18" s="2" customFormat="1" ht="12.75" x14ac:dyDescent="0.2">
      <c r="R21392" s="1288"/>
    </row>
    <row r="21393" spans="18:18" s="2" customFormat="1" ht="12.75" x14ac:dyDescent="0.2">
      <c r="R21393" s="1288"/>
    </row>
    <row r="21394" spans="18:18" s="2" customFormat="1" ht="12.75" x14ac:dyDescent="0.2">
      <c r="R21394" s="1288"/>
    </row>
    <row r="21395" spans="18:18" s="2" customFormat="1" ht="12.75" x14ac:dyDescent="0.2">
      <c r="R21395" s="1288"/>
    </row>
    <row r="21396" spans="18:18" s="2" customFormat="1" ht="12.75" x14ac:dyDescent="0.2">
      <c r="R21396" s="1288"/>
    </row>
    <row r="21397" spans="18:18" s="2" customFormat="1" ht="12.75" x14ac:dyDescent="0.2">
      <c r="R21397" s="1288"/>
    </row>
    <row r="21398" spans="18:18" s="2" customFormat="1" ht="12.75" x14ac:dyDescent="0.2">
      <c r="R21398" s="1288"/>
    </row>
    <row r="21399" spans="18:18" s="2" customFormat="1" ht="12.75" x14ac:dyDescent="0.2">
      <c r="R21399" s="1288"/>
    </row>
    <row r="21400" spans="18:18" s="2" customFormat="1" ht="12.75" x14ac:dyDescent="0.2">
      <c r="R21400" s="1288"/>
    </row>
    <row r="21401" spans="18:18" s="2" customFormat="1" ht="12.75" x14ac:dyDescent="0.2">
      <c r="R21401" s="1288"/>
    </row>
    <row r="21402" spans="18:18" s="2" customFormat="1" ht="12.75" x14ac:dyDescent="0.2">
      <c r="R21402" s="1288"/>
    </row>
    <row r="21403" spans="18:18" s="2" customFormat="1" ht="12.75" x14ac:dyDescent="0.2">
      <c r="R21403" s="1288"/>
    </row>
    <row r="21404" spans="18:18" s="2" customFormat="1" ht="12.75" x14ac:dyDescent="0.2">
      <c r="R21404" s="1288"/>
    </row>
    <row r="21405" spans="18:18" s="2" customFormat="1" ht="12.75" x14ac:dyDescent="0.2">
      <c r="R21405" s="1288"/>
    </row>
    <row r="21406" spans="18:18" s="2" customFormat="1" ht="12.75" x14ac:dyDescent="0.2">
      <c r="R21406" s="1288"/>
    </row>
    <row r="21407" spans="18:18" s="2" customFormat="1" ht="12.75" x14ac:dyDescent="0.2">
      <c r="R21407" s="1288"/>
    </row>
    <row r="21408" spans="18:18" s="2" customFormat="1" ht="12.75" x14ac:dyDescent="0.2">
      <c r="R21408" s="1288"/>
    </row>
    <row r="21409" spans="18:18" s="2" customFormat="1" ht="12.75" x14ac:dyDescent="0.2">
      <c r="R21409" s="1288"/>
    </row>
    <row r="21410" spans="18:18" s="2" customFormat="1" ht="12.75" x14ac:dyDescent="0.2">
      <c r="R21410" s="1288"/>
    </row>
    <row r="21411" spans="18:18" s="2" customFormat="1" ht="12.75" x14ac:dyDescent="0.2">
      <c r="R21411" s="1288"/>
    </row>
    <row r="21412" spans="18:18" s="2" customFormat="1" ht="12.75" x14ac:dyDescent="0.2">
      <c r="R21412" s="1288"/>
    </row>
    <row r="21413" spans="18:18" s="2" customFormat="1" ht="12.75" x14ac:dyDescent="0.2">
      <c r="R21413" s="1288"/>
    </row>
    <row r="21414" spans="18:18" s="2" customFormat="1" ht="12.75" x14ac:dyDescent="0.2">
      <c r="R21414" s="1288"/>
    </row>
    <row r="21415" spans="18:18" s="2" customFormat="1" ht="12.75" x14ac:dyDescent="0.2">
      <c r="R21415" s="1288"/>
    </row>
    <row r="21416" spans="18:18" s="2" customFormat="1" ht="12.75" x14ac:dyDescent="0.2">
      <c r="R21416" s="1288"/>
    </row>
    <row r="21417" spans="18:18" s="2" customFormat="1" ht="12.75" x14ac:dyDescent="0.2">
      <c r="R21417" s="1288"/>
    </row>
    <row r="21418" spans="18:18" s="2" customFormat="1" ht="12.75" x14ac:dyDescent="0.2">
      <c r="R21418" s="1288"/>
    </row>
    <row r="21419" spans="18:18" s="2" customFormat="1" ht="12.75" x14ac:dyDescent="0.2">
      <c r="R21419" s="1288"/>
    </row>
    <row r="21420" spans="18:18" s="2" customFormat="1" ht="12.75" x14ac:dyDescent="0.2">
      <c r="R21420" s="1288"/>
    </row>
    <row r="21421" spans="18:18" s="2" customFormat="1" ht="12.75" x14ac:dyDescent="0.2">
      <c r="R21421" s="1288"/>
    </row>
    <row r="21422" spans="18:18" s="2" customFormat="1" ht="12.75" x14ac:dyDescent="0.2">
      <c r="R21422" s="1288"/>
    </row>
    <row r="21423" spans="18:18" s="2" customFormat="1" ht="12.75" x14ac:dyDescent="0.2">
      <c r="R21423" s="1288"/>
    </row>
    <row r="21424" spans="18:18" s="2" customFormat="1" ht="12.75" x14ac:dyDescent="0.2">
      <c r="R21424" s="1288"/>
    </row>
    <row r="21425" spans="18:18" s="2" customFormat="1" ht="12.75" x14ac:dyDescent="0.2">
      <c r="R21425" s="1288"/>
    </row>
    <row r="21426" spans="18:18" s="2" customFormat="1" ht="12.75" x14ac:dyDescent="0.2">
      <c r="R21426" s="1288"/>
    </row>
    <row r="21427" spans="18:18" s="2" customFormat="1" ht="12.75" x14ac:dyDescent="0.2">
      <c r="R21427" s="1288"/>
    </row>
    <row r="21428" spans="18:18" s="2" customFormat="1" ht="12.75" x14ac:dyDescent="0.2">
      <c r="R21428" s="1288"/>
    </row>
    <row r="21429" spans="18:18" s="2" customFormat="1" ht="12.75" x14ac:dyDescent="0.2">
      <c r="R21429" s="1288"/>
    </row>
    <row r="21430" spans="18:18" s="2" customFormat="1" ht="12.75" x14ac:dyDescent="0.2">
      <c r="R21430" s="1288"/>
    </row>
    <row r="21431" spans="18:18" s="2" customFormat="1" ht="12.75" x14ac:dyDescent="0.2">
      <c r="R21431" s="1288"/>
    </row>
    <row r="21432" spans="18:18" s="2" customFormat="1" ht="12.75" x14ac:dyDescent="0.2">
      <c r="R21432" s="1288"/>
    </row>
    <row r="21433" spans="18:18" s="2" customFormat="1" ht="12.75" x14ac:dyDescent="0.2">
      <c r="R21433" s="1288"/>
    </row>
    <row r="21434" spans="18:18" s="2" customFormat="1" ht="12.75" x14ac:dyDescent="0.2">
      <c r="R21434" s="1288"/>
    </row>
    <row r="21435" spans="18:18" s="2" customFormat="1" ht="12.75" x14ac:dyDescent="0.2">
      <c r="R21435" s="1288"/>
    </row>
    <row r="21436" spans="18:18" s="2" customFormat="1" ht="12.75" x14ac:dyDescent="0.2">
      <c r="R21436" s="1288"/>
    </row>
    <row r="21437" spans="18:18" s="2" customFormat="1" ht="12.75" x14ac:dyDescent="0.2">
      <c r="R21437" s="1288"/>
    </row>
    <row r="21438" spans="18:18" s="2" customFormat="1" ht="12.75" x14ac:dyDescent="0.2">
      <c r="R21438" s="1288"/>
    </row>
    <row r="21439" spans="18:18" s="2" customFormat="1" ht="12.75" x14ac:dyDescent="0.2">
      <c r="R21439" s="1288"/>
    </row>
    <row r="21440" spans="18:18" s="2" customFormat="1" ht="12.75" x14ac:dyDescent="0.2">
      <c r="R21440" s="1288"/>
    </row>
    <row r="21441" spans="18:18" s="2" customFormat="1" ht="12.75" x14ac:dyDescent="0.2">
      <c r="R21441" s="1288"/>
    </row>
    <row r="21442" spans="18:18" s="2" customFormat="1" ht="12.75" x14ac:dyDescent="0.2">
      <c r="R21442" s="1288"/>
    </row>
    <row r="21443" spans="18:18" s="2" customFormat="1" ht="12.75" x14ac:dyDescent="0.2">
      <c r="R21443" s="1288"/>
    </row>
    <row r="21444" spans="18:18" s="2" customFormat="1" ht="12.75" x14ac:dyDescent="0.2">
      <c r="R21444" s="1288"/>
    </row>
    <row r="21445" spans="18:18" s="2" customFormat="1" ht="12.75" x14ac:dyDescent="0.2">
      <c r="R21445" s="1288"/>
    </row>
    <row r="21446" spans="18:18" s="2" customFormat="1" ht="12.75" x14ac:dyDescent="0.2">
      <c r="R21446" s="1288"/>
    </row>
    <row r="21447" spans="18:18" s="2" customFormat="1" ht="12.75" x14ac:dyDescent="0.2">
      <c r="R21447" s="1288"/>
    </row>
    <row r="21448" spans="18:18" s="2" customFormat="1" ht="12.75" x14ac:dyDescent="0.2">
      <c r="R21448" s="1288"/>
    </row>
    <row r="21449" spans="18:18" s="2" customFormat="1" ht="12.75" x14ac:dyDescent="0.2">
      <c r="R21449" s="1288"/>
    </row>
    <row r="21450" spans="18:18" s="2" customFormat="1" ht="12.75" x14ac:dyDescent="0.2">
      <c r="R21450" s="1288"/>
    </row>
    <row r="21451" spans="18:18" s="2" customFormat="1" ht="12.75" x14ac:dyDescent="0.2">
      <c r="R21451" s="1288"/>
    </row>
    <row r="21452" spans="18:18" s="2" customFormat="1" ht="12.75" x14ac:dyDescent="0.2">
      <c r="R21452" s="1288"/>
    </row>
    <row r="21453" spans="18:18" s="2" customFormat="1" ht="12.75" x14ac:dyDescent="0.2">
      <c r="R21453" s="1288"/>
    </row>
    <row r="21454" spans="18:18" s="2" customFormat="1" ht="12.75" x14ac:dyDescent="0.2">
      <c r="R21454" s="1288"/>
    </row>
    <row r="21455" spans="18:18" s="2" customFormat="1" ht="12.75" x14ac:dyDescent="0.2">
      <c r="R21455" s="1288"/>
    </row>
    <row r="21456" spans="18:18" s="2" customFormat="1" ht="12.75" x14ac:dyDescent="0.2">
      <c r="R21456" s="1288"/>
    </row>
    <row r="21457" spans="18:18" s="2" customFormat="1" ht="12.75" x14ac:dyDescent="0.2">
      <c r="R21457" s="1288"/>
    </row>
    <row r="21458" spans="18:18" s="2" customFormat="1" ht="12.75" x14ac:dyDescent="0.2">
      <c r="R21458" s="1288"/>
    </row>
    <row r="21459" spans="18:18" s="2" customFormat="1" ht="12.75" x14ac:dyDescent="0.2">
      <c r="R21459" s="1288"/>
    </row>
    <row r="21460" spans="18:18" s="2" customFormat="1" ht="12.75" x14ac:dyDescent="0.2">
      <c r="R21460" s="1288"/>
    </row>
    <row r="21461" spans="18:18" s="2" customFormat="1" ht="12.75" x14ac:dyDescent="0.2">
      <c r="R21461" s="1288"/>
    </row>
    <row r="21462" spans="18:18" s="2" customFormat="1" ht="12.75" x14ac:dyDescent="0.2">
      <c r="R21462" s="1288"/>
    </row>
    <row r="21463" spans="18:18" s="2" customFormat="1" ht="12.75" x14ac:dyDescent="0.2">
      <c r="R21463" s="1288"/>
    </row>
    <row r="21464" spans="18:18" s="2" customFormat="1" ht="12.75" x14ac:dyDescent="0.2">
      <c r="R21464" s="1288"/>
    </row>
    <row r="21465" spans="18:18" s="2" customFormat="1" ht="12.75" x14ac:dyDescent="0.2">
      <c r="R21465" s="1288"/>
    </row>
    <row r="21466" spans="18:18" s="2" customFormat="1" ht="12.75" x14ac:dyDescent="0.2">
      <c r="R21466" s="1288"/>
    </row>
    <row r="21467" spans="18:18" s="2" customFormat="1" ht="12.75" x14ac:dyDescent="0.2">
      <c r="R21467" s="1288"/>
    </row>
    <row r="21468" spans="18:18" s="2" customFormat="1" ht="12.75" x14ac:dyDescent="0.2">
      <c r="R21468" s="1288"/>
    </row>
    <row r="21469" spans="18:18" s="2" customFormat="1" ht="12.75" x14ac:dyDescent="0.2">
      <c r="R21469" s="1288"/>
    </row>
    <row r="21470" spans="18:18" s="2" customFormat="1" ht="12.75" x14ac:dyDescent="0.2">
      <c r="R21470" s="1288"/>
    </row>
    <row r="21471" spans="18:18" s="2" customFormat="1" ht="12.75" x14ac:dyDescent="0.2">
      <c r="R21471" s="1288"/>
    </row>
    <row r="21472" spans="18:18" s="2" customFormat="1" ht="12.75" x14ac:dyDescent="0.2">
      <c r="R21472" s="1288"/>
    </row>
    <row r="21473" spans="18:18" s="2" customFormat="1" ht="12.75" x14ac:dyDescent="0.2">
      <c r="R21473" s="1288"/>
    </row>
    <row r="21474" spans="18:18" s="2" customFormat="1" ht="12.75" x14ac:dyDescent="0.2">
      <c r="R21474" s="1288"/>
    </row>
    <row r="21475" spans="18:18" s="2" customFormat="1" ht="12.75" x14ac:dyDescent="0.2">
      <c r="R21475" s="1288"/>
    </row>
    <row r="21476" spans="18:18" s="2" customFormat="1" ht="12.75" x14ac:dyDescent="0.2">
      <c r="R21476" s="1288"/>
    </row>
    <row r="21477" spans="18:18" s="2" customFormat="1" ht="12.75" x14ac:dyDescent="0.2">
      <c r="R21477" s="1288"/>
    </row>
    <row r="21478" spans="18:18" s="2" customFormat="1" ht="12.75" x14ac:dyDescent="0.2">
      <c r="R21478" s="1288"/>
    </row>
    <row r="21479" spans="18:18" s="2" customFormat="1" ht="12.75" x14ac:dyDescent="0.2">
      <c r="R21479" s="1288"/>
    </row>
    <row r="21480" spans="18:18" s="2" customFormat="1" ht="12.75" x14ac:dyDescent="0.2">
      <c r="R21480" s="1288"/>
    </row>
    <row r="21481" spans="18:18" s="2" customFormat="1" ht="12.75" x14ac:dyDescent="0.2">
      <c r="R21481" s="1288"/>
    </row>
    <row r="21482" spans="18:18" s="2" customFormat="1" ht="12.75" x14ac:dyDescent="0.2">
      <c r="R21482" s="1288"/>
    </row>
    <row r="21483" spans="18:18" s="2" customFormat="1" ht="12.75" x14ac:dyDescent="0.2">
      <c r="R21483" s="1288"/>
    </row>
    <row r="21484" spans="18:18" s="2" customFormat="1" ht="12.75" x14ac:dyDescent="0.2">
      <c r="R21484" s="1288"/>
    </row>
    <row r="21485" spans="18:18" s="2" customFormat="1" ht="12.75" x14ac:dyDescent="0.2">
      <c r="R21485" s="1288"/>
    </row>
    <row r="21486" spans="18:18" s="2" customFormat="1" ht="12.75" x14ac:dyDescent="0.2">
      <c r="R21486" s="1288"/>
    </row>
    <row r="21487" spans="18:18" s="2" customFormat="1" ht="12.75" x14ac:dyDescent="0.2">
      <c r="R21487" s="1288"/>
    </row>
    <row r="21488" spans="18:18" s="2" customFormat="1" ht="12.75" x14ac:dyDescent="0.2">
      <c r="R21488" s="1288"/>
    </row>
    <row r="21489" spans="18:18" s="2" customFormat="1" ht="12.75" x14ac:dyDescent="0.2">
      <c r="R21489" s="1288"/>
    </row>
    <row r="21490" spans="18:18" s="2" customFormat="1" ht="12.75" x14ac:dyDescent="0.2">
      <c r="R21490" s="1288"/>
    </row>
    <row r="21491" spans="18:18" s="2" customFormat="1" ht="12.75" x14ac:dyDescent="0.2">
      <c r="R21491" s="1288"/>
    </row>
    <row r="21492" spans="18:18" s="2" customFormat="1" ht="12.75" x14ac:dyDescent="0.2">
      <c r="R21492" s="1288"/>
    </row>
    <row r="21493" spans="18:18" s="2" customFormat="1" ht="12.75" x14ac:dyDescent="0.2">
      <c r="R21493" s="1288"/>
    </row>
    <row r="21494" spans="18:18" s="2" customFormat="1" ht="12.75" x14ac:dyDescent="0.2">
      <c r="R21494" s="1288"/>
    </row>
    <row r="21495" spans="18:18" s="2" customFormat="1" ht="12.75" x14ac:dyDescent="0.2">
      <c r="R21495" s="1288"/>
    </row>
    <row r="21496" spans="18:18" s="2" customFormat="1" ht="12.75" x14ac:dyDescent="0.2">
      <c r="R21496" s="1288"/>
    </row>
    <row r="21497" spans="18:18" s="2" customFormat="1" ht="12.75" x14ac:dyDescent="0.2">
      <c r="R21497" s="1288"/>
    </row>
    <row r="21498" spans="18:18" s="2" customFormat="1" ht="12.75" x14ac:dyDescent="0.2">
      <c r="R21498" s="1288"/>
    </row>
    <row r="21499" spans="18:18" s="2" customFormat="1" ht="12.75" x14ac:dyDescent="0.2">
      <c r="R21499" s="1288"/>
    </row>
    <row r="21500" spans="18:18" s="2" customFormat="1" ht="12.75" x14ac:dyDescent="0.2">
      <c r="R21500" s="1288"/>
    </row>
    <row r="21501" spans="18:18" s="2" customFormat="1" ht="12.75" x14ac:dyDescent="0.2">
      <c r="R21501" s="1288"/>
    </row>
    <row r="21502" spans="18:18" s="2" customFormat="1" ht="12.75" x14ac:dyDescent="0.2">
      <c r="R21502" s="1288"/>
    </row>
    <row r="21503" spans="18:18" s="2" customFormat="1" ht="12.75" x14ac:dyDescent="0.2">
      <c r="R21503" s="1288"/>
    </row>
    <row r="21504" spans="18:18" s="2" customFormat="1" ht="12.75" x14ac:dyDescent="0.2">
      <c r="R21504" s="1288"/>
    </row>
    <row r="21505" spans="18:18" s="2" customFormat="1" ht="12.75" x14ac:dyDescent="0.2">
      <c r="R21505" s="1288"/>
    </row>
    <row r="21506" spans="18:18" s="2" customFormat="1" ht="12.75" x14ac:dyDescent="0.2">
      <c r="R21506" s="1288"/>
    </row>
    <row r="21507" spans="18:18" s="2" customFormat="1" ht="12.75" x14ac:dyDescent="0.2">
      <c r="R21507" s="1288"/>
    </row>
    <row r="21508" spans="18:18" s="2" customFormat="1" ht="12.75" x14ac:dyDescent="0.2">
      <c r="R21508" s="1288"/>
    </row>
    <row r="21509" spans="18:18" s="2" customFormat="1" ht="12.75" x14ac:dyDescent="0.2">
      <c r="R21509" s="1288"/>
    </row>
    <row r="21510" spans="18:18" s="2" customFormat="1" ht="12.75" x14ac:dyDescent="0.2">
      <c r="R21510" s="1288"/>
    </row>
    <row r="21511" spans="18:18" s="2" customFormat="1" ht="12.75" x14ac:dyDescent="0.2">
      <c r="R21511" s="1288"/>
    </row>
    <row r="21512" spans="18:18" s="2" customFormat="1" ht="12.75" x14ac:dyDescent="0.2">
      <c r="R21512" s="1288"/>
    </row>
    <row r="21513" spans="18:18" s="2" customFormat="1" ht="12.75" x14ac:dyDescent="0.2">
      <c r="R21513" s="1288"/>
    </row>
    <row r="21514" spans="18:18" s="2" customFormat="1" ht="12.75" x14ac:dyDescent="0.2">
      <c r="R21514" s="1288"/>
    </row>
    <row r="21515" spans="18:18" s="2" customFormat="1" ht="12.75" x14ac:dyDescent="0.2">
      <c r="R21515" s="1288"/>
    </row>
    <row r="21516" spans="18:18" s="2" customFormat="1" ht="12.75" x14ac:dyDescent="0.2">
      <c r="R21516" s="1288"/>
    </row>
    <row r="21517" spans="18:18" s="2" customFormat="1" ht="12.75" x14ac:dyDescent="0.2">
      <c r="R21517" s="1288"/>
    </row>
    <row r="21518" spans="18:18" s="2" customFormat="1" ht="12.75" x14ac:dyDescent="0.2">
      <c r="R21518" s="1288"/>
    </row>
    <row r="21519" spans="18:18" s="2" customFormat="1" ht="12.75" x14ac:dyDescent="0.2">
      <c r="R21519" s="1288"/>
    </row>
    <row r="21520" spans="18:18" s="2" customFormat="1" ht="12.75" x14ac:dyDescent="0.2">
      <c r="R21520" s="1288"/>
    </row>
    <row r="21521" spans="18:18" s="2" customFormat="1" ht="12.75" x14ac:dyDescent="0.2">
      <c r="R21521" s="1288"/>
    </row>
    <row r="21522" spans="18:18" s="2" customFormat="1" ht="12.75" x14ac:dyDescent="0.2">
      <c r="R21522" s="1288"/>
    </row>
    <row r="21523" spans="18:18" s="2" customFormat="1" ht="12.75" x14ac:dyDescent="0.2">
      <c r="R21523" s="1288"/>
    </row>
    <row r="21524" spans="18:18" s="2" customFormat="1" ht="12.75" x14ac:dyDescent="0.2">
      <c r="R21524" s="1288"/>
    </row>
    <row r="21525" spans="18:18" s="2" customFormat="1" ht="12.75" x14ac:dyDescent="0.2">
      <c r="R21525" s="1288"/>
    </row>
    <row r="21526" spans="18:18" s="2" customFormat="1" ht="12.75" x14ac:dyDescent="0.2">
      <c r="R21526" s="1288"/>
    </row>
    <row r="21527" spans="18:18" s="2" customFormat="1" ht="12.75" x14ac:dyDescent="0.2">
      <c r="R21527" s="1288"/>
    </row>
    <row r="21528" spans="18:18" s="2" customFormat="1" ht="12.75" x14ac:dyDescent="0.2">
      <c r="R21528" s="1288"/>
    </row>
    <row r="21529" spans="18:18" s="2" customFormat="1" ht="12.75" x14ac:dyDescent="0.2">
      <c r="R21529" s="1288"/>
    </row>
    <row r="21530" spans="18:18" s="2" customFormat="1" ht="12.75" x14ac:dyDescent="0.2">
      <c r="R21530" s="1288"/>
    </row>
    <row r="21531" spans="18:18" s="2" customFormat="1" ht="12.75" x14ac:dyDescent="0.2">
      <c r="R21531" s="1288"/>
    </row>
    <row r="21532" spans="18:18" s="2" customFormat="1" ht="12.75" x14ac:dyDescent="0.2">
      <c r="R21532" s="1288"/>
    </row>
    <row r="21533" spans="18:18" s="2" customFormat="1" ht="12.75" x14ac:dyDescent="0.2">
      <c r="R21533" s="1288"/>
    </row>
    <row r="21534" spans="18:18" s="2" customFormat="1" ht="12.75" x14ac:dyDescent="0.2">
      <c r="R21534" s="1288"/>
    </row>
    <row r="21535" spans="18:18" s="2" customFormat="1" ht="12.75" x14ac:dyDescent="0.2">
      <c r="R21535" s="1288"/>
    </row>
    <row r="21536" spans="18:18" s="2" customFormat="1" ht="12.75" x14ac:dyDescent="0.2">
      <c r="R21536" s="1288"/>
    </row>
    <row r="21537" spans="18:18" s="2" customFormat="1" ht="12.75" x14ac:dyDescent="0.2">
      <c r="R21537" s="1288"/>
    </row>
    <row r="21538" spans="18:18" s="2" customFormat="1" ht="12.75" x14ac:dyDescent="0.2">
      <c r="R21538" s="1288"/>
    </row>
    <row r="21539" spans="18:18" s="2" customFormat="1" ht="12.75" x14ac:dyDescent="0.2">
      <c r="R21539" s="1288"/>
    </row>
    <row r="21540" spans="18:18" s="2" customFormat="1" ht="12.75" x14ac:dyDescent="0.2">
      <c r="R21540" s="1288"/>
    </row>
    <row r="21541" spans="18:18" s="2" customFormat="1" ht="12.75" x14ac:dyDescent="0.2">
      <c r="R21541" s="1288"/>
    </row>
    <row r="21542" spans="18:18" s="2" customFormat="1" ht="12.75" x14ac:dyDescent="0.2">
      <c r="R21542" s="1288"/>
    </row>
    <row r="21543" spans="18:18" s="2" customFormat="1" ht="12.75" x14ac:dyDescent="0.2">
      <c r="R21543" s="1288"/>
    </row>
    <row r="21544" spans="18:18" s="2" customFormat="1" ht="12.75" x14ac:dyDescent="0.2">
      <c r="R21544" s="1288"/>
    </row>
    <row r="21545" spans="18:18" s="2" customFormat="1" ht="12.75" x14ac:dyDescent="0.2">
      <c r="R21545" s="1288"/>
    </row>
    <row r="21546" spans="18:18" s="2" customFormat="1" ht="12.75" x14ac:dyDescent="0.2">
      <c r="R21546" s="1288"/>
    </row>
    <row r="21547" spans="18:18" s="2" customFormat="1" ht="12.75" x14ac:dyDescent="0.2">
      <c r="R21547" s="1288"/>
    </row>
    <row r="21548" spans="18:18" s="2" customFormat="1" ht="12.75" x14ac:dyDescent="0.2">
      <c r="R21548" s="1288"/>
    </row>
    <row r="21549" spans="18:18" s="2" customFormat="1" ht="12.75" x14ac:dyDescent="0.2">
      <c r="R21549" s="1288"/>
    </row>
    <row r="21550" spans="18:18" s="2" customFormat="1" ht="12.75" x14ac:dyDescent="0.2">
      <c r="R21550" s="1288"/>
    </row>
    <row r="21551" spans="18:18" s="2" customFormat="1" ht="12.75" x14ac:dyDescent="0.2">
      <c r="R21551" s="1288"/>
    </row>
    <row r="21552" spans="18:18" s="2" customFormat="1" ht="12.75" x14ac:dyDescent="0.2">
      <c r="R21552" s="1288"/>
    </row>
    <row r="21553" spans="18:18" s="2" customFormat="1" ht="12.75" x14ac:dyDescent="0.2">
      <c r="R21553" s="1288"/>
    </row>
    <row r="21554" spans="18:18" s="2" customFormat="1" ht="12.75" x14ac:dyDescent="0.2">
      <c r="R21554" s="1288"/>
    </row>
    <row r="21555" spans="18:18" s="2" customFormat="1" ht="12.75" x14ac:dyDescent="0.2">
      <c r="R21555" s="1288"/>
    </row>
    <row r="21556" spans="18:18" s="2" customFormat="1" ht="12.75" x14ac:dyDescent="0.2">
      <c r="R21556" s="1288"/>
    </row>
    <row r="21557" spans="18:18" s="2" customFormat="1" ht="12.75" x14ac:dyDescent="0.2">
      <c r="R21557" s="1288"/>
    </row>
    <row r="21558" spans="18:18" s="2" customFormat="1" ht="12.75" x14ac:dyDescent="0.2">
      <c r="R21558" s="1288"/>
    </row>
    <row r="21559" spans="18:18" s="2" customFormat="1" ht="12.75" x14ac:dyDescent="0.2">
      <c r="R21559" s="1288"/>
    </row>
    <row r="21560" spans="18:18" s="2" customFormat="1" ht="12.75" x14ac:dyDescent="0.2">
      <c r="R21560" s="1288"/>
    </row>
    <row r="21561" spans="18:18" s="2" customFormat="1" ht="12.75" x14ac:dyDescent="0.2">
      <c r="R21561" s="1288"/>
    </row>
    <row r="21562" spans="18:18" s="2" customFormat="1" ht="12.75" x14ac:dyDescent="0.2">
      <c r="R21562" s="1288"/>
    </row>
    <row r="21563" spans="18:18" s="2" customFormat="1" ht="12.75" x14ac:dyDescent="0.2">
      <c r="R21563" s="1288"/>
    </row>
    <row r="21564" spans="18:18" s="2" customFormat="1" ht="12.75" x14ac:dyDescent="0.2">
      <c r="R21564" s="1288"/>
    </row>
    <row r="21565" spans="18:18" s="2" customFormat="1" ht="12.75" x14ac:dyDescent="0.2">
      <c r="R21565" s="1288"/>
    </row>
    <row r="21566" spans="18:18" s="2" customFormat="1" ht="12.75" x14ac:dyDescent="0.2">
      <c r="R21566" s="1288"/>
    </row>
    <row r="21567" spans="18:18" s="2" customFormat="1" ht="12.75" x14ac:dyDescent="0.2">
      <c r="R21567" s="1288"/>
    </row>
    <row r="21568" spans="18:18" s="2" customFormat="1" ht="12.75" x14ac:dyDescent="0.2">
      <c r="R21568" s="1288"/>
    </row>
    <row r="21569" spans="18:18" s="2" customFormat="1" ht="12.75" x14ac:dyDescent="0.2">
      <c r="R21569" s="1288"/>
    </row>
    <row r="21570" spans="18:18" s="2" customFormat="1" ht="12.75" x14ac:dyDescent="0.2">
      <c r="R21570" s="1288"/>
    </row>
    <row r="21571" spans="18:18" s="2" customFormat="1" ht="12.75" x14ac:dyDescent="0.2">
      <c r="R21571" s="1288"/>
    </row>
    <row r="21572" spans="18:18" s="2" customFormat="1" ht="12.75" x14ac:dyDescent="0.2">
      <c r="R21572" s="1288"/>
    </row>
    <row r="21573" spans="18:18" s="2" customFormat="1" ht="12.75" x14ac:dyDescent="0.2">
      <c r="R21573" s="1288"/>
    </row>
    <row r="21574" spans="18:18" s="2" customFormat="1" ht="12.75" x14ac:dyDescent="0.2">
      <c r="R21574" s="1288"/>
    </row>
    <row r="21575" spans="18:18" s="2" customFormat="1" ht="12.75" x14ac:dyDescent="0.2">
      <c r="R21575" s="1288"/>
    </row>
    <row r="21576" spans="18:18" s="2" customFormat="1" ht="12.75" x14ac:dyDescent="0.2">
      <c r="R21576" s="1288"/>
    </row>
    <row r="21577" spans="18:18" s="2" customFormat="1" ht="12.75" x14ac:dyDescent="0.2">
      <c r="R21577" s="1288"/>
    </row>
    <row r="21578" spans="18:18" s="2" customFormat="1" ht="12.75" x14ac:dyDescent="0.2">
      <c r="R21578" s="1288"/>
    </row>
    <row r="21579" spans="18:18" s="2" customFormat="1" ht="12.75" x14ac:dyDescent="0.2">
      <c r="R21579" s="1288"/>
    </row>
    <row r="21580" spans="18:18" s="2" customFormat="1" ht="12.75" x14ac:dyDescent="0.2">
      <c r="R21580" s="1288"/>
    </row>
    <row r="21581" spans="18:18" s="2" customFormat="1" ht="12.75" x14ac:dyDescent="0.2">
      <c r="R21581" s="1288"/>
    </row>
    <row r="21582" spans="18:18" s="2" customFormat="1" ht="12.75" x14ac:dyDescent="0.2">
      <c r="R21582" s="1288"/>
    </row>
    <row r="21583" spans="18:18" s="2" customFormat="1" ht="12.75" x14ac:dyDescent="0.2">
      <c r="R21583" s="1288"/>
    </row>
    <row r="21584" spans="18:18" s="2" customFormat="1" ht="12.75" x14ac:dyDescent="0.2">
      <c r="R21584" s="1288"/>
    </row>
    <row r="21585" spans="18:18" s="2" customFormat="1" ht="12.75" x14ac:dyDescent="0.2">
      <c r="R21585" s="1288"/>
    </row>
    <row r="21586" spans="18:18" s="2" customFormat="1" ht="12.75" x14ac:dyDescent="0.2">
      <c r="R21586" s="1288"/>
    </row>
    <row r="21587" spans="18:18" s="2" customFormat="1" ht="12.75" x14ac:dyDescent="0.2">
      <c r="R21587" s="1288"/>
    </row>
    <row r="21588" spans="18:18" s="2" customFormat="1" ht="12.75" x14ac:dyDescent="0.2">
      <c r="R21588" s="1288"/>
    </row>
    <row r="21589" spans="18:18" s="2" customFormat="1" ht="12.75" x14ac:dyDescent="0.2">
      <c r="R21589" s="1288"/>
    </row>
    <row r="21590" spans="18:18" s="2" customFormat="1" ht="12.75" x14ac:dyDescent="0.2">
      <c r="R21590" s="1288"/>
    </row>
    <row r="21591" spans="18:18" s="2" customFormat="1" ht="12.75" x14ac:dyDescent="0.2">
      <c r="R21591" s="1288"/>
    </row>
    <row r="21592" spans="18:18" s="2" customFormat="1" ht="12.75" x14ac:dyDescent="0.2">
      <c r="R21592" s="1288"/>
    </row>
    <row r="21593" spans="18:18" s="2" customFormat="1" ht="12.75" x14ac:dyDescent="0.2">
      <c r="R21593" s="1288"/>
    </row>
    <row r="21594" spans="18:18" s="2" customFormat="1" ht="12.75" x14ac:dyDescent="0.2">
      <c r="R21594" s="1288"/>
    </row>
    <row r="21595" spans="18:18" s="2" customFormat="1" ht="12.75" x14ac:dyDescent="0.2">
      <c r="R21595" s="1288"/>
    </row>
    <row r="21596" spans="18:18" s="2" customFormat="1" ht="12.75" x14ac:dyDescent="0.2">
      <c r="R21596" s="1288"/>
    </row>
    <row r="21597" spans="18:18" s="2" customFormat="1" ht="12.75" x14ac:dyDescent="0.2">
      <c r="R21597" s="1288"/>
    </row>
    <row r="21598" spans="18:18" s="2" customFormat="1" ht="12.75" x14ac:dyDescent="0.2">
      <c r="R21598" s="1288"/>
    </row>
    <row r="21599" spans="18:18" s="2" customFormat="1" ht="12.75" x14ac:dyDescent="0.2">
      <c r="R21599" s="1288"/>
    </row>
    <row r="21600" spans="18:18" s="2" customFormat="1" ht="12.75" x14ac:dyDescent="0.2">
      <c r="R21600" s="1288"/>
    </row>
    <row r="21601" spans="18:18" s="2" customFormat="1" ht="12.75" x14ac:dyDescent="0.2">
      <c r="R21601" s="1288"/>
    </row>
    <row r="21602" spans="18:18" s="2" customFormat="1" ht="12.75" x14ac:dyDescent="0.2">
      <c r="R21602" s="1288"/>
    </row>
    <row r="21603" spans="18:18" s="2" customFormat="1" ht="12.75" x14ac:dyDescent="0.2">
      <c r="R21603" s="1288"/>
    </row>
    <row r="21604" spans="18:18" s="2" customFormat="1" ht="12.75" x14ac:dyDescent="0.2">
      <c r="R21604" s="1288"/>
    </row>
    <row r="21605" spans="18:18" s="2" customFormat="1" ht="12.75" x14ac:dyDescent="0.2">
      <c r="R21605" s="1288"/>
    </row>
    <row r="21606" spans="18:18" s="2" customFormat="1" ht="12.75" x14ac:dyDescent="0.2">
      <c r="R21606" s="1288"/>
    </row>
    <row r="21607" spans="18:18" s="2" customFormat="1" ht="12.75" x14ac:dyDescent="0.2">
      <c r="R21607" s="1288"/>
    </row>
    <row r="21608" spans="18:18" s="2" customFormat="1" ht="12.75" x14ac:dyDescent="0.2">
      <c r="R21608" s="1288"/>
    </row>
    <row r="21609" spans="18:18" s="2" customFormat="1" ht="12.75" x14ac:dyDescent="0.2">
      <c r="R21609" s="1288"/>
    </row>
    <row r="21610" spans="18:18" s="2" customFormat="1" ht="12.75" x14ac:dyDescent="0.2">
      <c r="R21610" s="1288"/>
    </row>
    <row r="21611" spans="18:18" s="2" customFormat="1" ht="12.75" x14ac:dyDescent="0.2">
      <c r="R21611" s="1288"/>
    </row>
    <row r="21612" spans="18:18" s="2" customFormat="1" ht="12.75" x14ac:dyDescent="0.2">
      <c r="R21612" s="1288"/>
    </row>
    <row r="21613" spans="18:18" s="2" customFormat="1" ht="12.75" x14ac:dyDescent="0.2">
      <c r="R21613" s="1288"/>
    </row>
    <row r="21614" spans="18:18" s="2" customFormat="1" ht="12.75" x14ac:dyDescent="0.2">
      <c r="R21614" s="1288"/>
    </row>
    <row r="21615" spans="18:18" s="2" customFormat="1" ht="12.75" x14ac:dyDescent="0.2">
      <c r="R21615" s="1288"/>
    </row>
    <row r="21616" spans="18:18" s="2" customFormat="1" ht="12.75" x14ac:dyDescent="0.2">
      <c r="R21616" s="1288"/>
    </row>
    <row r="21617" spans="18:18" s="2" customFormat="1" ht="12.75" x14ac:dyDescent="0.2">
      <c r="R21617" s="1288"/>
    </row>
    <row r="21618" spans="18:18" s="2" customFormat="1" ht="12.75" x14ac:dyDescent="0.2">
      <c r="R21618" s="1288"/>
    </row>
    <row r="21619" spans="18:18" s="2" customFormat="1" ht="12.75" x14ac:dyDescent="0.2">
      <c r="R21619" s="1288"/>
    </row>
    <row r="21620" spans="18:18" s="2" customFormat="1" ht="12.75" x14ac:dyDescent="0.2">
      <c r="R21620" s="1288"/>
    </row>
    <row r="21621" spans="18:18" s="2" customFormat="1" ht="12.75" x14ac:dyDescent="0.2">
      <c r="R21621" s="1288"/>
    </row>
    <row r="21622" spans="18:18" s="2" customFormat="1" ht="12.75" x14ac:dyDescent="0.2">
      <c r="R21622" s="1288"/>
    </row>
    <row r="21623" spans="18:18" s="2" customFormat="1" ht="12.75" x14ac:dyDescent="0.2">
      <c r="R21623" s="1288"/>
    </row>
    <row r="21624" spans="18:18" s="2" customFormat="1" ht="12.75" x14ac:dyDescent="0.2">
      <c r="R21624" s="1288"/>
    </row>
    <row r="21625" spans="18:18" s="2" customFormat="1" ht="12.75" x14ac:dyDescent="0.2">
      <c r="R21625" s="1288"/>
    </row>
    <row r="21626" spans="18:18" s="2" customFormat="1" ht="12.75" x14ac:dyDescent="0.2">
      <c r="R21626" s="1288"/>
    </row>
    <row r="21627" spans="18:18" s="2" customFormat="1" ht="12.75" x14ac:dyDescent="0.2">
      <c r="R21627" s="1288"/>
    </row>
    <row r="21628" spans="18:18" s="2" customFormat="1" ht="12.75" x14ac:dyDescent="0.2">
      <c r="R21628" s="1288"/>
    </row>
    <row r="21629" spans="18:18" s="2" customFormat="1" ht="12.75" x14ac:dyDescent="0.2">
      <c r="R21629" s="1288"/>
    </row>
    <row r="21630" spans="18:18" s="2" customFormat="1" ht="12.75" x14ac:dyDescent="0.2">
      <c r="R21630" s="1288"/>
    </row>
    <row r="21631" spans="18:18" s="2" customFormat="1" ht="12.75" x14ac:dyDescent="0.2">
      <c r="R21631" s="1288"/>
    </row>
    <row r="21632" spans="18:18" s="2" customFormat="1" ht="12.75" x14ac:dyDescent="0.2">
      <c r="R21632" s="1288"/>
    </row>
    <row r="21633" spans="18:18" s="2" customFormat="1" ht="12.75" x14ac:dyDescent="0.2">
      <c r="R21633" s="1288"/>
    </row>
    <row r="21634" spans="18:18" s="2" customFormat="1" ht="12.75" x14ac:dyDescent="0.2">
      <c r="R21634" s="1288"/>
    </row>
    <row r="21635" spans="18:18" s="2" customFormat="1" ht="12.75" x14ac:dyDescent="0.2">
      <c r="R21635" s="1288"/>
    </row>
    <row r="21636" spans="18:18" s="2" customFormat="1" ht="12.75" x14ac:dyDescent="0.2">
      <c r="R21636" s="1288"/>
    </row>
    <row r="21637" spans="18:18" s="2" customFormat="1" ht="12.75" x14ac:dyDescent="0.2">
      <c r="R21637" s="1288"/>
    </row>
    <row r="21638" spans="18:18" s="2" customFormat="1" ht="12.75" x14ac:dyDescent="0.2">
      <c r="R21638" s="1288"/>
    </row>
    <row r="21639" spans="18:18" s="2" customFormat="1" ht="12.75" x14ac:dyDescent="0.2">
      <c r="R21639" s="1288"/>
    </row>
    <row r="21640" spans="18:18" s="2" customFormat="1" ht="12.75" x14ac:dyDescent="0.2">
      <c r="R21640" s="1288"/>
    </row>
    <row r="21641" spans="18:18" s="2" customFormat="1" ht="12.75" x14ac:dyDescent="0.2">
      <c r="R21641" s="1288"/>
    </row>
    <row r="21642" spans="18:18" s="2" customFormat="1" ht="12.75" x14ac:dyDescent="0.2">
      <c r="R21642" s="1288"/>
    </row>
    <row r="21643" spans="18:18" s="2" customFormat="1" ht="12.75" x14ac:dyDescent="0.2">
      <c r="R21643" s="1288"/>
    </row>
    <row r="21644" spans="18:18" s="2" customFormat="1" ht="12.75" x14ac:dyDescent="0.2">
      <c r="R21644" s="1288"/>
    </row>
    <row r="21645" spans="18:18" s="2" customFormat="1" ht="12.75" x14ac:dyDescent="0.2">
      <c r="R21645" s="1288"/>
    </row>
    <row r="21646" spans="18:18" s="2" customFormat="1" ht="12.75" x14ac:dyDescent="0.2">
      <c r="R21646" s="1288"/>
    </row>
    <row r="21647" spans="18:18" s="2" customFormat="1" ht="12.75" x14ac:dyDescent="0.2">
      <c r="R21647" s="1288"/>
    </row>
    <row r="21648" spans="18:18" s="2" customFormat="1" ht="12.75" x14ac:dyDescent="0.2">
      <c r="R21648" s="1288"/>
    </row>
    <row r="21649" spans="18:18" s="2" customFormat="1" ht="12.75" x14ac:dyDescent="0.2">
      <c r="R21649" s="1288"/>
    </row>
    <row r="21650" spans="18:18" s="2" customFormat="1" ht="12.75" x14ac:dyDescent="0.2">
      <c r="R21650" s="1288"/>
    </row>
    <row r="21651" spans="18:18" s="2" customFormat="1" ht="12.75" x14ac:dyDescent="0.2">
      <c r="R21651" s="1288"/>
    </row>
    <row r="21652" spans="18:18" s="2" customFormat="1" ht="12.75" x14ac:dyDescent="0.2">
      <c r="R21652" s="1288"/>
    </row>
    <row r="21653" spans="18:18" s="2" customFormat="1" ht="12.75" x14ac:dyDescent="0.2">
      <c r="R21653" s="1288"/>
    </row>
    <row r="21654" spans="18:18" s="2" customFormat="1" ht="12.75" x14ac:dyDescent="0.2">
      <c r="R21654" s="1288"/>
    </row>
    <row r="21655" spans="18:18" s="2" customFormat="1" ht="12.75" x14ac:dyDescent="0.2">
      <c r="R21655" s="1288"/>
    </row>
    <row r="21656" spans="18:18" s="2" customFormat="1" ht="12.75" x14ac:dyDescent="0.2">
      <c r="R21656" s="1288"/>
    </row>
    <row r="21657" spans="18:18" s="2" customFormat="1" ht="12.75" x14ac:dyDescent="0.2">
      <c r="R21657" s="1288"/>
    </row>
    <row r="21658" spans="18:18" s="2" customFormat="1" ht="12.75" x14ac:dyDescent="0.2">
      <c r="R21658" s="1288"/>
    </row>
    <row r="21659" spans="18:18" s="2" customFormat="1" ht="12.75" x14ac:dyDescent="0.2">
      <c r="R21659" s="1288"/>
    </row>
    <row r="21660" spans="18:18" s="2" customFormat="1" ht="12.75" x14ac:dyDescent="0.2">
      <c r="R21660" s="1288"/>
    </row>
    <row r="21661" spans="18:18" s="2" customFormat="1" ht="12.75" x14ac:dyDescent="0.2">
      <c r="R21661" s="1288"/>
    </row>
    <row r="21662" spans="18:18" s="2" customFormat="1" ht="12.75" x14ac:dyDescent="0.2">
      <c r="R21662" s="1288"/>
    </row>
    <row r="21663" spans="18:18" s="2" customFormat="1" ht="12.75" x14ac:dyDescent="0.2">
      <c r="R21663" s="1288"/>
    </row>
    <row r="21664" spans="18:18" s="2" customFormat="1" ht="12.75" x14ac:dyDescent="0.2">
      <c r="R21664" s="1288"/>
    </row>
    <row r="21665" spans="18:18" s="2" customFormat="1" ht="12.75" x14ac:dyDescent="0.2">
      <c r="R21665" s="1288"/>
    </row>
    <row r="21666" spans="18:18" s="2" customFormat="1" ht="12.75" x14ac:dyDescent="0.2">
      <c r="R21666" s="1288"/>
    </row>
    <row r="21667" spans="18:18" s="2" customFormat="1" ht="12.75" x14ac:dyDescent="0.2">
      <c r="R21667" s="1288"/>
    </row>
    <row r="21668" spans="18:18" s="2" customFormat="1" ht="12.75" x14ac:dyDescent="0.2">
      <c r="R21668" s="1288"/>
    </row>
    <row r="21669" spans="18:18" s="2" customFormat="1" ht="12.75" x14ac:dyDescent="0.2">
      <c r="R21669" s="1288"/>
    </row>
    <row r="21670" spans="18:18" s="2" customFormat="1" ht="12.75" x14ac:dyDescent="0.2">
      <c r="R21670" s="1288"/>
    </row>
    <row r="21671" spans="18:18" s="2" customFormat="1" ht="12.75" x14ac:dyDescent="0.2">
      <c r="R21671" s="1288"/>
    </row>
    <row r="21672" spans="18:18" s="2" customFormat="1" ht="12.75" x14ac:dyDescent="0.2">
      <c r="R21672" s="1288"/>
    </row>
    <row r="21673" spans="18:18" s="2" customFormat="1" ht="12.75" x14ac:dyDescent="0.2">
      <c r="R21673" s="1288"/>
    </row>
    <row r="21674" spans="18:18" s="2" customFormat="1" ht="12.75" x14ac:dyDescent="0.2">
      <c r="R21674" s="1288"/>
    </row>
    <row r="21675" spans="18:18" s="2" customFormat="1" ht="12.75" x14ac:dyDescent="0.2">
      <c r="R21675" s="1288"/>
    </row>
    <row r="21676" spans="18:18" s="2" customFormat="1" ht="12.75" x14ac:dyDescent="0.2">
      <c r="R21676" s="1288"/>
    </row>
    <row r="21677" spans="18:18" s="2" customFormat="1" ht="12.75" x14ac:dyDescent="0.2">
      <c r="R21677" s="1288"/>
    </row>
    <row r="21678" spans="18:18" s="2" customFormat="1" ht="12.75" x14ac:dyDescent="0.2">
      <c r="R21678" s="1288"/>
    </row>
    <row r="21679" spans="18:18" s="2" customFormat="1" ht="12.75" x14ac:dyDescent="0.2">
      <c r="R21679" s="1288"/>
    </row>
    <row r="21680" spans="18:18" s="2" customFormat="1" ht="12.75" x14ac:dyDescent="0.2">
      <c r="R21680" s="1288"/>
    </row>
    <row r="21681" spans="18:18" s="2" customFormat="1" ht="12.75" x14ac:dyDescent="0.2">
      <c r="R21681" s="1288"/>
    </row>
    <row r="21682" spans="18:18" s="2" customFormat="1" ht="12.75" x14ac:dyDescent="0.2">
      <c r="R21682" s="1288"/>
    </row>
    <row r="21683" spans="18:18" s="2" customFormat="1" ht="12.75" x14ac:dyDescent="0.2">
      <c r="R21683" s="1288"/>
    </row>
    <row r="21684" spans="18:18" s="2" customFormat="1" ht="12.75" x14ac:dyDescent="0.2">
      <c r="R21684" s="1288"/>
    </row>
    <row r="21685" spans="18:18" s="2" customFormat="1" ht="12.75" x14ac:dyDescent="0.2">
      <c r="R21685" s="1288"/>
    </row>
    <row r="21686" spans="18:18" s="2" customFormat="1" ht="12.75" x14ac:dyDescent="0.2">
      <c r="R21686" s="1288"/>
    </row>
    <row r="21687" spans="18:18" s="2" customFormat="1" ht="12.75" x14ac:dyDescent="0.2">
      <c r="R21687" s="1288"/>
    </row>
    <row r="21688" spans="18:18" s="2" customFormat="1" ht="12.75" x14ac:dyDescent="0.2">
      <c r="R21688" s="1288"/>
    </row>
    <row r="21689" spans="18:18" s="2" customFormat="1" ht="12.75" x14ac:dyDescent="0.2">
      <c r="R21689" s="1288"/>
    </row>
    <row r="21690" spans="18:18" s="2" customFormat="1" ht="12.75" x14ac:dyDescent="0.2">
      <c r="R21690" s="1288"/>
    </row>
    <row r="21691" spans="18:18" s="2" customFormat="1" ht="12.75" x14ac:dyDescent="0.2">
      <c r="R21691" s="1288"/>
    </row>
    <row r="21692" spans="18:18" s="2" customFormat="1" ht="12.75" x14ac:dyDescent="0.2">
      <c r="R21692" s="1288"/>
    </row>
    <row r="21693" spans="18:18" s="2" customFormat="1" ht="12.75" x14ac:dyDescent="0.2">
      <c r="R21693" s="1288"/>
    </row>
    <row r="21694" spans="18:18" s="2" customFormat="1" ht="12.75" x14ac:dyDescent="0.2">
      <c r="R21694" s="1288"/>
    </row>
    <row r="21695" spans="18:18" s="2" customFormat="1" ht="12.75" x14ac:dyDescent="0.2">
      <c r="R21695" s="1288"/>
    </row>
    <row r="21696" spans="18:18" s="2" customFormat="1" ht="12.75" x14ac:dyDescent="0.2">
      <c r="R21696" s="1288"/>
    </row>
    <row r="21697" spans="18:18" s="2" customFormat="1" ht="12.75" x14ac:dyDescent="0.2">
      <c r="R21697" s="1288"/>
    </row>
    <row r="21698" spans="18:18" s="2" customFormat="1" ht="12.75" x14ac:dyDescent="0.2">
      <c r="R21698" s="1288"/>
    </row>
    <row r="21699" spans="18:18" s="2" customFormat="1" ht="12.75" x14ac:dyDescent="0.2">
      <c r="R21699" s="1288"/>
    </row>
    <row r="21700" spans="18:18" s="2" customFormat="1" ht="12.75" x14ac:dyDescent="0.2">
      <c r="R21700" s="1288"/>
    </row>
    <row r="21701" spans="18:18" s="2" customFormat="1" ht="12.75" x14ac:dyDescent="0.2">
      <c r="R21701" s="1288"/>
    </row>
    <row r="21702" spans="18:18" s="2" customFormat="1" ht="12.75" x14ac:dyDescent="0.2">
      <c r="R21702" s="1288"/>
    </row>
    <row r="21703" spans="18:18" s="2" customFormat="1" ht="12.75" x14ac:dyDescent="0.2">
      <c r="R21703" s="1288"/>
    </row>
    <row r="21704" spans="18:18" s="2" customFormat="1" ht="12.75" x14ac:dyDescent="0.2">
      <c r="R21704" s="1288"/>
    </row>
    <row r="21705" spans="18:18" s="2" customFormat="1" ht="12.75" x14ac:dyDescent="0.2">
      <c r="R21705" s="1288"/>
    </row>
    <row r="21706" spans="18:18" s="2" customFormat="1" ht="12.75" x14ac:dyDescent="0.2">
      <c r="R21706" s="1288"/>
    </row>
    <row r="21707" spans="18:18" s="2" customFormat="1" ht="12.75" x14ac:dyDescent="0.2">
      <c r="R21707" s="1288"/>
    </row>
    <row r="21708" spans="18:18" s="2" customFormat="1" ht="12.75" x14ac:dyDescent="0.2">
      <c r="R21708" s="1288"/>
    </row>
    <row r="21709" spans="18:18" s="2" customFormat="1" ht="12.75" x14ac:dyDescent="0.2">
      <c r="R21709" s="1288"/>
    </row>
    <row r="21710" spans="18:18" s="2" customFormat="1" ht="12.75" x14ac:dyDescent="0.2">
      <c r="R21710" s="1288"/>
    </row>
    <row r="21711" spans="18:18" s="2" customFormat="1" ht="12.75" x14ac:dyDescent="0.2">
      <c r="R21711" s="1288"/>
    </row>
    <row r="21712" spans="18:18" s="2" customFormat="1" ht="12.75" x14ac:dyDescent="0.2">
      <c r="R21712" s="1288"/>
    </row>
    <row r="21713" spans="18:18" s="2" customFormat="1" ht="12.75" x14ac:dyDescent="0.2">
      <c r="R21713" s="1288"/>
    </row>
    <row r="21714" spans="18:18" s="2" customFormat="1" ht="12.75" x14ac:dyDescent="0.2">
      <c r="R21714" s="1288"/>
    </row>
    <row r="21715" spans="18:18" s="2" customFormat="1" ht="12.75" x14ac:dyDescent="0.2">
      <c r="R21715" s="1288"/>
    </row>
    <row r="21716" spans="18:18" s="2" customFormat="1" ht="12.75" x14ac:dyDescent="0.2">
      <c r="R21716" s="1288"/>
    </row>
    <row r="21717" spans="18:18" s="2" customFormat="1" ht="12.75" x14ac:dyDescent="0.2">
      <c r="R21717" s="1288"/>
    </row>
    <row r="21718" spans="18:18" s="2" customFormat="1" ht="12.75" x14ac:dyDescent="0.2">
      <c r="R21718" s="1288"/>
    </row>
    <row r="21719" spans="18:18" s="2" customFormat="1" ht="12.75" x14ac:dyDescent="0.2">
      <c r="R21719" s="1288"/>
    </row>
    <row r="21720" spans="18:18" s="2" customFormat="1" ht="12.75" x14ac:dyDescent="0.2">
      <c r="R21720" s="1288"/>
    </row>
    <row r="21721" spans="18:18" s="2" customFormat="1" ht="12.75" x14ac:dyDescent="0.2">
      <c r="R21721" s="1288"/>
    </row>
    <row r="21722" spans="18:18" s="2" customFormat="1" ht="12.75" x14ac:dyDescent="0.2">
      <c r="R21722" s="1288"/>
    </row>
    <row r="21723" spans="18:18" s="2" customFormat="1" ht="12.75" x14ac:dyDescent="0.2">
      <c r="R21723" s="1288"/>
    </row>
    <row r="21724" spans="18:18" s="2" customFormat="1" ht="12.75" x14ac:dyDescent="0.2">
      <c r="R21724" s="1288"/>
    </row>
    <row r="21725" spans="18:18" s="2" customFormat="1" ht="12.75" x14ac:dyDescent="0.2">
      <c r="R21725" s="1288"/>
    </row>
    <row r="21726" spans="18:18" s="2" customFormat="1" ht="12.75" x14ac:dyDescent="0.2">
      <c r="R21726" s="1288"/>
    </row>
    <row r="21727" spans="18:18" s="2" customFormat="1" ht="12.75" x14ac:dyDescent="0.2">
      <c r="R21727" s="1288"/>
    </row>
    <row r="21728" spans="18:18" s="2" customFormat="1" ht="12.75" x14ac:dyDescent="0.2">
      <c r="R21728" s="1288"/>
    </row>
    <row r="21729" spans="18:18" s="2" customFormat="1" ht="12.75" x14ac:dyDescent="0.2">
      <c r="R21729" s="1288"/>
    </row>
    <row r="21730" spans="18:18" s="2" customFormat="1" ht="12.75" x14ac:dyDescent="0.2">
      <c r="R21730" s="1288"/>
    </row>
    <row r="21731" spans="18:18" s="2" customFormat="1" ht="12.75" x14ac:dyDescent="0.2">
      <c r="R21731" s="1288"/>
    </row>
    <row r="21732" spans="18:18" s="2" customFormat="1" ht="12.75" x14ac:dyDescent="0.2">
      <c r="R21732" s="1288"/>
    </row>
    <row r="21733" spans="18:18" s="2" customFormat="1" ht="12.75" x14ac:dyDescent="0.2">
      <c r="R21733" s="1288"/>
    </row>
    <row r="21734" spans="18:18" s="2" customFormat="1" ht="12.75" x14ac:dyDescent="0.2">
      <c r="R21734" s="1288"/>
    </row>
    <row r="21735" spans="18:18" s="2" customFormat="1" ht="12.75" x14ac:dyDescent="0.2">
      <c r="R21735" s="1288"/>
    </row>
    <row r="21736" spans="18:18" s="2" customFormat="1" ht="12.75" x14ac:dyDescent="0.2">
      <c r="R21736" s="1288"/>
    </row>
    <row r="21737" spans="18:18" s="2" customFormat="1" ht="12.75" x14ac:dyDescent="0.2">
      <c r="R21737" s="1288"/>
    </row>
    <row r="21738" spans="18:18" s="2" customFormat="1" ht="12.75" x14ac:dyDescent="0.2">
      <c r="R21738" s="1288"/>
    </row>
    <row r="21739" spans="18:18" s="2" customFormat="1" ht="12.75" x14ac:dyDescent="0.2">
      <c r="R21739" s="1288"/>
    </row>
    <row r="21740" spans="18:18" s="2" customFormat="1" ht="12.75" x14ac:dyDescent="0.2">
      <c r="R21740" s="1288"/>
    </row>
    <row r="21741" spans="18:18" s="2" customFormat="1" ht="12.75" x14ac:dyDescent="0.2">
      <c r="R21741" s="1288"/>
    </row>
    <row r="21742" spans="18:18" s="2" customFormat="1" ht="12.75" x14ac:dyDescent="0.2">
      <c r="R21742" s="1288"/>
    </row>
    <row r="21743" spans="18:18" s="2" customFormat="1" ht="12.75" x14ac:dyDescent="0.2">
      <c r="R21743" s="1288"/>
    </row>
    <row r="21744" spans="18:18" s="2" customFormat="1" ht="12.75" x14ac:dyDescent="0.2">
      <c r="R21744" s="1288"/>
    </row>
    <row r="21745" spans="18:18" s="2" customFormat="1" ht="12.75" x14ac:dyDescent="0.2">
      <c r="R21745" s="1288"/>
    </row>
    <row r="21746" spans="18:18" s="2" customFormat="1" ht="12.75" x14ac:dyDescent="0.2">
      <c r="R21746" s="1288"/>
    </row>
    <row r="21747" spans="18:18" s="2" customFormat="1" ht="12.75" x14ac:dyDescent="0.2">
      <c r="R21747" s="1288"/>
    </row>
    <row r="21748" spans="18:18" s="2" customFormat="1" ht="12.75" x14ac:dyDescent="0.2">
      <c r="R21748" s="1288"/>
    </row>
    <row r="21749" spans="18:18" s="2" customFormat="1" ht="12.75" x14ac:dyDescent="0.2">
      <c r="R21749" s="1288"/>
    </row>
    <row r="21750" spans="18:18" s="2" customFormat="1" ht="12.75" x14ac:dyDescent="0.2">
      <c r="R21750" s="1288"/>
    </row>
    <row r="21751" spans="18:18" s="2" customFormat="1" ht="12.75" x14ac:dyDescent="0.2">
      <c r="R21751" s="1288"/>
    </row>
    <row r="21752" spans="18:18" s="2" customFormat="1" ht="12.75" x14ac:dyDescent="0.2">
      <c r="R21752" s="1288"/>
    </row>
    <row r="21753" spans="18:18" s="2" customFormat="1" ht="12.75" x14ac:dyDescent="0.2">
      <c r="R21753" s="1288"/>
    </row>
    <row r="21754" spans="18:18" s="2" customFormat="1" ht="12.75" x14ac:dyDescent="0.2">
      <c r="R21754" s="1288"/>
    </row>
    <row r="21755" spans="18:18" s="2" customFormat="1" ht="12.75" x14ac:dyDescent="0.2">
      <c r="R21755" s="1288"/>
    </row>
    <row r="21756" spans="18:18" s="2" customFormat="1" ht="12.75" x14ac:dyDescent="0.2">
      <c r="R21756" s="1288"/>
    </row>
    <row r="21757" spans="18:18" s="2" customFormat="1" ht="12.75" x14ac:dyDescent="0.2">
      <c r="R21757" s="1288"/>
    </row>
    <row r="21758" spans="18:18" s="2" customFormat="1" ht="12.75" x14ac:dyDescent="0.2">
      <c r="R21758" s="1288"/>
    </row>
    <row r="21759" spans="18:18" s="2" customFormat="1" ht="12.75" x14ac:dyDescent="0.2">
      <c r="R21759" s="1288"/>
    </row>
    <row r="21760" spans="18:18" s="2" customFormat="1" ht="12.75" x14ac:dyDescent="0.2">
      <c r="R21760" s="1288"/>
    </row>
    <row r="21761" spans="18:18" s="2" customFormat="1" ht="12.75" x14ac:dyDescent="0.2">
      <c r="R21761" s="1288"/>
    </row>
    <row r="21762" spans="18:18" s="2" customFormat="1" ht="12.75" x14ac:dyDescent="0.2">
      <c r="R21762" s="1288"/>
    </row>
    <row r="21763" spans="18:18" s="2" customFormat="1" ht="12.75" x14ac:dyDescent="0.2">
      <c r="R21763" s="1288"/>
    </row>
    <row r="21764" spans="18:18" s="2" customFormat="1" ht="12.75" x14ac:dyDescent="0.2">
      <c r="R21764" s="1288"/>
    </row>
    <row r="21765" spans="18:18" s="2" customFormat="1" ht="12.75" x14ac:dyDescent="0.2">
      <c r="R21765" s="1288"/>
    </row>
    <row r="21766" spans="18:18" s="2" customFormat="1" ht="12.75" x14ac:dyDescent="0.2">
      <c r="R21766" s="1288"/>
    </row>
    <row r="21767" spans="18:18" s="2" customFormat="1" ht="12.75" x14ac:dyDescent="0.2">
      <c r="R21767" s="1288"/>
    </row>
    <row r="21768" spans="18:18" s="2" customFormat="1" ht="12.75" x14ac:dyDescent="0.2">
      <c r="R21768" s="1288"/>
    </row>
    <row r="21769" spans="18:18" s="2" customFormat="1" ht="12.75" x14ac:dyDescent="0.2">
      <c r="R21769" s="1288"/>
    </row>
    <row r="21770" spans="18:18" s="2" customFormat="1" ht="12.75" x14ac:dyDescent="0.2">
      <c r="R21770" s="1288"/>
    </row>
    <row r="21771" spans="18:18" s="2" customFormat="1" ht="12.75" x14ac:dyDescent="0.2">
      <c r="R21771" s="1288"/>
    </row>
    <row r="21772" spans="18:18" s="2" customFormat="1" ht="12.75" x14ac:dyDescent="0.2">
      <c r="R21772" s="1288"/>
    </row>
    <row r="21773" spans="18:18" s="2" customFormat="1" ht="12.75" x14ac:dyDescent="0.2">
      <c r="R21773" s="1288"/>
    </row>
    <row r="21774" spans="18:18" s="2" customFormat="1" ht="12.75" x14ac:dyDescent="0.2">
      <c r="R21774" s="1288"/>
    </row>
    <row r="21775" spans="18:18" s="2" customFormat="1" ht="12.75" x14ac:dyDescent="0.2">
      <c r="R21775" s="1288"/>
    </row>
    <row r="21776" spans="18:18" s="2" customFormat="1" ht="12.75" x14ac:dyDescent="0.2">
      <c r="R21776" s="1288"/>
    </row>
    <row r="21777" spans="18:18" s="2" customFormat="1" ht="12.75" x14ac:dyDescent="0.2">
      <c r="R21777" s="1288"/>
    </row>
    <row r="21778" spans="18:18" s="2" customFormat="1" ht="12.75" x14ac:dyDescent="0.2">
      <c r="R21778" s="1288"/>
    </row>
    <row r="21779" spans="18:18" s="2" customFormat="1" ht="12.75" x14ac:dyDescent="0.2">
      <c r="R21779" s="1288"/>
    </row>
    <row r="21780" spans="18:18" s="2" customFormat="1" ht="12.75" x14ac:dyDescent="0.2">
      <c r="R21780" s="1288"/>
    </row>
    <row r="21781" spans="18:18" s="2" customFormat="1" ht="12.75" x14ac:dyDescent="0.2">
      <c r="R21781" s="1288"/>
    </row>
    <row r="21782" spans="18:18" s="2" customFormat="1" ht="12.75" x14ac:dyDescent="0.2">
      <c r="R21782" s="1288"/>
    </row>
    <row r="21783" spans="18:18" s="2" customFormat="1" ht="12.75" x14ac:dyDescent="0.2">
      <c r="R21783" s="1288"/>
    </row>
    <row r="21784" spans="18:18" s="2" customFormat="1" ht="12.75" x14ac:dyDescent="0.2">
      <c r="R21784" s="1288"/>
    </row>
    <row r="21785" spans="18:18" s="2" customFormat="1" ht="12.75" x14ac:dyDescent="0.2">
      <c r="R21785" s="1288"/>
    </row>
    <row r="21786" spans="18:18" s="2" customFormat="1" ht="12.75" x14ac:dyDescent="0.2">
      <c r="R21786" s="1288"/>
    </row>
    <row r="21787" spans="18:18" s="2" customFormat="1" ht="12.75" x14ac:dyDescent="0.2">
      <c r="R21787" s="1288"/>
    </row>
    <row r="21788" spans="18:18" s="2" customFormat="1" ht="12.75" x14ac:dyDescent="0.2">
      <c r="R21788" s="1288"/>
    </row>
    <row r="21789" spans="18:18" s="2" customFormat="1" ht="12.75" x14ac:dyDescent="0.2">
      <c r="R21789" s="1288"/>
    </row>
    <row r="21790" spans="18:18" s="2" customFormat="1" ht="12.75" x14ac:dyDescent="0.2">
      <c r="R21790" s="1288"/>
    </row>
    <row r="21791" spans="18:18" s="2" customFormat="1" ht="12.75" x14ac:dyDescent="0.2">
      <c r="R21791" s="1288"/>
    </row>
    <row r="21792" spans="18:18" s="2" customFormat="1" ht="12.75" x14ac:dyDescent="0.2">
      <c r="R21792" s="1288"/>
    </row>
    <row r="21793" spans="18:18" s="2" customFormat="1" ht="12.75" x14ac:dyDescent="0.2">
      <c r="R21793" s="1288"/>
    </row>
    <row r="21794" spans="18:18" s="2" customFormat="1" ht="12.75" x14ac:dyDescent="0.2">
      <c r="R21794" s="1288"/>
    </row>
    <row r="21795" spans="18:18" s="2" customFormat="1" ht="12.75" x14ac:dyDescent="0.2">
      <c r="R21795" s="1288"/>
    </row>
    <row r="21796" spans="18:18" s="2" customFormat="1" ht="12.75" x14ac:dyDescent="0.2">
      <c r="R21796" s="1288"/>
    </row>
    <row r="21797" spans="18:18" s="2" customFormat="1" ht="12.75" x14ac:dyDescent="0.2">
      <c r="R21797" s="1288"/>
    </row>
    <row r="21798" spans="18:18" s="2" customFormat="1" ht="12.75" x14ac:dyDescent="0.2">
      <c r="R21798" s="1288"/>
    </row>
    <row r="21799" spans="18:18" s="2" customFormat="1" ht="12.75" x14ac:dyDescent="0.2">
      <c r="R21799" s="1288"/>
    </row>
    <row r="21800" spans="18:18" s="2" customFormat="1" ht="12.75" x14ac:dyDescent="0.2">
      <c r="R21800" s="1288"/>
    </row>
    <row r="21801" spans="18:18" s="2" customFormat="1" ht="12.75" x14ac:dyDescent="0.2">
      <c r="R21801" s="1288"/>
    </row>
    <row r="21802" spans="18:18" s="2" customFormat="1" ht="12.75" x14ac:dyDescent="0.2">
      <c r="R21802" s="1288"/>
    </row>
    <row r="21803" spans="18:18" s="2" customFormat="1" ht="12.75" x14ac:dyDescent="0.2">
      <c r="R21803" s="1288"/>
    </row>
    <row r="21804" spans="18:18" s="2" customFormat="1" ht="12.75" x14ac:dyDescent="0.2">
      <c r="R21804" s="1288"/>
    </row>
    <row r="21805" spans="18:18" s="2" customFormat="1" ht="12.75" x14ac:dyDescent="0.2">
      <c r="R21805" s="1288"/>
    </row>
    <row r="21806" spans="18:18" s="2" customFormat="1" ht="12.75" x14ac:dyDescent="0.2">
      <c r="R21806" s="1288"/>
    </row>
    <row r="21807" spans="18:18" s="2" customFormat="1" ht="12.75" x14ac:dyDescent="0.2">
      <c r="R21807" s="1288"/>
    </row>
    <row r="21808" spans="18:18" s="2" customFormat="1" ht="12.75" x14ac:dyDescent="0.2">
      <c r="R21808" s="1288"/>
    </row>
    <row r="21809" spans="18:18" s="2" customFormat="1" ht="12.75" x14ac:dyDescent="0.2">
      <c r="R21809" s="1288"/>
    </row>
    <row r="21810" spans="18:18" s="2" customFormat="1" ht="12.75" x14ac:dyDescent="0.2">
      <c r="R21810" s="1288"/>
    </row>
    <row r="21811" spans="18:18" s="2" customFormat="1" ht="12.75" x14ac:dyDescent="0.2">
      <c r="R21811" s="1288"/>
    </row>
    <row r="21812" spans="18:18" s="2" customFormat="1" ht="12.75" x14ac:dyDescent="0.2">
      <c r="R21812" s="1288"/>
    </row>
    <row r="21813" spans="18:18" s="2" customFormat="1" ht="12.75" x14ac:dyDescent="0.2">
      <c r="R21813" s="1288"/>
    </row>
    <row r="21814" spans="18:18" s="2" customFormat="1" ht="12.75" x14ac:dyDescent="0.2">
      <c r="R21814" s="1288"/>
    </row>
    <row r="21815" spans="18:18" s="2" customFormat="1" ht="12.75" x14ac:dyDescent="0.2">
      <c r="R21815" s="1288"/>
    </row>
    <row r="21816" spans="18:18" s="2" customFormat="1" ht="12.75" x14ac:dyDescent="0.2">
      <c r="R21816" s="1288"/>
    </row>
    <row r="21817" spans="18:18" s="2" customFormat="1" ht="12.75" x14ac:dyDescent="0.2">
      <c r="R21817" s="1288"/>
    </row>
    <row r="21818" spans="18:18" s="2" customFormat="1" ht="12.75" x14ac:dyDescent="0.2">
      <c r="R21818" s="1288"/>
    </row>
    <row r="21819" spans="18:18" s="2" customFormat="1" ht="12.75" x14ac:dyDescent="0.2">
      <c r="R21819" s="1288"/>
    </row>
    <row r="21820" spans="18:18" s="2" customFormat="1" ht="12.75" x14ac:dyDescent="0.2">
      <c r="R21820" s="1288"/>
    </row>
    <row r="21821" spans="18:18" s="2" customFormat="1" ht="12.75" x14ac:dyDescent="0.2">
      <c r="R21821" s="1288"/>
    </row>
    <row r="21822" spans="18:18" s="2" customFormat="1" ht="12.75" x14ac:dyDescent="0.2">
      <c r="R21822" s="1288"/>
    </row>
    <row r="21823" spans="18:18" s="2" customFormat="1" ht="12.75" x14ac:dyDescent="0.2">
      <c r="R21823" s="1288"/>
    </row>
    <row r="21824" spans="18:18" s="2" customFormat="1" ht="12.75" x14ac:dyDescent="0.2">
      <c r="R21824" s="1288"/>
    </row>
    <row r="21825" spans="18:18" s="2" customFormat="1" ht="12.75" x14ac:dyDescent="0.2">
      <c r="R21825" s="1288"/>
    </row>
    <row r="21826" spans="18:18" s="2" customFormat="1" ht="12.75" x14ac:dyDescent="0.2">
      <c r="R21826" s="1288"/>
    </row>
    <row r="21827" spans="18:18" s="2" customFormat="1" ht="12.75" x14ac:dyDescent="0.2">
      <c r="R21827" s="1288"/>
    </row>
    <row r="21828" spans="18:18" s="2" customFormat="1" ht="12.75" x14ac:dyDescent="0.2">
      <c r="R21828" s="1288"/>
    </row>
    <row r="21829" spans="18:18" s="2" customFormat="1" ht="12.75" x14ac:dyDescent="0.2">
      <c r="R21829" s="1288"/>
    </row>
    <row r="21830" spans="18:18" s="2" customFormat="1" ht="12.75" x14ac:dyDescent="0.2">
      <c r="R21830" s="1288"/>
    </row>
    <row r="21831" spans="18:18" s="2" customFormat="1" ht="12.75" x14ac:dyDescent="0.2">
      <c r="R21831" s="1288"/>
    </row>
    <row r="21832" spans="18:18" s="2" customFormat="1" ht="12.75" x14ac:dyDescent="0.2">
      <c r="R21832" s="1288"/>
    </row>
    <row r="21833" spans="18:18" s="2" customFormat="1" ht="12.75" x14ac:dyDescent="0.2">
      <c r="R21833" s="1288"/>
    </row>
    <row r="21834" spans="18:18" s="2" customFormat="1" ht="12.75" x14ac:dyDescent="0.2">
      <c r="R21834" s="1288"/>
    </row>
    <row r="21835" spans="18:18" s="2" customFormat="1" ht="12.75" x14ac:dyDescent="0.2">
      <c r="R21835" s="1288"/>
    </row>
    <row r="21836" spans="18:18" s="2" customFormat="1" ht="12.75" x14ac:dyDescent="0.2">
      <c r="R21836" s="1288"/>
    </row>
    <row r="21837" spans="18:18" s="2" customFormat="1" ht="12.75" x14ac:dyDescent="0.2">
      <c r="R21837" s="1288"/>
    </row>
    <row r="21838" spans="18:18" s="2" customFormat="1" ht="12.75" x14ac:dyDescent="0.2">
      <c r="R21838" s="1288"/>
    </row>
    <row r="21839" spans="18:18" s="2" customFormat="1" ht="12.75" x14ac:dyDescent="0.2">
      <c r="R21839" s="1288"/>
    </row>
    <row r="21840" spans="18:18" s="2" customFormat="1" ht="12.75" x14ac:dyDescent="0.2">
      <c r="R21840" s="1288"/>
    </row>
    <row r="21841" spans="18:18" s="2" customFormat="1" ht="12.75" x14ac:dyDescent="0.2">
      <c r="R21841" s="1288"/>
    </row>
    <row r="21842" spans="18:18" s="2" customFormat="1" ht="12.75" x14ac:dyDescent="0.2">
      <c r="R21842" s="1288"/>
    </row>
    <row r="21843" spans="18:18" s="2" customFormat="1" ht="12.75" x14ac:dyDescent="0.2">
      <c r="R21843" s="1288"/>
    </row>
    <row r="21844" spans="18:18" s="2" customFormat="1" ht="12.75" x14ac:dyDescent="0.2">
      <c r="R21844" s="1288"/>
    </row>
    <row r="21845" spans="18:18" s="2" customFormat="1" ht="12.75" x14ac:dyDescent="0.2">
      <c r="R21845" s="1288"/>
    </row>
    <row r="21846" spans="18:18" s="2" customFormat="1" ht="12.75" x14ac:dyDescent="0.2">
      <c r="R21846" s="1288"/>
    </row>
    <row r="21847" spans="18:18" s="2" customFormat="1" ht="12.75" x14ac:dyDescent="0.2">
      <c r="R21847" s="1288"/>
    </row>
    <row r="21848" spans="18:18" s="2" customFormat="1" ht="12.75" x14ac:dyDescent="0.2">
      <c r="R21848" s="1288"/>
    </row>
    <row r="21849" spans="18:18" s="2" customFormat="1" ht="12.75" x14ac:dyDescent="0.2">
      <c r="R21849" s="1288"/>
    </row>
    <row r="21850" spans="18:18" s="2" customFormat="1" ht="12.75" x14ac:dyDescent="0.2">
      <c r="R21850" s="1288"/>
    </row>
    <row r="21851" spans="18:18" s="2" customFormat="1" ht="12.75" x14ac:dyDescent="0.2">
      <c r="R21851" s="1288"/>
    </row>
    <row r="21852" spans="18:18" s="2" customFormat="1" ht="12.75" x14ac:dyDescent="0.2">
      <c r="R21852" s="1288"/>
    </row>
    <row r="21853" spans="18:18" s="2" customFormat="1" ht="12.75" x14ac:dyDescent="0.2">
      <c r="R21853" s="1288"/>
    </row>
    <row r="21854" spans="18:18" s="2" customFormat="1" ht="12.75" x14ac:dyDescent="0.2">
      <c r="R21854" s="1288"/>
    </row>
    <row r="21855" spans="18:18" s="2" customFormat="1" ht="12.75" x14ac:dyDescent="0.2">
      <c r="R21855" s="1288"/>
    </row>
    <row r="21856" spans="18:18" s="2" customFormat="1" ht="12.75" x14ac:dyDescent="0.2">
      <c r="R21856" s="1288"/>
    </row>
    <row r="21857" spans="18:18" s="2" customFormat="1" ht="12.75" x14ac:dyDescent="0.2">
      <c r="R21857" s="1288"/>
    </row>
    <row r="21858" spans="18:18" s="2" customFormat="1" ht="12.75" x14ac:dyDescent="0.2">
      <c r="R21858" s="1288"/>
    </row>
    <row r="21859" spans="18:18" s="2" customFormat="1" ht="12.75" x14ac:dyDescent="0.2">
      <c r="R21859" s="1288"/>
    </row>
    <row r="21860" spans="18:18" s="2" customFormat="1" ht="12.75" x14ac:dyDescent="0.2">
      <c r="R21860" s="1288"/>
    </row>
    <row r="21861" spans="18:18" s="2" customFormat="1" ht="12.75" x14ac:dyDescent="0.2">
      <c r="R21861" s="1288"/>
    </row>
    <row r="21862" spans="18:18" s="2" customFormat="1" ht="12.75" x14ac:dyDescent="0.2">
      <c r="R21862" s="1288"/>
    </row>
    <row r="21863" spans="18:18" s="2" customFormat="1" ht="12.75" x14ac:dyDescent="0.2">
      <c r="R21863" s="1288"/>
    </row>
    <row r="21864" spans="18:18" s="2" customFormat="1" ht="12.75" x14ac:dyDescent="0.2">
      <c r="R21864" s="1288"/>
    </row>
    <row r="21865" spans="18:18" s="2" customFormat="1" ht="12.75" x14ac:dyDescent="0.2">
      <c r="R21865" s="1288"/>
    </row>
    <row r="21866" spans="18:18" s="2" customFormat="1" ht="12.75" x14ac:dyDescent="0.2">
      <c r="R21866" s="1288"/>
    </row>
    <row r="21867" spans="18:18" s="2" customFormat="1" ht="12.75" x14ac:dyDescent="0.2">
      <c r="R21867" s="1288"/>
    </row>
    <row r="21868" spans="18:18" s="2" customFormat="1" ht="12.75" x14ac:dyDescent="0.2">
      <c r="R21868" s="1288"/>
    </row>
    <row r="21869" spans="18:18" s="2" customFormat="1" ht="12.75" x14ac:dyDescent="0.2">
      <c r="R21869" s="1288"/>
    </row>
    <row r="21870" spans="18:18" s="2" customFormat="1" ht="12.75" x14ac:dyDescent="0.2">
      <c r="R21870" s="1288"/>
    </row>
    <row r="21871" spans="18:18" s="2" customFormat="1" ht="12.75" x14ac:dyDescent="0.2">
      <c r="R21871" s="1288"/>
    </row>
    <row r="21872" spans="18:18" s="2" customFormat="1" ht="12.75" x14ac:dyDescent="0.2">
      <c r="R21872" s="1288"/>
    </row>
    <row r="21873" spans="18:18" s="2" customFormat="1" ht="12.75" x14ac:dyDescent="0.2">
      <c r="R21873" s="1288"/>
    </row>
    <row r="21874" spans="18:18" s="2" customFormat="1" ht="12.75" x14ac:dyDescent="0.2">
      <c r="R21874" s="1288"/>
    </row>
    <row r="21875" spans="18:18" s="2" customFormat="1" ht="12.75" x14ac:dyDescent="0.2">
      <c r="R21875" s="1288"/>
    </row>
    <row r="21876" spans="18:18" s="2" customFormat="1" ht="12.75" x14ac:dyDescent="0.2">
      <c r="R21876" s="1288"/>
    </row>
    <row r="21877" spans="18:18" s="2" customFormat="1" ht="12.75" x14ac:dyDescent="0.2">
      <c r="R21877" s="1288"/>
    </row>
    <row r="21878" spans="18:18" s="2" customFormat="1" ht="12.75" x14ac:dyDescent="0.2">
      <c r="R21878" s="1288"/>
    </row>
    <row r="21879" spans="18:18" s="2" customFormat="1" ht="12.75" x14ac:dyDescent="0.2">
      <c r="R21879" s="1288"/>
    </row>
    <row r="21880" spans="18:18" s="2" customFormat="1" ht="12.75" x14ac:dyDescent="0.2">
      <c r="R21880" s="1288"/>
    </row>
    <row r="21881" spans="18:18" s="2" customFormat="1" ht="12.75" x14ac:dyDescent="0.2">
      <c r="R21881" s="1288"/>
    </row>
    <row r="21882" spans="18:18" s="2" customFormat="1" ht="12.75" x14ac:dyDescent="0.2">
      <c r="R21882" s="1288"/>
    </row>
    <row r="21883" spans="18:18" s="2" customFormat="1" ht="12.75" x14ac:dyDescent="0.2">
      <c r="R21883" s="1288"/>
    </row>
    <row r="21884" spans="18:18" s="2" customFormat="1" ht="12.75" x14ac:dyDescent="0.2">
      <c r="R21884" s="1288"/>
    </row>
    <row r="21885" spans="18:18" s="2" customFormat="1" ht="12.75" x14ac:dyDescent="0.2">
      <c r="R21885" s="1288"/>
    </row>
    <row r="21886" spans="18:18" s="2" customFormat="1" ht="12.75" x14ac:dyDescent="0.2">
      <c r="R21886" s="1288"/>
    </row>
    <row r="21887" spans="18:18" s="2" customFormat="1" ht="12.75" x14ac:dyDescent="0.2">
      <c r="R21887" s="1288"/>
    </row>
    <row r="21888" spans="18:18" s="2" customFormat="1" ht="12.75" x14ac:dyDescent="0.2">
      <c r="R21888" s="1288"/>
    </row>
    <row r="21889" spans="18:18" s="2" customFormat="1" ht="12.75" x14ac:dyDescent="0.2">
      <c r="R21889" s="1288"/>
    </row>
    <row r="21890" spans="18:18" s="2" customFormat="1" ht="12.75" x14ac:dyDescent="0.2">
      <c r="R21890" s="1288"/>
    </row>
    <row r="21891" spans="18:18" s="2" customFormat="1" ht="12.75" x14ac:dyDescent="0.2">
      <c r="R21891" s="1288"/>
    </row>
    <row r="21892" spans="18:18" s="2" customFormat="1" ht="12.75" x14ac:dyDescent="0.2">
      <c r="R21892" s="1288"/>
    </row>
    <row r="21893" spans="18:18" s="2" customFormat="1" ht="12.75" x14ac:dyDescent="0.2">
      <c r="R21893" s="1288"/>
    </row>
    <row r="21894" spans="18:18" s="2" customFormat="1" ht="12.75" x14ac:dyDescent="0.2">
      <c r="R21894" s="1288"/>
    </row>
    <row r="21895" spans="18:18" s="2" customFormat="1" ht="12.75" x14ac:dyDescent="0.2">
      <c r="R21895" s="1288"/>
    </row>
    <row r="21896" spans="18:18" s="2" customFormat="1" ht="12.75" x14ac:dyDescent="0.2">
      <c r="R21896" s="1288"/>
    </row>
    <row r="21897" spans="18:18" s="2" customFormat="1" ht="12.75" x14ac:dyDescent="0.2">
      <c r="R21897" s="1288"/>
    </row>
    <row r="21898" spans="18:18" s="2" customFormat="1" ht="12.75" x14ac:dyDescent="0.2">
      <c r="R21898" s="1288"/>
    </row>
    <row r="21899" spans="18:18" s="2" customFormat="1" ht="12.75" x14ac:dyDescent="0.2">
      <c r="R21899" s="1288"/>
    </row>
    <row r="21900" spans="18:18" s="2" customFormat="1" ht="12.75" x14ac:dyDescent="0.2">
      <c r="R21900" s="1288"/>
    </row>
    <row r="21901" spans="18:18" s="2" customFormat="1" ht="12.75" x14ac:dyDescent="0.2">
      <c r="R21901" s="1288"/>
    </row>
    <row r="21902" spans="18:18" s="2" customFormat="1" ht="12.75" x14ac:dyDescent="0.2">
      <c r="R21902" s="1288"/>
    </row>
    <row r="21903" spans="18:18" s="2" customFormat="1" ht="12.75" x14ac:dyDescent="0.2">
      <c r="R21903" s="1288"/>
    </row>
    <row r="21904" spans="18:18" s="2" customFormat="1" ht="12.75" x14ac:dyDescent="0.2">
      <c r="R21904" s="1288"/>
    </row>
    <row r="21905" spans="18:18" s="2" customFormat="1" ht="12.75" x14ac:dyDescent="0.2">
      <c r="R21905" s="1288"/>
    </row>
    <row r="21906" spans="18:18" s="2" customFormat="1" ht="12.75" x14ac:dyDescent="0.2">
      <c r="R21906" s="1288"/>
    </row>
    <row r="21907" spans="18:18" s="2" customFormat="1" ht="12.75" x14ac:dyDescent="0.2">
      <c r="R21907" s="1288"/>
    </row>
    <row r="21908" spans="18:18" s="2" customFormat="1" ht="12.75" x14ac:dyDescent="0.2">
      <c r="R21908" s="1288"/>
    </row>
    <row r="21909" spans="18:18" s="2" customFormat="1" ht="12.75" x14ac:dyDescent="0.2">
      <c r="R21909" s="1288"/>
    </row>
    <row r="21910" spans="18:18" s="2" customFormat="1" ht="12.75" x14ac:dyDescent="0.2">
      <c r="R21910" s="1288"/>
    </row>
    <row r="21911" spans="18:18" s="2" customFormat="1" ht="12.75" x14ac:dyDescent="0.2">
      <c r="R21911" s="1288"/>
    </row>
    <row r="21912" spans="18:18" s="2" customFormat="1" ht="12.75" x14ac:dyDescent="0.2">
      <c r="R21912" s="1288"/>
    </row>
    <row r="21913" spans="18:18" s="2" customFormat="1" ht="12.75" x14ac:dyDescent="0.2">
      <c r="R21913" s="1288"/>
    </row>
    <row r="21914" spans="18:18" s="2" customFormat="1" ht="12.75" x14ac:dyDescent="0.2">
      <c r="R21914" s="1288"/>
    </row>
    <row r="21915" spans="18:18" s="2" customFormat="1" ht="12.75" x14ac:dyDescent="0.2">
      <c r="R21915" s="1288"/>
    </row>
    <row r="21916" spans="18:18" s="2" customFormat="1" ht="12.75" x14ac:dyDescent="0.2">
      <c r="R21916" s="1288"/>
    </row>
    <row r="21917" spans="18:18" s="2" customFormat="1" ht="12.75" x14ac:dyDescent="0.2">
      <c r="R21917" s="1288"/>
    </row>
    <row r="21918" spans="18:18" s="2" customFormat="1" ht="12.75" x14ac:dyDescent="0.2">
      <c r="R21918" s="1288"/>
    </row>
    <row r="21919" spans="18:18" s="2" customFormat="1" ht="12.75" x14ac:dyDescent="0.2">
      <c r="R21919" s="1288"/>
    </row>
    <row r="21920" spans="18:18" s="2" customFormat="1" ht="12.75" x14ac:dyDescent="0.2">
      <c r="R21920" s="1288"/>
    </row>
    <row r="21921" spans="18:18" s="2" customFormat="1" ht="12.75" x14ac:dyDescent="0.2">
      <c r="R21921" s="1288"/>
    </row>
    <row r="21922" spans="18:18" s="2" customFormat="1" ht="12.75" x14ac:dyDescent="0.2">
      <c r="R21922" s="1288"/>
    </row>
    <row r="21923" spans="18:18" s="2" customFormat="1" ht="12.75" x14ac:dyDescent="0.2">
      <c r="R21923" s="1288"/>
    </row>
    <row r="21924" spans="18:18" s="2" customFormat="1" ht="12.75" x14ac:dyDescent="0.2">
      <c r="R21924" s="1288"/>
    </row>
    <row r="21925" spans="18:18" s="2" customFormat="1" ht="12.75" x14ac:dyDescent="0.2">
      <c r="R21925" s="1288"/>
    </row>
    <row r="21926" spans="18:18" s="2" customFormat="1" ht="12.75" x14ac:dyDescent="0.2">
      <c r="R21926" s="1288"/>
    </row>
    <row r="21927" spans="18:18" s="2" customFormat="1" ht="12.75" x14ac:dyDescent="0.2">
      <c r="R21927" s="1288"/>
    </row>
    <row r="21928" spans="18:18" s="2" customFormat="1" ht="12.75" x14ac:dyDescent="0.2">
      <c r="R21928" s="1288"/>
    </row>
    <row r="21929" spans="18:18" s="2" customFormat="1" ht="12.75" x14ac:dyDescent="0.2">
      <c r="R21929" s="1288"/>
    </row>
    <row r="21930" spans="18:18" s="2" customFormat="1" ht="12.75" x14ac:dyDescent="0.2">
      <c r="R21930" s="1288"/>
    </row>
    <row r="21931" spans="18:18" s="2" customFormat="1" ht="12.75" x14ac:dyDescent="0.2">
      <c r="R21931" s="1288"/>
    </row>
    <row r="21932" spans="18:18" s="2" customFormat="1" ht="12.75" x14ac:dyDescent="0.2">
      <c r="R21932" s="1288"/>
    </row>
    <row r="21933" spans="18:18" s="2" customFormat="1" ht="12.75" x14ac:dyDescent="0.2">
      <c r="R21933" s="1288"/>
    </row>
    <row r="21934" spans="18:18" s="2" customFormat="1" ht="12.75" x14ac:dyDescent="0.2">
      <c r="R21934" s="1288"/>
    </row>
    <row r="21935" spans="18:18" s="2" customFormat="1" ht="12.75" x14ac:dyDescent="0.2">
      <c r="R21935" s="1288"/>
    </row>
    <row r="21936" spans="18:18" s="2" customFormat="1" ht="12.75" x14ac:dyDescent="0.2">
      <c r="R21936" s="1288"/>
    </row>
    <row r="21937" spans="18:18" s="2" customFormat="1" ht="12.75" x14ac:dyDescent="0.2">
      <c r="R21937" s="1288"/>
    </row>
    <row r="21938" spans="18:18" s="2" customFormat="1" ht="12.75" x14ac:dyDescent="0.2">
      <c r="R21938" s="1288"/>
    </row>
    <row r="21939" spans="18:18" s="2" customFormat="1" ht="12.75" x14ac:dyDescent="0.2">
      <c r="R21939" s="1288"/>
    </row>
    <row r="21940" spans="18:18" s="2" customFormat="1" ht="12.75" x14ac:dyDescent="0.2">
      <c r="R21940" s="1288"/>
    </row>
    <row r="21941" spans="18:18" s="2" customFormat="1" ht="12.75" x14ac:dyDescent="0.2">
      <c r="R21941" s="1288"/>
    </row>
    <row r="21942" spans="18:18" s="2" customFormat="1" ht="12.75" x14ac:dyDescent="0.2">
      <c r="R21942" s="1288"/>
    </row>
    <row r="21943" spans="18:18" s="2" customFormat="1" ht="12.75" x14ac:dyDescent="0.2">
      <c r="R21943" s="1288"/>
    </row>
    <row r="21944" spans="18:18" s="2" customFormat="1" ht="12.75" x14ac:dyDescent="0.2">
      <c r="R21944" s="1288"/>
    </row>
    <row r="21945" spans="18:18" s="2" customFormat="1" ht="12.75" x14ac:dyDescent="0.2">
      <c r="R21945" s="1288"/>
    </row>
    <row r="21946" spans="18:18" s="2" customFormat="1" ht="12.75" x14ac:dyDescent="0.2">
      <c r="R21946" s="1288"/>
    </row>
    <row r="21947" spans="18:18" s="2" customFormat="1" ht="12.75" x14ac:dyDescent="0.2">
      <c r="R21947" s="1288"/>
    </row>
    <row r="21948" spans="18:18" s="2" customFormat="1" ht="12.75" x14ac:dyDescent="0.2">
      <c r="R21948" s="1288"/>
    </row>
    <row r="21949" spans="18:18" s="2" customFormat="1" ht="12.75" x14ac:dyDescent="0.2">
      <c r="R21949" s="1288"/>
    </row>
    <row r="21950" spans="18:18" s="2" customFormat="1" ht="12.75" x14ac:dyDescent="0.2">
      <c r="R21950" s="1288"/>
    </row>
    <row r="21951" spans="18:18" s="2" customFormat="1" ht="12.75" x14ac:dyDescent="0.2">
      <c r="R21951" s="1288"/>
    </row>
    <row r="21952" spans="18:18" s="2" customFormat="1" ht="12.75" x14ac:dyDescent="0.2">
      <c r="R21952" s="1288"/>
    </row>
    <row r="21953" spans="18:18" s="2" customFormat="1" ht="12.75" x14ac:dyDescent="0.2">
      <c r="R21953" s="1288"/>
    </row>
    <row r="21954" spans="18:18" s="2" customFormat="1" ht="12.75" x14ac:dyDescent="0.2">
      <c r="R21954" s="1288"/>
    </row>
    <row r="21955" spans="18:18" s="2" customFormat="1" ht="12.75" x14ac:dyDescent="0.2">
      <c r="R21955" s="1288"/>
    </row>
    <row r="21956" spans="18:18" s="2" customFormat="1" ht="12.75" x14ac:dyDescent="0.2">
      <c r="R21956" s="1288"/>
    </row>
    <row r="21957" spans="18:18" s="2" customFormat="1" ht="12.75" x14ac:dyDescent="0.2">
      <c r="R21957" s="1288"/>
    </row>
    <row r="21958" spans="18:18" s="2" customFormat="1" ht="12.75" x14ac:dyDescent="0.2">
      <c r="R21958" s="1288"/>
    </row>
    <row r="21959" spans="18:18" s="2" customFormat="1" ht="12.75" x14ac:dyDescent="0.2">
      <c r="R21959" s="1288"/>
    </row>
    <row r="21960" spans="18:18" s="2" customFormat="1" ht="12.75" x14ac:dyDescent="0.2">
      <c r="R21960" s="1288"/>
    </row>
    <row r="21961" spans="18:18" s="2" customFormat="1" ht="12.75" x14ac:dyDescent="0.2">
      <c r="R21961" s="1288"/>
    </row>
    <row r="21962" spans="18:18" s="2" customFormat="1" ht="12.75" x14ac:dyDescent="0.2">
      <c r="R21962" s="1288"/>
    </row>
    <row r="21963" spans="18:18" s="2" customFormat="1" ht="12.75" x14ac:dyDescent="0.2">
      <c r="R21963" s="1288"/>
    </row>
    <row r="21964" spans="18:18" s="2" customFormat="1" ht="12.75" x14ac:dyDescent="0.2">
      <c r="R21964" s="1288"/>
    </row>
    <row r="21965" spans="18:18" s="2" customFormat="1" ht="12.75" x14ac:dyDescent="0.2">
      <c r="R21965" s="1288"/>
    </row>
    <row r="21966" spans="18:18" s="2" customFormat="1" ht="12.75" x14ac:dyDescent="0.2">
      <c r="R21966" s="1288"/>
    </row>
    <row r="21967" spans="18:18" s="2" customFormat="1" ht="12.75" x14ac:dyDescent="0.2">
      <c r="R21967" s="1288"/>
    </row>
    <row r="21968" spans="18:18" s="2" customFormat="1" ht="12.75" x14ac:dyDescent="0.2">
      <c r="R21968" s="1288"/>
    </row>
    <row r="21969" spans="18:18" s="2" customFormat="1" ht="12.75" x14ac:dyDescent="0.2">
      <c r="R21969" s="1288"/>
    </row>
    <row r="21970" spans="18:18" s="2" customFormat="1" ht="12.75" x14ac:dyDescent="0.2">
      <c r="R21970" s="1288"/>
    </row>
    <row r="21971" spans="18:18" s="2" customFormat="1" ht="12.75" x14ac:dyDescent="0.2">
      <c r="R21971" s="1288"/>
    </row>
    <row r="21972" spans="18:18" s="2" customFormat="1" ht="12.75" x14ac:dyDescent="0.2">
      <c r="R21972" s="1288"/>
    </row>
    <row r="21973" spans="18:18" s="2" customFormat="1" ht="12.75" x14ac:dyDescent="0.2">
      <c r="R21973" s="1288"/>
    </row>
    <row r="21974" spans="18:18" s="2" customFormat="1" ht="12.75" x14ac:dyDescent="0.2">
      <c r="R21974" s="1288"/>
    </row>
    <row r="21975" spans="18:18" s="2" customFormat="1" ht="12.75" x14ac:dyDescent="0.2">
      <c r="R21975" s="1288"/>
    </row>
    <row r="21976" spans="18:18" s="2" customFormat="1" ht="12.75" x14ac:dyDescent="0.2">
      <c r="R21976" s="1288"/>
    </row>
    <row r="21977" spans="18:18" s="2" customFormat="1" ht="12.75" x14ac:dyDescent="0.2">
      <c r="R21977" s="1288"/>
    </row>
    <row r="21978" spans="18:18" s="2" customFormat="1" ht="12.75" x14ac:dyDescent="0.2">
      <c r="R21978" s="1288"/>
    </row>
    <row r="21979" spans="18:18" s="2" customFormat="1" ht="12.75" x14ac:dyDescent="0.2">
      <c r="R21979" s="1288"/>
    </row>
    <row r="21980" spans="18:18" s="2" customFormat="1" ht="12.75" x14ac:dyDescent="0.2">
      <c r="R21980" s="1288"/>
    </row>
    <row r="21981" spans="18:18" s="2" customFormat="1" ht="12.75" x14ac:dyDescent="0.2">
      <c r="R21981" s="1288"/>
    </row>
    <row r="21982" spans="18:18" s="2" customFormat="1" ht="12.75" x14ac:dyDescent="0.2">
      <c r="R21982" s="1288"/>
    </row>
    <row r="21983" spans="18:18" s="2" customFormat="1" ht="12.75" x14ac:dyDescent="0.2">
      <c r="R21983" s="1288"/>
    </row>
    <row r="21984" spans="18:18" s="2" customFormat="1" ht="12.75" x14ac:dyDescent="0.2">
      <c r="R21984" s="1288"/>
    </row>
    <row r="21985" spans="18:18" s="2" customFormat="1" ht="12.75" x14ac:dyDescent="0.2">
      <c r="R21985" s="1288"/>
    </row>
    <row r="21986" spans="18:18" s="2" customFormat="1" ht="12.75" x14ac:dyDescent="0.2">
      <c r="R21986" s="1288"/>
    </row>
    <row r="21987" spans="18:18" s="2" customFormat="1" ht="12.75" x14ac:dyDescent="0.2">
      <c r="R21987" s="1288"/>
    </row>
    <row r="21988" spans="18:18" s="2" customFormat="1" ht="12.75" x14ac:dyDescent="0.2">
      <c r="R21988" s="1288"/>
    </row>
    <row r="21989" spans="18:18" s="2" customFormat="1" ht="12.75" x14ac:dyDescent="0.2">
      <c r="R21989" s="1288"/>
    </row>
    <row r="21990" spans="18:18" s="2" customFormat="1" ht="12.75" x14ac:dyDescent="0.2">
      <c r="R21990" s="1288"/>
    </row>
    <row r="21991" spans="18:18" s="2" customFormat="1" ht="12.75" x14ac:dyDescent="0.2">
      <c r="R21991" s="1288"/>
    </row>
    <row r="21992" spans="18:18" s="2" customFormat="1" ht="12.75" x14ac:dyDescent="0.2">
      <c r="R21992" s="1288"/>
    </row>
    <row r="21993" spans="18:18" s="2" customFormat="1" ht="12.75" x14ac:dyDescent="0.2">
      <c r="R21993" s="1288"/>
    </row>
    <row r="21994" spans="18:18" s="2" customFormat="1" ht="12.75" x14ac:dyDescent="0.2">
      <c r="R21994" s="1288"/>
    </row>
    <row r="21995" spans="18:18" s="2" customFormat="1" ht="12.75" x14ac:dyDescent="0.2">
      <c r="R21995" s="1288"/>
    </row>
    <row r="21996" spans="18:18" s="2" customFormat="1" ht="12.75" x14ac:dyDescent="0.2">
      <c r="R21996" s="1288"/>
    </row>
    <row r="21997" spans="18:18" s="2" customFormat="1" ht="12.75" x14ac:dyDescent="0.2">
      <c r="R21997" s="1288"/>
    </row>
    <row r="21998" spans="18:18" s="2" customFormat="1" ht="12.75" x14ac:dyDescent="0.2">
      <c r="R21998" s="1288"/>
    </row>
    <row r="21999" spans="18:18" s="2" customFormat="1" ht="12.75" x14ac:dyDescent="0.2">
      <c r="R21999" s="1288"/>
    </row>
    <row r="22000" spans="18:18" s="2" customFormat="1" ht="12.75" x14ac:dyDescent="0.2">
      <c r="R22000" s="1288"/>
    </row>
    <row r="22001" spans="18:18" s="2" customFormat="1" ht="12.75" x14ac:dyDescent="0.2">
      <c r="R22001" s="1288"/>
    </row>
    <row r="22002" spans="18:18" s="2" customFormat="1" ht="12.75" x14ac:dyDescent="0.2">
      <c r="R22002" s="1288"/>
    </row>
    <row r="22003" spans="18:18" s="2" customFormat="1" ht="12.75" x14ac:dyDescent="0.2">
      <c r="R22003" s="1288"/>
    </row>
    <row r="22004" spans="18:18" s="2" customFormat="1" ht="12.75" x14ac:dyDescent="0.2">
      <c r="R22004" s="1288"/>
    </row>
    <row r="22005" spans="18:18" s="2" customFormat="1" ht="12.75" x14ac:dyDescent="0.2">
      <c r="R22005" s="1288"/>
    </row>
    <row r="22006" spans="18:18" s="2" customFormat="1" ht="12.75" x14ac:dyDescent="0.2">
      <c r="R22006" s="1288"/>
    </row>
    <row r="22007" spans="18:18" s="2" customFormat="1" ht="12.75" x14ac:dyDescent="0.2">
      <c r="R22007" s="1288"/>
    </row>
    <row r="22008" spans="18:18" s="2" customFormat="1" ht="12.75" x14ac:dyDescent="0.2">
      <c r="R22008" s="1288"/>
    </row>
    <row r="22009" spans="18:18" s="2" customFormat="1" ht="12.75" x14ac:dyDescent="0.2">
      <c r="R22009" s="1288"/>
    </row>
    <row r="22010" spans="18:18" s="2" customFormat="1" ht="12.75" x14ac:dyDescent="0.2">
      <c r="R22010" s="1288"/>
    </row>
    <row r="22011" spans="18:18" s="2" customFormat="1" ht="12.75" x14ac:dyDescent="0.2">
      <c r="R22011" s="1288"/>
    </row>
    <row r="22012" spans="18:18" s="2" customFormat="1" ht="12.75" x14ac:dyDescent="0.2">
      <c r="R22012" s="1288"/>
    </row>
    <row r="22013" spans="18:18" s="2" customFormat="1" ht="12.75" x14ac:dyDescent="0.2">
      <c r="R22013" s="1288"/>
    </row>
    <row r="22014" spans="18:18" s="2" customFormat="1" ht="12.75" x14ac:dyDescent="0.2">
      <c r="R22014" s="1288"/>
    </row>
    <row r="22015" spans="18:18" s="2" customFormat="1" ht="12.75" x14ac:dyDescent="0.2">
      <c r="R22015" s="1288"/>
    </row>
    <row r="22016" spans="18:18" s="2" customFormat="1" ht="12.75" x14ac:dyDescent="0.2">
      <c r="R22016" s="1288"/>
    </row>
    <row r="22017" spans="18:18" s="2" customFormat="1" ht="12.75" x14ac:dyDescent="0.2">
      <c r="R22017" s="1288"/>
    </row>
    <row r="22018" spans="18:18" s="2" customFormat="1" ht="12.75" x14ac:dyDescent="0.2">
      <c r="R22018" s="1288"/>
    </row>
    <row r="22019" spans="18:18" s="2" customFormat="1" ht="12.75" x14ac:dyDescent="0.2">
      <c r="R22019" s="1288"/>
    </row>
    <row r="22020" spans="18:18" s="2" customFormat="1" ht="12.75" x14ac:dyDescent="0.2">
      <c r="R22020" s="1288"/>
    </row>
    <row r="22021" spans="18:18" s="2" customFormat="1" ht="12.75" x14ac:dyDescent="0.2">
      <c r="R22021" s="1288"/>
    </row>
    <row r="22022" spans="18:18" s="2" customFormat="1" ht="12.75" x14ac:dyDescent="0.2">
      <c r="R22022" s="1288"/>
    </row>
    <row r="22023" spans="18:18" s="2" customFormat="1" ht="12.75" x14ac:dyDescent="0.2">
      <c r="R22023" s="1288"/>
    </row>
    <row r="22024" spans="18:18" s="2" customFormat="1" ht="12.75" x14ac:dyDescent="0.2">
      <c r="R22024" s="1288"/>
    </row>
    <row r="22025" spans="18:18" s="2" customFormat="1" ht="12.75" x14ac:dyDescent="0.2">
      <c r="R22025" s="1288"/>
    </row>
    <row r="22026" spans="18:18" s="2" customFormat="1" ht="12.75" x14ac:dyDescent="0.2">
      <c r="R22026" s="1288"/>
    </row>
    <row r="22027" spans="18:18" s="2" customFormat="1" ht="12.75" x14ac:dyDescent="0.2">
      <c r="R22027" s="1288"/>
    </row>
    <row r="22028" spans="18:18" s="2" customFormat="1" ht="12.75" x14ac:dyDescent="0.2">
      <c r="R22028" s="1288"/>
    </row>
    <row r="22029" spans="18:18" s="2" customFormat="1" ht="12.75" x14ac:dyDescent="0.2">
      <c r="R22029" s="1288"/>
    </row>
    <row r="22030" spans="18:18" s="2" customFormat="1" ht="12.75" x14ac:dyDescent="0.2">
      <c r="R22030" s="1288"/>
    </row>
    <row r="22031" spans="18:18" s="2" customFormat="1" ht="12.75" x14ac:dyDescent="0.2">
      <c r="R22031" s="1288"/>
    </row>
    <row r="22032" spans="18:18" s="2" customFormat="1" ht="12.75" x14ac:dyDescent="0.2">
      <c r="R22032" s="1288"/>
    </row>
    <row r="22033" spans="18:18" s="2" customFormat="1" ht="12.75" x14ac:dyDescent="0.2">
      <c r="R22033" s="1288"/>
    </row>
    <row r="22034" spans="18:18" s="2" customFormat="1" ht="12.75" x14ac:dyDescent="0.2">
      <c r="R22034" s="1288"/>
    </row>
    <row r="22035" spans="18:18" s="2" customFormat="1" ht="12.75" x14ac:dyDescent="0.2">
      <c r="R22035" s="1288"/>
    </row>
    <row r="22036" spans="18:18" s="2" customFormat="1" ht="12.75" x14ac:dyDescent="0.2">
      <c r="R22036" s="1288"/>
    </row>
    <row r="22037" spans="18:18" s="2" customFormat="1" ht="12.75" x14ac:dyDescent="0.2">
      <c r="R22037" s="1288"/>
    </row>
    <row r="22038" spans="18:18" s="2" customFormat="1" ht="12.75" x14ac:dyDescent="0.2">
      <c r="R22038" s="1288"/>
    </row>
    <row r="22039" spans="18:18" s="2" customFormat="1" ht="12.75" x14ac:dyDescent="0.2">
      <c r="R22039" s="1288"/>
    </row>
    <row r="22040" spans="18:18" s="2" customFormat="1" ht="12.75" x14ac:dyDescent="0.2">
      <c r="R22040" s="1288"/>
    </row>
    <row r="22041" spans="18:18" s="2" customFormat="1" ht="12.75" x14ac:dyDescent="0.2">
      <c r="R22041" s="1288"/>
    </row>
    <row r="22042" spans="18:18" s="2" customFormat="1" ht="12.75" x14ac:dyDescent="0.2">
      <c r="R22042" s="1288"/>
    </row>
    <row r="22043" spans="18:18" s="2" customFormat="1" ht="12.75" x14ac:dyDescent="0.2">
      <c r="R22043" s="1288"/>
    </row>
    <row r="22044" spans="18:18" s="2" customFormat="1" ht="12.75" x14ac:dyDescent="0.2">
      <c r="R22044" s="1288"/>
    </row>
    <row r="22045" spans="18:18" s="2" customFormat="1" ht="12.75" x14ac:dyDescent="0.2">
      <c r="R22045" s="1288"/>
    </row>
    <row r="22046" spans="18:18" s="2" customFormat="1" ht="12.75" x14ac:dyDescent="0.2">
      <c r="R22046" s="1288"/>
    </row>
    <row r="22047" spans="18:18" s="2" customFormat="1" ht="12.75" x14ac:dyDescent="0.2">
      <c r="R22047" s="1288"/>
    </row>
    <row r="22048" spans="18:18" s="2" customFormat="1" ht="12.75" x14ac:dyDescent="0.2">
      <c r="R22048" s="1288"/>
    </row>
    <row r="22049" spans="18:18" s="2" customFormat="1" ht="12.75" x14ac:dyDescent="0.2">
      <c r="R22049" s="1288"/>
    </row>
    <row r="22050" spans="18:18" s="2" customFormat="1" ht="12.75" x14ac:dyDescent="0.2">
      <c r="R22050" s="1288"/>
    </row>
    <row r="22051" spans="18:18" s="2" customFormat="1" ht="12.75" x14ac:dyDescent="0.2">
      <c r="R22051" s="1288"/>
    </row>
    <row r="22052" spans="18:18" s="2" customFormat="1" ht="12.75" x14ac:dyDescent="0.2">
      <c r="R22052" s="1288"/>
    </row>
    <row r="22053" spans="18:18" s="2" customFormat="1" ht="12.75" x14ac:dyDescent="0.2">
      <c r="R22053" s="1288"/>
    </row>
    <row r="22054" spans="18:18" s="2" customFormat="1" ht="12.75" x14ac:dyDescent="0.2">
      <c r="R22054" s="1288"/>
    </row>
    <row r="22055" spans="18:18" s="2" customFormat="1" ht="12.75" x14ac:dyDescent="0.2">
      <c r="R22055" s="1288"/>
    </row>
    <row r="22056" spans="18:18" s="2" customFormat="1" ht="12.75" x14ac:dyDescent="0.2">
      <c r="R22056" s="1288"/>
    </row>
    <row r="22057" spans="18:18" s="2" customFormat="1" ht="12.75" x14ac:dyDescent="0.2">
      <c r="R22057" s="1288"/>
    </row>
    <row r="22058" spans="18:18" s="2" customFormat="1" ht="12.75" x14ac:dyDescent="0.2">
      <c r="R22058" s="1288"/>
    </row>
    <row r="22059" spans="18:18" s="2" customFormat="1" ht="12.75" x14ac:dyDescent="0.2">
      <c r="R22059" s="1288"/>
    </row>
    <row r="22060" spans="18:18" s="2" customFormat="1" ht="12.75" x14ac:dyDescent="0.2">
      <c r="R22060" s="1288"/>
    </row>
    <row r="22061" spans="18:18" s="2" customFormat="1" ht="12.75" x14ac:dyDescent="0.2">
      <c r="R22061" s="1288"/>
    </row>
    <row r="22062" spans="18:18" s="2" customFormat="1" ht="12.75" x14ac:dyDescent="0.2">
      <c r="R22062" s="1288"/>
    </row>
    <row r="22063" spans="18:18" s="2" customFormat="1" ht="12.75" x14ac:dyDescent="0.2">
      <c r="R22063" s="1288"/>
    </row>
    <row r="22064" spans="18:18" s="2" customFormat="1" ht="12.75" x14ac:dyDescent="0.2">
      <c r="R22064" s="1288"/>
    </row>
    <row r="22065" spans="18:18" s="2" customFormat="1" ht="12.75" x14ac:dyDescent="0.2">
      <c r="R22065" s="1288"/>
    </row>
    <row r="22066" spans="18:18" s="2" customFormat="1" ht="12.75" x14ac:dyDescent="0.2">
      <c r="R22066" s="1288"/>
    </row>
    <row r="22067" spans="18:18" s="2" customFormat="1" ht="12.75" x14ac:dyDescent="0.2">
      <c r="R22067" s="1288"/>
    </row>
    <row r="22068" spans="18:18" s="2" customFormat="1" ht="12.75" x14ac:dyDescent="0.2">
      <c r="R22068" s="1288"/>
    </row>
    <row r="22069" spans="18:18" s="2" customFormat="1" ht="12.75" x14ac:dyDescent="0.2">
      <c r="R22069" s="1288"/>
    </row>
    <row r="22070" spans="18:18" s="2" customFormat="1" ht="12.75" x14ac:dyDescent="0.2">
      <c r="R22070" s="1288"/>
    </row>
    <row r="22071" spans="18:18" s="2" customFormat="1" ht="12.75" x14ac:dyDescent="0.2">
      <c r="R22071" s="1288"/>
    </row>
    <row r="22072" spans="18:18" s="2" customFormat="1" ht="12.75" x14ac:dyDescent="0.2">
      <c r="R22072" s="1288"/>
    </row>
    <row r="22073" spans="18:18" s="2" customFormat="1" ht="12.75" x14ac:dyDescent="0.2">
      <c r="R22073" s="1288"/>
    </row>
    <row r="22074" spans="18:18" s="2" customFormat="1" ht="12.75" x14ac:dyDescent="0.2">
      <c r="R22074" s="1288"/>
    </row>
    <row r="22075" spans="18:18" s="2" customFormat="1" ht="12.75" x14ac:dyDescent="0.2">
      <c r="R22075" s="1288"/>
    </row>
    <row r="22076" spans="18:18" s="2" customFormat="1" ht="12.75" x14ac:dyDescent="0.2">
      <c r="R22076" s="1288"/>
    </row>
    <row r="22077" spans="18:18" s="2" customFormat="1" ht="12.75" x14ac:dyDescent="0.2">
      <c r="R22077" s="1288"/>
    </row>
    <row r="22078" spans="18:18" s="2" customFormat="1" ht="12.75" x14ac:dyDescent="0.2">
      <c r="R22078" s="1288"/>
    </row>
    <row r="22079" spans="18:18" s="2" customFormat="1" ht="12.75" x14ac:dyDescent="0.2">
      <c r="R22079" s="1288"/>
    </row>
    <row r="22080" spans="18:18" s="2" customFormat="1" ht="12.75" x14ac:dyDescent="0.2">
      <c r="R22080" s="1288"/>
    </row>
    <row r="22081" spans="18:18" s="2" customFormat="1" ht="12.75" x14ac:dyDescent="0.2">
      <c r="R22081" s="1288"/>
    </row>
    <row r="22082" spans="18:18" s="2" customFormat="1" ht="12.75" x14ac:dyDescent="0.2">
      <c r="R22082" s="1288"/>
    </row>
    <row r="22083" spans="18:18" s="2" customFormat="1" ht="12.75" x14ac:dyDescent="0.2">
      <c r="R22083" s="1288"/>
    </row>
    <row r="22084" spans="18:18" s="2" customFormat="1" ht="12.75" x14ac:dyDescent="0.2">
      <c r="R22084" s="1288"/>
    </row>
    <row r="22085" spans="18:18" s="2" customFormat="1" ht="12.75" x14ac:dyDescent="0.2">
      <c r="R22085" s="1288"/>
    </row>
    <row r="22086" spans="18:18" s="2" customFormat="1" ht="12.75" x14ac:dyDescent="0.2">
      <c r="R22086" s="1288"/>
    </row>
    <row r="22087" spans="18:18" s="2" customFormat="1" ht="12.75" x14ac:dyDescent="0.2">
      <c r="R22087" s="1288"/>
    </row>
    <row r="22088" spans="18:18" s="2" customFormat="1" ht="12.75" x14ac:dyDescent="0.2">
      <c r="R22088" s="1288"/>
    </row>
    <row r="22089" spans="18:18" s="2" customFormat="1" ht="12.75" x14ac:dyDescent="0.2">
      <c r="R22089" s="1288"/>
    </row>
    <row r="22090" spans="18:18" s="2" customFormat="1" ht="12.75" x14ac:dyDescent="0.2">
      <c r="R22090" s="1288"/>
    </row>
    <row r="22091" spans="18:18" s="2" customFormat="1" ht="12.75" x14ac:dyDescent="0.2">
      <c r="R22091" s="1288"/>
    </row>
    <row r="22092" spans="18:18" s="2" customFormat="1" ht="12.75" x14ac:dyDescent="0.2">
      <c r="R22092" s="1288"/>
    </row>
    <row r="22093" spans="18:18" s="2" customFormat="1" ht="12.75" x14ac:dyDescent="0.2">
      <c r="R22093" s="1288"/>
    </row>
    <row r="22094" spans="18:18" s="2" customFormat="1" ht="12.75" x14ac:dyDescent="0.2">
      <c r="R22094" s="1288"/>
    </row>
    <row r="22095" spans="18:18" s="2" customFormat="1" ht="12.75" x14ac:dyDescent="0.2">
      <c r="R22095" s="1288"/>
    </row>
    <row r="22096" spans="18:18" s="2" customFormat="1" ht="12.75" x14ac:dyDescent="0.2">
      <c r="R22096" s="1288"/>
    </row>
    <row r="22097" spans="18:18" s="2" customFormat="1" ht="12.75" x14ac:dyDescent="0.2">
      <c r="R22097" s="1288"/>
    </row>
    <row r="22098" spans="18:18" s="2" customFormat="1" ht="12.75" x14ac:dyDescent="0.2">
      <c r="R22098" s="1288"/>
    </row>
    <row r="22099" spans="18:18" s="2" customFormat="1" ht="12.75" x14ac:dyDescent="0.2">
      <c r="R22099" s="1288"/>
    </row>
    <row r="22100" spans="18:18" s="2" customFormat="1" ht="12.75" x14ac:dyDescent="0.2">
      <c r="R22100" s="1288"/>
    </row>
    <row r="22101" spans="18:18" s="2" customFormat="1" ht="12.75" x14ac:dyDescent="0.2">
      <c r="R22101" s="1288"/>
    </row>
    <row r="22102" spans="18:18" s="2" customFormat="1" ht="12.75" x14ac:dyDescent="0.2">
      <c r="R22102" s="1288"/>
    </row>
    <row r="22103" spans="18:18" s="2" customFormat="1" ht="12.75" x14ac:dyDescent="0.2">
      <c r="R22103" s="1288"/>
    </row>
    <row r="22104" spans="18:18" s="2" customFormat="1" ht="12.75" x14ac:dyDescent="0.2">
      <c r="R22104" s="1288"/>
    </row>
    <row r="22105" spans="18:18" s="2" customFormat="1" ht="12.75" x14ac:dyDescent="0.2">
      <c r="R22105" s="1288"/>
    </row>
    <row r="22106" spans="18:18" s="2" customFormat="1" ht="12.75" x14ac:dyDescent="0.2">
      <c r="R22106" s="1288"/>
    </row>
    <row r="22107" spans="18:18" s="2" customFormat="1" ht="12.75" x14ac:dyDescent="0.2">
      <c r="R22107" s="1288"/>
    </row>
    <row r="22108" spans="18:18" s="2" customFormat="1" ht="12.75" x14ac:dyDescent="0.2">
      <c r="R22108" s="1288"/>
    </row>
    <row r="22109" spans="18:18" s="2" customFormat="1" ht="12.75" x14ac:dyDescent="0.2">
      <c r="R22109" s="1288"/>
    </row>
    <row r="22110" spans="18:18" s="2" customFormat="1" ht="12.75" x14ac:dyDescent="0.2">
      <c r="R22110" s="1288"/>
    </row>
    <row r="22111" spans="18:18" s="2" customFormat="1" ht="12.75" x14ac:dyDescent="0.2">
      <c r="R22111" s="1288"/>
    </row>
    <row r="22112" spans="18:18" s="2" customFormat="1" ht="12.75" x14ac:dyDescent="0.2">
      <c r="R22112" s="1288"/>
    </row>
    <row r="22113" spans="18:18" s="2" customFormat="1" ht="12.75" x14ac:dyDescent="0.2">
      <c r="R22113" s="1288"/>
    </row>
    <row r="22114" spans="18:18" s="2" customFormat="1" ht="12.75" x14ac:dyDescent="0.2">
      <c r="R22114" s="1288"/>
    </row>
    <row r="22115" spans="18:18" s="2" customFormat="1" ht="12.75" x14ac:dyDescent="0.2">
      <c r="R22115" s="1288"/>
    </row>
    <row r="22116" spans="18:18" s="2" customFormat="1" ht="12.75" x14ac:dyDescent="0.2">
      <c r="R22116" s="1288"/>
    </row>
    <row r="22117" spans="18:18" s="2" customFormat="1" ht="12.75" x14ac:dyDescent="0.2">
      <c r="R22117" s="1288"/>
    </row>
    <row r="22118" spans="18:18" s="2" customFormat="1" ht="12.75" x14ac:dyDescent="0.2">
      <c r="R22118" s="1288"/>
    </row>
    <row r="22119" spans="18:18" s="2" customFormat="1" ht="12.75" x14ac:dyDescent="0.2">
      <c r="R22119" s="1288"/>
    </row>
    <row r="22120" spans="18:18" s="2" customFormat="1" ht="12.75" x14ac:dyDescent="0.2">
      <c r="R22120" s="1288"/>
    </row>
    <row r="22121" spans="18:18" s="2" customFormat="1" ht="12.75" x14ac:dyDescent="0.2">
      <c r="R22121" s="1288"/>
    </row>
    <row r="22122" spans="18:18" s="2" customFormat="1" ht="12.75" x14ac:dyDescent="0.2">
      <c r="R22122" s="1288"/>
    </row>
    <row r="22123" spans="18:18" s="2" customFormat="1" ht="12.75" x14ac:dyDescent="0.2">
      <c r="R22123" s="1288"/>
    </row>
    <row r="22124" spans="18:18" s="2" customFormat="1" ht="12.75" x14ac:dyDescent="0.2">
      <c r="R22124" s="1288"/>
    </row>
    <row r="22125" spans="18:18" s="2" customFormat="1" ht="12.75" x14ac:dyDescent="0.2">
      <c r="R22125" s="1288"/>
    </row>
    <row r="22126" spans="18:18" s="2" customFormat="1" ht="12.75" x14ac:dyDescent="0.2">
      <c r="R22126" s="1288"/>
    </row>
    <row r="22127" spans="18:18" s="2" customFormat="1" ht="12.75" x14ac:dyDescent="0.2">
      <c r="R22127" s="1288"/>
    </row>
    <row r="22128" spans="18:18" s="2" customFormat="1" ht="12.75" x14ac:dyDescent="0.2">
      <c r="R22128" s="1288"/>
    </row>
    <row r="22129" spans="18:18" s="2" customFormat="1" ht="12.75" x14ac:dyDescent="0.2">
      <c r="R22129" s="1288"/>
    </row>
    <row r="22130" spans="18:18" s="2" customFormat="1" ht="12.75" x14ac:dyDescent="0.2">
      <c r="R22130" s="1288"/>
    </row>
    <row r="22131" spans="18:18" s="2" customFormat="1" ht="12.75" x14ac:dyDescent="0.2">
      <c r="R22131" s="1288"/>
    </row>
    <row r="22132" spans="18:18" s="2" customFormat="1" ht="12.75" x14ac:dyDescent="0.2">
      <c r="R22132" s="1288"/>
    </row>
    <row r="22133" spans="18:18" s="2" customFormat="1" ht="12.75" x14ac:dyDescent="0.2">
      <c r="R22133" s="1288"/>
    </row>
    <row r="22134" spans="18:18" s="2" customFormat="1" ht="12.75" x14ac:dyDescent="0.2">
      <c r="R22134" s="1288"/>
    </row>
    <row r="22135" spans="18:18" s="2" customFormat="1" ht="12.75" x14ac:dyDescent="0.2">
      <c r="R22135" s="1288"/>
    </row>
    <row r="22136" spans="18:18" s="2" customFormat="1" ht="12.75" x14ac:dyDescent="0.2">
      <c r="R22136" s="1288"/>
    </row>
    <row r="22137" spans="18:18" s="2" customFormat="1" ht="12.75" x14ac:dyDescent="0.2">
      <c r="R22137" s="1288"/>
    </row>
    <row r="22138" spans="18:18" s="2" customFormat="1" ht="12.75" x14ac:dyDescent="0.2">
      <c r="R22138" s="1288"/>
    </row>
    <row r="22139" spans="18:18" s="2" customFormat="1" ht="12.75" x14ac:dyDescent="0.2">
      <c r="R22139" s="1288"/>
    </row>
    <row r="22140" spans="18:18" s="2" customFormat="1" ht="12.75" x14ac:dyDescent="0.2">
      <c r="R22140" s="1288"/>
    </row>
    <row r="22141" spans="18:18" s="2" customFormat="1" ht="12.75" x14ac:dyDescent="0.2">
      <c r="R22141" s="1288"/>
    </row>
    <row r="22142" spans="18:18" s="2" customFormat="1" ht="12.75" x14ac:dyDescent="0.2">
      <c r="R22142" s="1288"/>
    </row>
    <row r="22143" spans="18:18" s="2" customFormat="1" ht="12.75" x14ac:dyDescent="0.2">
      <c r="R22143" s="1288"/>
    </row>
    <row r="22144" spans="18:18" s="2" customFormat="1" ht="12.75" x14ac:dyDescent="0.2">
      <c r="R22144" s="1288"/>
    </row>
    <row r="22145" spans="18:18" s="2" customFormat="1" ht="12.75" x14ac:dyDescent="0.2">
      <c r="R22145" s="1288"/>
    </row>
    <row r="22146" spans="18:18" s="2" customFormat="1" ht="12.75" x14ac:dyDescent="0.2">
      <c r="R22146" s="1288"/>
    </row>
    <row r="22147" spans="18:18" s="2" customFormat="1" ht="12.75" x14ac:dyDescent="0.2">
      <c r="R22147" s="1288"/>
    </row>
    <row r="22148" spans="18:18" s="2" customFormat="1" ht="12.75" x14ac:dyDescent="0.2">
      <c r="R22148" s="1288"/>
    </row>
    <row r="22149" spans="18:18" s="2" customFormat="1" ht="12.75" x14ac:dyDescent="0.2">
      <c r="R22149" s="1288"/>
    </row>
    <row r="22150" spans="18:18" s="2" customFormat="1" ht="12.75" x14ac:dyDescent="0.2">
      <c r="R22150" s="1288"/>
    </row>
    <row r="22151" spans="18:18" s="2" customFormat="1" ht="12.75" x14ac:dyDescent="0.2">
      <c r="R22151" s="1288"/>
    </row>
    <row r="22152" spans="18:18" s="2" customFormat="1" ht="12.75" x14ac:dyDescent="0.2">
      <c r="R22152" s="1288"/>
    </row>
    <row r="22153" spans="18:18" s="2" customFormat="1" ht="12.75" x14ac:dyDescent="0.2">
      <c r="R22153" s="1288"/>
    </row>
    <row r="22154" spans="18:18" s="2" customFormat="1" ht="12.75" x14ac:dyDescent="0.2">
      <c r="R22154" s="1288"/>
    </row>
    <row r="22155" spans="18:18" s="2" customFormat="1" ht="12.75" x14ac:dyDescent="0.2">
      <c r="R22155" s="1288"/>
    </row>
    <row r="22156" spans="18:18" s="2" customFormat="1" ht="12.75" x14ac:dyDescent="0.2">
      <c r="R22156" s="1288"/>
    </row>
    <row r="22157" spans="18:18" s="2" customFormat="1" ht="12.75" x14ac:dyDescent="0.2">
      <c r="R22157" s="1288"/>
    </row>
    <row r="22158" spans="18:18" s="2" customFormat="1" ht="12.75" x14ac:dyDescent="0.2">
      <c r="R22158" s="1288"/>
    </row>
    <row r="22159" spans="18:18" s="2" customFormat="1" ht="12.75" x14ac:dyDescent="0.2">
      <c r="R22159" s="1288"/>
    </row>
    <row r="22160" spans="18:18" s="2" customFormat="1" ht="12.75" x14ac:dyDescent="0.2">
      <c r="R22160" s="1288"/>
    </row>
    <row r="22161" spans="18:18" s="2" customFormat="1" ht="12.75" x14ac:dyDescent="0.2">
      <c r="R22161" s="1288"/>
    </row>
    <row r="22162" spans="18:18" s="2" customFormat="1" ht="12.75" x14ac:dyDescent="0.2">
      <c r="R22162" s="1288"/>
    </row>
    <row r="22163" spans="18:18" s="2" customFormat="1" ht="12.75" x14ac:dyDescent="0.2">
      <c r="R22163" s="1288"/>
    </row>
    <row r="22164" spans="18:18" s="2" customFormat="1" ht="12.75" x14ac:dyDescent="0.2">
      <c r="R22164" s="1288"/>
    </row>
    <row r="22165" spans="18:18" s="2" customFormat="1" ht="12.75" x14ac:dyDescent="0.2">
      <c r="R22165" s="1288"/>
    </row>
    <row r="22166" spans="18:18" s="2" customFormat="1" ht="12.75" x14ac:dyDescent="0.2">
      <c r="R22166" s="1288"/>
    </row>
    <row r="22167" spans="18:18" s="2" customFormat="1" ht="12.75" x14ac:dyDescent="0.2">
      <c r="R22167" s="1288"/>
    </row>
    <row r="22168" spans="18:18" s="2" customFormat="1" ht="12.75" x14ac:dyDescent="0.2">
      <c r="R22168" s="1288"/>
    </row>
    <row r="22169" spans="18:18" s="2" customFormat="1" ht="12.75" x14ac:dyDescent="0.2">
      <c r="R22169" s="1288"/>
    </row>
    <row r="22170" spans="18:18" s="2" customFormat="1" ht="12.75" x14ac:dyDescent="0.2">
      <c r="R22170" s="1288"/>
    </row>
    <row r="22171" spans="18:18" s="2" customFormat="1" ht="12.75" x14ac:dyDescent="0.2">
      <c r="R22171" s="1288"/>
    </row>
    <row r="22172" spans="18:18" s="2" customFormat="1" ht="12.75" x14ac:dyDescent="0.2">
      <c r="R22172" s="1288"/>
    </row>
    <row r="22173" spans="18:18" s="2" customFormat="1" ht="12.75" x14ac:dyDescent="0.2">
      <c r="R22173" s="1288"/>
    </row>
    <row r="22174" spans="18:18" s="2" customFormat="1" ht="12.75" x14ac:dyDescent="0.2">
      <c r="R22174" s="1288"/>
    </row>
    <row r="22175" spans="18:18" s="2" customFormat="1" ht="12.75" x14ac:dyDescent="0.2">
      <c r="R22175" s="1288"/>
    </row>
    <row r="22176" spans="18:18" s="2" customFormat="1" ht="12.75" x14ac:dyDescent="0.2">
      <c r="R22176" s="1288"/>
    </row>
    <row r="22177" spans="18:18" s="2" customFormat="1" ht="12.75" x14ac:dyDescent="0.2">
      <c r="R22177" s="1288"/>
    </row>
    <row r="22178" spans="18:18" s="2" customFormat="1" ht="12.75" x14ac:dyDescent="0.2">
      <c r="R22178" s="1288"/>
    </row>
    <row r="22179" spans="18:18" s="2" customFormat="1" ht="12.75" x14ac:dyDescent="0.2">
      <c r="R22179" s="1288"/>
    </row>
    <row r="22180" spans="18:18" s="2" customFormat="1" ht="12.75" x14ac:dyDescent="0.2">
      <c r="R22180" s="1288"/>
    </row>
    <row r="22181" spans="18:18" s="2" customFormat="1" ht="12.75" x14ac:dyDescent="0.2">
      <c r="R22181" s="1288"/>
    </row>
    <row r="22182" spans="18:18" s="2" customFormat="1" ht="12.75" x14ac:dyDescent="0.2">
      <c r="R22182" s="1288"/>
    </row>
    <row r="22183" spans="18:18" s="2" customFormat="1" ht="12.75" x14ac:dyDescent="0.2">
      <c r="R22183" s="1288"/>
    </row>
    <row r="22184" spans="18:18" s="2" customFormat="1" ht="12.75" x14ac:dyDescent="0.2">
      <c r="R22184" s="1288"/>
    </row>
    <row r="22185" spans="18:18" s="2" customFormat="1" ht="12.75" x14ac:dyDescent="0.2">
      <c r="R22185" s="1288"/>
    </row>
    <row r="22186" spans="18:18" s="2" customFormat="1" ht="12.75" x14ac:dyDescent="0.2">
      <c r="R22186" s="1288"/>
    </row>
    <row r="22187" spans="18:18" s="2" customFormat="1" ht="12.75" x14ac:dyDescent="0.2">
      <c r="R22187" s="1288"/>
    </row>
    <row r="22188" spans="18:18" s="2" customFormat="1" ht="12.75" x14ac:dyDescent="0.2">
      <c r="R22188" s="1288"/>
    </row>
    <row r="22189" spans="18:18" s="2" customFormat="1" ht="12.75" x14ac:dyDescent="0.2">
      <c r="R22189" s="1288"/>
    </row>
    <row r="22190" spans="18:18" s="2" customFormat="1" ht="12.75" x14ac:dyDescent="0.2">
      <c r="R22190" s="1288"/>
    </row>
    <row r="22191" spans="18:18" s="2" customFormat="1" ht="12.75" x14ac:dyDescent="0.2">
      <c r="R22191" s="1288"/>
    </row>
    <row r="22192" spans="18:18" s="2" customFormat="1" ht="12.75" x14ac:dyDescent="0.2">
      <c r="R22192" s="1288"/>
    </row>
    <row r="22193" spans="18:18" s="2" customFormat="1" ht="12.75" x14ac:dyDescent="0.2">
      <c r="R22193" s="1288"/>
    </row>
    <row r="22194" spans="18:18" s="2" customFormat="1" ht="12.75" x14ac:dyDescent="0.2">
      <c r="R22194" s="1288"/>
    </row>
    <row r="22195" spans="18:18" s="2" customFormat="1" ht="12.75" x14ac:dyDescent="0.2">
      <c r="R22195" s="1288"/>
    </row>
    <row r="22196" spans="18:18" s="2" customFormat="1" ht="12.75" x14ac:dyDescent="0.2">
      <c r="R22196" s="1288"/>
    </row>
    <row r="22197" spans="18:18" s="2" customFormat="1" ht="12.75" x14ac:dyDescent="0.2">
      <c r="R22197" s="1288"/>
    </row>
    <row r="22198" spans="18:18" s="2" customFormat="1" ht="12.75" x14ac:dyDescent="0.2">
      <c r="R22198" s="1288"/>
    </row>
    <row r="22199" spans="18:18" s="2" customFormat="1" ht="12.75" x14ac:dyDescent="0.2">
      <c r="R22199" s="1288"/>
    </row>
    <row r="22200" spans="18:18" s="2" customFormat="1" ht="12.75" x14ac:dyDescent="0.2">
      <c r="R22200" s="1288"/>
    </row>
    <row r="22201" spans="18:18" s="2" customFormat="1" ht="12.75" x14ac:dyDescent="0.2">
      <c r="R22201" s="1288"/>
    </row>
    <row r="22202" spans="18:18" s="2" customFormat="1" ht="12.75" x14ac:dyDescent="0.2">
      <c r="R22202" s="1288"/>
    </row>
    <row r="22203" spans="18:18" s="2" customFormat="1" ht="12.75" x14ac:dyDescent="0.2">
      <c r="R22203" s="1288"/>
    </row>
    <row r="22204" spans="18:18" s="2" customFormat="1" ht="12.75" x14ac:dyDescent="0.2">
      <c r="R22204" s="1288"/>
    </row>
    <row r="22205" spans="18:18" s="2" customFormat="1" ht="12.75" x14ac:dyDescent="0.2">
      <c r="R22205" s="1288"/>
    </row>
    <row r="22206" spans="18:18" s="2" customFormat="1" ht="12.75" x14ac:dyDescent="0.2">
      <c r="R22206" s="1288"/>
    </row>
    <row r="22207" spans="18:18" s="2" customFormat="1" ht="12.75" x14ac:dyDescent="0.2">
      <c r="R22207" s="1288"/>
    </row>
    <row r="22208" spans="18:18" s="2" customFormat="1" ht="12.75" x14ac:dyDescent="0.2">
      <c r="R22208" s="1288"/>
    </row>
    <row r="22209" spans="18:18" s="2" customFormat="1" ht="12.75" x14ac:dyDescent="0.2">
      <c r="R22209" s="1288"/>
    </row>
    <row r="22210" spans="18:18" s="2" customFormat="1" ht="12.75" x14ac:dyDescent="0.2">
      <c r="R22210" s="1288"/>
    </row>
    <row r="22211" spans="18:18" s="2" customFormat="1" ht="12.75" x14ac:dyDescent="0.2">
      <c r="R22211" s="1288"/>
    </row>
    <row r="22212" spans="18:18" s="2" customFormat="1" ht="12.75" x14ac:dyDescent="0.2">
      <c r="R22212" s="1288"/>
    </row>
    <row r="22213" spans="18:18" s="2" customFormat="1" ht="12.75" x14ac:dyDescent="0.2">
      <c r="R22213" s="1288"/>
    </row>
    <row r="22214" spans="18:18" s="2" customFormat="1" ht="12.75" x14ac:dyDescent="0.2">
      <c r="R22214" s="1288"/>
    </row>
    <row r="22215" spans="18:18" s="2" customFormat="1" ht="12.75" x14ac:dyDescent="0.2">
      <c r="R22215" s="1288"/>
    </row>
    <row r="22216" spans="18:18" s="2" customFormat="1" ht="12.75" x14ac:dyDescent="0.2">
      <c r="R22216" s="1288"/>
    </row>
    <row r="22217" spans="18:18" s="2" customFormat="1" ht="12.75" x14ac:dyDescent="0.2">
      <c r="R22217" s="1288"/>
    </row>
    <row r="22218" spans="18:18" s="2" customFormat="1" ht="12.75" x14ac:dyDescent="0.2">
      <c r="R22218" s="1288"/>
    </row>
    <row r="22219" spans="18:18" s="2" customFormat="1" ht="12.75" x14ac:dyDescent="0.2">
      <c r="R22219" s="1288"/>
    </row>
    <row r="22220" spans="18:18" s="2" customFormat="1" ht="12.75" x14ac:dyDescent="0.2">
      <c r="R22220" s="1288"/>
    </row>
    <row r="22221" spans="18:18" s="2" customFormat="1" ht="12.75" x14ac:dyDescent="0.2">
      <c r="R22221" s="1288"/>
    </row>
    <row r="22222" spans="18:18" s="2" customFormat="1" ht="12.75" x14ac:dyDescent="0.2">
      <c r="R22222" s="1288"/>
    </row>
    <row r="22223" spans="18:18" s="2" customFormat="1" ht="12.75" x14ac:dyDescent="0.2">
      <c r="R22223" s="1288"/>
    </row>
    <row r="22224" spans="18:18" s="2" customFormat="1" ht="12.75" x14ac:dyDescent="0.2">
      <c r="R22224" s="1288"/>
    </row>
    <row r="22225" spans="18:18" s="2" customFormat="1" ht="12.75" x14ac:dyDescent="0.2">
      <c r="R22225" s="1288"/>
    </row>
    <row r="22226" spans="18:18" s="2" customFormat="1" ht="12.75" x14ac:dyDescent="0.2">
      <c r="R22226" s="1288"/>
    </row>
    <row r="22227" spans="18:18" s="2" customFormat="1" ht="12.75" x14ac:dyDescent="0.2">
      <c r="R22227" s="1288"/>
    </row>
    <row r="22228" spans="18:18" s="2" customFormat="1" ht="12.75" x14ac:dyDescent="0.2">
      <c r="R22228" s="1288"/>
    </row>
    <row r="22229" spans="18:18" s="2" customFormat="1" ht="12.75" x14ac:dyDescent="0.2">
      <c r="R22229" s="1288"/>
    </row>
    <row r="22230" spans="18:18" s="2" customFormat="1" ht="12.75" x14ac:dyDescent="0.2">
      <c r="R22230" s="1288"/>
    </row>
    <row r="22231" spans="18:18" s="2" customFormat="1" ht="12.75" x14ac:dyDescent="0.2">
      <c r="R22231" s="1288"/>
    </row>
    <row r="22232" spans="18:18" s="2" customFormat="1" ht="12.75" x14ac:dyDescent="0.2">
      <c r="R22232" s="1288"/>
    </row>
    <row r="22233" spans="18:18" s="2" customFormat="1" ht="12.75" x14ac:dyDescent="0.2">
      <c r="R22233" s="1288"/>
    </row>
    <row r="22234" spans="18:18" s="2" customFormat="1" ht="12.75" x14ac:dyDescent="0.2">
      <c r="R22234" s="1288"/>
    </row>
    <row r="22235" spans="18:18" s="2" customFormat="1" ht="12.75" x14ac:dyDescent="0.2">
      <c r="R22235" s="1288"/>
    </row>
    <row r="22236" spans="18:18" s="2" customFormat="1" ht="12.75" x14ac:dyDescent="0.2">
      <c r="R22236" s="1288"/>
    </row>
    <row r="22237" spans="18:18" s="2" customFormat="1" ht="12.75" x14ac:dyDescent="0.2">
      <c r="R22237" s="1288"/>
    </row>
    <row r="22238" spans="18:18" s="2" customFormat="1" ht="12.75" x14ac:dyDescent="0.2">
      <c r="R22238" s="1288"/>
    </row>
    <row r="22239" spans="18:18" s="2" customFormat="1" ht="12.75" x14ac:dyDescent="0.2">
      <c r="R22239" s="1288"/>
    </row>
    <row r="22240" spans="18:18" s="2" customFormat="1" ht="12.75" x14ac:dyDescent="0.2">
      <c r="R22240" s="1288"/>
    </row>
    <row r="22241" spans="18:18" s="2" customFormat="1" ht="12.75" x14ac:dyDescent="0.2">
      <c r="R22241" s="1288"/>
    </row>
    <row r="22242" spans="18:18" s="2" customFormat="1" ht="12.75" x14ac:dyDescent="0.2">
      <c r="R22242" s="1288"/>
    </row>
    <row r="22243" spans="18:18" s="2" customFormat="1" ht="12.75" x14ac:dyDescent="0.2">
      <c r="R22243" s="1288"/>
    </row>
    <row r="22244" spans="18:18" s="2" customFormat="1" ht="12.75" x14ac:dyDescent="0.2">
      <c r="R22244" s="1288"/>
    </row>
    <row r="22245" spans="18:18" s="2" customFormat="1" ht="12.75" x14ac:dyDescent="0.2">
      <c r="R22245" s="1288"/>
    </row>
    <row r="22246" spans="18:18" s="2" customFormat="1" ht="12.75" x14ac:dyDescent="0.2">
      <c r="R22246" s="1288"/>
    </row>
    <row r="22247" spans="18:18" s="2" customFormat="1" ht="12.75" x14ac:dyDescent="0.2">
      <c r="R22247" s="1288"/>
    </row>
    <row r="22248" spans="18:18" s="2" customFormat="1" ht="12.75" x14ac:dyDescent="0.2">
      <c r="R22248" s="1288"/>
    </row>
    <row r="22249" spans="18:18" s="2" customFormat="1" ht="12.75" x14ac:dyDescent="0.2">
      <c r="R22249" s="1288"/>
    </row>
    <row r="22250" spans="18:18" s="2" customFormat="1" ht="12.75" x14ac:dyDescent="0.2">
      <c r="R22250" s="1288"/>
    </row>
    <row r="22251" spans="18:18" s="2" customFormat="1" ht="12.75" x14ac:dyDescent="0.2">
      <c r="R22251" s="1288"/>
    </row>
    <row r="22252" spans="18:18" s="2" customFormat="1" ht="12.75" x14ac:dyDescent="0.2">
      <c r="R22252" s="1288"/>
    </row>
    <row r="22253" spans="18:18" s="2" customFormat="1" ht="12.75" x14ac:dyDescent="0.2">
      <c r="R22253" s="1288"/>
    </row>
    <row r="22254" spans="18:18" s="2" customFormat="1" ht="12.75" x14ac:dyDescent="0.2">
      <c r="R22254" s="1288"/>
    </row>
    <row r="22255" spans="18:18" s="2" customFormat="1" ht="12.75" x14ac:dyDescent="0.2">
      <c r="R22255" s="1288"/>
    </row>
    <row r="22256" spans="18:18" s="2" customFormat="1" ht="12.75" x14ac:dyDescent="0.2">
      <c r="R22256" s="1288"/>
    </row>
    <row r="22257" spans="18:18" s="2" customFormat="1" ht="12.75" x14ac:dyDescent="0.2">
      <c r="R22257" s="1288"/>
    </row>
    <row r="22258" spans="18:18" s="2" customFormat="1" ht="12.75" x14ac:dyDescent="0.2">
      <c r="R22258" s="1288"/>
    </row>
    <row r="22259" spans="18:18" s="2" customFormat="1" ht="12.75" x14ac:dyDescent="0.2">
      <c r="R22259" s="1288"/>
    </row>
    <row r="22260" spans="18:18" s="2" customFormat="1" ht="12.75" x14ac:dyDescent="0.2">
      <c r="R22260" s="1288"/>
    </row>
    <row r="22261" spans="18:18" s="2" customFormat="1" ht="12.75" x14ac:dyDescent="0.2">
      <c r="R22261" s="1288"/>
    </row>
    <row r="22262" spans="18:18" s="2" customFormat="1" ht="12.75" x14ac:dyDescent="0.2">
      <c r="R22262" s="1288"/>
    </row>
    <row r="22263" spans="18:18" s="2" customFormat="1" ht="12.75" x14ac:dyDescent="0.2">
      <c r="R22263" s="1288"/>
    </row>
    <row r="22264" spans="18:18" s="2" customFormat="1" ht="12.75" x14ac:dyDescent="0.2">
      <c r="R22264" s="1288"/>
    </row>
    <row r="22265" spans="18:18" s="2" customFormat="1" ht="12.75" x14ac:dyDescent="0.2">
      <c r="R22265" s="1288"/>
    </row>
    <row r="22266" spans="18:18" s="2" customFormat="1" ht="12.75" x14ac:dyDescent="0.2">
      <c r="R22266" s="1288"/>
    </row>
    <row r="22267" spans="18:18" s="2" customFormat="1" ht="12.75" x14ac:dyDescent="0.2">
      <c r="R22267" s="1288"/>
    </row>
    <row r="22268" spans="18:18" s="2" customFormat="1" ht="12.75" x14ac:dyDescent="0.2">
      <c r="R22268" s="1288"/>
    </row>
    <row r="22269" spans="18:18" s="2" customFormat="1" ht="12.75" x14ac:dyDescent="0.2">
      <c r="R22269" s="1288"/>
    </row>
    <row r="22270" spans="18:18" s="2" customFormat="1" ht="12.75" x14ac:dyDescent="0.2">
      <c r="R22270" s="1288"/>
    </row>
    <row r="22271" spans="18:18" s="2" customFormat="1" ht="12.75" x14ac:dyDescent="0.2">
      <c r="R22271" s="1288"/>
    </row>
    <row r="22272" spans="18:18" s="2" customFormat="1" ht="12.75" x14ac:dyDescent="0.2">
      <c r="R22272" s="1288"/>
    </row>
    <row r="22273" spans="18:18" s="2" customFormat="1" ht="12.75" x14ac:dyDescent="0.2">
      <c r="R22273" s="1288"/>
    </row>
    <row r="22274" spans="18:18" s="2" customFormat="1" ht="12.75" x14ac:dyDescent="0.2">
      <c r="R22274" s="1288"/>
    </row>
    <row r="22275" spans="18:18" s="2" customFormat="1" ht="12.75" x14ac:dyDescent="0.2">
      <c r="R22275" s="1288"/>
    </row>
    <row r="22276" spans="18:18" s="2" customFormat="1" ht="12.75" x14ac:dyDescent="0.2">
      <c r="R22276" s="1288"/>
    </row>
    <row r="22277" spans="18:18" s="2" customFormat="1" ht="12.75" x14ac:dyDescent="0.2">
      <c r="R22277" s="1288"/>
    </row>
    <row r="22278" spans="18:18" s="2" customFormat="1" ht="12.75" x14ac:dyDescent="0.2">
      <c r="R22278" s="1288"/>
    </row>
    <row r="22279" spans="18:18" s="2" customFormat="1" ht="12.75" x14ac:dyDescent="0.2">
      <c r="R22279" s="1288"/>
    </row>
    <row r="22280" spans="18:18" s="2" customFormat="1" ht="12.75" x14ac:dyDescent="0.2">
      <c r="R22280" s="1288"/>
    </row>
    <row r="22281" spans="18:18" s="2" customFormat="1" ht="12.75" x14ac:dyDescent="0.2">
      <c r="R22281" s="1288"/>
    </row>
    <row r="22282" spans="18:18" s="2" customFormat="1" ht="12.75" x14ac:dyDescent="0.2">
      <c r="R22282" s="1288"/>
    </row>
    <row r="22283" spans="18:18" s="2" customFormat="1" ht="12.75" x14ac:dyDescent="0.2">
      <c r="R22283" s="1288"/>
    </row>
    <row r="22284" spans="18:18" s="2" customFormat="1" ht="12.75" x14ac:dyDescent="0.2">
      <c r="R22284" s="1288"/>
    </row>
    <row r="22285" spans="18:18" s="2" customFormat="1" ht="12.75" x14ac:dyDescent="0.2">
      <c r="R22285" s="1288"/>
    </row>
    <row r="22286" spans="18:18" s="2" customFormat="1" ht="12.75" x14ac:dyDescent="0.2">
      <c r="R22286" s="1288"/>
    </row>
    <row r="22287" spans="18:18" s="2" customFormat="1" ht="12.75" x14ac:dyDescent="0.2">
      <c r="R22287" s="1288"/>
    </row>
    <row r="22288" spans="18:18" s="2" customFormat="1" ht="12.75" x14ac:dyDescent="0.2">
      <c r="R22288" s="1288"/>
    </row>
    <row r="22289" spans="18:18" s="2" customFormat="1" ht="12.75" x14ac:dyDescent="0.2">
      <c r="R22289" s="1288"/>
    </row>
    <row r="22290" spans="18:18" s="2" customFormat="1" ht="12.75" x14ac:dyDescent="0.2">
      <c r="R22290" s="1288"/>
    </row>
    <row r="22291" spans="18:18" s="2" customFormat="1" ht="12.75" x14ac:dyDescent="0.2">
      <c r="R22291" s="1288"/>
    </row>
    <row r="22292" spans="18:18" s="2" customFormat="1" ht="12.75" x14ac:dyDescent="0.2">
      <c r="R22292" s="1288"/>
    </row>
    <row r="22293" spans="18:18" s="2" customFormat="1" ht="12.75" x14ac:dyDescent="0.2">
      <c r="R22293" s="1288"/>
    </row>
    <row r="22294" spans="18:18" s="2" customFormat="1" ht="12.75" x14ac:dyDescent="0.2">
      <c r="R22294" s="1288"/>
    </row>
    <row r="22295" spans="18:18" s="2" customFormat="1" ht="12.75" x14ac:dyDescent="0.2">
      <c r="R22295" s="1288"/>
    </row>
    <row r="22296" spans="18:18" s="2" customFormat="1" ht="12.75" x14ac:dyDescent="0.2">
      <c r="R22296" s="1288"/>
    </row>
    <row r="22297" spans="18:18" s="2" customFormat="1" ht="12.75" x14ac:dyDescent="0.2">
      <c r="R22297" s="1288"/>
    </row>
    <row r="22298" spans="18:18" s="2" customFormat="1" ht="12.75" x14ac:dyDescent="0.2">
      <c r="R22298" s="1288"/>
    </row>
    <row r="22299" spans="18:18" s="2" customFormat="1" ht="12.75" x14ac:dyDescent="0.2">
      <c r="R22299" s="1288"/>
    </row>
    <row r="22300" spans="18:18" s="2" customFormat="1" ht="12.75" x14ac:dyDescent="0.2">
      <c r="R22300" s="1288"/>
    </row>
    <row r="22301" spans="18:18" s="2" customFormat="1" ht="12.75" x14ac:dyDescent="0.2">
      <c r="R22301" s="1288"/>
    </row>
    <row r="22302" spans="18:18" s="2" customFormat="1" ht="12.75" x14ac:dyDescent="0.2">
      <c r="R22302" s="1288"/>
    </row>
    <row r="22303" spans="18:18" s="2" customFormat="1" ht="12.75" x14ac:dyDescent="0.2">
      <c r="R22303" s="1288"/>
    </row>
    <row r="22304" spans="18:18" s="2" customFormat="1" ht="12.75" x14ac:dyDescent="0.2">
      <c r="R22304" s="1288"/>
    </row>
    <row r="22305" spans="18:18" s="2" customFormat="1" ht="12.75" x14ac:dyDescent="0.2">
      <c r="R22305" s="1288"/>
    </row>
    <row r="22306" spans="18:18" s="2" customFormat="1" ht="12.75" x14ac:dyDescent="0.2">
      <c r="R22306" s="1288"/>
    </row>
    <row r="22307" spans="18:18" s="2" customFormat="1" ht="12.75" x14ac:dyDescent="0.2">
      <c r="R22307" s="1288"/>
    </row>
    <row r="22308" spans="18:18" s="2" customFormat="1" ht="12.75" x14ac:dyDescent="0.2">
      <c r="R22308" s="1288"/>
    </row>
    <row r="22309" spans="18:18" s="2" customFormat="1" ht="12.75" x14ac:dyDescent="0.2">
      <c r="R22309" s="1288"/>
    </row>
    <row r="22310" spans="18:18" s="2" customFormat="1" ht="12.75" x14ac:dyDescent="0.2">
      <c r="R22310" s="1288"/>
    </row>
    <row r="22311" spans="18:18" s="2" customFormat="1" ht="12.75" x14ac:dyDescent="0.2">
      <c r="R22311" s="1288"/>
    </row>
    <row r="22312" spans="18:18" s="2" customFormat="1" ht="12.75" x14ac:dyDescent="0.2">
      <c r="R22312" s="1288"/>
    </row>
    <row r="22313" spans="18:18" s="2" customFormat="1" ht="12.75" x14ac:dyDescent="0.2">
      <c r="R22313" s="1288"/>
    </row>
    <row r="22314" spans="18:18" s="2" customFormat="1" ht="12.75" x14ac:dyDescent="0.2">
      <c r="R22314" s="1288"/>
    </row>
    <row r="22315" spans="18:18" s="2" customFormat="1" ht="12.75" x14ac:dyDescent="0.2">
      <c r="R22315" s="1288"/>
    </row>
    <row r="22316" spans="18:18" s="2" customFormat="1" ht="12.75" x14ac:dyDescent="0.2">
      <c r="R22316" s="1288"/>
    </row>
    <row r="22317" spans="18:18" s="2" customFormat="1" ht="12.75" x14ac:dyDescent="0.2">
      <c r="R22317" s="1288"/>
    </row>
    <row r="22318" spans="18:18" s="2" customFormat="1" ht="12.75" x14ac:dyDescent="0.2">
      <c r="R22318" s="1288"/>
    </row>
    <row r="22319" spans="18:18" s="2" customFormat="1" ht="12.75" x14ac:dyDescent="0.2">
      <c r="R22319" s="1288"/>
    </row>
    <row r="22320" spans="18:18" s="2" customFormat="1" ht="12.75" x14ac:dyDescent="0.2">
      <c r="R22320" s="1288"/>
    </row>
    <row r="22321" spans="18:18" s="2" customFormat="1" ht="12.75" x14ac:dyDescent="0.2">
      <c r="R22321" s="1288"/>
    </row>
    <row r="22322" spans="18:18" s="2" customFormat="1" ht="12.75" x14ac:dyDescent="0.2">
      <c r="R22322" s="1288"/>
    </row>
    <row r="22323" spans="18:18" s="2" customFormat="1" ht="12.75" x14ac:dyDescent="0.2">
      <c r="R22323" s="1288"/>
    </row>
    <row r="22324" spans="18:18" s="2" customFormat="1" ht="12.75" x14ac:dyDescent="0.2">
      <c r="R22324" s="1288"/>
    </row>
    <row r="22325" spans="18:18" s="2" customFormat="1" ht="12.75" x14ac:dyDescent="0.2">
      <c r="R22325" s="1288"/>
    </row>
    <row r="22326" spans="18:18" s="2" customFormat="1" ht="12.75" x14ac:dyDescent="0.2">
      <c r="R22326" s="1288"/>
    </row>
    <row r="22327" spans="18:18" s="2" customFormat="1" ht="12.75" x14ac:dyDescent="0.2">
      <c r="R22327" s="1288"/>
    </row>
    <row r="22328" spans="18:18" s="2" customFormat="1" ht="12.75" x14ac:dyDescent="0.2">
      <c r="R22328" s="1288"/>
    </row>
    <row r="22329" spans="18:18" s="2" customFormat="1" ht="12.75" x14ac:dyDescent="0.2">
      <c r="R22329" s="1288"/>
    </row>
    <row r="22330" spans="18:18" s="2" customFormat="1" ht="12.75" x14ac:dyDescent="0.2">
      <c r="R22330" s="1288"/>
    </row>
    <row r="22331" spans="18:18" s="2" customFormat="1" ht="12.75" x14ac:dyDescent="0.2">
      <c r="R22331" s="1288"/>
    </row>
    <row r="22332" spans="18:18" s="2" customFormat="1" ht="12.75" x14ac:dyDescent="0.2">
      <c r="R22332" s="1288"/>
    </row>
    <row r="22333" spans="18:18" s="2" customFormat="1" ht="12.75" x14ac:dyDescent="0.2">
      <c r="R22333" s="1288"/>
    </row>
    <row r="22334" spans="18:18" s="2" customFormat="1" ht="12.75" x14ac:dyDescent="0.2">
      <c r="R22334" s="1288"/>
    </row>
    <row r="22335" spans="18:18" s="2" customFormat="1" ht="12.75" x14ac:dyDescent="0.2">
      <c r="R22335" s="1288"/>
    </row>
    <row r="22336" spans="18:18" s="2" customFormat="1" ht="12.75" x14ac:dyDescent="0.2">
      <c r="R22336" s="1288"/>
    </row>
    <row r="22337" spans="18:18" s="2" customFormat="1" ht="12.75" x14ac:dyDescent="0.2">
      <c r="R22337" s="1288"/>
    </row>
    <row r="22338" spans="18:18" s="2" customFormat="1" ht="12.75" x14ac:dyDescent="0.2">
      <c r="R22338" s="1288"/>
    </row>
    <row r="22339" spans="18:18" s="2" customFormat="1" ht="12.75" x14ac:dyDescent="0.2">
      <c r="R22339" s="1288"/>
    </row>
    <row r="22340" spans="18:18" s="2" customFormat="1" ht="12.75" x14ac:dyDescent="0.2">
      <c r="R22340" s="1288"/>
    </row>
    <row r="22341" spans="18:18" s="2" customFormat="1" ht="12.75" x14ac:dyDescent="0.2">
      <c r="R22341" s="1288"/>
    </row>
    <row r="22342" spans="18:18" s="2" customFormat="1" ht="12.75" x14ac:dyDescent="0.2">
      <c r="R22342" s="1288"/>
    </row>
    <row r="22343" spans="18:18" s="2" customFormat="1" ht="12.75" x14ac:dyDescent="0.2">
      <c r="R22343" s="1288"/>
    </row>
    <row r="22344" spans="18:18" s="2" customFormat="1" ht="12.75" x14ac:dyDescent="0.2">
      <c r="R22344" s="1288"/>
    </row>
    <row r="22345" spans="18:18" s="2" customFormat="1" ht="12.75" x14ac:dyDescent="0.2">
      <c r="R22345" s="1288"/>
    </row>
    <row r="22346" spans="18:18" s="2" customFormat="1" ht="12.75" x14ac:dyDescent="0.2">
      <c r="R22346" s="1288"/>
    </row>
    <row r="22347" spans="18:18" s="2" customFormat="1" ht="12.75" x14ac:dyDescent="0.2">
      <c r="R22347" s="1288"/>
    </row>
    <row r="22348" spans="18:18" s="2" customFormat="1" ht="12.75" x14ac:dyDescent="0.2">
      <c r="R22348" s="1288"/>
    </row>
    <row r="22349" spans="18:18" s="2" customFormat="1" ht="12.75" x14ac:dyDescent="0.2">
      <c r="R22349" s="1288"/>
    </row>
    <row r="22350" spans="18:18" s="2" customFormat="1" ht="12.75" x14ac:dyDescent="0.2">
      <c r="R22350" s="1288"/>
    </row>
    <row r="22351" spans="18:18" s="2" customFormat="1" ht="12.75" x14ac:dyDescent="0.2">
      <c r="R22351" s="1288"/>
    </row>
    <row r="22352" spans="18:18" s="2" customFormat="1" ht="12.75" x14ac:dyDescent="0.2">
      <c r="R22352" s="1288"/>
    </row>
    <row r="22353" spans="18:18" s="2" customFormat="1" ht="12.75" x14ac:dyDescent="0.2">
      <c r="R22353" s="1288"/>
    </row>
    <row r="22354" spans="18:18" s="2" customFormat="1" ht="12.75" x14ac:dyDescent="0.2">
      <c r="R22354" s="1288"/>
    </row>
    <row r="22355" spans="18:18" s="2" customFormat="1" ht="12.75" x14ac:dyDescent="0.2">
      <c r="R22355" s="1288"/>
    </row>
    <row r="22356" spans="18:18" s="2" customFormat="1" ht="12.75" x14ac:dyDescent="0.2">
      <c r="R22356" s="1288"/>
    </row>
    <row r="22357" spans="18:18" s="2" customFormat="1" ht="12.75" x14ac:dyDescent="0.2">
      <c r="R22357" s="1288"/>
    </row>
    <row r="22358" spans="18:18" s="2" customFormat="1" ht="12.75" x14ac:dyDescent="0.2">
      <c r="R22358" s="1288"/>
    </row>
    <row r="22359" spans="18:18" s="2" customFormat="1" ht="12.75" x14ac:dyDescent="0.2">
      <c r="R22359" s="1288"/>
    </row>
    <row r="22360" spans="18:18" s="2" customFormat="1" ht="12.75" x14ac:dyDescent="0.2">
      <c r="R22360" s="1288"/>
    </row>
    <row r="22361" spans="18:18" s="2" customFormat="1" ht="12.75" x14ac:dyDescent="0.2">
      <c r="R22361" s="1288"/>
    </row>
    <row r="22362" spans="18:18" s="2" customFormat="1" ht="12.75" x14ac:dyDescent="0.2">
      <c r="R22362" s="1288"/>
    </row>
    <row r="22363" spans="18:18" s="2" customFormat="1" ht="12.75" x14ac:dyDescent="0.2">
      <c r="R22363" s="1288"/>
    </row>
    <row r="22364" spans="18:18" s="2" customFormat="1" ht="12.75" x14ac:dyDescent="0.2">
      <c r="R22364" s="1288"/>
    </row>
    <row r="22365" spans="18:18" s="2" customFormat="1" ht="12.75" x14ac:dyDescent="0.2">
      <c r="R22365" s="1288"/>
    </row>
    <row r="22366" spans="18:18" s="2" customFormat="1" ht="12.75" x14ac:dyDescent="0.2">
      <c r="R22366" s="1288"/>
    </row>
    <row r="22367" spans="18:18" s="2" customFormat="1" ht="12.75" x14ac:dyDescent="0.2">
      <c r="R22367" s="1288"/>
    </row>
    <row r="22368" spans="18:18" s="2" customFormat="1" ht="12.75" x14ac:dyDescent="0.2">
      <c r="R22368" s="1288"/>
    </row>
    <row r="22369" spans="18:18" s="2" customFormat="1" ht="12.75" x14ac:dyDescent="0.2">
      <c r="R22369" s="1288"/>
    </row>
    <row r="22370" spans="18:18" s="2" customFormat="1" ht="12.75" x14ac:dyDescent="0.2">
      <c r="R22370" s="1288"/>
    </row>
    <row r="22371" spans="18:18" s="2" customFormat="1" ht="12.75" x14ac:dyDescent="0.2">
      <c r="R22371" s="1288"/>
    </row>
    <row r="22372" spans="18:18" s="2" customFormat="1" ht="12.75" x14ac:dyDescent="0.2">
      <c r="R22372" s="1288"/>
    </row>
    <row r="22373" spans="18:18" s="2" customFormat="1" ht="12.75" x14ac:dyDescent="0.2">
      <c r="R22373" s="1288"/>
    </row>
    <row r="22374" spans="18:18" s="2" customFormat="1" ht="12.75" x14ac:dyDescent="0.2">
      <c r="R22374" s="1288"/>
    </row>
    <row r="22375" spans="18:18" s="2" customFormat="1" ht="12.75" x14ac:dyDescent="0.2">
      <c r="R22375" s="1288"/>
    </row>
    <row r="22376" spans="18:18" s="2" customFormat="1" ht="12.75" x14ac:dyDescent="0.2">
      <c r="R22376" s="1288"/>
    </row>
    <row r="22377" spans="18:18" s="2" customFormat="1" ht="12.75" x14ac:dyDescent="0.2">
      <c r="R22377" s="1288"/>
    </row>
    <row r="22378" spans="18:18" s="2" customFormat="1" ht="12.75" x14ac:dyDescent="0.2">
      <c r="R22378" s="1288"/>
    </row>
    <row r="22379" spans="18:18" s="2" customFormat="1" ht="12.75" x14ac:dyDescent="0.2">
      <c r="R22379" s="1288"/>
    </row>
    <row r="22380" spans="18:18" s="2" customFormat="1" ht="12.75" x14ac:dyDescent="0.2">
      <c r="R22380" s="1288"/>
    </row>
    <row r="22381" spans="18:18" s="2" customFormat="1" ht="12.75" x14ac:dyDescent="0.2">
      <c r="R22381" s="1288"/>
    </row>
    <row r="22382" spans="18:18" s="2" customFormat="1" ht="12.75" x14ac:dyDescent="0.2">
      <c r="R22382" s="1288"/>
    </row>
    <row r="22383" spans="18:18" s="2" customFormat="1" ht="12.75" x14ac:dyDescent="0.2">
      <c r="R22383" s="1288"/>
    </row>
    <row r="22384" spans="18:18" s="2" customFormat="1" ht="12.75" x14ac:dyDescent="0.2">
      <c r="R22384" s="1288"/>
    </row>
    <row r="22385" spans="18:18" s="2" customFormat="1" ht="12.75" x14ac:dyDescent="0.2">
      <c r="R22385" s="1288"/>
    </row>
    <row r="22386" spans="18:18" s="2" customFormat="1" ht="12.75" x14ac:dyDescent="0.2">
      <c r="R22386" s="1288"/>
    </row>
    <row r="22387" spans="18:18" s="2" customFormat="1" ht="12.75" x14ac:dyDescent="0.2">
      <c r="R22387" s="1288"/>
    </row>
    <row r="22388" spans="18:18" s="2" customFormat="1" ht="12.75" x14ac:dyDescent="0.2">
      <c r="R22388" s="1288"/>
    </row>
    <row r="22389" spans="18:18" s="2" customFormat="1" ht="12.75" x14ac:dyDescent="0.2">
      <c r="R22389" s="1288"/>
    </row>
    <row r="22390" spans="18:18" s="2" customFormat="1" ht="12.75" x14ac:dyDescent="0.2">
      <c r="R22390" s="1288"/>
    </row>
    <row r="22391" spans="18:18" s="2" customFormat="1" ht="12.75" x14ac:dyDescent="0.2">
      <c r="R22391" s="1288"/>
    </row>
    <row r="22392" spans="18:18" s="2" customFormat="1" ht="12.75" x14ac:dyDescent="0.2">
      <c r="R22392" s="1288"/>
    </row>
    <row r="22393" spans="18:18" s="2" customFormat="1" ht="12.75" x14ac:dyDescent="0.2">
      <c r="R22393" s="1288"/>
    </row>
    <row r="22394" spans="18:18" s="2" customFormat="1" ht="12.75" x14ac:dyDescent="0.2">
      <c r="R22394" s="1288"/>
    </row>
    <row r="22395" spans="18:18" s="2" customFormat="1" ht="12.75" x14ac:dyDescent="0.2">
      <c r="R22395" s="1288"/>
    </row>
    <row r="22396" spans="18:18" s="2" customFormat="1" ht="12.75" x14ac:dyDescent="0.2">
      <c r="R22396" s="1288"/>
    </row>
    <row r="22397" spans="18:18" s="2" customFormat="1" ht="12.75" x14ac:dyDescent="0.2">
      <c r="R22397" s="1288"/>
    </row>
    <row r="22398" spans="18:18" s="2" customFormat="1" ht="12.75" x14ac:dyDescent="0.2">
      <c r="R22398" s="1288"/>
    </row>
    <row r="22399" spans="18:18" s="2" customFormat="1" ht="12.75" x14ac:dyDescent="0.2">
      <c r="R22399" s="1288"/>
    </row>
    <row r="22400" spans="18:18" s="2" customFormat="1" ht="12.75" x14ac:dyDescent="0.2">
      <c r="R22400" s="1288"/>
    </row>
    <row r="22401" spans="18:18" s="2" customFormat="1" ht="12.75" x14ac:dyDescent="0.2">
      <c r="R22401" s="1288"/>
    </row>
    <row r="22402" spans="18:18" s="2" customFormat="1" ht="12.75" x14ac:dyDescent="0.2">
      <c r="R22402" s="1288"/>
    </row>
    <row r="22403" spans="18:18" s="2" customFormat="1" ht="12.75" x14ac:dyDescent="0.2">
      <c r="R22403" s="1288"/>
    </row>
    <row r="22404" spans="18:18" s="2" customFormat="1" ht="12.75" x14ac:dyDescent="0.2">
      <c r="R22404" s="1288"/>
    </row>
    <row r="22405" spans="18:18" s="2" customFormat="1" ht="12.75" x14ac:dyDescent="0.2">
      <c r="R22405" s="1288"/>
    </row>
    <row r="22406" spans="18:18" s="2" customFormat="1" ht="12.75" x14ac:dyDescent="0.2">
      <c r="R22406" s="1288"/>
    </row>
    <row r="22407" spans="18:18" s="2" customFormat="1" ht="12.75" x14ac:dyDescent="0.2">
      <c r="R22407" s="1288"/>
    </row>
    <row r="22408" spans="18:18" s="2" customFormat="1" ht="12.75" x14ac:dyDescent="0.2">
      <c r="R22408" s="1288"/>
    </row>
    <row r="22409" spans="18:18" s="2" customFormat="1" ht="12.75" x14ac:dyDescent="0.2">
      <c r="R22409" s="1288"/>
    </row>
    <row r="22410" spans="18:18" s="2" customFormat="1" ht="12.75" x14ac:dyDescent="0.2">
      <c r="R22410" s="1288"/>
    </row>
    <row r="22411" spans="18:18" s="2" customFormat="1" ht="12.75" x14ac:dyDescent="0.2">
      <c r="R22411" s="1288"/>
    </row>
    <row r="22412" spans="18:18" s="2" customFormat="1" ht="12.75" x14ac:dyDescent="0.2">
      <c r="R22412" s="1288"/>
    </row>
    <row r="22413" spans="18:18" s="2" customFormat="1" ht="12.75" x14ac:dyDescent="0.2">
      <c r="R22413" s="1288"/>
    </row>
    <row r="22414" spans="18:18" s="2" customFormat="1" ht="12.75" x14ac:dyDescent="0.2">
      <c r="R22414" s="1288"/>
    </row>
    <row r="22415" spans="18:18" s="2" customFormat="1" ht="12.75" x14ac:dyDescent="0.2">
      <c r="R22415" s="1288"/>
    </row>
    <row r="22416" spans="18:18" s="2" customFormat="1" ht="12.75" x14ac:dyDescent="0.2">
      <c r="R22416" s="1288"/>
    </row>
    <row r="22417" spans="18:18" s="2" customFormat="1" ht="12.75" x14ac:dyDescent="0.2">
      <c r="R22417" s="1288"/>
    </row>
    <row r="22418" spans="18:18" s="2" customFormat="1" ht="12.75" x14ac:dyDescent="0.2">
      <c r="R22418" s="1288"/>
    </row>
    <row r="22419" spans="18:18" s="2" customFormat="1" ht="12.75" x14ac:dyDescent="0.2">
      <c r="R22419" s="1288"/>
    </row>
    <row r="22420" spans="18:18" s="2" customFormat="1" ht="12.75" x14ac:dyDescent="0.2">
      <c r="R22420" s="1288"/>
    </row>
    <row r="22421" spans="18:18" s="2" customFormat="1" ht="12.75" x14ac:dyDescent="0.2">
      <c r="R22421" s="1288"/>
    </row>
    <row r="22422" spans="18:18" s="2" customFormat="1" ht="12.75" x14ac:dyDescent="0.2">
      <c r="R22422" s="1288"/>
    </row>
    <row r="22423" spans="18:18" s="2" customFormat="1" ht="12.75" x14ac:dyDescent="0.2">
      <c r="R22423" s="1288"/>
    </row>
    <row r="22424" spans="18:18" s="2" customFormat="1" ht="12.75" x14ac:dyDescent="0.2">
      <c r="R22424" s="1288"/>
    </row>
    <row r="22425" spans="18:18" s="2" customFormat="1" ht="12.75" x14ac:dyDescent="0.2">
      <c r="R22425" s="1288"/>
    </row>
    <row r="22426" spans="18:18" s="2" customFormat="1" ht="12.75" x14ac:dyDescent="0.2">
      <c r="R22426" s="1288"/>
    </row>
    <row r="22427" spans="18:18" s="2" customFormat="1" ht="12.75" x14ac:dyDescent="0.2">
      <c r="R22427" s="1288"/>
    </row>
    <row r="22428" spans="18:18" s="2" customFormat="1" ht="12.75" x14ac:dyDescent="0.2">
      <c r="R22428" s="1288"/>
    </row>
    <row r="22429" spans="18:18" s="2" customFormat="1" ht="12.75" x14ac:dyDescent="0.2">
      <c r="R22429" s="1288"/>
    </row>
    <row r="22430" spans="18:18" s="2" customFormat="1" ht="12.75" x14ac:dyDescent="0.2">
      <c r="R22430" s="1288"/>
    </row>
    <row r="22431" spans="18:18" s="2" customFormat="1" ht="12.75" x14ac:dyDescent="0.2">
      <c r="R22431" s="1288"/>
    </row>
    <row r="22432" spans="18:18" s="2" customFormat="1" ht="12.75" x14ac:dyDescent="0.2">
      <c r="R22432" s="1288"/>
    </row>
    <row r="22433" spans="18:18" s="2" customFormat="1" ht="12.75" x14ac:dyDescent="0.2">
      <c r="R22433" s="1288"/>
    </row>
    <row r="22434" spans="18:18" s="2" customFormat="1" ht="12.75" x14ac:dyDescent="0.2">
      <c r="R22434" s="1288"/>
    </row>
    <row r="22435" spans="18:18" s="2" customFormat="1" ht="12.75" x14ac:dyDescent="0.2">
      <c r="R22435" s="1288"/>
    </row>
    <row r="22436" spans="18:18" s="2" customFormat="1" ht="12.75" x14ac:dyDescent="0.2">
      <c r="R22436" s="1288"/>
    </row>
    <row r="22437" spans="18:18" s="2" customFormat="1" ht="12.75" x14ac:dyDescent="0.2">
      <c r="R22437" s="1288"/>
    </row>
    <row r="22438" spans="18:18" s="2" customFormat="1" ht="12.75" x14ac:dyDescent="0.2">
      <c r="R22438" s="1288"/>
    </row>
    <row r="22439" spans="18:18" s="2" customFormat="1" ht="12.75" x14ac:dyDescent="0.2">
      <c r="R22439" s="1288"/>
    </row>
    <row r="22440" spans="18:18" s="2" customFormat="1" ht="12.75" x14ac:dyDescent="0.2">
      <c r="R22440" s="1288"/>
    </row>
    <row r="22441" spans="18:18" s="2" customFormat="1" ht="12.75" x14ac:dyDescent="0.2">
      <c r="R22441" s="1288"/>
    </row>
    <row r="22442" spans="18:18" s="2" customFormat="1" ht="12.75" x14ac:dyDescent="0.2">
      <c r="R22442" s="1288"/>
    </row>
    <row r="22443" spans="18:18" s="2" customFormat="1" ht="12.75" x14ac:dyDescent="0.2">
      <c r="R22443" s="1288"/>
    </row>
    <row r="22444" spans="18:18" s="2" customFormat="1" ht="12.75" x14ac:dyDescent="0.2">
      <c r="R22444" s="1288"/>
    </row>
    <row r="22445" spans="18:18" s="2" customFormat="1" ht="12.75" x14ac:dyDescent="0.2">
      <c r="R22445" s="1288"/>
    </row>
    <row r="22446" spans="18:18" s="2" customFormat="1" ht="12.75" x14ac:dyDescent="0.2">
      <c r="R22446" s="1288"/>
    </row>
    <row r="22447" spans="18:18" s="2" customFormat="1" ht="12.75" x14ac:dyDescent="0.2">
      <c r="R22447" s="1288"/>
    </row>
    <row r="22448" spans="18:18" s="2" customFormat="1" ht="12.75" x14ac:dyDescent="0.2">
      <c r="R22448" s="1288"/>
    </row>
    <row r="22449" spans="18:18" s="2" customFormat="1" ht="12.75" x14ac:dyDescent="0.2">
      <c r="R22449" s="1288"/>
    </row>
    <row r="22450" spans="18:18" s="2" customFormat="1" ht="12.75" x14ac:dyDescent="0.2">
      <c r="R22450" s="1288"/>
    </row>
    <row r="22451" spans="18:18" s="2" customFormat="1" ht="12.75" x14ac:dyDescent="0.2">
      <c r="R22451" s="1288"/>
    </row>
    <row r="22452" spans="18:18" s="2" customFormat="1" ht="12.75" x14ac:dyDescent="0.2">
      <c r="R22452" s="1288"/>
    </row>
    <row r="22453" spans="18:18" s="2" customFormat="1" ht="12.75" x14ac:dyDescent="0.2">
      <c r="R22453" s="1288"/>
    </row>
    <row r="22454" spans="18:18" s="2" customFormat="1" ht="12.75" x14ac:dyDescent="0.2">
      <c r="R22454" s="1288"/>
    </row>
    <row r="22455" spans="18:18" s="2" customFormat="1" ht="12.75" x14ac:dyDescent="0.2">
      <c r="R22455" s="1288"/>
    </row>
    <row r="22456" spans="18:18" s="2" customFormat="1" ht="12.75" x14ac:dyDescent="0.2">
      <c r="R22456" s="1288"/>
    </row>
    <row r="22457" spans="18:18" s="2" customFormat="1" ht="12.75" x14ac:dyDescent="0.2">
      <c r="R22457" s="1288"/>
    </row>
    <row r="22458" spans="18:18" s="2" customFormat="1" ht="12.75" x14ac:dyDescent="0.2">
      <c r="R22458" s="1288"/>
    </row>
    <row r="22459" spans="18:18" s="2" customFormat="1" ht="12.75" x14ac:dyDescent="0.2">
      <c r="R22459" s="1288"/>
    </row>
    <row r="22460" spans="18:18" s="2" customFormat="1" ht="12.75" x14ac:dyDescent="0.2">
      <c r="R22460" s="1288"/>
    </row>
    <row r="22461" spans="18:18" s="2" customFormat="1" ht="12.75" x14ac:dyDescent="0.2">
      <c r="R22461" s="1288"/>
    </row>
    <row r="22462" spans="18:18" s="2" customFormat="1" ht="12.75" x14ac:dyDescent="0.2">
      <c r="R22462" s="1288"/>
    </row>
    <row r="22463" spans="18:18" s="2" customFormat="1" ht="12.75" x14ac:dyDescent="0.2">
      <c r="R22463" s="1288"/>
    </row>
    <row r="22464" spans="18:18" s="2" customFormat="1" ht="12.75" x14ac:dyDescent="0.2">
      <c r="R22464" s="1288"/>
    </row>
    <row r="22465" spans="18:18" s="2" customFormat="1" ht="12.75" x14ac:dyDescent="0.2">
      <c r="R22465" s="1288"/>
    </row>
    <row r="22466" spans="18:18" s="2" customFormat="1" ht="12.75" x14ac:dyDescent="0.2">
      <c r="R22466" s="1288"/>
    </row>
    <row r="22467" spans="18:18" s="2" customFormat="1" ht="12.75" x14ac:dyDescent="0.2">
      <c r="R22467" s="1288"/>
    </row>
    <row r="22468" spans="18:18" s="2" customFormat="1" ht="12.75" x14ac:dyDescent="0.2">
      <c r="R22468" s="1288"/>
    </row>
    <row r="22469" spans="18:18" s="2" customFormat="1" ht="12.75" x14ac:dyDescent="0.2">
      <c r="R22469" s="1288"/>
    </row>
    <row r="22470" spans="18:18" s="2" customFormat="1" ht="12.75" x14ac:dyDescent="0.2">
      <c r="R22470" s="1288"/>
    </row>
    <row r="22471" spans="18:18" s="2" customFormat="1" ht="12.75" x14ac:dyDescent="0.2">
      <c r="R22471" s="1288"/>
    </row>
    <row r="22472" spans="18:18" s="2" customFormat="1" ht="12.75" x14ac:dyDescent="0.2">
      <c r="R22472" s="1288"/>
    </row>
    <row r="22473" spans="18:18" s="2" customFormat="1" ht="12.75" x14ac:dyDescent="0.2">
      <c r="R22473" s="1288"/>
    </row>
    <row r="22474" spans="18:18" s="2" customFormat="1" ht="12.75" x14ac:dyDescent="0.2">
      <c r="R22474" s="1288"/>
    </row>
    <row r="22475" spans="18:18" s="2" customFormat="1" ht="12.75" x14ac:dyDescent="0.2">
      <c r="R22475" s="1288"/>
    </row>
    <row r="22476" spans="18:18" s="2" customFormat="1" ht="12.75" x14ac:dyDescent="0.2">
      <c r="R22476" s="1288"/>
    </row>
    <row r="22477" spans="18:18" s="2" customFormat="1" ht="12.75" x14ac:dyDescent="0.2">
      <c r="R22477" s="1288"/>
    </row>
    <row r="22478" spans="18:18" s="2" customFormat="1" ht="12.75" x14ac:dyDescent="0.2">
      <c r="R22478" s="1288"/>
    </row>
    <row r="22479" spans="18:18" s="2" customFormat="1" ht="12.75" x14ac:dyDescent="0.2">
      <c r="R22479" s="1288"/>
    </row>
    <row r="22480" spans="18:18" s="2" customFormat="1" ht="12.75" x14ac:dyDescent="0.2">
      <c r="R22480" s="1288"/>
    </row>
    <row r="22481" spans="18:18" s="2" customFormat="1" ht="12.75" x14ac:dyDescent="0.2">
      <c r="R22481" s="1288"/>
    </row>
    <row r="22482" spans="18:18" s="2" customFormat="1" ht="12.75" x14ac:dyDescent="0.2">
      <c r="R22482" s="1288"/>
    </row>
    <row r="22483" spans="18:18" s="2" customFormat="1" ht="12.75" x14ac:dyDescent="0.2">
      <c r="R22483" s="1288"/>
    </row>
    <row r="22484" spans="18:18" s="2" customFormat="1" ht="12.75" x14ac:dyDescent="0.2">
      <c r="R22484" s="1288"/>
    </row>
    <row r="22485" spans="18:18" s="2" customFormat="1" ht="12.75" x14ac:dyDescent="0.2">
      <c r="R22485" s="1288"/>
    </row>
    <row r="22486" spans="18:18" s="2" customFormat="1" ht="12.75" x14ac:dyDescent="0.2">
      <c r="R22486" s="1288"/>
    </row>
    <row r="22487" spans="18:18" s="2" customFormat="1" ht="12.75" x14ac:dyDescent="0.2">
      <c r="R22487" s="1288"/>
    </row>
    <row r="22488" spans="18:18" s="2" customFormat="1" ht="12.75" x14ac:dyDescent="0.2">
      <c r="R22488" s="1288"/>
    </row>
    <row r="22489" spans="18:18" s="2" customFormat="1" ht="12.75" x14ac:dyDescent="0.2">
      <c r="R22489" s="1288"/>
    </row>
    <row r="22490" spans="18:18" s="2" customFormat="1" ht="12.75" x14ac:dyDescent="0.2">
      <c r="R22490" s="1288"/>
    </row>
    <row r="22491" spans="18:18" s="2" customFormat="1" ht="12.75" x14ac:dyDescent="0.2">
      <c r="R22491" s="1288"/>
    </row>
    <row r="22492" spans="18:18" s="2" customFormat="1" ht="12.75" x14ac:dyDescent="0.2">
      <c r="R22492" s="1288"/>
    </row>
    <row r="22493" spans="18:18" s="2" customFormat="1" ht="12.75" x14ac:dyDescent="0.2">
      <c r="R22493" s="1288"/>
    </row>
    <row r="22494" spans="18:18" s="2" customFormat="1" ht="12.75" x14ac:dyDescent="0.2">
      <c r="R22494" s="1288"/>
    </row>
    <row r="22495" spans="18:18" s="2" customFormat="1" ht="12.75" x14ac:dyDescent="0.2">
      <c r="R22495" s="1288"/>
    </row>
    <row r="22496" spans="18:18" s="2" customFormat="1" ht="12.75" x14ac:dyDescent="0.2">
      <c r="R22496" s="1288"/>
    </row>
    <row r="22497" spans="18:18" s="2" customFormat="1" ht="12.75" x14ac:dyDescent="0.2">
      <c r="R22497" s="1288"/>
    </row>
    <row r="22498" spans="18:18" s="2" customFormat="1" ht="12.75" x14ac:dyDescent="0.2">
      <c r="R22498" s="1288"/>
    </row>
    <row r="22499" spans="18:18" s="2" customFormat="1" ht="12.75" x14ac:dyDescent="0.2">
      <c r="R22499" s="1288"/>
    </row>
    <row r="22500" spans="18:18" s="2" customFormat="1" ht="12.75" x14ac:dyDescent="0.2">
      <c r="R22500" s="1288"/>
    </row>
    <row r="22501" spans="18:18" s="2" customFormat="1" ht="12.75" x14ac:dyDescent="0.2">
      <c r="R22501" s="1288"/>
    </row>
    <row r="22502" spans="18:18" s="2" customFormat="1" ht="12.75" x14ac:dyDescent="0.2">
      <c r="R22502" s="1288"/>
    </row>
    <row r="22503" spans="18:18" s="2" customFormat="1" ht="12.75" x14ac:dyDescent="0.2">
      <c r="R22503" s="1288"/>
    </row>
    <row r="22504" spans="18:18" s="2" customFormat="1" ht="12.75" x14ac:dyDescent="0.2">
      <c r="R22504" s="1288"/>
    </row>
    <row r="22505" spans="18:18" s="2" customFormat="1" ht="12.75" x14ac:dyDescent="0.2">
      <c r="R22505" s="1288"/>
    </row>
    <row r="22506" spans="18:18" s="2" customFormat="1" ht="12.75" x14ac:dyDescent="0.2">
      <c r="R22506" s="1288"/>
    </row>
    <row r="22507" spans="18:18" s="2" customFormat="1" ht="12.75" x14ac:dyDescent="0.2">
      <c r="R22507" s="1288"/>
    </row>
    <row r="22508" spans="18:18" s="2" customFormat="1" ht="12.75" x14ac:dyDescent="0.2">
      <c r="R22508" s="1288"/>
    </row>
    <row r="22509" spans="18:18" s="2" customFormat="1" ht="12.75" x14ac:dyDescent="0.2">
      <c r="R22509" s="1288"/>
    </row>
    <row r="22510" spans="18:18" s="2" customFormat="1" ht="12.75" x14ac:dyDescent="0.2">
      <c r="R22510" s="1288"/>
    </row>
    <row r="22511" spans="18:18" s="2" customFormat="1" ht="12.75" x14ac:dyDescent="0.2">
      <c r="R22511" s="1288"/>
    </row>
    <row r="22512" spans="18:18" s="2" customFormat="1" ht="12.75" x14ac:dyDescent="0.2">
      <c r="R22512" s="1288"/>
    </row>
    <row r="22513" spans="18:18" s="2" customFormat="1" ht="12.75" x14ac:dyDescent="0.2">
      <c r="R22513" s="1288"/>
    </row>
    <row r="22514" spans="18:18" s="2" customFormat="1" ht="12.75" x14ac:dyDescent="0.2">
      <c r="R22514" s="1288"/>
    </row>
    <row r="22515" spans="18:18" s="2" customFormat="1" ht="12.75" x14ac:dyDescent="0.2">
      <c r="R22515" s="1288"/>
    </row>
    <row r="22516" spans="18:18" s="2" customFormat="1" ht="12.75" x14ac:dyDescent="0.2">
      <c r="R22516" s="1288"/>
    </row>
    <row r="22517" spans="18:18" s="2" customFormat="1" ht="12.75" x14ac:dyDescent="0.2">
      <c r="R22517" s="1288"/>
    </row>
    <row r="22518" spans="18:18" s="2" customFormat="1" ht="12.75" x14ac:dyDescent="0.2">
      <c r="R22518" s="1288"/>
    </row>
    <row r="22519" spans="18:18" s="2" customFormat="1" ht="12.75" x14ac:dyDescent="0.2">
      <c r="R22519" s="1288"/>
    </row>
    <row r="22520" spans="18:18" s="2" customFormat="1" ht="12.75" x14ac:dyDescent="0.2">
      <c r="R22520" s="1288"/>
    </row>
    <row r="22521" spans="18:18" s="2" customFormat="1" ht="12.75" x14ac:dyDescent="0.2">
      <c r="R22521" s="1288"/>
    </row>
    <row r="22522" spans="18:18" s="2" customFormat="1" ht="12.75" x14ac:dyDescent="0.2">
      <c r="R22522" s="1288"/>
    </row>
    <row r="22523" spans="18:18" s="2" customFormat="1" ht="12.75" x14ac:dyDescent="0.2">
      <c r="R22523" s="1288"/>
    </row>
    <row r="22524" spans="18:18" s="2" customFormat="1" ht="12.75" x14ac:dyDescent="0.2">
      <c r="R22524" s="1288"/>
    </row>
    <row r="22525" spans="18:18" s="2" customFormat="1" ht="12.75" x14ac:dyDescent="0.2">
      <c r="R22525" s="1288"/>
    </row>
    <row r="22526" spans="18:18" s="2" customFormat="1" ht="12.75" x14ac:dyDescent="0.2">
      <c r="R22526" s="1288"/>
    </row>
    <row r="22527" spans="18:18" s="2" customFormat="1" ht="12.75" x14ac:dyDescent="0.2">
      <c r="R22527" s="1288"/>
    </row>
    <row r="22528" spans="18:18" s="2" customFormat="1" ht="12.75" x14ac:dyDescent="0.2">
      <c r="R22528" s="1288"/>
    </row>
    <row r="22529" spans="18:18" s="2" customFormat="1" ht="12.75" x14ac:dyDescent="0.2">
      <c r="R22529" s="1288"/>
    </row>
    <row r="22530" spans="18:18" s="2" customFormat="1" ht="12.75" x14ac:dyDescent="0.2">
      <c r="R22530" s="1288"/>
    </row>
    <row r="22531" spans="18:18" s="2" customFormat="1" ht="12.75" x14ac:dyDescent="0.2">
      <c r="R22531" s="1288"/>
    </row>
    <row r="22532" spans="18:18" s="2" customFormat="1" ht="12.75" x14ac:dyDescent="0.2">
      <c r="R22532" s="1288"/>
    </row>
    <row r="22533" spans="18:18" s="2" customFormat="1" ht="12.75" x14ac:dyDescent="0.2">
      <c r="R22533" s="1288"/>
    </row>
    <row r="22534" spans="18:18" s="2" customFormat="1" ht="12.75" x14ac:dyDescent="0.2">
      <c r="R22534" s="1288"/>
    </row>
    <row r="22535" spans="18:18" s="2" customFormat="1" ht="12.75" x14ac:dyDescent="0.2">
      <c r="R22535" s="1288"/>
    </row>
    <row r="22536" spans="18:18" s="2" customFormat="1" ht="12.75" x14ac:dyDescent="0.2">
      <c r="R22536" s="1288"/>
    </row>
    <row r="22537" spans="18:18" s="2" customFormat="1" ht="12.75" x14ac:dyDescent="0.2">
      <c r="R22537" s="1288"/>
    </row>
    <row r="22538" spans="18:18" s="2" customFormat="1" ht="12.75" x14ac:dyDescent="0.2">
      <c r="R22538" s="1288"/>
    </row>
    <row r="22539" spans="18:18" s="2" customFormat="1" ht="12.75" x14ac:dyDescent="0.2">
      <c r="R22539" s="1288"/>
    </row>
    <row r="22540" spans="18:18" s="2" customFormat="1" ht="12.75" x14ac:dyDescent="0.2">
      <c r="R22540" s="1288"/>
    </row>
    <row r="22541" spans="18:18" s="2" customFormat="1" ht="12.75" x14ac:dyDescent="0.2">
      <c r="R22541" s="1288"/>
    </row>
    <row r="22542" spans="18:18" s="2" customFormat="1" ht="12.75" x14ac:dyDescent="0.2">
      <c r="R22542" s="1288"/>
    </row>
    <row r="22543" spans="18:18" s="2" customFormat="1" ht="12.75" x14ac:dyDescent="0.2">
      <c r="R22543" s="1288"/>
    </row>
    <row r="22544" spans="18:18" s="2" customFormat="1" ht="12.75" x14ac:dyDescent="0.2">
      <c r="R22544" s="1288"/>
    </row>
    <row r="22545" spans="18:18" s="2" customFormat="1" ht="12.75" x14ac:dyDescent="0.2">
      <c r="R22545" s="1288"/>
    </row>
    <row r="22546" spans="18:18" s="2" customFormat="1" ht="12.75" x14ac:dyDescent="0.2">
      <c r="R22546" s="1288"/>
    </row>
    <row r="22547" spans="18:18" s="2" customFormat="1" ht="12.75" x14ac:dyDescent="0.2">
      <c r="R22547" s="1288"/>
    </row>
    <row r="22548" spans="18:18" s="2" customFormat="1" ht="12.75" x14ac:dyDescent="0.2">
      <c r="R22548" s="1288"/>
    </row>
    <row r="22549" spans="18:18" s="2" customFormat="1" ht="12.75" x14ac:dyDescent="0.2">
      <c r="R22549" s="1288"/>
    </row>
    <row r="22550" spans="18:18" s="2" customFormat="1" ht="12.75" x14ac:dyDescent="0.2">
      <c r="R22550" s="1288"/>
    </row>
    <row r="22551" spans="18:18" s="2" customFormat="1" ht="12.75" x14ac:dyDescent="0.2">
      <c r="R22551" s="1288"/>
    </row>
    <row r="22552" spans="18:18" s="2" customFormat="1" ht="12.75" x14ac:dyDescent="0.2">
      <c r="R22552" s="1288"/>
    </row>
    <row r="22553" spans="18:18" s="2" customFormat="1" ht="12.75" x14ac:dyDescent="0.2">
      <c r="R22553" s="1288"/>
    </row>
    <row r="22554" spans="18:18" s="2" customFormat="1" ht="12.75" x14ac:dyDescent="0.2">
      <c r="R22554" s="1288"/>
    </row>
    <row r="22555" spans="18:18" s="2" customFormat="1" ht="12.75" x14ac:dyDescent="0.2">
      <c r="R22555" s="1288"/>
    </row>
    <row r="22556" spans="18:18" s="2" customFormat="1" ht="12.75" x14ac:dyDescent="0.2">
      <c r="R22556" s="1288"/>
    </row>
    <row r="22557" spans="18:18" s="2" customFormat="1" ht="12.75" x14ac:dyDescent="0.2">
      <c r="R22557" s="1288"/>
    </row>
    <row r="22558" spans="18:18" s="2" customFormat="1" ht="12.75" x14ac:dyDescent="0.2">
      <c r="R22558" s="1288"/>
    </row>
    <row r="22559" spans="18:18" s="2" customFormat="1" ht="12.75" x14ac:dyDescent="0.2">
      <c r="R22559" s="1288"/>
    </row>
    <row r="22560" spans="18:18" s="2" customFormat="1" ht="12.75" x14ac:dyDescent="0.2">
      <c r="R22560" s="1288"/>
    </row>
    <row r="22561" spans="18:18" s="2" customFormat="1" ht="12.75" x14ac:dyDescent="0.2">
      <c r="R22561" s="1288"/>
    </row>
    <row r="22562" spans="18:18" s="2" customFormat="1" ht="12.75" x14ac:dyDescent="0.2">
      <c r="R22562" s="1288"/>
    </row>
    <row r="22563" spans="18:18" s="2" customFormat="1" ht="12.75" x14ac:dyDescent="0.2">
      <c r="R22563" s="1288"/>
    </row>
    <row r="22564" spans="18:18" s="2" customFormat="1" ht="12.75" x14ac:dyDescent="0.2">
      <c r="R22564" s="1288"/>
    </row>
    <row r="22565" spans="18:18" s="2" customFormat="1" ht="12.75" x14ac:dyDescent="0.2">
      <c r="R22565" s="1288"/>
    </row>
    <row r="22566" spans="18:18" s="2" customFormat="1" ht="12.75" x14ac:dyDescent="0.2">
      <c r="R22566" s="1288"/>
    </row>
    <row r="22567" spans="18:18" s="2" customFormat="1" ht="12.75" x14ac:dyDescent="0.2">
      <c r="R22567" s="1288"/>
    </row>
    <row r="22568" spans="18:18" s="2" customFormat="1" ht="12.75" x14ac:dyDescent="0.2">
      <c r="R22568" s="1288"/>
    </row>
    <row r="22569" spans="18:18" s="2" customFormat="1" ht="12.75" x14ac:dyDescent="0.2">
      <c r="R22569" s="1288"/>
    </row>
    <row r="22570" spans="18:18" s="2" customFormat="1" ht="12.75" x14ac:dyDescent="0.2">
      <c r="R22570" s="1288"/>
    </row>
    <row r="22571" spans="18:18" s="2" customFormat="1" ht="12.75" x14ac:dyDescent="0.2">
      <c r="R22571" s="1288"/>
    </row>
    <row r="22572" spans="18:18" s="2" customFormat="1" ht="12.75" x14ac:dyDescent="0.2">
      <c r="R22572" s="1288"/>
    </row>
    <row r="22573" spans="18:18" s="2" customFormat="1" ht="12.75" x14ac:dyDescent="0.2">
      <c r="R22573" s="1288"/>
    </row>
    <row r="22574" spans="18:18" s="2" customFormat="1" ht="12.75" x14ac:dyDescent="0.2">
      <c r="R22574" s="1288"/>
    </row>
    <row r="22575" spans="18:18" s="2" customFormat="1" ht="12.75" x14ac:dyDescent="0.2">
      <c r="R22575" s="1288"/>
    </row>
    <row r="22576" spans="18:18" s="2" customFormat="1" ht="12.75" x14ac:dyDescent="0.2">
      <c r="R22576" s="1288"/>
    </row>
    <row r="22577" spans="18:18" s="2" customFormat="1" ht="12.75" x14ac:dyDescent="0.2">
      <c r="R22577" s="1288"/>
    </row>
    <row r="22578" spans="18:18" s="2" customFormat="1" ht="12.75" x14ac:dyDescent="0.2">
      <c r="R22578" s="1288"/>
    </row>
    <row r="22579" spans="18:18" s="2" customFormat="1" ht="12.75" x14ac:dyDescent="0.2">
      <c r="R22579" s="1288"/>
    </row>
    <row r="22580" spans="18:18" s="2" customFormat="1" ht="12.75" x14ac:dyDescent="0.2">
      <c r="R22580" s="1288"/>
    </row>
    <row r="22581" spans="18:18" s="2" customFormat="1" ht="12.75" x14ac:dyDescent="0.2">
      <c r="R22581" s="1288"/>
    </row>
    <row r="22582" spans="18:18" s="2" customFormat="1" ht="12.75" x14ac:dyDescent="0.2">
      <c r="R22582" s="1288"/>
    </row>
    <row r="22583" spans="18:18" s="2" customFormat="1" ht="12.75" x14ac:dyDescent="0.2">
      <c r="R22583" s="1288"/>
    </row>
    <row r="22584" spans="18:18" s="2" customFormat="1" ht="12.75" x14ac:dyDescent="0.2">
      <c r="R22584" s="1288"/>
    </row>
    <row r="22585" spans="18:18" s="2" customFormat="1" ht="12.75" x14ac:dyDescent="0.2">
      <c r="R22585" s="1288"/>
    </row>
    <row r="22586" spans="18:18" s="2" customFormat="1" ht="12.75" x14ac:dyDescent="0.2">
      <c r="R22586" s="1288"/>
    </row>
    <row r="22587" spans="18:18" s="2" customFormat="1" ht="12.75" x14ac:dyDescent="0.2">
      <c r="R22587" s="1288"/>
    </row>
    <row r="22588" spans="18:18" s="2" customFormat="1" ht="12.75" x14ac:dyDescent="0.2">
      <c r="R22588" s="1288"/>
    </row>
    <row r="22589" spans="18:18" s="2" customFormat="1" ht="12.75" x14ac:dyDescent="0.2">
      <c r="R22589" s="1288"/>
    </row>
    <row r="22590" spans="18:18" s="2" customFormat="1" ht="12.75" x14ac:dyDescent="0.2">
      <c r="R22590" s="1288"/>
    </row>
    <row r="22591" spans="18:18" s="2" customFormat="1" ht="12.75" x14ac:dyDescent="0.2">
      <c r="R22591" s="1288"/>
    </row>
    <row r="22592" spans="18:18" s="2" customFormat="1" ht="12.75" x14ac:dyDescent="0.2">
      <c r="R22592" s="1288"/>
    </row>
    <row r="22593" spans="18:18" s="2" customFormat="1" ht="12.75" x14ac:dyDescent="0.2">
      <c r="R22593" s="1288"/>
    </row>
    <row r="22594" spans="18:18" s="2" customFormat="1" ht="12.75" x14ac:dyDescent="0.2">
      <c r="R22594" s="1288"/>
    </row>
    <row r="22595" spans="18:18" s="2" customFormat="1" ht="12.75" x14ac:dyDescent="0.2">
      <c r="R22595" s="1288"/>
    </row>
    <row r="22596" spans="18:18" s="2" customFormat="1" ht="12.75" x14ac:dyDescent="0.2">
      <c r="R22596" s="1288"/>
    </row>
    <row r="22597" spans="18:18" s="2" customFormat="1" ht="12.75" x14ac:dyDescent="0.2">
      <c r="R22597" s="1288"/>
    </row>
    <row r="22598" spans="18:18" s="2" customFormat="1" ht="12.75" x14ac:dyDescent="0.2">
      <c r="R22598" s="1288"/>
    </row>
    <row r="22599" spans="18:18" s="2" customFormat="1" ht="12.75" x14ac:dyDescent="0.2">
      <c r="R22599" s="1288"/>
    </row>
    <row r="22600" spans="18:18" s="2" customFormat="1" ht="12.75" x14ac:dyDescent="0.2">
      <c r="R22600" s="1288"/>
    </row>
    <row r="22601" spans="18:18" s="2" customFormat="1" ht="12.75" x14ac:dyDescent="0.2">
      <c r="R22601" s="1288"/>
    </row>
    <row r="22602" spans="18:18" s="2" customFormat="1" ht="12.75" x14ac:dyDescent="0.2">
      <c r="R22602" s="1288"/>
    </row>
    <row r="22603" spans="18:18" s="2" customFormat="1" ht="12.75" x14ac:dyDescent="0.2">
      <c r="R22603" s="1288"/>
    </row>
    <row r="22604" spans="18:18" s="2" customFormat="1" ht="12.75" x14ac:dyDescent="0.2">
      <c r="R22604" s="1288"/>
    </row>
    <row r="22605" spans="18:18" s="2" customFormat="1" ht="12.75" x14ac:dyDescent="0.2">
      <c r="R22605" s="1288"/>
    </row>
    <row r="22606" spans="18:18" s="2" customFormat="1" ht="12.75" x14ac:dyDescent="0.2">
      <c r="R22606" s="1288"/>
    </row>
    <row r="22607" spans="18:18" s="2" customFormat="1" ht="12.75" x14ac:dyDescent="0.2">
      <c r="R22607" s="1288"/>
    </row>
    <row r="22608" spans="18:18" s="2" customFormat="1" ht="12.75" x14ac:dyDescent="0.2">
      <c r="R22608" s="1288"/>
    </row>
    <row r="22609" spans="18:18" s="2" customFormat="1" ht="12.75" x14ac:dyDescent="0.2">
      <c r="R22609" s="1288"/>
    </row>
    <row r="22610" spans="18:18" s="2" customFormat="1" ht="12.75" x14ac:dyDescent="0.2">
      <c r="R22610" s="1288"/>
    </row>
    <row r="22611" spans="18:18" s="2" customFormat="1" ht="12.75" x14ac:dyDescent="0.2">
      <c r="R22611" s="1288"/>
    </row>
    <row r="22612" spans="18:18" s="2" customFormat="1" ht="12.75" x14ac:dyDescent="0.2">
      <c r="R22612" s="1288"/>
    </row>
    <row r="22613" spans="18:18" s="2" customFormat="1" ht="12.75" x14ac:dyDescent="0.2">
      <c r="R22613" s="1288"/>
    </row>
    <row r="22614" spans="18:18" s="2" customFormat="1" ht="12.75" x14ac:dyDescent="0.2">
      <c r="R22614" s="1288"/>
    </row>
    <row r="22615" spans="18:18" s="2" customFormat="1" ht="12.75" x14ac:dyDescent="0.2">
      <c r="R22615" s="1288"/>
    </row>
    <row r="22616" spans="18:18" s="2" customFormat="1" ht="12.75" x14ac:dyDescent="0.2">
      <c r="R22616" s="1288"/>
    </row>
    <row r="22617" spans="18:18" s="2" customFormat="1" ht="12.75" x14ac:dyDescent="0.2">
      <c r="R22617" s="1288"/>
    </row>
    <row r="22618" spans="18:18" s="2" customFormat="1" ht="12.75" x14ac:dyDescent="0.2">
      <c r="R22618" s="1288"/>
    </row>
    <row r="22619" spans="18:18" s="2" customFormat="1" ht="12.75" x14ac:dyDescent="0.2">
      <c r="R22619" s="1288"/>
    </row>
    <row r="22620" spans="18:18" s="2" customFormat="1" ht="12.75" x14ac:dyDescent="0.2">
      <c r="R22620" s="1288"/>
    </row>
    <row r="22621" spans="18:18" s="2" customFormat="1" ht="12.75" x14ac:dyDescent="0.2">
      <c r="R22621" s="1288"/>
    </row>
    <row r="22622" spans="18:18" s="2" customFormat="1" ht="12.75" x14ac:dyDescent="0.2">
      <c r="R22622" s="1288"/>
    </row>
    <row r="22623" spans="18:18" s="2" customFormat="1" ht="12.75" x14ac:dyDescent="0.2">
      <c r="R22623" s="1288"/>
    </row>
    <row r="22624" spans="18:18" s="2" customFormat="1" ht="12.75" x14ac:dyDescent="0.2">
      <c r="R22624" s="1288"/>
    </row>
    <row r="22625" spans="18:18" s="2" customFormat="1" ht="12.75" x14ac:dyDescent="0.2">
      <c r="R22625" s="1288"/>
    </row>
    <row r="22626" spans="18:18" s="2" customFormat="1" ht="12.75" x14ac:dyDescent="0.2">
      <c r="R22626" s="1288"/>
    </row>
    <row r="22627" spans="18:18" s="2" customFormat="1" ht="12.75" x14ac:dyDescent="0.2">
      <c r="R22627" s="1288"/>
    </row>
    <row r="22628" spans="18:18" s="2" customFormat="1" ht="12.75" x14ac:dyDescent="0.2">
      <c r="R22628" s="1288"/>
    </row>
    <row r="22629" spans="18:18" s="2" customFormat="1" ht="12.75" x14ac:dyDescent="0.2">
      <c r="R22629" s="1288"/>
    </row>
    <row r="22630" spans="18:18" s="2" customFormat="1" ht="12.75" x14ac:dyDescent="0.2">
      <c r="R22630" s="1288"/>
    </row>
    <row r="22631" spans="18:18" s="2" customFormat="1" ht="12.75" x14ac:dyDescent="0.2">
      <c r="R22631" s="1288"/>
    </row>
    <row r="22632" spans="18:18" s="2" customFormat="1" ht="12.75" x14ac:dyDescent="0.2">
      <c r="R22632" s="1288"/>
    </row>
    <row r="22633" spans="18:18" s="2" customFormat="1" ht="12.75" x14ac:dyDescent="0.2">
      <c r="R22633" s="1288"/>
    </row>
    <row r="22634" spans="18:18" s="2" customFormat="1" ht="12.75" x14ac:dyDescent="0.2">
      <c r="R22634" s="1288"/>
    </row>
    <row r="22635" spans="18:18" s="2" customFormat="1" ht="12.75" x14ac:dyDescent="0.2">
      <c r="R22635" s="1288"/>
    </row>
    <row r="22636" spans="18:18" s="2" customFormat="1" ht="12.75" x14ac:dyDescent="0.2">
      <c r="R22636" s="1288"/>
    </row>
    <row r="22637" spans="18:18" s="2" customFormat="1" ht="12.75" x14ac:dyDescent="0.2">
      <c r="R22637" s="1288"/>
    </row>
    <row r="22638" spans="18:18" s="2" customFormat="1" ht="12.75" x14ac:dyDescent="0.2">
      <c r="R22638" s="1288"/>
    </row>
    <row r="22639" spans="18:18" s="2" customFormat="1" ht="12.75" x14ac:dyDescent="0.2">
      <c r="R22639" s="1288"/>
    </row>
    <row r="22640" spans="18:18" s="2" customFormat="1" ht="12.75" x14ac:dyDescent="0.2">
      <c r="R22640" s="1288"/>
    </row>
    <row r="22641" spans="18:18" s="2" customFormat="1" ht="12.75" x14ac:dyDescent="0.2">
      <c r="R22641" s="1288"/>
    </row>
    <row r="22642" spans="18:18" s="2" customFormat="1" ht="12.75" x14ac:dyDescent="0.2">
      <c r="R22642" s="1288"/>
    </row>
    <row r="22643" spans="18:18" s="2" customFormat="1" ht="12.75" x14ac:dyDescent="0.2">
      <c r="R22643" s="1288"/>
    </row>
    <row r="22644" spans="18:18" s="2" customFormat="1" ht="12.75" x14ac:dyDescent="0.2">
      <c r="R22644" s="1288"/>
    </row>
    <row r="22645" spans="18:18" s="2" customFormat="1" ht="12.75" x14ac:dyDescent="0.2">
      <c r="R22645" s="1288"/>
    </row>
    <row r="22646" spans="18:18" s="2" customFormat="1" ht="12.75" x14ac:dyDescent="0.2">
      <c r="R22646" s="1288"/>
    </row>
    <row r="22647" spans="18:18" s="2" customFormat="1" ht="12.75" x14ac:dyDescent="0.2">
      <c r="R22647" s="1288"/>
    </row>
    <row r="22648" spans="18:18" s="2" customFormat="1" ht="12.75" x14ac:dyDescent="0.2">
      <c r="R22648" s="1288"/>
    </row>
    <row r="22649" spans="18:18" s="2" customFormat="1" ht="12.75" x14ac:dyDescent="0.2">
      <c r="R22649" s="1288"/>
    </row>
    <row r="22650" spans="18:18" s="2" customFormat="1" ht="12.75" x14ac:dyDescent="0.2">
      <c r="R22650" s="1288"/>
    </row>
    <row r="22651" spans="18:18" s="2" customFormat="1" ht="12.75" x14ac:dyDescent="0.2">
      <c r="R22651" s="1288"/>
    </row>
    <row r="22652" spans="18:18" s="2" customFormat="1" ht="12.75" x14ac:dyDescent="0.2">
      <c r="R22652" s="1288"/>
    </row>
    <row r="22653" spans="18:18" s="2" customFormat="1" ht="12.75" x14ac:dyDescent="0.2">
      <c r="R22653" s="1288"/>
    </row>
    <row r="22654" spans="18:18" s="2" customFormat="1" ht="12.75" x14ac:dyDescent="0.2">
      <c r="R22654" s="1288"/>
    </row>
    <row r="22655" spans="18:18" s="2" customFormat="1" ht="12.75" x14ac:dyDescent="0.2">
      <c r="R22655" s="1288"/>
    </row>
    <row r="22656" spans="18:18" s="2" customFormat="1" ht="12.75" x14ac:dyDescent="0.2">
      <c r="R22656" s="1288"/>
    </row>
    <row r="22657" spans="18:18" s="2" customFormat="1" ht="12.75" x14ac:dyDescent="0.2">
      <c r="R22657" s="1288"/>
    </row>
    <row r="22658" spans="18:18" s="2" customFormat="1" ht="12.75" x14ac:dyDescent="0.2">
      <c r="R22658" s="1288"/>
    </row>
    <row r="22659" spans="18:18" s="2" customFormat="1" ht="12.75" x14ac:dyDescent="0.2">
      <c r="R22659" s="1288"/>
    </row>
    <row r="22660" spans="18:18" s="2" customFormat="1" ht="12.75" x14ac:dyDescent="0.2">
      <c r="R22660" s="1288"/>
    </row>
    <row r="22661" spans="18:18" s="2" customFormat="1" ht="12.75" x14ac:dyDescent="0.2">
      <c r="R22661" s="1288"/>
    </row>
    <row r="22662" spans="18:18" s="2" customFormat="1" ht="12.75" x14ac:dyDescent="0.2">
      <c r="R22662" s="1288"/>
    </row>
    <row r="22663" spans="18:18" s="2" customFormat="1" ht="12.75" x14ac:dyDescent="0.2">
      <c r="R22663" s="1288"/>
    </row>
    <row r="22664" spans="18:18" s="2" customFormat="1" ht="12.75" x14ac:dyDescent="0.2">
      <c r="R22664" s="1288"/>
    </row>
    <row r="22665" spans="18:18" s="2" customFormat="1" ht="12.75" x14ac:dyDescent="0.2">
      <c r="R22665" s="1288"/>
    </row>
    <row r="22666" spans="18:18" s="2" customFormat="1" ht="12.75" x14ac:dyDescent="0.2">
      <c r="R22666" s="1288"/>
    </row>
    <row r="22667" spans="18:18" s="2" customFormat="1" ht="12.75" x14ac:dyDescent="0.2">
      <c r="R22667" s="1288"/>
    </row>
    <row r="22668" spans="18:18" s="2" customFormat="1" ht="12.75" x14ac:dyDescent="0.2">
      <c r="R22668" s="1288"/>
    </row>
    <row r="22669" spans="18:18" s="2" customFormat="1" ht="12.75" x14ac:dyDescent="0.2">
      <c r="R22669" s="1288"/>
    </row>
    <row r="22670" spans="18:18" s="2" customFormat="1" ht="12.75" x14ac:dyDescent="0.2">
      <c r="R22670" s="1288"/>
    </row>
    <row r="22671" spans="18:18" s="2" customFormat="1" ht="12.75" x14ac:dyDescent="0.2">
      <c r="R22671" s="1288"/>
    </row>
    <row r="22672" spans="18:18" s="2" customFormat="1" ht="12.75" x14ac:dyDescent="0.2">
      <c r="R22672" s="1288"/>
    </row>
    <row r="22673" spans="18:18" s="2" customFormat="1" ht="12.75" x14ac:dyDescent="0.2">
      <c r="R22673" s="1288"/>
    </row>
    <row r="22674" spans="18:18" s="2" customFormat="1" ht="12.75" x14ac:dyDescent="0.2">
      <c r="R22674" s="1288"/>
    </row>
    <row r="22675" spans="18:18" s="2" customFormat="1" ht="12.75" x14ac:dyDescent="0.2">
      <c r="R22675" s="1288"/>
    </row>
    <row r="22676" spans="18:18" s="2" customFormat="1" ht="12.75" x14ac:dyDescent="0.2">
      <c r="R22676" s="1288"/>
    </row>
    <row r="22677" spans="18:18" s="2" customFormat="1" ht="12.75" x14ac:dyDescent="0.2">
      <c r="R22677" s="1288"/>
    </row>
    <row r="22678" spans="18:18" s="2" customFormat="1" ht="12.75" x14ac:dyDescent="0.2">
      <c r="R22678" s="1288"/>
    </row>
    <row r="22679" spans="18:18" s="2" customFormat="1" ht="12.75" x14ac:dyDescent="0.2">
      <c r="R22679" s="1288"/>
    </row>
    <row r="22680" spans="18:18" s="2" customFormat="1" ht="12.75" x14ac:dyDescent="0.2">
      <c r="R22680" s="1288"/>
    </row>
    <row r="22681" spans="18:18" s="2" customFormat="1" ht="12.75" x14ac:dyDescent="0.2">
      <c r="R22681" s="1288"/>
    </row>
    <row r="22682" spans="18:18" s="2" customFormat="1" ht="12.75" x14ac:dyDescent="0.2">
      <c r="R22682" s="1288"/>
    </row>
    <row r="22683" spans="18:18" s="2" customFormat="1" ht="12.75" x14ac:dyDescent="0.2">
      <c r="R22683" s="1288"/>
    </row>
    <row r="22684" spans="18:18" s="2" customFormat="1" ht="12.75" x14ac:dyDescent="0.2">
      <c r="R22684" s="1288"/>
    </row>
    <row r="22685" spans="18:18" s="2" customFormat="1" ht="12.75" x14ac:dyDescent="0.2">
      <c r="R22685" s="1288"/>
    </row>
    <row r="22686" spans="18:18" s="2" customFormat="1" ht="12.75" x14ac:dyDescent="0.2">
      <c r="R22686" s="1288"/>
    </row>
    <row r="22687" spans="18:18" s="2" customFormat="1" ht="12.75" x14ac:dyDescent="0.2">
      <c r="R22687" s="1288"/>
    </row>
    <row r="22688" spans="18:18" s="2" customFormat="1" ht="12.75" x14ac:dyDescent="0.2">
      <c r="R22688" s="1288"/>
    </row>
    <row r="22689" spans="18:18" s="2" customFormat="1" ht="12.75" x14ac:dyDescent="0.2">
      <c r="R22689" s="1288"/>
    </row>
    <row r="22690" spans="18:18" s="2" customFormat="1" ht="12.75" x14ac:dyDescent="0.2">
      <c r="R22690" s="1288"/>
    </row>
    <row r="22691" spans="18:18" s="2" customFormat="1" ht="12.75" x14ac:dyDescent="0.2">
      <c r="R22691" s="1288"/>
    </row>
    <row r="22692" spans="18:18" s="2" customFormat="1" ht="12.75" x14ac:dyDescent="0.2">
      <c r="R22692" s="1288"/>
    </row>
    <row r="22693" spans="18:18" s="2" customFormat="1" ht="12.75" x14ac:dyDescent="0.2">
      <c r="R22693" s="1288"/>
    </row>
    <row r="22694" spans="18:18" s="2" customFormat="1" ht="12.75" x14ac:dyDescent="0.2">
      <c r="R22694" s="1288"/>
    </row>
    <row r="22695" spans="18:18" s="2" customFormat="1" ht="12.75" x14ac:dyDescent="0.2">
      <c r="R22695" s="1288"/>
    </row>
    <row r="22696" spans="18:18" s="2" customFormat="1" ht="12.75" x14ac:dyDescent="0.2">
      <c r="R22696" s="1288"/>
    </row>
    <row r="22697" spans="18:18" s="2" customFormat="1" ht="12.75" x14ac:dyDescent="0.2">
      <c r="R22697" s="1288"/>
    </row>
    <row r="22698" spans="18:18" s="2" customFormat="1" ht="12.75" x14ac:dyDescent="0.2">
      <c r="R22698" s="1288"/>
    </row>
    <row r="22699" spans="18:18" s="2" customFormat="1" ht="12.75" x14ac:dyDescent="0.2">
      <c r="R22699" s="1288"/>
    </row>
    <row r="22700" spans="18:18" s="2" customFormat="1" ht="12.75" x14ac:dyDescent="0.2">
      <c r="R22700" s="1288"/>
    </row>
    <row r="22701" spans="18:18" s="2" customFormat="1" ht="12.75" x14ac:dyDescent="0.2">
      <c r="R22701" s="1288"/>
    </row>
    <row r="22702" spans="18:18" s="2" customFormat="1" ht="12.75" x14ac:dyDescent="0.2">
      <c r="R22702" s="1288"/>
    </row>
    <row r="22703" spans="18:18" s="2" customFormat="1" ht="12.75" x14ac:dyDescent="0.2">
      <c r="R22703" s="1288"/>
    </row>
    <row r="22704" spans="18:18" s="2" customFormat="1" ht="12.75" x14ac:dyDescent="0.2">
      <c r="R22704" s="1288"/>
    </row>
    <row r="22705" spans="18:18" s="2" customFormat="1" ht="12.75" x14ac:dyDescent="0.2">
      <c r="R22705" s="1288"/>
    </row>
    <row r="22706" spans="18:18" s="2" customFormat="1" ht="12.75" x14ac:dyDescent="0.2">
      <c r="R22706" s="1288"/>
    </row>
    <row r="22707" spans="18:18" s="2" customFormat="1" ht="12.75" x14ac:dyDescent="0.2">
      <c r="R22707" s="1288"/>
    </row>
    <row r="22708" spans="18:18" s="2" customFormat="1" ht="12.75" x14ac:dyDescent="0.2">
      <c r="R22708" s="1288"/>
    </row>
    <row r="22709" spans="18:18" s="2" customFormat="1" ht="12.75" x14ac:dyDescent="0.2">
      <c r="R22709" s="1288"/>
    </row>
    <row r="22710" spans="18:18" s="2" customFormat="1" ht="12.75" x14ac:dyDescent="0.2">
      <c r="R22710" s="1288"/>
    </row>
    <row r="22711" spans="18:18" s="2" customFormat="1" ht="12.75" x14ac:dyDescent="0.2">
      <c r="R22711" s="1288"/>
    </row>
    <row r="22712" spans="18:18" s="2" customFormat="1" ht="12.75" x14ac:dyDescent="0.2">
      <c r="R22712" s="1288"/>
    </row>
    <row r="22713" spans="18:18" s="2" customFormat="1" ht="12.75" x14ac:dyDescent="0.2">
      <c r="R22713" s="1288"/>
    </row>
    <row r="22714" spans="18:18" s="2" customFormat="1" ht="12.75" x14ac:dyDescent="0.2">
      <c r="R22714" s="1288"/>
    </row>
    <row r="22715" spans="18:18" s="2" customFormat="1" ht="12.75" x14ac:dyDescent="0.2">
      <c r="R22715" s="1288"/>
    </row>
    <row r="22716" spans="18:18" s="2" customFormat="1" ht="12.75" x14ac:dyDescent="0.2">
      <c r="R22716" s="1288"/>
    </row>
    <row r="22717" spans="18:18" s="2" customFormat="1" ht="12.75" x14ac:dyDescent="0.2">
      <c r="R22717" s="1288"/>
    </row>
    <row r="22718" spans="18:18" s="2" customFormat="1" ht="12.75" x14ac:dyDescent="0.2">
      <c r="R22718" s="1288"/>
    </row>
    <row r="22719" spans="18:18" s="2" customFormat="1" ht="12.75" x14ac:dyDescent="0.2">
      <c r="R22719" s="1288"/>
    </row>
    <row r="22720" spans="18:18" s="2" customFormat="1" ht="12.75" x14ac:dyDescent="0.2">
      <c r="R22720" s="1288"/>
    </row>
    <row r="22721" spans="18:18" s="2" customFormat="1" ht="12.75" x14ac:dyDescent="0.2">
      <c r="R22721" s="1288"/>
    </row>
    <row r="22722" spans="18:18" s="2" customFormat="1" ht="12.75" x14ac:dyDescent="0.2">
      <c r="R22722" s="1288"/>
    </row>
    <row r="22723" spans="18:18" s="2" customFormat="1" ht="12.75" x14ac:dyDescent="0.2">
      <c r="R22723" s="1288"/>
    </row>
    <row r="22724" spans="18:18" s="2" customFormat="1" ht="12.75" x14ac:dyDescent="0.2">
      <c r="R22724" s="1288"/>
    </row>
    <row r="22725" spans="18:18" s="2" customFormat="1" ht="12.75" x14ac:dyDescent="0.2">
      <c r="R22725" s="1288"/>
    </row>
    <row r="22726" spans="18:18" s="2" customFormat="1" ht="12.75" x14ac:dyDescent="0.2">
      <c r="R22726" s="1288"/>
    </row>
    <row r="22727" spans="18:18" s="2" customFormat="1" ht="12.75" x14ac:dyDescent="0.2">
      <c r="R22727" s="1288"/>
    </row>
    <row r="22728" spans="18:18" s="2" customFormat="1" ht="12.75" x14ac:dyDescent="0.2">
      <c r="R22728" s="1288"/>
    </row>
    <row r="22729" spans="18:18" s="2" customFormat="1" ht="12.75" x14ac:dyDescent="0.2">
      <c r="R22729" s="1288"/>
    </row>
    <row r="22730" spans="18:18" s="2" customFormat="1" ht="12.75" x14ac:dyDescent="0.2">
      <c r="R22730" s="1288"/>
    </row>
    <row r="22731" spans="18:18" s="2" customFormat="1" ht="12.75" x14ac:dyDescent="0.2">
      <c r="R22731" s="1288"/>
    </row>
    <row r="22732" spans="18:18" s="2" customFormat="1" ht="12.75" x14ac:dyDescent="0.2">
      <c r="R22732" s="1288"/>
    </row>
    <row r="22733" spans="18:18" s="2" customFormat="1" ht="12.75" x14ac:dyDescent="0.2">
      <c r="R22733" s="1288"/>
    </row>
    <row r="22734" spans="18:18" s="2" customFormat="1" ht="12.75" x14ac:dyDescent="0.2">
      <c r="R22734" s="1288"/>
    </row>
    <row r="22735" spans="18:18" s="2" customFormat="1" ht="12.75" x14ac:dyDescent="0.2">
      <c r="R22735" s="1288"/>
    </row>
    <row r="22736" spans="18:18" s="2" customFormat="1" ht="12.75" x14ac:dyDescent="0.2">
      <c r="R22736" s="1288"/>
    </row>
    <row r="22737" spans="18:18" s="2" customFormat="1" ht="12.75" x14ac:dyDescent="0.2">
      <c r="R22737" s="1288"/>
    </row>
    <row r="22738" spans="18:18" s="2" customFormat="1" ht="12.75" x14ac:dyDescent="0.2">
      <c r="R22738" s="1288"/>
    </row>
    <row r="22739" spans="18:18" s="2" customFormat="1" ht="12.75" x14ac:dyDescent="0.2">
      <c r="R22739" s="1288"/>
    </row>
    <row r="22740" spans="18:18" s="2" customFormat="1" ht="12.75" x14ac:dyDescent="0.2">
      <c r="R22740" s="1288"/>
    </row>
    <row r="22741" spans="18:18" s="2" customFormat="1" ht="12.75" x14ac:dyDescent="0.2">
      <c r="R22741" s="1288"/>
    </row>
    <row r="22742" spans="18:18" s="2" customFormat="1" ht="12.75" x14ac:dyDescent="0.2">
      <c r="R22742" s="1288"/>
    </row>
    <row r="22743" spans="18:18" s="2" customFormat="1" ht="12.75" x14ac:dyDescent="0.2">
      <c r="R22743" s="1288"/>
    </row>
    <row r="22744" spans="18:18" s="2" customFormat="1" ht="12.75" x14ac:dyDescent="0.2">
      <c r="R22744" s="1288"/>
    </row>
    <row r="22745" spans="18:18" s="2" customFormat="1" ht="12.75" x14ac:dyDescent="0.2">
      <c r="R22745" s="1288"/>
    </row>
    <row r="22746" spans="18:18" s="2" customFormat="1" ht="12.75" x14ac:dyDescent="0.2">
      <c r="R22746" s="1288"/>
    </row>
    <row r="22747" spans="18:18" s="2" customFormat="1" ht="12.75" x14ac:dyDescent="0.2">
      <c r="R22747" s="1288"/>
    </row>
    <row r="22748" spans="18:18" s="2" customFormat="1" ht="12.75" x14ac:dyDescent="0.2">
      <c r="R22748" s="1288"/>
    </row>
    <row r="22749" spans="18:18" s="2" customFormat="1" ht="12.75" x14ac:dyDescent="0.2">
      <c r="R22749" s="1288"/>
    </row>
    <row r="22750" spans="18:18" s="2" customFormat="1" ht="12.75" x14ac:dyDescent="0.2">
      <c r="R22750" s="1288"/>
    </row>
    <row r="22751" spans="18:18" s="2" customFormat="1" ht="12.75" x14ac:dyDescent="0.2">
      <c r="R22751" s="1288"/>
    </row>
    <row r="22752" spans="18:18" s="2" customFormat="1" ht="12.75" x14ac:dyDescent="0.2">
      <c r="R22752" s="1288"/>
    </row>
    <row r="22753" spans="18:18" s="2" customFormat="1" ht="12.75" x14ac:dyDescent="0.2">
      <c r="R22753" s="1288"/>
    </row>
    <row r="22754" spans="18:18" s="2" customFormat="1" ht="12.75" x14ac:dyDescent="0.2">
      <c r="R22754" s="1288"/>
    </row>
    <row r="22755" spans="18:18" s="2" customFormat="1" ht="12.75" x14ac:dyDescent="0.2">
      <c r="R22755" s="1288"/>
    </row>
    <row r="22756" spans="18:18" s="2" customFormat="1" ht="12.75" x14ac:dyDescent="0.2">
      <c r="R22756" s="1288"/>
    </row>
    <row r="22757" spans="18:18" s="2" customFormat="1" ht="12.75" x14ac:dyDescent="0.2">
      <c r="R22757" s="1288"/>
    </row>
    <row r="22758" spans="18:18" s="2" customFormat="1" ht="12.75" x14ac:dyDescent="0.2">
      <c r="R22758" s="1288"/>
    </row>
    <row r="22759" spans="18:18" s="2" customFormat="1" ht="12.75" x14ac:dyDescent="0.2">
      <c r="R22759" s="1288"/>
    </row>
    <row r="22760" spans="18:18" s="2" customFormat="1" ht="12.75" x14ac:dyDescent="0.2">
      <c r="R22760" s="1288"/>
    </row>
    <row r="22761" spans="18:18" s="2" customFormat="1" ht="12.75" x14ac:dyDescent="0.2">
      <c r="R22761" s="1288"/>
    </row>
    <row r="22762" spans="18:18" s="2" customFormat="1" ht="12.75" x14ac:dyDescent="0.2">
      <c r="R22762" s="1288"/>
    </row>
    <row r="22763" spans="18:18" s="2" customFormat="1" ht="12.75" x14ac:dyDescent="0.2">
      <c r="R22763" s="1288"/>
    </row>
    <row r="22764" spans="18:18" s="2" customFormat="1" ht="12.75" x14ac:dyDescent="0.2">
      <c r="R22764" s="1288"/>
    </row>
    <row r="22765" spans="18:18" s="2" customFormat="1" ht="12.75" x14ac:dyDescent="0.2">
      <c r="R22765" s="1288"/>
    </row>
    <row r="22766" spans="18:18" s="2" customFormat="1" ht="12.75" x14ac:dyDescent="0.2">
      <c r="R22766" s="1288"/>
    </row>
    <row r="22767" spans="18:18" s="2" customFormat="1" ht="12.75" x14ac:dyDescent="0.2">
      <c r="R22767" s="1288"/>
    </row>
    <row r="22768" spans="18:18" s="2" customFormat="1" ht="12.75" x14ac:dyDescent="0.2">
      <c r="R22768" s="1288"/>
    </row>
    <row r="22769" spans="18:18" s="2" customFormat="1" ht="12.75" x14ac:dyDescent="0.2">
      <c r="R22769" s="1288"/>
    </row>
    <row r="22770" spans="18:18" s="2" customFormat="1" ht="12.75" x14ac:dyDescent="0.2">
      <c r="R22770" s="1288"/>
    </row>
    <row r="22771" spans="18:18" s="2" customFormat="1" ht="12.75" x14ac:dyDescent="0.2">
      <c r="R22771" s="1288"/>
    </row>
    <row r="22772" spans="18:18" s="2" customFormat="1" ht="12.75" x14ac:dyDescent="0.2">
      <c r="R22772" s="1288"/>
    </row>
    <row r="22773" spans="18:18" s="2" customFormat="1" ht="12.75" x14ac:dyDescent="0.2">
      <c r="R22773" s="1288"/>
    </row>
    <row r="22774" spans="18:18" s="2" customFormat="1" ht="12.75" x14ac:dyDescent="0.2">
      <c r="R22774" s="1288"/>
    </row>
    <row r="22775" spans="18:18" s="2" customFormat="1" ht="12.75" x14ac:dyDescent="0.2">
      <c r="R22775" s="1288"/>
    </row>
    <row r="22776" spans="18:18" s="2" customFormat="1" ht="12.75" x14ac:dyDescent="0.2">
      <c r="R22776" s="1288"/>
    </row>
    <row r="22777" spans="18:18" s="2" customFormat="1" ht="12.75" x14ac:dyDescent="0.2">
      <c r="R22777" s="1288"/>
    </row>
    <row r="22778" spans="18:18" s="2" customFormat="1" ht="12.75" x14ac:dyDescent="0.2">
      <c r="R22778" s="1288"/>
    </row>
    <row r="22779" spans="18:18" s="2" customFormat="1" ht="12.75" x14ac:dyDescent="0.2">
      <c r="R22779" s="1288"/>
    </row>
    <row r="22780" spans="18:18" s="2" customFormat="1" ht="12.75" x14ac:dyDescent="0.2">
      <c r="R22780" s="1288"/>
    </row>
    <row r="22781" spans="18:18" s="2" customFormat="1" ht="12.75" x14ac:dyDescent="0.2">
      <c r="R22781" s="1288"/>
    </row>
    <row r="22782" spans="18:18" s="2" customFormat="1" ht="12.75" x14ac:dyDescent="0.2">
      <c r="R22782" s="1288"/>
    </row>
    <row r="22783" spans="18:18" s="2" customFormat="1" ht="12.75" x14ac:dyDescent="0.2">
      <c r="R22783" s="1288"/>
    </row>
    <row r="22784" spans="18:18" s="2" customFormat="1" ht="12.75" x14ac:dyDescent="0.2">
      <c r="R22784" s="1288"/>
    </row>
    <row r="22785" spans="18:18" s="2" customFormat="1" ht="12.75" x14ac:dyDescent="0.2">
      <c r="R22785" s="1288"/>
    </row>
    <row r="22786" spans="18:18" s="2" customFormat="1" ht="12.75" x14ac:dyDescent="0.2">
      <c r="R22786" s="1288"/>
    </row>
    <row r="22787" spans="18:18" s="2" customFormat="1" ht="12.75" x14ac:dyDescent="0.2">
      <c r="R22787" s="1288"/>
    </row>
    <row r="22788" spans="18:18" s="2" customFormat="1" ht="12.75" x14ac:dyDescent="0.2">
      <c r="R22788" s="1288"/>
    </row>
    <row r="22789" spans="18:18" s="2" customFormat="1" ht="12.75" x14ac:dyDescent="0.2">
      <c r="R22789" s="1288"/>
    </row>
    <row r="22790" spans="18:18" s="2" customFormat="1" ht="12.75" x14ac:dyDescent="0.2">
      <c r="R22790" s="1288"/>
    </row>
    <row r="22791" spans="18:18" s="2" customFormat="1" ht="12.75" x14ac:dyDescent="0.2">
      <c r="R22791" s="1288"/>
    </row>
    <row r="22792" spans="18:18" s="2" customFormat="1" ht="12.75" x14ac:dyDescent="0.2">
      <c r="R22792" s="1288"/>
    </row>
    <row r="22793" spans="18:18" s="2" customFormat="1" ht="12.75" x14ac:dyDescent="0.2">
      <c r="R22793" s="1288"/>
    </row>
    <row r="22794" spans="18:18" s="2" customFormat="1" ht="12.75" x14ac:dyDescent="0.2">
      <c r="R22794" s="1288"/>
    </row>
    <row r="22795" spans="18:18" s="2" customFormat="1" ht="12.75" x14ac:dyDescent="0.2">
      <c r="R22795" s="1288"/>
    </row>
    <row r="22796" spans="18:18" s="2" customFormat="1" ht="12.75" x14ac:dyDescent="0.2">
      <c r="R22796" s="1288"/>
    </row>
    <row r="22797" spans="18:18" s="2" customFormat="1" ht="12.75" x14ac:dyDescent="0.2">
      <c r="R22797" s="1288"/>
    </row>
    <row r="22798" spans="18:18" s="2" customFormat="1" ht="12.75" x14ac:dyDescent="0.2">
      <c r="R22798" s="1288"/>
    </row>
    <row r="22799" spans="18:18" s="2" customFormat="1" ht="12.75" x14ac:dyDescent="0.2">
      <c r="R22799" s="1288"/>
    </row>
    <row r="22800" spans="18:18" s="2" customFormat="1" ht="12.75" x14ac:dyDescent="0.2">
      <c r="R22800" s="1288"/>
    </row>
    <row r="22801" spans="18:18" s="2" customFormat="1" ht="12.75" x14ac:dyDescent="0.2">
      <c r="R22801" s="1288"/>
    </row>
    <row r="22802" spans="18:18" s="2" customFormat="1" ht="12.75" x14ac:dyDescent="0.2">
      <c r="R22802" s="1288"/>
    </row>
    <row r="22803" spans="18:18" s="2" customFormat="1" ht="12.75" x14ac:dyDescent="0.2">
      <c r="R22803" s="1288"/>
    </row>
    <row r="22804" spans="18:18" s="2" customFormat="1" ht="12.75" x14ac:dyDescent="0.2">
      <c r="R22804" s="1288"/>
    </row>
    <row r="22805" spans="18:18" s="2" customFormat="1" ht="12.75" x14ac:dyDescent="0.2">
      <c r="R22805" s="1288"/>
    </row>
    <row r="22806" spans="18:18" s="2" customFormat="1" ht="12.75" x14ac:dyDescent="0.2">
      <c r="R22806" s="1288"/>
    </row>
    <row r="22807" spans="18:18" s="2" customFormat="1" ht="12.75" x14ac:dyDescent="0.2">
      <c r="R22807" s="1288"/>
    </row>
    <row r="22808" spans="18:18" s="2" customFormat="1" ht="12.75" x14ac:dyDescent="0.2">
      <c r="R22808" s="1288"/>
    </row>
    <row r="22809" spans="18:18" s="2" customFormat="1" ht="12.75" x14ac:dyDescent="0.2">
      <c r="R22809" s="1288"/>
    </row>
    <row r="22810" spans="18:18" s="2" customFormat="1" ht="12.75" x14ac:dyDescent="0.2">
      <c r="R22810" s="1288"/>
    </row>
    <row r="22811" spans="18:18" s="2" customFormat="1" ht="12.75" x14ac:dyDescent="0.2">
      <c r="R22811" s="1288"/>
    </row>
    <row r="22812" spans="18:18" s="2" customFormat="1" ht="12.75" x14ac:dyDescent="0.2">
      <c r="R22812" s="1288"/>
    </row>
    <row r="22813" spans="18:18" s="2" customFormat="1" ht="12.75" x14ac:dyDescent="0.2">
      <c r="R22813" s="1288"/>
    </row>
    <row r="22814" spans="18:18" s="2" customFormat="1" ht="12.75" x14ac:dyDescent="0.2">
      <c r="R22814" s="1288"/>
    </row>
    <row r="22815" spans="18:18" s="2" customFormat="1" ht="12.75" x14ac:dyDescent="0.2">
      <c r="R22815" s="1288"/>
    </row>
    <row r="22816" spans="18:18" s="2" customFormat="1" ht="12.75" x14ac:dyDescent="0.2">
      <c r="R22816" s="1288"/>
    </row>
    <row r="22817" spans="18:18" s="2" customFormat="1" ht="12.75" x14ac:dyDescent="0.2">
      <c r="R22817" s="1288"/>
    </row>
    <row r="22818" spans="18:18" s="2" customFormat="1" ht="12.75" x14ac:dyDescent="0.2">
      <c r="R22818" s="1288"/>
    </row>
    <row r="22819" spans="18:18" s="2" customFormat="1" ht="12.75" x14ac:dyDescent="0.2">
      <c r="R22819" s="1288"/>
    </row>
    <row r="22820" spans="18:18" s="2" customFormat="1" ht="12.75" x14ac:dyDescent="0.2">
      <c r="R22820" s="1288"/>
    </row>
    <row r="22821" spans="18:18" s="2" customFormat="1" ht="12.75" x14ac:dyDescent="0.2">
      <c r="R22821" s="1288"/>
    </row>
    <row r="22822" spans="18:18" s="2" customFormat="1" ht="12.75" x14ac:dyDescent="0.2">
      <c r="R22822" s="1288"/>
    </row>
    <row r="22823" spans="18:18" s="2" customFormat="1" ht="12.75" x14ac:dyDescent="0.2">
      <c r="R22823" s="1288"/>
    </row>
    <row r="22824" spans="18:18" s="2" customFormat="1" ht="12.75" x14ac:dyDescent="0.2">
      <c r="R22824" s="1288"/>
    </row>
    <row r="22825" spans="18:18" s="2" customFormat="1" ht="12.75" x14ac:dyDescent="0.2">
      <c r="R22825" s="1288"/>
    </row>
    <row r="22826" spans="18:18" s="2" customFormat="1" ht="12.75" x14ac:dyDescent="0.2">
      <c r="R22826" s="1288"/>
    </row>
    <row r="22827" spans="18:18" s="2" customFormat="1" ht="12.75" x14ac:dyDescent="0.2">
      <c r="R22827" s="1288"/>
    </row>
    <row r="22828" spans="18:18" s="2" customFormat="1" ht="12.75" x14ac:dyDescent="0.2">
      <c r="R22828" s="1288"/>
    </row>
    <row r="22829" spans="18:18" s="2" customFormat="1" ht="12.75" x14ac:dyDescent="0.2">
      <c r="R22829" s="1288"/>
    </row>
    <row r="22830" spans="18:18" s="2" customFormat="1" ht="12.75" x14ac:dyDescent="0.2">
      <c r="R22830" s="1288"/>
    </row>
    <row r="22831" spans="18:18" s="2" customFormat="1" ht="12.75" x14ac:dyDescent="0.2">
      <c r="R22831" s="1288"/>
    </row>
    <row r="22832" spans="18:18" s="2" customFormat="1" ht="12.75" x14ac:dyDescent="0.2">
      <c r="R22832" s="1288"/>
    </row>
    <row r="22833" spans="18:18" s="2" customFormat="1" ht="12.75" x14ac:dyDescent="0.2">
      <c r="R22833" s="1288"/>
    </row>
    <row r="22834" spans="18:18" s="2" customFormat="1" ht="12.75" x14ac:dyDescent="0.2">
      <c r="R22834" s="1288"/>
    </row>
    <row r="22835" spans="18:18" s="2" customFormat="1" ht="12.75" x14ac:dyDescent="0.2">
      <c r="R22835" s="1288"/>
    </row>
    <row r="22836" spans="18:18" s="2" customFormat="1" ht="12.75" x14ac:dyDescent="0.2">
      <c r="R22836" s="1288"/>
    </row>
    <row r="22837" spans="18:18" s="2" customFormat="1" ht="12.75" x14ac:dyDescent="0.2">
      <c r="R22837" s="1288"/>
    </row>
    <row r="22838" spans="18:18" s="2" customFormat="1" ht="12.75" x14ac:dyDescent="0.2">
      <c r="R22838" s="1288"/>
    </row>
    <row r="22839" spans="18:18" s="2" customFormat="1" ht="12.75" x14ac:dyDescent="0.2">
      <c r="R22839" s="1288"/>
    </row>
    <row r="22840" spans="18:18" s="2" customFormat="1" ht="12.75" x14ac:dyDescent="0.2">
      <c r="R22840" s="1288"/>
    </row>
    <row r="22841" spans="18:18" s="2" customFormat="1" ht="12.75" x14ac:dyDescent="0.2">
      <c r="R22841" s="1288"/>
    </row>
    <row r="22842" spans="18:18" s="2" customFormat="1" ht="12.75" x14ac:dyDescent="0.2">
      <c r="R22842" s="1288"/>
    </row>
    <row r="22843" spans="18:18" s="2" customFormat="1" ht="12.75" x14ac:dyDescent="0.2">
      <c r="R22843" s="1288"/>
    </row>
    <row r="22844" spans="18:18" s="2" customFormat="1" ht="12.75" x14ac:dyDescent="0.2">
      <c r="R22844" s="1288"/>
    </row>
    <row r="22845" spans="18:18" s="2" customFormat="1" ht="12.75" x14ac:dyDescent="0.2">
      <c r="R22845" s="1288"/>
    </row>
    <row r="22846" spans="18:18" s="2" customFormat="1" ht="12.75" x14ac:dyDescent="0.2">
      <c r="R22846" s="1288"/>
    </row>
    <row r="22847" spans="18:18" s="2" customFormat="1" ht="12.75" x14ac:dyDescent="0.2">
      <c r="R22847" s="1288"/>
    </row>
    <row r="22848" spans="18:18" s="2" customFormat="1" ht="12.75" x14ac:dyDescent="0.2">
      <c r="R22848" s="1288"/>
    </row>
    <row r="22849" spans="18:18" s="2" customFormat="1" ht="12.75" x14ac:dyDescent="0.2">
      <c r="R22849" s="1288"/>
    </row>
    <row r="22850" spans="18:18" s="2" customFormat="1" ht="12.75" x14ac:dyDescent="0.2">
      <c r="R22850" s="1288"/>
    </row>
    <row r="22851" spans="18:18" s="2" customFormat="1" ht="12.75" x14ac:dyDescent="0.2">
      <c r="R22851" s="1288"/>
    </row>
    <row r="22852" spans="18:18" s="2" customFormat="1" ht="12.75" x14ac:dyDescent="0.2">
      <c r="R22852" s="1288"/>
    </row>
    <row r="22853" spans="18:18" s="2" customFormat="1" ht="12.75" x14ac:dyDescent="0.2">
      <c r="R22853" s="1288"/>
    </row>
    <row r="22854" spans="18:18" s="2" customFormat="1" ht="12.75" x14ac:dyDescent="0.2">
      <c r="R22854" s="1288"/>
    </row>
    <row r="22855" spans="18:18" s="2" customFormat="1" ht="12.75" x14ac:dyDescent="0.2">
      <c r="R22855" s="1288"/>
    </row>
    <row r="22856" spans="18:18" s="2" customFormat="1" ht="12.75" x14ac:dyDescent="0.2">
      <c r="R22856" s="1288"/>
    </row>
    <row r="22857" spans="18:18" s="2" customFormat="1" ht="12.75" x14ac:dyDescent="0.2">
      <c r="R22857" s="1288"/>
    </row>
    <row r="22858" spans="18:18" s="2" customFormat="1" ht="12.75" x14ac:dyDescent="0.2">
      <c r="R22858" s="1288"/>
    </row>
    <row r="22859" spans="18:18" s="2" customFormat="1" ht="12.75" x14ac:dyDescent="0.2">
      <c r="R22859" s="1288"/>
    </row>
    <row r="22860" spans="18:18" s="2" customFormat="1" ht="12.75" x14ac:dyDescent="0.2">
      <c r="R22860" s="1288"/>
    </row>
    <row r="22861" spans="18:18" s="2" customFormat="1" ht="12.75" x14ac:dyDescent="0.2">
      <c r="R22861" s="1288"/>
    </row>
    <row r="22862" spans="18:18" s="2" customFormat="1" ht="12.75" x14ac:dyDescent="0.2">
      <c r="R22862" s="1288"/>
    </row>
    <row r="22863" spans="18:18" s="2" customFormat="1" ht="12.75" x14ac:dyDescent="0.2">
      <c r="R22863" s="1288"/>
    </row>
    <row r="22864" spans="18:18" s="2" customFormat="1" ht="12.75" x14ac:dyDescent="0.2">
      <c r="R22864" s="1288"/>
    </row>
    <row r="22865" spans="18:18" s="2" customFormat="1" ht="12.75" x14ac:dyDescent="0.2">
      <c r="R22865" s="1288"/>
    </row>
    <row r="22866" spans="18:18" s="2" customFormat="1" ht="12.75" x14ac:dyDescent="0.2">
      <c r="R22866" s="1288"/>
    </row>
    <row r="22867" spans="18:18" s="2" customFormat="1" ht="12.75" x14ac:dyDescent="0.2">
      <c r="R22867" s="1288"/>
    </row>
    <row r="22868" spans="18:18" s="2" customFormat="1" ht="12.75" x14ac:dyDescent="0.2">
      <c r="R22868" s="1288"/>
    </row>
    <row r="22869" spans="18:18" s="2" customFormat="1" ht="12.75" x14ac:dyDescent="0.2">
      <c r="R22869" s="1288"/>
    </row>
    <row r="22870" spans="18:18" s="2" customFormat="1" ht="12.75" x14ac:dyDescent="0.2">
      <c r="R22870" s="1288"/>
    </row>
    <row r="22871" spans="18:18" s="2" customFormat="1" ht="12.75" x14ac:dyDescent="0.2">
      <c r="R22871" s="1288"/>
    </row>
    <row r="22872" spans="18:18" s="2" customFormat="1" ht="12.75" x14ac:dyDescent="0.2">
      <c r="R22872" s="1288"/>
    </row>
    <row r="22873" spans="18:18" s="2" customFormat="1" ht="12.75" x14ac:dyDescent="0.2">
      <c r="R22873" s="1288"/>
    </row>
    <row r="22874" spans="18:18" s="2" customFormat="1" ht="12.75" x14ac:dyDescent="0.2">
      <c r="R22874" s="1288"/>
    </row>
    <row r="22875" spans="18:18" s="2" customFormat="1" ht="12.75" x14ac:dyDescent="0.2">
      <c r="R22875" s="1288"/>
    </row>
    <row r="22876" spans="18:18" s="2" customFormat="1" ht="12.75" x14ac:dyDescent="0.2">
      <c r="R22876" s="1288"/>
    </row>
    <row r="22877" spans="18:18" s="2" customFormat="1" ht="12.75" x14ac:dyDescent="0.2">
      <c r="R22877" s="1288"/>
    </row>
    <row r="22878" spans="18:18" s="2" customFormat="1" ht="12.75" x14ac:dyDescent="0.2">
      <c r="R22878" s="1288"/>
    </row>
    <row r="22879" spans="18:18" s="2" customFormat="1" ht="12.75" x14ac:dyDescent="0.2">
      <c r="R22879" s="1288"/>
    </row>
    <row r="22880" spans="18:18" s="2" customFormat="1" ht="12.75" x14ac:dyDescent="0.2">
      <c r="R22880" s="1288"/>
    </row>
    <row r="22881" spans="18:18" s="2" customFormat="1" ht="12.75" x14ac:dyDescent="0.2">
      <c r="R22881" s="1288"/>
    </row>
    <row r="22882" spans="18:18" s="2" customFormat="1" ht="12.75" x14ac:dyDescent="0.2">
      <c r="R22882" s="1288"/>
    </row>
    <row r="22883" spans="18:18" s="2" customFormat="1" ht="12.75" x14ac:dyDescent="0.2">
      <c r="R22883" s="1288"/>
    </row>
    <row r="22884" spans="18:18" s="2" customFormat="1" ht="12.75" x14ac:dyDescent="0.2">
      <c r="R22884" s="1288"/>
    </row>
    <row r="22885" spans="18:18" s="2" customFormat="1" ht="12.75" x14ac:dyDescent="0.2">
      <c r="R22885" s="1288"/>
    </row>
    <row r="22886" spans="18:18" s="2" customFormat="1" ht="12.75" x14ac:dyDescent="0.2">
      <c r="R22886" s="1288"/>
    </row>
    <row r="22887" spans="18:18" s="2" customFormat="1" ht="12.75" x14ac:dyDescent="0.2">
      <c r="R22887" s="1288"/>
    </row>
    <row r="22888" spans="18:18" s="2" customFormat="1" ht="12.75" x14ac:dyDescent="0.2">
      <c r="R22888" s="1288"/>
    </row>
    <row r="22889" spans="18:18" s="2" customFormat="1" ht="12.75" x14ac:dyDescent="0.2">
      <c r="R22889" s="1288"/>
    </row>
    <row r="22890" spans="18:18" s="2" customFormat="1" ht="12.75" x14ac:dyDescent="0.2">
      <c r="R22890" s="1288"/>
    </row>
    <row r="22891" spans="18:18" s="2" customFormat="1" ht="12.75" x14ac:dyDescent="0.2">
      <c r="R22891" s="1288"/>
    </row>
    <row r="22892" spans="18:18" s="2" customFormat="1" ht="12.75" x14ac:dyDescent="0.2">
      <c r="R22892" s="1288"/>
    </row>
    <row r="22893" spans="18:18" s="2" customFormat="1" ht="12.75" x14ac:dyDescent="0.2">
      <c r="R22893" s="1288"/>
    </row>
    <row r="22894" spans="18:18" s="2" customFormat="1" ht="12.75" x14ac:dyDescent="0.2">
      <c r="R22894" s="1288"/>
    </row>
    <row r="22895" spans="18:18" s="2" customFormat="1" ht="12.75" x14ac:dyDescent="0.2">
      <c r="R22895" s="1288"/>
    </row>
    <row r="22896" spans="18:18" s="2" customFormat="1" ht="12.75" x14ac:dyDescent="0.2">
      <c r="R22896" s="1288"/>
    </row>
    <row r="22897" spans="18:18" s="2" customFormat="1" ht="12.75" x14ac:dyDescent="0.2">
      <c r="R22897" s="1288"/>
    </row>
    <row r="22898" spans="18:18" s="2" customFormat="1" ht="12.75" x14ac:dyDescent="0.2">
      <c r="R22898" s="1288"/>
    </row>
    <row r="22899" spans="18:18" s="2" customFormat="1" ht="12.75" x14ac:dyDescent="0.2">
      <c r="R22899" s="1288"/>
    </row>
    <row r="22900" spans="18:18" s="2" customFormat="1" ht="12.75" x14ac:dyDescent="0.2">
      <c r="R22900" s="1288"/>
    </row>
    <row r="22901" spans="18:18" s="2" customFormat="1" ht="12.75" x14ac:dyDescent="0.2">
      <c r="R22901" s="1288"/>
    </row>
    <row r="22902" spans="18:18" s="2" customFormat="1" ht="12.75" x14ac:dyDescent="0.2">
      <c r="R22902" s="1288"/>
    </row>
    <row r="22903" spans="18:18" s="2" customFormat="1" ht="12.75" x14ac:dyDescent="0.2">
      <c r="R22903" s="1288"/>
    </row>
    <row r="22904" spans="18:18" s="2" customFormat="1" ht="12.75" x14ac:dyDescent="0.2">
      <c r="R22904" s="1288"/>
    </row>
    <row r="22905" spans="18:18" s="2" customFormat="1" ht="12.75" x14ac:dyDescent="0.2">
      <c r="R22905" s="1288"/>
    </row>
    <row r="22906" spans="18:18" s="2" customFormat="1" ht="12.75" x14ac:dyDescent="0.2">
      <c r="R22906" s="1288"/>
    </row>
    <row r="22907" spans="18:18" s="2" customFormat="1" ht="12.75" x14ac:dyDescent="0.2">
      <c r="R22907" s="1288"/>
    </row>
    <row r="22908" spans="18:18" s="2" customFormat="1" ht="12.75" x14ac:dyDescent="0.2">
      <c r="R22908" s="1288"/>
    </row>
    <row r="22909" spans="18:18" s="2" customFormat="1" ht="12.75" x14ac:dyDescent="0.2">
      <c r="R22909" s="1288"/>
    </row>
    <row r="22910" spans="18:18" s="2" customFormat="1" ht="12.75" x14ac:dyDescent="0.2">
      <c r="R22910" s="1288"/>
    </row>
    <row r="22911" spans="18:18" s="2" customFormat="1" ht="12.75" x14ac:dyDescent="0.2">
      <c r="R22911" s="1288"/>
    </row>
    <row r="22912" spans="18:18" s="2" customFormat="1" ht="12.75" x14ac:dyDescent="0.2">
      <c r="R22912" s="1288"/>
    </row>
    <row r="22913" spans="18:18" s="2" customFormat="1" ht="12.75" x14ac:dyDescent="0.2">
      <c r="R22913" s="1288"/>
    </row>
    <row r="22914" spans="18:18" s="2" customFormat="1" ht="12.75" x14ac:dyDescent="0.2">
      <c r="R22914" s="1288"/>
    </row>
    <row r="22915" spans="18:18" s="2" customFormat="1" ht="12.75" x14ac:dyDescent="0.2">
      <c r="R22915" s="1288"/>
    </row>
    <row r="22916" spans="18:18" s="2" customFormat="1" ht="12.75" x14ac:dyDescent="0.2">
      <c r="R22916" s="1288"/>
    </row>
    <row r="22917" spans="18:18" s="2" customFormat="1" ht="12.75" x14ac:dyDescent="0.2">
      <c r="R22917" s="1288"/>
    </row>
    <row r="22918" spans="18:18" s="2" customFormat="1" ht="12.75" x14ac:dyDescent="0.2">
      <c r="R22918" s="1288"/>
    </row>
    <row r="22919" spans="18:18" s="2" customFormat="1" ht="12.75" x14ac:dyDescent="0.2">
      <c r="R22919" s="1288"/>
    </row>
    <row r="22920" spans="18:18" s="2" customFormat="1" ht="12.75" x14ac:dyDescent="0.2">
      <c r="R22920" s="1288"/>
    </row>
    <row r="22921" spans="18:18" s="2" customFormat="1" ht="12.75" x14ac:dyDescent="0.2">
      <c r="R22921" s="1288"/>
    </row>
    <row r="22922" spans="18:18" s="2" customFormat="1" ht="12.75" x14ac:dyDescent="0.2">
      <c r="R22922" s="1288"/>
    </row>
    <row r="22923" spans="18:18" s="2" customFormat="1" ht="12.75" x14ac:dyDescent="0.2">
      <c r="R22923" s="1288"/>
    </row>
    <row r="22924" spans="18:18" s="2" customFormat="1" ht="12.75" x14ac:dyDescent="0.2">
      <c r="R22924" s="1288"/>
    </row>
    <row r="22925" spans="18:18" s="2" customFormat="1" ht="12.75" x14ac:dyDescent="0.2">
      <c r="R22925" s="1288"/>
    </row>
    <row r="22926" spans="18:18" s="2" customFormat="1" ht="12.75" x14ac:dyDescent="0.2">
      <c r="R22926" s="1288"/>
    </row>
    <row r="22927" spans="18:18" s="2" customFormat="1" ht="12.75" x14ac:dyDescent="0.2">
      <c r="R22927" s="1288"/>
    </row>
    <row r="22928" spans="18:18" s="2" customFormat="1" ht="12.75" x14ac:dyDescent="0.2">
      <c r="R22928" s="1288"/>
    </row>
    <row r="22929" spans="18:18" s="2" customFormat="1" ht="12.75" x14ac:dyDescent="0.2">
      <c r="R22929" s="1288"/>
    </row>
    <row r="22930" spans="18:18" s="2" customFormat="1" ht="12.75" x14ac:dyDescent="0.2">
      <c r="R22930" s="1288"/>
    </row>
    <row r="22931" spans="18:18" s="2" customFormat="1" ht="12.75" x14ac:dyDescent="0.2">
      <c r="R22931" s="1288"/>
    </row>
    <row r="22932" spans="18:18" s="2" customFormat="1" ht="12.75" x14ac:dyDescent="0.2">
      <c r="R22932" s="1288"/>
    </row>
    <row r="22933" spans="18:18" s="2" customFormat="1" ht="12.75" x14ac:dyDescent="0.2">
      <c r="R22933" s="1288"/>
    </row>
    <row r="22934" spans="18:18" s="2" customFormat="1" ht="12.75" x14ac:dyDescent="0.2">
      <c r="R22934" s="1288"/>
    </row>
    <row r="22935" spans="18:18" s="2" customFormat="1" ht="12.75" x14ac:dyDescent="0.2">
      <c r="R22935" s="1288"/>
    </row>
    <row r="22936" spans="18:18" s="2" customFormat="1" ht="12.75" x14ac:dyDescent="0.2">
      <c r="R22936" s="1288"/>
    </row>
    <row r="22937" spans="18:18" s="2" customFormat="1" ht="12.75" x14ac:dyDescent="0.2">
      <c r="R22937" s="1288"/>
    </row>
    <row r="22938" spans="18:18" s="2" customFormat="1" ht="12.75" x14ac:dyDescent="0.2">
      <c r="R22938" s="1288"/>
    </row>
    <row r="22939" spans="18:18" s="2" customFormat="1" ht="12.75" x14ac:dyDescent="0.2">
      <c r="R22939" s="1288"/>
    </row>
    <row r="22940" spans="18:18" s="2" customFormat="1" ht="12.75" x14ac:dyDescent="0.2">
      <c r="R22940" s="1288"/>
    </row>
    <row r="22941" spans="18:18" s="2" customFormat="1" ht="12.75" x14ac:dyDescent="0.2">
      <c r="R22941" s="1288"/>
    </row>
    <row r="22942" spans="18:18" s="2" customFormat="1" ht="12.75" x14ac:dyDescent="0.2">
      <c r="R22942" s="1288"/>
    </row>
    <row r="22943" spans="18:18" s="2" customFormat="1" ht="12.75" x14ac:dyDescent="0.2">
      <c r="R22943" s="1288"/>
    </row>
    <row r="22944" spans="18:18" s="2" customFormat="1" ht="12.75" x14ac:dyDescent="0.2">
      <c r="R22944" s="1288"/>
    </row>
    <row r="22945" spans="18:18" s="2" customFormat="1" ht="12.75" x14ac:dyDescent="0.2">
      <c r="R22945" s="1288"/>
    </row>
    <row r="22946" spans="18:18" s="2" customFormat="1" ht="12.75" x14ac:dyDescent="0.2">
      <c r="R22946" s="1288"/>
    </row>
    <row r="22947" spans="18:18" s="2" customFormat="1" ht="12.75" x14ac:dyDescent="0.2">
      <c r="R22947" s="1288"/>
    </row>
    <row r="22948" spans="18:18" s="2" customFormat="1" ht="12.75" x14ac:dyDescent="0.2">
      <c r="R22948" s="1288"/>
    </row>
    <row r="22949" spans="18:18" s="2" customFormat="1" ht="12.75" x14ac:dyDescent="0.2">
      <c r="R22949" s="1288"/>
    </row>
    <row r="22950" spans="18:18" s="2" customFormat="1" ht="12.75" x14ac:dyDescent="0.2">
      <c r="R22950" s="1288"/>
    </row>
    <row r="22951" spans="18:18" s="2" customFormat="1" ht="12.75" x14ac:dyDescent="0.2">
      <c r="R22951" s="1288"/>
    </row>
    <row r="22952" spans="18:18" s="2" customFormat="1" ht="12.75" x14ac:dyDescent="0.2">
      <c r="R22952" s="1288"/>
    </row>
    <row r="22953" spans="18:18" s="2" customFormat="1" ht="12.75" x14ac:dyDescent="0.2">
      <c r="R22953" s="1288"/>
    </row>
    <row r="22954" spans="18:18" s="2" customFormat="1" ht="12.75" x14ac:dyDescent="0.2">
      <c r="R22954" s="1288"/>
    </row>
    <row r="22955" spans="18:18" s="2" customFormat="1" ht="12.75" x14ac:dyDescent="0.2">
      <c r="R22955" s="1288"/>
    </row>
    <row r="22956" spans="18:18" s="2" customFormat="1" ht="12.75" x14ac:dyDescent="0.2">
      <c r="R22956" s="1288"/>
    </row>
    <row r="22957" spans="18:18" s="2" customFormat="1" ht="12.75" x14ac:dyDescent="0.2">
      <c r="R22957" s="1288"/>
    </row>
    <row r="22958" spans="18:18" s="2" customFormat="1" ht="12.75" x14ac:dyDescent="0.2">
      <c r="R22958" s="1288"/>
    </row>
    <row r="22959" spans="18:18" s="2" customFormat="1" ht="12.75" x14ac:dyDescent="0.2">
      <c r="R22959" s="1288"/>
    </row>
    <row r="22960" spans="18:18" s="2" customFormat="1" ht="12.75" x14ac:dyDescent="0.2">
      <c r="R22960" s="1288"/>
    </row>
    <row r="22961" spans="18:18" s="2" customFormat="1" ht="12.75" x14ac:dyDescent="0.2">
      <c r="R22961" s="1288"/>
    </row>
    <row r="22962" spans="18:18" s="2" customFormat="1" ht="12.75" x14ac:dyDescent="0.2">
      <c r="R22962" s="1288"/>
    </row>
    <row r="22963" spans="18:18" s="2" customFormat="1" ht="12.75" x14ac:dyDescent="0.2">
      <c r="R22963" s="1288"/>
    </row>
    <row r="22964" spans="18:18" s="2" customFormat="1" ht="12.75" x14ac:dyDescent="0.2">
      <c r="R22964" s="1288"/>
    </row>
    <row r="22965" spans="18:18" s="2" customFormat="1" ht="12.75" x14ac:dyDescent="0.2">
      <c r="R22965" s="1288"/>
    </row>
    <row r="22966" spans="18:18" s="2" customFormat="1" ht="12.75" x14ac:dyDescent="0.2">
      <c r="R22966" s="1288"/>
    </row>
    <row r="22967" spans="18:18" s="2" customFormat="1" ht="12.75" x14ac:dyDescent="0.2">
      <c r="R22967" s="1288"/>
    </row>
    <row r="22968" spans="18:18" s="2" customFormat="1" ht="12.75" x14ac:dyDescent="0.2">
      <c r="R22968" s="1288"/>
    </row>
    <row r="22969" spans="18:18" s="2" customFormat="1" ht="12.75" x14ac:dyDescent="0.2">
      <c r="R22969" s="1288"/>
    </row>
    <row r="22970" spans="18:18" s="2" customFormat="1" ht="12.75" x14ac:dyDescent="0.2">
      <c r="R22970" s="1288"/>
    </row>
    <row r="22971" spans="18:18" s="2" customFormat="1" ht="12.75" x14ac:dyDescent="0.2">
      <c r="R22971" s="1288"/>
    </row>
    <row r="22972" spans="18:18" s="2" customFormat="1" ht="12.75" x14ac:dyDescent="0.2">
      <c r="R22972" s="1288"/>
    </row>
    <row r="22973" spans="18:18" s="2" customFormat="1" ht="12.75" x14ac:dyDescent="0.2">
      <c r="R22973" s="1288"/>
    </row>
    <row r="22974" spans="18:18" s="2" customFormat="1" ht="12.75" x14ac:dyDescent="0.2">
      <c r="R22974" s="1288"/>
    </row>
    <row r="22975" spans="18:18" s="2" customFormat="1" ht="12.75" x14ac:dyDescent="0.2">
      <c r="R22975" s="1288"/>
    </row>
    <row r="22976" spans="18:18" s="2" customFormat="1" ht="12.75" x14ac:dyDescent="0.2">
      <c r="R22976" s="1288"/>
    </row>
    <row r="22977" spans="18:18" s="2" customFormat="1" ht="12.75" x14ac:dyDescent="0.2">
      <c r="R22977" s="1288"/>
    </row>
    <row r="22978" spans="18:18" s="2" customFormat="1" ht="12.75" x14ac:dyDescent="0.2">
      <c r="R22978" s="1288"/>
    </row>
    <row r="22979" spans="18:18" s="2" customFormat="1" ht="12.75" x14ac:dyDescent="0.2">
      <c r="R22979" s="1288"/>
    </row>
    <row r="22980" spans="18:18" s="2" customFormat="1" ht="12.75" x14ac:dyDescent="0.2">
      <c r="R22980" s="1288"/>
    </row>
    <row r="22981" spans="18:18" s="2" customFormat="1" ht="12.75" x14ac:dyDescent="0.2">
      <c r="R22981" s="1288"/>
    </row>
    <row r="22982" spans="18:18" s="2" customFormat="1" ht="12.75" x14ac:dyDescent="0.2">
      <c r="R22982" s="1288"/>
    </row>
    <row r="22983" spans="18:18" s="2" customFormat="1" ht="12.75" x14ac:dyDescent="0.2">
      <c r="R22983" s="1288"/>
    </row>
    <row r="22984" spans="18:18" s="2" customFormat="1" ht="12.75" x14ac:dyDescent="0.2">
      <c r="R22984" s="1288"/>
    </row>
    <row r="22985" spans="18:18" s="2" customFormat="1" ht="12.75" x14ac:dyDescent="0.2">
      <c r="R22985" s="1288"/>
    </row>
    <row r="22986" spans="18:18" s="2" customFormat="1" ht="12.75" x14ac:dyDescent="0.2">
      <c r="R22986" s="1288"/>
    </row>
    <row r="22987" spans="18:18" s="2" customFormat="1" ht="12.75" x14ac:dyDescent="0.2">
      <c r="R22987" s="1288"/>
    </row>
    <row r="22988" spans="18:18" s="2" customFormat="1" ht="12.75" x14ac:dyDescent="0.2">
      <c r="R22988" s="1288"/>
    </row>
    <row r="22989" spans="18:18" s="2" customFormat="1" ht="12.75" x14ac:dyDescent="0.2">
      <c r="R22989" s="1288"/>
    </row>
    <row r="22990" spans="18:18" s="2" customFormat="1" ht="12.75" x14ac:dyDescent="0.2">
      <c r="R22990" s="1288"/>
    </row>
    <row r="22991" spans="18:18" s="2" customFormat="1" ht="12.75" x14ac:dyDescent="0.2">
      <c r="R22991" s="1288"/>
    </row>
    <row r="22992" spans="18:18" s="2" customFormat="1" ht="12.75" x14ac:dyDescent="0.2">
      <c r="R22992" s="1288"/>
    </row>
    <row r="22993" spans="18:18" s="2" customFormat="1" ht="12.75" x14ac:dyDescent="0.2">
      <c r="R22993" s="1288"/>
    </row>
    <row r="22994" spans="18:18" s="2" customFormat="1" ht="12.75" x14ac:dyDescent="0.2">
      <c r="R22994" s="1288"/>
    </row>
    <row r="22995" spans="18:18" s="2" customFormat="1" ht="12.75" x14ac:dyDescent="0.2">
      <c r="R22995" s="1288"/>
    </row>
    <row r="22996" spans="18:18" s="2" customFormat="1" ht="12.75" x14ac:dyDescent="0.2">
      <c r="R22996" s="1288"/>
    </row>
    <row r="22997" spans="18:18" s="2" customFormat="1" ht="12.75" x14ac:dyDescent="0.2">
      <c r="R22997" s="1288"/>
    </row>
    <row r="22998" spans="18:18" s="2" customFormat="1" ht="12.75" x14ac:dyDescent="0.2">
      <c r="R22998" s="1288"/>
    </row>
    <row r="22999" spans="18:18" s="2" customFormat="1" ht="12.75" x14ac:dyDescent="0.2">
      <c r="R22999" s="1288"/>
    </row>
    <row r="23000" spans="18:18" s="2" customFormat="1" ht="12.75" x14ac:dyDescent="0.2">
      <c r="R23000" s="1288"/>
    </row>
    <row r="23001" spans="18:18" s="2" customFormat="1" ht="12.75" x14ac:dyDescent="0.2">
      <c r="R23001" s="1288"/>
    </row>
    <row r="23002" spans="18:18" s="2" customFormat="1" ht="12.75" x14ac:dyDescent="0.2">
      <c r="R23002" s="1288"/>
    </row>
    <row r="23003" spans="18:18" s="2" customFormat="1" ht="12.75" x14ac:dyDescent="0.2">
      <c r="R23003" s="1288"/>
    </row>
    <row r="23004" spans="18:18" s="2" customFormat="1" ht="12.75" x14ac:dyDescent="0.2">
      <c r="R23004" s="1288"/>
    </row>
    <row r="23005" spans="18:18" s="2" customFormat="1" ht="12.75" x14ac:dyDescent="0.2">
      <c r="R23005" s="1288"/>
    </row>
    <row r="23006" spans="18:18" s="2" customFormat="1" ht="12.75" x14ac:dyDescent="0.2">
      <c r="R23006" s="1288"/>
    </row>
    <row r="23007" spans="18:18" s="2" customFormat="1" ht="12.75" x14ac:dyDescent="0.2">
      <c r="R23007" s="1288"/>
    </row>
    <row r="23008" spans="18:18" s="2" customFormat="1" ht="12.75" x14ac:dyDescent="0.2">
      <c r="R23008" s="1288"/>
    </row>
    <row r="23009" spans="18:18" s="2" customFormat="1" ht="12.75" x14ac:dyDescent="0.2">
      <c r="R23009" s="1288"/>
    </row>
    <row r="23010" spans="18:18" s="2" customFormat="1" ht="12.75" x14ac:dyDescent="0.2">
      <c r="R23010" s="1288"/>
    </row>
    <row r="23011" spans="18:18" s="2" customFormat="1" ht="12.75" x14ac:dyDescent="0.2">
      <c r="R23011" s="1288"/>
    </row>
    <row r="23012" spans="18:18" s="2" customFormat="1" ht="12.75" x14ac:dyDescent="0.2">
      <c r="R23012" s="1288"/>
    </row>
    <row r="23013" spans="18:18" s="2" customFormat="1" ht="12.75" x14ac:dyDescent="0.2">
      <c r="R23013" s="1288"/>
    </row>
    <row r="23014" spans="18:18" s="2" customFormat="1" ht="12.75" x14ac:dyDescent="0.2">
      <c r="R23014" s="1288"/>
    </row>
    <row r="23015" spans="18:18" s="2" customFormat="1" ht="12.75" x14ac:dyDescent="0.2">
      <c r="R23015" s="1288"/>
    </row>
    <row r="23016" spans="18:18" s="2" customFormat="1" ht="12.75" x14ac:dyDescent="0.2">
      <c r="R23016" s="1288"/>
    </row>
    <row r="23017" spans="18:18" s="2" customFormat="1" ht="12.75" x14ac:dyDescent="0.2">
      <c r="R23017" s="1288"/>
    </row>
    <row r="23018" spans="18:18" s="2" customFormat="1" ht="12.75" x14ac:dyDescent="0.2">
      <c r="R23018" s="1288"/>
    </row>
    <row r="23019" spans="18:18" s="2" customFormat="1" ht="12.75" x14ac:dyDescent="0.2">
      <c r="R23019" s="1288"/>
    </row>
    <row r="23020" spans="18:18" s="2" customFormat="1" ht="12.75" x14ac:dyDescent="0.2">
      <c r="R23020" s="1288"/>
    </row>
    <row r="23021" spans="18:18" s="2" customFormat="1" ht="12.75" x14ac:dyDescent="0.2">
      <c r="R23021" s="1288"/>
    </row>
    <row r="23022" spans="18:18" s="2" customFormat="1" ht="12.75" x14ac:dyDescent="0.2">
      <c r="R23022" s="1288"/>
    </row>
    <row r="23023" spans="18:18" s="2" customFormat="1" ht="12.75" x14ac:dyDescent="0.2">
      <c r="R23023" s="1288"/>
    </row>
    <row r="23024" spans="18:18" s="2" customFormat="1" ht="12.75" x14ac:dyDescent="0.2">
      <c r="R23024" s="1288"/>
    </row>
    <row r="23025" spans="18:18" s="2" customFormat="1" ht="12.75" x14ac:dyDescent="0.2">
      <c r="R23025" s="1288"/>
    </row>
    <row r="23026" spans="18:18" s="2" customFormat="1" ht="12.75" x14ac:dyDescent="0.2">
      <c r="R23026" s="1288"/>
    </row>
    <row r="23027" spans="18:18" s="2" customFormat="1" ht="12.75" x14ac:dyDescent="0.2">
      <c r="R23027" s="1288"/>
    </row>
    <row r="23028" spans="18:18" s="2" customFormat="1" ht="12.75" x14ac:dyDescent="0.2">
      <c r="R23028" s="1288"/>
    </row>
    <row r="23029" spans="18:18" s="2" customFormat="1" ht="12.75" x14ac:dyDescent="0.2">
      <c r="R23029" s="1288"/>
    </row>
    <row r="23030" spans="18:18" s="2" customFormat="1" ht="12.75" x14ac:dyDescent="0.2">
      <c r="R23030" s="1288"/>
    </row>
    <row r="23031" spans="18:18" s="2" customFormat="1" ht="12.75" x14ac:dyDescent="0.2">
      <c r="R23031" s="1288"/>
    </row>
    <row r="23032" spans="18:18" s="2" customFormat="1" ht="12.75" x14ac:dyDescent="0.2">
      <c r="R23032" s="1288"/>
    </row>
    <row r="23033" spans="18:18" s="2" customFormat="1" ht="12.75" x14ac:dyDescent="0.2">
      <c r="R23033" s="1288"/>
    </row>
    <row r="23034" spans="18:18" s="2" customFormat="1" ht="12.75" x14ac:dyDescent="0.2">
      <c r="R23034" s="1288"/>
    </row>
    <row r="23035" spans="18:18" s="2" customFormat="1" ht="12.75" x14ac:dyDescent="0.2">
      <c r="R23035" s="1288"/>
    </row>
    <row r="23036" spans="18:18" s="2" customFormat="1" ht="12.75" x14ac:dyDescent="0.2">
      <c r="R23036" s="1288"/>
    </row>
    <row r="23037" spans="18:18" s="2" customFormat="1" ht="12.75" x14ac:dyDescent="0.2">
      <c r="R23037" s="1288"/>
    </row>
    <row r="23038" spans="18:18" s="2" customFormat="1" ht="12.75" x14ac:dyDescent="0.2">
      <c r="R23038" s="1288"/>
    </row>
    <row r="23039" spans="18:18" s="2" customFormat="1" ht="12.75" x14ac:dyDescent="0.2">
      <c r="R23039" s="1288"/>
    </row>
    <row r="23040" spans="18:18" s="2" customFormat="1" ht="12.75" x14ac:dyDescent="0.2">
      <c r="R23040" s="1288"/>
    </row>
    <row r="23041" spans="18:18" s="2" customFormat="1" ht="12.75" x14ac:dyDescent="0.2">
      <c r="R23041" s="1288"/>
    </row>
    <row r="23042" spans="18:18" s="2" customFormat="1" ht="12.75" x14ac:dyDescent="0.2">
      <c r="R23042" s="1288"/>
    </row>
    <row r="23043" spans="18:18" s="2" customFormat="1" ht="12.75" x14ac:dyDescent="0.2">
      <c r="R23043" s="1288"/>
    </row>
    <row r="23044" spans="18:18" s="2" customFormat="1" ht="12.75" x14ac:dyDescent="0.2">
      <c r="R23044" s="1288"/>
    </row>
    <row r="23045" spans="18:18" s="2" customFormat="1" ht="12.75" x14ac:dyDescent="0.2">
      <c r="R23045" s="1288"/>
    </row>
    <row r="23046" spans="18:18" s="2" customFormat="1" ht="12.75" x14ac:dyDescent="0.2">
      <c r="R23046" s="1288"/>
    </row>
    <row r="23047" spans="18:18" s="2" customFormat="1" ht="12.75" x14ac:dyDescent="0.2">
      <c r="R23047" s="1288"/>
    </row>
    <row r="23048" spans="18:18" s="2" customFormat="1" ht="12.75" x14ac:dyDescent="0.2">
      <c r="R23048" s="1288"/>
    </row>
    <row r="23049" spans="18:18" s="2" customFormat="1" ht="12.75" x14ac:dyDescent="0.2">
      <c r="R23049" s="1288"/>
    </row>
    <row r="23050" spans="18:18" s="2" customFormat="1" ht="12.75" x14ac:dyDescent="0.2">
      <c r="R23050" s="1288"/>
    </row>
    <row r="23051" spans="18:18" s="2" customFormat="1" ht="12.75" x14ac:dyDescent="0.2">
      <c r="R23051" s="1288"/>
    </row>
    <row r="23052" spans="18:18" s="2" customFormat="1" ht="12.75" x14ac:dyDescent="0.2">
      <c r="R23052" s="1288"/>
    </row>
    <row r="23053" spans="18:18" s="2" customFormat="1" ht="12.75" x14ac:dyDescent="0.2">
      <c r="R23053" s="1288"/>
    </row>
    <row r="23054" spans="18:18" s="2" customFormat="1" ht="12.75" x14ac:dyDescent="0.2">
      <c r="R23054" s="1288"/>
    </row>
    <row r="23055" spans="18:18" s="2" customFormat="1" ht="12.75" x14ac:dyDescent="0.2">
      <c r="R23055" s="1288"/>
    </row>
    <row r="23056" spans="18:18" s="2" customFormat="1" ht="12.75" x14ac:dyDescent="0.2">
      <c r="R23056" s="1288"/>
    </row>
    <row r="23057" spans="18:18" s="2" customFormat="1" ht="12.75" x14ac:dyDescent="0.2">
      <c r="R23057" s="1288"/>
    </row>
    <row r="23058" spans="18:18" s="2" customFormat="1" ht="12.75" x14ac:dyDescent="0.2">
      <c r="R23058" s="1288"/>
    </row>
    <row r="23059" spans="18:18" s="2" customFormat="1" ht="12.75" x14ac:dyDescent="0.2">
      <c r="R23059" s="1288"/>
    </row>
    <row r="23060" spans="18:18" s="2" customFormat="1" ht="12.75" x14ac:dyDescent="0.2">
      <c r="R23060" s="1288"/>
    </row>
    <row r="23061" spans="18:18" s="2" customFormat="1" ht="12.75" x14ac:dyDescent="0.2">
      <c r="R23061" s="1288"/>
    </row>
    <row r="23062" spans="18:18" s="2" customFormat="1" ht="12.75" x14ac:dyDescent="0.2">
      <c r="R23062" s="1288"/>
    </row>
    <row r="23063" spans="18:18" s="2" customFormat="1" ht="12.75" x14ac:dyDescent="0.2">
      <c r="R23063" s="1288"/>
    </row>
    <row r="23064" spans="18:18" s="2" customFormat="1" ht="12.75" x14ac:dyDescent="0.2">
      <c r="R23064" s="1288"/>
    </row>
    <row r="23065" spans="18:18" s="2" customFormat="1" ht="12.75" x14ac:dyDescent="0.2">
      <c r="R23065" s="1288"/>
    </row>
    <row r="23066" spans="18:18" s="2" customFormat="1" ht="12.75" x14ac:dyDescent="0.2">
      <c r="R23066" s="1288"/>
    </row>
    <row r="23067" spans="18:18" s="2" customFormat="1" ht="12.75" x14ac:dyDescent="0.2">
      <c r="R23067" s="1288"/>
    </row>
    <row r="23068" spans="18:18" s="2" customFormat="1" ht="12.75" x14ac:dyDescent="0.2">
      <c r="R23068" s="1288"/>
    </row>
    <row r="23069" spans="18:18" s="2" customFormat="1" ht="12.75" x14ac:dyDescent="0.2">
      <c r="R23069" s="1288"/>
    </row>
    <row r="23070" spans="18:18" s="2" customFormat="1" ht="12.75" x14ac:dyDescent="0.2">
      <c r="R23070" s="1288"/>
    </row>
    <row r="23071" spans="18:18" s="2" customFormat="1" ht="12.75" x14ac:dyDescent="0.2">
      <c r="R23071" s="1288"/>
    </row>
    <row r="23072" spans="18:18" s="2" customFormat="1" ht="12.75" x14ac:dyDescent="0.2">
      <c r="R23072" s="1288"/>
    </row>
    <row r="23073" spans="18:18" s="2" customFormat="1" ht="12.75" x14ac:dyDescent="0.2">
      <c r="R23073" s="1288"/>
    </row>
    <row r="23074" spans="18:18" s="2" customFormat="1" ht="12.75" x14ac:dyDescent="0.2">
      <c r="R23074" s="1288"/>
    </row>
    <row r="23075" spans="18:18" s="2" customFormat="1" ht="12.75" x14ac:dyDescent="0.2">
      <c r="R23075" s="1288"/>
    </row>
    <row r="23076" spans="18:18" s="2" customFormat="1" ht="12.75" x14ac:dyDescent="0.2">
      <c r="R23076" s="1288"/>
    </row>
    <row r="23077" spans="18:18" s="2" customFormat="1" ht="12.75" x14ac:dyDescent="0.2">
      <c r="R23077" s="1288"/>
    </row>
    <row r="23078" spans="18:18" s="2" customFormat="1" ht="12.75" x14ac:dyDescent="0.2">
      <c r="R23078" s="1288"/>
    </row>
    <row r="23079" spans="18:18" s="2" customFormat="1" ht="12.75" x14ac:dyDescent="0.2">
      <c r="R23079" s="1288"/>
    </row>
    <row r="23080" spans="18:18" s="2" customFormat="1" ht="12.75" x14ac:dyDescent="0.2">
      <c r="R23080" s="1288"/>
    </row>
    <row r="23081" spans="18:18" s="2" customFormat="1" ht="12.75" x14ac:dyDescent="0.2">
      <c r="R23081" s="1288"/>
    </row>
    <row r="23082" spans="18:18" s="2" customFormat="1" ht="12.75" x14ac:dyDescent="0.2">
      <c r="R23082" s="1288"/>
    </row>
    <row r="23083" spans="18:18" s="2" customFormat="1" ht="12.75" x14ac:dyDescent="0.2">
      <c r="R23083" s="1288"/>
    </row>
    <row r="23084" spans="18:18" s="2" customFormat="1" ht="12.75" x14ac:dyDescent="0.2">
      <c r="R23084" s="1288"/>
    </row>
    <row r="23085" spans="18:18" s="2" customFormat="1" ht="12.75" x14ac:dyDescent="0.2">
      <c r="R23085" s="1288"/>
    </row>
    <row r="23086" spans="18:18" s="2" customFormat="1" ht="12.75" x14ac:dyDescent="0.2">
      <c r="R23086" s="1288"/>
    </row>
    <row r="23087" spans="18:18" s="2" customFormat="1" ht="12.75" x14ac:dyDescent="0.2">
      <c r="R23087" s="1288"/>
    </row>
    <row r="23088" spans="18:18" s="2" customFormat="1" ht="12.75" x14ac:dyDescent="0.2">
      <c r="R23088" s="1288"/>
    </row>
    <row r="23089" spans="18:18" s="2" customFormat="1" ht="12.75" x14ac:dyDescent="0.2">
      <c r="R23089" s="1288"/>
    </row>
    <row r="23090" spans="18:18" s="2" customFormat="1" ht="12.75" x14ac:dyDescent="0.2">
      <c r="R23090" s="1288"/>
    </row>
    <row r="23091" spans="18:18" s="2" customFormat="1" ht="12.75" x14ac:dyDescent="0.2">
      <c r="R23091" s="1288"/>
    </row>
    <row r="23092" spans="18:18" s="2" customFormat="1" ht="12.75" x14ac:dyDescent="0.2">
      <c r="R23092" s="1288"/>
    </row>
    <row r="23093" spans="18:18" s="2" customFormat="1" ht="12.75" x14ac:dyDescent="0.2">
      <c r="R23093" s="1288"/>
    </row>
    <row r="23094" spans="18:18" s="2" customFormat="1" ht="12.75" x14ac:dyDescent="0.2">
      <c r="R23094" s="1288"/>
    </row>
    <row r="23095" spans="18:18" s="2" customFormat="1" ht="12.75" x14ac:dyDescent="0.2">
      <c r="R23095" s="1288"/>
    </row>
    <row r="23096" spans="18:18" s="2" customFormat="1" ht="12.75" x14ac:dyDescent="0.2">
      <c r="R23096" s="1288"/>
    </row>
    <row r="23097" spans="18:18" s="2" customFormat="1" ht="12.75" x14ac:dyDescent="0.2">
      <c r="R23097" s="1288"/>
    </row>
    <row r="23098" spans="18:18" s="2" customFormat="1" ht="12.75" x14ac:dyDescent="0.2">
      <c r="R23098" s="1288"/>
    </row>
    <row r="23099" spans="18:18" s="2" customFormat="1" ht="12.75" x14ac:dyDescent="0.2">
      <c r="R23099" s="1288"/>
    </row>
    <row r="23100" spans="18:18" s="2" customFormat="1" ht="12.75" x14ac:dyDescent="0.2">
      <c r="R23100" s="1288"/>
    </row>
    <row r="23101" spans="18:18" s="2" customFormat="1" ht="12.75" x14ac:dyDescent="0.2">
      <c r="R23101" s="1288"/>
    </row>
    <row r="23102" spans="18:18" s="2" customFormat="1" ht="12.75" x14ac:dyDescent="0.2">
      <c r="R23102" s="1288"/>
    </row>
    <row r="23103" spans="18:18" s="2" customFormat="1" ht="12.75" x14ac:dyDescent="0.2">
      <c r="R23103" s="1288"/>
    </row>
    <row r="23104" spans="18:18" s="2" customFormat="1" ht="12.75" x14ac:dyDescent="0.2">
      <c r="R23104" s="1288"/>
    </row>
    <row r="23105" spans="18:18" s="2" customFormat="1" ht="12.75" x14ac:dyDescent="0.2">
      <c r="R23105" s="1288"/>
    </row>
    <row r="23106" spans="18:18" s="2" customFormat="1" ht="12.75" x14ac:dyDescent="0.2">
      <c r="R23106" s="1288"/>
    </row>
    <row r="23107" spans="18:18" s="2" customFormat="1" ht="12.75" x14ac:dyDescent="0.2">
      <c r="R23107" s="1288"/>
    </row>
    <row r="23108" spans="18:18" s="2" customFormat="1" ht="12.75" x14ac:dyDescent="0.2">
      <c r="R23108" s="1288"/>
    </row>
    <row r="23109" spans="18:18" s="2" customFormat="1" ht="12.75" x14ac:dyDescent="0.2">
      <c r="R23109" s="1288"/>
    </row>
    <row r="23110" spans="18:18" s="2" customFormat="1" ht="12.75" x14ac:dyDescent="0.2">
      <c r="R23110" s="1288"/>
    </row>
    <row r="23111" spans="18:18" s="2" customFormat="1" ht="12.75" x14ac:dyDescent="0.2">
      <c r="R23111" s="1288"/>
    </row>
    <row r="23112" spans="18:18" s="2" customFormat="1" ht="12.75" x14ac:dyDescent="0.2">
      <c r="R23112" s="1288"/>
    </row>
    <row r="23113" spans="18:18" s="2" customFormat="1" ht="12.75" x14ac:dyDescent="0.2">
      <c r="R23113" s="1288"/>
    </row>
    <row r="23114" spans="18:18" s="2" customFormat="1" ht="12.75" x14ac:dyDescent="0.2">
      <c r="R23114" s="1288"/>
    </row>
    <row r="23115" spans="18:18" s="2" customFormat="1" ht="12.75" x14ac:dyDescent="0.2">
      <c r="R23115" s="1288"/>
    </row>
    <row r="23116" spans="18:18" s="2" customFormat="1" ht="12.75" x14ac:dyDescent="0.2">
      <c r="R23116" s="1288"/>
    </row>
    <row r="23117" spans="18:18" s="2" customFormat="1" ht="12.75" x14ac:dyDescent="0.2">
      <c r="R23117" s="1288"/>
    </row>
    <row r="23118" spans="18:18" s="2" customFormat="1" ht="12.75" x14ac:dyDescent="0.2">
      <c r="R23118" s="1288"/>
    </row>
    <row r="23119" spans="18:18" s="2" customFormat="1" ht="12.75" x14ac:dyDescent="0.2">
      <c r="R23119" s="1288"/>
    </row>
    <row r="23120" spans="18:18" s="2" customFormat="1" ht="12.75" x14ac:dyDescent="0.2">
      <c r="R23120" s="1288"/>
    </row>
    <row r="23121" spans="18:18" s="2" customFormat="1" ht="12.75" x14ac:dyDescent="0.2">
      <c r="R23121" s="1288"/>
    </row>
    <row r="23122" spans="18:18" s="2" customFormat="1" ht="12.75" x14ac:dyDescent="0.2">
      <c r="R23122" s="1288"/>
    </row>
    <row r="23123" spans="18:18" s="2" customFormat="1" ht="12.75" x14ac:dyDescent="0.2">
      <c r="R23123" s="1288"/>
    </row>
    <row r="23124" spans="18:18" s="2" customFormat="1" ht="12.75" x14ac:dyDescent="0.2">
      <c r="R23124" s="1288"/>
    </row>
    <row r="23125" spans="18:18" s="2" customFormat="1" ht="12.75" x14ac:dyDescent="0.2">
      <c r="R23125" s="1288"/>
    </row>
    <row r="23126" spans="18:18" s="2" customFormat="1" ht="12.75" x14ac:dyDescent="0.2">
      <c r="R23126" s="1288"/>
    </row>
    <row r="23127" spans="18:18" s="2" customFormat="1" ht="12.75" x14ac:dyDescent="0.2">
      <c r="R23127" s="1288"/>
    </row>
    <row r="23128" spans="18:18" s="2" customFormat="1" ht="12.75" x14ac:dyDescent="0.2">
      <c r="R23128" s="1288"/>
    </row>
    <row r="23129" spans="18:18" s="2" customFormat="1" ht="12.75" x14ac:dyDescent="0.2">
      <c r="R23129" s="1288"/>
    </row>
    <row r="23130" spans="18:18" s="2" customFormat="1" ht="12.75" x14ac:dyDescent="0.2">
      <c r="R23130" s="1288"/>
    </row>
    <row r="23131" spans="18:18" s="2" customFormat="1" ht="12.75" x14ac:dyDescent="0.2">
      <c r="R23131" s="1288"/>
    </row>
    <row r="23132" spans="18:18" s="2" customFormat="1" ht="12.75" x14ac:dyDescent="0.2">
      <c r="R23132" s="1288"/>
    </row>
    <row r="23133" spans="18:18" s="2" customFormat="1" ht="12.75" x14ac:dyDescent="0.2">
      <c r="R23133" s="1288"/>
    </row>
    <row r="23134" spans="18:18" s="2" customFormat="1" ht="12.75" x14ac:dyDescent="0.2">
      <c r="R23134" s="1288"/>
    </row>
    <row r="23135" spans="18:18" s="2" customFormat="1" ht="12.75" x14ac:dyDescent="0.2">
      <c r="R23135" s="1288"/>
    </row>
    <row r="23136" spans="18:18" s="2" customFormat="1" ht="12.75" x14ac:dyDescent="0.2">
      <c r="R23136" s="1288"/>
    </row>
    <row r="23137" spans="18:18" s="2" customFormat="1" ht="12.75" x14ac:dyDescent="0.2">
      <c r="R23137" s="1288"/>
    </row>
    <row r="23138" spans="18:18" s="2" customFormat="1" ht="12.75" x14ac:dyDescent="0.2">
      <c r="R23138" s="1288"/>
    </row>
    <row r="23139" spans="18:18" s="2" customFormat="1" ht="12.75" x14ac:dyDescent="0.2">
      <c r="R23139" s="1288"/>
    </row>
    <row r="23140" spans="18:18" s="2" customFormat="1" ht="12.75" x14ac:dyDescent="0.2">
      <c r="R23140" s="1288"/>
    </row>
    <row r="23141" spans="18:18" s="2" customFormat="1" ht="12.75" x14ac:dyDescent="0.2">
      <c r="R23141" s="1288"/>
    </row>
    <row r="23142" spans="18:18" s="2" customFormat="1" ht="12.75" x14ac:dyDescent="0.2">
      <c r="R23142" s="1288"/>
    </row>
    <row r="23143" spans="18:18" s="2" customFormat="1" ht="12.75" x14ac:dyDescent="0.2">
      <c r="R23143" s="1288"/>
    </row>
    <row r="23144" spans="18:18" s="2" customFormat="1" ht="12.75" x14ac:dyDescent="0.2">
      <c r="R23144" s="1288"/>
    </row>
    <row r="23145" spans="18:18" s="2" customFormat="1" ht="12.75" x14ac:dyDescent="0.2">
      <c r="R23145" s="1288"/>
    </row>
    <row r="23146" spans="18:18" s="2" customFormat="1" ht="12.75" x14ac:dyDescent="0.2">
      <c r="R23146" s="1288"/>
    </row>
    <row r="23147" spans="18:18" s="2" customFormat="1" ht="12.75" x14ac:dyDescent="0.2">
      <c r="R23147" s="1288"/>
    </row>
    <row r="23148" spans="18:18" s="2" customFormat="1" ht="12.75" x14ac:dyDescent="0.2">
      <c r="R23148" s="1288"/>
    </row>
    <row r="23149" spans="18:18" s="2" customFormat="1" ht="12.75" x14ac:dyDescent="0.2">
      <c r="R23149" s="1288"/>
    </row>
    <row r="23150" spans="18:18" s="2" customFormat="1" ht="12.75" x14ac:dyDescent="0.2">
      <c r="R23150" s="1288"/>
    </row>
    <row r="23151" spans="18:18" s="2" customFormat="1" ht="12.75" x14ac:dyDescent="0.2">
      <c r="R23151" s="1288"/>
    </row>
    <row r="23152" spans="18:18" s="2" customFormat="1" ht="12.75" x14ac:dyDescent="0.2">
      <c r="R23152" s="1288"/>
    </row>
    <row r="23153" spans="18:18" s="2" customFormat="1" ht="12.75" x14ac:dyDescent="0.2">
      <c r="R23153" s="1288"/>
    </row>
    <row r="23154" spans="18:18" s="2" customFormat="1" ht="12.75" x14ac:dyDescent="0.2">
      <c r="R23154" s="1288"/>
    </row>
    <row r="23155" spans="18:18" s="2" customFormat="1" ht="12.75" x14ac:dyDescent="0.2">
      <c r="R23155" s="1288"/>
    </row>
    <row r="23156" spans="18:18" s="2" customFormat="1" ht="12.75" x14ac:dyDescent="0.2">
      <c r="R23156" s="1288"/>
    </row>
    <row r="23157" spans="18:18" s="2" customFormat="1" ht="12.75" x14ac:dyDescent="0.2">
      <c r="R23157" s="1288"/>
    </row>
    <row r="23158" spans="18:18" s="2" customFormat="1" ht="12.75" x14ac:dyDescent="0.2">
      <c r="R23158" s="1288"/>
    </row>
    <row r="23159" spans="18:18" s="2" customFormat="1" ht="12.75" x14ac:dyDescent="0.2">
      <c r="R23159" s="1288"/>
    </row>
    <row r="23160" spans="18:18" s="2" customFormat="1" ht="12.75" x14ac:dyDescent="0.2">
      <c r="R23160" s="1288"/>
    </row>
    <row r="23161" spans="18:18" s="2" customFormat="1" ht="12.75" x14ac:dyDescent="0.2">
      <c r="R23161" s="1288"/>
    </row>
    <row r="23162" spans="18:18" s="2" customFormat="1" ht="12.75" x14ac:dyDescent="0.2">
      <c r="R23162" s="1288"/>
    </row>
    <row r="23163" spans="18:18" s="2" customFormat="1" ht="12.75" x14ac:dyDescent="0.2">
      <c r="R23163" s="1288"/>
    </row>
    <row r="23164" spans="18:18" s="2" customFormat="1" ht="12.75" x14ac:dyDescent="0.2">
      <c r="R23164" s="1288"/>
    </row>
    <row r="23165" spans="18:18" s="2" customFormat="1" ht="12.75" x14ac:dyDescent="0.2">
      <c r="R23165" s="1288"/>
    </row>
    <row r="23166" spans="18:18" s="2" customFormat="1" ht="12.75" x14ac:dyDescent="0.2">
      <c r="R23166" s="1288"/>
    </row>
    <row r="23167" spans="18:18" s="2" customFormat="1" ht="12.75" x14ac:dyDescent="0.2">
      <c r="R23167" s="1288"/>
    </row>
    <row r="23168" spans="18:18" s="2" customFormat="1" ht="12.75" x14ac:dyDescent="0.2">
      <c r="R23168" s="1288"/>
    </row>
    <row r="23169" spans="18:18" s="2" customFormat="1" ht="12.75" x14ac:dyDescent="0.2">
      <c r="R23169" s="1288"/>
    </row>
    <row r="23170" spans="18:18" s="2" customFormat="1" ht="12.75" x14ac:dyDescent="0.2">
      <c r="R23170" s="1288"/>
    </row>
    <row r="23171" spans="18:18" s="2" customFormat="1" ht="12.75" x14ac:dyDescent="0.2">
      <c r="R23171" s="1288"/>
    </row>
    <row r="23172" spans="18:18" s="2" customFormat="1" ht="12.75" x14ac:dyDescent="0.2">
      <c r="R23172" s="1288"/>
    </row>
    <row r="23173" spans="18:18" s="2" customFormat="1" ht="12.75" x14ac:dyDescent="0.2">
      <c r="R23173" s="1288"/>
    </row>
    <row r="23174" spans="18:18" s="2" customFormat="1" ht="12.75" x14ac:dyDescent="0.2">
      <c r="R23174" s="1288"/>
    </row>
    <row r="23175" spans="18:18" s="2" customFormat="1" ht="12.75" x14ac:dyDescent="0.2">
      <c r="R23175" s="1288"/>
    </row>
    <row r="23176" spans="18:18" s="2" customFormat="1" ht="12.75" x14ac:dyDescent="0.2">
      <c r="R23176" s="1288"/>
    </row>
    <row r="23177" spans="18:18" s="2" customFormat="1" ht="12.75" x14ac:dyDescent="0.2">
      <c r="R23177" s="1288"/>
    </row>
    <row r="23178" spans="18:18" s="2" customFormat="1" ht="12.75" x14ac:dyDescent="0.2">
      <c r="R23178" s="1288"/>
    </row>
    <row r="23179" spans="18:18" s="2" customFormat="1" ht="12.75" x14ac:dyDescent="0.2">
      <c r="R23179" s="1288"/>
    </row>
    <row r="23180" spans="18:18" s="2" customFormat="1" ht="12.75" x14ac:dyDescent="0.2">
      <c r="R23180" s="1288"/>
    </row>
    <row r="23181" spans="18:18" s="2" customFormat="1" ht="12.75" x14ac:dyDescent="0.2">
      <c r="R23181" s="1288"/>
    </row>
    <row r="23182" spans="18:18" s="2" customFormat="1" ht="12.75" x14ac:dyDescent="0.2">
      <c r="R23182" s="1288"/>
    </row>
    <row r="23183" spans="18:18" s="2" customFormat="1" ht="12.75" x14ac:dyDescent="0.2">
      <c r="R23183" s="1288"/>
    </row>
    <row r="23184" spans="18:18" s="2" customFormat="1" ht="12.75" x14ac:dyDescent="0.2">
      <c r="R23184" s="1288"/>
    </row>
    <row r="23185" spans="18:18" s="2" customFormat="1" ht="12.75" x14ac:dyDescent="0.2">
      <c r="R23185" s="1288"/>
    </row>
    <row r="23186" spans="18:18" s="2" customFormat="1" ht="12.75" x14ac:dyDescent="0.2">
      <c r="R23186" s="1288"/>
    </row>
    <row r="23187" spans="18:18" s="2" customFormat="1" ht="12.75" x14ac:dyDescent="0.2">
      <c r="R23187" s="1288"/>
    </row>
    <row r="23188" spans="18:18" s="2" customFormat="1" ht="12.75" x14ac:dyDescent="0.2">
      <c r="R23188" s="1288"/>
    </row>
    <row r="23189" spans="18:18" s="2" customFormat="1" ht="12.75" x14ac:dyDescent="0.2">
      <c r="R23189" s="1288"/>
    </row>
    <row r="23190" spans="18:18" s="2" customFormat="1" ht="12.75" x14ac:dyDescent="0.2">
      <c r="R23190" s="1288"/>
    </row>
    <row r="23191" spans="18:18" s="2" customFormat="1" ht="12.75" x14ac:dyDescent="0.2">
      <c r="R23191" s="1288"/>
    </row>
    <row r="23192" spans="18:18" s="2" customFormat="1" ht="12.75" x14ac:dyDescent="0.2">
      <c r="R23192" s="1288"/>
    </row>
    <row r="23193" spans="18:18" s="2" customFormat="1" ht="12.75" x14ac:dyDescent="0.2">
      <c r="R23193" s="1288"/>
    </row>
    <row r="23194" spans="18:18" s="2" customFormat="1" ht="12.75" x14ac:dyDescent="0.2">
      <c r="R23194" s="1288"/>
    </row>
    <row r="23195" spans="18:18" s="2" customFormat="1" ht="12.75" x14ac:dyDescent="0.2">
      <c r="R23195" s="1288"/>
    </row>
    <row r="23196" spans="18:18" s="2" customFormat="1" ht="12.75" x14ac:dyDescent="0.2">
      <c r="R23196" s="1288"/>
    </row>
    <row r="23197" spans="18:18" s="2" customFormat="1" ht="12.75" x14ac:dyDescent="0.2">
      <c r="R23197" s="1288"/>
    </row>
    <row r="23198" spans="18:18" s="2" customFormat="1" ht="12.75" x14ac:dyDescent="0.2">
      <c r="R23198" s="1288"/>
    </row>
    <row r="23199" spans="18:18" s="2" customFormat="1" ht="12.75" x14ac:dyDescent="0.2">
      <c r="R23199" s="1288"/>
    </row>
    <row r="23200" spans="18:18" s="2" customFormat="1" ht="12.75" x14ac:dyDescent="0.2">
      <c r="R23200" s="1288"/>
    </row>
    <row r="23201" spans="18:18" s="2" customFormat="1" ht="12.75" x14ac:dyDescent="0.2">
      <c r="R23201" s="1288"/>
    </row>
    <row r="23202" spans="18:18" s="2" customFormat="1" ht="12.75" x14ac:dyDescent="0.2">
      <c r="R23202" s="1288"/>
    </row>
    <row r="23203" spans="18:18" s="2" customFormat="1" ht="12.75" x14ac:dyDescent="0.2">
      <c r="R23203" s="1288"/>
    </row>
    <row r="23204" spans="18:18" s="2" customFormat="1" ht="12.75" x14ac:dyDescent="0.2">
      <c r="R23204" s="1288"/>
    </row>
    <row r="23205" spans="18:18" s="2" customFormat="1" ht="12.75" x14ac:dyDescent="0.2">
      <c r="R23205" s="1288"/>
    </row>
    <row r="23206" spans="18:18" s="2" customFormat="1" ht="12.75" x14ac:dyDescent="0.2">
      <c r="R23206" s="1288"/>
    </row>
    <row r="23207" spans="18:18" s="2" customFormat="1" ht="12.75" x14ac:dyDescent="0.2">
      <c r="R23207" s="1288"/>
    </row>
    <row r="23208" spans="18:18" s="2" customFormat="1" ht="12.75" x14ac:dyDescent="0.2">
      <c r="R23208" s="1288"/>
    </row>
    <row r="23209" spans="18:18" s="2" customFormat="1" ht="12.75" x14ac:dyDescent="0.2">
      <c r="R23209" s="1288"/>
    </row>
    <row r="23210" spans="18:18" s="2" customFormat="1" ht="12.75" x14ac:dyDescent="0.2">
      <c r="R23210" s="1288"/>
    </row>
    <row r="23211" spans="18:18" s="2" customFormat="1" ht="12.75" x14ac:dyDescent="0.2">
      <c r="R23211" s="1288"/>
    </row>
    <row r="23212" spans="18:18" s="2" customFormat="1" ht="12.75" x14ac:dyDescent="0.2">
      <c r="R23212" s="1288"/>
    </row>
    <row r="23213" spans="18:18" s="2" customFormat="1" ht="12.75" x14ac:dyDescent="0.2">
      <c r="R23213" s="1288"/>
    </row>
    <row r="23214" spans="18:18" s="2" customFormat="1" ht="12.75" x14ac:dyDescent="0.2">
      <c r="R23214" s="1288"/>
    </row>
    <row r="23215" spans="18:18" s="2" customFormat="1" ht="12.75" x14ac:dyDescent="0.2">
      <c r="R23215" s="1288"/>
    </row>
    <row r="23216" spans="18:18" s="2" customFormat="1" ht="12.75" x14ac:dyDescent="0.2">
      <c r="R23216" s="1288"/>
    </row>
    <row r="23217" spans="18:18" s="2" customFormat="1" ht="12.75" x14ac:dyDescent="0.2">
      <c r="R23217" s="1288"/>
    </row>
    <row r="23218" spans="18:18" s="2" customFormat="1" ht="12.75" x14ac:dyDescent="0.2">
      <c r="R23218" s="1288"/>
    </row>
    <row r="23219" spans="18:18" s="2" customFormat="1" ht="12.75" x14ac:dyDescent="0.2">
      <c r="R23219" s="1288"/>
    </row>
    <row r="23220" spans="18:18" s="2" customFormat="1" ht="12.75" x14ac:dyDescent="0.2">
      <c r="R23220" s="1288"/>
    </row>
    <row r="23221" spans="18:18" s="2" customFormat="1" ht="12.75" x14ac:dyDescent="0.2">
      <c r="R23221" s="1288"/>
    </row>
    <row r="23222" spans="18:18" s="2" customFormat="1" ht="12.75" x14ac:dyDescent="0.2">
      <c r="R23222" s="1288"/>
    </row>
    <row r="23223" spans="18:18" s="2" customFormat="1" ht="12.75" x14ac:dyDescent="0.2">
      <c r="R23223" s="1288"/>
    </row>
    <row r="23224" spans="18:18" s="2" customFormat="1" ht="12.75" x14ac:dyDescent="0.2">
      <c r="R23224" s="1288"/>
    </row>
    <row r="23225" spans="18:18" s="2" customFormat="1" ht="12.75" x14ac:dyDescent="0.2">
      <c r="R23225" s="1288"/>
    </row>
    <row r="23226" spans="18:18" s="2" customFormat="1" ht="12.75" x14ac:dyDescent="0.2">
      <c r="R23226" s="1288"/>
    </row>
    <row r="23227" spans="18:18" s="2" customFormat="1" ht="12.75" x14ac:dyDescent="0.2">
      <c r="R23227" s="1288"/>
    </row>
    <row r="23228" spans="18:18" s="2" customFormat="1" ht="12.75" x14ac:dyDescent="0.2">
      <c r="R23228" s="1288"/>
    </row>
    <row r="23229" spans="18:18" s="2" customFormat="1" ht="12.75" x14ac:dyDescent="0.2">
      <c r="R23229" s="1288"/>
    </row>
    <row r="23230" spans="18:18" s="2" customFormat="1" ht="12.75" x14ac:dyDescent="0.2">
      <c r="R23230" s="1288"/>
    </row>
    <row r="23231" spans="18:18" s="2" customFormat="1" ht="12.75" x14ac:dyDescent="0.2">
      <c r="R23231" s="1288"/>
    </row>
    <row r="23232" spans="18:18" s="2" customFormat="1" ht="12.75" x14ac:dyDescent="0.2">
      <c r="R23232" s="1288"/>
    </row>
    <row r="23233" spans="18:18" s="2" customFormat="1" ht="12.75" x14ac:dyDescent="0.2">
      <c r="R23233" s="1288"/>
    </row>
    <row r="23234" spans="18:18" s="2" customFormat="1" ht="12.75" x14ac:dyDescent="0.2">
      <c r="R23234" s="1288"/>
    </row>
    <row r="23235" spans="18:18" s="2" customFormat="1" ht="12.75" x14ac:dyDescent="0.2">
      <c r="R23235" s="1288"/>
    </row>
    <row r="23236" spans="18:18" s="2" customFormat="1" ht="12.75" x14ac:dyDescent="0.2">
      <c r="R23236" s="1288"/>
    </row>
    <row r="23237" spans="18:18" s="2" customFormat="1" ht="12.75" x14ac:dyDescent="0.2">
      <c r="R23237" s="1288"/>
    </row>
    <row r="23238" spans="18:18" s="2" customFormat="1" ht="12.75" x14ac:dyDescent="0.2">
      <c r="R23238" s="1288"/>
    </row>
    <row r="23239" spans="18:18" s="2" customFormat="1" ht="12.75" x14ac:dyDescent="0.2">
      <c r="R23239" s="1288"/>
    </row>
    <row r="23240" spans="18:18" s="2" customFormat="1" ht="12.75" x14ac:dyDescent="0.2">
      <c r="R23240" s="1288"/>
    </row>
    <row r="23241" spans="18:18" s="2" customFormat="1" ht="12.75" x14ac:dyDescent="0.2">
      <c r="R23241" s="1288"/>
    </row>
    <row r="23242" spans="18:18" s="2" customFormat="1" ht="12.75" x14ac:dyDescent="0.2">
      <c r="R23242" s="1288"/>
    </row>
    <row r="23243" spans="18:18" s="2" customFormat="1" ht="12.75" x14ac:dyDescent="0.2">
      <c r="R23243" s="1288"/>
    </row>
    <row r="23244" spans="18:18" s="2" customFormat="1" ht="12.75" x14ac:dyDescent="0.2">
      <c r="R23244" s="1288"/>
    </row>
    <row r="23245" spans="18:18" s="2" customFormat="1" ht="12.75" x14ac:dyDescent="0.2">
      <c r="R23245" s="1288"/>
    </row>
    <row r="23246" spans="18:18" s="2" customFormat="1" ht="12.75" x14ac:dyDescent="0.2">
      <c r="R23246" s="1288"/>
    </row>
    <row r="23247" spans="18:18" s="2" customFormat="1" ht="12.75" x14ac:dyDescent="0.2">
      <c r="R23247" s="1288"/>
    </row>
    <row r="23248" spans="18:18" s="2" customFormat="1" ht="12.75" x14ac:dyDescent="0.2">
      <c r="R23248" s="1288"/>
    </row>
    <row r="23249" spans="18:18" s="2" customFormat="1" ht="12.75" x14ac:dyDescent="0.2">
      <c r="R23249" s="1288"/>
    </row>
    <row r="23250" spans="18:18" s="2" customFormat="1" ht="12.75" x14ac:dyDescent="0.2">
      <c r="R23250" s="1288"/>
    </row>
    <row r="23251" spans="18:18" s="2" customFormat="1" ht="12.75" x14ac:dyDescent="0.2">
      <c r="R23251" s="1288"/>
    </row>
    <row r="23252" spans="18:18" s="2" customFormat="1" ht="12.75" x14ac:dyDescent="0.2">
      <c r="R23252" s="1288"/>
    </row>
    <row r="23253" spans="18:18" s="2" customFormat="1" ht="12.75" x14ac:dyDescent="0.2">
      <c r="R23253" s="1288"/>
    </row>
    <row r="23254" spans="18:18" s="2" customFormat="1" ht="12.75" x14ac:dyDescent="0.2">
      <c r="R23254" s="1288"/>
    </row>
    <row r="23255" spans="18:18" s="2" customFormat="1" ht="12.75" x14ac:dyDescent="0.2">
      <c r="R23255" s="1288"/>
    </row>
    <row r="23256" spans="18:18" s="2" customFormat="1" ht="12.75" x14ac:dyDescent="0.2">
      <c r="R23256" s="1288"/>
    </row>
    <row r="23257" spans="18:18" s="2" customFormat="1" ht="12.75" x14ac:dyDescent="0.2">
      <c r="R23257" s="1288"/>
    </row>
    <row r="23258" spans="18:18" s="2" customFormat="1" ht="12.75" x14ac:dyDescent="0.2">
      <c r="R23258" s="1288"/>
    </row>
    <row r="23259" spans="18:18" s="2" customFormat="1" ht="12.75" x14ac:dyDescent="0.2">
      <c r="R23259" s="1288"/>
    </row>
    <row r="23260" spans="18:18" s="2" customFormat="1" ht="12.75" x14ac:dyDescent="0.2">
      <c r="R23260" s="1288"/>
    </row>
    <row r="23261" spans="18:18" s="2" customFormat="1" ht="12.75" x14ac:dyDescent="0.2">
      <c r="R23261" s="1288"/>
    </row>
    <row r="23262" spans="18:18" s="2" customFormat="1" ht="12.75" x14ac:dyDescent="0.2">
      <c r="R23262" s="1288"/>
    </row>
    <row r="23263" spans="18:18" s="2" customFormat="1" ht="12.75" x14ac:dyDescent="0.2">
      <c r="R23263" s="1288"/>
    </row>
    <row r="23264" spans="18:18" s="2" customFormat="1" ht="12.75" x14ac:dyDescent="0.2">
      <c r="R23264" s="1288"/>
    </row>
    <row r="23265" spans="18:18" s="2" customFormat="1" ht="12.75" x14ac:dyDescent="0.2">
      <c r="R23265" s="1288"/>
    </row>
    <row r="23266" spans="18:18" s="2" customFormat="1" ht="12.75" x14ac:dyDescent="0.2">
      <c r="R23266" s="1288"/>
    </row>
    <row r="23267" spans="18:18" s="2" customFormat="1" ht="12.75" x14ac:dyDescent="0.2">
      <c r="R23267" s="1288"/>
    </row>
    <row r="23268" spans="18:18" s="2" customFormat="1" ht="12.75" x14ac:dyDescent="0.2">
      <c r="R23268" s="1288"/>
    </row>
    <row r="23269" spans="18:18" s="2" customFormat="1" ht="12.75" x14ac:dyDescent="0.2">
      <c r="R23269" s="1288"/>
    </row>
    <row r="23270" spans="18:18" s="2" customFormat="1" ht="12.75" x14ac:dyDescent="0.2">
      <c r="R23270" s="1288"/>
    </row>
    <row r="23271" spans="18:18" s="2" customFormat="1" ht="12.75" x14ac:dyDescent="0.2">
      <c r="R23271" s="1288"/>
    </row>
    <row r="23272" spans="18:18" s="2" customFormat="1" ht="12.75" x14ac:dyDescent="0.2">
      <c r="R23272" s="1288"/>
    </row>
    <row r="23273" spans="18:18" s="2" customFormat="1" ht="12.75" x14ac:dyDescent="0.2">
      <c r="R23273" s="1288"/>
    </row>
    <row r="23274" spans="18:18" s="2" customFormat="1" ht="12.75" x14ac:dyDescent="0.2">
      <c r="R23274" s="1288"/>
    </row>
    <row r="23275" spans="18:18" s="2" customFormat="1" ht="12.75" x14ac:dyDescent="0.2">
      <c r="R23275" s="1288"/>
    </row>
    <row r="23276" spans="18:18" s="2" customFormat="1" ht="12.75" x14ac:dyDescent="0.2">
      <c r="R23276" s="1288"/>
    </row>
    <row r="23277" spans="18:18" s="2" customFormat="1" ht="12.75" x14ac:dyDescent="0.2">
      <c r="R23277" s="1288"/>
    </row>
    <row r="23278" spans="18:18" s="2" customFormat="1" ht="12.75" x14ac:dyDescent="0.2">
      <c r="R23278" s="1288"/>
    </row>
    <row r="23279" spans="18:18" s="2" customFormat="1" ht="12.75" x14ac:dyDescent="0.2">
      <c r="R23279" s="1288"/>
    </row>
    <row r="23280" spans="18:18" s="2" customFormat="1" ht="12.75" x14ac:dyDescent="0.2">
      <c r="R23280" s="1288"/>
    </row>
    <row r="23281" spans="18:18" s="2" customFormat="1" ht="12.75" x14ac:dyDescent="0.2">
      <c r="R23281" s="1288"/>
    </row>
    <row r="23282" spans="18:18" s="2" customFormat="1" ht="12.75" x14ac:dyDescent="0.2">
      <c r="R23282" s="1288"/>
    </row>
    <row r="23283" spans="18:18" s="2" customFormat="1" ht="12.75" x14ac:dyDescent="0.2">
      <c r="R23283" s="1288"/>
    </row>
    <row r="23284" spans="18:18" s="2" customFormat="1" ht="12.75" x14ac:dyDescent="0.2">
      <c r="R23284" s="1288"/>
    </row>
    <row r="23285" spans="18:18" s="2" customFormat="1" ht="12.75" x14ac:dyDescent="0.2">
      <c r="R23285" s="1288"/>
    </row>
    <row r="23286" spans="18:18" s="2" customFormat="1" ht="12.75" x14ac:dyDescent="0.2">
      <c r="R23286" s="1288"/>
    </row>
    <row r="23287" spans="18:18" s="2" customFormat="1" ht="12.75" x14ac:dyDescent="0.2">
      <c r="R23287" s="1288"/>
    </row>
    <row r="23288" spans="18:18" s="2" customFormat="1" ht="12.75" x14ac:dyDescent="0.2">
      <c r="R23288" s="1288"/>
    </row>
    <row r="23289" spans="18:18" s="2" customFormat="1" ht="12.75" x14ac:dyDescent="0.2">
      <c r="R23289" s="1288"/>
    </row>
    <row r="23290" spans="18:18" s="2" customFormat="1" ht="12.75" x14ac:dyDescent="0.2">
      <c r="R23290" s="1288"/>
    </row>
    <row r="23291" spans="18:18" s="2" customFormat="1" ht="12.75" x14ac:dyDescent="0.2">
      <c r="R23291" s="1288"/>
    </row>
    <row r="23292" spans="18:18" s="2" customFormat="1" ht="12.75" x14ac:dyDescent="0.2">
      <c r="R23292" s="1288"/>
    </row>
    <row r="23293" spans="18:18" s="2" customFormat="1" ht="12.75" x14ac:dyDescent="0.2">
      <c r="R23293" s="1288"/>
    </row>
    <row r="23294" spans="18:18" s="2" customFormat="1" ht="12.75" x14ac:dyDescent="0.2">
      <c r="R23294" s="1288"/>
    </row>
    <row r="23295" spans="18:18" s="2" customFormat="1" ht="12.75" x14ac:dyDescent="0.2">
      <c r="R23295" s="1288"/>
    </row>
    <row r="23296" spans="18:18" s="2" customFormat="1" ht="12.75" x14ac:dyDescent="0.2">
      <c r="R23296" s="1288"/>
    </row>
    <row r="23297" spans="18:18" s="2" customFormat="1" ht="12.75" x14ac:dyDescent="0.2">
      <c r="R23297" s="1288"/>
    </row>
    <row r="23298" spans="18:18" s="2" customFormat="1" ht="12.75" x14ac:dyDescent="0.2">
      <c r="R23298" s="1288"/>
    </row>
    <row r="23299" spans="18:18" s="2" customFormat="1" ht="12.75" x14ac:dyDescent="0.2">
      <c r="R23299" s="1288"/>
    </row>
    <row r="23300" spans="18:18" s="2" customFormat="1" ht="12.75" x14ac:dyDescent="0.2">
      <c r="R23300" s="1288"/>
    </row>
    <row r="23301" spans="18:18" s="2" customFormat="1" ht="12.75" x14ac:dyDescent="0.2">
      <c r="R23301" s="1288"/>
    </row>
    <row r="23302" spans="18:18" s="2" customFormat="1" ht="12.75" x14ac:dyDescent="0.2">
      <c r="R23302" s="1288"/>
    </row>
    <row r="23303" spans="18:18" s="2" customFormat="1" ht="12.75" x14ac:dyDescent="0.2">
      <c r="R23303" s="1288"/>
    </row>
    <row r="23304" spans="18:18" s="2" customFormat="1" ht="12.75" x14ac:dyDescent="0.2">
      <c r="R23304" s="1288"/>
    </row>
    <row r="23305" spans="18:18" s="2" customFormat="1" ht="12.75" x14ac:dyDescent="0.2">
      <c r="R23305" s="1288"/>
    </row>
    <row r="23306" spans="18:18" s="2" customFormat="1" ht="12.75" x14ac:dyDescent="0.2">
      <c r="R23306" s="1288"/>
    </row>
    <row r="23307" spans="18:18" s="2" customFormat="1" ht="12.75" x14ac:dyDescent="0.2">
      <c r="R23307" s="1288"/>
    </row>
    <row r="23308" spans="18:18" s="2" customFormat="1" ht="12.75" x14ac:dyDescent="0.2">
      <c r="R23308" s="1288"/>
    </row>
    <row r="23309" spans="18:18" s="2" customFormat="1" ht="12.75" x14ac:dyDescent="0.2">
      <c r="R23309" s="1288"/>
    </row>
    <row r="23310" spans="18:18" s="2" customFormat="1" ht="12.75" x14ac:dyDescent="0.2">
      <c r="R23310" s="1288"/>
    </row>
    <row r="23311" spans="18:18" s="2" customFormat="1" ht="12.75" x14ac:dyDescent="0.2">
      <c r="R23311" s="1288"/>
    </row>
    <row r="23312" spans="18:18" s="2" customFormat="1" ht="12.75" x14ac:dyDescent="0.2">
      <c r="R23312" s="1288"/>
    </row>
    <row r="23313" spans="18:18" s="2" customFormat="1" ht="12.75" x14ac:dyDescent="0.2">
      <c r="R23313" s="1288"/>
    </row>
    <row r="23314" spans="18:18" s="2" customFormat="1" ht="12.75" x14ac:dyDescent="0.2">
      <c r="R23314" s="1288"/>
    </row>
    <row r="23315" spans="18:18" s="2" customFormat="1" ht="12.75" x14ac:dyDescent="0.2">
      <c r="R23315" s="1288"/>
    </row>
    <row r="23316" spans="18:18" s="2" customFormat="1" ht="12.75" x14ac:dyDescent="0.2">
      <c r="R23316" s="1288"/>
    </row>
    <row r="23317" spans="18:18" s="2" customFormat="1" ht="12.75" x14ac:dyDescent="0.2">
      <c r="R23317" s="1288"/>
    </row>
    <row r="23318" spans="18:18" s="2" customFormat="1" ht="12.75" x14ac:dyDescent="0.2">
      <c r="R23318" s="1288"/>
    </row>
    <row r="23319" spans="18:18" s="2" customFormat="1" ht="12.75" x14ac:dyDescent="0.2">
      <c r="R23319" s="1288"/>
    </row>
    <row r="23320" spans="18:18" s="2" customFormat="1" ht="12.75" x14ac:dyDescent="0.2">
      <c r="R23320" s="1288"/>
    </row>
    <row r="23321" spans="18:18" s="2" customFormat="1" ht="12.75" x14ac:dyDescent="0.2">
      <c r="R23321" s="1288"/>
    </row>
    <row r="23322" spans="18:18" s="2" customFormat="1" ht="12.75" x14ac:dyDescent="0.2">
      <c r="R23322" s="1288"/>
    </row>
    <row r="23323" spans="18:18" s="2" customFormat="1" ht="12.75" x14ac:dyDescent="0.2">
      <c r="R23323" s="1288"/>
    </row>
    <row r="23324" spans="18:18" s="2" customFormat="1" ht="12.75" x14ac:dyDescent="0.2">
      <c r="R23324" s="1288"/>
    </row>
    <row r="23325" spans="18:18" s="2" customFormat="1" ht="12.75" x14ac:dyDescent="0.2">
      <c r="R23325" s="1288"/>
    </row>
    <row r="23326" spans="18:18" s="2" customFormat="1" ht="12.75" x14ac:dyDescent="0.2">
      <c r="R23326" s="1288"/>
    </row>
    <row r="23327" spans="18:18" s="2" customFormat="1" ht="12.75" x14ac:dyDescent="0.2">
      <c r="R23327" s="1288"/>
    </row>
    <row r="23328" spans="18:18" s="2" customFormat="1" ht="12.75" x14ac:dyDescent="0.2">
      <c r="R23328" s="1288"/>
    </row>
    <row r="23329" spans="18:18" s="2" customFormat="1" ht="12.75" x14ac:dyDescent="0.2">
      <c r="R23329" s="1288"/>
    </row>
    <row r="23330" spans="18:18" s="2" customFormat="1" ht="12.75" x14ac:dyDescent="0.2">
      <c r="R23330" s="1288"/>
    </row>
    <row r="23331" spans="18:18" s="2" customFormat="1" ht="12.75" x14ac:dyDescent="0.2">
      <c r="R23331" s="1288"/>
    </row>
    <row r="23332" spans="18:18" s="2" customFormat="1" ht="12.75" x14ac:dyDescent="0.2">
      <c r="R23332" s="1288"/>
    </row>
    <row r="23333" spans="18:18" s="2" customFormat="1" ht="12.75" x14ac:dyDescent="0.2">
      <c r="R23333" s="1288"/>
    </row>
    <row r="23334" spans="18:18" s="2" customFormat="1" ht="12.75" x14ac:dyDescent="0.2">
      <c r="R23334" s="1288"/>
    </row>
    <row r="23335" spans="18:18" s="2" customFormat="1" ht="12.75" x14ac:dyDescent="0.2">
      <c r="R23335" s="1288"/>
    </row>
    <row r="23336" spans="18:18" s="2" customFormat="1" ht="12.75" x14ac:dyDescent="0.2">
      <c r="R23336" s="1288"/>
    </row>
    <row r="23337" spans="18:18" s="2" customFormat="1" ht="12.75" x14ac:dyDescent="0.2">
      <c r="R23337" s="1288"/>
    </row>
    <row r="23338" spans="18:18" s="2" customFormat="1" ht="12.75" x14ac:dyDescent="0.2">
      <c r="R23338" s="1288"/>
    </row>
    <row r="23339" spans="18:18" s="2" customFormat="1" ht="12.75" x14ac:dyDescent="0.2">
      <c r="R23339" s="1288"/>
    </row>
    <row r="23340" spans="18:18" s="2" customFormat="1" ht="12.75" x14ac:dyDescent="0.2">
      <c r="R23340" s="1288"/>
    </row>
    <row r="23341" spans="18:18" s="2" customFormat="1" ht="12.75" x14ac:dyDescent="0.2">
      <c r="R23341" s="1288"/>
    </row>
    <row r="23342" spans="18:18" s="2" customFormat="1" ht="12.75" x14ac:dyDescent="0.2">
      <c r="R23342" s="1288"/>
    </row>
    <row r="23343" spans="18:18" s="2" customFormat="1" ht="12.75" x14ac:dyDescent="0.2">
      <c r="R23343" s="1288"/>
    </row>
    <row r="23344" spans="18:18" s="2" customFormat="1" ht="12.75" x14ac:dyDescent="0.2">
      <c r="R23344" s="1288"/>
    </row>
    <row r="23345" spans="18:18" s="2" customFormat="1" ht="12.75" x14ac:dyDescent="0.2">
      <c r="R23345" s="1288"/>
    </row>
    <row r="23346" spans="18:18" s="2" customFormat="1" ht="12.75" x14ac:dyDescent="0.2">
      <c r="R23346" s="1288"/>
    </row>
    <row r="23347" spans="18:18" s="2" customFormat="1" ht="12.75" x14ac:dyDescent="0.2">
      <c r="R23347" s="1288"/>
    </row>
    <row r="23348" spans="18:18" s="2" customFormat="1" ht="12.75" x14ac:dyDescent="0.2">
      <c r="R23348" s="1288"/>
    </row>
    <row r="23349" spans="18:18" s="2" customFormat="1" ht="12.75" x14ac:dyDescent="0.2">
      <c r="R23349" s="1288"/>
    </row>
    <row r="23350" spans="18:18" s="2" customFormat="1" ht="12.75" x14ac:dyDescent="0.2">
      <c r="R23350" s="1288"/>
    </row>
    <row r="23351" spans="18:18" s="2" customFormat="1" ht="12.75" x14ac:dyDescent="0.2">
      <c r="R23351" s="1288"/>
    </row>
    <row r="23352" spans="18:18" s="2" customFormat="1" ht="12.75" x14ac:dyDescent="0.2">
      <c r="R23352" s="1288"/>
    </row>
    <row r="23353" spans="18:18" s="2" customFormat="1" ht="12.75" x14ac:dyDescent="0.2">
      <c r="R23353" s="1288"/>
    </row>
    <row r="23354" spans="18:18" s="2" customFormat="1" ht="12.75" x14ac:dyDescent="0.2">
      <c r="R23354" s="1288"/>
    </row>
    <row r="23355" spans="18:18" s="2" customFormat="1" ht="12.75" x14ac:dyDescent="0.2">
      <c r="R23355" s="1288"/>
    </row>
    <row r="23356" spans="18:18" s="2" customFormat="1" ht="12.75" x14ac:dyDescent="0.2">
      <c r="R23356" s="1288"/>
    </row>
    <row r="23357" spans="18:18" s="2" customFormat="1" ht="12.75" x14ac:dyDescent="0.2">
      <c r="R23357" s="1288"/>
    </row>
    <row r="23358" spans="18:18" s="2" customFormat="1" ht="12.75" x14ac:dyDescent="0.2">
      <c r="R23358" s="1288"/>
    </row>
    <row r="23359" spans="18:18" s="2" customFormat="1" ht="12.75" x14ac:dyDescent="0.2">
      <c r="R23359" s="1288"/>
    </row>
    <row r="23360" spans="18:18" s="2" customFormat="1" ht="12.75" x14ac:dyDescent="0.2">
      <c r="R23360" s="1288"/>
    </row>
    <row r="23361" spans="18:18" s="2" customFormat="1" ht="12.75" x14ac:dyDescent="0.2">
      <c r="R23361" s="1288"/>
    </row>
    <row r="23362" spans="18:18" s="2" customFormat="1" ht="12.75" x14ac:dyDescent="0.2">
      <c r="R23362" s="1288"/>
    </row>
    <row r="23363" spans="18:18" s="2" customFormat="1" ht="12.75" x14ac:dyDescent="0.2">
      <c r="R23363" s="1288"/>
    </row>
    <row r="23364" spans="18:18" s="2" customFormat="1" ht="12.75" x14ac:dyDescent="0.2">
      <c r="R23364" s="1288"/>
    </row>
    <row r="23365" spans="18:18" s="2" customFormat="1" ht="12.75" x14ac:dyDescent="0.2">
      <c r="R23365" s="1288"/>
    </row>
    <row r="23366" spans="18:18" s="2" customFormat="1" ht="12.75" x14ac:dyDescent="0.2">
      <c r="R23366" s="1288"/>
    </row>
    <row r="23367" spans="18:18" s="2" customFormat="1" ht="12.75" x14ac:dyDescent="0.2">
      <c r="R23367" s="1288"/>
    </row>
    <row r="23368" spans="18:18" s="2" customFormat="1" ht="12.75" x14ac:dyDescent="0.2">
      <c r="R23368" s="1288"/>
    </row>
    <row r="23369" spans="18:18" s="2" customFormat="1" ht="12.75" x14ac:dyDescent="0.2">
      <c r="R23369" s="1288"/>
    </row>
    <row r="23370" spans="18:18" s="2" customFormat="1" ht="12.75" x14ac:dyDescent="0.2">
      <c r="R23370" s="1288"/>
    </row>
    <row r="23371" spans="18:18" s="2" customFormat="1" ht="12.75" x14ac:dyDescent="0.2">
      <c r="R23371" s="1288"/>
    </row>
    <row r="23372" spans="18:18" s="2" customFormat="1" ht="12.75" x14ac:dyDescent="0.2">
      <c r="R23372" s="1288"/>
    </row>
    <row r="23373" spans="18:18" s="2" customFormat="1" ht="12.75" x14ac:dyDescent="0.2">
      <c r="R23373" s="1288"/>
    </row>
    <row r="23374" spans="18:18" s="2" customFormat="1" ht="12.75" x14ac:dyDescent="0.2">
      <c r="R23374" s="1288"/>
    </row>
    <row r="23375" spans="18:18" s="2" customFormat="1" ht="12.75" x14ac:dyDescent="0.2">
      <c r="R23375" s="1288"/>
    </row>
    <row r="23376" spans="18:18" s="2" customFormat="1" ht="12.75" x14ac:dyDescent="0.2">
      <c r="R23376" s="1288"/>
    </row>
    <row r="23377" spans="18:18" s="2" customFormat="1" ht="12.75" x14ac:dyDescent="0.2">
      <c r="R23377" s="1288"/>
    </row>
    <row r="23378" spans="18:18" s="2" customFormat="1" ht="12.75" x14ac:dyDescent="0.2">
      <c r="R23378" s="1288"/>
    </row>
    <row r="23379" spans="18:18" s="2" customFormat="1" ht="12.75" x14ac:dyDescent="0.2">
      <c r="R23379" s="1288"/>
    </row>
    <row r="23380" spans="18:18" s="2" customFormat="1" ht="12.75" x14ac:dyDescent="0.2">
      <c r="R23380" s="1288"/>
    </row>
    <row r="23381" spans="18:18" s="2" customFormat="1" ht="12.75" x14ac:dyDescent="0.2">
      <c r="R23381" s="1288"/>
    </row>
    <row r="23382" spans="18:18" s="2" customFormat="1" ht="12.75" x14ac:dyDescent="0.2">
      <c r="R23382" s="1288"/>
    </row>
    <row r="23383" spans="18:18" s="2" customFormat="1" ht="12.75" x14ac:dyDescent="0.2">
      <c r="R23383" s="1288"/>
    </row>
    <row r="23384" spans="18:18" s="2" customFormat="1" ht="12.75" x14ac:dyDescent="0.2">
      <c r="R23384" s="1288"/>
    </row>
    <row r="23385" spans="18:18" s="2" customFormat="1" ht="12.75" x14ac:dyDescent="0.2">
      <c r="R23385" s="1288"/>
    </row>
    <row r="23386" spans="18:18" s="2" customFormat="1" ht="12.75" x14ac:dyDescent="0.2">
      <c r="R23386" s="1288"/>
    </row>
    <row r="23387" spans="18:18" s="2" customFormat="1" ht="12.75" x14ac:dyDescent="0.2">
      <c r="R23387" s="1288"/>
    </row>
    <row r="23388" spans="18:18" s="2" customFormat="1" ht="12.75" x14ac:dyDescent="0.2">
      <c r="R23388" s="1288"/>
    </row>
    <row r="23389" spans="18:18" s="2" customFormat="1" ht="12.75" x14ac:dyDescent="0.2">
      <c r="R23389" s="1288"/>
    </row>
    <row r="23390" spans="18:18" s="2" customFormat="1" ht="12.75" x14ac:dyDescent="0.2">
      <c r="R23390" s="1288"/>
    </row>
    <row r="23391" spans="18:18" s="2" customFormat="1" ht="12.75" x14ac:dyDescent="0.2">
      <c r="R23391" s="1288"/>
    </row>
    <row r="23392" spans="18:18" s="2" customFormat="1" ht="12.75" x14ac:dyDescent="0.2">
      <c r="R23392" s="1288"/>
    </row>
    <row r="23393" spans="18:18" s="2" customFormat="1" ht="12.75" x14ac:dyDescent="0.2">
      <c r="R23393" s="1288"/>
    </row>
    <row r="23394" spans="18:18" s="2" customFormat="1" ht="12.75" x14ac:dyDescent="0.2">
      <c r="R23394" s="1288"/>
    </row>
    <row r="23395" spans="18:18" s="2" customFormat="1" ht="12.75" x14ac:dyDescent="0.2">
      <c r="R23395" s="1288"/>
    </row>
    <row r="23396" spans="18:18" s="2" customFormat="1" ht="12.75" x14ac:dyDescent="0.2">
      <c r="R23396" s="1288"/>
    </row>
    <row r="23397" spans="18:18" s="2" customFormat="1" ht="12.75" x14ac:dyDescent="0.2">
      <c r="R23397" s="1288"/>
    </row>
    <row r="23398" spans="18:18" s="2" customFormat="1" ht="12.75" x14ac:dyDescent="0.2">
      <c r="R23398" s="1288"/>
    </row>
    <row r="23399" spans="18:18" s="2" customFormat="1" ht="12.75" x14ac:dyDescent="0.2">
      <c r="R23399" s="1288"/>
    </row>
    <row r="23400" spans="18:18" s="2" customFormat="1" ht="12.75" x14ac:dyDescent="0.2">
      <c r="R23400" s="1288"/>
    </row>
    <row r="23401" spans="18:18" s="2" customFormat="1" ht="12.75" x14ac:dyDescent="0.2">
      <c r="R23401" s="1288"/>
    </row>
    <row r="23402" spans="18:18" s="2" customFormat="1" ht="12.75" x14ac:dyDescent="0.2">
      <c r="R23402" s="1288"/>
    </row>
    <row r="23403" spans="18:18" s="2" customFormat="1" ht="12.75" x14ac:dyDescent="0.2">
      <c r="R23403" s="1288"/>
    </row>
    <row r="23404" spans="18:18" s="2" customFormat="1" ht="12.75" x14ac:dyDescent="0.2">
      <c r="R23404" s="1288"/>
    </row>
    <row r="23405" spans="18:18" s="2" customFormat="1" ht="12.75" x14ac:dyDescent="0.2">
      <c r="R23405" s="1288"/>
    </row>
    <row r="23406" spans="18:18" s="2" customFormat="1" ht="12.75" x14ac:dyDescent="0.2">
      <c r="R23406" s="1288"/>
    </row>
    <row r="23407" spans="18:18" s="2" customFormat="1" ht="12.75" x14ac:dyDescent="0.2">
      <c r="R23407" s="1288"/>
    </row>
    <row r="23408" spans="18:18" s="2" customFormat="1" ht="12.75" x14ac:dyDescent="0.2">
      <c r="R23408" s="1288"/>
    </row>
    <row r="23409" spans="18:18" s="2" customFormat="1" ht="12.75" x14ac:dyDescent="0.2">
      <c r="R23409" s="1288"/>
    </row>
    <row r="23410" spans="18:18" s="2" customFormat="1" ht="12.75" x14ac:dyDescent="0.2">
      <c r="R23410" s="1288"/>
    </row>
    <row r="23411" spans="18:18" s="2" customFormat="1" ht="12.75" x14ac:dyDescent="0.2">
      <c r="R23411" s="1288"/>
    </row>
    <row r="23412" spans="18:18" s="2" customFormat="1" ht="12.75" x14ac:dyDescent="0.2">
      <c r="R23412" s="1288"/>
    </row>
    <row r="23413" spans="18:18" s="2" customFormat="1" ht="12.75" x14ac:dyDescent="0.2">
      <c r="R23413" s="1288"/>
    </row>
    <row r="23414" spans="18:18" s="2" customFormat="1" ht="12.75" x14ac:dyDescent="0.2">
      <c r="R23414" s="1288"/>
    </row>
    <row r="23415" spans="18:18" s="2" customFormat="1" ht="12.75" x14ac:dyDescent="0.2">
      <c r="R23415" s="1288"/>
    </row>
    <row r="23416" spans="18:18" s="2" customFormat="1" ht="12.75" x14ac:dyDescent="0.2">
      <c r="R23416" s="1288"/>
    </row>
    <row r="23417" spans="18:18" s="2" customFormat="1" ht="12.75" x14ac:dyDescent="0.2">
      <c r="R23417" s="1288"/>
    </row>
    <row r="23418" spans="18:18" s="2" customFormat="1" ht="12.75" x14ac:dyDescent="0.2">
      <c r="R23418" s="1288"/>
    </row>
    <row r="23419" spans="18:18" s="2" customFormat="1" ht="12.75" x14ac:dyDescent="0.2">
      <c r="R23419" s="1288"/>
    </row>
    <row r="23420" spans="18:18" s="2" customFormat="1" ht="12.75" x14ac:dyDescent="0.2">
      <c r="R23420" s="1288"/>
    </row>
    <row r="23421" spans="18:18" s="2" customFormat="1" ht="12.75" x14ac:dyDescent="0.2">
      <c r="R23421" s="1288"/>
    </row>
    <row r="23422" spans="18:18" s="2" customFormat="1" ht="12.75" x14ac:dyDescent="0.2">
      <c r="R23422" s="1288"/>
    </row>
    <row r="23423" spans="18:18" s="2" customFormat="1" ht="12.75" x14ac:dyDescent="0.2">
      <c r="R23423" s="1288"/>
    </row>
    <row r="23424" spans="18:18" s="2" customFormat="1" ht="12.75" x14ac:dyDescent="0.2">
      <c r="R23424" s="1288"/>
    </row>
    <row r="23425" spans="18:18" s="2" customFormat="1" ht="12.75" x14ac:dyDescent="0.2">
      <c r="R23425" s="1288"/>
    </row>
    <row r="23426" spans="18:18" s="2" customFormat="1" ht="12.75" x14ac:dyDescent="0.2">
      <c r="R23426" s="1288"/>
    </row>
    <row r="23427" spans="18:18" s="2" customFormat="1" ht="12.75" x14ac:dyDescent="0.2">
      <c r="R23427" s="1288"/>
    </row>
    <row r="23428" spans="18:18" s="2" customFormat="1" ht="12.75" x14ac:dyDescent="0.2">
      <c r="R23428" s="1288"/>
    </row>
    <row r="23429" spans="18:18" s="2" customFormat="1" ht="12.75" x14ac:dyDescent="0.2">
      <c r="R23429" s="1288"/>
    </row>
    <row r="23430" spans="18:18" s="2" customFormat="1" ht="12.75" x14ac:dyDescent="0.2">
      <c r="R23430" s="1288"/>
    </row>
    <row r="23431" spans="18:18" s="2" customFormat="1" ht="12.75" x14ac:dyDescent="0.2">
      <c r="R23431" s="1288"/>
    </row>
    <row r="23432" spans="18:18" s="2" customFormat="1" ht="12.75" x14ac:dyDescent="0.2">
      <c r="R23432" s="1288"/>
    </row>
    <row r="23433" spans="18:18" s="2" customFormat="1" ht="12.75" x14ac:dyDescent="0.2">
      <c r="R23433" s="1288"/>
    </row>
    <row r="23434" spans="18:18" s="2" customFormat="1" ht="12.75" x14ac:dyDescent="0.2">
      <c r="R23434" s="1288"/>
    </row>
    <row r="23435" spans="18:18" s="2" customFormat="1" ht="12.75" x14ac:dyDescent="0.2">
      <c r="R23435" s="1288"/>
    </row>
    <row r="23436" spans="18:18" s="2" customFormat="1" ht="12.75" x14ac:dyDescent="0.2">
      <c r="R23436" s="1288"/>
    </row>
    <row r="23437" spans="18:18" s="2" customFormat="1" ht="12.75" x14ac:dyDescent="0.2">
      <c r="R23437" s="1288"/>
    </row>
    <row r="23438" spans="18:18" s="2" customFormat="1" ht="12.75" x14ac:dyDescent="0.2">
      <c r="R23438" s="1288"/>
    </row>
    <row r="23439" spans="18:18" s="2" customFormat="1" ht="12.75" x14ac:dyDescent="0.2">
      <c r="R23439" s="1288"/>
    </row>
    <row r="23440" spans="18:18" s="2" customFormat="1" ht="12.75" x14ac:dyDescent="0.2">
      <c r="R23440" s="1288"/>
    </row>
    <row r="23441" spans="18:18" s="2" customFormat="1" ht="12.75" x14ac:dyDescent="0.2">
      <c r="R23441" s="1288"/>
    </row>
    <row r="23442" spans="18:18" s="2" customFormat="1" ht="12.75" x14ac:dyDescent="0.2">
      <c r="R23442" s="1288"/>
    </row>
    <row r="23443" spans="18:18" s="2" customFormat="1" ht="12.75" x14ac:dyDescent="0.2">
      <c r="R23443" s="1288"/>
    </row>
    <row r="23444" spans="18:18" s="2" customFormat="1" ht="12.75" x14ac:dyDescent="0.2">
      <c r="R23444" s="1288"/>
    </row>
    <row r="23445" spans="18:18" s="2" customFormat="1" ht="12.75" x14ac:dyDescent="0.2">
      <c r="R23445" s="1288"/>
    </row>
    <row r="23446" spans="18:18" s="2" customFormat="1" ht="12.75" x14ac:dyDescent="0.2">
      <c r="R23446" s="1288"/>
    </row>
    <row r="23447" spans="18:18" s="2" customFormat="1" ht="12.75" x14ac:dyDescent="0.2">
      <c r="R23447" s="1288"/>
    </row>
    <row r="23448" spans="18:18" s="2" customFormat="1" ht="12.75" x14ac:dyDescent="0.2">
      <c r="R23448" s="1288"/>
    </row>
    <row r="23449" spans="18:18" s="2" customFormat="1" ht="12.75" x14ac:dyDescent="0.2">
      <c r="R23449" s="1288"/>
    </row>
    <row r="23450" spans="18:18" s="2" customFormat="1" ht="12.75" x14ac:dyDescent="0.2">
      <c r="R23450" s="1288"/>
    </row>
    <row r="23451" spans="18:18" s="2" customFormat="1" ht="12.75" x14ac:dyDescent="0.2">
      <c r="R23451" s="1288"/>
    </row>
    <row r="23452" spans="18:18" s="2" customFormat="1" ht="12.75" x14ac:dyDescent="0.2">
      <c r="R23452" s="1288"/>
    </row>
    <row r="23453" spans="18:18" s="2" customFormat="1" ht="12.75" x14ac:dyDescent="0.2">
      <c r="R23453" s="1288"/>
    </row>
    <row r="23454" spans="18:18" s="2" customFormat="1" ht="12.75" x14ac:dyDescent="0.2">
      <c r="R23454" s="1288"/>
    </row>
    <row r="23455" spans="18:18" s="2" customFormat="1" ht="12.75" x14ac:dyDescent="0.2">
      <c r="R23455" s="1288"/>
    </row>
    <row r="23456" spans="18:18" s="2" customFormat="1" ht="12.75" x14ac:dyDescent="0.2">
      <c r="R23456" s="1288"/>
    </row>
    <row r="23457" spans="18:18" s="2" customFormat="1" ht="12.75" x14ac:dyDescent="0.2">
      <c r="R23457" s="1288"/>
    </row>
    <row r="23458" spans="18:18" s="2" customFormat="1" ht="12.75" x14ac:dyDescent="0.2">
      <c r="R23458" s="1288"/>
    </row>
    <row r="23459" spans="18:18" s="2" customFormat="1" ht="12.75" x14ac:dyDescent="0.2">
      <c r="R23459" s="1288"/>
    </row>
    <row r="23460" spans="18:18" s="2" customFormat="1" ht="12.75" x14ac:dyDescent="0.2">
      <c r="R23460" s="1288"/>
    </row>
    <row r="23461" spans="18:18" s="2" customFormat="1" ht="12.75" x14ac:dyDescent="0.2">
      <c r="R23461" s="1288"/>
    </row>
    <row r="23462" spans="18:18" s="2" customFormat="1" ht="12.75" x14ac:dyDescent="0.2">
      <c r="R23462" s="1288"/>
    </row>
    <row r="23463" spans="18:18" s="2" customFormat="1" ht="12.75" x14ac:dyDescent="0.2">
      <c r="R23463" s="1288"/>
    </row>
    <row r="23464" spans="18:18" s="2" customFormat="1" ht="12.75" x14ac:dyDescent="0.2">
      <c r="R23464" s="1288"/>
    </row>
    <row r="23465" spans="18:18" s="2" customFormat="1" ht="12.75" x14ac:dyDescent="0.2">
      <c r="R23465" s="1288"/>
    </row>
    <row r="23466" spans="18:18" s="2" customFormat="1" ht="12.75" x14ac:dyDescent="0.2">
      <c r="R23466" s="1288"/>
    </row>
    <row r="23467" spans="18:18" s="2" customFormat="1" ht="12.75" x14ac:dyDescent="0.2">
      <c r="R23467" s="1288"/>
    </row>
    <row r="23468" spans="18:18" s="2" customFormat="1" ht="12.75" x14ac:dyDescent="0.2">
      <c r="R23468" s="1288"/>
    </row>
    <row r="23469" spans="18:18" s="2" customFormat="1" ht="12.75" x14ac:dyDescent="0.2">
      <c r="R23469" s="1288"/>
    </row>
    <row r="23470" spans="18:18" s="2" customFormat="1" ht="12.75" x14ac:dyDescent="0.2">
      <c r="R23470" s="1288"/>
    </row>
    <row r="23471" spans="18:18" s="2" customFormat="1" ht="12.75" x14ac:dyDescent="0.2">
      <c r="R23471" s="1288"/>
    </row>
    <row r="23472" spans="18:18" s="2" customFormat="1" ht="12.75" x14ac:dyDescent="0.2">
      <c r="R23472" s="1288"/>
    </row>
    <row r="23473" spans="18:18" s="2" customFormat="1" ht="12.75" x14ac:dyDescent="0.2">
      <c r="R23473" s="1288"/>
    </row>
    <row r="23474" spans="18:18" s="2" customFormat="1" ht="12.75" x14ac:dyDescent="0.2">
      <c r="R23474" s="1288"/>
    </row>
    <row r="23475" spans="18:18" s="2" customFormat="1" ht="12.75" x14ac:dyDescent="0.2">
      <c r="R23475" s="1288"/>
    </row>
    <row r="23476" spans="18:18" s="2" customFormat="1" ht="12.75" x14ac:dyDescent="0.2">
      <c r="R23476" s="1288"/>
    </row>
    <row r="23477" spans="18:18" s="2" customFormat="1" ht="12.75" x14ac:dyDescent="0.2">
      <c r="R23477" s="1288"/>
    </row>
    <row r="23478" spans="18:18" s="2" customFormat="1" ht="12.75" x14ac:dyDescent="0.2">
      <c r="R23478" s="1288"/>
    </row>
    <row r="23479" spans="18:18" s="2" customFormat="1" ht="12.75" x14ac:dyDescent="0.2">
      <c r="R23479" s="1288"/>
    </row>
    <row r="23480" spans="18:18" s="2" customFormat="1" ht="12.75" x14ac:dyDescent="0.2">
      <c r="R23480" s="1288"/>
    </row>
    <row r="23481" spans="18:18" s="2" customFormat="1" ht="12.75" x14ac:dyDescent="0.2">
      <c r="R23481" s="1288"/>
    </row>
    <row r="23482" spans="18:18" s="2" customFormat="1" ht="12.75" x14ac:dyDescent="0.2">
      <c r="R23482" s="1288"/>
    </row>
    <row r="23483" spans="18:18" s="2" customFormat="1" ht="12.75" x14ac:dyDescent="0.2">
      <c r="R23483" s="1288"/>
    </row>
    <row r="23484" spans="18:18" s="2" customFormat="1" ht="12.75" x14ac:dyDescent="0.2">
      <c r="R23484" s="1288"/>
    </row>
    <row r="23485" spans="18:18" s="2" customFormat="1" ht="12.75" x14ac:dyDescent="0.2">
      <c r="R23485" s="1288"/>
    </row>
    <row r="23486" spans="18:18" s="2" customFormat="1" ht="12.75" x14ac:dyDescent="0.2">
      <c r="R23486" s="1288"/>
    </row>
    <row r="23487" spans="18:18" s="2" customFormat="1" ht="12.75" x14ac:dyDescent="0.2">
      <c r="R23487" s="1288"/>
    </row>
    <row r="23488" spans="18:18" s="2" customFormat="1" ht="12.75" x14ac:dyDescent="0.2">
      <c r="R23488" s="1288"/>
    </row>
    <row r="23489" spans="18:18" s="2" customFormat="1" ht="12.75" x14ac:dyDescent="0.2">
      <c r="R23489" s="1288"/>
    </row>
    <row r="23490" spans="18:18" s="2" customFormat="1" ht="12.75" x14ac:dyDescent="0.2">
      <c r="R23490" s="1288"/>
    </row>
    <row r="23491" spans="18:18" s="2" customFormat="1" ht="12.75" x14ac:dyDescent="0.2">
      <c r="R23491" s="1288"/>
    </row>
    <row r="23492" spans="18:18" s="2" customFormat="1" ht="12.75" x14ac:dyDescent="0.2">
      <c r="R23492" s="1288"/>
    </row>
    <row r="23493" spans="18:18" s="2" customFormat="1" ht="12.75" x14ac:dyDescent="0.2">
      <c r="R23493" s="1288"/>
    </row>
    <row r="23494" spans="18:18" s="2" customFormat="1" ht="12.75" x14ac:dyDescent="0.2">
      <c r="R23494" s="1288"/>
    </row>
    <row r="23495" spans="18:18" s="2" customFormat="1" ht="12.75" x14ac:dyDescent="0.2">
      <c r="R23495" s="1288"/>
    </row>
    <row r="23496" spans="18:18" s="2" customFormat="1" ht="12.75" x14ac:dyDescent="0.2">
      <c r="R23496" s="1288"/>
    </row>
    <row r="23497" spans="18:18" s="2" customFormat="1" ht="12.75" x14ac:dyDescent="0.2">
      <c r="R23497" s="1288"/>
    </row>
    <row r="23498" spans="18:18" s="2" customFormat="1" ht="12.75" x14ac:dyDescent="0.2">
      <c r="R23498" s="1288"/>
    </row>
    <row r="23499" spans="18:18" s="2" customFormat="1" ht="12.75" x14ac:dyDescent="0.2">
      <c r="R23499" s="1288"/>
    </row>
    <row r="23500" spans="18:18" s="2" customFormat="1" ht="12.75" x14ac:dyDescent="0.2">
      <c r="R23500" s="1288"/>
    </row>
    <row r="23501" spans="18:18" s="2" customFormat="1" ht="12.75" x14ac:dyDescent="0.2">
      <c r="R23501" s="1288"/>
    </row>
    <row r="23502" spans="18:18" s="2" customFormat="1" ht="12.75" x14ac:dyDescent="0.2">
      <c r="R23502" s="1288"/>
    </row>
    <row r="23503" spans="18:18" s="2" customFormat="1" ht="12.75" x14ac:dyDescent="0.2">
      <c r="R23503" s="1288"/>
    </row>
    <row r="23504" spans="18:18" s="2" customFormat="1" ht="12.75" x14ac:dyDescent="0.2">
      <c r="R23504" s="1288"/>
    </row>
    <row r="23505" spans="18:18" s="2" customFormat="1" ht="12.75" x14ac:dyDescent="0.2">
      <c r="R23505" s="1288"/>
    </row>
    <row r="23506" spans="18:18" s="2" customFormat="1" ht="12.75" x14ac:dyDescent="0.2">
      <c r="R23506" s="1288"/>
    </row>
    <row r="23507" spans="18:18" s="2" customFormat="1" ht="12.75" x14ac:dyDescent="0.2">
      <c r="R23507" s="1288"/>
    </row>
    <row r="23508" spans="18:18" s="2" customFormat="1" ht="12.75" x14ac:dyDescent="0.2">
      <c r="R23508" s="1288"/>
    </row>
    <row r="23509" spans="18:18" s="2" customFormat="1" ht="12.75" x14ac:dyDescent="0.2">
      <c r="R23509" s="1288"/>
    </row>
    <row r="23510" spans="18:18" s="2" customFormat="1" ht="12.75" x14ac:dyDescent="0.2">
      <c r="R23510" s="1288"/>
    </row>
    <row r="23511" spans="18:18" s="2" customFormat="1" ht="12.75" x14ac:dyDescent="0.2">
      <c r="R23511" s="1288"/>
    </row>
    <row r="23512" spans="18:18" s="2" customFormat="1" ht="12.75" x14ac:dyDescent="0.2">
      <c r="R23512" s="1288"/>
    </row>
    <row r="23513" spans="18:18" s="2" customFormat="1" ht="12.75" x14ac:dyDescent="0.2">
      <c r="R23513" s="1288"/>
    </row>
    <row r="23514" spans="18:18" s="2" customFormat="1" ht="12.75" x14ac:dyDescent="0.2">
      <c r="R23514" s="1288"/>
    </row>
    <row r="23515" spans="18:18" s="2" customFormat="1" ht="12.75" x14ac:dyDescent="0.2">
      <c r="R23515" s="1288"/>
    </row>
    <row r="23516" spans="18:18" s="2" customFormat="1" ht="12.75" x14ac:dyDescent="0.2">
      <c r="R23516" s="1288"/>
    </row>
    <row r="23517" spans="18:18" s="2" customFormat="1" ht="12.75" x14ac:dyDescent="0.2">
      <c r="R23517" s="1288"/>
    </row>
    <row r="23518" spans="18:18" s="2" customFormat="1" ht="12.75" x14ac:dyDescent="0.2">
      <c r="R23518" s="1288"/>
    </row>
    <row r="23519" spans="18:18" s="2" customFormat="1" ht="12.75" x14ac:dyDescent="0.2">
      <c r="R23519" s="1288"/>
    </row>
    <row r="23520" spans="18:18" s="2" customFormat="1" ht="12.75" x14ac:dyDescent="0.2">
      <c r="R23520" s="1288"/>
    </row>
    <row r="23521" spans="18:18" s="2" customFormat="1" ht="12.75" x14ac:dyDescent="0.2">
      <c r="R23521" s="1288"/>
    </row>
    <row r="23522" spans="18:18" s="2" customFormat="1" ht="12.75" x14ac:dyDescent="0.2">
      <c r="R23522" s="1288"/>
    </row>
    <row r="23523" spans="18:18" s="2" customFormat="1" ht="12.75" x14ac:dyDescent="0.2">
      <c r="R23523" s="1288"/>
    </row>
    <row r="23524" spans="18:18" s="2" customFormat="1" ht="12.75" x14ac:dyDescent="0.2">
      <c r="R23524" s="1288"/>
    </row>
    <row r="23525" spans="18:18" s="2" customFormat="1" ht="12.75" x14ac:dyDescent="0.2">
      <c r="R23525" s="1288"/>
    </row>
    <row r="23526" spans="18:18" s="2" customFormat="1" ht="12.75" x14ac:dyDescent="0.2">
      <c r="R23526" s="1288"/>
    </row>
    <row r="23527" spans="18:18" s="2" customFormat="1" ht="12.75" x14ac:dyDescent="0.2">
      <c r="R23527" s="1288"/>
    </row>
    <row r="23528" spans="18:18" s="2" customFormat="1" ht="12.75" x14ac:dyDescent="0.2">
      <c r="R23528" s="1288"/>
    </row>
    <row r="23529" spans="18:18" s="2" customFormat="1" ht="12.75" x14ac:dyDescent="0.2">
      <c r="R23529" s="1288"/>
    </row>
    <row r="23530" spans="18:18" s="2" customFormat="1" ht="12.75" x14ac:dyDescent="0.2">
      <c r="R23530" s="1288"/>
    </row>
    <row r="23531" spans="18:18" s="2" customFormat="1" ht="12.75" x14ac:dyDescent="0.2">
      <c r="R23531" s="1288"/>
    </row>
    <row r="23532" spans="18:18" s="2" customFormat="1" ht="12.75" x14ac:dyDescent="0.2">
      <c r="R23532" s="1288"/>
    </row>
    <row r="23533" spans="18:18" s="2" customFormat="1" ht="12.75" x14ac:dyDescent="0.2">
      <c r="R23533" s="1288"/>
    </row>
    <row r="23534" spans="18:18" s="2" customFormat="1" ht="12.75" x14ac:dyDescent="0.2">
      <c r="R23534" s="1288"/>
    </row>
    <row r="23535" spans="18:18" s="2" customFormat="1" ht="12.75" x14ac:dyDescent="0.2">
      <c r="R23535" s="1288"/>
    </row>
    <row r="23536" spans="18:18" s="2" customFormat="1" ht="12.75" x14ac:dyDescent="0.2">
      <c r="R23536" s="1288"/>
    </row>
    <row r="23537" spans="18:18" s="2" customFormat="1" ht="12.75" x14ac:dyDescent="0.2">
      <c r="R23537" s="1288"/>
    </row>
    <row r="23538" spans="18:18" s="2" customFormat="1" ht="12.75" x14ac:dyDescent="0.2">
      <c r="R23538" s="1288"/>
    </row>
    <row r="23539" spans="18:18" s="2" customFormat="1" ht="12.75" x14ac:dyDescent="0.2">
      <c r="R23539" s="1288"/>
    </row>
    <row r="23540" spans="18:18" s="2" customFormat="1" ht="12.75" x14ac:dyDescent="0.2">
      <c r="R23540" s="1288"/>
    </row>
    <row r="23541" spans="18:18" s="2" customFormat="1" ht="12.75" x14ac:dyDescent="0.2">
      <c r="R23541" s="1288"/>
    </row>
    <row r="23542" spans="18:18" s="2" customFormat="1" ht="12.75" x14ac:dyDescent="0.2">
      <c r="R23542" s="1288"/>
    </row>
    <row r="23543" spans="18:18" s="2" customFormat="1" ht="12.75" x14ac:dyDescent="0.2">
      <c r="R23543" s="1288"/>
    </row>
    <row r="23544" spans="18:18" s="2" customFormat="1" ht="12.75" x14ac:dyDescent="0.2">
      <c r="R23544" s="1288"/>
    </row>
    <row r="23545" spans="18:18" s="2" customFormat="1" ht="12.75" x14ac:dyDescent="0.2">
      <c r="R23545" s="1288"/>
    </row>
    <row r="23546" spans="18:18" s="2" customFormat="1" ht="12.75" x14ac:dyDescent="0.2">
      <c r="R23546" s="1288"/>
    </row>
    <row r="23547" spans="18:18" s="2" customFormat="1" ht="12.75" x14ac:dyDescent="0.2">
      <c r="R23547" s="1288"/>
    </row>
    <row r="23548" spans="18:18" s="2" customFormat="1" ht="12.75" x14ac:dyDescent="0.2">
      <c r="R23548" s="1288"/>
    </row>
    <row r="23549" spans="18:18" s="2" customFormat="1" ht="12.75" x14ac:dyDescent="0.2">
      <c r="R23549" s="1288"/>
    </row>
    <row r="23550" spans="18:18" s="2" customFormat="1" ht="12.75" x14ac:dyDescent="0.2">
      <c r="R23550" s="1288"/>
    </row>
    <row r="23551" spans="18:18" s="2" customFormat="1" ht="12.75" x14ac:dyDescent="0.2">
      <c r="R23551" s="1288"/>
    </row>
    <row r="23552" spans="18:18" s="2" customFormat="1" ht="12.75" x14ac:dyDescent="0.2">
      <c r="R23552" s="1288"/>
    </row>
    <row r="23553" spans="18:18" s="2" customFormat="1" ht="12.75" x14ac:dyDescent="0.2">
      <c r="R23553" s="1288"/>
    </row>
    <row r="23554" spans="18:18" s="2" customFormat="1" ht="12.75" x14ac:dyDescent="0.2">
      <c r="R23554" s="1288"/>
    </row>
    <row r="23555" spans="18:18" s="2" customFormat="1" ht="12.75" x14ac:dyDescent="0.2">
      <c r="R23555" s="1288"/>
    </row>
    <row r="23556" spans="18:18" s="2" customFormat="1" ht="12.75" x14ac:dyDescent="0.2">
      <c r="R23556" s="1288"/>
    </row>
    <row r="23557" spans="18:18" s="2" customFormat="1" ht="12.75" x14ac:dyDescent="0.2">
      <c r="R23557" s="1288"/>
    </row>
    <row r="23558" spans="18:18" s="2" customFormat="1" ht="12.75" x14ac:dyDescent="0.2">
      <c r="R23558" s="1288"/>
    </row>
    <row r="23559" spans="18:18" s="2" customFormat="1" ht="12.75" x14ac:dyDescent="0.2">
      <c r="R23559" s="1288"/>
    </row>
    <row r="23560" spans="18:18" s="2" customFormat="1" ht="12.75" x14ac:dyDescent="0.2">
      <c r="R23560" s="1288"/>
    </row>
    <row r="23561" spans="18:18" s="2" customFormat="1" ht="12.75" x14ac:dyDescent="0.2">
      <c r="R23561" s="1288"/>
    </row>
    <row r="23562" spans="18:18" s="2" customFormat="1" ht="12.75" x14ac:dyDescent="0.2">
      <c r="R23562" s="1288"/>
    </row>
    <row r="23563" spans="18:18" s="2" customFormat="1" ht="12.75" x14ac:dyDescent="0.2">
      <c r="R23563" s="1288"/>
    </row>
    <row r="23564" spans="18:18" s="2" customFormat="1" ht="12.75" x14ac:dyDescent="0.2">
      <c r="R23564" s="1288"/>
    </row>
    <row r="23565" spans="18:18" s="2" customFormat="1" ht="12.75" x14ac:dyDescent="0.2">
      <c r="R23565" s="1288"/>
    </row>
    <row r="23566" spans="18:18" s="2" customFormat="1" ht="12.75" x14ac:dyDescent="0.2">
      <c r="R23566" s="1288"/>
    </row>
    <row r="23567" spans="18:18" s="2" customFormat="1" ht="12.75" x14ac:dyDescent="0.2">
      <c r="R23567" s="1288"/>
    </row>
    <row r="23568" spans="18:18" s="2" customFormat="1" ht="12.75" x14ac:dyDescent="0.2">
      <c r="R23568" s="1288"/>
    </row>
    <row r="23569" spans="18:18" s="2" customFormat="1" ht="12.75" x14ac:dyDescent="0.2">
      <c r="R23569" s="1288"/>
    </row>
    <row r="23570" spans="18:18" s="2" customFormat="1" ht="12.75" x14ac:dyDescent="0.2">
      <c r="R23570" s="1288"/>
    </row>
    <row r="23571" spans="18:18" s="2" customFormat="1" ht="12.75" x14ac:dyDescent="0.2">
      <c r="R23571" s="1288"/>
    </row>
    <row r="23572" spans="18:18" s="2" customFormat="1" ht="12.75" x14ac:dyDescent="0.2">
      <c r="R23572" s="1288"/>
    </row>
    <row r="23573" spans="18:18" s="2" customFormat="1" ht="12.75" x14ac:dyDescent="0.2">
      <c r="R23573" s="1288"/>
    </row>
    <row r="23574" spans="18:18" s="2" customFormat="1" ht="12.75" x14ac:dyDescent="0.2">
      <c r="R23574" s="1288"/>
    </row>
    <row r="23575" spans="18:18" s="2" customFormat="1" ht="12.75" x14ac:dyDescent="0.2">
      <c r="R23575" s="1288"/>
    </row>
    <row r="23576" spans="18:18" s="2" customFormat="1" ht="12.75" x14ac:dyDescent="0.2">
      <c r="R23576" s="1288"/>
    </row>
    <row r="23577" spans="18:18" s="2" customFormat="1" ht="12.75" x14ac:dyDescent="0.2">
      <c r="R23577" s="1288"/>
    </row>
    <row r="23578" spans="18:18" s="2" customFormat="1" ht="12.75" x14ac:dyDescent="0.2">
      <c r="R23578" s="1288"/>
    </row>
    <row r="23579" spans="18:18" s="2" customFormat="1" ht="12.75" x14ac:dyDescent="0.2">
      <c r="R23579" s="1288"/>
    </row>
    <row r="23580" spans="18:18" s="2" customFormat="1" ht="12.75" x14ac:dyDescent="0.2">
      <c r="R23580" s="1288"/>
    </row>
    <row r="23581" spans="18:18" s="2" customFormat="1" ht="12.75" x14ac:dyDescent="0.2">
      <c r="R23581" s="1288"/>
    </row>
    <row r="23582" spans="18:18" s="2" customFormat="1" ht="12.75" x14ac:dyDescent="0.2">
      <c r="R23582" s="1288"/>
    </row>
    <row r="23583" spans="18:18" s="2" customFormat="1" ht="12.75" x14ac:dyDescent="0.2">
      <c r="R23583" s="1288"/>
    </row>
    <row r="23584" spans="18:18" s="2" customFormat="1" ht="12.75" x14ac:dyDescent="0.2">
      <c r="R23584" s="1288"/>
    </row>
    <row r="23585" spans="18:18" s="2" customFormat="1" ht="12.75" x14ac:dyDescent="0.2">
      <c r="R23585" s="1288"/>
    </row>
    <row r="23586" spans="18:18" s="2" customFormat="1" ht="12.75" x14ac:dyDescent="0.2">
      <c r="R23586" s="1288"/>
    </row>
    <row r="23587" spans="18:18" s="2" customFormat="1" ht="12.75" x14ac:dyDescent="0.2">
      <c r="R23587" s="1288"/>
    </row>
    <row r="23588" spans="18:18" s="2" customFormat="1" ht="12.75" x14ac:dyDescent="0.2">
      <c r="R23588" s="1288"/>
    </row>
    <row r="23589" spans="18:18" s="2" customFormat="1" ht="12.75" x14ac:dyDescent="0.2">
      <c r="R23589" s="1288"/>
    </row>
    <row r="23590" spans="18:18" s="2" customFormat="1" ht="12.75" x14ac:dyDescent="0.2">
      <c r="R23590" s="1288"/>
    </row>
    <row r="23591" spans="18:18" s="2" customFormat="1" ht="12.75" x14ac:dyDescent="0.2">
      <c r="R23591" s="1288"/>
    </row>
    <row r="23592" spans="18:18" s="2" customFormat="1" ht="12.75" x14ac:dyDescent="0.2">
      <c r="R23592" s="1288"/>
    </row>
    <row r="23593" spans="18:18" s="2" customFormat="1" ht="12.75" x14ac:dyDescent="0.2">
      <c r="R23593" s="1288"/>
    </row>
    <row r="23594" spans="18:18" s="2" customFormat="1" ht="12.75" x14ac:dyDescent="0.2">
      <c r="R23594" s="1288"/>
    </row>
    <row r="23595" spans="18:18" s="2" customFormat="1" ht="12.75" x14ac:dyDescent="0.2">
      <c r="R23595" s="1288"/>
    </row>
    <row r="23596" spans="18:18" s="2" customFormat="1" ht="12.75" x14ac:dyDescent="0.2">
      <c r="R23596" s="1288"/>
    </row>
    <row r="23597" spans="18:18" s="2" customFormat="1" ht="12.75" x14ac:dyDescent="0.2">
      <c r="R23597" s="1288"/>
    </row>
    <row r="23598" spans="18:18" s="2" customFormat="1" ht="12.75" x14ac:dyDescent="0.2">
      <c r="R23598" s="1288"/>
    </row>
    <row r="23599" spans="18:18" s="2" customFormat="1" ht="12.75" x14ac:dyDescent="0.2">
      <c r="R23599" s="1288"/>
    </row>
    <row r="23600" spans="18:18" s="2" customFormat="1" ht="12.75" x14ac:dyDescent="0.2">
      <c r="R23600" s="1288"/>
    </row>
    <row r="23601" spans="18:18" s="2" customFormat="1" ht="12.75" x14ac:dyDescent="0.2">
      <c r="R23601" s="1288"/>
    </row>
    <row r="23602" spans="18:18" s="2" customFormat="1" ht="12.75" x14ac:dyDescent="0.2">
      <c r="R23602" s="1288"/>
    </row>
    <row r="23603" spans="18:18" s="2" customFormat="1" ht="12.75" x14ac:dyDescent="0.2">
      <c r="R23603" s="1288"/>
    </row>
    <row r="23604" spans="18:18" s="2" customFormat="1" ht="12.75" x14ac:dyDescent="0.2">
      <c r="R23604" s="1288"/>
    </row>
    <row r="23605" spans="18:18" s="2" customFormat="1" ht="12.75" x14ac:dyDescent="0.2">
      <c r="R23605" s="1288"/>
    </row>
    <row r="23606" spans="18:18" s="2" customFormat="1" ht="12.75" x14ac:dyDescent="0.2">
      <c r="R23606" s="1288"/>
    </row>
    <row r="23607" spans="18:18" s="2" customFormat="1" ht="12.75" x14ac:dyDescent="0.2">
      <c r="R23607" s="1288"/>
    </row>
    <row r="23608" spans="18:18" s="2" customFormat="1" ht="12.75" x14ac:dyDescent="0.2">
      <c r="R23608" s="1288"/>
    </row>
    <row r="23609" spans="18:18" s="2" customFormat="1" ht="12.75" x14ac:dyDescent="0.2">
      <c r="R23609" s="1288"/>
    </row>
    <row r="23610" spans="18:18" s="2" customFormat="1" ht="12.75" x14ac:dyDescent="0.2">
      <c r="R23610" s="1288"/>
    </row>
    <row r="23611" spans="18:18" s="2" customFormat="1" ht="12.75" x14ac:dyDescent="0.2">
      <c r="R23611" s="1288"/>
    </row>
    <row r="23612" spans="18:18" s="2" customFormat="1" ht="12.75" x14ac:dyDescent="0.2">
      <c r="R23612" s="1288"/>
    </row>
    <row r="23613" spans="18:18" s="2" customFormat="1" ht="12.75" x14ac:dyDescent="0.2">
      <c r="R23613" s="1288"/>
    </row>
    <row r="23614" spans="18:18" s="2" customFormat="1" ht="12.75" x14ac:dyDescent="0.2">
      <c r="R23614" s="1288"/>
    </row>
    <row r="23615" spans="18:18" s="2" customFormat="1" ht="12.75" x14ac:dyDescent="0.2">
      <c r="R23615" s="1288"/>
    </row>
    <row r="23616" spans="18:18" s="2" customFormat="1" ht="12.75" x14ac:dyDescent="0.2">
      <c r="R23616" s="1288"/>
    </row>
    <row r="23617" spans="18:18" s="2" customFormat="1" ht="12.75" x14ac:dyDescent="0.2">
      <c r="R23617" s="1288"/>
    </row>
    <row r="23618" spans="18:18" s="2" customFormat="1" ht="12.75" x14ac:dyDescent="0.2">
      <c r="R23618" s="1288"/>
    </row>
    <row r="23619" spans="18:18" s="2" customFormat="1" ht="12.75" x14ac:dyDescent="0.2">
      <c r="R23619" s="1288"/>
    </row>
    <row r="23620" spans="18:18" s="2" customFormat="1" ht="12.75" x14ac:dyDescent="0.2">
      <c r="R23620" s="1288"/>
    </row>
    <row r="23621" spans="18:18" s="2" customFormat="1" ht="12.75" x14ac:dyDescent="0.2">
      <c r="R23621" s="1288"/>
    </row>
    <row r="23622" spans="18:18" s="2" customFormat="1" ht="12.75" x14ac:dyDescent="0.2">
      <c r="R23622" s="1288"/>
    </row>
    <row r="23623" spans="18:18" s="2" customFormat="1" ht="12.75" x14ac:dyDescent="0.2">
      <c r="R23623" s="1288"/>
    </row>
    <row r="23624" spans="18:18" s="2" customFormat="1" ht="12.75" x14ac:dyDescent="0.2">
      <c r="R23624" s="1288"/>
    </row>
    <row r="23625" spans="18:18" s="2" customFormat="1" ht="12.75" x14ac:dyDescent="0.2">
      <c r="R23625" s="1288"/>
    </row>
    <row r="23626" spans="18:18" s="2" customFormat="1" ht="12.75" x14ac:dyDescent="0.2">
      <c r="R23626" s="1288"/>
    </row>
    <row r="23627" spans="18:18" s="2" customFormat="1" ht="12.75" x14ac:dyDescent="0.2">
      <c r="R23627" s="1288"/>
    </row>
    <row r="23628" spans="18:18" s="2" customFormat="1" ht="12.75" x14ac:dyDescent="0.2">
      <c r="R23628" s="1288"/>
    </row>
    <row r="23629" spans="18:18" s="2" customFormat="1" ht="12.75" x14ac:dyDescent="0.2">
      <c r="R23629" s="1288"/>
    </row>
    <row r="23630" spans="18:18" s="2" customFormat="1" ht="12.75" x14ac:dyDescent="0.2">
      <c r="R23630" s="1288"/>
    </row>
    <row r="23631" spans="18:18" s="2" customFormat="1" ht="12.75" x14ac:dyDescent="0.2">
      <c r="R23631" s="1288"/>
    </row>
    <row r="23632" spans="18:18" s="2" customFormat="1" ht="12.75" x14ac:dyDescent="0.2">
      <c r="R23632" s="1288"/>
    </row>
    <row r="23633" spans="18:18" s="2" customFormat="1" ht="12.75" x14ac:dyDescent="0.2">
      <c r="R23633" s="1288"/>
    </row>
    <row r="23634" spans="18:18" s="2" customFormat="1" ht="12.75" x14ac:dyDescent="0.2">
      <c r="R23634" s="1288"/>
    </row>
    <row r="23635" spans="18:18" s="2" customFormat="1" ht="12.75" x14ac:dyDescent="0.2">
      <c r="R23635" s="1288"/>
    </row>
    <row r="23636" spans="18:18" s="2" customFormat="1" ht="12.75" x14ac:dyDescent="0.2">
      <c r="R23636" s="1288"/>
    </row>
    <row r="23637" spans="18:18" s="2" customFormat="1" ht="12.75" x14ac:dyDescent="0.2">
      <c r="R23637" s="1288"/>
    </row>
    <row r="23638" spans="18:18" s="2" customFormat="1" ht="12.75" x14ac:dyDescent="0.2">
      <c r="R23638" s="1288"/>
    </row>
    <row r="23639" spans="18:18" s="2" customFormat="1" ht="12.75" x14ac:dyDescent="0.2">
      <c r="R23639" s="1288"/>
    </row>
    <row r="23640" spans="18:18" s="2" customFormat="1" ht="12.75" x14ac:dyDescent="0.2">
      <c r="R23640" s="1288"/>
    </row>
    <row r="23641" spans="18:18" s="2" customFormat="1" ht="12.75" x14ac:dyDescent="0.2">
      <c r="R23641" s="1288"/>
    </row>
    <row r="23642" spans="18:18" s="2" customFormat="1" ht="12.75" x14ac:dyDescent="0.2">
      <c r="R23642" s="1288"/>
    </row>
    <row r="23643" spans="18:18" s="2" customFormat="1" ht="12.75" x14ac:dyDescent="0.2">
      <c r="R23643" s="1288"/>
    </row>
    <row r="23644" spans="18:18" s="2" customFormat="1" ht="12.75" x14ac:dyDescent="0.2">
      <c r="R23644" s="1288"/>
    </row>
    <row r="23645" spans="18:18" s="2" customFormat="1" ht="12.75" x14ac:dyDescent="0.2">
      <c r="R23645" s="1288"/>
    </row>
    <row r="23646" spans="18:18" s="2" customFormat="1" ht="12.75" x14ac:dyDescent="0.2">
      <c r="R23646" s="1288"/>
    </row>
    <row r="23647" spans="18:18" s="2" customFormat="1" ht="12.75" x14ac:dyDescent="0.2">
      <c r="R23647" s="1288"/>
    </row>
    <row r="23648" spans="18:18" s="2" customFormat="1" ht="12.75" x14ac:dyDescent="0.2">
      <c r="R23648" s="1288"/>
    </row>
    <row r="23649" spans="18:18" s="2" customFormat="1" ht="12.75" x14ac:dyDescent="0.2">
      <c r="R23649" s="1288"/>
    </row>
    <row r="23650" spans="18:18" s="2" customFormat="1" ht="12.75" x14ac:dyDescent="0.2">
      <c r="R23650" s="1288"/>
    </row>
    <row r="23651" spans="18:18" s="2" customFormat="1" ht="12.75" x14ac:dyDescent="0.2">
      <c r="R23651" s="1288"/>
    </row>
    <row r="23652" spans="18:18" s="2" customFormat="1" ht="12.75" x14ac:dyDescent="0.2">
      <c r="R23652" s="1288"/>
    </row>
    <row r="23653" spans="18:18" s="2" customFormat="1" ht="12.75" x14ac:dyDescent="0.2">
      <c r="R23653" s="1288"/>
    </row>
    <row r="23654" spans="18:18" s="2" customFormat="1" ht="12.75" x14ac:dyDescent="0.2">
      <c r="R23654" s="1288"/>
    </row>
    <row r="23655" spans="18:18" s="2" customFormat="1" ht="12.75" x14ac:dyDescent="0.2">
      <c r="R23655" s="1288"/>
    </row>
    <row r="23656" spans="18:18" s="2" customFormat="1" ht="12.75" x14ac:dyDescent="0.2">
      <c r="R23656" s="1288"/>
    </row>
    <row r="23657" spans="18:18" s="2" customFormat="1" ht="12.75" x14ac:dyDescent="0.2">
      <c r="R23657" s="1288"/>
    </row>
    <row r="23658" spans="18:18" s="2" customFormat="1" ht="12.75" x14ac:dyDescent="0.2">
      <c r="R23658" s="1288"/>
    </row>
    <row r="23659" spans="18:18" s="2" customFormat="1" ht="12.75" x14ac:dyDescent="0.2">
      <c r="R23659" s="1288"/>
    </row>
    <row r="23660" spans="18:18" s="2" customFormat="1" ht="12.75" x14ac:dyDescent="0.2">
      <c r="R23660" s="1288"/>
    </row>
    <row r="23661" spans="18:18" s="2" customFormat="1" ht="12.75" x14ac:dyDescent="0.2">
      <c r="R23661" s="1288"/>
    </row>
    <row r="23662" spans="18:18" s="2" customFormat="1" ht="12.75" x14ac:dyDescent="0.2">
      <c r="R23662" s="1288"/>
    </row>
    <row r="23663" spans="18:18" s="2" customFormat="1" ht="12.75" x14ac:dyDescent="0.2">
      <c r="R23663" s="1288"/>
    </row>
    <row r="23664" spans="18:18" s="2" customFormat="1" ht="12.75" x14ac:dyDescent="0.2">
      <c r="R23664" s="1288"/>
    </row>
    <row r="23665" spans="18:18" s="2" customFormat="1" ht="12.75" x14ac:dyDescent="0.2">
      <c r="R23665" s="1288"/>
    </row>
    <row r="23666" spans="18:18" s="2" customFormat="1" ht="12.75" x14ac:dyDescent="0.2">
      <c r="R23666" s="1288"/>
    </row>
    <row r="23667" spans="18:18" s="2" customFormat="1" ht="12.75" x14ac:dyDescent="0.2">
      <c r="R23667" s="1288"/>
    </row>
    <row r="23668" spans="18:18" s="2" customFormat="1" ht="12.75" x14ac:dyDescent="0.2">
      <c r="R23668" s="1288"/>
    </row>
    <row r="23669" spans="18:18" s="2" customFormat="1" ht="12.75" x14ac:dyDescent="0.2">
      <c r="R23669" s="1288"/>
    </row>
    <row r="23670" spans="18:18" s="2" customFormat="1" ht="12.75" x14ac:dyDescent="0.2">
      <c r="R23670" s="1288"/>
    </row>
    <row r="23671" spans="18:18" s="2" customFormat="1" ht="12.75" x14ac:dyDescent="0.2">
      <c r="R23671" s="1288"/>
    </row>
    <row r="23672" spans="18:18" s="2" customFormat="1" ht="12.75" x14ac:dyDescent="0.2">
      <c r="R23672" s="1288"/>
    </row>
    <row r="23673" spans="18:18" s="2" customFormat="1" ht="12.75" x14ac:dyDescent="0.2">
      <c r="R23673" s="1288"/>
    </row>
    <row r="23674" spans="18:18" s="2" customFormat="1" ht="12.75" x14ac:dyDescent="0.2">
      <c r="R23674" s="1288"/>
    </row>
    <row r="23675" spans="18:18" s="2" customFormat="1" ht="12.75" x14ac:dyDescent="0.2">
      <c r="R23675" s="1288"/>
    </row>
    <row r="23676" spans="18:18" s="2" customFormat="1" ht="12.75" x14ac:dyDescent="0.2">
      <c r="R23676" s="1288"/>
    </row>
    <row r="23677" spans="18:18" s="2" customFormat="1" ht="12.75" x14ac:dyDescent="0.2">
      <c r="R23677" s="1288"/>
    </row>
    <row r="23678" spans="18:18" s="2" customFormat="1" ht="12.75" x14ac:dyDescent="0.2">
      <c r="R23678" s="1288"/>
    </row>
    <row r="23679" spans="18:18" s="2" customFormat="1" ht="12.75" x14ac:dyDescent="0.2">
      <c r="R23679" s="1288"/>
    </row>
    <row r="23680" spans="18:18" s="2" customFormat="1" ht="12.75" x14ac:dyDescent="0.2">
      <c r="R23680" s="1288"/>
    </row>
    <row r="23681" spans="18:18" s="2" customFormat="1" ht="12.75" x14ac:dyDescent="0.2">
      <c r="R23681" s="1288"/>
    </row>
    <row r="23682" spans="18:18" s="2" customFormat="1" ht="12.75" x14ac:dyDescent="0.2">
      <c r="R23682" s="1288"/>
    </row>
    <row r="23683" spans="18:18" s="2" customFormat="1" ht="12.75" x14ac:dyDescent="0.2">
      <c r="R23683" s="1288"/>
    </row>
    <row r="23684" spans="18:18" s="2" customFormat="1" ht="12.75" x14ac:dyDescent="0.2">
      <c r="R23684" s="1288"/>
    </row>
    <row r="23685" spans="18:18" s="2" customFormat="1" ht="12.75" x14ac:dyDescent="0.2">
      <c r="R23685" s="1288"/>
    </row>
    <row r="23686" spans="18:18" s="2" customFormat="1" ht="12.75" x14ac:dyDescent="0.2">
      <c r="R23686" s="1288"/>
    </row>
    <row r="23687" spans="18:18" s="2" customFormat="1" ht="12.75" x14ac:dyDescent="0.2">
      <c r="R23687" s="1288"/>
    </row>
    <row r="23688" spans="18:18" s="2" customFormat="1" ht="12.75" x14ac:dyDescent="0.2">
      <c r="R23688" s="1288"/>
    </row>
    <row r="23689" spans="18:18" s="2" customFormat="1" ht="12.75" x14ac:dyDescent="0.2">
      <c r="R23689" s="1288"/>
    </row>
    <row r="23690" spans="18:18" s="2" customFormat="1" ht="12.75" x14ac:dyDescent="0.2">
      <c r="R23690" s="1288"/>
    </row>
    <row r="23691" spans="18:18" s="2" customFormat="1" ht="12.75" x14ac:dyDescent="0.2">
      <c r="R23691" s="1288"/>
    </row>
    <row r="23692" spans="18:18" s="2" customFormat="1" ht="12.75" x14ac:dyDescent="0.2">
      <c r="R23692" s="1288"/>
    </row>
    <row r="23693" spans="18:18" s="2" customFormat="1" ht="12.75" x14ac:dyDescent="0.2">
      <c r="R23693" s="1288"/>
    </row>
    <row r="23694" spans="18:18" s="2" customFormat="1" ht="12.75" x14ac:dyDescent="0.2">
      <c r="R23694" s="1288"/>
    </row>
    <row r="23695" spans="18:18" s="2" customFormat="1" ht="12.75" x14ac:dyDescent="0.2">
      <c r="R23695" s="1288"/>
    </row>
    <row r="23696" spans="18:18" s="2" customFormat="1" ht="12.75" x14ac:dyDescent="0.2">
      <c r="R23696" s="1288"/>
    </row>
    <row r="23697" spans="18:18" s="2" customFormat="1" ht="12.75" x14ac:dyDescent="0.2">
      <c r="R23697" s="1288"/>
    </row>
    <row r="23698" spans="18:18" s="2" customFormat="1" ht="12.75" x14ac:dyDescent="0.2">
      <c r="R23698" s="1288"/>
    </row>
    <row r="23699" spans="18:18" s="2" customFormat="1" ht="12.75" x14ac:dyDescent="0.2">
      <c r="R23699" s="1288"/>
    </row>
    <row r="23700" spans="18:18" s="2" customFormat="1" ht="12.75" x14ac:dyDescent="0.2">
      <c r="R23700" s="1288"/>
    </row>
    <row r="23701" spans="18:18" s="2" customFormat="1" ht="12.75" x14ac:dyDescent="0.2">
      <c r="R23701" s="1288"/>
    </row>
    <row r="23702" spans="18:18" s="2" customFormat="1" ht="12.75" x14ac:dyDescent="0.2">
      <c r="R23702" s="1288"/>
    </row>
    <row r="23703" spans="18:18" s="2" customFormat="1" ht="12.75" x14ac:dyDescent="0.2">
      <c r="R23703" s="1288"/>
    </row>
    <row r="23704" spans="18:18" s="2" customFormat="1" ht="12.75" x14ac:dyDescent="0.2">
      <c r="R23704" s="1288"/>
    </row>
    <row r="23705" spans="18:18" s="2" customFormat="1" ht="12.75" x14ac:dyDescent="0.2">
      <c r="R23705" s="1288"/>
    </row>
    <row r="23706" spans="18:18" s="2" customFormat="1" ht="12.75" x14ac:dyDescent="0.2">
      <c r="R23706" s="1288"/>
    </row>
    <row r="23707" spans="18:18" s="2" customFormat="1" ht="12.75" x14ac:dyDescent="0.2">
      <c r="R23707" s="1288"/>
    </row>
    <row r="23708" spans="18:18" s="2" customFormat="1" ht="12.75" x14ac:dyDescent="0.2">
      <c r="R23708" s="1288"/>
    </row>
    <row r="23709" spans="18:18" s="2" customFormat="1" ht="12.75" x14ac:dyDescent="0.2">
      <c r="R23709" s="1288"/>
    </row>
    <row r="23710" spans="18:18" s="2" customFormat="1" ht="12.75" x14ac:dyDescent="0.2">
      <c r="R23710" s="1288"/>
    </row>
    <row r="23711" spans="18:18" s="2" customFormat="1" ht="12.75" x14ac:dyDescent="0.2">
      <c r="R23711" s="1288"/>
    </row>
    <row r="23712" spans="18:18" s="2" customFormat="1" ht="12.75" x14ac:dyDescent="0.2">
      <c r="R23712" s="1288"/>
    </row>
    <row r="23713" spans="18:18" s="2" customFormat="1" ht="12.75" x14ac:dyDescent="0.2">
      <c r="R23713" s="1288"/>
    </row>
    <row r="23714" spans="18:18" s="2" customFormat="1" ht="12.75" x14ac:dyDescent="0.2">
      <c r="R23714" s="1288"/>
    </row>
    <row r="23715" spans="18:18" s="2" customFormat="1" ht="12.75" x14ac:dyDescent="0.2">
      <c r="R23715" s="1288"/>
    </row>
    <row r="23716" spans="18:18" s="2" customFormat="1" ht="12.75" x14ac:dyDescent="0.2">
      <c r="R23716" s="1288"/>
    </row>
    <row r="23717" spans="18:18" s="2" customFormat="1" ht="12.75" x14ac:dyDescent="0.2">
      <c r="R23717" s="1288"/>
    </row>
    <row r="23718" spans="18:18" s="2" customFormat="1" ht="12.75" x14ac:dyDescent="0.2">
      <c r="R23718" s="1288"/>
    </row>
    <row r="23719" spans="18:18" s="2" customFormat="1" ht="12.75" x14ac:dyDescent="0.2">
      <c r="R23719" s="1288"/>
    </row>
    <row r="23720" spans="18:18" s="2" customFormat="1" ht="12.75" x14ac:dyDescent="0.2">
      <c r="R23720" s="1288"/>
    </row>
    <row r="23721" spans="18:18" s="2" customFormat="1" ht="12.75" x14ac:dyDescent="0.2">
      <c r="R23721" s="1288"/>
    </row>
    <row r="23722" spans="18:18" s="2" customFormat="1" ht="12.75" x14ac:dyDescent="0.2">
      <c r="R23722" s="1288"/>
    </row>
    <row r="23723" spans="18:18" s="2" customFormat="1" ht="12.75" x14ac:dyDescent="0.2">
      <c r="R23723" s="1288"/>
    </row>
    <row r="23724" spans="18:18" s="2" customFormat="1" ht="12.75" x14ac:dyDescent="0.2">
      <c r="R23724" s="1288"/>
    </row>
    <row r="23725" spans="18:18" s="2" customFormat="1" ht="12.75" x14ac:dyDescent="0.2">
      <c r="R23725" s="1288"/>
    </row>
    <row r="23726" spans="18:18" s="2" customFormat="1" ht="12.75" x14ac:dyDescent="0.2">
      <c r="R23726" s="1288"/>
    </row>
    <row r="23727" spans="18:18" s="2" customFormat="1" ht="12.75" x14ac:dyDescent="0.2">
      <c r="R23727" s="1288"/>
    </row>
    <row r="23728" spans="18:18" s="2" customFormat="1" ht="12.75" x14ac:dyDescent="0.2">
      <c r="R23728" s="1288"/>
    </row>
    <row r="23729" spans="18:18" s="2" customFormat="1" ht="12.75" x14ac:dyDescent="0.2">
      <c r="R23729" s="1288"/>
    </row>
    <row r="23730" spans="18:18" s="2" customFormat="1" ht="12.75" x14ac:dyDescent="0.2">
      <c r="R23730" s="1288"/>
    </row>
    <row r="23731" spans="18:18" s="2" customFormat="1" ht="12.75" x14ac:dyDescent="0.2">
      <c r="R23731" s="1288"/>
    </row>
    <row r="23732" spans="18:18" s="2" customFormat="1" ht="12.75" x14ac:dyDescent="0.2">
      <c r="R23732" s="1288"/>
    </row>
    <row r="23733" spans="18:18" s="2" customFormat="1" ht="12.75" x14ac:dyDescent="0.2">
      <c r="R23733" s="1288"/>
    </row>
    <row r="23734" spans="18:18" s="2" customFormat="1" ht="12.75" x14ac:dyDescent="0.2">
      <c r="R23734" s="1288"/>
    </row>
    <row r="23735" spans="18:18" s="2" customFormat="1" ht="12.75" x14ac:dyDescent="0.2">
      <c r="R23735" s="1288"/>
    </row>
    <row r="23736" spans="18:18" s="2" customFormat="1" ht="12.75" x14ac:dyDescent="0.2">
      <c r="R23736" s="1288"/>
    </row>
    <row r="23737" spans="18:18" s="2" customFormat="1" ht="12.75" x14ac:dyDescent="0.2">
      <c r="R23737" s="1288"/>
    </row>
    <row r="23738" spans="18:18" s="2" customFormat="1" ht="12.75" x14ac:dyDescent="0.2">
      <c r="R23738" s="1288"/>
    </row>
    <row r="23739" spans="18:18" s="2" customFormat="1" ht="12.75" x14ac:dyDescent="0.2">
      <c r="R23739" s="1288"/>
    </row>
    <row r="23740" spans="18:18" s="2" customFormat="1" ht="12.75" x14ac:dyDescent="0.2">
      <c r="R23740" s="1288"/>
    </row>
    <row r="23741" spans="18:18" s="2" customFormat="1" ht="12.75" x14ac:dyDescent="0.2">
      <c r="R23741" s="1288"/>
    </row>
    <row r="23742" spans="18:18" s="2" customFormat="1" ht="12.75" x14ac:dyDescent="0.2">
      <c r="R23742" s="1288"/>
    </row>
    <row r="23743" spans="18:18" s="2" customFormat="1" ht="12.75" x14ac:dyDescent="0.2">
      <c r="R23743" s="1288"/>
    </row>
    <row r="23744" spans="18:18" s="2" customFormat="1" ht="12.75" x14ac:dyDescent="0.2">
      <c r="R23744" s="1288"/>
    </row>
    <row r="23745" spans="18:18" s="2" customFormat="1" ht="12.75" x14ac:dyDescent="0.2">
      <c r="R23745" s="1288"/>
    </row>
    <row r="23746" spans="18:18" s="2" customFormat="1" ht="12.75" x14ac:dyDescent="0.2">
      <c r="R23746" s="1288"/>
    </row>
    <row r="23747" spans="18:18" s="2" customFormat="1" ht="12.75" x14ac:dyDescent="0.2">
      <c r="R23747" s="1288"/>
    </row>
    <row r="23748" spans="18:18" s="2" customFormat="1" ht="12.75" x14ac:dyDescent="0.2">
      <c r="R23748" s="1288"/>
    </row>
    <row r="23749" spans="18:18" s="2" customFormat="1" ht="12.75" x14ac:dyDescent="0.2">
      <c r="R23749" s="1288"/>
    </row>
    <row r="23750" spans="18:18" s="2" customFormat="1" ht="12.75" x14ac:dyDescent="0.2">
      <c r="R23750" s="1288"/>
    </row>
    <row r="23751" spans="18:18" s="2" customFormat="1" ht="12.75" x14ac:dyDescent="0.2">
      <c r="R23751" s="1288"/>
    </row>
    <row r="23752" spans="18:18" s="2" customFormat="1" ht="12.75" x14ac:dyDescent="0.2">
      <c r="R23752" s="1288"/>
    </row>
    <row r="23753" spans="18:18" s="2" customFormat="1" ht="12.75" x14ac:dyDescent="0.2">
      <c r="R23753" s="1288"/>
    </row>
    <row r="23754" spans="18:18" s="2" customFormat="1" ht="12.75" x14ac:dyDescent="0.2">
      <c r="R23754" s="1288"/>
    </row>
    <row r="23755" spans="18:18" s="2" customFormat="1" ht="12.75" x14ac:dyDescent="0.2">
      <c r="R23755" s="1288"/>
    </row>
    <row r="23756" spans="18:18" s="2" customFormat="1" ht="12.75" x14ac:dyDescent="0.2">
      <c r="R23756" s="1288"/>
    </row>
    <row r="23757" spans="18:18" s="2" customFormat="1" ht="12.75" x14ac:dyDescent="0.2">
      <c r="R23757" s="1288"/>
    </row>
    <row r="23758" spans="18:18" s="2" customFormat="1" ht="12.75" x14ac:dyDescent="0.2">
      <c r="R23758" s="1288"/>
    </row>
    <row r="23759" spans="18:18" s="2" customFormat="1" ht="12.75" x14ac:dyDescent="0.2">
      <c r="R23759" s="1288"/>
    </row>
    <row r="23760" spans="18:18" s="2" customFormat="1" ht="12.75" x14ac:dyDescent="0.2">
      <c r="R23760" s="1288"/>
    </row>
    <row r="23761" spans="18:18" s="2" customFormat="1" ht="12.75" x14ac:dyDescent="0.2">
      <c r="R23761" s="1288"/>
    </row>
    <row r="23762" spans="18:18" s="2" customFormat="1" ht="12.75" x14ac:dyDescent="0.2">
      <c r="R23762" s="1288"/>
    </row>
    <row r="23763" spans="18:18" s="2" customFormat="1" ht="12.75" x14ac:dyDescent="0.2">
      <c r="R23763" s="1288"/>
    </row>
    <row r="23764" spans="18:18" s="2" customFormat="1" ht="12.75" x14ac:dyDescent="0.2">
      <c r="R23764" s="1288"/>
    </row>
    <row r="23765" spans="18:18" s="2" customFormat="1" ht="12.75" x14ac:dyDescent="0.2">
      <c r="R23765" s="1288"/>
    </row>
    <row r="23766" spans="18:18" s="2" customFormat="1" ht="12.75" x14ac:dyDescent="0.2">
      <c r="R23766" s="1288"/>
    </row>
    <row r="23767" spans="18:18" s="2" customFormat="1" ht="12.75" x14ac:dyDescent="0.2">
      <c r="R23767" s="1288"/>
    </row>
    <row r="23768" spans="18:18" s="2" customFormat="1" ht="12.75" x14ac:dyDescent="0.2">
      <c r="R23768" s="1288"/>
    </row>
    <row r="23769" spans="18:18" s="2" customFormat="1" ht="12.75" x14ac:dyDescent="0.2">
      <c r="R23769" s="1288"/>
    </row>
    <row r="23770" spans="18:18" s="2" customFormat="1" ht="12.75" x14ac:dyDescent="0.2">
      <c r="R23770" s="1288"/>
    </row>
    <row r="23771" spans="18:18" s="2" customFormat="1" ht="12.75" x14ac:dyDescent="0.2">
      <c r="R23771" s="1288"/>
    </row>
    <row r="23772" spans="18:18" s="2" customFormat="1" ht="12.75" x14ac:dyDescent="0.2">
      <c r="R23772" s="1288"/>
    </row>
    <row r="23773" spans="18:18" s="2" customFormat="1" ht="12.75" x14ac:dyDescent="0.2">
      <c r="R23773" s="1288"/>
    </row>
    <row r="23774" spans="18:18" s="2" customFormat="1" ht="12.75" x14ac:dyDescent="0.2">
      <c r="R23774" s="1288"/>
    </row>
    <row r="23775" spans="18:18" s="2" customFormat="1" ht="12.75" x14ac:dyDescent="0.2">
      <c r="R23775" s="1288"/>
    </row>
    <row r="23776" spans="18:18" s="2" customFormat="1" ht="12.75" x14ac:dyDescent="0.2">
      <c r="R23776" s="1288"/>
    </row>
    <row r="23777" spans="18:18" s="2" customFormat="1" ht="12.75" x14ac:dyDescent="0.2">
      <c r="R23777" s="1288"/>
    </row>
    <row r="23778" spans="18:18" s="2" customFormat="1" ht="12.75" x14ac:dyDescent="0.2">
      <c r="R23778" s="1288"/>
    </row>
    <row r="23779" spans="18:18" s="2" customFormat="1" ht="12.75" x14ac:dyDescent="0.2">
      <c r="R23779" s="1288"/>
    </row>
    <row r="23780" spans="18:18" s="2" customFormat="1" ht="12.75" x14ac:dyDescent="0.2">
      <c r="R23780" s="1288"/>
    </row>
    <row r="23781" spans="18:18" s="2" customFormat="1" ht="12.75" x14ac:dyDescent="0.2">
      <c r="R23781" s="1288"/>
    </row>
    <row r="23782" spans="18:18" s="2" customFormat="1" ht="12.75" x14ac:dyDescent="0.2">
      <c r="R23782" s="1288"/>
    </row>
    <row r="23783" spans="18:18" s="2" customFormat="1" ht="12.75" x14ac:dyDescent="0.2">
      <c r="R23783" s="1288"/>
    </row>
    <row r="23784" spans="18:18" s="2" customFormat="1" ht="12.75" x14ac:dyDescent="0.2">
      <c r="R23784" s="1288"/>
    </row>
    <row r="23785" spans="18:18" s="2" customFormat="1" ht="12.75" x14ac:dyDescent="0.2">
      <c r="R23785" s="1288"/>
    </row>
    <row r="23786" spans="18:18" s="2" customFormat="1" ht="12.75" x14ac:dyDescent="0.2">
      <c r="R23786" s="1288"/>
    </row>
    <row r="23787" spans="18:18" s="2" customFormat="1" ht="12.75" x14ac:dyDescent="0.2">
      <c r="R23787" s="1288"/>
    </row>
    <row r="23788" spans="18:18" s="2" customFormat="1" ht="12.75" x14ac:dyDescent="0.2">
      <c r="R23788" s="1288"/>
    </row>
    <row r="23789" spans="18:18" s="2" customFormat="1" ht="12.75" x14ac:dyDescent="0.2">
      <c r="R23789" s="1288"/>
    </row>
    <row r="23790" spans="18:18" s="2" customFormat="1" ht="12.75" x14ac:dyDescent="0.2">
      <c r="R23790" s="1288"/>
    </row>
    <row r="23791" spans="18:18" s="2" customFormat="1" ht="12.75" x14ac:dyDescent="0.2">
      <c r="R23791" s="1288"/>
    </row>
    <row r="23792" spans="18:18" s="2" customFormat="1" ht="12.75" x14ac:dyDescent="0.2">
      <c r="R23792" s="1288"/>
    </row>
    <row r="23793" spans="18:18" s="2" customFormat="1" ht="12.75" x14ac:dyDescent="0.2">
      <c r="R23793" s="1288"/>
    </row>
    <row r="23794" spans="18:18" s="2" customFormat="1" ht="12.75" x14ac:dyDescent="0.2">
      <c r="R23794" s="1288"/>
    </row>
    <row r="23795" spans="18:18" s="2" customFormat="1" ht="12.75" x14ac:dyDescent="0.2">
      <c r="R23795" s="1288"/>
    </row>
    <row r="23796" spans="18:18" s="2" customFormat="1" ht="12.75" x14ac:dyDescent="0.2">
      <c r="R23796" s="1288"/>
    </row>
    <row r="23797" spans="18:18" s="2" customFormat="1" ht="12.75" x14ac:dyDescent="0.2">
      <c r="R23797" s="1288"/>
    </row>
    <row r="23798" spans="18:18" s="2" customFormat="1" ht="12.75" x14ac:dyDescent="0.2">
      <c r="R23798" s="1288"/>
    </row>
    <row r="23799" spans="18:18" s="2" customFormat="1" ht="12.75" x14ac:dyDescent="0.2">
      <c r="R23799" s="1288"/>
    </row>
    <row r="23800" spans="18:18" s="2" customFormat="1" ht="12.75" x14ac:dyDescent="0.2">
      <c r="R23800" s="1288"/>
    </row>
    <row r="23801" spans="18:18" s="2" customFormat="1" ht="12.75" x14ac:dyDescent="0.2">
      <c r="R23801" s="1288"/>
    </row>
    <row r="23802" spans="18:18" s="2" customFormat="1" ht="12.75" x14ac:dyDescent="0.2">
      <c r="R23802" s="1288"/>
    </row>
    <row r="23803" spans="18:18" s="2" customFormat="1" ht="12.75" x14ac:dyDescent="0.2">
      <c r="R23803" s="1288"/>
    </row>
    <row r="23804" spans="18:18" s="2" customFormat="1" ht="12.75" x14ac:dyDescent="0.2">
      <c r="R23804" s="1288"/>
    </row>
    <row r="23805" spans="18:18" s="2" customFormat="1" ht="12.75" x14ac:dyDescent="0.2">
      <c r="R23805" s="1288"/>
    </row>
    <row r="23806" spans="18:18" s="2" customFormat="1" ht="12.75" x14ac:dyDescent="0.2">
      <c r="R23806" s="1288"/>
    </row>
    <row r="23807" spans="18:18" s="2" customFormat="1" ht="12.75" x14ac:dyDescent="0.2">
      <c r="R23807" s="1288"/>
    </row>
    <row r="23808" spans="18:18" s="2" customFormat="1" ht="12.75" x14ac:dyDescent="0.2">
      <c r="R23808" s="1288"/>
    </row>
    <row r="23809" spans="18:18" s="2" customFormat="1" ht="12.75" x14ac:dyDescent="0.2">
      <c r="R23809" s="1288"/>
    </row>
    <row r="23810" spans="18:18" s="2" customFormat="1" ht="12.75" x14ac:dyDescent="0.2">
      <c r="R23810" s="1288"/>
    </row>
    <row r="23811" spans="18:18" s="2" customFormat="1" ht="12.75" x14ac:dyDescent="0.2">
      <c r="R23811" s="1288"/>
    </row>
    <row r="23812" spans="18:18" s="2" customFormat="1" ht="12.75" x14ac:dyDescent="0.2">
      <c r="R23812" s="1288"/>
    </row>
    <row r="23813" spans="18:18" s="2" customFormat="1" ht="12.75" x14ac:dyDescent="0.2">
      <c r="R23813" s="1288"/>
    </row>
    <row r="23814" spans="18:18" s="2" customFormat="1" ht="12.75" x14ac:dyDescent="0.2">
      <c r="R23814" s="1288"/>
    </row>
    <row r="23815" spans="18:18" s="2" customFormat="1" ht="12.75" x14ac:dyDescent="0.2">
      <c r="R23815" s="1288"/>
    </row>
    <row r="23816" spans="18:18" s="2" customFormat="1" ht="12.75" x14ac:dyDescent="0.2">
      <c r="R23816" s="1288"/>
    </row>
    <row r="23817" spans="18:18" s="2" customFormat="1" ht="12.75" x14ac:dyDescent="0.2">
      <c r="R23817" s="1288"/>
    </row>
    <row r="23818" spans="18:18" s="2" customFormat="1" ht="12.75" x14ac:dyDescent="0.2">
      <c r="R23818" s="1288"/>
    </row>
    <row r="23819" spans="18:18" s="2" customFormat="1" ht="12.75" x14ac:dyDescent="0.2">
      <c r="R23819" s="1288"/>
    </row>
    <row r="23820" spans="18:18" s="2" customFormat="1" ht="12.75" x14ac:dyDescent="0.2">
      <c r="R23820" s="1288"/>
    </row>
    <row r="23821" spans="18:18" s="2" customFormat="1" ht="12.75" x14ac:dyDescent="0.2">
      <c r="R23821" s="1288"/>
    </row>
    <row r="23822" spans="18:18" s="2" customFormat="1" ht="12.75" x14ac:dyDescent="0.2">
      <c r="R23822" s="1288"/>
    </row>
    <row r="23823" spans="18:18" s="2" customFormat="1" ht="12.75" x14ac:dyDescent="0.2">
      <c r="R23823" s="1288"/>
    </row>
    <row r="23824" spans="18:18" s="2" customFormat="1" ht="12.75" x14ac:dyDescent="0.2">
      <c r="R23824" s="1288"/>
    </row>
    <row r="23825" spans="18:18" s="2" customFormat="1" ht="12.75" x14ac:dyDescent="0.2">
      <c r="R23825" s="1288"/>
    </row>
    <row r="23826" spans="18:18" s="2" customFormat="1" ht="12.75" x14ac:dyDescent="0.2">
      <c r="R23826" s="1288"/>
    </row>
    <row r="23827" spans="18:18" s="2" customFormat="1" ht="12.75" x14ac:dyDescent="0.2">
      <c r="R23827" s="1288"/>
    </row>
    <row r="23828" spans="18:18" s="2" customFormat="1" ht="12.75" x14ac:dyDescent="0.2">
      <c r="R23828" s="1288"/>
    </row>
    <row r="23829" spans="18:18" s="2" customFormat="1" ht="12.75" x14ac:dyDescent="0.2">
      <c r="R23829" s="1288"/>
    </row>
    <row r="23830" spans="18:18" s="2" customFormat="1" ht="12.75" x14ac:dyDescent="0.2">
      <c r="R23830" s="1288"/>
    </row>
    <row r="23831" spans="18:18" s="2" customFormat="1" ht="12.75" x14ac:dyDescent="0.2">
      <c r="R23831" s="1288"/>
    </row>
    <row r="23832" spans="18:18" s="2" customFormat="1" ht="12.75" x14ac:dyDescent="0.2">
      <c r="R23832" s="1288"/>
    </row>
    <row r="23833" spans="18:18" s="2" customFormat="1" ht="12.75" x14ac:dyDescent="0.2">
      <c r="R23833" s="1288"/>
    </row>
    <row r="23834" spans="18:18" s="2" customFormat="1" ht="12.75" x14ac:dyDescent="0.2">
      <c r="R23834" s="1288"/>
    </row>
    <row r="23835" spans="18:18" s="2" customFormat="1" ht="12.75" x14ac:dyDescent="0.2">
      <c r="R23835" s="1288"/>
    </row>
    <row r="23836" spans="18:18" s="2" customFormat="1" ht="12.75" x14ac:dyDescent="0.2">
      <c r="R23836" s="1288"/>
    </row>
    <row r="23837" spans="18:18" s="2" customFormat="1" ht="12.75" x14ac:dyDescent="0.2">
      <c r="R23837" s="1288"/>
    </row>
    <row r="23838" spans="18:18" s="2" customFormat="1" ht="12.75" x14ac:dyDescent="0.2">
      <c r="R23838" s="1288"/>
    </row>
    <row r="23839" spans="18:18" s="2" customFormat="1" ht="12.75" x14ac:dyDescent="0.2">
      <c r="R23839" s="1288"/>
    </row>
    <row r="23840" spans="18:18" s="2" customFormat="1" ht="12.75" x14ac:dyDescent="0.2">
      <c r="R23840" s="1288"/>
    </row>
    <row r="23841" spans="18:18" s="2" customFormat="1" ht="12.75" x14ac:dyDescent="0.2">
      <c r="R23841" s="1288"/>
    </row>
    <row r="23842" spans="18:18" s="2" customFormat="1" ht="12.75" x14ac:dyDescent="0.2">
      <c r="R23842" s="1288"/>
    </row>
    <row r="23843" spans="18:18" s="2" customFormat="1" ht="12.75" x14ac:dyDescent="0.2">
      <c r="R23843" s="1288"/>
    </row>
    <row r="23844" spans="18:18" s="2" customFormat="1" ht="12.75" x14ac:dyDescent="0.2">
      <c r="R23844" s="1288"/>
    </row>
    <row r="23845" spans="18:18" s="2" customFormat="1" ht="12.75" x14ac:dyDescent="0.2">
      <c r="R23845" s="1288"/>
    </row>
    <row r="23846" spans="18:18" s="2" customFormat="1" ht="12.75" x14ac:dyDescent="0.2">
      <c r="R23846" s="1288"/>
    </row>
    <row r="23847" spans="18:18" s="2" customFormat="1" ht="12.75" x14ac:dyDescent="0.2">
      <c r="R23847" s="1288"/>
    </row>
    <row r="23848" spans="18:18" s="2" customFormat="1" ht="12.75" x14ac:dyDescent="0.2">
      <c r="R23848" s="1288"/>
    </row>
    <row r="23849" spans="18:18" s="2" customFormat="1" ht="12.75" x14ac:dyDescent="0.2">
      <c r="R23849" s="1288"/>
    </row>
    <row r="23850" spans="18:18" s="2" customFormat="1" ht="12.75" x14ac:dyDescent="0.2">
      <c r="R23850" s="1288"/>
    </row>
    <row r="23851" spans="18:18" s="2" customFormat="1" ht="12.75" x14ac:dyDescent="0.2">
      <c r="R23851" s="1288"/>
    </row>
    <row r="23852" spans="18:18" s="2" customFormat="1" ht="12.75" x14ac:dyDescent="0.2">
      <c r="R23852" s="1288"/>
    </row>
    <row r="23853" spans="18:18" s="2" customFormat="1" ht="12.75" x14ac:dyDescent="0.2">
      <c r="R23853" s="1288"/>
    </row>
    <row r="23854" spans="18:18" s="2" customFormat="1" ht="12.75" x14ac:dyDescent="0.2">
      <c r="R23854" s="1288"/>
    </row>
    <row r="23855" spans="18:18" s="2" customFormat="1" ht="12.75" x14ac:dyDescent="0.2">
      <c r="R23855" s="1288"/>
    </row>
    <row r="23856" spans="18:18" s="2" customFormat="1" ht="12.75" x14ac:dyDescent="0.2">
      <c r="R23856" s="1288"/>
    </row>
    <row r="23857" spans="18:18" s="2" customFormat="1" ht="12.75" x14ac:dyDescent="0.2">
      <c r="R23857" s="1288"/>
    </row>
    <row r="23858" spans="18:18" s="2" customFormat="1" ht="12.75" x14ac:dyDescent="0.2">
      <c r="R23858" s="1288"/>
    </row>
    <row r="23859" spans="18:18" s="2" customFormat="1" ht="12.75" x14ac:dyDescent="0.2">
      <c r="R23859" s="1288"/>
    </row>
    <row r="23860" spans="18:18" s="2" customFormat="1" ht="12.75" x14ac:dyDescent="0.2">
      <c r="R23860" s="1288"/>
    </row>
    <row r="23861" spans="18:18" s="2" customFormat="1" ht="12.75" x14ac:dyDescent="0.2">
      <c r="R23861" s="1288"/>
    </row>
    <row r="23862" spans="18:18" s="2" customFormat="1" ht="12.75" x14ac:dyDescent="0.2">
      <c r="R23862" s="1288"/>
    </row>
    <row r="23863" spans="18:18" s="2" customFormat="1" ht="12.75" x14ac:dyDescent="0.2">
      <c r="R23863" s="1288"/>
    </row>
    <row r="23864" spans="18:18" s="2" customFormat="1" ht="12.75" x14ac:dyDescent="0.2">
      <c r="R23864" s="1288"/>
    </row>
    <row r="23865" spans="18:18" s="2" customFormat="1" ht="12.75" x14ac:dyDescent="0.2">
      <c r="R23865" s="1288"/>
    </row>
    <row r="23866" spans="18:18" s="2" customFormat="1" ht="12.75" x14ac:dyDescent="0.2">
      <c r="R23866" s="1288"/>
    </row>
    <row r="23867" spans="18:18" s="2" customFormat="1" ht="12.75" x14ac:dyDescent="0.2">
      <c r="R23867" s="1288"/>
    </row>
    <row r="23868" spans="18:18" s="2" customFormat="1" ht="12.75" x14ac:dyDescent="0.2">
      <c r="R23868" s="1288"/>
    </row>
    <row r="23869" spans="18:18" s="2" customFormat="1" ht="12.75" x14ac:dyDescent="0.2">
      <c r="R23869" s="1288"/>
    </row>
    <row r="23870" spans="18:18" s="2" customFormat="1" ht="12.75" x14ac:dyDescent="0.2">
      <c r="R23870" s="1288"/>
    </row>
    <row r="23871" spans="18:18" s="2" customFormat="1" ht="12.75" x14ac:dyDescent="0.2">
      <c r="R23871" s="1288"/>
    </row>
    <row r="23872" spans="18:18" s="2" customFormat="1" ht="12.75" x14ac:dyDescent="0.2">
      <c r="R23872" s="1288"/>
    </row>
    <row r="23873" spans="18:18" s="2" customFormat="1" ht="12.75" x14ac:dyDescent="0.2">
      <c r="R23873" s="1288"/>
    </row>
    <row r="23874" spans="18:18" s="2" customFormat="1" ht="12.75" x14ac:dyDescent="0.2">
      <c r="R23874" s="1288"/>
    </row>
    <row r="23875" spans="18:18" s="2" customFormat="1" ht="12.75" x14ac:dyDescent="0.2">
      <c r="R23875" s="1288"/>
    </row>
    <row r="23876" spans="18:18" s="2" customFormat="1" ht="12.75" x14ac:dyDescent="0.2">
      <c r="R23876" s="1288"/>
    </row>
    <row r="23877" spans="18:18" s="2" customFormat="1" ht="12.75" x14ac:dyDescent="0.2">
      <c r="R23877" s="1288"/>
    </row>
    <row r="23878" spans="18:18" s="2" customFormat="1" ht="12.75" x14ac:dyDescent="0.2">
      <c r="R23878" s="1288"/>
    </row>
    <row r="23879" spans="18:18" s="2" customFormat="1" ht="12.75" x14ac:dyDescent="0.2">
      <c r="R23879" s="1288"/>
    </row>
    <row r="23880" spans="18:18" s="2" customFormat="1" ht="12.75" x14ac:dyDescent="0.2">
      <c r="R23880" s="1288"/>
    </row>
    <row r="23881" spans="18:18" s="2" customFormat="1" ht="12.75" x14ac:dyDescent="0.2">
      <c r="R23881" s="1288"/>
    </row>
    <row r="23882" spans="18:18" s="2" customFormat="1" ht="12.75" x14ac:dyDescent="0.2">
      <c r="R23882" s="1288"/>
    </row>
    <row r="23883" spans="18:18" s="2" customFormat="1" ht="12.75" x14ac:dyDescent="0.2">
      <c r="R23883" s="1288"/>
    </row>
    <row r="23884" spans="18:18" s="2" customFormat="1" ht="12.75" x14ac:dyDescent="0.2">
      <c r="R23884" s="1288"/>
    </row>
    <row r="23885" spans="18:18" s="2" customFormat="1" ht="12.75" x14ac:dyDescent="0.2">
      <c r="R23885" s="1288"/>
    </row>
    <row r="23886" spans="18:18" s="2" customFormat="1" ht="12.75" x14ac:dyDescent="0.2">
      <c r="R23886" s="1288"/>
    </row>
    <row r="23887" spans="18:18" s="2" customFormat="1" ht="12.75" x14ac:dyDescent="0.2">
      <c r="R23887" s="1288"/>
    </row>
    <row r="23888" spans="18:18" s="2" customFormat="1" ht="12.75" x14ac:dyDescent="0.2">
      <c r="R23888" s="1288"/>
    </row>
    <row r="23889" spans="18:18" s="2" customFormat="1" ht="12.75" x14ac:dyDescent="0.2">
      <c r="R23889" s="1288"/>
    </row>
    <row r="23890" spans="18:18" s="2" customFormat="1" ht="12.75" x14ac:dyDescent="0.2">
      <c r="R23890" s="1288"/>
    </row>
    <row r="23891" spans="18:18" s="2" customFormat="1" ht="12.75" x14ac:dyDescent="0.2">
      <c r="R23891" s="1288"/>
    </row>
    <row r="23892" spans="18:18" s="2" customFormat="1" ht="12.75" x14ac:dyDescent="0.2">
      <c r="R23892" s="1288"/>
    </row>
    <row r="23893" spans="18:18" s="2" customFormat="1" ht="12.75" x14ac:dyDescent="0.2">
      <c r="R23893" s="1288"/>
    </row>
    <row r="23894" spans="18:18" s="2" customFormat="1" ht="12.75" x14ac:dyDescent="0.2">
      <c r="R23894" s="1288"/>
    </row>
    <row r="23895" spans="18:18" s="2" customFormat="1" ht="12.75" x14ac:dyDescent="0.2">
      <c r="R23895" s="1288"/>
    </row>
    <row r="23896" spans="18:18" s="2" customFormat="1" ht="12.75" x14ac:dyDescent="0.2">
      <c r="R23896" s="1288"/>
    </row>
    <row r="23897" spans="18:18" s="2" customFormat="1" ht="12.75" x14ac:dyDescent="0.2">
      <c r="R23897" s="1288"/>
    </row>
    <row r="23898" spans="18:18" s="2" customFormat="1" ht="12.75" x14ac:dyDescent="0.2">
      <c r="R23898" s="1288"/>
    </row>
    <row r="23899" spans="18:18" s="2" customFormat="1" ht="12.75" x14ac:dyDescent="0.2">
      <c r="R23899" s="1288"/>
    </row>
    <row r="23900" spans="18:18" s="2" customFormat="1" ht="12.75" x14ac:dyDescent="0.2">
      <c r="R23900" s="1288"/>
    </row>
    <row r="23901" spans="18:18" s="2" customFormat="1" ht="12.75" x14ac:dyDescent="0.2">
      <c r="R23901" s="1288"/>
    </row>
    <row r="23902" spans="18:18" s="2" customFormat="1" ht="12.75" x14ac:dyDescent="0.2">
      <c r="R23902" s="1288"/>
    </row>
    <row r="23903" spans="18:18" s="2" customFormat="1" ht="12.75" x14ac:dyDescent="0.2">
      <c r="R23903" s="1288"/>
    </row>
    <row r="23904" spans="18:18" s="2" customFormat="1" ht="12.75" x14ac:dyDescent="0.2">
      <c r="R23904" s="1288"/>
    </row>
    <row r="23905" spans="18:18" s="2" customFormat="1" ht="12.75" x14ac:dyDescent="0.2">
      <c r="R23905" s="1288"/>
    </row>
    <row r="23906" spans="18:18" s="2" customFormat="1" ht="12.75" x14ac:dyDescent="0.2">
      <c r="R23906" s="1288"/>
    </row>
    <row r="23907" spans="18:18" s="2" customFormat="1" ht="12.75" x14ac:dyDescent="0.2">
      <c r="R23907" s="1288"/>
    </row>
    <row r="23908" spans="18:18" s="2" customFormat="1" ht="12.75" x14ac:dyDescent="0.2">
      <c r="R23908" s="1288"/>
    </row>
    <row r="23909" spans="18:18" s="2" customFormat="1" ht="12.75" x14ac:dyDescent="0.2">
      <c r="R23909" s="1288"/>
    </row>
    <row r="23910" spans="18:18" s="2" customFormat="1" ht="12.75" x14ac:dyDescent="0.2">
      <c r="R23910" s="1288"/>
    </row>
    <row r="23911" spans="18:18" s="2" customFormat="1" ht="12.75" x14ac:dyDescent="0.2">
      <c r="R23911" s="1288"/>
    </row>
    <row r="23912" spans="18:18" s="2" customFormat="1" ht="12.75" x14ac:dyDescent="0.2">
      <c r="R23912" s="1288"/>
    </row>
    <row r="23913" spans="18:18" s="2" customFormat="1" ht="12.75" x14ac:dyDescent="0.2">
      <c r="R23913" s="1288"/>
    </row>
    <row r="23914" spans="18:18" s="2" customFormat="1" ht="12.75" x14ac:dyDescent="0.2">
      <c r="R23914" s="1288"/>
    </row>
    <row r="23915" spans="18:18" s="2" customFormat="1" ht="12.75" x14ac:dyDescent="0.2">
      <c r="R23915" s="1288"/>
    </row>
    <row r="23916" spans="18:18" s="2" customFormat="1" ht="12.75" x14ac:dyDescent="0.2">
      <c r="R23916" s="1288"/>
    </row>
    <row r="23917" spans="18:18" s="2" customFormat="1" ht="12.75" x14ac:dyDescent="0.2">
      <c r="R23917" s="1288"/>
    </row>
    <row r="23918" spans="18:18" s="2" customFormat="1" ht="12.75" x14ac:dyDescent="0.2">
      <c r="R23918" s="1288"/>
    </row>
    <row r="23919" spans="18:18" s="2" customFormat="1" ht="12.75" x14ac:dyDescent="0.2">
      <c r="R23919" s="1288"/>
    </row>
    <row r="23920" spans="18:18" s="2" customFormat="1" ht="12.75" x14ac:dyDescent="0.2">
      <c r="R23920" s="1288"/>
    </row>
    <row r="23921" spans="18:18" s="2" customFormat="1" ht="12.75" x14ac:dyDescent="0.2">
      <c r="R23921" s="1288"/>
    </row>
    <row r="23922" spans="18:18" s="2" customFormat="1" ht="12.75" x14ac:dyDescent="0.2">
      <c r="R23922" s="1288"/>
    </row>
    <row r="23923" spans="18:18" s="2" customFormat="1" ht="12.75" x14ac:dyDescent="0.2">
      <c r="R23923" s="1288"/>
    </row>
    <row r="23924" spans="18:18" s="2" customFormat="1" ht="12.75" x14ac:dyDescent="0.2">
      <c r="R23924" s="1288"/>
    </row>
    <row r="23925" spans="18:18" s="2" customFormat="1" ht="12.75" x14ac:dyDescent="0.2">
      <c r="R23925" s="1288"/>
    </row>
    <row r="23926" spans="18:18" s="2" customFormat="1" ht="12.75" x14ac:dyDescent="0.2">
      <c r="R23926" s="1288"/>
    </row>
    <row r="23927" spans="18:18" s="2" customFormat="1" ht="12.75" x14ac:dyDescent="0.2">
      <c r="R23927" s="1288"/>
    </row>
    <row r="23928" spans="18:18" s="2" customFormat="1" ht="12.75" x14ac:dyDescent="0.2">
      <c r="R23928" s="1288"/>
    </row>
    <row r="23929" spans="18:18" s="2" customFormat="1" ht="12.75" x14ac:dyDescent="0.2">
      <c r="R23929" s="1288"/>
    </row>
    <row r="23930" spans="18:18" s="2" customFormat="1" ht="12.75" x14ac:dyDescent="0.2">
      <c r="R23930" s="1288"/>
    </row>
    <row r="23931" spans="18:18" s="2" customFormat="1" ht="12.75" x14ac:dyDescent="0.2">
      <c r="R23931" s="1288"/>
    </row>
    <row r="23932" spans="18:18" s="2" customFormat="1" ht="12.75" x14ac:dyDescent="0.2">
      <c r="R23932" s="1288"/>
    </row>
    <row r="23933" spans="18:18" s="2" customFormat="1" ht="12.75" x14ac:dyDescent="0.2">
      <c r="R23933" s="1288"/>
    </row>
    <row r="23934" spans="18:18" s="2" customFormat="1" ht="12.75" x14ac:dyDescent="0.2">
      <c r="R23934" s="1288"/>
    </row>
    <row r="23935" spans="18:18" s="2" customFormat="1" ht="12.75" x14ac:dyDescent="0.2">
      <c r="R23935" s="1288"/>
    </row>
    <row r="23936" spans="18:18" s="2" customFormat="1" ht="12.75" x14ac:dyDescent="0.2">
      <c r="R23936" s="1288"/>
    </row>
    <row r="23937" spans="18:18" s="2" customFormat="1" ht="12.75" x14ac:dyDescent="0.2">
      <c r="R23937" s="1288"/>
    </row>
    <row r="23938" spans="18:18" s="2" customFormat="1" ht="12.75" x14ac:dyDescent="0.2">
      <c r="R23938" s="1288"/>
    </row>
    <row r="23939" spans="18:18" s="2" customFormat="1" ht="12.75" x14ac:dyDescent="0.2">
      <c r="R23939" s="1288"/>
    </row>
    <row r="23940" spans="18:18" s="2" customFormat="1" ht="12.75" x14ac:dyDescent="0.2">
      <c r="R23940" s="1288"/>
    </row>
    <row r="23941" spans="18:18" s="2" customFormat="1" ht="12.75" x14ac:dyDescent="0.2">
      <c r="R23941" s="1288"/>
    </row>
    <row r="23942" spans="18:18" s="2" customFormat="1" ht="12.75" x14ac:dyDescent="0.2">
      <c r="R23942" s="1288"/>
    </row>
    <row r="23943" spans="18:18" s="2" customFormat="1" ht="12.75" x14ac:dyDescent="0.2">
      <c r="R23943" s="1288"/>
    </row>
    <row r="23944" spans="18:18" s="2" customFormat="1" ht="12.75" x14ac:dyDescent="0.2">
      <c r="R23944" s="1288"/>
    </row>
    <row r="23945" spans="18:18" s="2" customFormat="1" ht="12.75" x14ac:dyDescent="0.2">
      <c r="R23945" s="1288"/>
    </row>
    <row r="23946" spans="18:18" s="2" customFormat="1" ht="12.75" x14ac:dyDescent="0.2">
      <c r="R23946" s="1288"/>
    </row>
    <row r="23947" spans="18:18" s="2" customFormat="1" ht="12.75" x14ac:dyDescent="0.2">
      <c r="R23947" s="1288"/>
    </row>
    <row r="23948" spans="18:18" s="2" customFormat="1" ht="12.75" x14ac:dyDescent="0.2">
      <c r="R23948" s="1288"/>
    </row>
    <row r="23949" spans="18:18" s="2" customFormat="1" ht="12.75" x14ac:dyDescent="0.2">
      <c r="R23949" s="1288"/>
    </row>
    <row r="23950" spans="18:18" s="2" customFormat="1" ht="12.75" x14ac:dyDescent="0.2">
      <c r="R23950" s="1288"/>
    </row>
    <row r="23951" spans="18:18" s="2" customFormat="1" ht="12.75" x14ac:dyDescent="0.2">
      <c r="R23951" s="1288"/>
    </row>
    <row r="23952" spans="18:18" s="2" customFormat="1" ht="12.75" x14ac:dyDescent="0.2">
      <c r="R23952" s="1288"/>
    </row>
    <row r="23953" spans="18:18" s="2" customFormat="1" ht="12.75" x14ac:dyDescent="0.2">
      <c r="R23953" s="1288"/>
    </row>
    <row r="23954" spans="18:18" s="2" customFormat="1" ht="12.75" x14ac:dyDescent="0.2">
      <c r="R23954" s="1288"/>
    </row>
    <row r="23955" spans="18:18" s="2" customFormat="1" ht="12.75" x14ac:dyDescent="0.2">
      <c r="R23955" s="1288"/>
    </row>
    <row r="23956" spans="18:18" s="2" customFormat="1" ht="12.75" x14ac:dyDescent="0.2">
      <c r="R23956" s="1288"/>
    </row>
    <row r="23957" spans="18:18" s="2" customFormat="1" ht="12.75" x14ac:dyDescent="0.2">
      <c r="R23957" s="1288"/>
    </row>
    <row r="23958" spans="18:18" s="2" customFormat="1" ht="12.75" x14ac:dyDescent="0.2">
      <c r="R23958" s="1288"/>
    </row>
    <row r="23959" spans="18:18" s="2" customFormat="1" ht="12.75" x14ac:dyDescent="0.2">
      <c r="R23959" s="1288"/>
    </row>
    <row r="23960" spans="18:18" s="2" customFormat="1" ht="12.75" x14ac:dyDescent="0.2">
      <c r="R23960" s="1288"/>
    </row>
    <row r="23961" spans="18:18" s="2" customFormat="1" ht="12.75" x14ac:dyDescent="0.2">
      <c r="R23961" s="1288"/>
    </row>
    <row r="23962" spans="18:18" s="2" customFormat="1" ht="12.75" x14ac:dyDescent="0.2">
      <c r="R23962" s="1288"/>
    </row>
    <row r="23963" spans="18:18" s="2" customFormat="1" ht="12.75" x14ac:dyDescent="0.2">
      <c r="R23963" s="1288"/>
    </row>
    <row r="23964" spans="18:18" s="2" customFormat="1" ht="12.75" x14ac:dyDescent="0.2">
      <c r="R23964" s="1288"/>
    </row>
    <row r="23965" spans="18:18" s="2" customFormat="1" ht="12.75" x14ac:dyDescent="0.2">
      <c r="R23965" s="1288"/>
    </row>
    <row r="23966" spans="18:18" s="2" customFormat="1" ht="12.75" x14ac:dyDescent="0.2">
      <c r="R23966" s="1288"/>
    </row>
    <row r="23967" spans="18:18" s="2" customFormat="1" ht="12.75" x14ac:dyDescent="0.2">
      <c r="R23967" s="1288"/>
    </row>
    <row r="23968" spans="18:18" s="2" customFormat="1" ht="12.75" x14ac:dyDescent="0.2">
      <c r="R23968" s="1288"/>
    </row>
    <row r="23969" spans="18:18" s="2" customFormat="1" ht="12.75" x14ac:dyDescent="0.2">
      <c r="R23969" s="1288"/>
    </row>
    <row r="23970" spans="18:18" s="2" customFormat="1" ht="12.75" x14ac:dyDescent="0.2">
      <c r="R23970" s="1288"/>
    </row>
    <row r="23971" spans="18:18" s="2" customFormat="1" ht="12.75" x14ac:dyDescent="0.2">
      <c r="R23971" s="1288"/>
    </row>
    <row r="23972" spans="18:18" s="2" customFormat="1" ht="12.75" x14ac:dyDescent="0.2">
      <c r="R23972" s="1288"/>
    </row>
    <row r="23973" spans="18:18" s="2" customFormat="1" ht="12.75" x14ac:dyDescent="0.2">
      <c r="R23973" s="1288"/>
    </row>
    <row r="23974" spans="18:18" s="2" customFormat="1" ht="12.75" x14ac:dyDescent="0.2">
      <c r="R23974" s="1288"/>
    </row>
    <row r="23975" spans="18:18" s="2" customFormat="1" ht="12.75" x14ac:dyDescent="0.2">
      <c r="R23975" s="1288"/>
    </row>
    <row r="23976" spans="18:18" s="2" customFormat="1" ht="12.75" x14ac:dyDescent="0.2">
      <c r="R23976" s="1288"/>
    </row>
    <row r="23977" spans="18:18" s="2" customFormat="1" ht="12.75" x14ac:dyDescent="0.2">
      <c r="R23977" s="1288"/>
    </row>
    <row r="23978" spans="18:18" s="2" customFormat="1" ht="12.75" x14ac:dyDescent="0.2">
      <c r="R23978" s="1288"/>
    </row>
    <row r="23979" spans="18:18" s="2" customFormat="1" ht="12.75" x14ac:dyDescent="0.2">
      <c r="R23979" s="1288"/>
    </row>
    <row r="23980" spans="18:18" s="2" customFormat="1" ht="12.75" x14ac:dyDescent="0.2">
      <c r="R23980" s="1288"/>
    </row>
    <row r="23981" spans="18:18" s="2" customFormat="1" ht="12.75" x14ac:dyDescent="0.2">
      <c r="R23981" s="1288"/>
    </row>
    <row r="23982" spans="18:18" s="2" customFormat="1" ht="12.75" x14ac:dyDescent="0.2">
      <c r="R23982" s="1288"/>
    </row>
    <row r="23983" spans="18:18" s="2" customFormat="1" ht="12.75" x14ac:dyDescent="0.2">
      <c r="R23983" s="1288"/>
    </row>
    <row r="23984" spans="18:18" s="2" customFormat="1" ht="12.75" x14ac:dyDescent="0.2">
      <c r="R23984" s="1288"/>
    </row>
    <row r="23985" spans="18:18" s="2" customFormat="1" ht="12.75" x14ac:dyDescent="0.2">
      <c r="R23985" s="1288"/>
    </row>
    <row r="23986" spans="18:18" s="2" customFormat="1" ht="12.75" x14ac:dyDescent="0.2">
      <c r="R23986" s="1288"/>
    </row>
    <row r="23987" spans="18:18" s="2" customFormat="1" ht="12.75" x14ac:dyDescent="0.2">
      <c r="R23987" s="1288"/>
    </row>
    <row r="23988" spans="18:18" s="2" customFormat="1" ht="12.75" x14ac:dyDescent="0.2">
      <c r="R23988" s="1288"/>
    </row>
    <row r="23989" spans="18:18" s="2" customFormat="1" ht="12.75" x14ac:dyDescent="0.2">
      <c r="R23989" s="1288"/>
    </row>
    <row r="23990" spans="18:18" s="2" customFormat="1" ht="12.75" x14ac:dyDescent="0.2">
      <c r="R23990" s="1288"/>
    </row>
    <row r="23991" spans="18:18" s="2" customFormat="1" ht="12.75" x14ac:dyDescent="0.2">
      <c r="R23991" s="1288"/>
    </row>
    <row r="23992" spans="18:18" s="2" customFormat="1" ht="12.75" x14ac:dyDescent="0.2">
      <c r="R23992" s="1288"/>
    </row>
    <row r="23993" spans="18:18" s="2" customFormat="1" ht="12.75" x14ac:dyDescent="0.2">
      <c r="R23993" s="1288"/>
    </row>
    <row r="23994" spans="18:18" s="2" customFormat="1" ht="12.75" x14ac:dyDescent="0.2">
      <c r="R23994" s="1288"/>
    </row>
    <row r="23995" spans="18:18" s="2" customFormat="1" ht="12.75" x14ac:dyDescent="0.2">
      <c r="R23995" s="1288"/>
    </row>
    <row r="23996" spans="18:18" s="2" customFormat="1" ht="12.75" x14ac:dyDescent="0.2">
      <c r="R23996" s="1288"/>
    </row>
    <row r="23997" spans="18:18" s="2" customFormat="1" ht="12.75" x14ac:dyDescent="0.2">
      <c r="R23997" s="1288"/>
    </row>
    <row r="23998" spans="18:18" s="2" customFormat="1" ht="12.75" x14ac:dyDescent="0.2">
      <c r="R23998" s="1288"/>
    </row>
    <row r="23999" spans="18:18" s="2" customFormat="1" ht="12.75" x14ac:dyDescent="0.2">
      <c r="R23999" s="1288"/>
    </row>
    <row r="24000" spans="18:18" s="2" customFormat="1" ht="12.75" x14ac:dyDescent="0.2">
      <c r="R24000" s="1288"/>
    </row>
    <row r="24001" spans="18:18" s="2" customFormat="1" ht="12.75" x14ac:dyDescent="0.2">
      <c r="R24001" s="1288"/>
    </row>
    <row r="24002" spans="18:18" s="2" customFormat="1" ht="12.75" x14ac:dyDescent="0.2">
      <c r="R24002" s="1288"/>
    </row>
    <row r="24003" spans="18:18" s="2" customFormat="1" ht="12.75" x14ac:dyDescent="0.2">
      <c r="R24003" s="1288"/>
    </row>
    <row r="24004" spans="18:18" s="2" customFormat="1" ht="12.75" x14ac:dyDescent="0.2">
      <c r="R24004" s="1288"/>
    </row>
    <row r="24005" spans="18:18" s="2" customFormat="1" ht="12.75" x14ac:dyDescent="0.2">
      <c r="R24005" s="1288"/>
    </row>
    <row r="24006" spans="18:18" s="2" customFormat="1" ht="12.75" x14ac:dyDescent="0.2">
      <c r="R24006" s="1288"/>
    </row>
    <row r="24007" spans="18:18" s="2" customFormat="1" ht="12.75" x14ac:dyDescent="0.2">
      <c r="R24007" s="1288"/>
    </row>
    <row r="24008" spans="18:18" s="2" customFormat="1" ht="12.75" x14ac:dyDescent="0.2">
      <c r="R24008" s="1288"/>
    </row>
    <row r="24009" spans="18:18" s="2" customFormat="1" ht="12.75" x14ac:dyDescent="0.2">
      <c r="R24009" s="1288"/>
    </row>
    <row r="24010" spans="18:18" s="2" customFormat="1" ht="12.75" x14ac:dyDescent="0.2">
      <c r="R24010" s="1288"/>
    </row>
    <row r="24011" spans="18:18" s="2" customFormat="1" ht="12.75" x14ac:dyDescent="0.2">
      <c r="R24011" s="1288"/>
    </row>
    <row r="24012" spans="18:18" s="2" customFormat="1" ht="12.75" x14ac:dyDescent="0.2">
      <c r="R24012" s="1288"/>
    </row>
    <row r="24013" spans="18:18" s="2" customFormat="1" ht="12.75" x14ac:dyDescent="0.2">
      <c r="R24013" s="1288"/>
    </row>
    <row r="24014" spans="18:18" s="2" customFormat="1" ht="12.75" x14ac:dyDescent="0.2">
      <c r="R24014" s="1288"/>
    </row>
    <row r="24015" spans="18:18" s="2" customFormat="1" ht="12.75" x14ac:dyDescent="0.2">
      <c r="R24015" s="1288"/>
    </row>
    <row r="24016" spans="18:18" s="2" customFormat="1" ht="12.75" x14ac:dyDescent="0.2">
      <c r="R24016" s="1288"/>
    </row>
    <row r="24017" spans="18:18" s="2" customFormat="1" ht="12.75" x14ac:dyDescent="0.2">
      <c r="R24017" s="1288"/>
    </row>
    <row r="24018" spans="18:18" s="2" customFormat="1" ht="12.75" x14ac:dyDescent="0.2">
      <c r="R24018" s="1288"/>
    </row>
    <row r="24019" spans="18:18" s="2" customFormat="1" ht="12.75" x14ac:dyDescent="0.2">
      <c r="R24019" s="1288"/>
    </row>
    <row r="24020" spans="18:18" s="2" customFormat="1" ht="12.75" x14ac:dyDescent="0.2">
      <c r="R24020" s="1288"/>
    </row>
    <row r="24021" spans="18:18" s="2" customFormat="1" ht="12.75" x14ac:dyDescent="0.2">
      <c r="R24021" s="1288"/>
    </row>
    <row r="24022" spans="18:18" s="2" customFormat="1" ht="12.75" x14ac:dyDescent="0.2">
      <c r="R24022" s="1288"/>
    </row>
    <row r="24023" spans="18:18" s="2" customFormat="1" ht="12.75" x14ac:dyDescent="0.2">
      <c r="R24023" s="1288"/>
    </row>
    <row r="24024" spans="18:18" s="2" customFormat="1" ht="12.75" x14ac:dyDescent="0.2">
      <c r="R24024" s="1288"/>
    </row>
    <row r="24025" spans="18:18" s="2" customFormat="1" ht="12.75" x14ac:dyDescent="0.2">
      <c r="R24025" s="1288"/>
    </row>
    <row r="24026" spans="18:18" s="2" customFormat="1" ht="12.75" x14ac:dyDescent="0.2">
      <c r="R24026" s="1288"/>
    </row>
    <row r="24027" spans="18:18" s="2" customFormat="1" ht="12.75" x14ac:dyDescent="0.2">
      <c r="R24027" s="1288"/>
    </row>
    <row r="24028" spans="18:18" s="2" customFormat="1" ht="12.75" x14ac:dyDescent="0.2">
      <c r="R24028" s="1288"/>
    </row>
    <row r="24029" spans="18:18" s="2" customFormat="1" ht="12.75" x14ac:dyDescent="0.2">
      <c r="R24029" s="1288"/>
    </row>
    <row r="24030" spans="18:18" s="2" customFormat="1" ht="12.75" x14ac:dyDescent="0.2">
      <c r="R24030" s="1288"/>
    </row>
    <row r="24031" spans="18:18" s="2" customFormat="1" ht="12.75" x14ac:dyDescent="0.2">
      <c r="R24031" s="1288"/>
    </row>
    <row r="24032" spans="18:18" s="2" customFormat="1" ht="12.75" x14ac:dyDescent="0.2">
      <c r="R24032" s="1288"/>
    </row>
    <row r="24033" spans="18:18" s="2" customFormat="1" ht="12.75" x14ac:dyDescent="0.2">
      <c r="R24033" s="1288"/>
    </row>
    <row r="24034" spans="18:18" s="2" customFormat="1" ht="12.75" x14ac:dyDescent="0.2">
      <c r="R24034" s="1288"/>
    </row>
    <row r="24035" spans="18:18" s="2" customFormat="1" ht="12.75" x14ac:dyDescent="0.2">
      <c r="R24035" s="1288"/>
    </row>
    <row r="24036" spans="18:18" s="2" customFormat="1" ht="12.75" x14ac:dyDescent="0.2">
      <c r="R24036" s="1288"/>
    </row>
    <row r="24037" spans="18:18" s="2" customFormat="1" ht="12.75" x14ac:dyDescent="0.2">
      <c r="R24037" s="1288"/>
    </row>
    <row r="24038" spans="18:18" s="2" customFormat="1" ht="12.75" x14ac:dyDescent="0.2">
      <c r="R24038" s="1288"/>
    </row>
    <row r="24039" spans="18:18" s="2" customFormat="1" ht="12.75" x14ac:dyDescent="0.2">
      <c r="R24039" s="1288"/>
    </row>
    <row r="24040" spans="18:18" s="2" customFormat="1" ht="12.75" x14ac:dyDescent="0.2">
      <c r="R24040" s="1288"/>
    </row>
    <row r="24041" spans="18:18" s="2" customFormat="1" ht="12.75" x14ac:dyDescent="0.2">
      <c r="R24041" s="1288"/>
    </row>
    <row r="24042" spans="18:18" s="2" customFormat="1" ht="12.75" x14ac:dyDescent="0.2">
      <c r="R24042" s="1288"/>
    </row>
    <row r="24043" spans="18:18" s="2" customFormat="1" ht="12.75" x14ac:dyDescent="0.2">
      <c r="R24043" s="1288"/>
    </row>
    <row r="24044" spans="18:18" s="2" customFormat="1" ht="12.75" x14ac:dyDescent="0.2">
      <c r="R24044" s="1288"/>
    </row>
    <row r="24045" spans="18:18" s="2" customFormat="1" ht="12.75" x14ac:dyDescent="0.2">
      <c r="R24045" s="1288"/>
    </row>
    <row r="24046" spans="18:18" s="2" customFormat="1" ht="12.75" x14ac:dyDescent="0.2">
      <c r="R24046" s="1288"/>
    </row>
    <row r="24047" spans="18:18" s="2" customFormat="1" ht="12.75" x14ac:dyDescent="0.2">
      <c r="R24047" s="1288"/>
    </row>
    <row r="24048" spans="18:18" s="2" customFormat="1" ht="12.75" x14ac:dyDescent="0.2">
      <c r="R24048" s="1288"/>
    </row>
    <row r="24049" spans="18:18" s="2" customFormat="1" ht="12.75" x14ac:dyDescent="0.2">
      <c r="R24049" s="1288"/>
    </row>
    <row r="24050" spans="18:18" s="2" customFormat="1" ht="12.75" x14ac:dyDescent="0.2">
      <c r="R24050" s="1288"/>
    </row>
    <row r="24051" spans="18:18" s="2" customFormat="1" ht="12.75" x14ac:dyDescent="0.2">
      <c r="R24051" s="1288"/>
    </row>
    <row r="24052" spans="18:18" s="2" customFormat="1" ht="12.75" x14ac:dyDescent="0.2">
      <c r="R24052" s="1288"/>
    </row>
    <row r="24053" spans="18:18" s="2" customFormat="1" ht="12.75" x14ac:dyDescent="0.2">
      <c r="R24053" s="1288"/>
    </row>
    <row r="24054" spans="18:18" s="2" customFormat="1" ht="12.75" x14ac:dyDescent="0.2">
      <c r="R24054" s="1288"/>
    </row>
    <row r="24055" spans="18:18" s="2" customFormat="1" ht="12.75" x14ac:dyDescent="0.2">
      <c r="R24055" s="1288"/>
    </row>
    <row r="24056" spans="18:18" s="2" customFormat="1" ht="12.75" x14ac:dyDescent="0.2">
      <c r="R24056" s="1288"/>
    </row>
    <row r="24057" spans="18:18" s="2" customFormat="1" ht="12.75" x14ac:dyDescent="0.2">
      <c r="R24057" s="1288"/>
    </row>
    <row r="24058" spans="18:18" s="2" customFormat="1" ht="12.75" x14ac:dyDescent="0.2">
      <c r="R24058" s="1288"/>
    </row>
    <row r="24059" spans="18:18" s="2" customFormat="1" ht="12.75" x14ac:dyDescent="0.2">
      <c r="R24059" s="1288"/>
    </row>
    <row r="24060" spans="18:18" s="2" customFormat="1" ht="12.75" x14ac:dyDescent="0.2">
      <c r="R24060" s="1288"/>
    </row>
    <row r="24061" spans="18:18" s="2" customFormat="1" ht="12.75" x14ac:dyDescent="0.2">
      <c r="R24061" s="1288"/>
    </row>
    <row r="24062" spans="18:18" s="2" customFormat="1" ht="12.75" x14ac:dyDescent="0.2">
      <c r="R24062" s="1288"/>
    </row>
    <row r="24063" spans="18:18" s="2" customFormat="1" ht="12.75" x14ac:dyDescent="0.2">
      <c r="R24063" s="1288"/>
    </row>
    <row r="24064" spans="18:18" s="2" customFormat="1" ht="12.75" x14ac:dyDescent="0.2">
      <c r="R24064" s="1288"/>
    </row>
    <row r="24065" spans="18:18" s="2" customFormat="1" ht="12.75" x14ac:dyDescent="0.2">
      <c r="R24065" s="1288"/>
    </row>
    <row r="24066" spans="18:18" s="2" customFormat="1" ht="12.75" x14ac:dyDescent="0.2">
      <c r="R24066" s="1288"/>
    </row>
    <row r="24067" spans="18:18" s="2" customFormat="1" ht="12.75" x14ac:dyDescent="0.2">
      <c r="R24067" s="1288"/>
    </row>
    <row r="24068" spans="18:18" s="2" customFormat="1" ht="12.75" x14ac:dyDescent="0.2">
      <c r="R24068" s="1288"/>
    </row>
    <row r="24069" spans="18:18" s="2" customFormat="1" ht="12.75" x14ac:dyDescent="0.2">
      <c r="R24069" s="1288"/>
    </row>
    <row r="24070" spans="18:18" s="2" customFormat="1" ht="12.75" x14ac:dyDescent="0.2">
      <c r="R24070" s="1288"/>
    </row>
    <row r="24071" spans="18:18" s="2" customFormat="1" ht="12.75" x14ac:dyDescent="0.2">
      <c r="R24071" s="1288"/>
    </row>
    <row r="24072" spans="18:18" s="2" customFormat="1" ht="12.75" x14ac:dyDescent="0.2">
      <c r="R24072" s="1288"/>
    </row>
    <row r="24073" spans="18:18" s="2" customFormat="1" ht="12.75" x14ac:dyDescent="0.2">
      <c r="R24073" s="1288"/>
    </row>
    <row r="24074" spans="18:18" s="2" customFormat="1" ht="12.75" x14ac:dyDescent="0.2">
      <c r="R24074" s="1288"/>
    </row>
    <row r="24075" spans="18:18" s="2" customFormat="1" ht="12.75" x14ac:dyDescent="0.2">
      <c r="R24075" s="1288"/>
    </row>
    <row r="24076" spans="18:18" s="2" customFormat="1" ht="12.75" x14ac:dyDescent="0.2">
      <c r="R24076" s="1288"/>
    </row>
    <row r="24077" spans="18:18" s="2" customFormat="1" ht="12.75" x14ac:dyDescent="0.2">
      <c r="R24077" s="1288"/>
    </row>
    <row r="24078" spans="18:18" s="2" customFormat="1" ht="12.75" x14ac:dyDescent="0.2">
      <c r="R24078" s="1288"/>
    </row>
    <row r="24079" spans="18:18" s="2" customFormat="1" ht="12.75" x14ac:dyDescent="0.2">
      <c r="R24079" s="1288"/>
    </row>
    <row r="24080" spans="18:18" s="2" customFormat="1" ht="12.75" x14ac:dyDescent="0.2">
      <c r="R24080" s="1288"/>
    </row>
    <row r="24081" spans="18:18" s="2" customFormat="1" ht="12.75" x14ac:dyDescent="0.2">
      <c r="R24081" s="1288"/>
    </row>
    <row r="24082" spans="18:18" s="2" customFormat="1" ht="12.75" x14ac:dyDescent="0.2">
      <c r="R24082" s="1288"/>
    </row>
    <row r="24083" spans="18:18" s="2" customFormat="1" ht="12.75" x14ac:dyDescent="0.2">
      <c r="R24083" s="1288"/>
    </row>
    <row r="24084" spans="18:18" s="2" customFormat="1" ht="12.75" x14ac:dyDescent="0.2">
      <c r="R24084" s="1288"/>
    </row>
    <row r="24085" spans="18:18" s="2" customFormat="1" ht="12.75" x14ac:dyDescent="0.2">
      <c r="R24085" s="1288"/>
    </row>
    <row r="24086" spans="18:18" s="2" customFormat="1" ht="12.75" x14ac:dyDescent="0.2">
      <c r="R24086" s="1288"/>
    </row>
    <row r="24087" spans="18:18" s="2" customFormat="1" ht="12.75" x14ac:dyDescent="0.2">
      <c r="R24087" s="1288"/>
    </row>
    <row r="24088" spans="18:18" s="2" customFormat="1" ht="12.75" x14ac:dyDescent="0.2">
      <c r="R24088" s="1288"/>
    </row>
    <row r="24089" spans="18:18" s="2" customFormat="1" ht="12.75" x14ac:dyDescent="0.2">
      <c r="R24089" s="1288"/>
    </row>
    <row r="24090" spans="18:18" s="2" customFormat="1" ht="12.75" x14ac:dyDescent="0.2">
      <c r="R24090" s="1288"/>
    </row>
    <row r="24091" spans="18:18" s="2" customFormat="1" ht="12.75" x14ac:dyDescent="0.2">
      <c r="R24091" s="1288"/>
    </row>
    <row r="24092" spans="18:18" s="2" customFormat="1" ht="12.75" x14ac:dyDescent="0.2">
      <c r="R24092" s="1288"/>
    </row>
    <row r="24093" spans="18:18" s="2" customFormat="1" ht="12.75" x14ac:dyDescent="0.2">
      <c r="R24093" s="1288"/>
    </row>
    <row r="24094" spans="18:18" s="2" customFormat="1" ht="12.75" x14ac:dyDescent="0.2">
      <c r="R24094" s="1288"/>
    </row>
    <row r="24095" spans="18:18" s="2" customFormat="1" ht="12.75" x14ac:dyDescent="0.2">
      <c r="R24095" s="1288"/>
    </row>
    <row r="24096" spans="18:18" s="2" customFormat="1" ht="12.75" x14ac:dyDescent="0.2">
      <c r="R24096" s="1288"/>
    </row>
    <row r="24097" spans="18:18" s="2" customFormat="1" ht="12.75" x14ac:dyDescent="0.2">
      <c r="R24097" s="1288"/>
    </row>
    <row r="24098" spans="18:18" s="2" customFormat="1" ht="12.75" x14ac:dyDescent="0.2">
      <c r="R24098" s="1288"/>
    </row>
    <row r="24099" spans="18:18" s="2" customFormat="1" ht="12.75" x14ac:dyDescent="0.2">
      <c r="R24099" s="1288"/>
    </row>
    <row r="24100" spans="18:18" s="2" customFormat="1" ht="12.75" x14ac:dyDescent="0.2">
      <c r="R24100" s="1288"/>
    </row>
    <row r="24101" spans="18:18" s="2" customFormat="1" ht="12.75" x14ac:dyDescent="0.2">
      <c r="R24101" s="1288"/>
    </row>
    <row r="24102" spans="18:18" s="2" customFormat="1" ht="12.75" x14ac:dyDescent="0.2">
      <c r="R24102" s="1288"/>
    </row>
    <row r="24103" spans="18:18" s="2" customFormat="1" ht="12.75" x14ac:dyDescent="0.2">
      <c r="R24103" s="1288"/>
    </row>
    <row r="24104" spans="18:18" s="2" customFormat="1" ht="12.75" x14ac:dyDescent="0.2">
      <c r="R24104" s="1288"/>
    </row>
    <row r="24105" spans="18:18" s="2" customFormat="1" ht="12.75" x14ac:dyDescent="0.2">
      <c r="R24105" s="1288"/>
    </row>
    <row r="24106" spans="18:18" s="2" customFormat="1" ht="12.75" x14ac:dyDescent="0.2">
      <c r="R24106" s="1288"/>
    </row>
    <row r="24107" spans="18:18" s="2" customFormat="1" ht="12.75" x14ac:dyDescent="0.2">
      <c r="R24107" s="1288"/>
    </row>
    <row r="24108" spans="18:18" s="2" customFormat="1" ht="12.75" x14ac:dyDescent="0.2">
      <c r="R24108" s="1288"/>
    </row>
    <row r="24109" spans="18:18" s="2" customFormat="1" ht="12.75" x14ac:dyDescent="0.2">
      <c r="R24109" s="1288"/>
    </row>
    <row r="24110" spans="18:18" s="2" customFormat="1" ht="12.75" x14ac:dyDescent="0.2">
      <c r="R24110" s="1288"/>
    </row>
    <row r="24111" spans="18:18" s="2" customFormat="1" ht="12.75" x14ac:dyDescent="0.2">
      <c r="R24111" s="1288"/>
    </row>
    <row r="24112" spans="18:18" s="2" customFormat="1" ht="12.75" x14ac:dyDescent="0.2">
      <c r="R24112" s="1288"/>
    </row>
    <row r="24113" spans="18:18" s="2" customFormat="1" ht="12.75" x14ac:dyDescent="0.2">
      <c r="R24113" s="1288"/>
    </row>
    <row r="24114" spans="18:18" s="2" customFormat="1" ht="12.75" x14ac:dyDescent="0.2">
      <c r="R24114" s="1288"/>
    </row>
    <row r="24115" spans="18:18" s="2" customFormat="1" ht="12.75" x14ac:dyDescent="0.2">
      <c r="R24115" s="1288"/>
    </row>
    <row r="24116" spans="18:18" s="2" customFormat="1" ht="12.75" x14ac:dyDescent="0.2">
      <c r="R24116" s="1288"/>
    </row>
    <row r="24117" spans="18:18" s="2" customFormat="1" ht="12.75" x14ac:dyDescent="0.2">
      <c r="R24117" s="1288"/>
    </row>
    <row r="24118" spans="18:18" s="2" customFormat="1" ht="12.75" x14ac:dyDescent="0.2">
      <c r="R24118" s="1288"/>
    </row>
    <row r="24119" spans="18:18" s="2" customFormat="1" ht="12.75" x14ac:dyDescent="0.2">
      <c r="R24119" s="1288"/>
    </row>
    <row r="24120" spans="18:18" s="2" customFormat="1" ht="12.75" x14ac:dyDescent="0.2">
      <c r="R24120" s="1288"/>
    </row>
    <row r="24121" spans="18:18" s="2" customFormat="1" ht="12.75" x14ac:dyDescent="0.2">
      <c r="R24121" s="1288"/>
    </row>
    <row r="24122" spans="18:18" s="2" customFormat="1" ht="12.75" x14ac:dyDescent="0.2">
      <c r="R24122" s="1288"/>
    </row>
    <row r="24123" spans="18:18" s="2" customFormat="1" ht="12.75" x14ac:dyDescent="0.2">
      <c r="R24123" s="1288"/>
    </row>
    <row r="24124" spans="18:18" s="2" customFormat="1" ht="12.75" x14ac:dyDescent="0.2">
      <c r="R24124" s="1288"/>
    </row>
    <row r="24125" spans="18:18" s="2" customFormat="1" ht="12.75" x14ac:dyDescent="0.2">
      <c r="R24125" s="1288"/>
    </row>
    <row r="24126" spans="18:18" s="2" customFormat="1" ht="12.75" x14ac:dyDescent="0.2">
      <c r="R24126" s="1288"/>
    </row>
    <row r="24127" spans="18:18" s="2" customFormat="1" ht="12.75" x14ac:dyDescent="0.2">
      <c r="R24127" s="1288"/>
    </row>
    <row r="24128" spans="18:18" s="2" customFormat="1" ht="12.75" x14ac:dyDescent="0.2">
      <c r="R24128" s="1288"/>
    </row>
    <row r="24129" spans="18:18" s="2" customFormat="1" ht="12.75" x14ac:dyDescent="0.2">
      <c r="R24129" s="1288"/>
    </row>
    <row r="24130" spans="18:18" s="2" customFormat="1" ht="12.75" x14ac:dyDescent="0.2">
      <c r="R24130" s="1288"/>
    </row>
    <row r="24131" spans="18:18" s="2" customFormat="1" ht="12.75" x14ac:dyDescent="0.2">
      <c r="R24131" s="1288"/>
    </row>
    <row r="24132" spans="18:18" s="2" customFormat="1" ht="12.75" x14ac:dyDescent="0.2">
      <c r="R24132" s="1288"/>
    </row>
    <row r="24133" spans="18:18" s="2" customFormat="1" ht="12.75" x14ac:dyDescent="0.2">
      <c r="R24133" s="1288"/>
    </row>
    <row r="24134" spans="18:18" s="2" customFormat="1" ht="12.75" x14ac:dyDescent="0.2">
      <c r="R24134" s="1288"/>
    </row>
    <row r="24135" spans="18:18" s="2" customFormat="1" ht="12.75" x14ac:dyDescent="0.2">
      <c r="R24135" s="1288"/>
    </row>
    <row r="24136" spans="18:18" s="2" customFormat="1" ht="12.75" x14ac:dyDescent="0.2">
      <c r="R24136" s="1288"/>
    </row>
    <row r="24137" spans="18:18" s="2" customFormat="1" ht="12.75" x14ac:dyDescent="0.2">
      <c r="R24137" s="1288"/>
    </row>
    <row r="24138" spans="18:18" s="2" customFormat="1" ht="12.75" x14ac:dyDescent="0.2">
      <c r="R24138" s="1288"/>
    </row>
    <row r="24139" spans="18:18" s="2" customFormat="1" ht="12.75" x14ac:dyDescent="0.2">
      <c r="R24139" s="1288"/>
    </row>
    <row r="24140" spans="18:18" s="2" customFormat="1" ht="12.75" x14ac:dyDescent="0.2">
      <c r="R24140" s="1288"/>
    </row>
    <row r="24141" spans="18:18" s="2" customFormat="1" ht="12.75" x14ac:dyDescent="0.2">
      <c r="R24141" s="1288"/>
    </row>
    <row r="24142" spans="18:18" s="2" customFormat="1" ht="12.75" x14ac:dyDescent="0.2">
      <c r="R24142" s="1288"/>
    </row>
    <row r="24143" spans="18:18" s="2" customFormat="1" ht="12.75" x14ac:dyDescent="0.2">
      <c r="R24143" s="1288"/>
    </row>
    <row r="24144" spans="18:18" s="2" customFormat="1" ht="12.75" x14ac:dyDescent="0.2">
      <c r="R24144" s="1288"/>
    </row>
    <row r="24145" spans="18:18" s="2" customFormat="1" ht="12.75" x14ac:dyDescent="0.2">
      <c r="R24145" s="1288"/>
    </row>
    <row r="24146" spans="18:18" s="2" customFormat="1" ht="12.75" x14ac:dyDescent="0.2">
      <c r="R24146" s="1288"/>
    </row>
    <row r="24147" spans="18:18" s="2" customFormat="1" ht="12.75" x14ac:dyDescent="0.2">
      <c r="R24147" s="1288"/>
    </row>
    <row r="24148" spans="18:18" s="2" customFormat="1" ht="12.75" x14ac:dyDescent="0.2">
      <c r="R24148" s="1288"/>
    </row>
    <row r="24149" spans="18:18" s="2" customFormat="1" ht="12.75" x14ac:dyDescent="0.2">
      <c r="R24149" s="1288"/>
    </row>
    <row r="24150" spans="18:18" s="2" customFormat="1" ht="12.75" x14ac:dyDescent="0.2">
      <c r="R24150" s="1288"/>
    </row>
    <row r="24151" spans="18:18" s="2" customFormat="1" ht="12.75" x14ac:dyDescent="0.2">
      <c r="R24151" s="1288"/>
    </row>
    <row r="24152" spans="18:18" s="2" customFormat="1" ht="12.75" x14ac:dyDescent="0.2">
      <c r="R24152" s="1288"/>
    </row>
    <row r="24153" spans="18:18" s="2" customFormat="1" ht="12.75" x14ac:dyDescent="0.2">
      <c r="R24153" s="1288"/>
    </row>
    <row r="24154" spans="18:18" s="2" customFormat="1" ht="12.75" x14ac:dyDescent="0.2">
      <c r="R24154" s="1288"/>
    </row>
    <row r="24155" spans="18:18" s="2" customFormat="1" ht="12.75" x14ac:dyDescent="0.2">
      <c r="R24155" s="1288"/>
    </row>
    <row r="24156" spans="18:18" s="2" customFormat="1" ht="12.75" x14ac:dyDescent="0.2">
      <c r="R24156" s="1288"/>
    </row>
    <row r="24157" spans="18:18" s="2" customFormat="1" ht="12.75" x14ac:dyDescent="0.2">
      <c r="R24157" s="1288"/>
    </row>
    <row r="24158" spans="18:18" s="2" customFormat="1" ht="12.75" x14ac:dyDescent="0.2">
      <c r="R24158" s="1288"/>
    </row>
    <row r="24159" spans="18:18" s="2" customFormat="1" ht="12.75" x14ac:dyDescent="0.2">
      <c r="R24159" s="1288"/>
    </row>
    <row r="24160" spans="18:18" s="2" customFormat="1" ht="12.75" x14ac:dyDescent="0.2">
      <c r="R24160" s="1288"/>
    </row>
    <row r="24161" spans="18:18" s="2" customFormat="1" ht="12.75" x14ac:dyDescent="0.2">
      <c r="R24161" s="1288"/>
    </row>
    <row r="24162" spans="18:18" s="2" customFormat="1" ht="12.75" x14ac:dyDescent="0.2">
      <c r="R24162" s="1288"/>
    </row>
    <row r="24163" spans="18:18" s="2" customFormat="1" ht="12.75" x14ac:dyDescent="0.2">
      <c r="R24163" s="1288"/>
    </row>
    <row r="24164" spans="18:18" s="2" customFormat="1" ht="12.75" x14ac:dyDescent="0.2">
      <c r="R24164" s="1288"/>
    </row>
    <row r="24165" spans="18:18" s="2" customFormat="1" ht="12.75" x14ac:dyDescent="0.2">
      <c r="R24165" s="1288"/>
    </row>
    <row r="24166" spans="18:18" s="2" customFormat="1" ht="12.75" x14ac:dyDescent="0.2">
      <c r="R24166" s="1288"/>
    </row>
    <row r="24167" spans="18:18" s="2" customFormat="1" ht="12.75" x14ac:dyDescent="0.2">
      <c r="R24167" s="1288"/>
    </row>
    <row r="24168" spans="18:18" s="2" customFormat="1" ht="12.75" x14ac:dyDescent="0.2">
      <c r="R24168" s="1288"/>
    </row>
    <row r="24169" spans="18:18" s="2" customFormat="1" ht="12.75" x14ac:dyDescent="0.2">
      <c r="R24169" s="1288"/>
    </row>
    <row r="24170" spans="18:18" s="2" customFormat="1" ht="12.75" x14ac:dyDescent="0.2">
      <c r="R24170" s="1288"/>
    </row>
    <row r="24171" spans="18:18" s="2" customFormat="1" ht="12.75" x14ac:dyDescent="0.2">
      <c r="R24171" s="1288"/>
    </row>
    <row r="24172" spans="18:18" s="2" customFormat="1" ht="12.75" x14ac:dyDescent="0.2">
      <c r="R24172" s="1288"/>
    </row>
    <row r="24173" spans="18:18" s="2" customFormat="1" ht="12.75" x14ac:dyDescent="0.2">
      <c r="R24173" s="1288"/>
    </row>
    <row r="24174" spans="18:18" s="2" customFormat="1" ht="12.75" x14ac:dyDescent="0.2">
      <c r="R24174" s="1288"/>
    </row>
    <row r="24175" spans="18:18" s="2" customFormat="1" ht="12.75" x14ac:dyDescent="0.2">
      <c r="R24175" s="1288"/>
    </row>
    <row r="24176" spans="18:18" s="2" customFormat="1" ht="12.75" x14ac:dyDescent="0.2">
      <c r="R24176" s="1288"/>
    </row>
    <row r="24177" spans="18:18" s="2" customFormat="1" ht="12.75" x14ac:dyDescent="0.2">
      <c r="R24177" s="1288"/>
    </row>
    <row r="24178" spans="18:18" s="2" customFormat="1" ht="12.75" x14ac:dyDescent="0.2">
      <c r="R24178" s="1288"/>
    </row>
    <row r="24179" spans="18:18" s="2" customFormat="1" ht="12.75" x14ac:dyDescent="0.2">
      <c r="R24179" s="1288"/>
    </row>
    <row r="24180" spans="18:18" s="2" customFormat="1" ht="12.75" x14ac:dyDescent="0.2">
      <c r="R24180" s="1288"/>
    </row>
    <row r="24181" spans="18:18" s="2" customFormat="1" ht="12.75" x14ac:dyDescent="0.2">
      <c r="R24181" s="1288"/>
    </row>
    <row r="24182" spans="18:18" s="2" customFormat="1" ht="12.75" x14ac:dyDescent="0.2">
      <c r="R24182" s="1288"/>
    </row>
    <row r="24183" spans="18:18" s="2" customFormat="1" ht="12.75" x14ac:dyDescent="0.2">
      <c r="R24183" s="1288"/>
    </row>
    <row r="24184" spans="18:18" s="2" customFormat="1" ht="12.75" x14ac:dyDescent="0.2">
      <c r="R24184" s="1288"/>
    </row>
    <row r="24185" spans="18:18" s="2" customFormat="1" ht="12.75" x14ac:dyDescent="0.2">
      <c r="R24185" s="1288"/>
    </row>
    <row r="24186" spans="18:18" s="2" customFormat="1" ht="12.75" x14ac:dyDescent="0.2">
      <c r="R24186" s="1288"/>
    </row>
    <row r="24187" spans="18:18" s="2" customFormat="1" ht="12.75" x14ac:dyDescent="0.2">
      <c r="R24187" s="1288"/>
    </row>
    <row r="24188" spans="18:18" s="2" customFormat="1" ht="12.75" x14ac:dyDescent="0.2">
      <c r="R24188" s="1288"/>
    </row>
    <row r="24189" spans="18:18" s="2" customFormat="1" ht="12.75" x14ac:dyDescent="0.2">
      <c r="R24189" s="1288"/>
    </row>
    <row r="24190" spans="18:18" s="2" customFormat="1" ht="12.75" x14ac:dyDescent="0.2">
      <c r="R24190" s="1288"/>
    </row>
    <row r="24191" spans="18:18" s="2" customFormat="1" ht="12.75" x14ac:dyDescent="0.2">
      <c r="R24191" s="1288"/>
    </row>
    <row r="24192" spans="18:18" s="2" customFormat="1" ht="12.75" x14ac:dyDescent="0.2">
      <c r="R24192" s="1288"/>
    </row>
    <row r="24193" spans="18:18" s="2" customFormat="1" ht="12.75" x14ac:dyDescent="0.2">
      <c r="R24193" s="1288"/>
    </row>
    <row r="24194" spans="18:18" s="2" customFormat="1" ht="12.75" x14ac:dyDescent="0.2">
      <c r="R24194" s="1288"/>
    </row>
    <row r="24195" spans="18:18" s="2" customFormat="1" ht="12.75" x14ac:dyDescent="0.2">
      <c r="R24195" s="1288"/>
    </row>
    <row r="24196" spans="18:18" s="2" customFormat="1" ht="12.75" x14ac:dyDescent="0.2">
      <c r="R24196" s="1288"/>
    </row>
    <row r="24197" spans="18:18" s="2" customFormat="1" ht="12.75" x14ac:dyDescent="0.2">
      <c r="R24197" s="1288"/>
    </row>
    <row r="24198" spans="18:18" s="2" customFormat="1" ht="12.75" x14ac:dyDescent="0.2">
      <c r="R24198" s="1288"/>
    </row>
    <row r="24199" spans="18:18" s="2" customFormat="1" ht="12.75" x14ac:dyDescent="0.2">
      <c r="R24199" s="1288"/>
    </row>
    <row r="24200" spans="18:18" s="2" customFormat="1" ht="12.75" x14ac:dyDescent="0.2">
      <c r="R24200" s="1288"/>
    </row>
    <row r="24201" spans="18:18" s="2" customFormat="1" ht="12.75" x14ac:dyDescent="0.2">
      <c r="R24201" s="1288"/>
    </row>
    <row r="24202" spans="18:18" s="2" customFormat="1" ht="12.75" x14ac:dyDescent="0.2">
      <c r="R24202" s="1288"/>
    </row>
    <row r="24203" spans="18:18" s="2" customFormat="1" ht="12.75" x14ac:dyDescent="0.2">
      <c r="R24203" s="1288"/>
    </row>
    <row r="24204" spans="18:18" s="2" customFormat="1" ht="12.75" x14ac:dyDescent="0.2">
      <c r="R24204" s="1288"/>
    </row>
    <row r="24205" spans="18:18" s="2" customFormat="1" ht="12.75" x14ac:dyDescent="0.2">
      <c r="R24205" s="1288"/>
    </row>
    <row r="24206" spans="18:18" s="2" customFormat="1" ht="12.75" x14ac:dyDescent="0.2">
      <c r="R24206" s="1288"/>
    </row>
    <row r="24207" spans="18:18" s="2" customFormat="1" ht="12.75" x14ac:dyDescent="0.2">
      <c r="R24207" s="1288"/>
    </row>
    <row r="24208" spans="18:18" s="2" customFormat="1" ht="12.75" x14ac:dyDescent="0.2">
      <c r="R24208" s="1288"/>
    </row>
    <row r="24209" spans="18:18" s="2" customFormat="1" ht="12.75" x14ac:dyDescent="0.2">
      <c r="R24209" s="1288"/>
    </row>
    <row r="24210" spans="18:18" s="2" customFormat="1" ht="12.75" x14ac:dyDescent="0.2">
      <c r="R24210" s="1288"/>
    </row>
    <row r="24211" spans="18:18" s="2" customFormat="1" ht="12.75" x14ac:dyDescent="0.2">
      <c r="R24211" s="1288"/>
    </row>
    <row r="24212" spans="18:18" s="2" customFormat="1" ht="12.75" x14ac:dyDescent="0.2">
      <c r="R24212" s="1288"/>
    </row>
    <row r="24213" spans="18:18" s="2" customFormat="1" ht="12.75" x14ac:dyDescent="0.2">
      <c r="R24213" s="1288"/>
    </row>
    <row r="24214" spans="18:18" s="2" customFormat="1" ht="12.75" x14ac:dyDescent="0.2">
      <c r="R24214" s="1288"/>
    </row>
    <row r="24215" spans="18:18" s="2" customFormat="1" ht="12.75" x14ac:dyDescent="0.2">
      <c r="R24215" s="1288"/>
    </row>
    <row r="24216" spans="18:18" s="2" customFormat="1" ht="12.75" x14ac:dyDescent="0.2">
      <c r="R24216" s="1288"/>
    </row>
    <row r="24217" spans="18:18" s="2" customFormat="1" ht="12.75" x14ac:dyDescent="0.2">
      <c r="R24217" s="1288"/>
    </row>
    <row r="24218" spans="18:18" s="2" customFormat="1" ht="12.75" x14ac:dyDescent="0.2">
      <c r="R24218" s="1288"/>
    </row>
    <row r="24219" spans="18:18" s="2" customFormat="1" ht="12.75" x14ac:dyDescent="0.2">
      <c r="R24219" s="1288"/>
    </row>
    <row r="24220" spans="18:18" s="2" customFormat="1" ht="12.75" x14ac:dyDescent="0.2">
      <c r="R24220" s="1288"/>
    </row>
    <row r="24221" spans="18:18" s="2" customFormat="1" ht="12.75" x14ac:dyDescent="0.2">
      <c r="R24221" s="1288"/>
    </row>
    <row r="24222" spans="18:18" s="2" customFormat="1" ht="12.75" x14ac:dyDescent="0.2">
      <c r="R24222" s="1288"/>
    </row>
    <row r="24223" spans="18:18" s="2" customFormat="1" ht="12.75" x14ac:dyDescent="0.2">
      <c r="R24223" s="1288"/>
    </row>
    <row r="24224" spans="18:18" s="2" customFormat="1" ht="12.75" x14ac:dyDescent="0.2">
      <c r="R24224" s="1288"/>
    </row>
    <row r="24225" spans="18:18" s="2" customFormat="1" ht="12.75" x14ac:dyDescent="0.2">
      <c r="R24225" s="1288"/>
    </row>
    <row r="24226" spans="18:18" s="2" customFormat="1" ht="12.75" x14ac:dyDescent="0.2">
      <c r="R24226" s="1288"/>
    </row>
    <row r="24227" spans="18:18" s="2" customFormat="1" ht="12.75" x14ac:dyDescent="0.2">
      <c r="R24227" s="1288"/>
    </row>
    <row r="24228" spans="18:18" s="2" customFormat="1" ht="12.75" x14ac:dyDescent="0.2">
      <c r="R24228" s="1288"/>
    </row>
    <row r="24229" spans="18:18" s="2" customFormat="1" ht="12.75" x14ac:dyDescent="0.2">
      <c r="R24229" s="1288"/>
    </row>
    <row r="24230" spans="18:18" s="2" customFormat="1" ht="12.75" x14ac:dyDescent="0.2">
      <c r="R24230" s="1288"/>
    </row>
    <row r="24231" spans="18:18" s="2" customFormat="1" ht="12.75" x14ac:dyDescent="0.2">
      <c r="R24231" s="1288"/>
    </row>
    <row r="24232" spans="18:18" s="2" customFormat="1" ht="12.75" x14ac:dyDescent="0.2">
      <c r="R24232" s="1288"/>
    </row>
    <row r="24233" spans="18:18" s="2" customFormat="1" ht="12.75" x14ac:dyDescent="0.2">
      <c r="R24233" s="1288"/>
    </row>
    <row r="24234" spans="18:18" s="2" customFormat="1" ht="12.75" x14ac:dyDescent="0.2">
      <c r="R24234" s="1288"/>
    </row>
    <row r="24235" spans="18:18" s="2" customFormat="1" ht="12.75" x14ac:dyDescent="0.2">
      <c r="R24235" s="1288"/>
    </row>
    <row r="24236" spans="18:18" s="2" customFormat="1" ht="12.75" x14ac:dyDescent="0.2">
      <c r="R24236" s="1288"/>
    </row>
    <row r="24237" spans="18:18" s="2" customFormat="1" ht="12.75" x14ac:dyDescent="0.2">
      <c r="R24237" s="1288"/>
    </row>
    <row r="24238" spans="18:18" s="2" customFormat="1" ht="12.75" x14ac:dyDescent="0.2">
      <c r="R24238" s="1288"/>
    </row>
    <row r="24239" spans="18:18" s="2" customFormat="1" ht="12.75" x14ac:dyDescent="0.2">
      <c r="R24239" s="1288"/>
    </row>
    <row r="24240" spans="18:18" s="2" customFormat="1" ht="12.75" x14ac:dyDescent="0.2">
      <c r="R24240" s="1288"/>
    </row>
    <row r="24241" spans="18:18" s="2" customFormat="1" ht="12.75" x14ac:dyDescent="0.2">
      <c r="R24241" s="1288"/>
    </row>
    <row r="24242" spans="18:18" s="2" customFormat="1" ht="12.75" x14ac:dyDescent="0.2">
      <c r="R24242" s="1288"/>
    </row>
    <row r="24243" spans="18:18" s="2" customFormat="1" ht="12.75" x14ac:dyDescent="0.2">
      <c r="R24243" s="1288"/>
    </row>
    <row r="24244" spans="18:18" s="2" customFormat="1" ht="12.75" x14ac:dyDescent="0.2">
      <c r="R24244" s="1288"/>
    </row>
    <row r="24245" spans="18:18" s="2" customFormat="1" ht="12.75" x14ac:dyDescent="0.2">
      <c r="R24245" s="1288"/>
    </row>
    <row r="24246" spans="18:18" s="2" customFormat="1" ht="12.75" x14ac:dyDescent="0.2">
      <c r="R24246" s="1288"/>
    </row>
    <row r="24247" spans="18:18" s="2" customFormat="1" ht="12.75" x14ac:dyDescent="0.2">
      <c r="R24247" s="1288"/>
    </row>
    <row r="24248" spans="18:18" s="2" customFormat="1" ht="12.75" x14ac:dyDescent="0.2">
      <c r="R24248" s="1288"/>
    </row>
    <row r="24249" spans="18:18" s="2" customFormat="1" ht="12.75" x14ac:dyDescent="0.2">
      <c r="R24249" s="1288"/>
    </row>
    <row r="24250" spans="18:18" s="2" customFormat="1" ht="12.75" x14ac:dyDescent="0.2">
      <c r="R24250" s="1288"/>
    </row>
    <row r="24251" spans="18:18" s="2" customFormat="1" ht="12.75" x14ac:dyDescent="0.2">
      <c r="R24251" s="1288"/>
    </row>
    <row r="24252" spans="18:18" s="2" customFormat="1" ht="12.75" x14ac:dyDescent="0.2">
      <c r="R24252" s="1288"/>
    </row>
    <row r="24253" spans="18:18" s="2" customFormat="1" ht="12.75" x14ac:dyDescent="0.2">
      <c r="R24253" s="1288"/>
    </row>
    <row r="24254" spans="18:18" s="2" customFormat="1" ht="12.75" x14ac:dyDescent="0.2">
      <c r="R24254" s="1288"/>
    </row>
    <row r="24255" spans="18:18" s="2" customFormat="1" ht="12.75" x14ac:dyDescent="0.2">
      <c r="R24255" s="1288"/>
    </row>
    <row r="24256" spans="18:18" s="2" customFormat="1" ht="12.75" x14ac:dyDescent="0.2">
      <c r="R24256" s="1288"/>
    </row>
    <row r="24257" spans="18:18" s="2" customFormat="1" ht="12.75" x14ac:dyDescent="0.2">
      <c r="R24257" s="1288"/>
    </row>
    <row r="24258" spans="18:18" s="2" customFormat="1" ht="12.75" x14ac:dyDescent="0.2">
      <c r="R24258" s="1288"/>
    </row>
    <row r="24259" spans="18:18" s="2" customFormat="1" ht="12.75" x14ac:dyDescent="0.2">
      <c r="R24259" s="1288"/>
    </row>
    <row r="24260" spans="18:18" s="2" customFormat="1" ht="12.75" x14ac:dyDescent="0.2">
      <c r="R24260" s="1288"/>
    </row>
    <row r="24261" spans="18:18" s="2" customFormat="1" ht="12.75" x14ac:dyDescent="0.2">
      <c r="R24261" s="1288"/>
    </row>
    <row r="24262" spans="18:18" s="2" customFormat="1" ht="12.75" x14ac:dyDescent="0.2">
      <c r="R24262" s="1288"/>
    </row>
    <row r="24263" spans="18:18" s="2" customFormat="1" ht="12.75" x14ac:dyDescent="0.2">
      <c r="R24263" s="1288"/>
    </row>
    <row r="24264" spans="18:18" s="2" customFormat="1" ht="12.75" x14ac:dyDescent="0.2">
      <c r="R24264" s="1288"/>
    </row>
    <row r="24265" spans="18:18" s="2" customFormat="1" ht="12.75" x14ac:dyDescent="0.2">
      <c r="R24265" s="1288"/>
    </row>
    <row r="24266" spans="18:18" s="2" customFormat="1" ht="12.75" x14ac:dyDescent="0.2">
      <c r="R24266" s="1288"/>
    </row>
    <row r="24267" spans="18:18" s="2" customFormat="1" ht="12.75" x14ac:dyDescent="0.2">
      <c r="R24267" s="1288"/>
    </row>
    <row r="24268" spans="18:18" s="2" customFormat="1" ht="12.75" x14ac:dyDescent="0.2">
      <c r="R24268" s="1288"/>
    </row>
    <row r="24269" spans="18:18" s="2" customFormat="1" ht="12.75" x14ac:dyDescent="0.2">
      <c r="R24269" s="1288"/>
    </row>
    <row r="24270" spans="18:18" s="2" customFormat="1" ht="12.75" x14ac:dyDescent="0.2">
      <c r="R24270" s="1288"/>
    </row>
    <row r="24271" spans="18:18" s="2" customFormat="1" ht="12.75" x14ac:dyDescent="0.2">
      <c r="R24271" s="1288"/>
    </row>
    <row r="24272" spans="18:18" s="2" customFormat="1" ht="12.75" x14ac:dyDescent="0.2">
      <c r="R24272" s="1288"/>
    </row>
    <row r="24273" spans="18:18" s="2" customFormat="1" ht="12.75" x14ac:dyDescent="0.2">
      <c r="R24273" s="1288"/>
    </row>
    <row r="24274" spans="18:18" s="2" customFormat="1" ht="12.75" x14ac:dyDescent="0.2">
      <c r="R24274" s="1288"/>
    </row>
    <row r="24275" spans="18:18" s="2" customFormat="1" ht="12.75" x14ac:dyDescent="0.2">
      <c r="R24275" s="1288"/>
    </row>
    <row r="24276" spans="18:18" s="2" customFormat="1" ht="12.75" x14ac:dyDescent="0.2">
      <c r="R24276" s="1288"/>
    </row>
    <row r="24277" spans="18:18" s="2" customFormat="1" ht="12.75" x14ac:dyDescent="0.2">
      <c r="R24277" s="1288"/>
    </row>
    <row r="24278" spans="18:18" s="2" customFormat="1" ht="12.75" x14ac:dyDescent="0.2">
      <c r="R24278" s="1288"/>
    </row>
    <row r="24279" spans="18:18" s="2" customFormat="1" ht="12.75" x14ac:dyDescent="0.2">
      <c r="R24279" s="1288"/>
    </row>
    <row r="24280" spans="18:18" s="2" customFormat="1" ht="12.75" x14ac:dyDescent="0.2">
      <c r="R24280" s="1288"/>
    </row>
    <row r="24281" spans="18:18" s="2" customFormat="1" ht="12.75" x14ac:dyDescent="0.2">
      <c r="R24281" s="1288"/>
    </row>
    <row r="24282" spans="18:18" s="2" customFormat="1" ht="12.75" x14ac:dyDescent="0.2">
      <c r="R24282" s="1288"/>
    </row>
    <row r="24283" spans="18:18" s="2" customFormat="1" ht="12.75" x14ac:dyDescent="0.2">
      <c r="R24283" s="1288"/>
    </row>
    <row r="24284" spans="18:18" s="2" customFormat="1" ht="12.75" x14ac:dyDescent="0.2">
      <c r="R24284" s="1288"/>
    </row>
    <row r="24285" spans="18:18" s="2" customFormat="1" ht="12.75" x14ac:dyDescent="0.2">
      <c r="R24285" s="1288"/>
    </row>
    <row r="24286" spans="18:18" s="2" customFormat="1" ht="12.75" x14ac:dyDescent="0.2">
      <c r="R24286" s="1288"/>
    </row>
    <row r="24287" spans="18:18" s="2" customFormat="1" ht="12.75" x14ac:dyDescent="0.2">
      <c r="R24287" s="1288"/>
    </row>
    <row r="24288" spans="18:18" s="2" customFormat="1" ht="12.75" x14ac:dyDescent="0.2">
      <c r="R24288" s="1288"/>
    </row>
    <row r="24289" spans="18:18" s="2" customFormat="1" ht="12.75" x14ac:dyDescent="0.2">
      <c r="R24289" s="1288"/>
    </row>
    <row r="24290" spans="18:18" s="2" customFormat="1" ht="12.75" x14ac:dyDescent="0.2">
      <c r="R24290" s="1288"/>
    </row>
    <row r="24291" spans="18:18" s="2" customFormat="1" ht="12.75" x14ac:dyDescent="0.2">
      <c r="R24291" s="1288"/>
    </row>
    <row r="24292" spans="18:18" s="2" customFormat="1" ht="12.75" x14ac:dyDescent="0.2">
      <c r="R24292" s="1288"/>
    </row>
    <row r="24293" spans="18:18" s="2" customFormat="1" ht="12.75" x14ac:dyDescent="0.2">
      <c r="R24293" s="1288"/>
    </row>
    <row r="24294" spans="18:18" s="2" customFormat="1" ht="12.75" x14ac:dyDescent="0.2">
      <c r="R24294" s="1288"/>
    </row>
    <row r="24295" spans="18:18" s="2" customFormat="1" ht="12.75" x14ac:dyDescent="0.2">
      <c r="R24295" s="1288"/>
    </row>
    <row r="24296" spans="18:18" s="2" customFormat="1" ht="12.75" x14ac:dyDescent="0.2">
      <c r="R24296" s="1288"/>
    </row>
    <row r="24297" spans="18:18" s="2" customFormat="1" ht="12.75" x14ac:dyDescent="0.2">
      <c r="R24297" s="1288"/>
    </row>
    <row r="24298" spans="18:18" s="2" customFormat="1" ht="12.75" x14ac:dyDescent="0.2">
      <c r="R24298" s="1288"/>
    </row>
    <row r="24299" spans="18:18" s="2" customFormat="1" ht="12.75" x14ac:dyDescent="0.2">
      <c r="R24299" s="1288"/>
    </row>
    <row r="24300" spans="18:18" s="2" customFormat="1" ht="12.75" x14ac:dyDescent="0.2">
      <c r="R24300" s="1288"/>
    </row>
    <row r="24301" spans="18:18" s="2" customFormat="1" ht="12.75" x14ac:dyDescent="0.2">
      <c r="R24301" s="1288"/>
    </row>
    <row r="24302" spans="18:18" s="2" customFormat="1" ht="12.75" x14ac:dyDescent="0.2">
      <c r="R24302" s="1288"/>
    </row>
    <row r="24303" spans="18:18" s="2" customFormat="1" ht="12.75" x14ac:dyDescent="0.2">
      <c r="R24303" s="1288"/>
    </row>
    <row r="24304" spans="18:18" s="2" customFormat="1" ht="12.75" x14ac:dyDescent="0.2">
      <c r="R24304" s="1288"/>
    </row>
    <row r="24305" spans="18:18" s="2" customFormat="1" ht="12.75" x14ac:dyDescent="0.2">
      <c r="R24305" s="1288"/>
    </row>
    <row r="24306" spans="18:18" s="2" customFormat="1" ht="12.75" x14ac:dyDescent="0.2">
      <c r="R24306" s="1288"/>
    </row>
    <row r="24307" spans="18:18" s="2" customFormat="1" ht="12.75" x14ac:dyDescent="0.2">
      <c r="R24307" s="1288"/>
    </row>
    <row r="24308" spans="18:18" s="2" customFormat="1" ht="12.75" x14ac:dyDescent="0.2">
      <c r="R24308" s="1288"/>
    </row>
    <row r="24309" spans="18:18" s="2" customFormat="1" ht="12.75" x14ac:dyDescent="0.2">
      <c r="R24309" s="1288"/>
    </row>
    <row r="24310" spans="18:18" s="2" customFormat="1" ht="12.75" x14ac:dyDescent="0.2">
      <c r="R24310" s="1288"/>
    </row>
    <row r="24311" spans="18:18" s="2" customFormat="1" ht="12.75" x14ac:dyDescent="0.2">
      <c r="R24311" s="1288"/>
    </row>
    <row r="24312" spans="18:18" s="2" customFormat="1" ht="12.75" x14ac:dyDescent="0.2">
      <c r="R24312" s="1288"/>
    </row>
    <row r="24313" spans="18:18" s="2" customFormat="1" ht="12.75" x14ac:dyDescent="0.2">
      <c r="R24313" s="1288"/>
    </row>
    <row r="24314" spans="18:18" s="2" customFormat="1" ht="12.75" x14ac:dyDescent="0.2">
      <c r="R24314" s="1288"/>
    </row>
    <row r="24315" spans="18:18" s="2" customFormat="1" ht="12.75" x14ac:dyDescent="0.2">
      <c r="R24315" s="1288"/>
    </row>
    <row r="24316" spans="18:18" s="2" customFormat="1" ht="12.75" x14ac:dyDescent="0.2">
      <c r="R24316" s="1288"/>
    </row>
    <row r="24317" spans="18:18" s="2" customFormat="1" ht="12.75" x14ac:dyDescent="0.2">
      <c r="R24317" s="1288"/>
    </row>
    <row r="24318" spans="18:18" s="2" customFormat="1" ht="12.75" x14ac:dyDescent="0.2">
      <c r="R24318" s="1288"/>
    </row>
    <row r="24319" spans="18:18" s="2" customFormat="1" ht="12.75" x14ac:dyDescent="0.2">
      <c r="R24319" s="1288"/>
    </row>
    <row r="24320" spans="18:18" s="2" customFormat="1" ht="12.75" x14ac:dyDescent="0.2">
      <c r="R24320" s="1288"/>
    </row>
    <row r="24321" spans="18:18" s="2" customFormat="1" ht="12.75" x14ac:dyDescent="0.2">
      <c r="R24321" s="1288"/>
    </row>
    <row r="24322" spans="18:18" s="2" customFormat="1" ht="12.75" x14ac:dyDescent="0.2">
      <c r="R24322" s="1288"/>
    </row>
    <row r="24323" spans="18:18" s="2" customFormat="1" ht="12.75" x14ac:dyDescent="0.2">
      <c r="R24323" s="1288"/>
    </row>
    <row r="24324" spans="18:18" s="2" customFormat="1" ht="12.75" x14ac:dyDescent="0.2">
      <c r="R24324" s="1288"/>
    </row>
    <row r="24325" spans="18:18" s="2" customFormat="1" ht="12.75" x14ac:dyDescent="0.2">
      <c r="R24325" s="1288"/>
    </row>
    <row r="24326" spans="18:18" s="2" customFormat="1" ht="12.75" x14ac:dyDescent="0.2">
      <c r="R24326" s="1288"/>
    </row>
    <row r="24327" spans="18:18" s="2" customFormat="1" ht="12.75" x14ac:dyDescent="0.2">
      <c r="R24327" s="1288"/>
    </row>
    <row r="24328" spans="18:18" s="2" customFormat="1" ht="12.75" x14ac:dyDescent="0.2">
      <c r="R24328" s="1288"/>
    </row>
    <row r="24329" spans="18:18" s="2" customFormat="1" ht="12.75" x14ac:dyDescent="0.2">
      <c r="R24329" s="1288"/>
    </row>
    <row r="24330" spans="18:18" s="2" customFormat="1" ht="12.75" x14ac:dyDescent="0.2">
      <c r="R24330" s="1288"/>
    </row>
    <row r="24331" spans="18:18" s="2" customFormat="1" ht="12.75" x14ac:dyDescent="0.2">
      <c r="R24331" s="1288"/>
    </row>
    <row r="24332" spans="18:18" s="2" customFormat="1" ht="12.75" x14ac:dyDescent="0.2">
      <c r="R24332" s="1288"/>
    </row>
    <row r="24333" spans="18:18" s="2" customFormat="1" ht="12.75" x14ac:dyDescent="0.2">
      <c r="R24333" s="1288"/>
    </row>
    <row r="24334" spans="18:18" s="2" customFormat="1" ht="12.75" x14ac:dyDescent="0.2">
      <c r="R24334" s="1288"/>
    </row>
    <row r="24335" spans="18:18" s="2" customFormat="1" ht="12.75" x14ac:dyDescent="0.2">
      <c r="R24335" s="1288"/>
    </row>
    <row r="24336" spans="18:18" s="2" customFormat="1" ht="12.75" x14ac:dyDescent="0.2">
      <c r="R24336" s="1288"/>
    </row>
    <row r="24337" spans="18:18" s="2" customFormat="1" ht="12.75" x14ac:dyDescent="0.2">
      <c r="R24337" s="1288"/>
    </row>
    <row r="24338" spans="18:18" s="2" customFormat="1" ht="12.75" x14ac:dyDescent="0.2">
      <c r="R24338" s="1288"/>
    </row>
    <row r="24339" spans="18:18" s="2" customFormat="1" ht="12.75" x14ac:dyDescent="0.2">
      <c r="R24339" s="1288"/>
    </row>
    <row r="24340" spans="18:18" s="2" customFormat="1" ht="12.75" x14ac:dyDescent="0.2">
      <c r="R24340" s="1288"/>
    </row>
    <row r="24341" spans="18:18" s="2" customFormat="1" ht="12.75" x14ac:dyDescent="0.2">
      <c r="R24341" s="1288"/>
    </row>
    <row r="24342" spans="18:18" s="2" customFormat="1" ht="12.75" x14ac:dyDescent="0.2">
      <c r="R24342" s="1288"/>
    </row>
    <row r="24343" spans="18:18" s="2" customFormat="1" ht="12.75" x14ac:dyDescent="0.2">
      <c r="R24343" s="1288"/>
    </row>
    <row r="24344" spans="18:18" s="2" customFormat="1" ht="12.75" x14ac:dyDescent="0.2">
      <c r="R24344" s="1288"/>
    </row>
    <row r="24345" spans="18:18" s="2" customFormat="1" ht="12.75" x14ac:dyDescent="0.2">
      <c r="R24345" s="1288"/>
    </row>
    <row r="24346" spans="18:18" s="2" customFormat="1" ht="12.75" x14ac:dyDescent="0.2">
      <c r="R24346" s="1288"/>
    </row>
    <row r="24347" spans="18:18" s="2" customFormat="1" ht="12.75" x14ac:dyDescent="0.2">
      <c r="R24347" s="1288"/>
    </row>
    <row r="24348" spans="18:18" s="2" customFormat="1" ht="12.75" x14ac:dyDescent="0.2">
      <c r="R24348" s="1288"/>
    </row>
    <row r="24349" spans="18:18" s="2" customFormat="1" ht="12.75" x14ac:dyDescent="0.2">
      <c r="R24349" s="1288"/>
    </row>
    <row r="24350" spans="18:18" s="2" customFormat="1" ht="12.75" x14ac:dyDescent="0.2">
      <c r="R24350" s="1288"/>
    </row>
    <row r="24351" spans="18:18" s="2" customFormat="1" ht="12.75" x14ac:dyDescent="0.2">
      <c r="R24351" s="1288"/>
    </row>
    <row r="24352" spans="18:18" s="2" customFormat="1" ht="12.75" x14ac:dyDescent="0.2">
      <c r="R24352" s="1288"/>
    </row>
    <row r="24353" spans="18:18" s="2" customFormat="1" ht="12.75" x14ac:dyDescent="0.2">
      <c r="R24353" s="1288"/>
    </row>
    <row r="24354" spans="18:18" s="2" customFormat="1" ht="12.75" x14ac:dyDescent="0.2">
      <c r="R24354" s="1288"/>
    </row>
    <row r="24355" spans="18:18" s="2" customFormat="1" ht="12.75" x14ac:dyDescent="0.2">
      <c r="R24355" s="1288"/>
    </row>
    <row r="24356" spans="18:18" s="2" customFormat="1" ht="12.75" x14ac:dyDescent="0.2">
      <c r="R24356" s="1288"/>
    </row>
    <row r="24357" spans="18:18" s="2" customFormat="1" ht="12.75" x14ac:dyDescent="0.2">
      <c r="R24357" s="1288"/>
    </row>
    <row r="24358" spans="18:18" s="2" customFormat="1" ht="12.75" x14ac:dyDescent="0.2">
      <c r="R24358" s="1288"/>
    </row>
    <row r="24359" spans="18:18" s="2" customFormat="1" ht="12.75" x14ac:dyDescent="0.2">
      <c r="R24359" s="1288"/>
    </row>
    <row r="24360" spans="18:18" s="2" customFormat="1" ht="12.75" x14ac:dyDescent="0.2">
      <c r="R24360" s="1288"/>
    </row>
    <row r="24361" spans="18:18" s="2" customFormat="1" ht="12.75" x14ac:dyDescent="0.2">
      <c r="R24361" s="1288"/>
    </row>
    <row r="24362" spans="18:18" s="2" customFormat="1" ht="12.75" x14ac:dyDescent="0.2">
      <c r="R24362" s="1288"/>
    </row>
    <row r="24363" spans="18:18" s="2" customFormat="1" ht="12.75" x14ac:dyDescent="0.2">
      <c r="R24363" s="1288"/>
    </row>
    <row r="24364" spans="18:18" s="2" customFormat="1" ht="12.75" x14ac:dyDescent="0.2">
      <c r="R24364" s="1288"/>
    </row>
    <row r="24365" spans="18:18" s="2" customFormat="1" ht="12.75" x14ac:dyDescent="0.2">
      <c r="R24365" s="1288"/>
    </row>
    <row r="24366" spans="18:18" s="2" customFormat="1" ht="12.75" x14ac:dyDescent="0.2">
      <c r="R24366" s="1288"/>
    </row>
    <row r="24367" spans="18:18" s="2" customFormat="1" ht="12.75" x14ac:dyDescent="0.2">
      <c r="R24367" s="1288"/>
    </row>
    <row r="24368" spans="18:18" s="2" customFormat="1" ht="12.75" x14ac:dyDescent="0.2">
      <c r="R24368" s="1288"/>
    </row>
    <row r="24369" spans="18:18" s="2" customFormat="1" ht="12.75" x14ac:dyDescent="0.2">
      <c r="R24369" s="1288"/>
    </row>
    <row r="24370" spans="18:18" s="2" customFormat="1" ht="12.75" x14ac:dyDescent="0.2">
      <c r="R24370" s="1288"/>
    </row>
    <row r="24371" spans="18:18" s="2" customFormat="1" ht="12.75" x14ac:dyDescent="0.2">
      <c r="R24371" s="1288"/>
    </row>
    <row r="24372" spans="18:18" s="2" customFormat="1" ht="12.75" x14ac:dyDescent="0.2">
      <c r="R24372" s="1288"/>
    </row>
    <row r="24373" spans="18:18" s="2" customFormat="1" ht="12.75" x14ac:dyDescent="0.2">
      <c r="R24373" s="1288"/>
    </row>
    <row r="24374" spans="18:18" s="2" customFormat="1" ht="12.75" x14ac:dyDescent="0.2">
      <c r="R24374" s="1288"/>
    </row>
    <row r="24375" spans="18:18" s="2" customFormat="1" ht="12.75" x14ac:dyDescent="0.2">
      <c r="R24375" s="1288"/>
    </row>
    <row r="24376" spans="18:18" s="2" customFormat="1" ht="12.75" x14ac:dyDescent="0.2">
      <c r="R24376" s="1288"/>
    </row>
    <row r="24377" spans="18:18" s="2" customFormat="1" ht="12.75" x14ac:dyDescent="0.2">
      <c r="R24377" s="1288"/>
    </row>
    <row r="24378" spans="18:18" s="2" customFormat="1" ht="12.75" x14ac:dyDescent="0.2">
      <c r="R24378" s="1288"/>
    </row>
    <row r="24379" spans="18:18" s="2" customFormat="1" ht="12.75" x14ac:dyDescent="0.2">
      <c r="R24379" s="1288"/>
    </row>
    <row r="24380" spans="18:18" s="2" customFormat="1" ht="12.75" x14ac:dyDescent="0.2">
      <c r="R24380" s="1288"/>
    </row>
    <row r="24381" spans="18:18" s="2" customFormat="1" ht="12.75" x14ac:dyDescent="0.2">
      <c r="R24381" s="1288"/>
    </row>
    <row r="24382" spans="18:18" s="2" customFormat="1" ht="12.75" x14ac:dyDescent="0.2">
      <c r="R24382" s="1288"/>
    </row>
    <row r="24383" spans="18:18" s="2" customFormat="1" ht="12.75" x14ac:dyDescent="0.2">
      <c r="R24383" s="1288"/>
    </row>
    <row r="24384" spans="18:18" s="2" customFormat="1" ht="12.75" x14ac:dyDescent="0.2">
      <c r="R24384" s="1288"/>
    </row>
    <row r="24385" spans="18:18" s="2" customFormat="1" ht="12.75" x14ac:dyDescent="0.2">
      <c r="R24385" s="1288"/>
    </row>
    <row r="24386" spans="18:18" s="2" customFormat="1" ht="12.75" x14ac:dyDescent="0.2">
      <c r="R24386" s="1288"/>
    </row>
    <row r="24387" spans="18:18" s="2" customFormat="1" ht="12.75" x14ac:dyDescent="0.2">
      <c r="R24387" s="1288"/>
    </row>
    <row r="24388" spans="18:18" s="2" customFormat="1" ht="12.75" x14ac:dyDescent="0.2">
      <c r="R24388" s="1288"/>
    </row>
    <row r="24389" spans="18:18" s="2" customFormat="1" ht="12.75" x14ac:dyDescent="0.2">
      <c r="R24389" s="1288"/>
    </row>
    <row r="24390" spans="18:18" s="2" customFormat="1" ht="12.75" x14ac:dyDescent="0.2">
      <c r="R24390" s="1288"/>
    </row>
    <row r="24391" spans="18:18" s="2" customFormat="1" ht="12.75" x14ac:dyDescent="0.2">
      <c r="R24391" s="1288"/>
    </row>
    <row r="24392" spans="18:18" s="2" customFormat="1" ht="12.75" x14ac:dyDescent="0.2">
      <c r="R24392" s="1288"/>
    </row>
    <row r="24393" spans="18:18" s="2" customFormat="1" ht="12.75" x14ac:dyDescent="0.2">
      <c r="R24393" s="1288"/>
    </row>
    <row r="24394" spans="18:18" s="2" customFormat="1" ht="12.75" x14ac:dyDescent="0.2">
      <c r="R24394" s="1288"/>
    </row>
    <row r="24395" spans="18:18" s="2" customFormat="1" ht="12.75" x14ac:dyDescent="0.2">
      <c r="R24395" s="1288"/>
    </row>
    <row r="24396" spans="18:18" s="2" customFormat="1" ht="12.75" x14ac:dyDescent="0.2">
      <c r="R24396" s="1288"/>
    </row>
    <row r="24397" spans="18:18" s="2" customFormat="1" ht="12.75" x14ac:dyDescent="0.2">
      <c r="R24397" s="1288"/>
    </row>
    <row r="24398" spans="18:18" s="2" customFormat="1" ht="12.75" x14ac:dyDescent="0.2">
      <c r="R24398" s="1288"/>
    </row>
    <row r="24399" spans="18:18" s="2" customFormat="1" ht="12.75" x14ac:dyDescent="0.2">
      <c r="R24399" s="1288"/>
    </row>
    <row r="24400" spans="18:18" s="2" customFormat="1" ht="12.75" x14ac:dyDescent="0.2">
      <c r="R24400" s="1288"/>
    </row>
    <row r="24401" spans="18:18" s="2" customFormat="1" ht="12.75" x14ac:dyDescent="0.2">
      <c r="R24401" s="1288"/>
    </row>
    <row r="24402" spans="18:18" s="2" customFormat="1" ht="12.75" x14ac:dyDescent="0.2">
      <c r="R24402" s="1288"/>
    </row>
    <row r="24403" spans="18:18" s="2" customFormat="1" ht="12.75" x14ac:dyDescent="0.2">
      <c r="R24403" s="1288"/>
    </row>
    <row r="24404" spans="18:18" s="2" customFormat="1" ht="12.75" x14ac:dyDescent="0.2">
      <c r="R24404" s="1288"/>
    </row>
    <row r="24405" spans="18:18" s="2" customFormat="1" ht="12.75" x14ac:dyDescent="0.2">
      <c r="R24405" s="1288"/>
    </row>
    <row r="24406" spans="18:18" s="2" customFormat="1" ht="12.75" x14ac:dyDescent="0.2">
      <c r="R24406" s="1288"/>
    </row>
    <row r="24407" spans="18:18" s="2" customFormat="1" ht="12.75" x14ac:dyDescent="0.2">
      <c r="R24407" s="1288"/>
    </row>
    <row r="24408" spans="18:18" s="2" customFormat="1" ht="12.75" x14ac:dyDescent="0.2">
      <c r="R24408" s="1288"/>
    </row>
    <row r="24409" spans="18:18" s="2" customFormat="1" ht="12.75" x14ac:dyDescent="0.2">
      <c r="R24409" s="1288"/>
    </row>
    <row r="24410" spans="18:18" s="2" customFormat="1" ht="12.75" x14ac:dyDescent="0.2">
      <c r="R24410" s="1288"/>
    </row>
    <row r="24411" spans="18:18" s="2" customFormat="1" ht="12.75" x14ac:dyDescent="0.2">
      <c r="R24411" s="1288"/>
    </row>
    <row r="24412" spans="18:18" s="2" customFormat="1" ht="12.75" x14ac:dyDescent="0.2">
      <c r="R24412" s="1288"/>
    </row>
    <row r="24413" spans="18:18" s="2" customFormat="1" ht="12.75" x14ac:dyDescent="0.2">
      <c r="R24413" s="1288"/>
    </row>
    <row r="24414" spans="18:18" s="2" customFormat="1" ht="12.75" x14ac:dyDescent="0.2">
      <c r="R24414" s="1288"/>
    </row>
    <row r="24415" spans="18:18" s="2" customFormat="1" ht="12.75" x14ac:dyDescent="0.2">
      <c r="R24415" s="1288"/>
    </row>
    <row r="24416" spans="18:18" s="2" customFormat="1" ht="12.75" x14ac:dyDescent="0.2">
      <c r="R24416" s="1288"/>
    </row>
    <row r="24417" spans="18:18" s="2" customFormat="1" ht="12.75" x14ac:dyDescent="0.2">
      <c r="R24417" s="1288"/>
    </row>
    <row r="24418" spans="18:18" s="2" customFormat="1" ht="12.75" x14ac:dyDescent="0.2">
      <c r="R24418" s="1288"/>
    </row>
    <row r="24419" spans="18:18" s="2" customFormat="1" ht="12.75" x14ac:dyDescent="0.2">
      <c r="R24419" s="1288"/>
    </row>
    <row r="24420" spans="18:18" s="2" customFormat="1" ht="12.75" x14ac:dyDescent="0.2">
      <c r="R24420" s="1288"/>
    </row>
    <row r="24421" spans="18:18" s="2" customFormat="1" ht="12.75" x14ac:dyDescent="0.2">
      <c r="R24421" s="1288"/>
    </row>
    <row r="24422" spans="18:18" s="2" customFormat="1" ht="12.75" x14ac:dyDescent="0.2">
      <c r="R24422" s="1288"/>
    </row>
    <row r="24423" spans="18:18" s="2" customFormat="1" ht="12.75" x14ac:dyDescent="0.2">
      <c r="R24423" s="1288"/>
    </row>
    <row r="24424" spans="18:18" s="2" customFormat="1" ht="12.75" x14ac:dyDescent="0.2">
      <c r="R24424" s="1288"/>
    </row>
    <row r="24425" spans="18:18" s="2" customFormat="1" ht="12.75" x14ac:dyDescent="0.2">
      <c r="R24425" s="1288"/>
    </row>
    <row r="24426" spans="18:18" s="2" customFormat="1" ht="12.75" x14ac:dyDescent="0.2">
      <c r="R24426" s="1288"/>
    </row>
    <row r="24427" spans="18:18" s="2" customFormat="1" ht="12.75" x14ac:dyDescent="0.2">
      <c r="R24427" s="1288"/>
    </row>
    <row r="24428" spans="18:18" s="2" customFormat="1" ht="12.75" x14ac:dyDescent="0.2">
      <c r="R24428" s="1288"/>
    </row>
    <row r="24429" spans="18:18" s="2" customFormat="1" ht="12.75" x14ac:dyDescent="0.2">
      <c r="R24429" s="1288"/>
    </row>
    <row r="24430" spans="18:18" s="2" customFormat="1" ht="12.75" x14ac:dyDescent="0.2">
      <c r="R24430" s="1288"/>
    </row>
    <row r="24431" spans="18:18" s="2" customFormat="1" ht="12.75" x14ac:dyDescent="0.2">
      <c r="R24431" s="1288"/>
    </row>
    <row r="24432" spans="18:18" s="2" customFormat="1" ht="12.75" x14ac:dyDescent="0.2">
      <c r="R24432" s="1288"/>
    </row>
    <row r="24433" spans="18:18" s="2" customFormat="1" ht="12.75" x14ac:dyDescent="0.2">
      <c r="R24433" s="1288"/>
    </row>
    <row r="24434" spans="18:18" s="2" customFormat="1" ht="12.75" x14ac:dyDescent="0.2">
      <c r="R24434" s="1288"/>
    </row>
    <row r="24435" spans="18:18" s="2" customFormat="1" ht="12.75" x14ac:dyDescent="0.2">
      <c r="R24435" s="1288"/>
    </row>
    <row r="24436" spans="18:18" s="2" customFormat="1" ht="12.75" x14ac:dyDescent="0.2">
      <c r="R24436" s="1288"/>
    </row>
    <row r="24437" spans="18:18" s="2" customFormat="1" ht="12.75" x14ac:dyDescent="0.2">
      <c r="R24437" s="1288"/>
    </row>
    <row r="24438" spans="18:18" s="2" customFormat="1" ht="12.75" x14ac:dyDescent="0.2">
      <c r="R24438" s="1288"/>
    </row>
    <row r="24439" spans="18:18" s="2" customFormat="1" ht="12.75" x14ac:dyDescent="0.2">
      <c r="R24439" s="1288"/>
    </row>
    <row r="24440" spans="18:18" s="2" customFormat="1" ht="12.75" x14ac:dyDescent="0.2">
      <c r="R24440" s="1288"/>
    </row>
    <row r="24441" spans="18:18" s="2" customFormat="1" ht="12.75" x14ac:dyDescent="0.2">
      <c r="R24441" s="1288"/>
    </row>
    <row r="24442" spans="18:18" s="2" customFormat="1" ht="12.75" x14ac:dyDescent="0.2">
      <c r="R24442" s="1288"/>
    </row>
    <row r="24443" spans="18:18" s="2" customFormat="1" ht="12.75" x14ac:dyDescent="0.2">
      <c r="R24443" s="1288"/>
    </row>
    <row r="24444" spans="18:18" s="2" customFormat="1" ht="12.75" x14ac:dyDescent="0.2">
      <c r="R24444" s="1288"/>
    </row>
    <row r="24445" spans="18:18" s="2" customFormat="1" ht="12.75" x14ac:dyDescent="0.2">
      <c r="R24445" s="1288"/>
    </row>
    <row r="24446" spans="18:18" s="2" customFormat="1" ht="12.75" x14ac:dyDescent="0.2">
      <c r="R24446" s="1288"/>
    </row>
    <row r="24447" spans="18:18" s="2" customFormat="1" ht="12.75" x14ac:dyDescent="0.2">
      <c r="R24447" s="1288"/>
    </row>
    <row r="24448" spans="18:18" s="2" customFormat="1" ht="12.75" x14ac:dyDescent="0.2">
      <c r="R24448" s="1288"/>
    </row>
    <row r="24449" spans="18:18" s="2" customFormat="1" ht="12.75" x14ac:dyDescent="0.2">
      <c r="R24449" s="1288"/>
    </row>
    <row r="24450" spans="18:18" s="2" customFormat="1" ht="12.75" x14ac:dyDescent="0.2">
      <c r="R24450" s="1288"/>
    </row>
    <row r="24451" spans="18:18" s="2" customFormat="1" ht="12.75" x14ac:dyDescent="0.2">
      <c r="R24451" s="1288"/>
    </row>
    <row r="24452" spans="18:18" s="2" customFormat="1" ht="12.75" x14ac:dyDescent="0.2">
      <c r="R24452" s="1288"/>
    </row>
    <row r="24453" spans="18:18" s="2" customFormat="1" ht="12.75" x14ac:dyDescent="0.2">
      <c r="R24453" s="1288"/>
    </row>
    <row r="24454" spans="18:18" s="2" customFormat="1" ht="12.75" x14ac:dyDescent="0.2">
      <c r="R24454" s="1288"/>
    </row>
    <row r="24455" spans="18:18" s="2" customFormat="1" ht="12.75" x14ac:dyDescent="0.2">
      <c r="R24455" s="1288"/>
    </row>
    <row r="24456" spans="18:18" s="2" customFormat="1" ht="12.75" x14ac:dyDescent="0.2">
      <c r="R24456" s="1288"/>
    </row>
    <row r="24457" spans="18:18" s="2" customFormat="1" ht="12.75" x14ac:dyDescent="0.2">
      <c r="R24457" s="1288"/>
    </row>
    <row r="24458" spans="18:18" s="2" customFormat="1" ht="12.75" x14ac:dyDescent="0.2">
      <c r="R24458" s="1288"/>
    </row>
    <row r="24459" spans="18:18" s="2" customFormat="1" ht="12.75" x14ac:dyDescent="0.2">
      <c r="R24459" s="1288"/>
    </row>
    <row r="24460" spans="18:18" s="2" customFormat="1" ht="12.75" x14ac:dyDescent="0.2">
      <c r="R24460" s="1288"/>
    </row>
    <row r="24461" spans="18:18" s="2" customFormat="1" ht="12.75" x14ac:dyDescent="0.2">
      <c r="R24461" s="1288"/>
    </row>
    <row r="24462" spans="18:18" s="2" customFormat="1" ht="12.75" x14ac:dyDescent="0.2">
      <c r="R24462" s="1288"/>
    </row>
    <row r="24463" spans="18:18" s="2" customFormat="1" ht="12.75" x14ac:dyDescent="0.2">
      <c r="R24463" s="1288"/>
    </row>
    <row r="24464" spans="18:18" s="2" customFormat="1" ht="12.75" x14ac:dyDescent="0.2">
      <c r="R24464" s="1288"/>
    </row>
    <row r="24465" spans="18:18" s="2" customFormat="1" ht="12.75" x14ac:dyDescent="0.2">
      <c r="R24465" s="1288"/>
    </row>
    <row r="24466" spans="18:18" s="2" customFormat="1" ht="12.75" x14ac:dyDescent="0.2">
      <c r="R24466" s="1288"/>
    </row>
    <row r="24467" spans="18:18" s="2" customFormat="1" ht="12.75" x14ac:dyDescent="0.2">
      <c r="R24467" s="1288"/>
    </row>
    <row r="24468" spans="18:18" s="2" customFormat="1" ht="12.75" x14ac:dyDescent="0.2">
      <c r="R24468" s="1288"/>
    </row>
    <row r="24469" spans="18:18" s="2" customFormat="1" ht="12.75" x14ac:dyDescent="0.2">
      <c r="R24469" s="1288"/>
    </row>
    <row r="24470" spans="18:18" s="2" customFormat="1" ht="12.75" x14ac:dyDescent="0.2">
      <c r="R24470" s="1288"/>
    </row>
    <row r="24471" spans="18:18" s="2" customFormat="1" ht="12.75" x14ac:dyDescent="0.2">
      <c r="R24471" s="1288"/>
    </row>
    <row r="24472" spans="18:18" s="2" customFormat="1" ht="12.75" x14ac:dyDescent="0.2">
      <c r="R24472" s="1288"/>
    </row>
    <row r="24473" spans="18:18" s="2" customFormat="1" ht="12.75" x14ac:dyDescent="0.2">
      <c r="R24473" s="1288"/>
    </row>
    <row r="24474" spans="18:18" s="2" customFormat="1" ht="12.75" x14ac:dyDescent="0.2">
      <c r="R24474" s="1288"/>
    </row>
    <row r="24475" spans="18:18" s="2" customFormat="1" ht="12.75" x14ac:dyDescent="0.2">
      <c r="R24475" s="1288"/>
    </row>
    <row r="24476" spans="18:18" s="2" customFormat="1" ht="12.75" x14ac:dyDescent="0.2">
      <c r="R24476" s="1288"/>
    </row>
    <row r="24477" spans="18:18" s="2" customFormat="1" ht="12.75" x14ac:dyDescent="0.2">
      <c r="R24477" s="1288"/>
    </row>
    <row r="24478" spans="18:18" s="2" customFormat="1" ht="12.75" x14ac:dyDescent="0.2">
      <c r="R24478" s="1288"/>
    </row>
    <row r="24479" spans="18:18" s="2" customFormat="1" ht="12.75" x14ac:dyDescent="0.2">
      <c r="R24479" s="1288"/>
    </row>
    <row r="24480" spans="18:18" s="2" customFormat="1" ht="12.75" x14ac:dyDescent="0.2">
      <c r="R24480" s="1288"/>
    </row>
    <row r="24481" spans="18:18" s="2" customFormat="1" ht="12.75" x14ac:dyDescent="0.2">
      <c r="R24481" s="1288"/>
    </row>
    <row r="24482" spans="18:18" s="2" customFormat="1" ht="12.75" x14ac:dyDescent="0.2">
      <c r="R24482" s="1288"/>
    </row>
    <row r="24483" spans="18:18" s="2" customFormat="1" ht="12.75" x14ac:dyDescent="0.2">
      <c r="R24483" s="1288"/>
    </row>
    <row r="24484" spans="18:18" s="2" customFormat="1" ht="12.75" x14ac:dyDescent="0.2">
      <c r="R24484" s="1288"/>
    </row>
    <row r="24485" spans="18:18" s="2" customFormat="1" ht="12.75" x14ac:dyDescent="0.2">
      <c r="R24485" s="1288"/>
    </row>
    <row r="24486" spans="18:18" s="2" customFormat="1" ht="12.75" x14ac:dyDescent="0.2">
      <c r="R24486" s="1288"/>
    </row>
    <row r="24487" spans="18:18" s="2" customFormat="1" ht="12.75" x14ac:dyDescent="0.2">
      <c r="R24487" s="1288"/>
    </row>
    <row r="24488" spans="18:18" s="2" customFormat="1" ht="12.75" x14ac:dyDescent="0.2">
      <c r="R24488" s="1288"/>
    </row>
    <row r="24489" spans="18:18" s="2" customFormat="1" ht="12.75" x14ac:dyDescent="0.2">
      <c r="R24489" s="1288"/>
    </row>
    <row r="24490" spans="18:18" s="2" customFormat="1" ht="12.75" x14ac:dyDescent="0.2">
      <c r="R24490" s="1288"/>
    </row>
    <row r="24491" spans="18:18" s="2" customFormat="1" ht="12.75" x14ac:dyDescent="0.2">
      <c r="R24491" s="1288"/>
    </row>
    <row r="24492" spans="18:18" s="2" customFormat="1" ht="12.75" x14ac:dyDescent="0.2">
      <c r="R24492" s="1288"/>
    </row>
    <row r="24493" spans="18:18" s="2" customFormat="1" ht="12.75" x14ac:dyDescent="0.2">
      <c r="R24493" s="1288"/>
    </row>
    <row r="24494" spans="18:18" s="2" customFormat="1" ht="12.75" x14ac:dyDescent="0.2">
      <c r="R24494" s="1288"/>
    </row>
    <row r="24495" spans="18:18" s="2" customFormat="1" ht="12.75" x14ac:dyDescent="0.2">
      <c r="R24495" s="1288"/>
    </row>
    <row r="24496" spans="18:18" s="2" customFormat="1" ht="12.75" x14ac:dyDescent="0.2">
      <c r="R24496" s="1288"/>
    </row>
    <row r="24497" spans="18:18" s="2" customFormat="1" ht="12.75" x14ac:dyDescent="0.2">
      <c r="R24497" s="1288"/>
    </row>
    <row r="24498" spans="18:18" s="2" customFormat="1" ht="12.75" x14ac:dyDescent="0.2">
      <c r="R24498" s="1288"/>
    </row>
    <row r="24499" spans="18:18" s="2" customFormat="1" ht="12.75" x14ac:dyDescent="0.2">
      <c r="R24499" s="1288"/>
    </row>
    <row r="24500" spans="18:18" s="2" customFormat="1" ht="12.75" x14ac:dyDescent="0.2">
      <c r="R24500" s="1288"/>
    </row>
    <row r="24501" spans="18:18" s="2" customFormat="1" ht="12.75" x14ac:dyDescent="0.2">
      <c r="R24501" s="1288"/>
    </row>
    <row r="24502" spans="18:18" s="2" customFormat="1" ht="12.75" x14ac:dyDescent="0.2">
      <c r="R24502" s="1288"/>
    </row>
    <row r="24503" spans="18:18" s="2" customFormat="1" ht="12.75" x14ac:dyDescent="0.2">
      <c r="R24503" s="1288"/>
    </row>
    <row r="24504" spans="18:18" s="2" customFormat="1" ht="12.75" x14ac:dyDescent="0.2">
      <c r="R24504" s="1288"/>
    </row>
    <row r="24505" spans="18:18" s="2" customFormat="1" ht="12.75" x14ac:dyDescent="0.2">
      <c r="R24505" s="1288"/>
    </row>
    <row r="24506" spans="18:18" s="2" customFormat="1" ht="12.75" x14ac:dyDescent="0.2">
      <c r="R24506" s="1288"/>
    </row>
    <row r="24507" spans="18:18" s="2" customFormat="1" ht="12.75" x14ac:dyDescent="0.2">
      <c r="R24507" s="1288"/>
    </row>
    <row r="24508" spans="18:18" s="2" customFormat="1" ht="12.75" x14ac:dyDescent="0.2">
      <c r="R24508" s="1288"/>
    </row>
    <row r="24509" spans="18:18" s="2" customFormat="1" ht="12.75" x14ac:dyDescent="0.2">
      <c r="R24509" s="1288"/>
    </row>
    <row r="24510" spans="18:18" s="2" customFormat="1" ht="12.75" x14ac:dyDescent="0.2">
      <c r="R24510" s="1288"/>
    </row>
    <row r="24511" spans="18:18" s="2" customFormat="1" ht="12.75" x14ac:dyDescent="0.2">
      <c r="R24511" s="1288"/>
    </row>
    <row r="24512" spans="18:18" s="2" customFormat="1" ht="12.75" x14ac:dyDescent="0.2">
      <c r="R24512" s="1288"/>
    </row>
    <row r="24513" spans="18:18" s="2" customFormat="1" ht="12.75" x14ac:dyDescent="0.2">
      <c r="R24513" s="1288"/>
    </row>
    <row r="24514" spans="18:18" s="2" customFormat="1" ht="12.75" x14ac:dyDescent="0.2">
      <c r="R24514" s="1288"/>
    </row>
    <row r="24515" spans="18:18" s="2" customFormat="1" ht="12.75" x14ac:dyDescent="0.2">
      <c r="R24515" s="1288"/>
    </row>
    <row r="24516" spans="18:18" s="2" customFormat="1" ht="12.75" x14ac:dyDescent="0.2">
      <c r="R24516" s="1288"/>
    </row>
    <row r="24517" spans="18:18" s="2" customFormat="1" ht="12.75" x14ac:dyDescent="0.2">
      <c r="R24517" s="1288"/>
    </row>
    <row r="24518" spans="18:18" s="2" customFormat="1" ht="12.75" x14ac:dyDescent="0.2">
      <c r="R24518" s="1288"/>
    </row>
    <row r="24519" spans="18:18" s="2" customFormat="1" ht="12.75" x14ac:dyDescent="0.2">
      <c r="R24519" s="1288"/>
    </row>
    <row r="24520" spans="18:18" s="2" customFormat="1" ht="12.75" x14ac:dyDescent="0.2">
      <c r="R24520" s="1288"/>
    </row>
    <row r="24521" spans="18:18" s="2" customFormat="1" ht="12.75" x14ac:dyDescent="0.2">
      <c r="R24521" s="1288"/>
    </row>
    <row r="24522" spans="18:18" s="2" customFormat="1" ht="12.75" x14ac:dyDescent="0.2">
      <c r="R24522" s="1288"/>
    </row>
    <row r="24523" spans="18:18" s="2" customFormat="1" ht="12.75" x14ac:dyDescent="0.2">
      <c r="R24523" s="1288"/>
    </row>
    <row r="24524" spans="18:18" s="2" customFormat="1" ht="12.75" x14ac:dyDescent="0.2">
      <c r="R24524" s="1288"/>
    </row>
    <row r="24525" spans="18:18" s="2" customFormat="1" ht="12.75" x14ac:dyDescent="0.2">
      <c r="R24525" s="1288"/>
    </row>
    <row r="24526" spans="18:18" s="2" customFormat="1" ht="12.75" x14ac:dyDescent="0.2">
      <c r="R24526" s="1288"/>
    </row>
    <row r="24527" spans="18:18" s="2" customFormat="1" ht="12.75" x14ac:dyDescent="0.2">
      <c r="R24527" s="1288"/>
    </row>
    <row r="24528" spans="18:18" s="2" customFormat="1" ht="12.75" x14ac:dyDescent="0.2">
      <c r="R24528" s="1288"/>
    </row>
    <row r="24529" spans="18:18" s="2" customFormat="1" ht="12.75" x14ac:dyDescent="0.2">
      <c r="R24529" s="1288"/>
    </row>
    <row r="24530" spans="18:18" s="2" customFormat="1" ht="12.75" x14ac:dyDescent="0.2">
      <c r="R24530" s="1288"/>
    </row>
    <row r="24531" spans="18:18" s="2" customFormat="1" ht="12.75" x14ac:dyDescent="0.2">
      <c r="R24531" s="1288"/>
    </row>
    <row r="24532" spans="18:18" s="2" customFormat="1" ht="12.75" x14ac:dyDescent="0.2">
      <c r="R24532" s="1288"/>
    </row>
    <row r="24533" spans="18:18" s="2" customFormat="1" ht="12.75" x14ac:dyDescent="0.2">
      <c r="R24533" s="1288"/>
    </row>
    <row r="24534" spans="18:18" s="2" customFormat="1" ht="12.75" x14ac:dyDescent="0.2">
      <c r="R24534" s="1288"/>
    </row>
    <row r="24535" spans="18:18" s="2" customFormat="1" ht="12.75" x14ac:dyDescent="0.2">
      <c r="R24535" s="1288"/>
    </row>
    <row r="24536" spans="18:18" s="2" customFormat="1" ht="12.75" x14ac:dyDescent="0.2">
      <c r="R24536" s="1288"/>
    </row>
    <row r="24537" spans="18:18" s="2" customFormat="1" ht="12.75" x14ac:dyDescent="0.2">
      <c r="R24537" s="1288"/>
    </row>
    <row r="24538" spans="18:18" s="2" customFormat="1" ht="12.75" x14ac:dyDescent="0.2">
      <c r="R24538" s="1288"/>
    </row>
    <row r="24539" spans="18:18" s="2" customFormat="1" ht="12.75" x14ac:dyDescent="0.2">
      <c r="R24539" s="1288"/>
    </row>
    <row r="24540" spans="18:18" s="2" customFormat="1" ht="12.75" x14ac:dyDescent="0.2">
      <c r="R24540" s="1288"/>
    </row>
    <row r="24541" spans="18:18" s="2" customFormat="1" ht="12.75" x14ac:dyDescent="0.2">
      <c r="R24541" s="1288"/>
    </row>
    <row r="24542" spans="18:18" s="2" customFormat="1" ht="12.75" x14ac:dyDescent="0.2">
      <c r="R24542" s="1288"/>
    </row>
    <row r="24543" spans="18:18" s="2" customFormat="1" ht="12.75" x14ac:dyDescent="0.2">
      <c r="R24543" s="1288"/>
    </row>
    <row r="24544" spans="18:18" s="2" customFormat="1" ht="12.75" x14ac:dyDescent="0.2">
      <c r="R24544" s="1288"/>
    </row>
    <row r="24545" spans="18:18" s="2" customFormat="1" ht="12.75" x14ac:dyDescent="0.2">
      <c r="R24545" s="1288"/>
    </row>
    <row r="24546" spans="18:18" s="2" customFormat="1" ht="12.75" x14ac:dyDescent="0.2">
      <c r="R24546" s="1288"/>
    </row>
    <row r="24547" spans="18:18" s="2" customFormat="1" ht="12.75" x14ac:dyDescent="0.2">
      <c r="R24547" s="1288"/>
    </row>
    <row r="24548" spans="18:18" s="2" customFormat="1" ht="12.75" x14ac:dyDescent="0.2">
      <c r="R24548" s="1288"/>
    </row>
    <row r="24549" spans="18:18" s="2" customFormat="1" ht="12.75" x14ac:dyDescent="0.2">
      <c r="R24549" s="1288"/>
    </row>
    <row r="24550" spans="18:18" s="2" customFormat="1" ht="12.75" x14ac:dyDescent="0.2">
      <c r="R24550" s="1288"/>
    </row>
    <row r="24551" spans="18:18" s="2" customFormat="1" ht="12.75" x14ac:dyDescent="0.2">
      <c r="R24551" s="1288"/>
    </row>
    <row r="24552" spans="18:18" s="2" customFormat="1" ht="12.75" x14ac:dyDescent="0.2">
      <c r="R24552" s="1288"/>
    </row>
    <row r="24553" spans="18:18" s="2" customFormat="1" ht="12.75" x14ac:dyDescent="0.2">
      <c r="R24553" s="1288"/>
    </row>
    <row r="24554" spans="18:18" s="2" customFormat="1" ht="12.75" x14ac:dyDescent="0.2">
      <c r="R24554" s="1288"/>
    </row>
    <row r="24555" spans="18:18" s="2" customFormat="1" ht="12.75" x14ac:dyDescent="0.2">
      <c r="R24555" s="1288"/>
    </row>
    <row r="24556" spans="18:18" s="2" customFormat="1" ht="12.75" x14ac:dyDescent="0.2">
      <c r="R24556" s="1288"/>
    </row>
    <row r="24557" spans="18:18" s="2" customFormat="1" ht="12.75" x14ac:dyDescent="0.2">
      <c r="R24557" s="1288"/>
    </row>
    <row r="24558" spans="18:18" s="2" customFormat="1" ht="12.75" x14ac:dyDescent="0.2">
      <c r="R24558" s="1288"/>
    </row>
    <row r="24559" spans="18:18" s="2" customFormat="1" ht="12.75" x14ac:dyDescent="0.2">
      <c r="R24559" s="1288"/>
    </row>
    <row r="24560" spans="18:18" s="2" customFormat="1" ht="12.75" x14ac:dyDescent="0.2">
      <c r="R24560" s="1288"/>
    </row>
    <row r="24561" spans="18:18" s="2" customFormat="1" ht="12.75" x14ac:dyDescent="0.2">
      <c r="R24561" s="1288"/>
    </row>
    <row r="24562" spans="18:18" s="2" customFormat="1" ht="12.75" x14ac:dyDescent="0.2">
      <c r="R24562" s="1288"/>
    </row>
    <row r="24563" spans="18:18" s="2" customFormat="1" ht="12.75" x14ac:dyDescent="0.2">
      <c r="R24563" s="1288"/>
    </row>
    <row r="24564" spans="18:18" s="2" customFormat="1" ht="12.75" x14ac:dyDescent="0.2">
      <c r="R24564" s="1288"/>
    </row>
    <row r="24565" spans="18:18" s="2" customFormat="1" ht="12.75" x14ac:dyDescent="0.2">
      <c r="R24565" s="1288"/>
    </row>
    <row r="24566" spans="18:18" s="2" customFormat="1" ht="12.75" x14ac:dyDescent="0.2">
      <c r="R24566" s="1288"/>
    </row>
    <row r="24567" spans="18:18" s="2" customFormat="1" ht="12.75" x14ac:dyDescent="0.2">
      <c r="R24567" s="1288"/>
    </row>
    <row r="24568" spans="18:18" s="2" customFormat="1" ht="12.75" x14ac:dyDescent="0.2">
      <c r="R24568" s="1288"/>
    </row>
    <row r="24569" spans="18:18" s="2" customFormat="1" ht="12.75" x14ac:dyDescent="0.2">
      <c r="R24569" s="1288"/>
    </row>
    <row r="24570" spans="18:18" s="2" customFormat="1" ht="12.75" x14ac:dyDescent="0.2">
      <c r="R24570" s="1288"/>
    </row>
    <row r="24571" spans="18:18" s="2" customFormat="1" ht="12.75" x14ac:dyDescent="0.2">
      <c r="R24571" s="1288"/>
    </row>
    <row r="24572" spans="18:18" s="2" customFormat="1" ht="12.75" x14ac:dyDescent="0.2">
      <c r="R24572" s="1288"/>
    </row>
    <row r="24573" spans="18:18" s="2" customFormat="1" ht="12.75" x14ac:dyDescent="0.2">
      <c r="R24573" s="1288"/>
    </row>
    <row r="24574" spans="18:18" s="2" customFormat="1" ht="12.75" x14ac:dyDescent="0.2">
      <c r="R24574" s="1288"/>
    </row>
    <row r="24575" spans="18:18" s="2" customFormat="1" ht="12.75" x14ac:dyDescent="0.2">
      <c r="R24575" s="1288"/>
    </row>
    <row r="24576" spans="18:18" s="2" customFormat="1" ht="12.75" x14ac:dyDescent="0.2">
      <c r="R24576" s="1288"/>
    </row>
    <row r="24577" spans="18:18" s="2" customFormat="1" ht="12.75" x14ac:dyDescent="0.2">
      <c r="R24577" s="1288"/>
    </row>
    <row r="24578" spans="18:18" s="2" customFormat="1" ht="12.75" x14ac:dyDescent="0.2">
      <c r="R24578" s="1288"/>
    </row>
    <row r="24579" spans="18:18" s="2" customFormat="1" ht="12.75" x14ac:dyDescent="0.2">
      <c r="R24579" s="1288"/>
    </row>
    <row r="24580" spans="18:18" s="2" customFormat="1" ht="12.75" x14ac:dyDescent="0.2">
      <c r="R24580" s="1288"/>
    </row>
    <row r="24581" spans="18:18" s="2" customFormat="1" ht="12.75" x14ac:dyDescent="0.2">
      <c r="R24581" s="1288"/>
    </row>
    <row r="24582" spans="18:18" s="2" customFormat="1" ht="12.75" x14ac:dyDescent="0.2">
      <c r="R24582" s="1288"/>
    </row>
    <row r="24583" spans="18:18" s="2" customFormat="1" ht="12.75" x14ac:dyDescent="0.2">
      <c r="R24583" s="1288"/>
    </row>
    <row r="24584" spans="18:18" s="2" customFormat="1" ht="12.75" x14ac:dyDescent="0.2">
      <c r="R24584" s="1288"/>
    </row>
    <row r="24585" spans="18:18" s="2" customFormat="1" ht="12.75" x14ac:dyDescent="0.2">
      <c r="R24585" s="1288"/>
    </row>
    <row r="24586" spans="18:18" s="2" customFormat="1" ht="12.75" x14ac:dyDescent="0.2">
      <c r="R24586" s="1288"/>
    </row>
    <row r="24587" spans="18:18" s="2" customFormat="1" ht="12.75" x14ac:dyDescent="0.2">
      <c r="R24587" s="1288"/>
    </row>
    <row r="24588" spans="18:18" s="2" customFormat="1" ht="12.75" x14ac:dyDescent="0.2">
      <c r="R24588" s="1288"/>
    </row>
    <row r="24589" spans="18:18" s="2" customFormat="1" ht="12.75" x14ac:dyDescent="0.2">
      <c r="R24589" s="1288"/>
    </row>
    <row r="24590" spans="18:18" s="2" customFormat="1" ht="12.75" x14ac:dyDescent="0.2">
      <c r="R24590" s="1288"/>
    </row>
    <row r="24591" spans="18:18" s="2" customFormat="1" ht="12.75" x14ac:dyDescent="0.2">
      <c r="R24591" s="1288"/>
    </row>
    <row r="24592" spans="18:18" s="2" customFormat="1" ht="12.75" x14ac:dyDescent="0.2">
      <c r="R24592" s="1288"/>
    </row>
    <row r="24593" spans="18:18" s="2" customFormat="1" ht="12.75" x14ac:dyDescent="0.2">
      <c r="R24593" s="1288"/>
    </row>
    <row r="24594" spans="18:18" s="2" customFormat="1" ht="12.75" x14ac:dyDescent="0.2">
      <c r="R24594" s="1288"/>
    </row>
    <row r="24595" spans="18:18" s="2" customFormat="1" ht="12.75" x14ac:dyDescent="0.2">
      <c r="R24595" s="1288"/>
    </row>
    <row r="24596" spans="18:18" s="2" customFormat="1" ht="12.75" x14ac:dyDescent="0.2">
      <c r="R24596" s="1288"/>
    </row>
    <row r="24597" spans="18:18" s="2" customFormat="1" ht="12.75" x14ac:dyDescent="0.2">
      <c r="R24597" s="1288"/>
    </row>
    <row r="24598" spans="18:18" s="2" customFormat="1" ht="12.75" x14ac:dyDescent="0.2">
      <c r="R24598" s="1288"/>
    </row>
    <row r="24599" spans="18:18" s="2" customFormat="1" ht="12.75" x14ac:dyDescent="0.2">
      <c r="R24599" s="1288"/>
    </row>
    <row r="24600" spans="18:18" s="2" customFormat="1" ht="12.75" x14ac:dyDescent="0.2">
      <c r="R24600" s="1288"/>
    </row>
    <row r="24601" spans="18:18" s="2" customFormat="1" ht="12.75" x14ac:dyDescent="0.2">
      <c r="R24601" s="1288"/>
    </row>
    <row r="24602" spans="18:18" s="2" customFormat="1" ht="12.75" x14ac:dyDescent="0.2">
      <c r="R24602" s="1288"/>
    </row>
    <row r="24603" spans="18:18" s="2" customFormat="1" ht="12.75" x14ac:dyDescent="0.2">
      <c r="R24603" s="1288"/>
    </row>
    <row r="24604" spans="18:18" s="2" customFormat="1" ht="12.75" x14ac:dyDescent="0.2">
      <c r="R24604" s="1288"/>
    </row>
    <row r="24605" spans="18:18" s="2" customFormat="1" ht="12.75" x14ac:dyDescent="0.2">
      <c r="R24605" s="1288"/>
    </row>
    <row r="24606" spans="18:18" s="2" customFormat="1" ht="12.75" x14ac:dyDescent="0.2">
      <c r="R24606" s="1288"/>
    </row>
    <row r="24607" spans="18:18" s="2" customFormat="1" ht="12.75" x14ac:dyDescent="0.2">
      <c r="R24607" s="1288"/>
    </row>
    <row r="24608" spans="18:18" s="2" customFormat="1" ht="12.75" x14ac:dyDescent="0.2">
      <c r="R24608" s="1288"/>
    </row>
    <row r="24609" spans="18:18" s="2" customFormat="1" ht="12.75" x14ac:dyDescent="0.2">
      <c r="R24609" s="1288"/>
    </row>
    <row r="24610" spans="18:18" s="2" customFormat="1" ht="12.75" x14ac:dyDescent="0.2">
      <c r="R24610" s="1288"/>
    </row>
    <row r="24611" spans="18:18" s="2" customFormat="1" ht="12.75" x14ac:dyDescent="0.2">
      <c r="R24611" s="1288"/>
    </row>
    <row r="24612" spans="18:18" s="2" customFormat="1" ht="12.75" x14ac:dyDescent="0.2">
      <c r="R24612" s="1288"/>
    </row>
    <row r="24613" spans="18:18" s="2" customFormat="1" ht="12.75" x14ac:dyDescent="0.2">
      <c r="R24613" s="1288"/>
    </row>
    <row r="24614" spans="18:18" s="2" customFormat="1" ht="12.75" x14ac:dyDescent="0.2">
      <c r="R24614" s="1288"/>
    </row>
    <row r="24615" spans="18:18" s="2" customFormat="1" ht="12.75" x14ac:dyDescent="0.2">
      <c r="R24615" s="1288"/>
    </row>
    <row r="24616" spans="18:18" s="2" customFormat="1" ht="12.75" x14ac:dyDescent="0.2">
      <c r="R24616" s="1288"/>
    </row>
    <row r="24617" spans="18:18" s="2" customFormat="1" ht="12.75" x14ac:dyDescent="0.2">
      <c r="R24617" s="1288"/>
    </row>
    <row r="24618" spans="18:18" s="2" customFormat="1" ht="12.75" x14ac:dyDescent="0.2">
      <c r="R24618" s="1288"/>
    </row>
    <row r="24619" spans="18:18" s="2" customFormat="1" ht="12.75" x14ac:dyDescent="0.2">
      <c r="R24619" s="1288"/>
    </row>
    <row r="24620" spans="18:18" s="2" customFormat="1" ht="12.75" x14ac:dyDescent="0.2">
      <c r="R24620" s="1288"/>
    </row>
    <row r="24621" spans="18:18" s="2" customFormat="1" ht="12.75" x14ac:dyDescent="0.2">
      <c r="R24621" s="1288"/>
    </row>
    <row r="24622" spans="18:18" s="2" customFormat="1" ht="12.75" x14ac:dyDescent="0.2">
      <c r="R24622" s="1288"/>
    </row>
    <row r="24623" spans="18:18" s="2" customFormat="1" ht="12.75" x14ac:dyDescent="0.2">
      <c r="R24623" s="1288"/>
    </row>
    <row r="24624" spans="18:18" s="2" customFormat="1" ht="12.75" x14ac:dyDescent="0.2">
      <c r="R24624" s="1288"/>
    </row>
    <row r="24625" spans="18:18" s="2" customFormat="1" ht="12.75" x14ac:dyDescent="0.2">
      <c r="R24625" s="1288"/>
    </row>
    <row r="24626" spans="18:18" s="2" customFormat="1" ht="12.75" x14ac:dyDescent="0.2">
      <c r="R24626" s="1288"/>
    </row>
    <row r="24627" spans="18:18" s="2" customFormat="1" ht="12.75" x14ac:dyDescent="0.2">
      <c r="R24627" s="1288"/>
    </row>
    <row r="24628" spans="18:18" s="2" customFormat="1" ht="12.75" x14ac:dyDescent="0.2">
      <c r="R24628" s="1288"/>
    </row>
    <row r="24629" spans="18:18" s="2" customFormat="1" ht="12.75" x14ac:dyDescent="0.2">
      <c r="R24629" s="1288"/>
    </row>
    <row r="24630" spans="18:18" s="2" customFormat="1" ht="12.75" x14ac:dyDescent="0.2">
      <c r="R24630" s="1288"/>
    </row>
    <row r="24631" spans="18:18" s="2" customFormat="1" ht="12.75" x14ac:dyDescent="0.2">
      <c r="R24631" s="1288"/>
    </row>
    <row r="24632" spans="18:18" s="2" customFormat="1" ht="12.75" x14ac:dyDescent="0.2">
      <c r="R24632" s="1288"/>
    </row>
    <row r="24633" spans="18:18" s="2" customFormat="1" ht="12.75" x14ac:dyDescent="0.2">
      <c r="R24633" s="1288"/>
    </row>
    <row r="24634" spans="18:18" s="2" customFormat="1" ht="12.75" x14ac:dyDescent="0.2">
      <c r="R24634" s="1288"/>
    </row>
    <row r="24635" spans="18:18" s="2" customFormat="1" ht="12.75" x14ac:dyDescent="0.2">
      <c r="R24635" s="1288"/>
    </row>
    <row r="24636" spans="18:18" s="2" customFormat="1" ht="12.75" x14ac:dyDescent="0.2">
      <c r="R24636" s="1288"/>
    </row>
    <row r="24637" spans="18:18" s="2" customFormat="1" ht="12.75" x14ac:dyDescent="0.2">
      <c r="R24637" s="1288"/>
    </row>
    <row r="24638" spans="18:18" s="2" customFormat="1" ht="12.75" x14ac:dyDescent="0.2">
      <c r="R24638" s="1288"/>
    </row>
    <row r="24639" spans="18:18" s="2" customFormat="1" ht="12.75" x14ac:dyDescent="0.2">
      <c r="R24639" s="1288"/>
    </row>
    <row r="24640" spans="18:18" s="2" customFormat="1" ht="12.75" x14ac:dyDescent="0.2">
      <c r="R24640" s="1288"/>
    </row>
    <row r="24641" spans="18:18" s="2" customFormat="1" ht="12.75" x14ac:dyDescent="0.2">
      <c r="R24641" s="1288"/>
    </row>
    <row r="24642" spans="18:18" s="2" customFormat="1" ht="12.75" x14ac:dyDescent="0.2">
      <c r="R24642" s="1288"/>
    </row>
    <row r="24643" spans="18:18" s="2" customFormat="1" ht="12.75" x14ac:dyDescent="0.2">
      <c r="R24643" s="1288"/>
    </row>
    <row r="24644" spans="18:18" s="2" customFormat="1" ht="12.75" x14ac:dyDescent="0.2">
      <c r="R24644" s="1288"/>
    </row>
    <row r="24645" spans="18:18" s="2" customFormat="1" ht="12.75" x14ac:dyDescent="0.2">
      <c r="R24645" s="1288"/>
    </row>
    <row r="24646" spans="18:18" s="2" customFormat="1" ht="12.75" x14ac:dyDescent="0.2">
      <c r="R24646" s="1288"/>
    </row>
    <row r="24647" spans="18:18" s="2" customFormat="1" ht="12.75" x14ac:dyDescent="0.2">
      <c r="R24647" s="1288"/>
    </row>
    <row r="24648" spans="18:18" s="2" customFormat="1" ht="12.75" x14ac:dyDescent="0.2">
      <c r="R24648" s="1288"/>
    </row>
    <row r="24649" spans="18:18" s="2" customFormat="1" ht="12.75" x14ac:dyDescent="0.2">
      <c r="R24649" s="1288"/>
    </row>
    <row r="24650" spans="18:18" s="2" customFormat="1" ht="12.75" x14ac:dyDescent="0.2">
      <c r="R24650" s="1288"/>
    </row>
    <row r="24651" spans="18:18" s="2" customFormat="1" ht="12.75" x14ac:dyDescent="0.2">
      <c r="R24651" s="1288"/>
    </row>
    <row r="24652" spans="18:18" s="2" customFormat="1" ht="12.75" x14ac:dyDescent="0.2">
      <c r="R24652" s="1288"/>
    </row>
    <row r="24653" spans="18:18" s="2" customFormat="1" ht="12.75" x14ac:dyDescent="0.2">
      <c r="R24653" s="1288"/>
    </row>
    <row r="24654" spans="18:18" s="2" customFormat="1" ht="12.75" x14ac:dyDescent="0.2">
      <c r="R24654" s="1288"/>
    </row>
    <row r="24655" spans="18:18" s="2" customFormat="1" ht="12.75" x14ac:dyDescent="0.2">
      <c r="R24655" s="1288"/>
    </row>
    <row r="24656" spans="18:18" s="2" customFormat="1" ht="12.75" x14ac:dyDescent="0.2">
      <c r="R24656" s="1288"/>
    </row>
    <row r="24657" spans="18:18" s="2" customFormat="1" ht="12.75" x14ac:dyDescent="0.2">
      <c r="R24657" s="1288"/>
    </row>
    <row r="24658" spans="18:18" s="2" customFormat="1" ht="12.75" x14ac:dyDescent="0.2">
      <c r="R24658" s="1288"/>
    </row>
    <row r="24659" spans="18:18" s="2" customFormat="1" ht="12.75" x14ac:dyDescent="0.2">
      <c r="R24659" s="1288"/>
    </row>
    <row r="24660" spans="18:18" s="2" customFormat="1" ht="12.75" x14ac:dyDescent="0.2">
      <c r="R24660" s="1288"/>
    </row>
    <row r="24661" spans="18:18" s="2" customFormat="1" ht="12.75" x14ac:dyDescent="0.2">
      <c r="R24661" s="1288"/>
    </row>
    <row r="24662" spans="18:18" s="2" customFormat="1" ht="12.75" x14ac:dyDescent="0.2">
      <c r="R24662" s="1288"/>
    </row>
    <row r="24663" spans="18:18" s="2" customFormat="1" ht="12.75" x14ac:dyDescent="0.2">
      <c r="R24663" s="1288"/>
    </row>
    <row r="24664" spans="18:18" s="2" customFormat="1" ht="12.75" x14ac:dyDescent="0.2">
      <c r="R24664" s="1288"/>
    </row>
    <row r="24665" spans="18:18" s="2" customFormat="1" ht="12.75" x14ac:dyDescent="0.2">
      <c r="R24665" s="1288"/>
    </row>
    <row r="24666" spans="18:18" s="2" customFormat="1" ht="12.75" x14ac:dyDescent="0.2">
      <c r="R24666" s="1288"/>
    </row>
    <row r="24667" spans="18:18" s="2" customFormat="1" ht="12.75" x14ac:dyDescent="0.2">
      <c r="R24667" s="1288"/>
    </row>
    <row r="24668" spans="18:18" s="2" customFormat="1" ht="12.75" x14ac:dyDescent="0.2">
      <c r="R24668" s="1288"/>
    </row>
    <row r="24669" spans="18:18" s="2" customFormat="1" ht="12.75" x14ac:dyDescent="0.2">
      <c r="R24669" s="1288"/>
    </row>
    <row r="24670" spans="18:18" s="2" customFormat="1" ht="12.75" x14ac:dyDescent="0.2">
      <c r="R24670" s="1288"/>
    </row>
    <row r="24671" spans="18:18" s="2" customFormat="1" ht="12.75" x14ac:dyDescent="0.2">
      <c r="R24671" s="1288"/>
    </row>
    <row r="24672" spans="18:18" s="2" customFormat="1" ht="12.75" x14ac:dyDescent="0.2">
      <c r="R24672" s="1288"/>
    </row>
    <row r="24673" spans="18:18" s="2" customFormat="1" ht="12.75" x14ac:dyDescent="0.2">
      <c r="R24673" s="1288"/>
    </row>
    <row r="24674" spans="18:18" s="2" customFormat="1" ht="12.75" x14ac:dyDescent="0.2">
      <c r="R24674" s="1288"/>
    </row>
    <row r="24675" spans="18:18" s="2" customFormat="1" ht="12.75" x14ac:dyDescent="0.2">
      <c r="R24675" s="1288"/>
    </row>
    <row r="24676" spans="18:18" s="2" customFormat="1" ht="12.75" x14ac:dyDescent="0.2">
      <c r="R24676" s="1288"/>
    </row>
    <row r="24677" spans="18:18" s="2" customFormat="1" ht="12.75" x14ac:dyDescent="0.2">
      <c r="R24677" s="1288"/>
    </row>
    <row r="24678" spans="18:18" s="2" customFormat="1" ht="12.75" x14ac:dyDescent="0.2">
      <c r="R24678" s="1288"/>
    </row>
    <row r="24679" spans="18:18" s="2" customFormat="1" ht="12.75" x14ac:dyDescent="0.2">
      <c r="R24679" s="1288"/>
    </row>
    <row r="24680" spans="18:18" s="2" customFormat="1" ht="12.75" x14ac:dyDescent="0.2">
      <c r="R24680" s="1288"/>
    </row>
    <row r="24681" spans="18:18" s="2" customFormat="1" ht="12.75" x14ac:dyDescent="0.2">
      <c r="R24681" s="1288"/>
    </row>
    <row r="24682" spans="18:18" s="2" customFormat="1" ht="12.75" x14ac:dyDescent="0.2">
      <c r="R24682" s="1288"/>
    </row>
    <row r="24683" spans="18:18" s="2" customFormat="1" ht="12.75" x14ac:dyDescent="0.2">
      <c r="R24683" s="1288"/>
    </row>
    <row r="24684" spans="18:18" s="2" customFormat="1" ht="12.75" x14ac:dyDescent="0.2">
      <c r="R24684" s="1288"/>
    </row>
    <row r="24685" spans="18:18" s="2" customFormat="1" ht="12.75" x14ac:dyDescent="0.2">
      <c r="R24685" s="1288"/>
    </row>
    <row r="24686" spans="18:18" s="2" customFormat="1" ht="12.75" x14ac:dyDescent="0.2">
      <c r="R24686" s="1288"/>
    </row>
    <row r="24687" spans="18:18" s="2" customFormat="1" ht="12.75" x14ac:dyDescent="0.2">
      <c r="R24687" s="1288"/>
    </row>
    <row r="24688" spans="18:18" s="2" customFormat="1" ht="12.75" x14ac:dyDescent="0.2">
      <c r="R24688" s="1288"/>
    </row>
    <row r="24689" spans="18:18" s="2" customFormat="1" ht="12.75" x14ac:dyDescent="0.2">
      <c r="R24689" s="1288"/>
    </row>
    <row r="24690" spans="18:18" s="2" customFormat="1" ht="12.75" x14ac:dyDescent="0.2">
      <c r="R24690" s="1288"/>
    </row>
    <row r="24691" spans="18:18" s="2" customFormat="1" ht="12.75" x14ac:dyDescent="0.2">
      <c r="R24691" s="1288"/>
    </row>
    <row r="24692" spans="18:18" s="2" customFormat="1" ht="12.75" x14ac:dyDescent="0.2">
      <c r="R24692" s="1288"/>
    </row>
    <row r="24693" spans="18:18" s="2" customFormat="1" ht="12.75" x14ac:dyDescent="0.2">
      <c r="R24693" s="1288"/>
    </row>
    <row r="24694" spans="18:18" s="2" customFormat="1" ht="12.75" x14ac:dyDescent="0.2">
      <c r="R24694" s="1288"/>
    </row>
    <row r="24695" spans="18:18" s="2" customFormat="1" ht="12.75" x14ac:dyDescent="0.2">
      <c r="R24695" s="1288"/>
    </row>
    <row r="24696" spans="18:18" s="2" customFormat="1" ht="12.75" x14ac:dyDescent="0.2">
      <c r="R24696" s="1288"/>
    </row>
    <row r="24697" spans="18:18" s="2" customFormat="1" ht="12.75" x14ac:dyDescent="0.2">
      <c r="R24697" s="1288"/>
    </row>
    <row r="24698" spans="18:18" s="2" customFormat="1" ht="12.75" x14ac:dyDescent="0.2">
      <c r="R24698" s="1288"/>
    </row>
    <row r="24699" spans="18:18" s="2" customFormat="1" ht="12.75" x14ac:dyDescent="0.2">
      <c r="R24699" s="1288"/>
    </row>
    <row r="24700" spans="18:18" s="2" customFormat="1" ht="12.75" x14ac:dyDescent="0.2">
      <c r="R24700" s="1288"/>
    </row>
    <row r="24701" spans="18:18" s="2" customFormat="1" ht="12.75" x14ac:dyDescent="0.2">
      <c r="R24701" s="1288"/>
    </row>
    <row r="24702" spans="18:18" s="2" customFormat="1" ht="12.75" x14ac:dyDescent="0.2">
      <c r="R24702" s="1288"/>
    </row>
    <row r="24703" spans="18:18" s="2" customFormat="1" ht="12.75" x14ac:dyDescent="0.2">
      <c r="R24703" s="1288"/>
    </row>
    <row r="24704" spans="18:18" s="2" customFormat="1" ht="12.75" x14ac:dyDescent="0.2">
      <c r="R24704" s="1288"/>
    </row>
    <row r="24705" spans="18:18" s="2" customFormat="1" ht="12.75" x14ac:dyDescent="0.2">
      <c r="R24705" s="1288"/>
    </row>
    <row r="24706" spans="18:18" s="2" customFormat="1" ht="12.75" x14ac:dyDescent="0.2">
      <c r="R24706" s="1288"/>
    </row>
    <row r="24707" spans="18:18" s="2" customFormat="1" ht="12.75" x14ac:dyDescent="0.2">
      <c r="R24707" s="1288"/>
    </row>
    <row r="24708" spans="18:18" s="2" customFormat="1" ht="12.75" x14ac:dyDescent="0.2">
      <c r="R24708" s="1288"/>
    </row>
    <row r="24709" spans="18:18" s="2" customFormat="1" ht="12.75" x14ac:dyDescent="0.2">
      <c r="R24709" s="1288"/>
    </row>
    <row r="24710" spans="18:18" s="2" customFormat="1" ht="12.75" x14ac:dyDescent="0.2">
      <c r="R24710" s="1288"/>
    </row>
    <row r="24711" spans="18:18" s="2" customFormat="1" ht="12.75" x14ac:dyDescent="0.2">
      <c r="R24711" s="1288"/>
    </row>
    <row r="24712" spans="18:18" s="2" customFormat="1" ht="12.75" x14ac:dyDescent="0.2">
      <c r="R24712" s="1288"/>
    </row>
    <row r="24713" spans="18:18" s="2" customFormat="1" ht="12.75" x14ac:dyDescent="0.2">
      <c r="R24713" s="1288"/>
    </row>
    <row r="24714" spans="18:18" s="2" customFormat="1" ht="12.75" x14ac:dyDescent="0.2">
      <c r="R24714" s="1288"/>
    </row>
    <row r="24715" spans="18:18" s="2" customFormat="1" ht="12.75" x14ac:dyDescent="0.2">
      <c r="R24715" s="1288"/>
    </row>
    <row r="24716" spans="18:18" s="2" customFormat="1" ht="12.75" x14ac:dyDescent="0.2">
      <c r="R24716" s="1288"/>
    </row>
    <row r="24717" spans="18:18" s="2" customFormat="1" ht="12.75" x14ac:dyDescent="0.2">
      <c r="R24717" s="1288"/>
    </row>
    <row r="24718" spans="18:18" s="2" customFormat="1" ht="12.75" x14ac:dyDescent="0.2">
      <c r="R24718" s="1288"/>
    </row>
    <row r="24719" spans="18:18" s="2" customFormat="1" ht="12.75" x14ac:dyDescent="0.2">
      <c r="R24719" s="1288"/>
    </row>
    <row r="24720" spans="18:18" s="2" customFormat="1" ht="12.75" x14ac:dyDescent="0.2">
      <c r="R24720" s="1288"/>
    </row>
    <row r="24721" spans="18:18" s="2" customFormat="1" ht="12.75" x14ac:dyDescent="0.2">
      <c r="R24721" s="1288"/>
    </row>
    <row r="24722" spans="18:18" s="2" customFormat="1" ht="12.75" x14ac:dyDescent="0.2">
      <c r="R24722" s="1288"/>
    </row>
    <row r="24723" spans="18:18" s="2" customFormat="1" ht="12.75" x14ac:dyDescent="0.2">
      <c r="R24723" s="1288"/>
    </row>
    <row r="24724" spans="18:18" s="2" customFormat="1" ht="12.75" x14ac:dyDescent="0.2">
      <c r="R24724" s="1288"/>
    </row>
    <row r="24725" spans="18:18" s="2" customFormat="1" ht="12.75" x14ac:dyDescent="0.2">
      <c r="R24725" s="1288"/>
    </row>
    <row r="24726" spans="18:18" s="2" customFormat="1" ht="12.75" x14ac:dyDescent="0.2">
      <c r="R24726" s="1288"/>
    </row>
    <row r="24727" spans="18:18" s="2" customFormat="1" ht="12.75" x14ac:dyDescent="0.2">
      <c r="R24727" s="1288"/>
    </row>
    <row r="24728" spans="18:18" s="2" customFormat="1" ht="12.75" x14ac:dyDescent="0.2">
      <c r="R24728" s="1288"/>
    </row>
    <row r="24729" spans="18:18" s="2" customFormat="1" ht="12.75" x14ac:dyDescent="0.2">
      <c r="R24729" s="1288"/>
    </row>
    <row r="24730" spans="18:18" s="2" customFormat="1" ht="12.75" x14ac:dyDescent="0.2">
      <c r="R24730" s="1288"/>
    </row>
    <row r="24731" spans="18:18" s="2" customFormat="1" ht="12.75" x14ac:dyDescent="0.2">
      <c r="R24731" s="1288"/>
    </row>
    <row r="24732" spans="18:18" s="2" customFormat="1" ht="12.75" x14ac:dyDescent="0.2">
      <c r="R24732" s="1288"/>
    </row>
    <row r="24733" spans="18:18" s="2" customFormat="1" ht="12.75" x14ac:dyDescent="0.2">
      <c r="R24733" s="1288"/>
    </row>
    <row r="24734" spans="18:18" s="2" customFormat="1" ht="12.75" x14ac:dyDescent="0.2">
      <c r="R24734" s="1288"/>
    </row>
    <row r="24735" spans="18:18" s="2" customFormat="1" ht="12.75" x14ac:dyDescent="0.2">
      <c r="R24735" s="1288"/>
    </row>
    <row r="24736" spans="18:18" s="2" customFormat="1" ht="12.75" x14ac:dyDescent="0.2">
      <c r="R24736" s="1288"/>
    </row>
    <row r="24737" spans="18:18" s="2" customFormat="1" ht="12.75" x14ac:dyDescent="0.2">
      <c r="R24737" s="1288"/>
    </row>
    <row r="24738" spans="18:18" s="2" customFormat="1" ht="12.75" x14ac:dyDescent="0.2">
      <c r="R24738" s="1288"/>
    </row>
    <row r="24739" spans="18:18" s="2" customFormat="1" ht="12.75" x14ac:dyDescent="0.2">
      <c r="R24739" s="1288"/>
    </row>
    <row r="24740" spans="18:18" s="2" customFormat="1" ht="12.75" x14ac:dyDescent="0.2">
      <c r="R24740" s="1288"/>
    </row>
    <row r="24741" spans="18:18" s="2" customFormat="1" ht="12.75" x14ac:dyDescent="0.2">
      <c r="R24741" s="1288"/>
    </row>
    <row r="24742" spans="18:18" s="2" customFormat="1" ht="12.75" x14ac:dyDescent="0.2">
      <c r="R24742" s="1288"/>
    </row>
    <row r="24743" spans="18:18" s="2" customFormat="1" ht="12.75" x14ac:dyDescent="0.2">
      <c r="R24743" s="1288"/>
    </row>
    <row r="24744" spans="18:18" s="2" customFormat="1" ht="12.75" x14ac:dyDescent="0.2">
      <c r="R24744" s="1288"/>
    </row>
    <row r="24745" spans="18:18" s="2" customFormat="1" ht="12.75" x14ac:dyDescent="0.2">
      <c r="R24745" s="1288"/>
    </row>
    <row r="24746" spans="18:18" s="2" customFormat="1" ht="12.75" x14ac:dyDescent="0.2">
      <c r="R24746" s="1288"/>
    </row>
    <row r="24747" spans="18:18" s="2" customFormat="1" ht="12.75" x14ac:dyDescent="0.2">
      <c r="R24747" s="1288"/>
    </row>
    <row r="24748" spans="18:18" s="2" customFormat="1" ht="12.75" x14ac:dyDescent="0.2">
      <c r="R24748" s="1288"/>
    </row>
    <row r="24749" spans="18:18" s="2" customFormat="1" ht="12.75" x14ac:dyDescent="0.2">
      <c r="R24749" s="1288"/>
    </row>
    <row r="24750" spans="18:18" s="2" customFormat="1" ht="12.75" x14ac:dyDescent="0.2">
      <c r="R24750" s="1288"/>
    </row>
    <row r="24751" spans="18:18" s="2" customFormat="1" ht="12.75" x14ac:dyDescent="0.2">
      <c r="R24751" s="1288"/>
    </row>
    <row r="24752" spans="18:18" s="2" customFormat="1" ht="12.75" x14ac:dyDescent="0.2">
      <c r="R24752" s="1288"/>
    </row>
    <row r="24753" spans="18:18" s="2" customFormat="1" ht="12.75" x14ac:dyDescent="0.2">
      <c r="R24753" s="1288"/>
    </row>
    <row r="24754" spans="18:18" s="2" customFormat="1" ht="12.75" x14ac:dyDescent="0.2">
      <c r="R24754" s="1288"/>
    </row>
    <row r="24755" spans="18:18" s="2" customFormat="1" ht="12.75" x14ac:dyDescent="0.2">
      <c r="R24755" s="1288"/>
    </row>
    <row r="24756" spans="18:18" s="2" customFormat="1" ht="12.75" x14ac:dyDescent="0.2">
      <c r="R24756" s="1288"/>
    </row>
    <row r="24757" spans="18:18" s="2" customFormat="1" ht="12.75" x14ac:dyDescent="0.2">
      <c r="R24757" s="1288"/>
    </row>
    <row r="24758" spans="18:18" s="2" customFormat="1" ht="12.75" x14ac:dyDescent="0.2">
      <c r="R24758" s="1288"/>
    </row>
    <row r="24759" spans="18:18" s="2" customFormat="1" ht="12.75" x14ac:dyDescent="0.2">
      <c r="R24759" s="1288"/>
    </row>
    <row r="24760" spans="18:18" s="2" customFormat="1" ht="12.75" x14ac:dyDescent="0.2">
      <c r="R24760" s="1288"/>
    </row>
    <row r="24761" spans="18:18" s="2" customFormat="1" ht="12.75" x14ac:dyDescent="0.2">
      <c r="R24761" s="1288"/>
    </row>
    <row r="24762" spans="18:18" s="2" customFormat="1" ht="12.75" x14ac:dyDescent="0.2">
      <c r="R24762" s="1288"/>
    </row>
    <row r="24763" spans="18:18" s="2" customFormat="1" ht="12.75" x14ac:dyDescent="0.2">
      <c r="R24763" s="1288"/>
    </row>
    <row r="24764" spans="18:18" s="2" customFormat="1" ht="12.75" x14ac:dyDescent="0.2">
      <c r="R24764" s="1288"/>
    </row>
    <row r="24765" spans="18:18" s="2" customFormat="1" ht="12.75" x14ac:dyDescent="0.2">
      <c r="R24765" s="1288"/>
    </row>
    <row r="24766" spans="18:18" s="2" customFormat="1" ht="12.75" x14ac:dyDescent="0.2">
      <c r="R24766" s="1288"/>
    </row>
    <row r="24767" spans="18:18" s="2" customFormat="1" ht="12.75" x14ac:dyDescent="0.2">
      <c r="R24767" s="1288"/>
    </row>
    <row r="24768" spans="18:18" s="2" customFormat="1" ht="12.75" x14ac:dyDescent="0.2">
      <c r="R24768" s="1288"/>
    </row>
    <row r="24769" spans="18:18" s="2" customFormat="1" ht="12.75" x14ac:dyDescent="0.2">
      <c r="R24769" s="1288"/>
    </row>
    <row r="24770" spans="18:18" s="2" customFormat="1" ht="12.75" x14ac:dyDescent="0.2">
      <c r="R24770" s="1288"/>
    </row>
    <row r="24771" spans="18:18" s="2" customFormat="1" ht="12.75" x14ac:dyDescent="0.2">
      <c r="R24771" s="1288"/>
    </row>
    <row r="24772" spans="18:18" s="2" customFormat="1" ht="12.75" x14ac:dyDescent="0.2">
      <c r="R24772" s="1288"/>
    </row>
    <row r="24773" spans="18:18" s="2" customFormat="1" ht="12.75" x14ac:dyDescent="0.2">
      <c r="R24773" s="1288"/>
    </row>
    <row r="24774" spans="18:18" s="2" customFormat="1" ht="12.75" x14ac:dyDescent="0.2">
      <c r="R24774" s="1288"/>
    </row>
    <row r="24775" spans="18:18" s="2" customFormat="1" ht="12.75" x14ac:dyDescent="0.2">
      <c r="R24775" s="1288"/>
    </row>
    <row r="24776" spans="18:18" s="2" customFormat="1" ht="12.75" x14ac:dyDescent="0.2">
      <c r="R24776" s="1288"/>
    </row>
    <row r="24777" spans="18:18" s="2" customFormat="1" ht="12.75" x14ac:dyDescent="0.2">
      <c r="R24777" s="1288"/>
    </row>
    <row r="24778" spans="18:18" s="2" customFormat="1" ht="12.75" x14ac:dyDescent="0.2">
      <c r="R24778" s="1288"/>
    </row>
    <row r="24779" spans="18:18" s="2" customFormat="1" ht="12.75" x14ac:dyDescent="0.2">
      <c r="R24779" s="1288"/>
    </row>
    <row r="24780" spans="18:18" s="2" customFormat="1" ht="12.75" x14ac:dyDescent="0.2">
      <c r="R24780" s="1288"/>
    </row>
    <row r="24781" spans="18:18" s="2" customFormat="1" ht="12.75" x14ac:dyDescent="0.2">
      <c r="R24781" s="1288"/>
    </row>
    <row r="24782" spans="18:18" s="2" customFormat="1" ht="12.75" x14ac:dyDescent="0.2">
      <c r="R24782" s="1288"/>
    </row>
    <row r="24783" spans="18:18" s="2" customFormat="1" ht="12.75" x14ac:dyDescent="0.2">
      <c r="R24783" s="1288"/>
    </row>
    <row r="24784" spans="18:18" s="2" customFormat="1" ht="12.75" x14ac:dyDescent="0.2">
      <c r="R24784" s="1288"/>
    </row>
    <row r="24785" spans="18:18" s="2" customFormat="1" ht="12.75" x14ac:dyDescent="0.2">
      <c r="R24785" s="1288"/>
    </row>
    <row r="24786" spans="18:18" s="2" customFormat="1" ht="12.75" x14ac:dyDescent="0.2">
      <c r="R24786" s="1288"/>
    </row>
    <row r="24787" spans="18:18" s="2" customFormat="1" ht="12.75" x14ac:dyDescent="0.2">
      <c r="R24787" s="1288"/>
    </row>
    <row r="24788" spans="18:18" s="2" customFormat="1" ht="12.75" x14ac:dyDescent="0.2">
      <c r="R24788" s="1288"/>
    </row>
    <row r="24789" spans="18:18" s="2" customFormat="1" ht="12.75" x14ac:dyDescent="0.2">
      <c r="R24789" s="1288"/>
    </row>
    <row r="24790" spans="18:18" s="2" customFormat="1" ht="12.75" x14ac:dyDescent="0.2">
      <c r="R24790" s="1288"/>
    </row>
    <row r="24791" spans="18:18" s="2" customFormat="1" ht="12.75" x14ac:dyDescent="0.2">
      <c r="R24791" s="1288"/>
    </row>
    <row r="24792" spans="18:18" s="2" customFormat="1" ht="12.75" x14ac:dyDescent="0.2">
      <c r="R24792" s="1288"/>
    </row>
    <row r="24793" spans="18:18" s="2" customFormat="1" ht="12.75" x14ac:dyDescent="0.2">
      <c r="R24793" s="1288"/>
    </row>
    <row r="24794" spans="18:18" s="2" customFormat="1" ht="12.75" x14ac:dyDescent="0.2">
      <c r="R24794" s="1288"/>
    </row>
    <row r="24795" spans="18:18" s="2" customFormat="1" ht="12.75" x14ac:dyDescent="0.2">
      <c r="R24795" s="1288"/>
    </row>
    <row r="24796" spans="18:18" s="2" customFormat="1" ht="12.75" x14ac:dyDescent="0.2">
      <c r="R24796" s="1288"/>
    </row>
    <row r="24797" spans="18:18" s="2" customFormat="1" ht="12.75" x14ac:dyDescent="0.2">
      <c r="R24797" s="1288"/>
    </row>
    <row r="24798" spans="18:18" s="2" customFormat="1" ht="12.75" x14ac:dyDescent="0.2">
      <c r="R24798" s="1288"/>
    </row>
    <row r="24799" spans="18:18" s="2" customFormat="1" ht="12.75" x14ac:dyDescent="0.2">
      <c r="R24799" s="1288"/>
    </row>
    <row r="24800" spans="18:18" s="2" customFormat="1" ht="12.75" x14ac:dyDescent="0.2">
      <c r="R24800" s="1288"/>
    </row>
    <row r="24801" spans="18:18" s="2" customFormat="1" ht="12.75" x14ac:dyDescent="0.2">
      <c r="R24801" s="1288"/>
    </row>
    <row r="24802" spans="18:18" s="2" customFormat="1" ht="12.75" x14ac:dyDescent="0.2">
      <c r="R24802" s="1288"/>
    </row>
    <row r="24803" spans="18:18" s="2" customFormat="1" ht="12.75" x14ac:dyDescent="0.2">
      <c r="R24803" s="1288"/>
    </row>
    <row r="24804" spans="18:18" s="2" customFormat="1" ht="12.75" x14ac:dyDescent="0.2">
      <c r="R24804" s="1288"/>
    </row>
    <row r="24805" spans="18:18" s="2" customFormat="1" ht="12.75" x14ac:dyDescent="0.2">
      <c r="R24805" s="1288"/>
    </row>
    <row r="24806" spans="18:18" s="2" customFormat="1" ht="12.75" x14ac:dyDescent="0.2">
      <c r="R24806" s="1288"/>
    </row>
    <row r="24807" spans="18:18" s="2" customFormat="1" ht="12.75" x14ac:dyDescent="0.2">
      <c r="R24807" s="1288"/>
    </row>
    <row r="24808" spans="18:18" s="2" customFormat="1" ht="12.75" x14ac:dyDescent="0.2">
      <c r="R24808" s="1288"/>
    </row>
    <row r="24809" spans="18:18" s="2" customFormat="1" ht="12.75" x14ac:dyDescent="0.2">
      <c r="R24809" s="1288"/>
    </row>
    <row r="24810" spans="18:18" s="2" customFormat="1" ht="12.75" x14ac:dyDescent="0.2">
      <c r="R24810" s="1288"/>
    </row>
    <row r="24811" spans="18:18" s="2" customFormat="1" ht="12.75" x14ac:dyDescent="0.2">
      <c r="R24811" s="1288"/>
    </row>
    <row r="24812" spans="18:18" s="2" customFormat="1" ht="12.75" x14ac:dyDescent="0.2">
      <c r="R24812" s="1288"/>
    </row>
    <row r="24813" spans="18:18" s="2" customFormat="1" ht="12.75" x14ac:dyDescent="0.2">
      <c r="R24813" s="1288"/>
    </row>
    <row r="24814" spans="18:18" s="2" customFormat="1" ht="12.75" x14ac:dyDescent="0.2">
      <c r="R24814" s="1288"/>
    </row>
    <row r="24815" spans="18:18" s="2" customFormat="1" ht="12.75" x14ac:dyDescent="0.2">
      <c r="R24815" s="1288"/>
    </row>
    <row r="24816" spans="18:18" s="2" customFormat="1" ht="12.75" x14ac:dyDescent="0.2">
      <c r="R24816" s="1288"/>
    </row>
    <row r="24817" spans="18:18" s="2" customFormat="1" ht="12.75" x14ac:dyDescent="0.2">
      <c r="R24817" s="1288"/>
    </row>
    <row r="24818" spans="18:18" s="2" customFormat="1" ht="12.75" x14ac:dyDescent="0.2">
      <c r="R24818" s="1288"/>
    </row>
    <row r="24819" spans="18:18" s="2" customFormat="1" ht="12.75" x14ac:dyDescent="0.2">
      <c r="R24819" s="1288"/>
    </row>
    <row r="24820" spans="18:18" s="2" customFormat="1" ht="12.75" x14ac:dyDescent="0.2">
      <c r="R24820" s="1288"/>
    </row>
    <row r="24821" spans="18:18" s="2" customFormat="1" ht="12.75" x14ac:dyDescent="0.2">
      <c r="R24821" s="1288"/>
    </row>
    <row r="24822" spans="18:18" s="2" customFormat="1" ht="12.75" x14ac:dyDescent="0.2">
      <c r="R24822" s="1288"/>
    </row>
    <row r="24823" spans="18:18" s="2" customFormat="1" ht="12.75" x14ac:dyDescent="0.2">
      <c r="R24823" s="1288"/>
    </row>
    <row r="24824" spans="18:18" s="2" customFormat="1" ht="12.75" x14ac:dyDescent="0.2">
      <c r="R24824" s="1288"/>
    </row>
    <row r="24825" spans="18:18" s="2" customFormat="1" ht="12.75" x14ac:dyDescent="0.2">
      <c r="R24825" s="1288"/>
    </row>
    <row r="24826" spans="18:18" s="2" customFormat="1" ht="12.75" x14ac:dyDescent="0.2">
      <c r="R24826" s="1288"/>
    </row>
    <row r="24827" spans="18:18" s="2" customFormat="1" ht="12.75" x14ac:dyDescent="0.2">
      <c r="R24827" s="1288"/>
    </row>
    <row r="24828" spans="18:18" s="2" customFormat="1" ht="12.75" x14ac:dyDescent="0.2">
      <c r="R24828" s="1288"/>
    </row>
    <row r="24829" spans="18:18" s="2" customFormat="1" ht="12.75" x14ac:dyDescent="0.2">
      <c r="R24829" s="1288"/>
    </row>
    <row r="24830" spans="18:18" s="2" customFormat="1" ht="12.75" x14ac:dyDescent="0.2">
      <c r="R24830" s="1288"/>
    </row>
    <row r="24831" spans="18:18" s="2" customFormat="1" ht="12.75" x14ac:dyDescent="0.2">
      <c r="R24831" s="1288"/>
    </row>
    <row r="24832" spans="18:18" s="2" customFormat="1" ht="12.75" x14ac:dyDescent="0.2">
      <c r="R24832" s="1288"/>
    </row>
    <row r="24833" spans="18:18" s="2" customFormat="1" ht="12.75" x14ac:dyDescent="0.2">
      <c r="R24833" s="1288"/>
    </row>
    <row r="24834" spans="18:18" s="2" customFormat="1" ht="12.75" x14ac:dyDescent="0.2">
      <c r="R24834" s="1288"/>
    </row>
    <row r="24835" spans="18:18" s="2" customFormat="1" ht="12.75" x14ac:dyDescent="0.2">
      <c r="R24835" s="1288"/>
    </row>
    <row r="24836" spans="18:18" s="2" customFormat="1" ht="12.75" x14ac:dyDescent="0.2">
      <c r="R24836" s="1288"/>
    </row>
    <row r="24837" spans="18:18" s="2" customFormat="1" ht="12.75" x14ac:dyDescent="0.2">
      <c r="R24837" s="1288"/>
    </row>
    <row r="24838" spans="18:18" s="2" customFormat="1" ht="12.75" x14ac:dyDescent="0.2">
      <c r="R24838" s="1288"/>
    </row>
    <row r="24839" spans="18:18" s="2" customFormat="1" ht="12.75" x14ac:dyDescent="0.2">
      <c r="R24839" s="1288"/>
    </row>
    <row r="24840" spans="18:18" s="2" customFormat="1" ht="12.75" x14ac:dyDescent="0.2">
      <c r="R24840" s="1288"/>
    </row>
    <row r="24841" spans="18:18" s="2" customFormat="1" ht="12.75" x14ac:dyDescent="0.2">
      <c r="R24841" s="1288"/>
    </row>
    <row r="24842" spans="18:18" s="2" customFormat="1" ht="12.75" x14ac:dyDescent="0.2">
      <c r="R24842" s="1288"/>
    </row>
    <row r="24843" spans="18:18" s="2" customFormat="1" ht="12.75" x14ac:dyDescent="0.2">
      <c r="R24843" s="1288"/>
    </row>
    <row r="24844" spans="18:18" s="2" customFormat="1" ht="12.75" x14ac:dyDescent="0.2">
      <c r="R24844" s="1288"/>
    </row>
    <row r="24845" spans="18:18" s="2" customFormat="1" ht="12.75" x14ac:dyDescent="0.2">
      <c r="R24845" s="1288"/>
    </row>
    <row r="24846" spans="18:18" s="2" customFormat="1" ht="12.75" x14ac:dyDescent="0.2">
      <c r="R24846" s="1288"/>
    </row>
    <row r="24847" spans="18:18" s="2" customFormat="1" ht="12.75" x14ac:dyDescent="0.2">
      <c r="R24847" s="1288"/>
    </row>
    <row r="24848" spans="18:18" s="2" customFormat="1" ht="12.75" x14ac:dyDescent="0.2">
      <c r="R24848" s="1288"/>
    </row>
    <row r="24849" spans="18:18" s="2" customFormat="1" ht="12.75" x14ac:dyDescent="0.2">
      <c r="R24849" s="1288"/>
    </row>
    <row r="24850" spans="18:18" s="2" customFormat="1" ht="12.75" x14ac:dyDescent="0.2">
      <c r="R24850" s="1288"/>
    </row>
    <row r="24851" spans="18:18" s="2" customFormat="1" ht="12.75" x14ac:dyDescent="0.2">
      <c r="R24851" s="1288"/>
    </row>
    <row r="24852" spans="18:18" s="2" customFormat="1" ht="12.75" x14ac:dyDescent="0.2">
      <c r="R24852" s="1288"/>
    </row>
    <row r="24853" spans="18:18" s="2" customFormat="1" ht="12.75" x14ac:dyDescent="0.2">
      <c r="R24853" s="1288"/>
    </row>
    <row r="24854" spans="18:18" s="2" customFormat="1" ht="12.75" x14ac:dyDescent="0.2">
      <c r="R24854" s="1288"/>
    </row>
    <row r="24855" spans="18:18" s="2" customFormat="1" ht="12.75" x14ac:dyDescent="0.2">
      <c r="R24855" s="1288"/>
    </row>
    <row r="24856" spans="18:18" s="2" customFormat="1" ht="12.75" x14ac:dyDescent="0.2">
      <c r="R24856" s="1288"/>
    </row>
    <row r="24857" spans="18:18" s="2" customFormat="1" ht="12.75" x14ac:dyDescent="0.2">
      <c r="R24857" s="1288"/>
    </row>
    <row r="24858" spans="18:18" s="2" customFormat="1" ht="12.75" x14ac:dyDescent="0.2">
      <c r="R24858" s="1288"/>
    </row>
    <row r="24859" spans="18:18" s="2" customFormat="1" ht="12.75" x14ac:dyDescent="0.2">
      <c r="R24859" s="1288"/>
    </row>
    <row r="24860" spans="18:18" s="2" customFormat="1" ht="12.75" x14ac:dyDescent="0.2">
      <c r="R24860" s="1288"/>
    </row>
    <row r="24861" spans="18:18" s="2" customFormat="1" ht="12.75" x14ac:dyDescent="0.2">
      <c r="R24861" s="1288"/>
    </row>
    <row r="24862" spans="18:18" s="2" customFormat="1" ht="12.75" x14ac:dyDescent="0.2">
      <c r="R24862" s="1288"/>
    </row>
    <row r="24863" spans="18:18" s="2" customFormat="1" ht="12.75" x14ac:dyDescent="0.2">
      <c r="R24863" s="1288"/>
    </row>
    <row r="24864" spans="18:18" s="2" customFormat="1" ht="12.75" x14ac:dyDescent="0.2">
      <c r="R24864" s="1288"/>
    </row>
    <row r="24865" spans="18:18" s="2" customFormat="1" ht="12.75" x14ac:dyDescent="0.2">
      <c r="R24865" s="1288"/>
    </row>
    <row r="24866" spans="18:18" s="2" customFormat="1" ht="12.75" x14ac:dyDescent="0.2">
      <c r="R24866" s="1288"/>
    </row>
    <row r="24867" spans="18:18" s="2" customFormat="1" ht="12.75" x14ac:dyDescent="0.2">
      <c r="R24867" s="1288"/>
    </row>
    <row r="24868" spans="18:18" s="2" customFormat="1" ht="12.75" x14ac:dyDescent="0.2">
      <c r="R24868" s="1288"/>
    </row>
    <row r="24869" spans="18:18" s="2" customFormat="1" ht="12.75" x14ac:dyDescent="0.2">
      <c r="R24869" s="1288"/>
    </row>
    <row r="24870" spans="18:18" s="2" customFormat="1" ht="12.75" x14ac:dyDescent="0.2">
      <c r="R24870" s="1288"/>
    </row>
    <row r="24871" spans="18:18" s="2" customFormat="1" ht="12.75" x14ac:dyDescent="0.2">
      <c r="R24871" s="1288"/>
    </row>
    <row r="24872" spans="18:18" s="2" customFormat="1" ht="12.75" x14ac:dyDescent="0.2">
      <c r="R24872" s="1288"/>
    </row>
    <row r="24873" spans="18:18" s="2" customFormat="1" ht="12.75" x14ac:dyDescent="0.2">
      <c r="R24873" s="1288"/>
    </row>
    <row r="24874" spans="18:18" s="2" customFormat="1" ht="12.75" x14ac:dyDescent="0.2">
      <c r="R24874" s="1288"/>
    </row>
    <row r="24875" spans="18:18" s="2" customFormat="1" ht="12.75" x14ac:dyDescent="0.2">
      <c r="R24875" s="1288"/>
    </row>
    <row r="24876" spans="18:18" s="2" customFormat="1" ht="12.75" x14ac:dyDescent="0.2">
      <c r="R24876" s="1288"/>
    </row>
    <row r="24877" spans="18:18" s="2" customFormat="1" ht="12.75" x14ac:dyDescent="0.2">
      <c r="R24877" s="1288"/>
    </row>
    <row r="24878" spans="18:18" s="2" customFormat="1" ht="12.75" x14ac:dyDescent="0.2">
      <c r="R24878" s="1288"/>
    </row>
    <row r="24879" spans="18:18" s="2" customFormat="1" ht="12.75" x14ac:dyDescent="0.2">
      <c r="R24879" s="1288"/>
    </row>
    <row r="24880" spans="18:18" s="2" customFormat="1" ht="12.75" x14ac:dyDescent="0.2">
      <c r="R24880" s="1288"/>
    </row>
    <row r="24881" spans="18:18" s="2" customFormat="1" ht="12.75" x14ac:dyDescent="0.2">
      <c r="R24881" s="1288"/>
    </row>
    <row r="24882" spans="18:18" s="2" customFormat="1" ht="12.75" x14ac:dyDescent="0.2">
      <c r="R24882" s="1288"/>
    </row>
    <row r="24883" spans="18:18" s="2" customFormat="1" ht="12.75" x14ac:dyDescent="0.2">
      <c r="R24883" s="1288"/>
    </row>
    <row r="24884" spans="18:18" s="2" customFormat="1" ht="12.75" x14ac:dyDescent="0.2">
      <c r="R24884" s="1288"/>
    </row>
    <row r="24885" spans="18:18" s="2" customFormat="1" ht="12.75" x14ac:dyDescent="0.2">
      <c r="R24885" s="1288"/>
    </row>
    <row r="24886" spans="18:18" s="2" customFormat="1" ht="12.75" x14ac:dyDescent="0.2">
      <c r="R24886" s="1288"/>
    </row>
    <row r="24887" spans="18:18" s="2" customFormat="1" ht="12.75" x14ac:dyDescent="0.2">
      <c r="R24887" s="1288"/>
    </row>
    <row r="24888" spans="18:18" s="2" customFormat="1" ht="12.75" x14ac:dyDescent="0.2">
      <c r="R24888" s="1288"/>
    </row>
    <row r="24889" spans="18:18" s="2" customFormat="1" ht="12.75" x14ac:dyDescent="0.2">
      <c r="R24889" s="1288"/>
    </row>
    <row r="24890" spans="18:18" s="2" customFormat="1" ht="12.75" x14ac:dyDescent="0.2">
      <c r="R24890" s="1288"/>
    </row>
    <row r="24891" spans="18:18" s="2" customFormat="1" ht="12.75" x14ac:dyDescent="0.2">
      <c r="R24891" s="1288"/>
    </row>
    <row r="24892" spans="18:18" s="2" customFormat="1" ht="12.75" x14ac:dyDescent="0.2">
      <c r="R24892" s="1288"/>
    </row>
    <row r="24893" spans="18:18" s="2" customFormat="1" ht="12.75" x14ac:dyDescent="0.2">
      <c r="R24893" s="1288"/>
    </row>
    <row r="24894" spans="18:18" s="2" customFormat="1" ht="12.75" x14ac:dyDescent="0.2">
      <c r="R24894" s="1288"/>
    </row>
    <row r="24895" spans="18:18" s="2" customFormat="1" ht="12.75" x14ac:dyDescent="0.2">
      <c r="R24895" s="1288"/>
    </row>
    <row r="24896" spans="18:18" s="2" customFormat="1" ht="12.75" x14ac:dyDescent="0.2">
      <c r="R24896" s="1288"/>
    </row>
    <row r="24897" spans="18:18" s="2" customFormat="1" ht="12.75" x14ac:dyDescent="0.2">
      <c r="R24897" s="1288"/>
    </row>
    <row r="24898" spans="18:18" s="2" customFormat="1" ht="12.75" x14ac:dyDescent="0.2">
      <c r="R24898" s="1288"/>
    </row>
    <row r="24899" spans="18:18" s="2" customFormat="1" ht="12.75" x14ac:dyDescent="0.2">
      <c r="R24899" s="1288"/>
    </row>
    <row r="24900" spans="18:18" s="2" customFormat="1" ht="12.75" x14ac:dyDescent="0.2">
      <c r="R24900" s="1288"/>
    </row>
    <row r="24901" spans="18:18" s="2" customFormat="1" ht="12.75" x14ac:dyDescent="0.2">
      <c r="R24901" s="1288"/>
    </row>
    <row r="24902" spans="18:18" s="2" customFormat="1" ht="12.75" x14ac:dyDescent="0.2">
      <c r="R24902" s="1288"/>
    </row>
    <row r="24903" spans="18:18" s="2" customFormat="1" ht="12.75" x14ac:dyDescent="0.2">
      <c r="R24903" s="1288"/>
    </row>
    <row r="24904" spans="18:18" s="2" customFormat="1" ht="12.75" x14ac:dyDescent="0.2">
      <c r="R24904" s="1288"/>
    </row>
    <row r="24905" spans="18:18" s="2" customFormat="1" ht="12.75" x14ac:dyDescent="0.2">
      <c r="R24905" s="1288"/>
    </row>
    <row r="24906" spans="18:18" s="2" customFormat="1" ht="12.75" x14ac:dyDescent="0.2">
      <c r="R24906" s="1288"/>
    </row>
    <row r="24907" spans="18:18" s="2" customFormat="1" ht="12.75" x14ac:dyDescent="0.2">
      <c r="R24907" s="1288"/>
    </row>
    <row r="24908" spans="18:18" s="2" customFormat="1" ht="12.75" x14ac:dyDescent="0.2">
      <c r="R24908" s="1288"/>
    </row>
    <row r="24909" spans="18:18" s="2" customFormat="1" ht="12.75" x14ac:dyDescent="0.2">
      <c r="R24909" s="1288"/>
    </row>
    <row r="24910" spans="18:18" s="2" customFormat="1" ht="12.75" x14ac:dyDescent="0.2">
      <c r="R24910" s="1288"/>
    </row>
    <row r="24911" spans="18:18" s="2" customFormat="1" ht="12.75" x14ac:dyDescent="0.2">
      <c r="R24911" s="1288"/>
    </row>
    <row r="24912" spans="18:18" s="2" customFormat="1" ht="12.75" x14ac:dyDescent="0.2">
      <c r="R24912" s="1288"/>
    </row>
    <row r="24913" spans="18:18" s="2" customFormat="1" ht="12.75" x14ac:dyDescent="0.2">
      <c r="R24913" s="1288"/>
    </row>
    <row r="24914" spans="18:18" s="2" customFormat="1" ht="12.75" x14ac:dyDescent="0.2">
      <c r="R24914" s="1288"/>
    </row>
    <row r="24915" spans="18:18" s="2" customFormat="1" ht="12.75" x14ac:dyDescent="0.2">
      <c r="R24915" s="1288"/>
    </row>
    <row r="24916" spans="18:18" s="2" customFormat="1" ht="12.75" x14ac:dyDescent="0.2">
      <c r="R24916" s="1288"/>
    </row>
    <row r="24917" spans="18:18" s="2" customFormat="1" ht="12.75" x14ac:dyDescent="0.2">
      <c r="R24917" s="1288"/>
    </row>
    <row r="24918" spans="18:18" s="2" customFormat="1" ht="12.75" x14ac:dyDescent="0.2">
      <c r="R24918" s="1288"/>
    </row>
    <row r="24919" spans="18:18" s="2" customFormat="1" ht="12.75" x14ac:dyDescent="0.2">
      <c r="R24919" s="1288"/>
    </row>
    <row r="24920" spans="18:18" s="2" customFormat="1" ht="12.75" x14ac:dyDescent="0.2">
      <c r="R24920" s="1288"/>
    </row>
    <row r="24921" spans="18:18" s="2" customFormat="1" ht="12.75" x14ac:dyDescent="0.2">
      <c r="R24921" s="1288"/>
    </row>
    <row r="24922" spans="18:18" s="2" customFormat="1" ht="12.75" x14ac:dyDescent="0.2">
      <c r="R24922" s="1288"/>
    </row>
    <row r="24923" spans="18:18" s="2" customFormat="1" ht="12.75" x14ac:dyDescent="0.2">
      <c r="R24923" s="1288"/>
    </row>
    <row r="24924" spans="18:18" s="2" customFormat="1" ht="12.75" x14ac:dyDescent="0.2">
      <c r="R24924" s="1288"/>
    </row>
    <row r="24925" spans="18:18" s="2" customFormat="1" ht="12.75" x14ac:dyDescent="0.2">
      <c r="R24925" s="1288"/>
    </row>
    <row r="24926" spans="18:18" s="2" customFormat="1" ht="12.75" x14ac:dyDescent="0.2">
      <c r="R24926" s="1288"/>
    </row>
    <row r="24927" spans="18:18" s="2" customFormat="1" ht="12.75" x14ac:dyDescent="0.2">
      <c r="R24927" s="1288"/>
    </row>
    <row r="24928" spans="18:18" s="2" customFormat="1" ht="12.75" x14ac:dyDescent="0.2">
      <c r="R24928" s="1288"/>
    </row>
    <row r="24929" spans="18:18" s="2" customFormat="1" ht="12.75" x14ac:dyDescent="0.2">
      <c r="R24929" s="1288"/>
    </row>
    <row r="24930" spans="18:18" s="2" customFormat="1" ht="12.75" x14ac:dyDescent="0.2">
      <c r="R24930" s="1288"/>
    </row>
    <row r="24931" spans="18:18" s="2" customFormat="1" ht="12.75" x14ac:dyDescent="0.2">
      <c r="R24931" s="1288"/>
    </row>
    <row r="24932" spans="18:18" s="2" customFormat="1" ht="12.75" x14ac:dyDescent="0.2">
      <c r="R24932" s="1288"/>
    </row>
    <row r="24933" spans="18:18" s="2" customFormat="1" ht="12.75" x14ac:dyDescent="0.2">
      <c r="R24933" s="1288"/>
    </row>
    <row r="24934" spans="18:18" s="2" customFormat="1" ht="12.75" x14ac:dyDescent="0.2">
      <c r="R24934" s="1288"/>
    </row>
    <row r="24935" spans="18:18" s="2" customFormat="1" ht="12.75" x14ac:dyDescent="0.2">
      <c r="R24935" s="1288"/>
    </row>
    <row r="24936" spans="18:18" s="2" customFormat="1" ht="12.75" x14ac:dyDescent="0.2">
      <c r="R24936" s="1288"/>
    </row>
    <row r="24937" spans="18:18" s="2" customFormat="1" ht="12.75" x14ac:dyDescent="0.2">
      <c r="R24937" s="1288"/>
    </row>
    <row r="24938" spans="18:18" s="2" customFormat="1" ht="12.75" x14ac:dyDescent="0.2">
      <c r="R24938" s="1288"/>
    </row>
    <row r="24939" spans="18:18" s="2" customFormat="1" ht="12.75" x14ac:dyDescent="0.2">
      <c r="R24939" s="1288"/>
    </row>
    <row r="24940" spans="18:18" s="2" customFormat="1" ht="12.75" x14ac:dyDescent="0.2">
      <c r="R24940" s="1288"/>
    </row>
    <row r="24941" spans="18:18" s="2" customFormat="1" ht="12.75" x14ac:dyDescent="0.2">
      <c r="R24941" s="1288"/>
    </row>
    <row r="24942" spans="18:18" s="2" customFormat="1" ht="12.75" x14ac:dyDescent="0.2">
      <c r="R24942" s="1288"/>
    </row>
    <row r="24943" spans="18:18" s="2" customFormat="1" ht="12.75" x14ac:dyDescent="0.2">
      <c r="R24943" s="1288"/>
    </row>
    <row r="24944" spans="18:18" s="2" customFormat="1" ht="12.75" x14ac:dyDescent="0.2">
      <c r="R24944" s="1288"/>
    </row>
    <row r="24945" spans="18:18" s="2" customFormat="1" ht="12.75" x14ac:dyDescent="0.2">
      <c r="R24945" s="1288"/>
    </row>
    <row r="24946" spans="18:18" s="2" customFormat="1" ht="12.75" x14ac:dyDescent="0.2">
      <c r="R24946" s="1288"/>
    </row>
    <row r="24947" spans="18:18" s="2" customFormat="1" ht="12.75" x14ac:dyDescent="0.2">
      <c r="R24947" s="1288"/>
    </row>
    <row r="24948" spans="18:18" s="2" customFormat="1" ht="12.75" x14ac:dyDescent="0.2">
      <c r="R24948" s="1288"/>
    </row>
    <row r="24949" spans="18:18" s="2" customFormat="1" ht="12.75" x14ac:dyDescent="0.2">
      <c r="R24949" s="1288"/>
    </row>
    <row r="24950" spans="18:18" s="2" customFormat="1" ht="12.75" x14ac:dyDescent="0.2">
      <c r="R24950" s="1288"/>
    </row>
    <row r="24951" spans="18:18" s="2" customFormat="1" ht="12.75" x14ac:dyDescent="0.2">
      <c r="R24951" s="1288"/>
    </row>
    <row r="24952" spans="18:18" s="2" customFormat="1" ht="12.75" x14ac:dyDescent="0.2">
      <c r="R24952" s="1288"/>
    </row>
    <row r="24953" spans="18:18" s="2" customFormat="1" ht="12.75" x14ac:dyDescent="0.2">
      <c r="R24953" s="1288"/>
    </row>
    <row r="24954" spans="18:18" s="2" customFormat="1" ht="12.75" x14ac:dyDescent="0.2">
      <c r="R24954" s="1288"/>
    </row>
    <row r="24955" spans="18:18" s="2" customFormat="1" ht="12.75" x14ac:dyDescent="0.2">
      <c r="R24955" s="1288"/>
    </row>
    <row r="24956" spans="18:18" s="2" customFormat="1" ht="12.75" x14ac:dyDescent="0.2">
      <c r="R24956" s="1288"/>
    </row>
    <row r="24957" spans="18:18" s="2" customFormat="1" ht="12.75" x14ac:dyDescent="0.2">
      <c r="R24957" s="1288"/>
    </row>
    <row r="24958" spans="18:18" s="2" customFormat="1" ht="12.75" x14ac:dyDescent="0.2">
      <c r="R24958" s="1288"/>
    </row>
    <row r="24959" spans="18:18" s="2" customFormat="1" ht="12.75" x14ac:dyDescent="0.2">
      <c r="R24959" s="1288"/>
    </row>
    <row r="24960" spans="18:18" s="2" customFormat="1" ht="12.75" x14ac:dyDescent="0.2">
      <c r="R24960" s="1288"/>
    </row>
    <row r="24961" spans="18:18" s="2" customFormat="1" ht="12.75" x14ac:dyDescent="0.2">
      <c r="R24961" s="1288"/>
    </row>
    <row r="24962" spans="18:18" s="2" customFormat="1" ht="12.75" x14ac:dyDescent="0.2">
      <c r="R24962" s="1288"/>
    </row>
    <row r="24963" spans="18:18" s="2" customFormat="1" ht="12.75" x14ac:dyDescent="0.2">
      <c r="R24963" s="1288"/>
    </row>
    <row r="24964" spans="18:18" s="2" customFormat="1" ht="12.75" x14ac:dyDescent="0.2">
      <c r="R24964" s="1288"/>
    </row>
    <row r="24965" spans="18:18" s="2" customFormat="1" ht="12.75" x14ac:dyDescent="0.2">
      <c r="R24965" s="1288"/>
    </row>
    <row r="24966" spans="18:18" s="2" customFormat="1" ht="12.75" x14ac:dyDescent="0.2">
      <c r="R24966" s="1288"/>
    </row>
    <row r="24967" spans="18:18" s="2" customFormat="1" ht="12.75" x14ac:dyDescent="0.2">
      <c r="R24967" s="1288"/>
    </row>
    <row r="24968" spans="18:18" s="2" customFormat="1" ht="12.75" x14ac:dyDescent="0.2">
      <c r="R24968" s="1288"/>
    </row>
    <row r="24969" spans="18:18" s="2" customFormat="1" ht="12.75" x14ac:dyDescent="0.2">
      <c r="R24969" s="1288"/>
    </row>
    <row r="24970" spans="18:18" s="2" customFormat="1" ht="12.75" x14ac:dyDescent="0.2">
      <c r="R24970" s="1288"/>
    </row>
    <row r="24971" spans="18:18" s="2" customFormat="1" ht="12.75" x14ac:dyDescent="0.2">
      <c r="R24971" s="1288"/>
    </row>
    <row r="24972" spans="18:18" s="2" customFormat="1" ht="12.75" x14ac:dyDescent="0.2">
      <c r="R24972" s="1288"/>
    </row>
    <row r="24973" spans="18:18" s="2" customFormat="1" ht="12.75" x14ac:dyDescent="0.2">
      <c r="R24973" s="1288"/>
    </row>
    <row r="24974" spans="18:18" s="2" customFormat="1" ht="12.75" x14ac:dyDescent="0.2">
      <c r="R24974" s="1288"/>
    </row>
    <row r="24975" spans="18:18" s="2" customFormat="1" ht="12.75" x14ac:dyDescent="0.2">
      <c r="R24975" s="1288"/>
    </row>
    <row r="24976" spans="18:18" s="2" customFormat="1" ht="12.75" x14ac:dyDescent="0.2">
      <c r="R24976" s="1288"/>
    </row>
    <row r="24977" spans="18:18" s="2" customFormat="1" ht="12.75" x14ac:dyDescent="0.2">
      <c r="R24977" s="1288"/>
    </row>
    <row r="24978" spans="18:18" s="2" customFormat="1" ht="12.75" x14ac:dyDescent="0.2">
      <c r="R24978" s="1288"/>
    </row>
    <row r="24979" spans="18:18" s="2" customFormat="1" ht="12.75" x14ac:dyDescent="0.2">
      <c r="R24979" s="1288"/>
    </row>
    <row r="24980" spans="18:18" s="2" customFormat="1" ht="12.75" x14ac:dyDescent="0.2">
      <c r="R24980" s="1288"/>
    </row>
    <row r="24981" spans="18:18" s="2" customFormat="1" ht="12.75" x14ac:dyDescent="0.2">
      <c r="R24981" s="1288"/>
    </row>
    <row r="24982" spans="18:18" s="2" customFormat="1" ht="12.75" x14ac:dyDescent="0.2">
      <c r="R24982" s="1288"/>
    </row>
    <row r="24983" spans="18:18" s="2" customFormat="1" ht="12.75" x14ac:dyDescent="0.2">
      <c r="R24983" s="1288"/>
    </row>
    <row r="24984" spans="18:18" s="2" customFormat="1" ht="12.75" x14ac:dyDescent="0.2">
      <c r="R24984" s="1288"/>
    </row>
    <row r="24985" spans="18:18" s="2" customFormat="1" ht="12.75" x14ac:dyDescent="0.2">
      <c r="R24985" s="1288"/>
    </row>
    <row r="24986" spans="18:18" s="2" customFormat="1" ht="12.75" x14ac:dyDescent="0.2">
      <c r="R24986" s="1288"/>
    </row>
    <row r="24987" spans="18:18" s="2" customFormat="1" ht="12.75" x14ac:dyDescent="0.2">
      <c r="R24987" s="1288"/>
    </row>
    <row r="24988" spans="18:18" s="2" customFormat="1" ht="12.75" x14ac:dyDescent="0.2">
      <c r="R24988" s="1288"/>
    </row>
    <row r="24989" spans="18:18" s="2" customFormat="1" ht="12.75" x14ac:dyDescent="0.2">
      <c r="R24989" s="1288"/>
    </row>
    <row r="24990" spans="18:18" s="2" customFormat="1" ht="12.75" x14ac:dyDescent="0.2">
      <c r="R24990" s="1288"/>
    </row>
    <row r="24991" spans="18:18" s="2" customFormat="1" ht="12.75" x14ac:dyDescent="0.2">
      <c r="R24991" s="1288"/>
    </row>
    <row r="24992" spans="18:18" s="2" customFormat="1" ht="12.75" x14ac:dyDescent="0.2">
      <c r="R24992" s="1288"/>
    </row>
    <row r="24993" spans="18:18" s="2" customFormat="1" ht="12.75" x14ac:dyDescent="0.2">
      <c r="R24993" s="1288"/>
    </row>
    <row r="24994" spans="18:18" s="2" customFormat="1" ht="12.75" x14ac:dyDescent="0.2">
      <c r="R24994" s="1288"/>
    </row>
    <row r="24995" spans="18:18" s="2" customFormat="1" ht="12.75" x14ac:dyDescent="0.2">
      <c r="R24995" s="1288"/>
    </row>
    <row r="24996" spans="18:18" s="2" customFormat="1" ht="12.75" x14ac:dyDescent="0.2">
      <c r="R24996" s="1288"/>
    </row>
    <row r="24997" spans="18:18" s="2" customFormat="1" ht="12.75" x14ac:dyDescent="0.2">
      <c r="R24997" s="1288"/>
    </row>
    <row r="24998" spans="18:18" s="2" customFormat="1" ht="12.75" x14ac:dyDescent="0.2">
      <c r="R24998" s="1288"/>
    </row>
    <row r="24999" spans="18:18" s="2" customFormat="1" ht="12.75" x14ac:dyDescent="0.2">
      <c r="R24999" s="1288"/>
    </row>
    <row r="25000" spans="18:18" s="2" customFormat="1" ht="12.75" x14ac:dyDescent="0.2">
      <c r="R25000" s="1288"/>
    </row>
    <row r="25001" spans="18:18" s="2" customFormat="1" ht="12.75" x14ac:dyDescent="0.2">
      <c r="R25001" s="1288"/>
    </row>
    <row r="25002" spans="18:18" s="2" customFormat="1" ht="12.75" x14ac:dyDescent="0.2">
      <c r="R25002" s="1288"/>
    </row>
    <row r="25003" spans="18:18" s="2" customFormat="1" ht="12.75" x14ac:dyDescent="0.2">
      <c r="R25003" s="1288"/>
    </row>
    <row r="25004" spans="18:18" s="2" customFormat="1" ht="12.75" x14ac:dyDescent="0.2">
      <c r="R25004" s="1288"/>
    </row>
    <row r="25005" spans="18:18" s="2" customFormat="1" ht="12.75" x14ac:dyDescent="0.2">
      <c r="R25005" s="1288"/>
    </row>
    <row r="25006" spans="18:18" s="2" customFormat="1" ht="12.75" x14ac:dyDescent="0.2">
      <c r="R25006" s="1288"/>
    </row>
    <row r="25007" spans="18:18" s="2" customFormat="1" ht="12.75" x14ac:dyDescent="0.2">
      <c r="R25007" s="1288"/>
    </row>
    <row r="25008" spans="18:18" s="2" customFormat="1" ht="12.75" x14ac:dyDescent="0.2">
      <c r="R25008" s="1288"/>
    </row>
    <row r="25009" spans="18:18" s="2" customFormat="1" ht="12.75" x14ac:dyDescent="0.2">
      <c r="R25009" s="1288"/>
    </row>
    <row r="25010" spans="18:18" s="2" customFormat="1" ht="12.75" x14ac:dyDescent="0.2">
      <c r="R25010" s="1288"/>
    </row>
    <row r="25011" spans="18:18" s="2" customFormat="1" ht="12.75" x14ac:dyDescent="0.2">
      <c r="R25011" s="1288"/>
    </row>
    <row r="25012" spans="18:18" s="2" customFormat="1" ht="12.75" x14ac:dyDescent="0.2">
      <c r="R25012" s="1288"/>
    </row>
    <row r="25013" spans="18:18" s="2" customFormat="1" ht="12.75" x14ac:dyDescent="0.2">
      <c r="R25013" s="1288"/>
    </row>
    <row r="25014" spans="18:18" s="2" customFormat="1" ht="12.75" x14ac:dyDescent="0.2">
      <c r="R25014" s="1288"/>
    </row>
    <row r="25015" spans="18:18" s="2" customFormat="1" ht="12.75" x14ac:dyDescent="0.2">
      <c r="R25015" s="1288"/>
    </row>
    <row r="25016" spans="18:18" s="2" customFormat="1" ht="12.75" x14ac:dyDescent="0.2">
      <c r="R25016" s="1288"/>
    </row>
    <row r="25017" spans="18:18" s="2" customFormat="1" ht="12.75" x14ac:dyDescent="0.2">
      <c r="R25017" s="1288"/>
    </row>
    <row r="25018" spans="18:18" s="2" customFormat="1" ht="12.75" x14ac:dyDescent="0.2">
      <c r="R25018" s="1288"/>
    </row>
    <row r="25019" spans="18:18" s="2" customFormat="1" ht="12.75" x14ac:dyDescent="0.2">
      <c r="R25019" s="1288"/>
    </row>
    <row r="25020" spans="18:18" s="2" customFormat="1" ht="12.75" x14ac:dyDescent="0.2">
      <c r="R25020" s="1288"/>
    </row>
    <row r="25021" spans="18:18" s="2" customFormat="1" ht="12.75" x14ac:dyDescent="0.2">
      <c r="R25021" s="1288"/>
    </row>
    <row r="25022" spans="18:18" s="2" customFormat="1" ht="12.75" x14ac:dyDescent="0.2">
      <c r="R25022" s="1288"/>
    </row>
    <row r="25023" spans="18:18" s="2" customFormat="1" ht="12.75" x14ac:dyDescent="0.2">
      <c r="R25023" s="1288"/>
    </row>
    <row r="25024" spans="18:18" s="2" customFormat="1" ht="12.75" x14ac:dyDescent="0.2">
      <c r="R25024" s="1288"/>
    </row>
    <row r="25025" spans="18:18" s="2" customFormat="1" ht="12.75" x14ac:dyDescent="0.2">
      <c r="R25025" s="1288"/>
    </row>
    <row r="25026" spans="18:18" s="2" customFormat="1" ht="12.75" x14ac:dyDescent="0.2">
      <c r="R25026" s="1288"/>
    </row>
    <row r="25027" spans="18:18" s="2" customFormat="1" ht="12.75" x14ac:dyDescent="0.2">
      <c r="R25027" s="1288"/>
    </row>
    <row r="25028" spans="18:18" s="2" customFormat="1" ht="12.75" x14ac:dyDescent="0.2">
      <c r="R25028" s="1288"/>
    </row>
    <row r="25029" spans="18:18" s="2" customFormat="1" ht="12.75" x14ac:dyDescent="0.2">
      <c r="R25029" s="1288"/>
    </row>
    <row r="25030" spans="18:18" s="2" customFormat="1" ht="12.75" x14ac:dyDescent="0.2">
      <c r="R25030" s="1288"/>
    </row>
    <row r="25031" spans="18:18" s="2" customFormat="1" ht="12.75" x14ac:dyDescent="0.2">
      <c r="R25031" s="1288"/>
    </row>
    <row r="25032" spans="18:18" s="2" customFormat="1" ht="12.75" x14ac:dyDescent="0.2">
      <c r="R25032" s="1288"/>
    </row>
    <row r="25033" spans="18:18" s="2" customFormat="1" ht="12.75" x14ac:dyDescent="0.2">
      <c r="R25033" s="1288"/>
    </row>
    <row r="25034" spans="18:18" s="2" customFormat="1" ht="12.75" x14ac:dyDescent="0.2">
      <c r="R25034" s="1288"/>
    </row>
    <row r="25035" spans="18:18" s="2" customFormat="1" ht="12.75" x14ac:dyDescent="0.2">
      <c r="R25035" s="1288"/>
    </row>
    <row r="25036" spans="18:18" s="2" customFormat="1" ht="12.75" x14ac:dyDescent="0.2">
      <c r="R25036" s="1288"/>
    </row>
    <row r="25037" spans="18:18" s="2" customFormat="1" ht="12.75" x14ac:dyDescent="0.2">
      <c r="R25037" s="1288"/>
    </row>
    <row r="25038" spans="18:18" s="2" customFormat="1" ht="12.75" x14ac:dyDescent="0.2">
      <c r="R25038" s="1288"/>
    </row>
    <row r="25039" spans="18:18" s="2" customFormat="1" ht="12.75" x14ac:dyDescent="0.2">
      <c r="R25039" s="1288"/>
    </row>
    <row r="25040" spans="18:18" s="2" customFormat="1" ht="12.75" x14ac:dyDescent="0.2">
      <c r="R25040" s="1288"/>
    </row>
    <row r="25041" spans="18:18" s="2" customFormat="1" ht="12.75" x14ac:dyDescent="0.2">
      <c r="R25041" s="1288"/>
    </row>
    <row r="25042" spans="18:18" s="2" customFormat="1" ht="12.75" x14ac:dyDescent="0.2">
      <c r="R25042" s="1288"/>
    </row>
    <row r="25043" spans="18:18" s="2" customFormat="1" ht="12.75" x14ac:dyDescent="0.2">
      <c r="R25043" s="1288"/>
    </row>
    <row r="25044" spans="18:18" s="2" customFormat="1" ht="12.75" x14ac:dyDescent="0.2">
      <c r="R25044" s="1288"/>
    </row>
    <row r="25045" spans="18:18" s="2" customFormat="1" ht="12.75" x14ac:dyDescent="0.2">
      <c r="R25045" s="1288"/>
    </row>
    <row r="25046" spans="18:18" s="2" customFormat="1" ht="12.75" x14ac:dyDescent="0.2">
      <c r="R25046" s="1288"/>
    </row>
    <row r="25047" spans="18:18" s="2" customFormat="1" ht="12.75" x14ac:dyDescent="0.2">
      <c r="R25047" s="1288"/>
    </row>
    <row r="25048" spans="18:18" s="2" customFormat="1" ht="12.75" x14ac:dyDescent="0.2">
      <c r="R25048" s="1288"/>
    </row>
    <row r="25049" spans="18:18" s="2" customFormat="1" ht="12.75" x14ac:dyDescent="0.2">
      <c r="R25049" s="1288"/>
    </row>
    <row r="25050" spans="18:18" s="2" customFormat="1" ht="12.75" x14ac:dyDescent="0.2">
      <c r="R25050" s="1288"/>
    </row>
    <row r="25051" spans="18:18" s="2" customFormat="1" ht="12.75" x14ac:dyDescent="0.2">
      <c r="R25051" s="1288"/>
    </row>
    <row r="25052" spans="18:18" s="2" customFormat="1" ht="12.75" x14ac:dyDescent="0.2">
      <c r="R25052" s="1288"/>
    </row>
    <row r="25053" spans="18:18" s="2" customFormat="1" ht="12.75" x14ac:dyDescent="0.2">
      <c r="R25053" s="1288"/>
    </row>
    <row r="25054" spans="18:18" s="2" customFormat="1" ht="12.75" x14ac:dyDescent="0.2">
      <c r="R25054" s="1288"/>
    </row>
    <row r="25055" spans="18:18" s="2" customFormat="1" ht="12.75" x14ac:dyDescent="0.2">
      <c r="R25055" s="1288"/>
    </row>
    <row r="25056" spans="18:18" s="2" customFormat="1" ht="12.75" x14ac:dyDescent="0.2">
      <c r="R25056" s="1288"/>
    </row>
    <row r="25057" spans="18:18" s="2" customFormat="1" ht="12.75" x14ac:dyDescent="0.2">
      <c r="R25057" s="1288"/>
    </row>
    <row r="25058" spans="18:18" s="2" customFormat="1" ht="12.75" x14ac:dyDescent="0.2">
      <c r="R25058" s="1288"/>
    </row>
    <row r="25059" spans="18:18" s="2" customFormat="1" ht="12.75" x14ac:dyDescent="0.2">
      <c r="R25059" s="1288"/>
    </row>
    <row r="25060" spans="18:18" s="2" customFormat="1" ht="12.75" x14ac:dyDescent="0.2">
      <c r="R25060" s="1288"/>
    </row>
    <row r="25061" spans="18:18" s="2" customFormat="1" ht="12.75" x14ac:dyDescent="0.2">
      <c r="R25061" s="1288"/>
    </row>
    <row r="25062" spans="18:18" s="2" customFormat="1" ht="12.75" x14ac:dyDescent="0.2">
      <c r="R25062" s="1288"/>
    </row>
    <row r="25063" spans="18:18" s="2" customFormat="1" ht="12.75" x14ac:dyDescent="0.2">
      <c r="R25063" s="1288"/>
    </row>
    <row r="25064" spans="18:18" s="2" customFormat="1" ht="12.75" x14ac:dyDescent="0.2">
      <c r="R25064" s="1288"/>
    </row>
    <row r="25065" spans="18:18" s="2" customFormat="1" ht="12.75" x14ac:dyDescent="0.2">
      <c r="R25065" s="1288"/>
    </row>
    <row r="25066" spans="18:18" s="2" customFormat="1" ht="12.75" x14ac:dyDescent="0.2">
      <c r="R25066" s="1288"/>
    </row>
    <row r="25067" spans="18:18" s="2" customFormat="1" ht="12.75" x14ac:dyDescent="0.2">
      <c r="R25067" s="1288"/>
    </row>
    <row r="25068" spans="18:18" s="2" customFormat="1" ht="12.75" x14ac:dyDescent="0.2">
      <c r="R25068" s="1288"/>
    </row>
    <row r="25069" spans="18:18" s="2" customFormat="1" ht="12.75" x14ac:dyDescent="0.2">
      <c r="R25069" s="1288"/>
    </row>
    <row r="25070" spans="18:18" s="2" customFormat="1" ht="12.75" x14ac:dyDescent="0.2">
      <c r="R25070" s="1288"/>
    </row>
    <row r="25071" spans="18:18" s="2" customFormat="1" ht="12.75" x14ac:dyDescent="0.2">
      <c r="R25071" s="1288"/>
    </row>
    <row r="25072" spans="18:18" s="2" customFormat="1" ht="12.75" x14ac:dyDescent="0.2">
      <c r="R25072" s="1288"/>
    </row>
    <row r="25073" spans="18:18" s="2" customFormat="1" ht="12.75" x14ac:dyDescent="0.2">
      <c r="R25073" s="1288"/>
    </row>
    <row r="25074" spans="18:18" s="2" customFormat="1" ht="12.75" x14ac:dyDescent="0.2">
      <c r="R25074" s="1288"/>
    </row>
    <row r="25075" spans="18:18" s="2" customFormat="1" ht="12.75" x14ac:dyDescent="0.2">
      <c r="R25075" s="1288"/>
    </row>
    <row r="25076" spans="18:18" s="2" customFormat="1" ht="12.75" x14ac:dyDescent="0.2">
      <c r="R25076" s="1288"/>
    </row>
    <row r="25077" spans="18:18" s="2" customFormat="1" ht="12.75" x14ac:dyDescent="0.2">
      <c r="R25077" s="1288"/>
    </row>
    <row r="25078" spans="18:18" s="2" customFormat="1" ht="12.75" x14ac:dyDescent="0.2">
      <c r="R25078" s="1288"/>
    </row>
    <row r="25079" spans="18:18" s="2" customFormat="1" ht="12.75" x14ac:dyDescent="0.2">
      <c r="R25079" s="1288"/>
    </row>
    <row r="25080" spans="18:18" s="2" customFormat="1" ht="12.75" x14ac:dyDescent="0.2">
      <c r="R25080" s="1288"/>
    </row>
    <row r="25081" spans="18:18" s="2" customFormat="1" ht="12.75" x14ac:dyDescent="0.2">
      <c r="R25081" s="1288"/>
    </row>
    <row r="25082" spans="18:18" s="2" customFormat="1" ht="12.75" x14ac:dyDescent="0.2">
      <c r="R25082" s="1288"/>
    </row>
    <row r="25083" spans="18:18" s="2" customFormat="1" ht="12.75" x14ac:dyDescent="0.2">
      <c r="R25083" s="1288"/>
    </row>
    <row r="25084" spans="18:18" s="2" customFormat="1" ht="12.75" x14ac:dyDescent="0.2">
      <c r="R25084" s="1288"/>
    </row>
    <row r="25085" spans="18:18" s="2" customFormat="1" ht="12.75" x14ac:dyDescent="0.2">
      <c r="R25085" s="1288"/>
    </row>
    <row r="25086" spans="18:18" s="2" customFormat="1" ht="12.75" x14ac:dyDescent="0.2">
      <c r="R25086" s="1288"/>
    </row>
    <row r="25087" spans="18:18" s="2" customFormat="1" ht="12.75" x14ac:dyDescent="0.2">
      <c r="R25087" s="1288"/>
    </row>
    <row r="25088" spans="18:18" s="2" customFormat="1" ht="12.75" x14ac:dyDescent="0.2">
      <c r="R25088" s="1288"/>
    </row>
    <row r="25089" spans="18:18" s="2" customFormat="1" ht="12.75" x14ac:dyDescent="0.2">
      <c r="R25089" s="1288"/>
    </row>
    <row r="25090" spans="18:18" s="2" customFormat="1" ht="12.75" x14ac:dyDescent="0.2">
      <c r="R25090" s="1288"/>
    </row>
    <row r="25091" spans="18:18" s="2" customFormat="1" ht="12.75" x14ac:dyDescent="0.2">
      <c r="R25091" s="1288"/>
    </row>
    <row r="25092" spans="18:18" s="2" customFormat="1" ht="12.75" x14ac:dyDescent="0.2">
      <c r="R25092" s="1288"/>
    </row>
    <row r="25093" spans="18:18" s="2" customFormat="1" ht="12.75" x14ac:dyDescent="0.2">
      <c r="R25093" s="1288"/>
    </row>
    <row r="25094" spans="18:18" s="2" customFormat="1" ht="12.75" x14ac:dyDescent="0.2">
      <c r="R25094" s="1288"/>
    </row>
    <row r="25095" spans="18:18" s="2" customFormat="1" ht="12.75" x14ac:dyDescent="0.2">
      <c r="R25095" s="1288"/>
    </row>
    <row r="25096" spans="18:18" s="2" customFormat="1" ht="12.75" x14ac:dyDescent="0.2">
      <c r="R25096" s="1288"/>
    </row>
    <row r="25097" spans="18:18" s="2" customFormat="1" ht="12.75" x14ac:dyDescent="0.2">
      <c r="R25097" s="1288"/>
    </row>
    <row r="25098" spans="18:18" s="2" customFormat="1" ht="12.75" x14ac:dyDescent="0.2">
      <c r="R25098" s="1288"/>
    </row>
    <row r="25099" spans="18:18" s="2" customFormat="1" ht="12.75" x14ac:dyDescent="0.2">
      <c r="R25099" s="1288"/>
    </row>
    <row r="25100" spans="18:18" s="2" customFormat="1" ht="12.75" x14ac:dyDescent="0.2">
      <c r="R25100" s="1288"/>
    </row>
    <row r="25101" spans="18:18" s="2" customFormat="1" ht="12.75" x14ac:dyDescent="0.2">
      <c r="R25101" s="1288"/>
    </row>
    <row r="25102" spans="18:18" s="2" customFormat="1" ht="12.75" x14ac:dyDescent="0.2">
      <c r="R25102" s="1288"/>
    </row>
    <row r="25103" spans="18:18" s="2" customFormat="1" ht="12.75" x14ac:dyDescent="0.2">
      <c r="R25103" s="1288"/>
    </row>
    <row r="25104" spans="18:18" s="2" customFormat="1" ht="12.75" x14ac:dyDescent="0.2">
      <c r="R25104" s="1288"/>
    </row>
    <row r="25105" spans="18:18" s="2" customFormat="1" ht="12.75" x14ac:dyDescent="0.2">
      <c r="R25105" s="1288"/>
    </row>
    <row r="25106" spans="18:18" s="2" customFormat="1" ht="12.75" x14ac:dyDescent="0.2">
      <c r="R25106" s="1288"/>
    </row>
    <row r="25107" spans="18:18" s="2" customFormat="1" ht="12.75" x14ac:dyDescent="0.2">
      <c r="R25107" s="1288"/>
    </row>
    <row r="25108" spans="18:18" s="2" customFormat="1" ht="12.75" x14ac:dyDescent="0.2">
      <c r="R25108" s="1288"/>
    </row>
    <row r="25109" spans="18:18" s="2" customFormat="1" ht="12.75" x14ac:dyDescent="0.2">
      <c r="R25109" s="1288"/>
    </row>
    <row r="25110" spans="18:18" s="2" customFormat="1" ht="12.75" x14ac:dyDescent="0.2">
      <c r="R25110" s="1288"/>
    </row>
    <row r="25111" spans="18:18" s="2" customFormat="1" ht="12.75" x14ac:dyDescent="0.2">
      <c r="R25111" s="1288"/>
    </row>
    <row r="25112" spans="18:18" s="2" customFormat="1" ht="12.75" x14ac:dyDescent="0.2">
      <c r="R25112" s="1288"/>
    </row>
    <row r="25113" spans="18:18" s="2" customFormat="1" ht="12.75" x14ac:dyDescent="0.2">
      <c r="R25113" s="1288"/>
    </row>
    <row r="25114" spans="18:18" s="2" customFormat="1" ht="12.75" x14ac:dyDescent="0.2">
      <c r="R25114" s="1288"/>
    </row>
    <row r="25115" spans="18:18" s="2" customFormat="1" ht="12.75" x14ac:dyDescent="0.2">
      <c r="R25115" s="1288"/>
    </row>
    <row r="25116" spans="18:18" s="2" customFormat="1" ht="12.75" x14ac:dyDescent="0.2">
      <c r="R25116" s="1288"/>
    </row>
    <row r="25117" spans="18:18" s="2" customFormat="1" ht="12.75" x14ac:dyDescent="0.2">
      <c r="R25117" s="1288"/>
    </row>
    <row r="25118" spans="18:18" s="2" customFormat="1" ht="12.75" x14ac:dyDescent="0.2">
      <c r="R25118" s="1288"/>
    </row>
    <row r="25119" spans="18:18" s="2" customFormat="1" ht="12.75" x14ac:dyDescent="0.2">
      <c r="R25119" s="1288"/>
    </row>
    <row r="25120" spans="18:18" s="2" customFormat="1" ht="12.75" x14ac:dyDescent="0.2">
      <c r="R25120" s="1288"/>
    </row>
    <row r="25121" spans="18:18" s="2" customFormat="1" ht="12.75" x14ac:dyDescent="0.2">
      <c r="R25121" s="1288"/>
    </row>
    <row r="25122" spans="18:18" s="2" customFormat="1" ht="12.75" x14ac:dyDescent="0.2">
      <c r="R25122" s="1288"/>
    </row>
    <row r="25123" spans="18:18" s="2" customFormat="1" ht="12.75" x14ac:dyDescent="0.2">
      <c r="R25123" s="1288"/>
    </row>
    <row r="25124" spans="18:18" s="2" customFormat="1" ht="12.75" x14ac:dyDescent="0.2">
      <c r="R25124" s="1288"/>
    </row>
    <row r="25125" spans="18:18" s="2" customFormat="1" ht="12.75" x14ac:dyDescent="0.2">
      <c r="R25125" s="1288"/>
    </row>
    <row r="25126" spans="18:18" s="2" customFormat="1" ht="12.75" x14ac:dyDescent="0.2">
      <c r="R25126" s="1288"/>
    </row>
    <row r="25127" spans="18:18" s="2" customFormat="1" ht="12.75" x14ac:dyDescent="0.2">
      <c r="R25127" s="1288"/>
    </row>
    <row r="25128" spans="18:18" s="2" customFormat="1" ht="12.75" x14ac:dyDescent="0.2">
      <c r="R25128" s="1288"/>
    </row>
    <row r="25129" spans="18:18" s="2" customFormat="1" ht="12.75" x14ac:dyDescent="0.2">
      <c r="R25129" s="1288"/>
    </row>
    <row r="25130" spans="18:18" s="2" customFormat="1" ht="12.75" x14ac:dyDescent="0.2">
      <c r="R25130" s="1288"/>
    </row>
    <row r="25131" spans="18:18" s="2" customFormat="1" ht="12.75" x14ac:dyDescent="0.2">
      <c r="R25131" s="1288"/>
    </row>
    <row r="25132" spans="18:18" s="2" customFormat="1" ht="12.75" x14ac:dyDescent="0.2">
      <c r="R25132" s="1288"/>
    </row>
    <row r="25133" spans="18:18" s="2" customFormat="1" ht="12.75" x14ac:dyDescent="0.2">
      <c r="R25133" s="1288"/>
    </row>
    <row r="25134" spans="18:18" s="2" customFormat="1" ht="12.75" x14ac:dyDescent="0.2">
      <c r="R25134" s="1288"/>
    </row>
    <row r="25135" spans="18:18" s="2" customFormat="1" ht="12.75" x14ac:dyDescent="0.2">
      <c r="R25135" s="1288"/>
    </row>
    <row r="25136" spans="18:18" s="2" customFormat="1" ht="12.75" x14ac:dyDescent="0.2">
      <c r="R25136" s="1288"/>
    </row>
    <row r="25137" spans="18:18" s="2" customFormat="1" ht="12.75" x14ac:dyDescent="0.2">
      <c r="R25137" s="1288"/>
    </row>
    <row r="25138" spans="18:18" s="2" customFormat="1" ht="12.75" x14ac:dyDescent="0.2">
      <c r="R25138" s="1288"/>
    </row>
    <row r="25139" spans="18:18" s="2" customFormat="1" ht="12.75" x14ac:dyDescent="0.2">
      <c r="R25139" s="1288"/>
    </row>
    <row r="25140" spans="18:18" s="2" customFormat="1" ht="12.75" x14ac:dyDescent="0.2">
      <c r="R25140" s="1288"/>
    </row>
    <row r="25141" spans="18:18" s="2" customFormat="1" ht="12.75" x14ac:dyDescent="0.2">
      <c r="R25141" s="1288"/>
    </row>
    <row r="25142" spans="18:18" s="2" customFormat="1" ht="12.75" x14ac:dyDescent="0.2">
      <c r="R25142" s="1288"/>
    </row>
    <row r="25143" spans="18:18" s="2" customFormat="1" ht="12.75" x14ac:dyDescent="0.2">
      <c r="R25143" s="1288"/>
    </row>
    <row r="25144" spans="18:18" s="2" customFormat="1" ht="12.75" x14ac:dyDescent="0.2">
      <c r="R25144" s="1288"/>
    </row>
    <row r="25145" spans="18:18" s="2" customFormat="1" ht="12.75" x14ac:dyDescent="0.2">
      <c r="R25145" s="1288"/>
    </row>
    <row r="25146" spans="18:18" s="2" customFormat="1" ht="12.75" x14ac:dyDescent="0.2">
      <c r="R25146" s="1288"/>
    </row>
    <row r="25147" spans="18:18" s="2" customFormat="1" ht="12.75" x14ac:dyDescent="0.2">
      <c r="R25147" s="1288"/>
    </row>
    <row r="25148" spans="18:18" s="2" customFormat="1" ht="12.75" x14ac:dyDescent="0.2">
      <c r="R25148" s="1288"/>
    </row>
    <row r="25149" spans="18:18" s="2" customFormat="1" ht="12.75" x14ac:dyDescent="0.2">
      <c r="R25149" s="1288"/>
    </row>
    <row r="25150" spans="18:18" s="2" customFormat="1" ht="12.75" x14ac:dyDescent="0.2">
      <c r="R25150" s="1288"/>
    </row>
    <row r="25151" spans="18:18" s="2" customFormat="1" ht="12.75" x14ac:dyDescent="0.2">
      <c r="R25151" s="1288"/>
    </row>
    <row r="25152" spans="18:18" s="2" customFormat="1" ht="12.75" x14ac:dyDescent="0.2">
      <c r="R25152" s="1288"/>
    </row>
    <row r="25153" spans="18:18" s="2" customFormat="1" ht="12.75" x14ac:dyDescent="0.2">
      <c r="R25153" s="1288"/>
    </row>
    <row r="25154" spans="18:18" s="2" customFormat="1" ht="12.75" x14ac:dyDescent="0.2">
      <c r="R25154" s="1288"/>
    </row>
    <row r="25155" spans="18:18" s="2" customFormat="1" ht="12.75" x14ac:dyDescent="0.2">
      <c r="R25155" s="1288"/>
    </row>
    <row r="25156" spans="18:18" s="2" customFormat="1" ht="12.75" x14ac:dyDescent="0.2">
      <c r="R25156" s="1288"/>
    </row>
    <row r="25157" spans="18:18" s="2" customFormat="1" ht="12.75" x14ac:dyDescent="0.2">
      <c r="R25157" s="1288"/>
    </row>
    <row r="25158" spans="18:18" s="2" customFormat="1" ht="12.75" x14ac:dyDescent="0.2">
      <c r="R25158" s="1288"/>
    </row>
    <row r="25159" spans="18:18" s="2" customFormat="1" ht="12.75" x14ac:dyDescent="0.2">
      <c r="R25159" s="1288"/>
    </row>
    <row r="25160" spans="18:18" s="2" customFormat="1" ht="12.75" x14ac:dyDescent="0.2">
      <c r="R25160" s="1288"/>
    </row>
    <row r="25161" spans="18:18" s="2" customFormat="1" ht="12.75" x14ac:dyDescent="0.2">
      <c r="R25161" s="1288"/>
    </row>
    <row r="25162" spans="18:18" s="2" customFormat="1" ht="12.75" x14ac:dyDescent="0.2">
      <c r="R25162" s="1288"/>
    </row>
    <row r="25163" spans="18:18" s="2" customFormat="1" ht="12.75" x14ac:dyDescent="0.2">
      <c r="R25163" s="1288"/>
    </row>
    <row r="25164" spans="18:18" s="2" customFormat="1" ht="12.75" x14ac:dyDescent="0.2">
      <c r="R25164" s="1288"/>
    </row>
    <row r="25165" spans="18:18" s="2" customFormat="1" ht="12.75" x14ac:dyDescent="0.2">
      <c r="R25165" s="1288"/>
    </row>
    <row r="25166" spans="18:18" s="2" customFormat="1" ht="12.75" x14ac:dyDescent="0.2">
      <c r="R25166" s="1288"/>
    </row>
    <row r="25167" spans="18:18" s="2" customFormat="1" ht="12.75" x14ac:dyDescent="0.2">
      <c r="R25167" s="1288"/>
    </row>
    <row r="25168" spans="18:18" s="2" customFormat="1" ht="12.75" x14ac:dyDescent="0.2">
      <c r="R25168" s="1288"/>
    </row>
    <row r="25169" spans="18:18" s="2" customFormat="1" ht="12.75" x14ac:dyDescent="0.2">
      <c r="R25169" s="1288"/>
    </row>
    <row r="25170" spans="18:18" s="2" customFormat="1" ht="12.75" x14ac:dyDescent="0.2">
      <c r="R25170" s="1288"/>
    </row>
    <row r="25171" spans="18:18" s="2" customFormat="1" ht="12.75" x14ac:dyDescent="0.2">
      <c r="R25171" s="1288"/>
    </row>
    <row r="25172" spans="18:18" s="2" customFormat="1" ht="12.75" x14ac:dyDescent="0.2">
      <c r="R25172" s="1288"/>
    </row>
    <row r="25173" spans="18:18" s="2" customFormat="1" ht="12.75" x14ac:dyDescent="0.2">
      <c r="R25173" s="1288"/>
    </row>
    <row r="25174" spans="18:18" s="2" customFormat="1" ht="12.75" x14ac:dyDescent="0.2">
      <c r="R25174" s="1288"/>
    </row>
    <row r="25175" spans="18:18" s="2" customFormat="1" ht="12.75" x14ac:dyDescent="0.2">
      <c r="R25175" s="1288"/>
    </row>
    <row r="25176" spans="18:18" s="2" customFormat="1" ht="12.75" x14ac:dyDescent="0.2">
      <c r="R25176" s="1288"/>
    </row>
    <row r="25177" spans="18:18" s="2" customFormat="1" ht="12.75" x14ac:dyDescent="0.2">
      <c r="R25177" s="1288"/>
    </row>
    <row r="25178" spans="18:18" s="2" customFormat="1" ht="12.75" x14ac:dyDescent="0.2">
      <c r="R25178" s="1288"/>
    </row>
    <row r="25179" spans="18:18" s="2" customFormat="1" ht="12.75" x14ac:dyDescent="0.2">
      <c r="R25179" s="1288"/>
    </row>
    <row r="25180" spans="18:18" s="2" customFormat="1" ht="12.75" x14ac:dyDescent="0.2">
      <c r="R25180" s="1288"/>
    </row>
    <row r="25181" spans="18:18" s="2" customFormat="1" ht="12.75" x14ac:dyDescent="0.2">
      <c r="R25181" s="1288"/>
    </row>
    <row r="25182" spans="18:18" s="2" customFormat="1" ht="12.75" x14ac:dyDescent="0.2">
      <c r="R25182" s="1288"/>
    </row>
    <row r="25183" spans="18:18" s="2" customFormat="1" ht="12.75" x14ac:dyDescent="0.2">
      <c r="R25183" s="1288"/>
    </row>
    <row r="25184" spans="18:18" s="2" customFormat="1" ht="12.75" x14ac:dyDescent="0.2">
      <c r="R25184" s="1288"/>
    </row>
    <row r="25185" spans="18:18" s="2" customFormat="1" ht="12.75" x14ac:dyDescent="0.2">
      <c r="R25185" s="1288"/>
    </row>
    <row r="25186" spans="18:18" s="2" customFormat="1" ht="12.75" x14ac:dyDescent="0.2">
      <c r="R25186" s="1288"/>
    </row>
    <row r="25187" spans="18:18" s="2" customFormat="1" ht="12.75" x14ac:dyDescent="0.2">
      <c r="R25187" s="1288"/>
    </row>
    <row r="25188" spans="18:18" s="2" customFormat="1" ht="12.75" x14ac:dyDescent="0.2">
      <c r="R25188" s="1288"/>
    </row>
    <row r="25189" spans="18:18" s="2" customFormat="1" ht="12.75" x14ac:dyDescent="0.2">
      <c r="R25189" s="1288"/>
    </row>
    <row r="25190" spans="18:18" s="2" customFormat="1" ht="12.75" x14ac:dyDescent="0.2">
      <c r="R25190" s="1288"/>
    </row>
    <row r="25191" spans="18:18" s="2" customFormat="1" ht="12.75" x14ac:dyDescent="0.2">
      <c r="R25191" s="1288"/>
    </row>
    <row r="25192" spans="18:18" s="2" customFormat="1" ht="12.75" x14ac:dyDescent="0.2">
      <c r="R25192" s="1288"/>
    </row>
    <row r="25193" spans="18:18" s="2" customFormat="1" ht="12.75" x14ac:dyDescent="0.2">
      <c r="R25193" s="1288"/>
    </row>
    <row r="25194" spans="18:18" s="2" customFormat="1" ht="12.75" x14ac:dyDescent="0.2">
      <c r="R25194" s="1288"/>
    </row>
    <row r="25195" spans="18:18" s="2" customFormat="1" ht="12.75" x14ac:dyDescent="0.2">
      <c r="R25195" s="1288"/>
    </row>
    <row r="25196" spans="18:18" s="2" customFormat="1" ht="12.75" x14ac:dyDescent="0.2">
      <c r="R25196" s="1288"/>
    </row>
    <row r="25197" spans="18:18" s="2" customFormat="1" ht="12.75" x14ac:dyDescent="0.2">
      <c r="R25197" s="1288"/>
    </row>
    <row r="25198" spans="18:18" s="2" customFormat="1" ht="12.75" x14ac:dyDescent="0.2">
      <c r="R25198" s="1288"/>
    </row>
    <row r="25199" spans="18:18" s="2" customFormat="1" ht="12.75" x14ac:dyDescent="0.2">
      <c r="R25199" s="1288"/>
    </row>
    <row r="25200" spans="18:18" s="2" customFormat="1" ht="12.75" x14ac:dyDescent="0.2">
      <c r="R25200" s="1288"/>
    </row>
    <row r="25201" spans="18:18" s="2" customFormat="1" ht="12.75" x14ac:dyDescent="0.2">
      <c r="R25201" s="1288"/>
    </row>
    <row r="25202" spans="18:18" s="2" customFormat="1" ht="12.75" x14ac:dyDescent="0.2">
      <c r="R25202" s="1288"/>
    </row>
    <row r="25203" spans="18:18" s="2" customFormat="1" ht="12.75" x14ac:dyDescent="0.2">
      <c r="R25203" s="1288"/>
    </row>
    <row r="25204" spans="18:18" s="2" customFormat="1" ht="12.75" x14ac:dyDescent="0.2">
      <c r="R25204" s="1288"/>
    </row>
    <row r="25205" spans="18:18" s="2" customFormat="1" ht="12.75" x14ac:dyDescent="0.2">
      <c r="R25205" s="1288"/>
    </row>
    <row r="25206" spans="18:18" s="2" customFormat="1" ht="12.75" x14ac:dyDescent="0.2">
      <c r="R25206" s="1288"/>
    </row>
    <row r="25207" spans="18:18" s="2" customFormat="1" ht="12.75" x14ac:dyDescent="0.2">
      <c r="R25207" s="1288"/>
    </row>
    <row r="25208" spans="18:18" s="2" customFormat="1" ht="12.75" x14ac:dyDescent="0.2">
      <c r="R25208" s="1288"/>
    </row>
    <row r="25209" spans="18:18" s="2" customFormat="1" ht="12.75" x14ac:dyDescent="0.2">
      <c r="R25209" s="1288"/>
    </row>
    <row r="25210" spans="18:18" s="2" customFormat="1" ht="12.75" x14ac:dyDescent="0.2">
      <c r="R25210" s="1288"/>
    </row>
    <row r="25211" spans="18:18" s="2" customFormat="1" ht="12.75" x14ac:dyDescent="0.2">
      <c r="R25211" s="1288"/>
    </row>
    <row r="25212" spans="18:18" s="2" customFormat="1" ht="12.75" x14ac:dyDescent="0.2">
      <c r="R25212" s="1288"/>
    </row>
    <row r="25213" spans="18:18" s="2" customFormat="1" ht="12.75" x14ac:dyDescent="0.2">
      <c r="R25213" s="1288"/>
    </row>
    <row r="25214" spans="18:18" s="2" customFormat="1" ht="12.75" x14ac:dyDescent="0.2">
      <c r="R25214" s="1288"/>
    </row>
    <row r="25215" spans="18:18" s="2" customFormat="1" ht="12.75" x14ac:dyDescent="0.2">
      <c r="R25215" s="1288"/>
    </row>
    <row r="25216" spans="18:18" s="2" customFormat="1" ht="12.75" x14ac:dyDescent="0.2">
      <c r="R25216" s="1288"/>
    </row>
    <row r="25217" spans="18:18" s="2" customFormat="1" ht="12.75" x14ac:dyDescent="0.2">
      <c r="R25217" s="1288"/>
    </row>
    <row r="25218" spans="18:18" s="2" customFormat="1" ht="12.75" x14ac:dyDescent="0.2">
      <c r="R25218" s="1288"/>
    </row>
    <row r="25219" spans="18:18" s="2" customFormat="1" ht="12.75" x14ac:dyDescent="0.2">
      <c r="R25219" s="1288"/>
    </row>
    <row r="25220" spans="18:18" s="2" customFormat="1" ht="12.75" x14ac:dyDescent="0.2">
      <c r="R25220" s="1288"/>
    </row>
    <row r="25221" spans="18:18" s="2" customFormat="1" ht="12.75" x14ac:dyDescent="0.2">
      <c r="R25221" s="1288"/>
    </row>
    <row r="25222" spans="18:18" s="2" customFormat="1" ht="12.75" x14ac:dyDescent="0.2">
      <c r="R25222" s="1288"/>
    </row>
    <row r="25223" spans="18:18" s="2" customFormat="1" ht="12.75" x14ac:dyDescent="0.2">
      <c r="R25223" s="1288"/>
    </row>
    <row r="25224" spans="18:18" s="2" customFormat="1" ht="12.75" x14ac:dyDescent="0.2">
      <c r="R25224" s="1288"/>
    </row>
    <row r="25225" spans="18:18" s="2" customFormat="1" ht="12.75" x14ac:dyDescent="0.2">
      <c r="R25225" s="1288"/>
    </row>
    <row r="25226" spans="18:18" s="2" customFormat="1" ht="12.75" x14ac:dyDescent="0.2">
      <c r="R25226" s="1288"/>
    </row>
    <row r="25227" spans="18:18" s="2" customFormat="1" ht="12.75" x14ac:dyDescent="0.2">
      <c r="R25227" s="1288"/>
    </row>
    <row r="25228" spans="18:18" s="2" customFormat="1" ht="12.75" x14ac:dyDescent="0.2">
      <c r="R25228" s="1288"/>
    </row>
    <row r="25229" spans="18:18" s="2" customFormat="1" ht="12.75" x14ac:dyDescent="0.2">
      <c r="R25229" s="1288"/>
    </row>
    <row r="25230" spans="18:18" s="2" customFormat="1" ht="12.75" x14ac:dyDescent="0.2">
      <c r="R25230" s="1288"/>
    </row>
    <row r="25231" spans="18:18" s="2" customFormat="1" ht="12.75" x14ac:dyDescent="0.2">
      <c r="R25231" s="1288"/>
    </row>
    <row r="25232" spans="18:18" s="2" customFormat="1" ht="12.75" x14ac:dyDescent="0.2">
      <c r="R25232" s="1288"/>
    </row>
    <row r="25233" spans="18:18" s="2" customFormat="1" ht="12.75" x14ac:dyDescent="0.2">
      <c r="R25233" s="1288"/>
    </row>
    <row r="25234" spans="18:18" s="2" customFormat="1" ht="12.75" x14ac:dyDescent="0.2">
      <c r="R25234" s="1288"/>
    </row>
    <row r="25235" spans="18:18" s="2" customFormat="1" ht="12.75" x14ac:dyDescent="0.2">
      <c r="R25235" s="1288"/>
    </row>
    <row r="25236" spans="18:18" s="2" customFormat="1" ht="12.75" x14ac:dyDescent="0.2">
      <c r="R25236" s="1288"/>
    </row>
    <row r="25237" spans="18:18" s="2" customFormat="1" ht="12.75" x14ac:dyDescent="0.2">
      <c r="R25237" s="1288"/>
    </row>
    <row r="25238" spans="18:18" s="2" customFormat="1" ht="12.75" x14ac:dyDescent="0.2">
      <c r="R25238" s="1288"/>
    </row>
    <row r="25239" spans="18:18" s="2" customFormat="1" ht="12.75" x14ac:dyDescent="0.2">
      <c r="R25239" s="1288"/>
    </row>
    <row r="25240" spans="18:18" s="2" customFormat="1" ht="12.75" x14ac:dyDescent="0.2">
      <c r="R25240" s="1288"/>
    </row>
    <row r="25241" spans="18:18" s="2" customFormat="1" ht="12.75" x14ac:dyDescent="0.2">
      <c r="R25241" s="1288"/>
    </row>
    <row r="25242" spans="18:18" s="2" customFormat="1" ht="12.75" x14ac:dyDescent="0.2">
      <c r="R25242" s="1288"/>
    </row>
    <row r="25243" spans="18:18" s="2" customFormat="1" ht="12.75" x14ac:dyDescent="0.2">
      <c r="R25243" s="1288"/>
    </row>
    <row r="25244" spans="18:18" s="2" customFormat="1" ht="12.75" x14ac:dyDescent="0.2">
      <c r="R25244" s="1288"/>
    </row>
    <row r="25245" spans="18:18" s="2" customFormat="1" ht="12.75" x14ac:dyDescent="0.2">
      <c r="R25245" s="1288"/>
    </row>
    <row r="25246" spans="18:18" s="2" customFormat="1" ht="12.75" x14ac:dyDescent="0.2">
      <c r="R25246" s="1288"/>
    </row>
    <row r="25247" spans="18:18" s="2" customFormat="1" ht="12.75" x14ac:dyDescent="0.2">
      <c r="R25247" s="1288"/>
    </row>
    <row r="25248" spans="18:18" s="2" customFormat="1" ht="12.75" x14ac:dyDescent="0.2">
      <c r="R25248" s="1288"/>
    </row>
    <row r="25249" spans="18:18" s="2" customFormat="1" ht="12.75" x14ac:dyDescent="0.2">
      <c r="R25249" s="1288"/>
    </row>
    <row r="25250" spans="18:18" s="2" customFormat="1" ht="12.75" x14ac:dyDescent="0.2">
      <c r="R25250" s="1288"/>
    </row>
    <row r="25251" spans="18:18" s="2" customFormat="1" ht="12.75" x14ac:dyDescent="0.2">
      <c r="R25251" s="1288"/>
    </row>
    <row r="25252" spans="18:18" s="2" customFormat="1" ht="12.75" x14ac:dyDescent="0.2">
      <c r="R25252" s="1288"/>
    </row>
    <row r="25253" spans="18:18" s="2" customFormat="1" ht="12.75" x14ac:dyDescent="0.2">
      <c r="R25253" s="1288"/>
    </row>
    <row r="25254" spans="18:18" s="2" customFormat="1" ht="12.75" x14ac:dyDescent="0.2">
      <c r="R25254" s="1288"/>
    </row>
    <row r="25255" spans="18:18" s="2" customFormat="1" ht="12.75" x14ac:dyDescent="0.2">
      <c r="R25255" s="1288"/>
    </row>
    <row r="25256" spans="18:18" s="2" customFormat="1" ht="12.75" x14ac:dyDescent="0.2">
      <c r="R25256" s="1288"/>
    </row>
    <row r="25257" spans="18:18" s="2" customFormat="1" ht="12.75" x14ac:dyDescent="0.2">
      <c r="R25257" s="1288"/>
    </row>
    <row r="25258" spans="18:18" s="2" customFormat="1" ht="12.75" x14ac:dyDescent="0.2">
      <c r="R25258" s="1288"/>
    </row>
    <row r="25259" spans="18:18" s="2" customFormat="1" ht="12.75" x14ac:dyDescent="0.2">
      <c r="R25259" s="1288"/>
    </row>
    <row r="25260" spans="18:18" s="2" customFormat="1" ht="12.75" x14ac:dyDescent="0.2">
      <c r="R25260" s="1288"/>
    </row>
    <row r="25261" spans="18:18" s="2" customFormat="1" ht="12.75" x14ac:dyDescent="0.2">
      <c r="R25261" s="1288"/>
    </row>
    <row r="25262" spans="18:18" s="2" customFormat="1" ht="12.75" x14ac:dyDescent="0.2">
      <c r="R25262" s="1288"/>
    </row>
    <row r="25263" spans="18:18" s="2" customFormat="1" ht="12.75" x14ac:dyDescent="0.2">
      <c r="R25263" s="1288"/>
    </row>
    <row r="25264" spans="18:18" s="2" customFormat="1" ht="12.75" x14ac:dyDescent="0.2">
      <c r="R25264" s="1288"/>
    </row>
    <row r="25265" spans="18:18" s="2" customFormat="1" ht="12.75" x14ac:dyDescent="0.2">
      <c r="R25265" s="1288"/>
    </row>
    <row r="25266" spans="18:18" s="2" customFormat="1" ht="12.75" x14ac:dyDescent="0.2">
      <c r="R25266" s="1288"/>
    </row>
    <row r="25267" spans="18:18" s="2" customFormat="1" ht="12.75" x14ac:dyDescent="0.2">
      <c r="R25267" s="1288"/>
    </row>
    <row r="25268" spans="18:18" s="2" customFormat="1" ht="12.75" x14ac:dyDescent="0.2">
      <c r="R25268" s="1288"/>
    </row>
    <row r="25269" spans="18:18" s="2" customFormat="1" ht="12.75" x14ac:dyDescent="0.2">
      <c r="R25269" s="1288"/>
    </row>
    <row r="25270" spans="18:18" s="2" customFormat="1" ht="12.75" x14ac:dyDescent="0.2">
      <c r="R25270" s="1288"/>
    </row>
    <row r="25271" spans="18:18" s="2" customFormat="1" ht="12.75" x14ac:dyDescent="0.2">
      <c r="R25271" s="1288"/>
    </row>
    <row r="25272" spans="18:18" s="2" customFormat="1" ht="12.75" x14ac:dyDescent="0.2">
      <c r="R25272" s="1288"/>
    </row>
    <row r="25273" spans="18:18" s="2" customFormat="1" ht="12.75" x14ac:dyDescent="0.2">
      <c r="R25273" s="1288"/>
    </row>
    <row r="25274" spans="18:18" s="2" customFormat="1" ht="12.75" x14ac:dyDescent="0.2">
      <c r="R25274" s="1288"/>
    </row>
    <row r="25275" spans="18:18" s="2" customFormat="1" ht="12.75" x14ac:dyDescent="0.2">
      <c r="R25275" s="1288"/>
    </row>
    <row r="25276" spans="18:18" s="2" customFormat="1" ht="12.75" x14ac:dyDescent="0.2">
      <c r="R25276" s="1288"/>
    </row>
    <row r="25277" spans="18:18" s="2" customFormat="1" ht="12.75" x14ac:dyDescent="0.2">
      <c r="R25277" s="1288"/>
    </row>
    <row r="25278" spans="18:18" s="2" customFormat="1" ht="12.75" x14ac:dyDescent="0.2">
      <c r="R25278" s="1288"/>
    </row>
    <row r="25279" spans="18:18" s="2" customFormat="1" ht="12.75" x14ac:dyDescent="0.2">
      <c r="R25279" s="1288"/>
    </row>
    <row r="25280" spans="18:18" s="2" customFormat="1" ht="12.75" x14ac:dyDescent="0.2">
      <c r="R25280" s="1288"/>
    </row>
    <row r="25281" spans="18:18" s="2" customFormat="1" ht="12.75" x14ac:dyDescent="0.2">
      <c r="R25281" s="1288"/>
    </row>
    <row r="25282" spans="18:18" s="2" customFormat="1" ht="12.75" x14ac:dyDescent="0.2">
      <c r="R25282" s="1288"/>
    </row>
    <row r="25283" spans="18:18" s="2" customFormat="1" ht="12.75" x14ac:dyDescent="0.2">
      <c r="R25283" s="1288"/>
    </row>
    <row r="25284" spans="18:18" s="2" customFormat="1" ht="12.75" x14ac:dyDescent="0.2">
      <c r="R25284" s="1288"/>
    </row>
    <row r="25285" spans="18:18" s="2" customFormat="1" ht="12.75" x14ac:dyDescent="0.2">
      <c r="R25285" s="1288"/>
    </row>
    <row r="25286" spans="18:18" s="2" customFormat="1" ht="12.75" x14ac:dyDescent="0.2">
      <c r="R25286" s="1288"/>
    </row>
    <row r="25287" spans="18:18" s="2" customFormat="1" ht="12.75" x14ac:dyDescent="0.2">
      <c r="R25287" s="1288"/>
    </row>
    <row r="25288" spans="18:18" s="2" customFormat="1" ht="12.75" x14ac:dyDescent="0.2">
      <c r="R25288" s="1288"/>
    </row>
    <row r="25289" spans="18:18" s="2" customFormat="1" ht="12.75" x14ac:dyDescent="0.2">
      <c r="R25289" s="1288"/>
    </row>
    <row r="25290" spans="18:18" s="2" customFormat="1" ht="12.75" x14ac:dyDescent="0.2">
      <c r="R25290" s="1288"/>
    </row>
    <row r="25291" spans="18:18" s="2" customFormat="1" ht="12.75" x14ac:dyDescent="0.2">
      <c r="R25291" s="1288"/>
    </row>
    <row r="25292" spans="18:18" s="2" customFormat="1" ht="12.75" x14ac:dyDescent="0.2">
      <c r="R25292" s="1288"/>
    </row>
    <row r="25293" spans="18:18" s="2" customFormat="1" ht="12.75" x14ac:dyDescent="0.2">
      <c r="R25293" s="1288"/>
    </row>
    <row r="25294" spans="18:18" s="2" customFormat="1" ht="12.75" x14ac:dyDescent="0.2">
      <c r="R25294" s="1288"/>
    </row>
    <row r="25295" spans="18:18" s="2" customFormat="1" ht="12.75" x14ac:dyDescent="0.2">
      <c r="R25295" s="1288"/>
    </row>
    <row r="25296" spans="18:18" s="2" customFormat="1" ht="12.75" x14ac:dyDescent="0.2">
      <c r="R25296" s="1288"/>
    </row>
    <row r="25297" spans="18:18" s="2" customFormat="1" ht="12.75" x14ac:dyDescent="0.2">
      <c r="R25297" s="1288"/>
    </row>
    <row r="25298" spans="18:18" s="2" customFormat="1" ht="12.75" x14ac:dyDescent="0.2">
      <c r="R25298" s="1288"/>
    </row>
    <row r="25299" spans="18:18" s="2" customFormat="1" ht="12.75" x14ac:dyDescent="0.2">
      <c r="R25299" s="1288"/>
    </row>
    <row r="25300" spans="18:18" s="2" customFormat="1" ht="12.75" x14ac:dyDescent="0.2">
      <c r="R25300" s="1288"/>
    </row>
    <row r="25301" spans="18:18" s="2" customFormat="1" ht="12.75" x14ac:dyDescent="0.2">
      <c r="R25301" s="1288"/>
    </row>
    <row r="25302" spans="18:18" s="2" customFormat="1" ht="12.75" x14ac:dyDescent="0.2">
      <c r="R25302" s="1288"/>
    </row>
    <row r="25303" spans="18:18" s="2" customFormat="1" ht="12.75" x14ac:dyDescent="0.2">
      <c r="R25303" s="1288"/>
    </row>
    <row r="25304" spans="18:18" s="2" customFormat="1" ht="12.75" x14ac:dyDescent="0.2">
      <c r="R25304" s="1288"/>
    </row>
    <row r="25305" spans="18:18" s="2" customFormat="1" ht="12.75" x14ac:dyDescent="0.2">
      <c r="R25305" s="1288"/>
    </row>
    <row r="25306" spans="18:18" s="2" customFormat="1" ht="12.75" x14ac:dyDescent="0.2">
      <c r="R25306" s="1288"/>
    </row>
    <row r="25307" spans="18:18" s="2" customFormat="1" ht="12.75" x14ac:dyDescent="0.2">
      <c r="R25307" s="1288"/>
    </row>
    <row r="25308" spans="18:18" s="2" customFormat="1" ht="12.75" x14ac:dyDescent="0.2">
      <c r="R25308" s="1288"/>
    </row>
    <row r="25309" spans="18:18" s="2" customFormat="1" ht="12.75" x14ac:dyDescent="0.2">
      <c r="R25309" s="1288"/>
    </row>
    <row r="25310" spans="18:18" s="2" customFormat="1" ht="12.75" x14ac:dyDescent="0.2">
      <c r="R25310" s="1288"/>
    </row>
    <row r="25311" spans="18:18" s="2" customFormat="1" ht="12.75" x14ac:dyDescent="0.2">
      <c r="R25311" s="1288"/>
    </row>
    <row r="25312" spans="18:18" s="2" customFormat="1" ht="12.75" x14ac:dyDescent="0.2">
      <c r="R25312" s="1288"/>
    </row>
    <row r="25313" spans="18:18" s="2" customFormat="1" ht="12.75" x14ac:dyDescent="0.2">
      <c r="R25313" s="1288"/>
    </row>
    <row r="25314" spans="18:18" s="2" customFormat="1" ht="12.75" x14ac:dyDescent="0.2">
      <c r="R25314" s="1288"/>
    </row>
    <row r="25315" spans="18:18" s="2" customFormat="1" ht="12.75" x14ac:dyDescent="0.2">
      <c r="R25315" s="1288"/>
    </row>
    <row r="25316" spans="18:18" s="2" customFormat="1" ht="12.75" x14ac:dyDescent="0.2">
      <c r="R25316" s="1288"/>
    </row>
    <row r="25317" spans="18:18" s="2" customFormat="1" ht="12.75" x14ac:dyDescent="0.2">
      <c r="R25317" s="1288"/>
    </row>
    <row r="25318" spans="18:18" s="2" customFormat="1" ht="12.75" x14ac:dyDescent="0.2">
      <c r="R25318" s="1288"/>
    </row>
    <row r="25319" spans="18:18" s="2" customFormat="1" ht="12.75" x14ac:dyDescent="0.2">
      <c r="R25319" s="1288"/>
    </row>
    <row r="25320" spans="18:18" s="2" customFormat="1" ht="12.75" x14ac:dyDescent="0.2">
      <c r="R25320" s="1288"/>
    </row>
    <row r="25321" spans="18:18" s="2" customFormat="1" ht="12.75" x14ac:dyDescent="0.2">
      <c r="R25321" s="1288"/>
    </row>
    <row r="25322" spans="18:18" s="2" customFormat="1" ht="12.75" x14ac:dyDescent="0.2">
      <c r="R25322" s="1288"/>
    </row>
    <row r="25323" spans="18:18" s="2" customFormat="1" ht="12.75" x14ac:dyDescent="0.2">
      <c r="R25323" s="1288"/>
    </row>
    <row r="25324" spans="18:18" s="2" customFormat="1" ht="12.75" x14ac:dyDescent="0.2">
      <c r="R25324" s="1288"/>
    </row>
    <row r="25325" spans="18:18" s="2" customFormat="1" ht="12.75" x14ac:dyDescent="0.2">
      <c r="R25325" s="1288"/>
    </row>
    <row r="25326" spans="18:18" s="2" customFormat="1" ht="12.75" x14ac:dyDescent="0.2">
      <c r="R25326" s="1288"/>
    </row>
    <row r="25327" spans="18:18" s="2" customFormat="1" ht="12.75" x14ac:dyDescent="0.2">
      <c r="R25327" s="1288"/>
    </row>
    <row r="25328" spans="18:18" s="2" customFormat="1" ht="12.75" x14ac:dyDescent="0.2">
      <c r="R25328" s="1288"/>
    </row>
    <row r="25329" spans="18:18" s="2" customFormat="1" ht="12.75" x14ac:dyDescent="0.2">
      <c r="R25329" s="1288"/>
    </row>
    <row r="25330" spans="18:18" s="2" customFormat="1" ht="12.75" x14ac:dyDescent="0.2">
      <c r="R25330" s="1288"/>
    </row>
    <row r="25331" spans="18:18" s="2" customFormat="1" ht="12.75" x14ac:dyDescent="0.2">
      <c r="R25331" s="1288"/>
    </row>
    <row r="25332" spans="18:18" s="2" customFormat="1" ht="12.75" x14ac:dyDescent="0.2">
      <c r="R25332" s="1288"/>
    </row>
    <row r="25333" spans="18:18" s="2" customFormat="1" ht="12.75" x14ac:dyDescent="0.2">
      <c r="R25333" s="1288"/>
    </row>
    <row r="25334" spans="18:18" s="2" customFormat="1" ht="12.75" x14ac:dyDescent="0.2">
      <c r="R25334" s="1288"/>
    </row>
    <row r="25335" spans="18:18" s="2" customFormat="1" ht="12.75" x14ac:dyDescent="0.2">
      <c r="R25335" s="1288"/>
    </row>
    <row r="25336" spans="18:18" s="2" customFormat="1" ht="12.75" x14ac:dyDescent="0.2">
      <c r="R25336" s="1288"/>
    </row>
    <row r="25337" spans="18:18" s="2" customFormat="1" ht="12.75" x14ac:dyDescent="0.2">
      <c r="R25337" s="1288"/>
    </row>
    <row r="25338" spans="18:18" s="2" customFormat="1" ht="12.75" x14ac:dyDescent="0.2">
      <c r="R25338" s="1288"/>
    </row>
    <row r="25339" spans="18:18" s="2" customFormat="1" ht="12.75" x14ac:dyDescent="0.2">
      <c r="R25339" s="1288"/>
    </row>
    <row r="25340" spans="18:18" s="2" customFormat="1" ht="12.75" x14ac:dyDescent="0.2">
      <c r="R25340" s="1288"/>
    </row>
    <row r="25341" spans="18:18" s="2" customFormat="1" ht="12.75" x14ac:dyDescent="0.2">
      <c r="R25341" s="1288"/>
    </row>
    <row r="25342" spans="18:18" s="2" customFormat="1" ht="12.75" x14ac:dyDescent="0.2">
      <c r="R25342" s="1288"/>
    </row>
    <row r="25343" spans="18:18" s="2" customFormat="1" ht="12.75" x14ac:dyDescent="0.2">
      <c r="R25343" s="1288"/>
    </row>
    <row r="25344" spans="18:18" s="2" customFormat="1" ht="12.75" x14ac:dyDescent="0.2">
      <c r="R25344" s="1288"/>
    </row>
    <row r="25345" spans="18:18" s="2" customFormat="1" ht="12.75" x14ac:dyDescent="0.2">
      <c r="R25345" s="1288"/>
    </row>
    <row r="25346" spans="18:18" s="2" customFormat="1" ht="12.75" x14ac:dyDescent="0.2">
      <c r="R25346" s="1288"/>
    </row>
    <row r="25347" spans="18:18" s="2" customFormat="1" ht="12.75" x14ac:dyDescent="0.2">
      <c r="R25347" s="1288"/>
    </row>
    <row r="25348" spans="18:18" s="2" customFormat="1" ht="12.75" x14ac:dyDescent="0.2">
      <c r="R25348" s="1288"/>
    </row>
    <row r="25349" spans="18:18" s="2" customFormat="1" ht="12.75" x14ac:dyDescent="0.2">
      <c r="R25349" s="1288"/>
    </row>
    <row r="25350" spans="18:18" s="2" customFormat="1" ht="12.75" x14ac:dyDescent="0.2">
      <c r="R25350" s="1288"/>
    </row>
    <row r="25351" spans="18:18" s="2" customFormat="1" ht="12.75" x14ac:dyDescent="0.2">
      <c r="R25351" s="1288"/>
    </row>
    <row r="25352" spans="18:18" s="2" customFormat="1" ht="12.75" x14ac:dyDescent="0.2">
      <c r="R25352" s="1288"/>
    </row>
    <row r="25353" spans="18:18" s="2" customFormat="1" ht="12.75" x14ac:dyDescent="0.2">
      <c r="R25353" s="1288"/>
    </row>
    <row r="25354" spans="18:18" s="2" customFormat="1" ht="12.75" x14ac:dyDescent="0.2">
      <c r="R25354" s="1288"/>
    </row>
    <row r="25355" spans="18:18" s="2" customFormat="1" ht="12.75" x14ac:dyDescent="0.2">
      <c r="R25355" s="1288"/>
    </row>
    <row r="25356" spans="18:18" s="2" customFormat="1" ht="12.75" x14ac:dyDescent="0.2">
      <c r="R25356" s="1288"/>
    </row>
    <row r="25357" spans="18:18" s="2" customFormat="1" ht="12.75" x14ac:dyDescent="0.2">
      <c r="R25357" s="1288"/>
    </row>
    <row r="25358" spans="18:18" s="2" customFormat="1" ht="12.75" x14ac:dyDescent="0.2">
      <c r="R25358" s="1288"/>
    </row>
    <row r="25359" spans="18:18" s="2" customFormat="1" ht="12.75" x14ac:dyDescent="0.2">
      <c r="R25359" s="1288"/>
    </row>
    <row r="25360" spans="18:18" s="2" customFormat="1" ht="12.75" x14ac:dyDescent="0.2">
      <c r="R25360" s="1288"/>
    </row>
    <row r="25361" spans="18:18" s="2" customFormat="1" ht="12.75" x14ac:dyDescent="0.2">
      <c r="R25361" s="1288"/>
    </row>
    <row r="25362" spans="18:18" s="2" customFormat="1" ht="12.75" x14ac:dyDescent="0.2">
      <c r="R25362" s="1288"/>
    </row>
    <row r="25363" spans="18:18" s="2" customFormat="1" ht="12.75" x14ac:dyDescent="0.2">
      <c r="R25363" s="1288"/>
    </row>
    <row r="25364" spans="18:18" s="2" customFormat="1" ht="12.75" x14ac:dyDescent="0.2">
      <c r="R25364" s="1288"/>
    </row>
    <row r="25365" spans="18:18" s="2" customFormat="1" ht="12.75" x14ac:dyDescent="0.2">
      <c r="R25365" s="1288"/>
    </row>
    <row r="25366" spans="18:18" s="2" customFormat="1" ht="12.75" x14ac:dyDescent="0.2">
      <c r="R25366" s="1288"/>
    </row>
    <row r="25367" spans="18:18" s="2" customFormat="1" ht="12.75" x14ac:dyDescent="0.2">
      <c r="R25367" s="1288"/>
    </row>
    <row r="25368" spans="18:18" s="2" customFormat="1" ht="12.75" x14ac:dyDescent="0.2">
      <c r="R25368" s="1288"/>
    </row>
    <row r="25369" spans="18:18" s="2" customFormat="1" ht="12.75" x14ac:dyDescent="0.2">
      <c r="R25369" s="1288"/>
    </row>
    <row r="25370" spans="18:18" s="2" customFormat="1" ht="12.75" x14ac:dyDescent="0.2">
      <c r="R25370" s="1288"/>
    </row>
    <row r="25371" spans="18:18" s="2" customFormat="1" ht="12.75" x14ac:dyDescent="0.2">
      <c r="R25371" s="1288"/>
    </row>
    <row r="25372" spans="18:18" s="2" customFormat="1" ht="12.75" x14ac:dyDescent="0.2">
      <c r="R25372" s="1288"/>
    </row>
    <row r="25373" spans="18:18" s="2" customFormat="1" ht="12.75" x14ac:dyDescent="0.2">
      <c r="R25373" s="1288"/>
    </row>
    <row r="25374" spans="18:18" s="2" customFormat="1" ht="12.75" x14ac:dyDescent="0.2">
      <c r="R25374" s="1288"/>
    </row>
    <row r="25375" spans="18:18" s="2" customFormat="1" ht="12.75" x14ac:dyDescent="0.2">
      <c r="R25375" s="1288"/>
    </row>
    <row r="25376" spans="18:18" s="2" customFormat="1" ht="12.75" x14ac:dyDescent="0.2">
      <c r="R25376" s="1288"/>
    </row>
    <row r="25377" spans="18:18" s="2" customFormat="1" ht="12.75" x14ac:dyDescent="0.2">
      <c r="R25377" s="1288"/>
    </row>
    <row r="25378" spans="18:18" s="2" customFormat="1" ht="12.75" x14ac:dyDescent="0.2">
      <c r="R25378" s="1288"/>
    </row>
    <row r="25379" spans="18:18" s="2" customFormat="1" ht="12.75" x14ac:dyDescent="0.2">
      <c r="R25379" s="1288"/>
    </row>
    <row r="25380" spans="18:18" s="2" customFormat="1" ht="12.75" x14ac:dyDescent="0.2">
      <c r="R25380" s="1288"/>
    </row>
    <row r="25381" spans="18:18" s="2" customFormat="1" ht="12.75" x14ac:dyDescent="0.2">
      <c r="R25381" s="1288"/>
    </row>
    <row r="25382" spans="18:18" s="2" customFormat="1" ht="12.75" x14ac:dyDescent="0.2">
      <c r="R25382" s="1288"/>
    </row>
    <row r="25383" spans="18:18" s="2" customFormat="1" ht="12.75" x14ac:dyDescent="0.2">
      <c r="R25383" s="1288"/>
    </row>
    <row r="25384" spans="18:18" s="2" customFormat="1" ht="12.75" x14ac:dyDescent="0.2">
      <c r="R25384" s="1288"/>
    </row>
    <row r="25385" spans="18:18" s="2" customFormat="1" ht="12.75" x14ac:dyDescent="0.2">
      <c r="R25385" s="1288"/>
    </row>
    <row r="25386" spans="18:18" s="2" customFormat="1" ht="12.75" x14ac:dyDescent="0.2">
      <c r="R25386" s="1288"/>
    </row>
    <row r="25387" spans="18:18" s="2" customFormat="1" ht="12.75" x14ac:dyDescent="0.2">
      <c r="R25387" s="1288"/>
    </row>
    <row r="25388" spans="18:18" s="2" customFormat="1" ht="12.75" x14ac:dyDescent="0.2">
      <c r="R25388" s="1288"/>
    </row>
    <row r="25389" spans="18:18" s="2" customFormat="1" ht="12.75" x14ac:dyDescent="0.2">
      <c r="R25389" s="1288"/>
    </row>
    <row r="25390" spans="18:18" s="2" customFormat="1" ht="12.75" x14ac:dyDescent="0.2">
      <c r="R25390" s="1288"/>
    </row>
    <row r="25391" spans="18:18" s="2" customFormat="1" ht="12.75" x14ac:dyDescent="0.2">
      <c r="R25391" s="1288"/>
    </row>
    <row r="25392" spans="18:18" s="2" customFormat="1" ht="12.75" x14ac:dyDescent="0.2">
      <c r="R25392" s="1288"/>
    </row>
    <row r="25393" spans="18:18" s="2" customFormat="1" ht="12.75" x14ac:dyDescent="0.2">
      <c r="R25393" s="1288"/>
    </row>
    <row r="25394" spans="18:18" s="2" customFormat="1" ht="12.75" x14ac:dyDescent="0.2">
      <c r="R25394" s="1288"/>
    </row>
    <row r="25395" spans="18:18" s="2" customFormat="1" ht="12.75" x14ac:dyDescent="0.2">
      <c r="R25395" s="1288"/>
    </row>
    <row r="25396" spans="18:18" s="2" customFormat="1" ht="12.75" x14ac:dyDescent="0.2">
      <c r="R25396" s="1288"/>
    </row>
    <row r="25397" spans="18:18" s="2" customFormat="1" ht="12.75" x14ac:dyDescent="0.2">
      <c r="R25397" s="1288"/>
    </row>
    <row r="25398" spans="18:18" s="2" customFormat="1" ht="12.75" x14ac:dyDescent="0.2">
      <c r="R25398" s="1288"/>
    </row>
    <row r="25399" spans="18:18" s="2" customFormat="1" ht="12.75" x14ac:dyDescent="0.2">
      <c r="R25399" s="1288"/>
    </row>
    <row r="25400" spans="18:18" s="2" customFormat="1" ht="12.75" x14ac:dyDescent="0.2">
      <c r="R25400" s="1288"/>
    </row>
    <row r="25401" spans="18:18" s="2" customFormat="1" ht="12.75" x14ac:dyDescent="0.2">
      <c r="R25401" s="1288"/>
    </row>
    <row r="25402" spans="18:18" s="2" customFormat="1" ht="12.75" x14ac:dyDescent="0.2">
      <c r="R25402" s="1288"/>
    </row>
    <row r="25403" spans="18:18" s="2" customFormat="1" ht="12.75" x14ac:dyDescent="0.2">
      <c r="R25403" s="1288"/>
    </row>
    <row r="25404" spans="18:18" s="2" customFormat="1" ht="12.75" x14ac:dyDescent="0.2">
      <c r="R25404" s="1288"/>
    </row>
    <row r="25405" spans="18:18" s="2" customFormat="1" ht="12.75" x14ac:dyDescent="0.2">
      <c r="R25405" s="1288"/>
    </row>
    <row r="25406" spans="18:18" s="2" customFormat="1" ht="12.75" x14ac:dyDescent="0.2">
      <c r="R25406" s="1288"/>
    </row>
    <row r="25407" spans="18:18" s="2" customFormat="1" ht="12.75" x14ac:dyDescent="0.2">
      <c r="R25407" s="1288"/>
    </row>
    <row r="25408" spans="18:18" s="2" customFormat="1" ht="12.75" x14ac:dyDescent="0.2">
      <c r="R25408" s="1288"/>
    </row>
    <row r="25409" spans="18:18" s="2" customFormat="1" ht="12.75" x14ac:dyDescent="0.2">
      <c r="R25409" s="1288"/>
    </row>
    <row r="25410" spans="18:18" s="2" customFormat="1" ht="12.75" x14ac:dyDescent="0.2">
      <c r="R25410" s="1288"/>
    </row>
    <row r="25411" spans="18:18" s="2" customFormat="1" ht="12.75" x14ac:dyDescent="0.2">
      <c r="R25411" s="1288"/>
    </row>
    <row r="25412" spans="18:18" s="2" customFormat="1" ht="12.75" x14ac:dyDescent="0.2">
      <c r="R25412" s="1288"/>
    </row>
    <row r="25413" spans="18:18" s="2" customFormat="1" ht="12.75" x14ac:dyDescent="0.2">
      <c r="R25413" s="1288"/>
    </row>
    <row r="25414" spans="18:18" s="2" customFormat="1" ht="12.75" x14ac:dyDescent="0.2">
      <c r="R25414" s="1288"/>
    </row>
    <row r="25415" spans="18:18" s="2" customFormat="1" ht="12.75" x14ac:dyDescent="0.2">
      <c r="R25415" s="1288"/>
    </row>
    <row r="25416" spans="18:18" s="2" customFormat="1" ht="12.75" x14ac:dyDescent="0.2">
      <c r="R25416" s="1288"/>
    </row>
    <row r="25417" spans="18:18" s="2" customFormat="1" ht="12.75" x14ac:dyDescent="0.2">
      <c r="R25417" s="1288"/>
    </row>
    <row r="25418" spans="18:18" s="2" customFormat="1" ht="12.75" x14ac:dyDescent="0.2">
      <c r="R25418" s="1288"/>
    </row>
    <row r="25419" spans="18:18" s="2" customFormat="1" ht="12.75" x14ac:dyDescent="0.2">
      <c r="R25419" s="1288"/>
    </row>
    <row r="25420" spans="18:18" s="2" customFormat="1" ht="12.75" x14ac:dyDescent="0.2">
      <c r="R25420" s="1288"/>
    </row>
    <row r="25421" spans="18:18" s="2" customFormat="1" ht="12.75" x14ac:dyDescent="0.2">
      <c r="R25421" s="1288"/>
    </row>
    <row r="25422" spans="18:18" s="2" customFormat="1" ht="12.75" x14ac:dyDescent="0.2">
      <c r="R25422" s="1288"/>
    </row>
    <row r="25423" spans="18:18" s="2" customFormat="1" ht="12.75" x14ac:dyDescent="0.2">
      <c r="R25423" s="1288"/>
    </row>
    <row r="25424" spans="18:18" s="2" customFormat="1" ht="12.75" x14ac:dyDescent="0.2">
      <c r="R25424" s="1288"/>
    </row>
    <row r="25425" spans="18:18" s="2" customFormat="1" ht="12.75" x14ac:dyDescent="0.2">
      <c r="R25425" s="1288"/>
    </row>
    <row r="25426" spans="18:18" s="2" customFormat="1" ht="12.75" x14ac:dyDescent="0.2">
      <c r="R25426" s="1288"/>
    </row>
    <row r="25427" spans="18:18" s="2" customFormat="1" ht="12.75" x14ac:dyDescent="0.2">
      <c r="R25427" s="1288"/>
    </row>
    <row r="25428" spans="18:18" s="2" customFormat="1" ht="12.75" x14ac:dyDescent="0.2">
      <c r="R25428" s="1288"/>
    </row>
    <row r="25429" spans="18:18" s="2" customFormat="1" ht="12.75" x14ac:dyDescent="0.2">
      <c r="R25429" s="1288"/>
    </row>
    <row r="25430" spans="18:18" s="2" customFormat="1" ht="12.75" x14ac:dyDescent="0.2">
      <c r="R25430" s="1288"/>
    </row>
    <row r="25431" spans="18:18" s="2" customFormat="1" ht="12.75" x14ac:dyDescent="0.2">
      <c r="R25431" s="1288"/>
    </row>
    <row r="25432" spans="18:18" s="2" customFormat="1" ht="12.75" x14ac:dyDescent="0.2">
      <c r="R25432" s="1288"/>
    </row>
    <row r="25433" spans="18:18" s="2" customFormat="1" ht="12.75" x14ac:dyDescent="0.2">
      <c r="R25433" s="1288"/>
    </row>
    <row r="25434" spans="18:18" s="2" customFormat="1" ht="12.75" x14ac:dyDescent="0.2">
      <c r="R25434" s="1288"/>
    </row>
    <row r="25435" spans="18:18" s="2" customFormat="1" ht="12.75" x14ac:dyDescent="0.2">
      <c r="R25435" s="1288"/>
    </row>
    <row r="25436" spans="18:18" s="2" customFormat="1" ht="12.75" x14ac:dyDescent="0.2">
      <c r="R25436" s="1288"/>
    </row>
    <row r="25437" spans="18:18" s="2" customFormat="1" ht="12.75" x14ac:dyDescent="0.2">
      <c r="R25437" s="1288"/>
    </row>
    <row r="25438" spans="18:18" s="2" customFormat="1" ht="12.75" x14ac:dyDescent="0.2">
      <c r="R25438" s="1288"/>
    </row>
    <row r="25439" spans="18:18" s="2" customFormat="1" ht="12.75" x14ac:dyDescent="0.2">
      <c r="R25439" s="1288"/>
    </row>
    <row r="25440" spans="18:18" s="2" customFormat="1" ht="12.75" x14ac:dyDescent="0.2">
      <c r="R25440" s="1288"/>
    </row>
    <row r="25441" spans="18:18" s="2" customFormat="1" ht="12.75" x14ac:dyDescent="0.2">
      <c r="R25441" s="1288"/>
    </row>
    <row r="25442" spans="18:18" s="2" customFormat="1" ht="12.75" x14ac:dyDescent="0.2">
      <c r="R25442" s="1288"/>
    </row>
    <row r="25443" spans="18:18" s="2" customFormat="1" ht="12.75" x14ac:dyDescent="0.2">
      <c r="R25443" s="1288"/>
    </row>
    <row r="25444" spans="18:18" s="2" customFormat="1" ht="12.75" x14ac:dyDescent="0.2">
      <c r="R25444" s="1288"/>
    </row>
    <row r="25445" spans="18:18" s="2" customFormat="1" ht="12.75" x14ac:dyDescent="0.2">
      <c r="R25445" s="1288"/>
    </row>
    <row r="25446" spans="18:18" s="2" customFormat="1" ht="12.75" x14ac:dyDescent="0.2">
      <c r="R25446" s="1288"/>
    </row>
    <row r="25447" spans="18:18" s="2" customFormat="1" ht="12.75" x14ac:dyDescent="0.2">
      <c r="R25447" s="1288"/>
    </row>
    <row r="25448" spans="18:18" s="2" customFormat="1" ht="12.75" x14ac:dyDescent="0.2">
      <c r="R25448" s="1288"/>
    </row>
    <row r="25449" spans="18:18" s="2" customFormat="1" ht="12.75" x14ac:dyDescent="0.2">
      <c r="R25449" s="1288"/>
    </row>
    <row r="25450" spans="18:18" s="2" customFormat="1" ht="12.75" x14ac:dyDescent="0.2">
      <c r="R25450" s="1288"/>
    </row>
    <row r="25451" spans="18:18" s="2" customFormat="1" ht="12.75" x14ac:dyDescent="0.2">
      <c r="R25451" s="1288"/>
    </row>
    <row r="25452" spans="18:18" s="2" customFormat="1" ht="12.75" x14ac:dyDescent="0.2">
      <c r="R25452" s="1288"/>
    </row>
    <row r="25453" spans="18:18" s="2" customFormat="1" ht="12.75" x14ac:dyDescent="0.2">
      <c r="R25453" s="1288"/>
    </row>
    <row r="25454" spans="18:18" s="2" customFormat="1" ht="12.75" x14ac:dyDescent="0.2">
      <c r="R25454" s="1288"/>
    </row>
    <row r="25455" spans="18:18" s="2" customFormat="1" ht="12.75" x14ac:dyDescent="0.2">
      <c r="R25455" s="1288"/>
    </row>
    <row r="25456" spans="18:18" s="2" customFormat="1" ht="12.75" x14ac:dyDescent="0.2">
      <c r="R25456" s="1288"/>
    </row>
    <row r="25457" spans="18:18" s="2" customFormat="1" ht="12.75" x14ac:dyDescent="0.2">
      <c r="R25457" s="1288"/>
    </row>
    <row r="25458" spans="18:18" s="2" customFormat="1" ht="12.75" x14ac:dyDescent="0.2">
      <c r="R25458" s="1288"/>
    </row>
    <row r="25459" spans="18:18" s="2" customFormat="1" ht="12.75" x14ac:dyDescent="0.2">
      <c r="R25459" s="1288"/>
    </row>
    <row r="25460" spans="18:18" s="2" customFormat="1" ht="12.75" x14ac:dyDescent="0.2">
      <c r="R25460" s="1288"/>
    </row>
    <row r="25461" spans="18:18" s="2" customFormat="1" ht="12.75" x14ac:dyDescent="0.2">
      <c r="R25461" s="1288"/>
    </row>
    <row r="25462" spans="18:18" s="2" customFormat="1" ht="12.75" x14ac:dyDescent="0.2">
      <c r="R25462" s="1288"/>
    </row>
    <row r="25463" spans="18:18" s="2" customFormat="1" ht="12.75" x14ac:dyDescent="0.2">
      <c r="R25463" s="1288"/>
    </row>
    <row r="25464" spans="18:18" s="2" customFormat="1" ht="12.75" x14ac:dyDescent="0.2">
      <c r="R25464" s="1288"/>
    </row>
    <row r="25465" spans="18:18" s="2" customFormat="1" ht="12.75" x14ac:dyDescent="0.2">
      <c r="R25465" s="1288"/>
    </row>
    <row r="25466" spans="18:18" s="2" customFormat="1" ht="12.75" x14ac:dyDescent="0.2">
      <c r="R25466" s="1288"/>
    </row>
    <row r="25467" spans="18:18" s="2" customFormat="1" ht="12.75" x14ac:dyDescent="0.2">
      <c r="R25467" s="1288"/>
    </row>
    <row r="25468" spans="18:18" s="2" customFormat="1" ht="12.75" x14ac:dyDescent="0.2">
      <c r="R25468" s="1288"/>
    </row>
    <row r="25469" spans="18:18" s="2" customFormat="1" ht="12.75" x14ac:dyDescent="0.2">
      <c r="R25469" s="1288"/>
    </row>
    <row r="25470" spans="18:18" s="2" customFormat="1" ht="12.75" x14ac:dyDescent="0.2">
      <c r="R25470" s="1288"/>
    </row>
    <row r="25471" spans="18:18" s="2" customFormat="1" ht="12.75" x14ac:dyDescent="0.2">
      <c r="R25471" s="1288"/>
    </row>
    <row r="25472" spans="18:18" s="2" customFormat="1" ht="12.75" x14ac:dyDescent="0.2">
      <c r="R25472" s="1288"/>
    </row>
    <row r="25473" spans="18:18" s="2" customFormat="1" ht="12.75" x14ac:dyDescent="0.2">
      <c r="R25473" s="1288"/>
    </row>
    <row r="25474" spans="18:18" s="2" customFormat="1" ht="12.75" x14ac:dyDescent="0.2">
      <c r="R25474" s="1288"/>
    </row>
    <row r="25475" spans="18:18" s="2" customFormat="1" ht="12.75" x14ac:dyDescent="0.2">
      <c r="R25475" s="1288"/>
    </row>
    <row r="25476" spans="18:18" s="2" customFormat="1" ht="12.75" x14ac:dyDescent="0.2">
      <c r="R25476" s="1288"/>
    </row>
    <row r="25477" spans="18:18" s="2" customFormat="1" ht="12.75" x14ac:dyDescent="0.2">
      <c r="R25477" s="1288"/>
    </row>
    <row r="25478" spans="18:18" s="2" customFormat="1" ht="12.75" x14ac:dyDescent="0.2">
      <c r="R25478" s="1288"/>
    </row>
    <row r="25479" spans="18:18" s="2" customFormat="1" ht="12.75" x14ac:dyDescent="0.2">
      <c r="R25479" s="1288"/>
    </row>
    <row r="25480" spans="18:18" s="2" customFormat="1" ht="12.75" x14ac:dyDescent="0.2">
      <c r="R25480" s="1288"/>
    </row>
    <row r="25481" spans="18:18" s="2" customFormat="1" ht="12.75" x14ac:dyDescent="0.2">
      <c r="R25481" s="1288"/>
    </row>
    <row r="25482" spans="18:18" s="2" customFormat="1" ht="12.75" x14ac:dyDescent="0.2">
      <c r="R25482" s="1288"/>
    </row>
    <row r="25483" spans="18:18" s="2" customFormat="1" ht="12.75" x14ac:dyDescent="0.2">
      <c r="R25483" s="1288"/>
    </row>
    <row r="25484" spans="18:18" s="2" customFormat="1" ht="12.75" x14ac:dyDescent="0.2">
      <c r="R25484" s="1288"/>
    </row>
    <row r="25485" spans="18:18" s="2" customFormat="1" ht="12.75" x14ac:dyDescent="0.2">
      <c r="R25485" s="1288"/>
    </row>
    <row r="25486" spans="18:18" s="2" customFormat="1" ht="12.75" x14ac:dyDescent="0.2">
      <c r="R25486" s="1288"/>
    </row>
    <row r="25487" spans="18:18" s="2" customFormat="1" ht="12.75" x14ac:dyDescent="0.2">
      <c r="R25487" s="1288"/>
    </row>
    <row r="25488" spans="18:18" s="2" customFormat="1" ht="12.75" x14ac:dyDescent="0.2">
      <c r="R25488" s="1288"/>
    </row>
    <row r="25489" spans="18:18" s="2" customFormat="1" ht="12.75" x14ac:dyDescent="0.2">
      <c r="R25489" s="1288"/>
    </row>
    <row r="25490" spans="18:18" s="2" customFormat="1" ht="12.75" x14ac:dyDescent="0.2">
      <c r="R25490" s="1288"/>
    </row>
    <row r="25491" spans="18:18" s="2" customFormat="1" ht="12.75" x14ac:dyDescent="0.2">
      <c r="R25491" s="1288"/>
    </row>
    <row r="25492" spans="18:18" s="2" customFormat="1" ht="12.75" x14ac:dyDescent="0.2">
      <c r="R25492" s="1288"/>
    </row>
    <row r="25493" spans="18:18" s="2" customFormat="1" ht="12.75" x14ac:dyDescent="0.2">
      <c r="R25493" s="1288"/>
    </row>
    <row r="25494" spans="18:18" s="2" customFormat="1" ht="12.75" x14ac:dyDescent="0.2">
      <c r="R25494" s="1288"/>
    </row>
    <row r="25495" spans="18:18" s="2" customFormat="1" ht="12.75" x14ac:dyDescent="0.2">
      <c r="R25495" s="1288"/>
    </row>
    <row r="25496" spans="18:18" s="2" customFormat="1" ht="12.75" x14ac:dyDescent="0.2">
      <c r="R25496" s="1288"/>
    </row>
    <row r="25497" spans="18:18" s="2" customFormat="1" ht="12.75" x14ac:dyDescent="0.2">
      <c r="R25497" s="1288"/>
    </row>
    <row r="25498" spans="18:18" s="2" customFormat="1" ht="12.75" x14ac:dyDescent="0.2">
      <c r="R25498" s="1288"/>
    </row>
    <row r="25499" spans="18:18" s="2" customFormat="1" ht="12.75" x14ac:dyDescent="0.2">
      <c r="R25499" s="1288"/>
    </row>
    <row r="25500" spans="18:18" s="2" customFormat="1" ht="12.75" x14ac:dyDescent="0.2">
      <c r="R25500" s="1288"/>
    </row>
    <row r="25501" spans="18:18" s="2" customFormat="1" ht="12.75" x14ac:dyDescent="0.2">
      <c r="R25501" s="1288"/>
    </row>
    <row r="25502" spans="18:18" s="2" customFormat="1" ht="12.75" x14ac:dyDescent="0.2">
      <c r="R25502" s="1288"/>
    </row>
    <row r="25503" spans="18:18" s="2" customFormat="1" ht="12.75" x14ac:dyDescent="0.2">
      <c r="R25503" s="1288"/>
    </row>
    <row r="25504" spans="18:18" s="2" customFormat="1" ht="12.75" x14ac:dyDescent="0.2">
      <c r="R25504" s="1288"/>
    </row>
    <row r="25505" spans="18:18" s="2" customFormat="1" ht="12.75" x14ac:dyDescent="0.2">
      <c r="R25505" s="1288"/>
    </row>
    <row r="25506" spans="18:18" s="2" customFormat="1" ht="12.75" x14ac:dyDescent="0.2">
      <c r="R25506" s="1288"/>
    </row>
    <row r="25507" spans="18:18" s="2" customFormat="1" ht="12.75" x14ac:dyDescent="0.2">
      <c r="R25507" s="1288"/>
    </row>
    <row r="25508" spans="18:18" s="2" customFormat="1" ht="12.75" x14ac:dyDescent="0.2">
      <c r="R25508" s="1288"/>
    </row>
    <row r="25509" spans="18:18" s="2" customFormat="1" ht="12.75" x14ac:dyDescent="0.2">
      <c r="R25509" s="1288"/>
    </row>
    <row r="25510" spans="18:18" s="2" customFormat="1" ht="12.75" x14ac:dyDescent="0.2">
      <c r="R25510" s="1288"/>
    </row>
    <row r="25511" spans="18:18" s="2" customFormat="1" ht="12.75" x14ac:dyDescent="0.2">
      <c r="R25511" s="1288"/>
    </row>
    <row r="25512" spans="18:18" s="2" customFormat="1" ht="12.75" x14ac:dyDescent="0.2">
      <c r="R25512" s="1288"/>
    </row>
    <row r="25513" spans="18:18" s="2" customFormat="1" ht="12.75" x14ac:dyDescent="0.2">
      <c r="R25513" s="1288"/>
    </row>
    <row r="25514" spans="18:18" s="2" customFormat="1" ht="12.75" x14ac:dyDescent="0.2">
      <c r="R25514" s="1288"/>
    </row>
    <row r="25515" spans="18:18" s="2" customFormat="1" ht="12.75" x14ac:dyDescent="0.2">
      <c r="R25515" s="1288"/>
    </row>
    <row r="25516" spans="18:18" s="2" customFormat="1" ht="12.75" x14ac:dyDescent="0.2">
      <c r="R25516" s="1288"/>
    </row>
    <row r="25517" spans="18:18" s="2" customFormat="1" ht="12.75" x14ac:dyDescent="0.2">
      <c r="R25517" s="1288"/>
    </row>
    <row r="25518" spans="18:18" s="2" customFormat="1" ht="12.75" x14ac:dyDescent="0.2">
      <c r="R25518" s="1288"/>
    </row>
    <row r="25519" spans="18:18" s="2" customFormat="1" ht="12.75" x14ac:dyDescent="0.2">
      <c r="R25519" s="1288"/>
    </row>
    <row r="25520" spans="18:18" s="2" customFormat="1" ht="12.75" x14ac:dyDescent="0.2">
      <c r="R25520" s="1288"/>
    </row>
    <row r="25521" spans="18:18" s="2" customFormat="1" ht="12.75" x14ac:dyDescent="0.2">
      <c r="R25521" s="1288"/>
    </row>
    <row r="25522" spans="18:18" s="2" customFormat="1" ht="12.75" x14ac:dyDescent="0.2">
      <c r="R25522" s="1288"/>
    </row>
    <row r="25523" spans="18:18" s="2" customFormat="1" ht="12.75" x14ac:dyDescent="0.2">
      <c r="R25523" s="1288"/>
    </row>
    <row r="25524" spans="18:18" s="2" customFormat="1" ht="12.75" x14ac:dyDescent="0.2">
      <c r="R25524" s="1288"/>
    </row>
    <row r="25525" spans="18:18" s="2" customFormat="1" ht="12.75" x14ac:dyDescent="0.2">
      <c r="R25525" s="1288"/>
    </row>
    <row r="25526" spans="18:18" s="2" customFormat="1" ht="12.75" x14ac:dyDescent="0.2">
      <c r="R25526" s="1288"/>
    </row>
    <row r="25527" spans="18:18" s="2" customFormat="1" ht="12.75" x14ac:dyDescent="0.2">
      <c r="R25527" s="1288"/>
    </row>
    <row r="25528" spans="18:18" s="2" customFormat="1" ht="12.75" x14ac:dyDescent="0.2">
      <c r="R25528" s="1288"/>
    </row>
    <row r="25529" spans="18:18" s="2" customFormat="1" ht="12.75" x14ac:dyDescent="0.2">
      <c r="R25529" s="1288"/>
    </row>
    <row r="25530" spans="18:18" s="2" customFormat="1" ht="12.75" x14ac:dyDescent="0.2">
      <c r="R25530" s="1288"/>
    </row>
    <row r="25531" spans="18:18" s="2" customFormat="1" ht="12.75" x14ac:dyDescent="0.2">
      <c r="R25531" s="1288"/>
    </row>
    <row r="25532" spans="18:18" s="2" customFormat="1" ht="12.75" x14ac:dyDescent="0.2">
      <c r="R25532" s="1288"/>
    </row>
    <row r="25533" spans="18:18" s="2" customFormat="1" ht="12.75" x14ac:dyDescent="0.2">
      <c r="R25533" s="1288"/>
    </row>
    <row r="25534" spans="18:18" s="2" customFormat="1" ht="12.75" x14ac:dyDescent="0.2">
      <c r="R25534" s="1288"/>
    </row>
    <row r="25535" spans="18:18" s="2" customFormat="1" ht="12.75" x14ac:dyDescent="0.2">
      <c r="R25535" s="1288"/>
    </row>
    <row r="25536" spans="18:18" s="2" customFormat="1" ht="12.75" x14ac:dyDescent="0.2">
      <c r="R25536" s="1288"/>
    </row>
    <row r="25537" spans="18:18" s="2" customFormat="1" ht="12.75" x14ac:dyDescent="0.2">
      <c r="R25537" s="1288"/>
    </row>
    <row r="25538" spans="18:18" s="2" customFormat="1" ht="12.75" x14ac:dyDescent="0.2">
      <c r="R25538" s="1288"/>
    </row>
    <row r="25539" spans="18:18" s="2" customFormat="1" ht="12.75" x14ac:dyDescent="0.2">
      <c r="R25539" s="1288"/>
    </row>
    <row r="25540" spans="18:18" s="2" customFormat="1" ht="12.75" x14ac:dyDescent="0.2">
      <c r="R25540" s="1288"/>
    </row>
    <row r="25541" spans="18:18" s="2" customFormat="1" ht="12.75" x14ac:dyDescent="0.2">
      <c r="R25541" s="1288"/>
    </row>
    <row r="25542" spans="18:18" s="2" customFormat="1" ht="12.75" x14ac:dyDescent="0.2">
      <c r="R25542" s="1288"/>
    </row>
    <row r="25543" spans="18:18" s="2" customFormat="1" ht="12.75" x14ac:dyDescent="0.2">
      <c r="R25543" s="1288"/>
    </row>
    <row r="25544" spans="18:18" s="2" customFormat="1" ht="12.75" x14ac:dyDescent="0.2">
      <c r="R25544" s="1288"/>
    </row>
    <row r="25545" spans="18:18" s="2" customFormat="1" ht="12.75" x14ac:dyDescent="0.2">
      <c r="R25545" s="1288"/>
    </row>
    <row r="25546" spans="18:18" s="2" customFormat="1" ht="12.75" x14ac:dyDescent="0.2">
      <c r="R25546" s="1288"/>
    </row>
    <row r="25547" spans="18:18" s="2" customFormat="1" ht="12.75" x14ac:dyDescent="0.2">
      <c r="R25547" s="1288"/>
    </row>
    <row r="25548" spans="18:18" s="2" customFormat="1" ht="12.75" x14ac:dyDescent="0.2">
      <c r="R25548" s="1288"/>
    </row>
    <row r="25549" spans="18:18" s="2" customFormat="1" ht="12.75" x14ac:dyDescent="0.2">
      <c r="R25549" s="1288"/>
    </row>
    <row r="25550" spans="18:18" s="2" customFormat="1" ht="12.75" x14ac:dyDescent="0.2">
      <c r="R25550" s="1288"/>
    </row>
    <row r="25551" spans="18:18" s="2" customFormat="1" ht="12.75" x14ac:dyDescent="0.2">
      <c r="R25551" s="1288"/>
    </row>
    <row r="25552" spans="18:18" s="2" customFormat="1" ht="12.75" x14ac:dyDescent="0.2">
      <c r="R25552" s="1288"/>
    </row>
    <row r="25553" spans="18:18" s="2" customFormat="1" ht="12.75" x14ac:dyDescent="0.2">
      <c r="R25553" s="1288"/>
    </row>
    <row r="25554" spans="18:18" s="2" customFormat="1" ht="12.75" x14ac:dyDescent="0.2">
      <c r="R25554" s="1288"/>
    </row>
    <row r="25555" spans="18:18" s="2" customFormat="1" ht="12.75" x14ac:dyDescent="0.2">
      <c r="R25555" s="1288"/>
    </row>
    <row r="25556" spans="18:18" s="2" customFormat="1" ht="12.75" x14ac:dyDescent="0.2">
      <c r="R25556" s="1288"/>
    </row>
    <row r="25557" spans="18:18" s="2" customFormat="1" ht="12.75" x14ac:dyDescent="0.2">
      <c r="R25557" s="1288"/>
    </row>
    <row r="25558" spans="18:18" s="2" customFormat="1" ht="12.75" x14ac:dyDescent="0.2">
      <c r="R25558" s="1288"/>
    </row>
    <row r="25559" spans="18:18" s="2" customFormat="1" ht="12.75" x14ac:dyDescent="0.2">
      <c r="R25559" s="1288"/>
    </row>
    <row r="25560" spans="18:18" s="2" customFormat="1" ht="12.75" x14ac:dyDescent="0.2">
      <c r="R25560" s="1288"/>
    </row>
    <row r="25561" spans="18:18" s="2" customFormat="1" ht="12.75" x14ac:dyDescent="0.2">
      <c r="R25561" s="1288"/>
    </row>
    <row r="25562" spans="18:18" s="2" customFormat="1" ht="12.75" x14ac:dyDescent="0.2">
      <c r="R25562" s="1288"/>
    </row>
    <row r="25563" spans="18:18" s="2" customFormat="1" ht="12.75" x14ac:dyDescent="0.2">
      <c r="R25563" s="1288"/>
    </row>
    <row r="25564" spans="18:18" s="2" customFormat="1" ht="12.75" x14ac:dyDescent="0.2">
      <c r="R25564" s="1288"/>
    </row>
    <row r="25565" spans="18:18" s="2" customFormat="1" ht="12.75" x14ac:dyDescent="0.2">
      <c r="R25565" s="1288"/>
    </row>
    <row r="25566" spans="18:18" s="2" customFormat="1" ht="12.75" x14ac:dyDescent="0.2">
      <c r="R25566" s="1288"/>
    </row>
    <row r="25567" spans="18:18" s="2" customFormat="1" ht="12.75" x14ac:dyDescent="0.2">
      <c r="R25567" s="1288"/>
    </row>
    <row r="25568" spans="18:18" s="2" customFormat="1" ht="12.75" x14ac:dyDescent="0.2">
      <c r="R25568" s="1288"/>
    </row>
    <row r="25569" spans="18:18" s="2" customFormat="1" ht="12.75" x14ac:dyDescent="0.2">
      <c r="R25569" s="1288"/>
    </row>
    <row r="25570" spans="18:18" s="2" customFormat="1" ht="12.75" x14ac:dyDescent="0.2">
      <c r="R25570" s="1288"/>
    </row>
    <row r="25571" spans="18:18" s="2" customFormat="1" ht="12.75" x14ac:dyDescent="0.2">
      <c r="R25571" s="1288"/>
    </row>
    <row r="25572" spans="18:18" s="2" customFormat="1" ht="12.75" x14ac:dyDescent="0.2">
      <c r="R25572" s="1288"/>
    </row>
    <row r="25573" spans="18:18" s="2" customFormat="1" ht="12.75" x14ac:dyDescent="0.2">
      <c r="R25573" s="1288"/>
    </row>
    <row r="25574" spans="18:18" s="2" customFormat="1" ht="12.75" x14ac:dyDescent="0.2">
      <c r="R25574" s="1288"/>
    </row>
    <row r="25575" spans="18:18" s="2" customFormat="1" ht="12.75" x14ac:dyDescent="0.2">
      <c r="R25575" s="1288"/>
    </row>
    <row r="25576" spans="18:18" s="2" customFormat="1" ht="12.75" x14ac:dyDescent="0.2">
      <c r="R25576" s="1288"/>
    </row>
    <row r="25577" spans="18:18" s="2" customFormat="1" ht="12.75" x14ac:dyDescent="0.2">
      <c r="R25577" s="1288"/>
    </row>
    <row r="25578" spans="18:18" s="2" customFormat="1" ht="12.75" x14ac:dyDescent="0.2">
      <c r="R25578" s="1288"/>
    </row>
    <row r="25579" spans="18:18" s="2" customFormat="1" ht="12.75" x14ac:dyDescent="0.2">
      <c r="R25579" s="1288"/>
    </row>
    <row r="25580" spans="18:18" s="2" customFormat="1" ht="12.75" x14ac:dyDescent="0.2">
      <c r="R25580" s="1288"/>
    </row>
    <row r="25581" spans="18:18" s="2" customFormat="1" ht="12.75" x14ac:dyDescent="0.2">
      <c r="R25581" s="1288"/>
    </row>
    <row r="25582" spans="18:18" s="2" customFormat="1" ht="12.75" x14ac:dyDescent="0.2">
      <c r="R25582" s="1288"/>
    </row>
    <row r="25583" spans="18:18" s="2" customFormat="1" ht="12.75" x14ac:dyDescent="0.2">
      <c r="R25583" s="1288"/>
    </row>
    <row r="25584" spans="18:18" s="2" customFormat="1" ht="12.75" x14ac:dyDescent="0.2">
      <c r="R25584" s="1288"/>
    </row>
    <row r="25585" spans="18:18" s="2" customFormat="1" ht="12.75" x14ac:dyDescent="0.2">
      <c r="R25585" s="1288"/>
    </row>
    <row r="25586" spans="18:18" s="2" customFormat="1" ht="12.75" x14ac:dyDescent="0.2">
      <c r="R25586" s="1288"/>
    </row>
    <row r="25587" spans="18:18" s="2" customFormat="1" ht="12.75" x14ac:dyDescent="0.2">
      <c r="R25587" s="1288"/>
    </row>
    <row r="25588" spans="18:18" s="2" customFormat="1" ht="12.75" x14ac:dyDescent="0.2">
      <c r="R25588" s="1288"/>
    </row>
    <row r="25589" spans="18:18" s="2" customFormat="1" ht="12.75" x14ac:dyDescent="0.2">
      <c r="R25589" s="1288"/>
    </row>
    <row r="25590" spans="18:18" s="2" customFormat="1" ht="12.75" x14ac:dyDescent="0.2">
      <c r="R25590" s="1288"/>
    </row>
    <row r="25591" spans="18:18" s="2" customFormat="1" ht="12.75" x14ac:dyDescent="0.2">
      <c r="R25591" s="1288"/>
    </row>
    <row r="25592" spans="18:18" s="2" customFormat="1" ht="12.75" x14ac:dyDescent="0.2">
      <c r="R25592" s="1288"/>
    </row>
    <row r="25593" spans="18:18" s="2" customFormat="1" ht="12.75" x14ac:dyDescent="0.2">
      <c r="R25593" s="1288"/>
    </row>
    <row r="25594" spans="18:18" s="2" customFormat="1" ht="12.75" x14ac:dyDescent="0.2">
      <c r="R25594" s="1288"/>
    </row>
    <row r="25595" spans="18:18" s="2" customFormat="1" ht="12.75" x14ac:dyDescent="0.2">
      <c r="R25595" s="1288"/>
    </row>
    <row r="25596" spans="18:18" s="2" customFormat="1" ht="12.75" x14ac:dyDescent="0.2">
      <c r="R25596" s="1288"/>
    </row>
    <row r="25597" spans="18:18" s="2" customFormat="1" ht="12.75" x14ac:dyDescent="0.2">
      <c r="R25597" s="1288"/>
    </row>
    <row r="25598" spans="18:18" s="2" customFormat="1" ht="12.75" x14ac:dyDescent="0.2">
      <c r="R25598" s="1288"/>
    </row>
    <row r="25599" spans="18:18" s="2" customFormat="1" ht="12.75" x14ac:dyDescent="0.2">
      <c r="R25599" s="1288"/>
    </row>
    <row r="25600" spans="18:18" s="2" customFormat="1" ht="12.75" x14ac:dyDescent="0.2">
      <c r="R25600" s="1288"/>
    </row>
    <row r="25601" spans="18:18" s="2" customFormat="1" ht="12.75" x14ac:dyDescent="0.2">
      <c r="R25601" s="1288"/>
    </row>
    <row r="25602" spans="18:18" s="2" customFormat="1" ht="12.75" x14ac:dyDescent="0.2">
      <c r="R25602" s="1288"/>
    </row>
    <row r="25603" spans="18:18" s="2" customFormat="1" ht="12.75" x14ac:dyDescent="0.2">
      <c r="R25603" s="1288"/>
    </row>
    <row r="25604" spans="18:18" s="2" customFormat="1" ht="12.75" x14ac:dyDescent="0.2">
      <c r="R25604" s="1288"/>
    </row>
    <row r="25605" spans="18:18" s="2" customFormat="1" ht="12.75" x14ac:dyDescent="0.2">
      <c r="R25605" s="1288"/>
    </row>
    <row r="25606" spans="18:18" s="2" customFormat="1" ht="12.75" x14ac:dyDescent="0.2">
      <c r="R25606" s="1288"/>
    </row>
    <row r="25607" spans="18:18" s="2" customFormat="1" ht="12.75" x14ac:dyDescent="0.2">
      <c r="R25607" s="1288"/>
    </row>
    <row r="25608" spans="18:18" s="2" customFormat="1" ht="12.75" x14ac:dyDescent="0.2">
      <c r="R25608" s="1288"/>
    </row>
    <row r="25609" spans="18:18" s="2" customFormat="1" ht="12.75" x14ac:dyDescent="0.2">
      <c r="R25609" s="1288"/>
    </row>
    <row r="25610" spans="18:18" s="2" customFormat="1" ht="12.75" x14ac:dyDescent="0.2">
      <c r="R25610" s="1288"/>
    </row>
    <row r="25611" spans="18:18" s="2" customFormat="1" ht="12.75" x14ac:dyDescent="0.2">
      <c r="R25611" s="1288"/>
    </row>
    <row r="25612" spans="18:18" s="2" customFormat="1" ht="12.75" x14ac:dyDescent="0.2">
      <c r="R25612" s="1288"/>
    </row>
    <row r="25613" spans="18:18" s="2" customFormat="1" ht="12.75" x14ac:dyDescent="0.2">
      <c r="R25613" s="1288"/>
    </row>
    <row r="25614" spans="18:18" s="2" customFormat="1" ht="12.75" x14ac:dyDescent="0.2">
      <c r="R25614" s="1288"/>
    </row>
    <row r="25615" spans="18:18" s="2" customFormat="1" ht="12.75" x14ac:dyDescent="0.2">
      <c r="R25615" s="1288"/>
    </row>
    <row r="25616" spans="18:18" s="2" customFormat="1" ht="12.75" x14ac:dyDescent="0.2">
      <c r="R25616" s="1288"/>
    </row>
    <row r="25617" spans="18:18" s="2" customFormat="1" ht="12.75" x14ac:dyDescent="0.2">
      <c r="R25617" s="1288"/>
    </row>
    <row r="25618" spans="18:18" s="2" customFormat="1" ht="12.75" x14ac:dyDescent="0.2">
      <c r="R25618" s="1288"/>
    </row>
    <row r="25619" spans="18:18" s="2" customFormat="1" ht="12.75" x14ac:dyDescent="0.2">
      <c r="R25619" s="1288"/>
    </row>
    <row r="25620" spans="18:18" s="2" customFormat="1" ht="12.75" x14ac:dyDescent="0.2">
      <c r="R25620" s="1288"/>
    </row>
    <row r="25621" spans="18:18" s="2" customFormat="1" ht="12.75" x14ac:dyDescent="0.2">
      <c r="R25621" s="1288"/>
    </row>
    <row r="25622" spans="18:18" s="2" customFormat="1" ht="12.75" x14ac:dyDescent="0.2">
      <c r="R25622" s="1288"/>
    </row>
    <row r="25623" spans="18:18" s="2" customFormat="1" ht="12.75" x14ac:dyDescent="0.2">
      <c r="R25623" s="1288"/>
    </row>
    <row r="25624" spans="18:18" s="2" customFormat="1" ht="12.75" x14ac:dyDescent="0.2">
      <c r="R25624" s="1288"/>
    </row>
    <row r="25625" spans="18:18" s="2" customFormat="1" ht="12.75" x14ac:dyDescent="0.2">
      <c r="R25625" s="1288"/>
    </row>
    <row r="25626" spans="18:18" s="2" customFormat="1" ht="12.75" x14ac:dyDescent="0.2">
      <c r="R25626" s="1288"/>
    </row>
    <row r="25627" spans="18:18" s="2" customFormat="1" ht="12.75" x14ac:dyDescent="0.2">
      <c r="R25627" s="1288"/>
    </row>
    <row r="25628" spans="18:18" s="2" customFormat="1" ht="12.75" x14ac:dyDescent="0.2">
      <c r="R25628" s="1288"/>
    </row>
    <row r="25629" spans="18:18" s="2" customFormat="1" ht="12.75" x14ac:dyDescent="0.2">
      <c r="R25629" s="1288"/>
    </row>
    <row r="25630" spans="18:18" s="2" customFormat="1" ht="12.75" x14ac:dyDescent="0.2">
      <c r="R25630" s="1288"/>
    </row>
    <row r="25631" spans="18:18" s="2" customFormat="1" ht="12.75" x14ac:dyDescent="0.2">
      <c r="R25631" s="1288"/>
    </row>
    <row r="25632" spans="18:18" s="2" customFormat="1" ht="12.75" x14ac:dyDescent="0.2">
      <c r="R25632" s="1288"/>
    </row>
    <row r="25633" spans="18:18" s="2" customFormat="1" ht="12.75" x14ac:dyDescent="0.2">
      <c r="R25633" s="1288"/>
    </row>
    <row r="25634" spans="18:18" s="2" customFormat="1" ht="12.75" x14ac:dyDescent="0.2">
      <c r="R25634" s="1288"/>
    </row>
    <row r="25635" spans="18:18" s="2" customFormat="1" ht="12.75" x14ac:dyDescent="0.2">
      <c r="R25635" s="1288"/>
    </row>
    <row r="25636" spans="18:18" s="2" customFormat="1" ht="12.75" x14ac:dyDescent="0.2">
      <c r="R25636" s="1288"/>
    </row>
    <row r="25637" spans="18:18" s="2" customFormat="1" ht="12.75" x14ac:dyDescent="0.2">
      <c r="R25637" s="1288"/>
    </row>
    <row r="25638" spans="18:18" s="2" customFormat="1" ht="12.75" x14ac:dyDescent="0.2">
      <c r="R25638" s="1288"/>
    </row>
    <row r="25639" spans="18:18" s="2" customFormat="1" ht="12.75" x14ac:dyDescent="0.2">
      <c r="R25639" s="1288"/>
    </row>
    <row r="25640" spans="18:18" s="2" customFormat="1" ht="12.75" x14ac:dyDescent="0.2">
      <c r="R25640" s="1288"/>
    </row>
    <row r="25641" spans="18:18" s="2" customFormat="1" ht="12.75" x14ac:dyDescent="0.2">
      <c r="R25641" s="1288"/>
    </row>
    <row r="25642" spans="18:18" s="2" customFormat="1" ht="12.75" x14ac:dyDescent="0.2">
      <c r="R25642" s="1288"/>
    </row>
    <row r="25643" spans="18:18" s="2" customFormat="1" ht="12.75" x14ac:dyDescent="0.2">
      <c r="R25643" s="1288"/>
    </row>
    <row r="25644" spans="18:18" s="2" customFormat="1" ht="12.75" x14ac:dyDescent="0.2">
      <c r="R25644" s="1288"/>
    </row>
    <row r="25645" spans="18:18" s="2" customFormat="1" ht="12.75" x14ac:dyDescent="0.2">
      <c r="R25645" s="1288"/>
    </row>
    <row r="25646" spans="18:18" s="2" customFormat="1" ht="12.75" x14ac:dyDescent="0.2">
      <c r="R25646" s="1288"/>
    </row>
    <row r="25647" spans="18:18" s="2" customFormat="1" ht="12.75" x14ac:dyDescent="0.2">
      <c r="R25647" s="1288"/>
    </row>
    <row r="25648" spans="18:18" s="2" customFormat="1" ht="12.75" x14ac:dyDescent="0.2">
      <c r="R25648" s="1288"/>
    </row>
    <row r="25649" spans="18:18" s="2" customFormat="1" ht="12.75" x14ac:dyDescent="0.2">
      <c r="R25649" s="1288"/>
    </row>
    <row r="25650" spans="18:18" s="2" customFormat="1" ht="12.75" x14ac:dyDescent="0.2">
      <c r="R25650" s="1288"/>
    </row>
    <row r="25651" spans="18:18" s="2" customFormat="1" ht="12.75" x14ac:dyDescent="0.2">
      <c r="R25651" s="1288"/>
    </row>
    <row r="25652" spans="18:18" s="2" customFormat="1" ht="12.75" x14ac:dyDescent="0.2">
      <c r="R25652" s="1288"/>
    </row>
    <row r="25653" spans="18:18" s="2" customFormat="1" ht="12.75" x14ac:dyDescent="0.2">
      <c r="R25653" s="1288"/>
    </row>
    <row r="25654" spans="18:18" s="2" customFormat="1" ht="12.75" x14ac:dyDescent="0.2">
      <c r="R25654" s="1288"/>
    </row>
    <row r="25655" spans="18:18" s="2" customFormat="1" ht="12.75" x14ac:dyDescent="0.2">
      <c r="R25655" s="1288"/>
    </row>
    <row r="25656" spans="18:18" s="2" customFormat="1" ht="12.75" x14ac:dyDescent="0.2">
      <c r="R25656" s="1288"/>
    </row>
    <row r="25657" spans="18:18" s="2" customFormat="1" ht="12.75" x14ac:dyDescent="0.2">
      <c r="R25657" s="1288"/>
    </row>
    <row r="25658" spans="18:18" s="2" customFormat="1" ht="12.75" x14ac:dyDescent="0.2">
      <c r="R25658" s="1288"/>
    </row>
    <row r="25659" spans="18:18" s="2" customFormat="1" ht="12.75" x14ac:dyDescent="0.2">
      <c r="R25659" s="1288"/>
    </row>
    <row r="25660" spans="18:18" s="2" customFormat="1" ht="12.75" x14ac:dyDescent="0.2">
      <c r="R25660" s="1288"/>
    </row>
    <row r="25661" spans="18:18" s="2" customFormat="1" ht="12.75" x14ac:dyDescent="0.2">
      <c r="R25661" s="1288"/>
    </row>
    <row r="25662" spans="18:18" s="2" customFormat="1" ht="12.75" x14ac:dyDescent="0.2">
      <c r="R25662" s="1288"/>
    </row>
    <row r="25663" spans="18:18" s="2" customFormat="1" ht="12.75" x14ac:dyDescent="0.2">
      <c r="R25663" s="1288"/>
    </row>
    <row r="25664" spans="18:18" s="2" customFormat="1" ht="12.75" x14ac:dyDescent="0.2">
      <c r="R25664" s="1288"/>
    </row>
    <row r="25665" spans="18:18" s="2" customFormat="1" ht="12.75" x14ac:dyDescent="0.2">
      <c r="R25665" s="1288"/>
    </row>
    <row r="25666" spans="18:18" s="2" customFormat="1" ht="12.75" x14ac:dyDescent="0.2">
      <c r="R25666" s="1288"/>
    </row>
    <row r="25667" spans="18:18" s="2" customFormat="1" ht="12.75" x14ac:dyDescent="0.2">
      <c r="R25667" s="1288"/>
    </row>
    <row r="25668" spans="18:18" s="2" customFormat="1" ht="12.75" x14ac:dyDescent="0.2">
      <c r="R25668" s="1288"/>
    </row>
    <row r="25669" spans="18:18" s="2" customFormat="1" ht="12.75" x14ac:dyDescent="0.2">
      <c r="R25669" s="1288"/>
    </row>
    <row r="25670" spans="18:18" s="2" customFormat="1" ht="12.75" x14ac:dyDescent="0.2">
      <c r="R25670" s="1288"/>
    </row>
    <row r="25671" spans="18:18" s="2" customFormat="1" ht="12.75" x14ac:dyDescent="0.2">
      <c r="R25671" s="1288"/>
    </row>
    <row r="25672" spans="18:18" s="2" customFormat="1" ht="12.75" x14ac:dyDescent="0.2">
      <c r="R25672" s="1288"/>
    </row>
    <row r="25673" spans="18:18" s="2" customFormat="1" ht="12.75" x14ac:dyDescent="0.2">
      <c r="R25673" s="1288"/>
    </row>
    <row r="25674" spans="18:18" s="2" customFormat="1" ht="12.75" x14ac:dyDescent="0.2">
      <c r="R25674" s="1288"/>
    </row>
    <row r="25675" spans="18:18" s="2" customFormat="1" ht="12.75" x14ac:dyDescent="0.2">
      <c r="R25675" s="1288"/>
    </row>
    <row r="25676" spans="18:18" s="2" customFormat="1" ht="12.75" x14ac:dyDescent="0.2">
      <c r="R25676" s="1288"/>
    </row>
    <row r="25677" spans="18:18" s="2" customFormat="1" ht="12.75" x14ac:dyDescent="0.2">
      <c r="R25677" s="1288"/>
    </row>
    <row r="25678" spans="18:18" s="2" customFormat="1" ht="12.75" x14ac:dyDescent="0.2">
      <c r="R25678" s="1288"/>
    </row>
    <row r="25679" spans="18:18" s="2" customFormat="1" ht="12.75" x14ac:dyDescent="0.2">
      <c r="R25679" s="1288"/>
    </row>
    <row r="25680" spans="18:18" s="2" customFormat="1" ht="12.75" x14ac:dyDescent="0.2">
      <c r="R25680" s="1288"/>
    </row>
    <row r="25681" spans="18:18" s="2" customFormat="1" ht="12.75" x14ac:dyDescent="0.2">
      <c r="R25681" s="1288"/>
    </row>
    <row r="25682" spans="18:18" s="2" customFormat="1" ht="12.75" x14ac:dyDescent="0.2">
      <c r="R25682" s="1288"/>
    </row>
    <row r="25683" spans="18:18" s="2" customFormat="1" ht="12.75" x14ac:dyDescent="0.2">
      <c r="R25683" s="1288"/>
    </row>
    <row r="25684" spans="18:18" s="2" customFormat="1" ht="12.75" x14ac:dyDescent="0.2">
      <c r="R25684" s="1288"/>
    </row>
    <row r="25685" spans="18:18" s="2" customFormat="1" ht="12.75" x14ac:dyDescent="0.2">
      <c r="R25685" s="1288"/>
    </row>
    <row r="25686" spans="18:18" s="2" customFormat="1" ht="12.75" x14ac:dyDescent="0.2">
      <c r="R25686" s="1288"/>
    </row>
    <row r="25687" spans="18:18" s="2" customFormat="1" ht="12.75" x14ac:dyDescent="0.2">
      <c r="R25687" s="1288"/>
    </row>
    <row r="25688" spans="18:18" s="2" customFormat="1" ht="12.75" x14ac:dyDescent="0.2">
      <c r="R25688" s="1288"/>
    </row>
    <row r="25689" spans="18:18" s="2" customFormat="1" ht="12.75" x14ac:dyDescent="0.2">
      <c r="R25689" s="1288"/>
    </row>
    <row r="25690" spans="18:18" s="2" customFormat="1" ht="12.75" x14ac:dyDescent="0.2">
      <c r="R25690" s="1288"/>
    </row>
    <row r="25691" spans="18:18" s="2" customFormat="1" ht="12.75" x14ac:dyDescent="0.2">
      <c r="R25691" s="1288"/>
    </row>
    <row r="25692" spans="18:18" s="2" customFormat="1" ht="12.75" x14ac:dyDescent="0.2">
      <c r="R25692" s="1288"/>
    </row>
    <row r="25693" spans="18:18" s="2" customFormat="1" ht="12.75" x14ac:dyDescent="0.2">
      <c r="R25693" s="1288"/>
    </row>
    <row r="25694" spans="18:18" s="2" customFormat="1" ht="12.75" x14ac:dyDescent="0.2">
      <c r="R25694" s="1288"/>
    </row>
    <row r="25695" spans="18:18" s="2" customFormat="1" ht="12.75" x14ac:dyDescent="0.2">
      <c r="R25695" s="1288"/>
    </row>
    <row r="25696" spans="18:18" s="2" customFormat="1" ht="12.75" x14ac:dyDescent="0.2">
      <c r="R25696" s="1288"/>
    </row>
    <row r="25697" spans="18:18" s="2" customFormat="1" ht="12.75" x14ac:dyDescent="0.2">
      <c r="R25697" s="1288"/>
    </row>
    <row r="25698" spans="18:18" s="2" customFormat="1" ht="12.75" x14ac:dyDescent="0.2">
      <c r="R25698" s="1288"/>
    </row>
    <row r="25699" spans="18:18" s="2" customFormat="1" ht="12.75" x14ac:dyDescent="0.2">
      <c r="R25699" s="1288"/>
    </row>
    <row r="25700" spans="18:18" s="2" customFormat="1" ht="12.75" x14ac:dyDescent="0.2">
      <c r="R25700" s="1288"/>
    </row>
    <row r="25701" spans="18:18" s="2" customFormat="1" ht="12.75" x14ac:dyDescent="0.2">
      <c r="R25701" s="1288"/>
    </row>
    <row r="25702" spans="18:18" s="2" customFormat="1" ht="12.75" x14ac:dyDescent="0.2">
      <c r="R25702" s="1288"/>
    </row>
    <row r="25703" spans="18:18" s="2" customFormat="1" ht="12.75" x14ac:dyDescent="0.2">
      <c r="R25703" s="1288"/>
    </row>
    <row r="25704" spans="18:18" s="2" customFormat="1" ht="12.75" x14ac:dyDescent="0.2">
      <c r="R25704" s="1288"/>
    </row>
    <row r="25705" spans="18:18" s="2" customFormat="1" ht="12.75" x14ac:dyDescent="0.2">
      <c r="R25705" s="1288"/>
    </row>
    <row r="25706" spans="18:18" s="2" customFormat="1" ht="12.75" x14ac:dyDescent="0.2">
      <c r="R25706" s="1288"/>
    </row>
    <row r="25707" spans="18:18" s="2" customFormat="1" ht="12.75" x14ac:dyDescent="0.2">
      <c r="R25707" s="1288"/>
    </row>
    <row r="25708" spans="18:18" s="2" customFormat="1" ht="12.75" x14ac:dyDescent="0.2">
      <c r="R25708" s="1288"/>
    </row>
    <row r="25709" spans="18:18" s="2" customFormat="1" ht="12.75" x14ac:dyDescent="0.2">
      <c r="R25709" s="1288"/>
    </row>
    <row r="25710" spans="18:18" s="2" customFormat="1" ht="12.75" x14ac:dyDescent="0.2">
      <c r="R25710" s="1288"/>
    </row>
    <row r="25711" spans="18:18" s="2" customFormat="1" ht="12.75" x14ac:dyDescent="0.2">
      <c r="R25711" s="1288"/>
    </row>
    <row r="25712" spans="18:18" s="2" customFormat="1" ht="12.75" x14ac:dyDescent="0.2">
      <c r="R25712" s="1288"/>
    </row>
    <row r="25713" spans="18:18" s="2" customFormat="1" ht="12.75" x14ac:dyDescent="0.2">
      <c r="R25713" s="1288"/>
    </row>
    <row r="25714" spans="18:18" s="2" customFormat="1" ht="12.75" x14ac:dyDescent="0.2">
      <c r="R25714" s="1288"/>
    </row>
    <row r="25715" spans="18:18" s="2" customFormat="1" ht="12.75" x14ac:dyDescent="0.2">
      <c r="R25715" s="1288"/>
    </row>
    <row r="25716" spans="18:18" s="2" customFormat="1" ht="12.75" x14ac:dyDescent="0.2">
      <c r="R25716" s="1288"/>
    </row>
    <row r="25717" spans="18:18" s="2" customFormat="1" ht="12.75" x14ac:dyDescent="0.2">
      <c r="R25717" s="1288"/>
    </row>
    <row r="25718" spans="18:18" s="2" customFormat="1" ht="12.75" x14ac:dyDescent="0.2">
      <c r="R25718" s="1288"/>
    </row>
    <row r="25719" spans="18:18" s="2" customFormat="1" ht="12.75" x14ac:dyDescent="0.2">
      <c r="R25719" s="1288"/>
    </row>
    <row r="25720" spans="18:18" s="2" customFormat="1" ht="12.75" x14ac:dyDescent="0.2">
      <c r="R25720" s="1288"/>
    </row>
    <row r="25721" spans="18:18" s="2" customFormat="1" ht="12.75" x14ac:dyDescent="0.2">
      <c r="R25721" s="1288"/>
    </row>
    <row r="25722" spans="18:18" s="2" customFormat="1" ht="12.75" x14ac:dyDescent="0.2">
      <c r="R25722" s="1288"/>
    </row>
    <row r="25723" spans="18:18" s="2" customFormat="1" ht="12.75" x14ac:dyDescent="0.2">
      <c r="R25723" s="1288"/>
    </row>
    <row r="25724" spans="18:18" s="2" customFormat="1" ht="12.75" x14ac:dyDescent="0.2">
      <c r="R25724" s="1288"/>
    </row>
    <row r="25725" spans="18:18" s="2" customFormat="1" ht="12.75" x14ac:dyDescent="0.2">
      <c r="R25725" s="1288"/>
    </row>
    <row r="25726" spans="18:18" s="2" customFormat="1" ht="12.75" x14ac:dyDescent="0.2">
      <c r="R25726" s="1288"/>
    </row>
    <row r="25727" spans="18:18" s="2" customFormat="1" ht="12.75" x14ac:dyDescent="0.2">
      <c r="R25727" s="1288"/>
    </row>
    <row r="25728" spans="18:18" s="2" customFormat="1" ht="12.75" x14ac:dyDescent="0.2">
      <c r="R25728" s="1288"/>
    </row>
    <row r="25729" spans="18:18" s="2" customFormat="1" ht="12.75" x14ac:dyDescent="0.2">
      <c r="R25729" s="1288"/>
    </row>
    <row r="25730" spans="18:18" s="2" customFormat="1" ht="12.75" x14ac:dyDescent="0.2">
      <c r="R25730" s="1288"/>
    </row>
    <row r="25731" spans="18:18" s="2" customFormat="1" ht="12.75" x14ac:dyDescent="0.2">
      <c r="R25731" s="1288"/>
    </row>
    <row r="25732" spans="18:18" s="2" customFormat="1" ht="12.75" x14ac:dyDescent="0.2">
      <c r="R25732" s="1288"/>
    </row>
    <row r="25733" spans="18:18" s="2" customFormat="1" ht="12.75" x14ac:dyDescent="0.2">
      <c r="R25733" s="1288"/>
    </row>
    <row r="25734" spans="18:18" s="2" customFormat="1" ht="12.75" x14ac:dyDescent="0.2">
      <c r="R25734" s="1288"/>
    </row>
    <row r="25735" spans="18:18" s="2" customFormat="1" ht="12.75" x14ac:dyDescent="0.2">
      <c r="R25735" s="1288"/>
    </row>
    <row r="25736" spans="18:18" s="2" customFormat="1" ht="12.75" x14ac:dyDescent="0.2">
      <c r="R25736" s="1288"/>
    </row>
    <row r="25737" spans="18:18" s="2" customFormat="1" ht="12.75" x14ac:dyDescent="0.2">
      <c r="R25737" s="1288"/>
    </row>
    <row r="25738" spans="18:18" s="2" customFormat="1" ht="12.75" x14ac:dyDescent="0.2">
      <c r="R25738" s="1288"/>
    </row>
    <row r="25739" spans="18:18" s="2" customFormat="1" ht="12.75" x14ac:dyDescent="0.2">
      <c r="R25739" s="1288"/>
    </row>
    <row r="25740" spans="18:18" s="2" customFormat="1" ht="12.75" x14ac:dyDescent="0.2">
      <c r="R25740" s="1288"/>
    </row>
    <row r="25741" spans="18:18" s="2" customFormat="1" ht="12.75" x14ac:dyDescent="0.2">
      <c r="R25741" s="1288"/>
    </row>
    <row r="25742" spans="18:18" s="2" customFormat="1" ht="12.75" x14ac:dyDescent="0.2">
      <c r="R25742" s="1288"/>
    </row>
    <row r="25743" spans="18:18" s="2" customFormat="1" ht="12.75" x14ac:dyDescent="0.2">
      <c r="R25743" s="1288"/>
    </row>
    <row r="25744" spans="18:18" s="2" customFormat="1" ht="12.75" x14ac:dyDescent="0.2">
      <c r="R25744" s="1288"/>
    </row>
    <row r="25745" spans="18:18" s="2" customFormat="1" ht="12.75" x14ac:dyDescent="0.2">
      <c r="R25745" s="1288"/>
    </row>
    <row r="25746" spans="18:18" s="2" customFormat="1" ht="12.75" x14ac:dyDescent="0.2">
      <c r="R25746" s="1288"/>
    </row>
    <row r="25747" spans="18:18" s="2" customFormat="1" ht="12.75" x14ac:dyDescent="0.2">
      <c r="R25747" s="1288"/>
    </row>
    <row r="25748" spans="18:18" s="2" customFormat="1" ht="12.75" x14ac:dyDescent="0.2">
      <c r="R25748" s="1288"/>
    </row>
    <row r="25749" spans="18:18" s="2" customFormat="1" ht="12.75" x14ac:dyDescent="0.2">
      <c r="R25749" s="1288"/>
    </row>
    <row r="25750" spans="18:18" s="2" customFormat="1" ht="12.75" x14ac:dyDescent="0.2">
      <c r="R25750" s="1288"/>
    </row>
    <row r="25751" spans="18:18" s="2" customFormat="1" ht="12.75" x14ac:dyDescent="0.2">
      <c r="R25751" s="1288"/>
    </row>
    <row r="25752" spans="18:18" s="2" customFormat="1" ht="12.75" x14ac:dyDescent="0.2">
      <c r="R25752" s="1288"/>
    </row>
    <row r="25753" spans="18:18" s="2" customFormat="1" ht="12.75" x14ac:dyDescent="0.2">
      <c r="R25753" s="1288"/>
    </row>
    <row r="25754" spans="18:18" s="2" customFormat="1" ht="12.75" x14ac:dyDescent="0.2">
      <c r="R25754" s="1288"/>
    </row>
    <row r="25755" spans="18:18" s="2" customFormat="1" ht="12.75" x14ac:dyDescent="0.2">
      <c r="R25755" s="1288"/>
    </row>
    <row r="25756" spans="18:18" s="2" customFormat="1" ht="12.75" x14ac:dyDescent="0.2">
      <c r="R25756" s="1288"/>
    </row>
    <row r="25757" spans="18:18" s="2" customFormat="1" ht="12.75" x14ac:dyDescent="0.2">
      <c r="R25757" s="1288"/>
    </row>
    <row r="25758" spans="18:18" s="2" customFormat="1" ht="12.75" x14ac:dyDescent="0.2">
      <c r="R25758" s="1288"/>
    </row>
    <row r="25759" spans="18:18" s="2" customFormat="1" ht="12.75" x14ac:dyDescent="0.2">
      <c r="R25759" s="1288"/>
    </row>
    <row r="25760" spans="18:18" s="2" customFormat="1" ht="12.75" x14ac:dyDescent="0.2">
      <c r="R25760" s="1288"/>
    </row>
    <row r="25761" spans="18:18" s="2" customFormat="1" ht="12.75" x14ac:dyDescent="0.2">
      <c r="R25761" s="1288"/>
    </row>
    <row r="25762" spans="18:18" s="2" customFormat="1" ht="12.75" x14ac:dyDescent="0.2">
      <c r="R25762" s="1288"/>
    </row>
    <row r="25763" spans="18:18" s="2" customFormat="1" ht="12.75" x14ac:dyDescent="0.2">
      <c r="R25763" s="1288"/>
    </row>
    <row r="25764" spans="18:18" s="2" customFormat="1" ht="12.75" x14ac:dyDescent="0.2">
      <c r="R25764" s="1288"/>
    </row>
    <row r="25765" spans="18:18" s="2" customFormat="1" ht="12.75" x14ac:dyDescent="0.2">
      <c r="R25765" s="1288"/>
    </row>
    <row r="25766" spans="18:18" s="2" customFormat="1" ht="12.75" x14ac:dyDescent="0.2">
      <c r="R25766" s="1288"/>
    </row>
    <row r="25767" spans="18:18" s="2" customFormat="1" ht="12.75" x14ac:dyDescent="0.2">
      <c r="R25767" s="1288"/>
    </row>
    <row r="25768" spans="18:18" s="2" customFormat="1" ht="12.75" x14ac:dyDescent="0.2">
      <c r="R25768" s="1288"/>
    </row>
    <row r="25769" spans="18:18" s="2" customFormat="1" ht="12.75" x14ac:dyDescent="0.2">
      <c r="R25769" s="1288"/>
    </row>
    <row r="25770" spans="18:18" s="2" customFormat="1" ht="12.75" x14ac:dyDescent="0.2">
      <c r="R25770" s="1288"/>
    </row>
    <row r="25771" spans="18:18" s="2" customFormat="1" ht="12.75" x14ac:dyDescent="0.2">
      <c r="R25771" s="1288"/>
    </row>
    <row r="25772" spans="18:18" s="2" customFormat="1" ht="12.75" x14ac:dyDescent="0.2">
      <c r="R25772" s="1288"/>
    </row>
    <row r="25773" spans="18:18" s="2" customFormat="1" ht="12.75" x14ac:dyDescent="0.2">
      <c r="R25773" s="1288"/>
    </row>
    <row r="25774" spans="18:18" s="2" customFormat="1" ht="12.75" x14ac:dyDescent="0.2">
      <c r="R25774" s="1288"/>
    </row>
    <row r="25775" spans="18:18" s="2" customFormat="1" ht="12.75" x14ac:dyDescent="0.2">
      <c r="R25775" s="1288"/>
    </row>
    <row r="25776" spans="18:18" s="2" customFormat="1" ht="12.75" x14ac:dyDescent="0.2">
      <c r="R25776" s="1288"/>
    </row>
    <row r="25777" spans="18:18" s="2" customFormat="1" ht="12.75" x14ac:dyDescent="0.2">
      <c r="R25777" s="1288"/>
    </row>
    <row r="25778" spans="18:18" s="2" customFormat="1" ht="12.75" x14ac:dyDescent="0.2">
      <c r="R25778" s="1288"/>
    </row>
    <row r="25779" spans="18:18" s="2" customFormat="1" ht="12.75" x14ac:dyDescent="0.2">
      <c r="R25779" s="1288"/>
    </row>
    <row r="25780" spans="18:18" s="2" customFormat="1" ht="12.75" x14ac:dyDescent="0.2">
      <c r="R25780" s="1288"/>
    </row>
    <row r="25781" spans="18:18" s="2" customFormat="1" ht="12.75" x14ac:dyDescent="0.2">
      <c r="R25781" s="1288"/>
    </row>
    <row r="25782" spans="18:18" s="2" customFormat="1" ht="12.75" x14ac:dyDescent="0.2">
      <c r="R25782" s="1288"/>
    </row>
    <row r="25783" spans="18:18" s="2" customFormat="1" ht="12.75" x14ac:dyDescent="0.2">
      <c r="R25783" s="1288"/>
    </row>
    <row r="25784" spans="18:18" s="2" customFormat="1" ht="12.75" x14ac:dyDescent="0.2">
      <c r="R25784" s="1288"/>
    </row>
    <row r="25785" spans="18:18" s="2" customFormat="1" ht="12.75" x14ac:dyDescent="0.2">
      <c r="R25785" s="1288"/>
    </row>
    <row r="25786" spans="18:18" s="2" customFormat="1" ht="12.75" x14ac:dyDescent="0.2">
      <c r="R25786" s="1288"/>
    </row>
    <row r="25787" spans="18:18" s="2" customFormat="1" ht="12.75" x14ac:dyDescent="0.2">
      <c r="R25787" s="1288"/>
    </row>
    <row r="25788" spans="18:18" s="2" customFormat="1" ht="12.75" x14ac:dyDescent="0.2">
      <c r="R25788" s="1288"/>
    </row>
    <row r="25789" spans="18:18" s="2" customFormat="1" ht="12.75" x14ac:dyDescent="0.2">
      <c r="R25789" s="1288"/>
    </row>
    <row r="25790" spans="18:18" s="2" customFormat="1" ht="12.75" x14ac:dyDescent="0.2">
      <c r="R25790" s="1288"/>
    </row>
    <row r="25791" spans="18:18" s="2" customFormat="1" ht="12.75" x14ac:dyDescent="0.2">
      <c r="R25791" s="1288"/>
    </row>
    <row r="25792" spans="18:18" s="2" customFormat="1" ht="12.75" x14ac:dyDescent="0.2">
      <c r="R25792" s="1288"/>
    </row>
    <row r="25793" spans="18:18" s="2" customFormat="1" ht="12.75" x14ac:dyDescent="0.2">
      <c r="R25793" s="1288"/>
    </row>
    <row r="25794" spans="18:18" s="2" customFormat="1" ht="12.75" x14ac:dyDescent="0.2">
      <c r="R25794" s="1288"/>
    </row>
    <row r="25795" spans="18:18" s="2" customFormat="1" ht="12.75" x14ac:dyDescent="0.2">
      <c r="R25795" s="1288"/>
    </row>
    <row r="25796" spans="18:18" s="2" customFormat="1" ht="12.75" x14ac:dyDescent="0.2">
      <c r="R25796" s="1288"/>
    </row>
    <row r="25797" spans="18:18" s="2" customFormat="1" ht="12.75" x14ac:dyDescent="0.2">
      <c r="R25797" s="1288"/>
    </row>
    <row r="25798" spans="18:18" s="2" customFormat="1" ht="12.75" x14ac:dyDescent="0.2">
      <c r="R25798" s="1288"/>
    </row>
    <row r="25799" spans="18:18" s="2" customFormat="1" ht="12.75" x14ac:dyDescent="0.2">
      <c r="R25799" s="1288"/>
    </row>
    <row r="25800" spans="18:18" s="2" customFormat="1" ht="12.75" x14ac:dyDescent="0.2">
      <c r="R25800" s="1288"/>
    </row>
    <row r="25801" spans="18:18" s="2" customFormat="1" ht="12.75" x14ac:dyDescent="0.2">
      <c r="R25801" s="1288"/>
    </row>
    <row r="25802" spans="18:18" s="2" customFormat="1" ht="12.75" x14ac:dyDescent="0.2">
      <c r="R25802" s="1288"/>
    </row>
    <row r="25803" spans="18:18" s="2" customFormat="1" ht="12.75" x14ac:dyDescent="0.2">
      <c r="R25803" s="1288"/>
    </row>
    <row r="25804" spans="18:18" s="2" customFormat="1" ht="12.75" x14ac:dyDescent="0.2">
      <c r="R25804" s="1288"/>
    </row>
    <row r="25805" spans="18:18" s="2" customFormat="1" ht="12.75" x14ac:dyDescent="0.2">
      <c r="R25805" s="1288"/>
    </row>
    <row r="25806" spans="18:18" s="2" customFormat="1" ht="12.75" x14ac:dyDescent="0.2">
      <c r="R25806" s="1288"/>
    </row>
    <row r="25807" spans="18:18" s="2" customFormat="1" ht="12.75" x14ac:dyDescent="0.2">
      <c r="R25807" s="1288"/>
    </row>
    <row r="25808" spans="18:18" s="2" customFormat="1" ht="12.75" x14ac:dyDescent="0.2">
      <c r="R25808" s="1288"/>
    </row>
    <row r="25809" spans="18:18" s="2" customFormat="1" ht="12.75" x14ac:dyDescent="0.2">
      <c r="R25809" s="1288"/>
    </row>
    <row r="25810" spans="18:18" s="2" customFormat="1" ht="12.75" x14ac:dyDescent="0.2">
      <c r="R25810" s="1288"/>
    </row>
    <row r="25811" spans="18:18" s="2" customFormat="1" ht="12.75" x14ac:dyDescent="0.2">
      <c r="R25811" s="1288"/>
    </row>
    <row r="25812" spans="18:18" s="2" customFormat="1" ht="12.75" x14ac:dyDescent="0.2">
      <c r="R25812" s="1288"/>
    </row>
    <row r="25813" spans="18:18" s="2" customFormat="1" ht="12.75" x14ac:dyDescent="0.2">
      <c r="R25813" s="1288"/>
    </row>
    <row r="25814" spans="18:18" s="2" customFormat="1" ht="12.75" x14ac:dyDescent="0.2">
      <c r="R25814" s="1288"/>
    </row>
    <row r="25815" spans="18:18" s="2" customFormat="1" ht="12.75" x14ac:dyDescent="0.2">
      <c r="R25815" s="1288"/>
    </row>
    <row r="25816" spans="18:18" s="2" customFormat="1" ht="12.75" x14ac:dyDescent="0.2">
      <c r="R25816" s="1288"/>
    </row>
    <row r="25817" spans="18:18" s="2" customFormat="1" ht="12.75" x14ac:dyDescent="0.2">
      <c r="R25817" s="1288"/>
    </row>
    <row r="25818" spans="18:18" s="2" customFormat="1" ht="12.75" x14ac:dyDescent="0.2">
      <c r="R25818" s="1288"/>
    </row>
    <row r="25819" spans="18:18" s="2" customFormat="1" ht="12.75" x14ac:dyDescent="0.2">
      <c r="R25819" s="1288"/>
    </row>
    <row r="25820" spans="18:18" s="2" customFormat="1" ht="12.75" x14ac:dyDescent="0.2">
      <c r="R25820" s="1288"/>
    </row>
    <row r="25821" spans="18:18" s="2" customFormat="1" ht="12.75" x14ac:dyDescent="0.2">
      <c r="R25821" s="1288"/>
    </row>
    <row r="25822" spans="18:18" s="2" customFormat="1" ht="12.75" x14ac:dyDescent="0.2">
      <c r="R25822" s="1288"/>
    </row>
    <row r="25823" spans="18:18" s="2" customFormat="1" ht="12.75" x14ac:dyDescent="0.2">
      <c r="R25823" s="1288"/>
    </row>
    <row r="25824" spans="18:18" s="2" customFormat="1" ht="12.75" x14ac:dyDescent="0.2">
      <c r="R25824" s="1288"/>
    </row>
    <row r="25825" spans="18:18" s="2" customFormat="1" ht="12.75" x14ac:dyDescent="0.2">
      <c r="R25825" s="1288"/>
    </row>
    <row r="25826" spans="18:18" s="2" customFormat="1" ht="12.75" x14ac:dyDescent="0.2">
      <c r="R25826" s="1288"/>
    </row>
    <row r="25827" spans="18:18" s="2" customFormat="1" ht="12.75" x14ac:dyDescent="0.2">
      <c r="R25827" s="1288"/>
    </row>
    <row r="25828" spans="18:18" s="2" customFormat="1" ht="12.75" x14ac:dyDescent="0.2">
      <c r="R25828" s="1288"/>
    </row>
    <row r="25829" spans="18:18" s="2" customFormat="1" ht="12.75" x14ac:dyDescent="0.2">
      <c r="R25829" s="1288"/>
    </row>
    <row r="25830" spans="18:18" s="2" customFormat="1" ht="12.75" x14ac:dyDescent="0.2">
      <c r="R25830" s="1288"/>
    </row>
    <row r="25831" spans="18:18" s="2" customFormat="1" ht="12.75" x14ac:dyDescent="0.2">
      <c r="R25831" s="1288"/>
    </row>
    <row r="25832" spans="18:18" s="2" customFormat="1" ht="12.75" x14ac:dyDescent="0.2">
      <c r="R25832" s="1288"/>
    </row>
    <row r="25833" spans="18:18" s="2" customFormat="1" ht="12.75" x14ac:dyDescent="0.2">
      <c r="R25833" s="1288"/>
    </row>
    <row r="25834" spans="18:18" s="2" customFormat="1" ht="12.75" x14ac:dyDescent="0.2">
      <c r="R25834" s="1288"/>
    </row>
    <row r="25835" spans="18:18" s="2" customFormat="1" ht="12.75" x14ac:dyDescent="0.2">
      <c r="R25835" s="1288"/>
    </row>
    <row r="25836" spans="18:18" s="2" customFormat="1" ht="12.75" x14ac:dyDescent="0.2">
      <c r="R25836" s="1288"/>
    </row>
    <row r="25837" spans="18:18" s="2" customFormat="1" ht="12.75" x14ac:dyDescent="0.2">
      <c r="R25837" s="1288"/>
    </row>
    <row r="25838" spans="18:18" s="2" customFormat="1" ht="12.75" x14ac:dyDescent="0.2">
      <c r="R25838" s="1288"/>
    </row>
    <row r="25839" spans="18:18" s="2" customFormat="1" ht="12.75" x14ac:dyDescent="0.2">
      <c r="R25839" s="1288"/>
    </row>
    <row r="25840" spans="18:18" s="2" customFormat="1" ht="12.75" x14ac:dyDescent="0.2">
      <c r="R25840" s="1288"/>
    </row>
    <row r="25841" spans="18:18" s="2" customFormat="1" ht="12.75" x14ac:dyDescent="0.2">
      <c r="R25841" s="1288"/>
    </row>
    <row r="25842" spans="18:18" s="2" customFormat="1" ht="12.75" x14ac:dyDescent="0.2">
      <c r="R25842" s="1288"/>
    </row>
    <row r="25843" spans="18:18" s="2" customFormat="1" ht="12.75" x14ac:dyDescent="0.2">
      <c r="R25843" s="1288"/>
    </row>
    <row r="25844" spans="18:18" s="2" customFormat="1" ht="12.75" x14ac:dyDescent="0.2">
      <c r="R25844" s="1288"/>
    </row>
    <row r="25845" spans="18:18" s="2" customFormat="1" ht="12.75" x14ac:dyDescent="0.2">
      <c r="R25845" s="1288"/>
    </row>
    <row r="25846" spans="18:18" s="2" customFormat="1" ht="12.75" x14ac:dyDescent="0.2">
      <c r="R25846" s="1288"/>
    </row>
    <row r="25847" spans="18:18" s="2" customFormat="1" ht="12.75" x14ac:dyDescent="0.2">
      <c r="R25847" s="1288"/>
    </row>
    <row r="25848" spans="18:18" s="2" customFormat="1" ht="12.75" x14ac:dyDescent="0.2">
      <c r="R25848" s="1288"/>
    </row>
    <row r="25849" spans="18:18" s="2" customFormat="1" ht="12.75" x14ac:dyDescent="0.2">
      <c r="R25849" s="1288"/>
    </row>
    <row r="25850" spans="18:18" s="2" customFormat="1" ht="12.75" x14ac:dyDescent="0.2">
      <c r="R25850" s="1288"/>
    </row>
    <row r="25851" spans="18:18" s="2" customFormat="1" ht="12.75" x14ac:dyDescent="0.2">
      <c r="R25851" s="1288"/>
    </row>
    <row r="25852" spans="18:18" s="2" customFormat="1" ht="12.75" x14ac:dyDescent="0.2">
      <c r="R25852" s="1288"/>
    </row>
    <row r="25853" spans="18:18" s="2" customFormat="1" ht="12.75" x14ac:dyDescent="0.2">
      <c r="R25853" s="1288"/>
    </row>
    <row r="25854" spans="18:18" s="2" customFormat="1" ht="12.75" x14ac:dyDescent="0.2">
      <c r="R25854" s="1288"/>
    </row>
    <row r="25855" spans="18:18" s="2" customFormat="1" ht="12.75" x14ac:dyDescent="0.2">
      <c r="R25855" s="1288"/>
    </row>
    <row r="25856" spans="18:18" s="2" customFormat="1" ht="12.75" x14ac:dyDescent="0.2">
      <c r="R25856" s="1288"/>
    </row>
    <row r="25857" spans="18:18" s="2" customFormat="1" ht="12.75" x14ac:dyDescent="0.2">
      <c r="R25857" s="1288"/>
    </row>
    <row r="25858" spans="18:18" s="2" customFormat="1" ht="12.75" x14ac:dyDescent="0.2">
      <c r="R25858" s="1288"/>
    </row>
    <row r="25859" spans="18:18" s="2" customFormat="1" ht="12.75" x14ac:dyDescent="0.2">
      <c r="R25859" s="1288"/>
    </row>
    <row r="25860" spans="18:18" s="2" customFormat="1" ht="12.75" x14ac:dyDescent="0.2">
      <c r="R25860" s="1288"/>
    </row>
    <row r="25861" spans="18:18" s="2" customFormat="1" ht="12.75" x14ac:dyDescent="0.2">
      <c r="R25861" s="1288"/>
    </row>
    <row r="25862" spans="18:18" s="2" customFormat="1" ht="12.75" x14ac:dyDescent="0.2">
      <c r="R25862" s="1288"/>
    </row>
    <row r="25863" spans="18:18" s="2" customFormat="1" ht="12.75" x14ac:dyDescent="0.2">
      <c r="R25863" s="1288"/>
    </row>
    <row r="25864" spans="18:18" s="2" customFormat="1" ht="12.75" x14ac:dyDescent="0.2">
      <c r="R25864" s="1288"/>
    </row>
    <row r="25865" spans="18:18" s="2" customFormat="1" ht="12.75" x14ac:dyDescent="0.2">
      <c r="R25865" s="1288"/>
    </row>
    <row r="25866" spans="18:18" s="2" customFormat="1" ht="12.75" x14ac:dyDescent="0.2">
      <c r="R25866" s="1288"/>
    </row>
    <row r="25867" spans="18:18" s="2" customFormat="1" ht="12.75" x14ac:dyDescent="0.2">
      <c r="R25867" s="1288"/>
    </row>
    <row r="25868" spans="18:18" s="2" customFormat="1" ht="12.75" x14ac:dyDescent="0.2">
      <c r="R25868" s="1288"/>
    </row>
    <row r="25869" spans="18:18" s="2" customFormat="1" ht="12.75" x14ac:dyDescent="0.2">
      <c r="R25869" s="1288"/>
    </row>
    <row r="25870" spans="18:18" s="2" customFormat="1" ht="12.75" x14ac:dyDescent="0.2">
      <c r="R25870" s="1288"/>
    </row>
    <row r="25871" spans="18:18" s="2" customFormat="1" ht="12.75" x14ac:dyDescent="0.2">
      <c r="R25871" s="1288"/>
    </row>
    <row r="25872" spans="18:18" s="2" customFormat="1" ht="12.75" x14ac:dyDescent="0.2">
      <c r="R25872" s="1288"/>
    </row>
    <row r="25873" spans="18:18" s="2" customFormat="1" ht="12.75" x14ac:dyDescent="0.2">
      <c r="R25873" s="1288"/>
    </row>
    <row r="25874" spans="18:18" s="2" customFormat="1" ht="12.75" x14ac:dyDescent="0.2">
      <c r="R25874" s="1288"/>
    </row>
    <row r="25875" spans="18:18" s="2" customFormat="1" ht="12.75" x14ac:dyDescent="0.2">
      <c r="R25875" s="1288"/>
    </row>
    <row r="25876" spans="18:18" s="2" customFormat="1" ht="12.75" x14ac:dyDescent="0.2">
      <c r="R25876" s="1288"/>
    </row>
    <row r="25877" spans="18:18" s="2" customFormat="1" ht="12.75" x14ac:dyDescent="0.2">
      <c r="R25877" s="1288"/>
    </row>
    <row r="25878" spans="18:18" s="2" customFormat="1" ht="12.75" x14ac:dyDescent="0.2">
      <c r="R25878" s="1288"/>
    </row>
    <row r="25879" spans="18:18" s="2" customFormat="1" ht="12.75" x14ac:dyDescent="0.2">
      <c r="R25879" s="1288"/>
    </row>
    <row r="25880" spans="18:18" s="2" customFormat="1" ht="12.75" x14ac:dyDescent="0.2">
      <c r="R25880" s="1288"/>
    </row>
    <row r="25881" spans="18:18" s="2" customFormat="1" ht="12.75" x14ac:dyDescent="0.2">
      <c r="R25881" s="1288"/>
    </row>
    <row r="25882" spans="18:18" s="2" customFormat="1" ht="12.75" x14ac:dyDescent="0.2">
      <c r="R25882" s="1288"/>
    </row>
    <row r="25883" spans="18:18" s="2" customFormat="1" ht="12.75" x14ac:dyDescent="0.2">
      <c r="R25883" s="1288"/>
    </row>
    <row r="25884" spans="18:18" s="2" customFormat="1" ht="12.75" x14ac:dyDescent="0.2">
      <c r="R25884" s="1288"/>
    </row>
    <row r="25885" spans="18:18" s="2" customFormat="1" ht="12.75" x14ac:dyDescent="0.2">
      <c r="R25885" s="1288"/>
    </row>
    <row r="25886" spans="18:18" s="2" customFormat="1" ht="12.75" x14ac:dyDescent="0.2">
      <c r="R25886" s="1288"/>
    </row>
    <row r="25887" spans="18:18" s="2" customFormat="1" ht="12.75" x14ac:dyDescent="0.2">
      <c r="R25887" s="1288"/>
    </row>
    <row r="25888" spans="18:18" s="2" customFormat="1" ht="12.75" x14ac:dyDescent="0.2">
      <c r="R25888" s="1288"/>
    </row>
    <row r="25889" spans="18:18" s="2" customFormat="1" ht="12.75" x14ac:dyDescent="0.2">
      <c r="R25889" s="1288"/>
    </row>
    <row r="25890" spans="18:18" s="2" customFormat="1" ht="12.75" x14ac:dyDescent="0.2">
      <c r="R25890" s="1288"/>
    </row>
    <row r="25891" spans="18:18" s="2" customFormat="1" ht="12.75" x14ac:dyDescent="0.2">
      <c r="R25891" s="1288"/>
    </row>
    <row r="25892" spans="18:18" s="2" customFormat="1" ht="12.75" x14ac:dyDescent="0.2">
      <c r="R25892" s="1288"/>
    </row>
    <row r="25893" spans="18:18" s="2" customFormat="1" ht="12.75" x14ac:dyDescent="0.2">
      <c r="R25893" s="1288"/>
    </row>
    <row r="25894" spans="18:18" s="2" customFormat="1" ht="12.75" x14ac:dyDescent="0.2">
      <c r="R25894" s="1288"/>
    </row>
    <row r="25895" spans="18:18" s="2" customFormat="1" ht="12.75" x14ac:dyDescent="0.2">
      <c r="R25895" s="1288"/>
    </row>
    <row r="25896" spans="18:18" s="2" customFormat="1" ht="12.75" x14ac:dyDescent="0.2">
      <c r="R25896" s="1288"/>
    </row>
    <row r="25897" spans="18:18" s="2" customFormat="1" ht="12.75" x14ac:dyDescent="0.2">
      <c r="R25897" s="1288"/>
    </row>
    <row r="25898" spans="18:18" s="2" customFormat="1" ht="12.75" x14ac:dyDescent="0.2">
      <c r="R25898" s="1288"/>
    </row>
    <row r="25899" spans="18:18" s="2" customFormat="1" ht="12.75" x14ac:dyDescent="0.2">
      <c r="R25899" s="1288"/>
    </row>
    <row r="25900" spans="18:18" s="2" customFormat="1" ht="12.75" x14ac:dyDescent="0.2">
      <c r="R25900" s="1288"/>
    </row>
    <row r="25901" spans="18:18" s="2" customFormat="1" ht="12.75" x14ac:dyDescent="0.2">
      <c r="R25901" s="1288"/>
    </row>
    <row r="25902" spans="18:18" s="2" customFormat="1" ht="12.75" x14ac:dyDescent="0.2">
      <c r="R25902" s="1288"/>
    </row>
    <row r="25903" spans="18:18" s="2" customFormat="1" ht="12.75" x14ac:dyDescent="0.2">
      <c r="R25903" s="1288"/>
    </row>
    <row r="25904" spans="18:18" s="2" customFormat="1" ht="12.75" x14ac:dyDescent="0.2">
      <c r="R25904" s="1288"/>
    </row>
    <row r="25905" spans="18:18" s="2" customFormat="1" ht="12.75" x14ac:dyDescent="0.2">
      <c r="R25905" s="1288"/>
    </row>
    <row r="25906" spans="18:18" s="2" customFormat="1" ht="12.75" x14ac:dyDescent="0.2">
      <c r="R25906" s="1288"/>
    </row>
    <row r="25907" spans="18:18" s="2" customFormat="1" ht="12.75" x14ac:dyDescent="0.2">
      <c r="R25907" s="1288"/>
    </row>
    <row r="25908" spans="18:18" s="2" customFormat="1" ht="12.75" x14ac:dyDescent="0.2">
      <c r="R25908" s="1288"/>
    </row>
    <row r="25909" spans="18:18" s="2" customFormat="1" ht="12.75" x14ac:dyDescent="0.2">
      <c r="R25909" s="1288"/>
    </row>
    <row r="25910" spans="18:18" s="2" customFormat="1" ht="12.75" x14ac:dyDescent="0.2">
      <c r="R25910" s="1288"/>
    </row>
    <row r="25911" spans="18:18" s="2" customFormat="1" ht="12.75" x14ac:dyDescent="0.2">
      <c r="R25911" s="1288"/>
    </row>
    <row r="25912" spans="18:18" s="2" customFormat="1" ht="12.75" x14ac:dyDescent="0.2">
      <c r="R25912" s="1288"/>
    </row>
    <row r="25913" spans="18:18" s="2" customFormat="1" ht="12.75" x14ac:dyDescent="0.2">
      <c r="R25913" s="1288"/>
    </row>
    <row r="25914" spans="18:18" s="2" customFormat="1" ht="12.75" x14ac:dyDescent="0.2">
      <c r="R25914" s="1288"/>
    </row>
    <row r="25915" spans="18:18" s="2" customFormat="1" ht="12.75" x14ac:dyDescent="0.2">
      <c r="R25915" s="1288"/>
    </row>
    <row r="25916" spans="18:18" s="2" customFormat="1" ht="12.75" x14ac:dyDescent="0.2">
      <c r="R25916" s="1288"/>
    </row>
    <row r="25917" spans="18:18" s="2" customFormat="1" ht="12.75" x14ac:dyDescent="0.2">
      <c r="R25917" s="1288"/>
    </row>
    <row r="25918" spans="18:18" s="2" customFormat="1" ht="12.75" x14ac:dyDescent="0.2">
      <c r="R25918" s="1288"/>
    </row>
    <row r="25919" spans="18:18" s="2" customFormat="1" ht="12.75" x14ac:dyDescent="0.2">
      <c r="R25919" s="1288"/>
    </row>
    <row r="25920" spans="18:18" s="2" customFormat="1" ht="12.75" x14ac:dyDescent="0.2">
      <c r="R25920" s="1288"/>
    </row>
    <row r="25921" spans="18:18" s="2" customFormat="1" ht="12.75" x14ac:dyDescent="0.2">
      <c r="R25921" s="1288"/>
    </row>
    <row r="25922" spans="18:18" s="2" customFormat="1" ht="12.75" x14ac:dyDescent="0.2">
      <c r="R25922" s="1288"/>
    </row>
    <row r="25923" spans="18:18" s="2" customFormat="1" ht="12.75" x14ac:dyDescent="0.2">
      <c r="R25923" s="1288"/>
    </row>
    <row r="25924" spans="18:18" s="2" customFormat="1" ht="12.75" x14ac:dyDescent="0.2">
      <c r="R25924" s="1288"/>
    </row>
    <row r="25925" spans="18:18" s="2" customFormat="1" ht="12.75" x14ac:dyDescent="0.2">
      <c r="R25925" s="1288"/>
    </row>
    <row r="25926" spans="18:18" s="2" customFormat="1" ht="12.75" x14ac:dyDescent="0.2">
      <c r="R25926" s="1288"/>
    </row>
    <row r="25927" spans="18:18" s="2" customFormat="1" ht="12.75" x14ac:dyDescent="0.2">
      <c r="R25927" s="1288"/>
    </row>
    <row r="25928" spans="18:18" s="2" customFormat="1" ht="12.75" x14ac:dyDescent="0.2">
      <c r="R25928" s="1288"/>
    </row>
    <row r="25929" spans="18:18" s="2" customFormat="1" ht="12.75" x14ac:dyDescent="0.2">
      <c r="R25929" s="1288"/>
    </row>
    <row r="25930" spans="18:18" s="2" customFormat="1" ht="12.75" x14ac:dyDescent="0.2">
      <c r="R25930" s="1288"/>
    </row>
    <row r="25931" spans="18:18" s="2" customFormat="1" ht="12.75" x14ac:dyDescent="0.2">
      <c r="R25931" s="1288"/>
    </row>
    <row r="25932" spans="18:18" s="2" customFormat="1" ht="12.75" x14ac:dyDescent="0.2">
      <c r="R25932" s="1288"/>
    </row>
    <row r="25933" spans="18:18" s="2" customFormat="1" ht="12.75" x14ac:dyDescent="0.2">
      <c r="R25933" s="1288"/>
    </row>
    <row r="25934" spans="18:18" s="2" customFormat="1" ht="12.75" x14ac:dyDescent="0.2">
      <c r="R25934" s="1288"/>
    </row>
    <row r="25935" spans="18:18" s="2" customFormat="1" ht="12.75" x14ac:dyDescent="0.2">
      <c r="R25935" s="1288"/>
    </row>
    <row r="25936" spans="18:18" s="2" customFormat="1" ht="12.75" x14ac:dyDescent="0.2">
      <c r="R25936" s="1288"/>
    </row>
    <row r="25937" spans="18:18" s="2" customFormat="1" ht="12.75" x14ac:dyDescent="0.2">
      <c r="R25937" s="1288"/>
    </row>
    <row r="25938" spans="18:18" s="2" customFormat="1" ht="12.75" x14ac:dyDescent="0.2">
      <c r="R25938" s="1288"/>
    </row>
    <row r="25939" spans="18:18" s="2" customFormat="1" ht="12.75" x14ac:dyDescent="0.2">
      <c r="R25939" s="1288"/>
    </row>
    <row r="25940" spans="18:18" s="2" customFormat="1" ht="12.75" x14ac:dyDescent="0.2">
      <c r="R25940" s="1288"/>
    </row>
    <row r="25941" spans="18:18" s="2" customFormat="1" ht="12.75" x14ac:dyDescent="0.2">
      <c r="R25941" s="1288"/>
    </row>
    <row r="25942" spans="18:18" s="2" customFormat="1" ht="12.75" x14ac:dyDescent="0.2">
      <c r="R25942" s="1288"/>
    </row>
    <row r="25943" spans="18:18" s="2" customFormat="1" ht="12.75" x14ac:dyDescent="0.2">
      <c r="R25943" s="1288"/>
    </row>
    <row r="25944" spans="18:18" s="2" customFormat="1" ht="12.75" x14ac:dyDescent="0.2">
      <c r="R25944" s="1288"/>
    </row>
    <row r="25945" spans="18:18" s="2" customFormat="1" ht="12.75" x14ac:dyDescent="0.2">
      <c r="R25945" s="1288"/>
    </row>
    <row r="25946" spans="18:18" s="2" customFormat="1" ht="12.75" x14ac:dyDescent="0.2">
      <c r="R25946" s="1288"/>
    </row>
    <row r="25947" spans="18:18" s="2" customFormat="1" ht="12.75" x14ac:dyDescent="0.2">
      <c r="R25947" s="1288"/>
    </row>
    <row r="25948" spans="18:18" s="2" customFormat="1" ht="12.75" x14ac:dyDescent="0.2">
      <c r="R25948" s="1288"/>
    </row>
    <row r="25949" spans="18:18" s="2" customFormat="1" ht="12.75" x14ac:dyDescent="0.2">
      <c r="R25949" s="1288"/>
    </row>
    <row r="25950" spans="18:18" s="2" customFormat="1" ht="12.75" x14ac:dyDescent="0.2">
      <c r="R25950" s="1288"/>
    </row>
    <row r="25951" spans="18:18" s="2" customFormat="1" ht="12.75" x14ac:dyDescent="0.2">
      <c r="R25951" s="1288"/>
    </row>
    <row r="25952" spans="18:18" s="2" customFormat="1" ht="12.75" x14ac:dyDescent="0.2">
      <c r="R25952" s="1288"/>
    </row>
    <row r="25953" spans="18:18" s="2" customFormat="1" ht="12.75" x14ac:dyDescent="0.2">
      <c r="R25953" s="1288"/>
    </row>
    <row r="25954" spans="18:18" s="2" customFormat="1" ht="12.75" x14ac:dyDescent="0.2">
      <c r="R25954" s="1288"/>
    </row>
    <row r="25955" spans="18:18" s="2" customFormat="1" ht="12.75" x14ac:dyDescent="0.2">
      <c r="R25955" s="1288"/>
    </row>
    <row r="25956" spans="18:18" s="2" customFormat="1" ht="12.75" x14ac:dyDescent="0.2">
      <c r="R25956" s="1288"/>
    </row>
    <row r="25957" spans="18:18" s="2" customFormat="1" ht="12.75" x14ac:dyDescent="0.2">
      <c r="R25957" s="1288"/>
    </row>
    <row r="25958" spans="18:18" s="2" customFormat="1" ht="12.75" x14ac:dyDescent="0.2">
      <c r="R25958" s="1288"/>
    </row>
    <row r="25959" spans="18:18" s="2" customFormat="1" ht="12.75" x14ac:dyDescent="0.2">
      <c r="R25959" s="1288"/>
    </row>
    <row r="25960" spans="18:18" s="2" customFormat="1" ht="12.75" x14ac:dyDescent="0.2">
      <c r="R25960" s="1288"/>
    </row>
    <row r="25961" spans="18:18" s="2" customFormat="1" ht="12.75" x14ac:dyDescent="0.2">
      <c r="R25961" s="1288"/>
    </row>
    <row r="25962" spans="18:18" s="2" customFormat="1" ht="12.75" x14ac:dyDescent="0.2">
      <c r="R25962" s="1288"/>
    </row>
    <row r="25963" spans="18:18" s="2" customFormat="1" ht="12.75" x14ac:dyDescent="0.2">
      <c r="R25963" s="1288"/>
    </row>
    <row r="25964" spans="18:18" s="2" customFormat="1" ht="12.75" x14ac:dyDescent="0.2">
      <c r="R25964" s="1288"/>
    </row>
    <row r="25965" spans="18:18" s="2" customFormat="1" ht="12.75" x14ac:dyDescent="0.2">
      <c r="R25965" s="1288"/>
    </row>
    <row r="25966" spans="18:18" s="2" customFormat="1" ht="12.75" x14ac:dyDescent="0.2">
      <c r="R25966" s="1288"/>
    </row>
    <row r="25967" spans="18:18" s="2" customFormat="1" ht="12.75" x14ac:dyDescent="0.2">
      <c r="R25967" s="1288"/>
    </row>
    <row r="25968" spans="18:18" s="2" customFormat="1" ht="12.75" x14ac:dyDescent="0.2">
      <c r="R25968" s="1288"/>
    </row>
    <row r="25969" spans="18:18" s="2" customFormat="1" ht="12.75" x14ac:dyDescent="0.2">
      <c r="R25969" s="1288"/>
    </row>
    <row r="25970" spans="18:18" s="2" customFormat="1" ht="12.75" x14ac:dyDescent="0.2">
      <c r="R25970" s="1288"/>
    </row>
    <row r="25971" spans="18:18" s="2" customFormat="1" ht="12.75" x14ac:dyDescent="0.2">
      <c r="R25971" s="1288"/>
    </row>
    <row r="25972" spans="18:18" s="2" customFormat="1" ht="12.75" x14ac:dyDescent="0.2">
      <c r="R25972" s="1288"/>
    </row>
    <row r="25973" spans="18:18" s="2" customFormat="1" ht="12.75" x14ac:dyDescent="0.2">
      <c r="R25973" s="1288"/>
    </row>
    <row r="25974" spans="18:18" s="2" customFormat="1" ht="12.75" x14ac:dyDescent="0.2">
      <c r="R25974" s="1288"/>
    </row>
    <row r="25975" spans="18:18" s="2" customFormat="1" ht="12.75" x14ac:dyDescent="0.2">
      <c r="R25975" s="1288"/>
    </row>
    <row r="25976" spans="18:18" s="2" customFormat="1" ht="12.75" x14ac:dyDescent="0.2">
      <c r="R25976" s="1288"/>
    </row>
    <row r="25977" spans="18:18" s="2" customFormat="1" ht="12.75" x14ac:dyDescent="0.2">
      <c r="R25977" s="1288"/>
    </row>
    <row r="25978" spans="18:18" s="2" customFormat="1" ht="12.75" x14ac:dyDescent="0.2">
      <c r="R25978" s="1288"/>
    </row>
    <row r="25979" spans="18:18" s="2" customFormat="1" ht="12.75" x14ac:dyDescent="0.2">
      <c r="R25979" s="1288"/>
    </row>
    <row r="25980" spans="18:18" s="2" customFormat="1" ht="12.75" x14ac:dyDescent="0.2">
      <c r="R25980" s="1288"/>
    </row>
    <row r="25981" spans="18:18" s="2" customFormat="1" ht="12.75" x14ac:dyDescent="0.2">
      <c r="R25981" s="1288"/>
    </row>
    <row r="25982" spans="18:18" s="2" customFormat="1" ht="12.75" x14ac:dyDescent="0.2">
      <c r="R25982" s="1288"/>
    </row>
    <row r="25983" spans="18:18" s="2" customFormat="1" ht="12.75" x14ac:dyDescent="0.2">
      <c r="R25983" s="1288"/>
    </row>
    <row r="25984" spans="18:18" s="2" customFormat="1" ht="12.75" x14ac:dyDescent="0.2">
      <c r="R25984" s="1288"/>
    </row>
    <row r="25985" spans="18:18" s="2" customFormat="1" ht="12.75" x14ac:dyDescent="0.2">
      <c r="R25985" s="1288"/>
    </row>
    <row r="25986" spans="18:18" s="2" customFormat="1" ht="12.75" x14ac:dyDescent="0.2">
      <c r="R25986" s="1288"/>
    </row>
    <row r="25987" spans="18:18" s="2" customFormat="1" ht="12.75" x14ac:dyDescent="0.2">
      <c r="R25987" s="1288"/>
    </row>
    <row r="25988" spans="18:18" s="2" customFormat="1" ht="12.75" x14ac:dyDescent="0.2">
      <c r="R25988" s="1288"/>
    </row>
    <row r="25989" spans="18:18" s="2" customFormat="1" ht="12.75" x14ac:dyDescent="0.2">
      <c r="R25989" s="1288"/>
    </row>
    <row r="25990" spans="18:18" s="2" customFormat="1" ht="12.75" x14ac:dyDescent="0.2">
      <c r="R25990" s="1288"/>
    </row>
    <row r="25991" spans="18:18" s="2" customFormat="1" ht="12.75" x14ac:dyDescent="0.2">
      <c r="R25991" s="1288"/>
    </row>
    <row r="25992" spans="18:18" s="2" customFormat="1" ht="12.75" x14ac:dyDescent="0.2">
      <c r="R25992" s="1288"/>
    </row>
    <row r="25993" spans="18:18" s="2" customFormat="1" ht="12.75" x14ac:dyDescent="0.2">
      <c r="R25993" s="1288"/>
    </row>
    <row r="25994" spans="18:18" s="2" customFormat="1" ht="12.75" x14ac:dyDescent="0.2">
      <c r="R25994" s="1288"/>
    </row>
    <row r="25995" spans="18:18" s="2" customFormat="1" ht="12.75" x14ac:dyDescent="0.2">
      <c r="R25995" s="1288"/>
    </row>
    <row r="25996" spans="18:18" s="2" customFormat="1" ht="12.75" x14ac:dyDescent="0.2">
      <c r="R25996" s="1288"/>
    </row>
    <row r="25997" spans="18:18" s="2" customFormat="1" ht="12.75" x14ac:dyDescent="0.2">
      <c r="R25997" s="1288"/>
    </row>
    <row r="25998" spans="18:18" s="2" customFormat="1" ht="12.75" x14ac:dyDescent="0.2">
      <c r="R25998" s="1288"/>
    </row>
    <row r="25999" spans="18:18" s="2" customFormat="1" ht="12.75" x14ac:dyDescent="0.2">
      <c r="R25999" s="1288"/>
    </row>
    <row r="26000" spans="18:18" s="2" customFormat="1" ht="12.75" x14ac:dyDescent="0.2">
      <c r="R26000" s="1288"/>
    </row>
    <row r="26001" spans="18:18" s="2" customFormat="1" ht="12.75" x14ac:dyDescent="0.2">
      <c r="R26001" s="1288"/>
    </row>
    <row r="26002" spans="18:18" s="2" customFormat="1" ht="12.75" x14ac:dyDescent="0.2">
      <c r="R26002" s="1288"/>
    </row>
    <row r="26003" spans="18:18" s="2" customFormat="1" ht="12.75" x14ac:dyDescent="0.2">
      <c r="R26003" s="1288"/>
    </row>
    <row r="26004" spans="18:18" s="2" customFormat="1" ht="12.75" x14ac:dyDescent="0.2">
      <c r="R26004" s="1288"/>
    </row>
    <row r="26005" spans="18:18" s="2" customFormat="1" ht="12.75" x14ac:dyDescent="0.2">
      <c r="R26005" s="1288"/>
    </row>
    <row r="26006" spans="18:18" s="2" customFormat="1" ht="12.75" x14ac:dyDescent="0.2">
      <c r="R26006" s="1288"/>
    </row>
    <row r="26007" spans="18:18" s="2" customFormat="1" ht="12.75" x14ac:dyDescent="0.2">
      <c r="R26007" s="1288"/>
    </row>
    <row r="26008" spans="18:18" s="2" customFormat="1" ht="12.75" x14ac:dyDescent="0.2">
      <c r="R26008" s="1288"/>
    </row>
    <row r="26009" spans="18:18" s="2" customFormat="1" ht="12.75" x14ac:dyDescent="0.2">
      <c r="R26009" s="1288"/>
    </row>
    <row r="26010" spans="18:18" s="2" customFormat="1" ht="12.75" x14ac:dyDescent="0.2">
      <c r="R26010" s="1288"/>
    </row>
    <row r="26011" spans="18:18" s="2" customFormat="1" ht="12.75" x14ac:dyDescent="0.2">
      <c r="R26011" s="1288"/>
    </row>
    <row r="26012" spans="18:18" s="2" customFormat="1" ht="12.75" x14ac:dyDescent="0.2">
      <c r="R26012" s="1288"/>
    </row>
    <row r="26013" spans="18:18" s="2" customFormat="1" ht="12.75" x14ac:dyDescent="0.2">
      <c r="R26013" s="1288"/>
    </row>
    <row r="26014" spans="18:18" s="2" customFormat="1" ht="12.75" x14ac:dyDescent="0.2">
      <c r="R26014" s="1288"/>
    </row>
    <row r="26015" spans="18:18" s="2" customFormat="1" ht="12.75" x14ac:dyDescent="0.2">
      <c r="R26015" s="1288"/>
    </row>
    <row r="26016" spans="18:18" s="2" customFormat="1" ht="12.75" x14ac:dyDescent="0.2">
      <c r="R26016" s="1288"/>
    </row>
    <row r="26017" spans="18:18" s="2" customFormat="1" ht="12.75" x14ac:dyDescent="0.2">
      <c r="R26017" s="1288"/>
    </row>
    <row r="26018" spans="18:18" s="2" customFormat="1" ht="12.75" x14ac:dyDescent="0.2">
      <c r="R26018" s="1288"/>
    </row>
    <row r="26019" spans="18:18" s="2" customFormat="1" ht="12.75" x14ac:dyDescent="0.2">
      <c r="R26019" s="1288"/>
    </row>
    <row r="26020" spans="18:18" s="2" customFormat="1" ht="12.75" x14ac:dyDescent="0.2">
      <c r="R26020" s="1288"/>
    </row>
    <row r="26021" spans="18:18" s="2" customFormat="1" ht="12.75" x14ac:dyDescent="0.2">
      <c r="R26021" s="1288"/>
    </row>
    <row r="26022" spans="18:18" s="2" customFormat="1" ht="12.75" x14ac:dyDescent="0.2">
      <c r="R26022" s="1288"/>
    </row>
    <row r="26023" spans="18:18" s="2" customFormat="1" ht="12.75" x14ac:dyDescent="0.2">
      <c r="R26023" s="1288"/>
    </row>
    <row r="26024" spans="18:18" s="2" customFormat="1" ht="12.75" x14ac:dyDescent="0.2">
      <c r="R26024" s="1288"/>
    </row>
    <row r="26025" spans="18:18" s="2" customFormat="1" ht="12.75" x14ac:dyDescent="0.2">
      <c r="R26025" s="1288"/>
    </row>
    <row r="26026" spans="18:18" s="2" customFormat="1" ht="12.75" x14ac:dyDescent="0.2">
      <c r="R26026" s="1288"/>
    </row>
    <row r="26027" spans="18:18" s="2" customFormat="1" ht="12.75" x14ac:dyDescent="0.2">
      <c r="R26027" s="1288"/>
    </row>
    <row r="26028" spans="18:18" s="2" customFormat="1" ht="12.75" x14ac:dyDescent="0.2">
      <c r="R26028" s="1288"/>
    </row>
    <row r="26029" spans="18:18" s="2" customFormat="1" ht="12.75" x14ac:dyDescent="0.2">
      <c r="R26029" s="1288"/>
    </row>
    <row r="26030" spans="18:18" s="2" customFormat="1" ht="12.75" x14ac:dyDescent="0.2">
      <c r="R26030" s="1288"/>
    </row>
    <row r="26031" spans="18:18" s="2" customFormat="1" ht="12.75" x14ac:dyDescent="0.2">
      <c r="R26031" s="1288"/>
    </row>
    <row r="26032" spans="18:18" s="2" customFormat="1" ht="12.75" x14ac:dyDescent="0.2">
      <c r="R26032" s="1288"/>
    </row>
    <row r="26033" spans="18:18" s="2" customFormat="1" ht="12.75" x14ac:dyDescent="0.2">
      <c r="R26033" s="1288"/>
    </row>
    <row r="26034" spans="18:18" s="2" customFormat="1" ht="12.75" x14ac:dyDescent="0.2">
      <c r="R26034" s="1288"/>
    </row>
    <row r="26035" spans="18:18" s="2" customFormat="1" ht="12.75" x14ac:dyDescent="0.2">
      <c r="R26035" s="1288"/>
    </row>
    <row r="26036" spans="18:18" s="2" customFormat="1" ht="12.75" x14ac:dyDescent="0.2">
      <c r="R26036" s="1288"/>
    </row>
    <row r="26037" spans="18:18" s="2" customFormat="1" ht="12.75" x14ac:dyDescent="0.2">
      <c r="R26037" s="1288"/>
    </row>
    <row r="26038" spans="18:18" s="2" customFormat="1" ht="12.75" x14ac:dyDescent="0.2">
      <c r="R26038" s="1288"/>
    </row>
    <row r="26039" spans="18:18" s="2" customFormat="1" ht="12.75" x14ac:dyDescent="0.2">
      <c r="R26039" s="1288"/>
    </row>
    <row r="26040" spans="18:18" s="2" customFormat="1" ht="12.75" x14ac:dyDescent="0.2">
      <c r="R26040" s="1288"/>
    </row>
    <row r="26041" spans="18:18" s="2" customFormat="1" ht="12.75" x14ac:dyDescent="0.2">
      <c r="R26041" s="1288"/>
    </row>
    <row r="26042" spans="18:18" s="2" customFormat="1" ht="12.75" x14ac:dyDescent="0.2">
      <c r="R26042" s="1288"/>
    </row>
    <row r="26043" spans="18:18" s="2" customFormat="1" ht="12.75" x14ac:dyDescent="0.2">
      <c r="R26043" s="1288"/>
    </row>
    <row r="26044" spans="18:18" s="2" customFormat="1" ht="12.75" x14ac:dyDescent="0.2">
      <c r="R26044" s="1288"/>
    </row>
    <row r="26045" spans="18:18" s="2" customFormat="1" ht="12.75" x14ac:dyDescent="0.2">
      <c r="R26045" s="1288"/>
    </row>
    <row r="26046" spans="18:18" s="2" customFormat="1" ht="12.75" x14ac:dyDescent="0.2">
      <c r="R26046" s="1288"/>
    </row>
    <row r="26047" spans="18:18" s="2" customFormat="1" ht="12.75" x14ac:dyDescent="0.2">
      <c r="R26047" s="1288"/>
    </row>
    <row r="26048" spans="18:18" s="2" customFormat="1" ht="12.75" x14ac:dyDescent="0.2">
      <c r="R26048" s="1288"/>
    </row>
    <row r="26049" spans="18:18" s="2" customFormat="1" ht="12.75" x14ac:dyDescent="0.2">
      <c r="R26049" s="1288"/>
    </row>
    <row r="26050" spans="18:18" s="2" customFormat="1" ht="12.75" x14ac:dyDescent="0.2">
      <c r="R26050" s="1288"/>
    </row>
    <row r="26051" spans="18:18" s="2" customFormat="1" ht="12.75" x14ac:dyDescent="0.2">
      <c r="R26051" s="1288"/>
    </row>
    <row r="26052" spans="18:18" s="2" customFormat="1" ht="12.75" x14ac:dyDescent="0.2">
      <c r="R26052" s="1288"/>
    </row>
    <row r="26053" spans="18:18" s="2" customFormat="1" ht="12.75" x14ac:dyDescent="0.2">
      <c r="R26053" s="1288"/>
    </row>
    <row r="26054" spans="18:18" s="2" customFormat="1" ht="12.75" x14ac:dyDescent="0.2">
      <c r="R26054" s="1288"/>
    </row>
    <row r="26055" spans="18:18" s="2" customFormat="1" ht="12.75" x14ac:dyDescent="0.2">
      <c r="R26055" s="1288"/>
    </row>
    <row r="26056" spans="18:18" s="2" customFormat="1" ht="12.75" x14ac:dyDescent="0.2">
      <c r="R26056" s="1288"/>
    </row>
    <row r="26057" spans="18:18" s="2" customFormat="1" ht="12.75" x14ac:dyDescent="0.2">
      <c r="R26057" s="1288"/>
    </row>
    <row r="26058" spans="18:18" s="2" customFormat="1" ht="12.75" x14ac:dyDescent="0.2">
      <c r="R26058" s="1288"/>
    </row>
    <row r="26059" spans="18:18" s="2" customFormat="1" ht="12.75" x14ac:dyDescent="0.2">
      <c r="R26059" s="1288"/>
    </row>
    <row r="26060" spans="18:18" s="2" customFormat="1" ht="12.75" x14ac:dyDescent="0.2">
      <c r="R26060" s="1288"/>
    </row>
    <row r="26061" spans="18:18" s="2" customFormat="1" ht="12.75" x14ac:dyDescent="0.2">
      <c r="R26061" s="1288"/>
    </row>
    <row r="26062" spans="18:18" s="2" customFormat="1" ht="12.75" x14ac:dyDescent="0.2">
      <c r="R26062" s="1288"/>
    </row>
    <row r="26063" spans="18:18" s="2" customFormat="1" ht="12.75" x14ac:dyDescent="0.2">
      <c r="R26063" s="1288"/>
    </row>
    <row r="26064" spans="18:18" s="2" customFormat="1" ht="12.75" x14ac:dyDescent="0.2">
      <c r="R26064" s="1288"/>
    </row>
    <row r="26065" spans="18:18" s="2" customFormat="1" ht="12.75" x14ac:dyDescent="0.2">
      <c r="R26065" s="1288"/>
    </row>
    <row r="26066" spans="18:18" s="2" customFormat="1" ht="12.75" x14ac:dyDescent="0.2">
      <c r="R26066" s="1288"/>
    </row>
    <row r="26067" spans="18:18" s="2" customFormat="1" ht="12.75" x14ac:dyDescent="0.2">
      <c r="R26067" s="1288"/>
    </row>
    <row r="26068" spans="18:18" s="2" customFormat="1" ht="12.75" x14ac:dyDescent="0.2">
      <c r="R26068" s="1288"/>
    </row>
    <row r="26069" spans="18:18" s="2" customFormat="1" ht="12.75" x14ac:dyDescent="0.2">
      <c r="R26069" s="1288"/>
    </row>
    <row r="26070" spans="18:18" s="2" customFormat="1" ht="12.75" x14ac:dyDescent="0.2">
      <c r="R26070" s="1288"/>
    </row>
    <row r="26071" spans="18:18" s="2" customFormat="1" ht="12.75" x14ac:dyDescent="0.2">
      <c r="R26071" s="1288"/>
    </row>
    <row r="26072" spans="18:18" s="2" customFormat="1" ht="12.75" x14ac:dyDescent="0.2">
      <c r="R26072" s="1288"/>
    </row>
    <row r="26073" spans="18:18" s="2" customFormat="1" ht="12.75" x14ac:dyDescent="0.2">
      <c r="R26073" s="1288"/>
    </row>
    <row r="26074" spans="18:18" s="2" customFormat="1" ht="12.75" x14ac:dyDescent="0.2">
      <c r="R26074" s="1288"/>
    </row>
    <row r="26075" spans="18:18" s="2" customFormat="1" ht="12.75" x14ac:dyDescent="0.2">
      <c r="R26075" s="1288"/>
    </row>
    <row r="26076" spans="18:18" s="2" customFormat="1" ht="12.75" x14ac:dyDescent="0.2">
      <c r="R26076" s="1288"/>
    </row>
    <row r="26077" spans="18:18" s="2" customFormat="1" ht="12.75" x14ac:dyDescent="0.2">
      <c r="R26077" s="1288"/>
    </row>
    <row r="26078" spans="18:18" s="2" customFormat="1" ht="12.75" x14ac:dyDescent="0.2">
      <c r="R26078" s="1288"/>
    </row>
    <row r="26079" spans="18:18" s="2" customFormat="1" ht="12.75" x14ac:dyDescent="0.2">
      <c r="R26079" s="1288"/>
    </row>
    <row r="26080" spans="18:18" s="2" customFormat="1" ht="12.75" x14ac:dyDescent="0.2">
      <c r="R26080" s="1288"/>
    </row>
    <row r="26081" spans="18:18" s="2" customFormat="1" ht="12.75" x14ac:dyDescent="0.2">
      <c r="R26081" s="1288"/>
    </row>
    <row r="26082" spans="18:18" s="2" customFormat="1" ht="12.75" x14ac:dyDescent="0.2">
      <c r="R26082" s="1288"/>
    </row>
    <row r="26083" spans="18:18" s="2" customFormat="1" ht="12.75" x14ac:dyDescent="0.2">
      <c r="R26083" s="1288"/>
    </row>
    <row r="26084" spans="18:18" s="2" customFormat="1" ht="12.75" x14ac:dyDescent="0.2">
      <c r="R26084" s="1288"/>
    </row>
    <row r="26085" spans="18:18" s="2" customFormat="1" ht="12.75" x14ac:dyDescent="0.2">
      <c r="R26085" s="1288"/>
    </row>
    <row r="26086" spans="18:18" s="2" customFormat="1" ht="12.75" x14ac:dyDescent="0.2">
      <c r="R26086" s="1288"/>
    </row>
    <row r="26087" spans="18:18" s="2" customFormat="1" ht="12.75" x14ac:dyDescent="0.2">
      <c r="R26087" s="1288"/>
    </row>
    <row r="26088" spans="18:18" s="2" customFormat="1" ht="12.75" x14ac:dyDescent="0.2">
      <c r="R26088" s="1288"/>
    </row>
    <row r="26089" spans="18:18" s="2" customFormat="1" ht="12.75" x14ac:dyDescent="0.2">
      <c r="R26089" s="1288"/>
    </row>
    <row r="26090" spans="18:18" s="2" customFormat="1" ht="12.75" x14ac:dyDescent="0.2">
      <c r="R26090" s="1288"/>
    </row>
    <row r="26091" spans="18:18" s="2" customFormat="1" ht="12.75" x14ac:dyDescent="0.2">
      <c r="R26091" s="1288"/>
    </row>
    <row r="26092" spans="18:18" s="2" customFormat="1" ht="12.75" x14ac:dyDescent="0.2">
      <c r="R26092" s="1288"/>
    </row>
    <row r="26093" spans="18:18" s="2" customFormat="1" ht="12.75" x14ac:dyDescent="0.2">
      <c r="R26093" s="1288"/>
    </row>
    <row r="26094" spans="18:18" s="2" customFormat="1" ht="12.75" x14ac:dyDescent="0.2">
      <c r="R26094" s="1288"/>
    </row>
    <row r="26095" spans="18:18" s="2" customFormat="1" ht="12.75" x14ac:dyDescent="0.2">
      <c r="R26095" s="1288"/>
    </row>
    <row r="26096" spans="18:18" s="2" customFormat="1" ht="12.75" x14ac:dyDescent="0.2">
      <c r="R26096" s="1288"/>
    </row>
    <row r="26097" spans="18:18" s="2" customFormat="1" ht="12.75" x14ac:dyDescent="0.2">
      <c r="R26097" s="1288"/>
    </row>
    <row r="26098" spans="18:18" s="2" customFormat="1" ht="12.75" x14ac:dyDescent="0.2">
      <c r="R26098" s="1288"/>
    </row>
    <row r="26099" spans="18:18" s="2" customFormat="1" ht="12.75" x14ac:dyDescent="0.2">
      <c r="R26099" s="1288"/>
    </row>
    <row r="26100" spans="18:18" s="2" customFormat="1" ht="12.75" x14ac:dyDescent="0.2">
      <c r="R26100" s="1288"/>
    </row>
    <row r="26101" spans="18:18" s="2" customFormat="1" ht="12.75" x14ac:dyDescent="0.2">
      <c r="R26101" s="1288"/>
    </row>
    <row r="26102" spans="18:18" s="2" customFormat="1" ht="12.75" x14ac:dyDescent="0.2">
      <c r="R26102" s="1288"/>
    </row>
    <row r="26103" spans="18:18" s="2" customFormat="1" ht="12.75" x14ac:dyDescent="0.2">
      <c r="R26103" s="1288"/>
    </row>
    <row r="26104" spans="18:18" s="2" customFormat="1" ht="12.75" x14ac:dyDescent="0.2">
      <c r="R26104" s="1288"/>
    </row>
    <row r="26105" spans="18:18" s="2" customFormat="1" ht="12.75" x14ac:dyDescent="0.2">
      <c r="R26105" s="1288"/>
    </row>
    <row r="26106" spans="18:18" s="2" customFormat="1" ht="12.75" x14ac:dyDescent="0.2">
      <c r="R26106" s="1288"/>
    </row>
    <row r="26107" spans="18:18" s="2" customFormat="1" ht="12.75" x14ac:dyDescent="0.2">
      <c r="R26107" s="1288"/>
    </row>
    <row r="26108" spans="18:18" s="2" customFormat="1" ht="12.75" x14ac:dyDescent="0.2">
      <c r="R26108" s="1288"/>
    </row>
    <row r="26109" spans="18:18" s="2" customFormat="1" ht="12.75" x14ac:dyDescent="0.2">
      <c r="R26109" s="1288"/>
    </row>
    <row r="26110" spans="18:18" s="2" customFormat="1" ht="12.75" x14ac:dyDescent="0.2">
      <c r="R26110" s="1288"/>
    </row>
    <row r="26111" spans="18:18" s="2" customFormat="1" ht="12.75" x14ac:dyDescent="0.2">
      <c r="R26111" s="1288"/>
    </row>
    <row r="26112" spans="18:18" s="2" customFormat="1" ht="12.75" x14ac:dyDescent="0.2">
      <c r="R26112" s="1288"/>
    </row>
    <row r="26113" spans="18:18" s="2" customFormat="1" ht="12.75" x14ac:dyDescent="0.2">
      <c r="R26113" s="1288"/>
    </row>
    <row r="26114" spans="18:18" s="2" customFormat="1" ht="12.75" x14ac:dyDescent="0.2">
      <c r="R26114" s="1288"/>
    </row>
    <row r="26115" spans="18:18" s="2" customFormat="1" ht="12.75" x14ac:dyDescent="0.2">
      <c r="R26115" s="1288"/>
    </row>
    <row r="26116" spans="18:18" s="2" customFormat="1" ht="12.75" x14ac:dyDescent="0.2">
      <c r="R26116" s="1288"/>
    </row>
    <row r="26117" spans="18:18" s="2" customFormat="1" ht="12.75" x14ac:dyDescent="0.2">
      <c r="R26117" s="1288"/>
    </row>
    <row r="26118" spans="18:18" s="2" customFormat="1" ht="12.75" x14ac:dyDescent="0.2">
      <c r="R26118" s="1288"/>
    </row>
    <row r="26119" spans="18:18" s="2" customFormat="1" ht="12.75" x14ac:dyDescent="0.2">
      <c r="R26119" s="1288"/>
    </row>
    <row r="26120" spans="18:18" s="2" customFormat="1" ht="12.75" x14ac:dyDescent="0.2">
      <c r="R26120" s="1288"/>
    </row>
    <row r="26121" spans="18:18" s="2" customFormat="1" ht="12.75" x14ac:dyDescent="0.2">
      <c r="R26121" s="1288"/>
    </row>
    <row r="26122" spans="18:18" s="2" customFormat="1" ht="12.75" x14ac:dyDescent="0.2">
      <c r="R26122" s="1288"/>
    </row>
    <row r="26123" spans="18:18" s="2" customFormat="1" ht="12.75" x14ac:dyDescent="0.2">
      <c r="R26123" s="1288"/>
    </row>
    <row r="26124" spans="18:18" s="2" customFormat="1" ht="12.75" x14ac:dyDescent="0.2">
      <c r="R26124" s="1288"/>
    </row>
    <row r="26125" spans="18:18" s="2" customFormat="1" ht="12.75" x14ac:dyDescent="0.2">
      <c r="R26125" s="1288"/>
    </row>
    <row r="26126" spans="18:18" s="2" customFormat="1" ht="12.75" x14ac:dyDescent="0.2">
      <c r="R26126" s="1288"/>
    </row>
    <row r="26127" spans="18:18" s="2" customFormat="1" ht="12.75" x14ac:dyDescent="0.2">
      <c r="R26127" s="1288"/>
    </row>
    <row r="26128" spans="18:18" s="2" customFormat="1" ht="12.75" x14ac:dyDescent="0.2">
      <c r="R26128" s="1288"/>
    </row>
    <row r="26129" spans="18:18" s="2" customFormat="1" ht="12.75" x14ac:dyDescent="0.2">
      <c r="R26129" s="1288"/>
    </row>
    <row r="26130" spans="18:18" s="2" customFormat="1" ht="12.75" x14ac:dyDescent="0.2">
      <c r="R26130" s="1288"/>
    </row>
    <row r="26131" spans="18:18" s="2" customFormat="1" ht="12.75" x14ac:dyDescent="0.2">
      <c r="R26131" s="1288"/>
    </row>
    <row r="26132" spans="18:18" s="2" customFormat="1" ht="12.75" x14ac:dyDescent="0.2">
      <c r="R26132" s="1288"/>
    </row>
    <row r="26133" spans="18:18" s="2" customFormat="1" ht="12.75" x14ac:dyDescent="0.2">
      <c r="R26133" s="1288"/>
    </row>
    <row r="26134" spans="18:18" s="2" customFormat="1" ht="12.75" x14ac:dyDescent="0.2">
      <c r="R26134" s="1288"/>
    </row>
    <row r="26135" spans="18:18" s="2" customFormat="1" ht="12.75" x14ac:dyDescent="0.2">
      <c r="R26135" s="1288"/>
    </row>
    <row r="26136" spans="18:18" s="2" customFormat="1" ht="12.75" x14ac:dyDescent="0.2">
      <c r="R26136" s="1288"/>
    </row>
    <row r="26137" spans="18:18" s="2" customFormat="1" ht="12.75" x14ac:dyDescent="0.2">
      <c r="R26137" s="1288"/>
    </row>
    <row r="26138" spans="18:18" s="2" customFormat="1" ht="12.75" x14ac:dyDescent="0.2">
      <c r="R26138" s="1288"/>
    </row>
    <row r="26139" spans="18:18" s="2" customFormat="1" ht="12.75" x14ac:dyDescent="0.2">
      <c r="R26139" s="1288"/>
    </row>
    <row r="26140" spans="18:18" s="2" customFormat="1" ht="12.75" x14ac:dyDescent="0.2">
      <c r="R26140" s="1288"/>
    </row>
    <row r="26141" spans="18:18" s="2" customFormat="1" ht="12.75" x14ac:dyDescent="0.2">
      <c r="R26141" s="1288"/>
    </row>
    <row r="26142" spans="18:18" s="2" customFormat="1" ht="12.75" x14ac:dyDescent="0.2">
      <c r="R26142" s="1288"/>
    </row>
    <row r="26143" spans="18:18" s="2" customFormat="1" ht="12.75" x14ac:dyDescent="0.2">
      <c r="R26143" s="1288"/>
    </row>
    <row r="26144" spans="18:18" s="2" customFormat="1" ht="12.75" x14ac:dyDescent="0.2">
      <c r="R26144" s="1288"/>
    </row>
    <row r="26145" spans="18:18" s="2" customFormat="1" ht="12.75" x14ac:dyDescent="0.2">
      <c r="R26145" s="1288"/>
    </row>
    <row r="26146" spans="18:18" s="2" customFormat="1" ht="12.75" x14ac:dyDescent="0.2">
      <c r="R26146" s="1288"/>
    </row>
    <row r="26147" spans="18:18" s="2" customFormat="1" ht="12.75" x14ac:dyDescent="0.2">
      <c r="R26147" s="1288"/>
    </row>
    <row r="26148" spans="18:18" s="2" customFormat="1" ht="12.75" x14ac:dyDescent="0.2">
      <c r="R26148" s="1288"/>
    </row>
    <row r="26149" spans="18:18" s="2" customFormat="1" ht="12.75" x14ac:dyDescent="0.2">
      <c r="R26149" s="1288"/>
    </row>
    <row r="26150" spans="18:18" s="2" customFormat="1" ht="12.75" x14ac:dyDescent="0.2">
      <c r="R26150" s="1288"/>
    </row>
    <row r="26151" spans="18:18" s="2" customFormat="1" ht="12.75" x14ac:dyDescent="0.2">
      <c r="R26151" s="1288"/>
    </row>
    <row r="26152" spans="18:18" s="2" customFormat="1" ht="12.75" x14ac:dyDescent="0.2">
      <c r="R26152" s="1288"/>
    </row>
    <row r="26153" spans="18:18" s="2" customFormat="1" ht="12.75" x14ac:dyDescent="0.2">
      <c r="R26153" s="1288"/>
    </row>
    <row r="26154" spans="18:18" s="2" customFormat="1" ht="12.75" x14ac:dyDescent="0.2">
      <c r="R26154" s="1288"/>
    </row>
    <row r="26155" spans="18:18" s="2" customFormat="1" ht="12.75" x14ac:dyDescent="0.2">
      <c r="R26155" s="1288"/>
    </row>
    <row r="26156" spans="18:18" s="2" customFormat="1" ht="12.75" x14ac:dyDescent="0.2">
      <c r="R26156" s="1288"/>
    </row>
    <row r="26157" spans="18:18" s="2" customFormat="1" ht="12.75" x14ac:dyDescent="0.2">
      <c r="R26157" s="1288"/>
    </row>
    <row r="26158" spans="18:18" s="2" customFormat="1" ht="12.75" x14ac:dyDescent="0.2">
      <c r="R26158" s="1288"/>
    </row>
    <row r="26159" spans="18:18" s="2" customFormat="1" ht="12.75" x14ac:dyDescent="0.2">
      <c r="R26159" s="1288"/>
    </row>
    <row r="26160" spans="18:18" s="2" customFormat="1" ht="12.75" x14ac:dyDescent="0.2">
      <c r="R26160" s="1288"/>
    </row>
    <row r="26161" spans="18:18" s="2" customFormat="1" ht="12.75" x14ac:dyDescent="0.2">
      <c r="R26161" s="1288"/>
    </row>
    <row r="26162" spans="18:18" s="2" customFormat="1" ht="12.75" x14ac:dyDescent="0.2">
      <c r="R26162" s="1288"/>
    </row>
    <row r="26163" spans="18:18" s="2" customFormat="1" ht="12.75" x14ac:dyDescent="0.2">
      <c r="R26163" s="1288"/>
    </row>
    <row r="26164" spans="18:18" s="2" customFormat="1" ht="12.75" x14ac:dyDescent="0.2">
      <c r="R26164" s="1288"/>
    </row>
    <row r="26165" spans="18:18" s="2" customFormat="1" ht="12.75" x14ac:dyDescent="0.2">
      <c r="R26165" s="1288"/>
    </row>
    <row r="26166" spans="18:18" s="2" customFormat="1" ht="12.75" x14ac:dyDescent="0.2">
      <c r="R26166" s="1288"/>
    </row>
    <row r="26167" spans="18:18" s="2" customFormat="1" ht="12.75" x14ac:dyDescent="0.2">
      <c r="R26167" s="1288"/>
    </row>
    <row r="26168" spans="18:18" s="2" customFormat="1" ht="12.75" x14ac:dyDescent="0.2">
      <c r="R26168" s="1288"/>
    </row>
    <row r="26169" spans="18:18" s="2" customFormat="1" ht="12.75" x14ac:dyDescent="0.2">
      <c r="R26169" s="1288"/>
    </row>
    <row r="26170" spans="18:18" s="2" customFormat="1" ht="12.75" x14ac:dyDescent="0.2">
      <c r="R26170" s="1288"/>
    </row>
    <row r="26171" spans="18:18" s="2" customFormat="1" ht="12.75" x14ac:dyDescent="0.2">
      <c r="R26171" s="1288"/>
    </row>
    <row r="26172" spans="18:18" s="2" customFormat="1" ht="12.75" x14ac:dyDescent="0.2">
      <c r="R26172" s="1288"/>
    </row>
    <row r="26173" spans="18:18" s="2" customFormat="1" ht="12.75" x14ac:dyDescent="0.2">
      <c r="R26173" s="1288"/>
    </row>
    <row r="26174" spans="18:18" s="2" customFormat="1" ht="12.75" x14ac:dyDescent="0.2">
      <c r="R26174" s="1288"/>
    </row>
    <row r="26175" spans="18:18" s="2" customFormat="1" ht="12.75" x14ac:dyDescent="0.2">
      <c r="R26175" s="1288"/>
    </row>
    <row r="26176" spans="18:18" s="2" customFormat="1" ht="12.75" x14ac:dyDescent="0.2">
      <c r="R26176" s="1288"/>
    </row>
    <row r="26177" spans="18:18" s="2" customFormat="1" ht="12.75" x14ac:dyDescent="0.2">
      <c r="R26177" s="1288"/>
    </row>
    <row r="26178" spans="18:18" s="2" customFormat="1" ht="12.75" x14ac:dyDescent="0.2">
      <c r="R26178" s="1288"/>
    </row>
    <row r="26179" spans="18:18" s="2" customFormat="1" ht="12.75" x14ac:dyDescent="0.2">
      <c r="R26179" s="1288"/>
    </row>
    <row r="26180" spans="18:18" s="2" customFormat="1" ht="12.75" x14ac:dyDescent="0.2">
      <c r="R26180" s="1288"/>
    </row>
    <row r="26181" spans="18:18" s="2" customFormat="1" ht="12.75" x14ac:dyDescent="0.2">
      <c r="R26181" s="1288"/>
    </row>
    <row r="26182" spans="18:18" s="2" customFormat="1" ht="12.75" x14ac:dyDescent="0.2">
      <c r="R26182" s="1288"/>
    </row>
    <row r="26183" spans="18:18" s="2" customFormat="1" ht="12.75" x14ac:dyDescent="0.2">
      <c r="R26183" s="1288"/>
    </row>
    <row r="26184" spans="18:18" s="2" customFormat="1" ht="12.75" x14ac:dyDescent="0.2">
      <c r="R26184" s="1288"/>
    </row>
    <row r="26185" spans="18:18" s="2" customFormat="1" ht="12.75" x14ac:dyDescent="0.2">
      <c r="R26185" s="1288"/>
    </row>
    <row r="26186" spans="18:18" s="2" customFormat="1" ht="12.75" x14ac:dyDescent="0.2">
      <c r="R26186" s="1288"/>
    </row>
    <row r="26187" spans="18:18" s="2" customFormat="1" ht="12.75" x14ac:dyDescent="0.2">
      <c r="R26187" s="1288"/>
    </row>
    <row r="26188" spans="18:18" s="2" customFormat="1" ht="12.75" x14ac:dyDescent="0.2">
      <c r="R26188" s="1288"/>
    </row>
    <row r="26189" spans="18:18" s="2" customFormat="1" ht="12.75" x14ac:dyDescent="0.2">
      <c r="R26189" s="1288"/>
    </row>
    <row r="26190" spans="18:18" s="2" customFormat="1" ht="12.75" x14ac:dyDescent="0.2">
      <c r="R26190" s="1288"/>
    </row>
    <row r="26191" spans="18:18" s="2" customFormat="1" ht="12.75" x14ac:dyDescent="0.2">
      <c r="R26191" s="1288"/>
    </row>
    <row r="26192" spans="18:18" s="2" customFormat="1" ht="12.75" x14ac:dyDescent="0.2">
      <c r="R26192" s="1288"/>
    </row>
    <row r="26193" spans="18:18" s="2" customFormat="1" ht="12.75" x14ac:dyDescent="0.2">
      <c r="R26193" s="1288"/>
    </row>
    <row r="26194" spans="18:18" s="2" customFormat="1" ht="12.75" x14ac:dyDescent="0.2">
      <c r="R26194" s="1288"/>
    </row>
    <row r="26195" spans="18:18" s="2" customFormat="1" ht="12.75" x14ac:dyDescent="0.2">
      <c r="R26195" s="1288"/>
    </row>
    <row r="26196" spans="18:18" s="2" customFormat="1" ht="12.75" x14ac:dyDescent="0.2">
      <c r="R26196" s="1288"/>
    </row>
    <row r="26197" spans="18:18" s="2" customFormat="1" ht="12.75" x14ac:dyDescent="0.2">
      <c r="R26197" s="1288"/>
    </row>
    <row r="26198" spans="18:18" s="2" customFormat="1" ht="12.75" x14ac:dyDescent="0.2">
      <c r="R26198" s="1288"/>
    </row>
    <row r="26199" spans="18:18" s="2" customFormat="1" ht="12.75" x14ac:dyDescent="0.2">
      <c r="R26199" s="1288"/>
    </row>
    <row r="26200" spans="18:18" s="2" customFormat="1" ht="12.75" x14ac:dyDescent="0.2">
      <c r="R26200" s="1288"/>
    </row>
    <row r="26201" spans="18:18" s="2" customFormat="1" ht="12.75" x14ac:dyDescent="0.2">
      <c r="R26201" s="1288"/>
    </row>
    <row r="26202" spans="18:18" s="2" customFormat="1" ht="12.75" x14ac:dyDescent="0.2">
      <c r="R26202" s="1288"/>
    </row>
    <row r="26203" spans="18:18" s="2" customFormat="1" ht="12.75" x14ac:dyDescent="0.2">
      <c r="R26203" s="1288"/>
    </row>
    <row r="26204" spans="18:18" s="2" customFormat="1" ht="12.75" x14ac:dyDescent="0.2">
      <c r="R26204" s="1288"/>
    </row>
    <row r="26205" spans="18:18" s="2" customFormat="1" ht="12.75" x14ac:dyDescent="0.2">
      <c r="R26205" s="1288"/>
    </row>
    <row r="26206" spans="18:18" s="2" customFormat="1" ht="12.75" x14ac:dyDescent="0.2">
      <c r="R26206" s="1288"/>
    </row>
    <row r="26207" spans="18:18" s="2" customFormat="1" ht="12.75" x14ac:dyDescent="0.2">
      <c r="R26207" s="1288"/>
    </row>
    <row r="26208" spans="18:18" s="2" customFormat="1" ht="12.75" x14ac:dyDescent="0.2">
      <c r="R26208" s="1288"/>
    </row>
    <row r="26209" spans="18:18" s="2" customFormat="1" ht="12.75" x14ac:dyDescent="0.2">
      <c r="R26209" s="1288"/>
    </row>
    <row r="26210" spans="18:18" s="2" customFormat="1" ht="12.75" x14ac:dyDescent="0.2">
      <c r="R26210" s="1288"/>
    </row>
    <row r="26211" spans="18:18" s="2" customFormat="1" ht="12.75" x14ac:dyDescent="0.2">
      <c r="R26211" s="1288"/>
    </row>
    <row r="26212" spans="18:18" s="2" customFormat="1" ht="12.75" x14ac:dyDescent="0.2">
      <c r="R26212" s="1288"/>
    </row>
    <row r="26213" spans="18:18" s="2" customFormat="1" ht="12.75" x14ac:dyDescent="0.2">
      <c r="R26213" s="1288"/>
    </row>
    <row r="26214" spans="18:18" s="2" customFormat="1" ht="12.75" x14ac:dyDescent="0.2">
      <c r="R26214" s="1288"/>
    </row>
    <row r="26215" spans="18:18" s="2" customFormat="1" ht="12.75" x14ac:dyDescent="0.2">
      <c r="R26215" s="1288"/>
    </row>
    <row r="26216" spans="18:18" s="2" customFormat="1" ht="12.75" x14ac:dyDescent="0.2">
      <c r="R26216" s="1288"/>
    </row>
    <row r="26217" spans="18:18" s="2" customFormat="1" ht="12.75" x14ac:dyDescent="0.2">
      <c r="R26217" s="1288"/>
    </row>
    <row r="26218" spans="18:18" s="2" customFormat="1" ht="12.75" x14ac:dyDescent="0.2">
      <c r="R26218" s="1288"/>
    </row>
    <row r="26219" spans="18:18" s="2" customFormat="1" ht="12.75" x14ac:dyDescent="0.2">
      <c r="R26219" s="1288"/>
    </row>
    <row r="26220" spans="18:18" s="2" customFormat="1" ht="12.75" x14ac:dyDescent="0.2">
      <c r="R26220" s="1288"/>
    </row>
    <row r="26221" spans="18:18" s="2" customFormat="1" ht="12.75" x14ac:dyDescent="0.2">
      <c r="R26221" s="1288"/>
    </row>
    <row r="26222" spans="18:18" s="2" customFormat="1" ht="12.75" x14ac:dyDescent="0.2">
      <c r="R26222" s="1288"/>
    </row>
    <row r="26223" spans="18:18" s="2" customFormat="1" ht="12.75" x14ac:dyDescent="0.2">
      <c r="R26223" s="1288"/>
    </row>
    <row r="26224" spans="18:18" s="2" customFormat="1" ht="12.75" x14ac:dyDescent="0.2">
      <c r="R26224" s="1288"/>
    </row>
    <row r="26225" spans="18:18" s="2" customFormat="1" ht="12.75" x14ac:dyDescent="0.2">
      <c r="R26225" s="1288"/>
    </row>
    <row r="26226" spans="18:18" s="2" customFormat="1" ht="12.75" x14ac:dyDescent="0.2">
      <c r="R26226" s="1288"/>
    </row>
    <row r="26227" spans="18:18" s="2" customFormat="1" ht="12.75" x14ac:dyDescent="0.2">
      <c r="R26227" s="1288"/>
    </row>
    <row r="26228" spans="18:18" s="2" customFormat="1" ht="12.75" x14ac:dyDescent="0.2">
      <c r="R26228" s="1288"/>
    </row>
    <row r="26229" spans="18:18" s="2" customFormat="1" ht="12.75" x14ac:dyDescent="0.2">
      <c r="R26229" s="1288"/>
    </row>
    <row r="26230" spans="18:18" s="2" customFormat="1" ht="12.75" x14ac:dyDescent="0.2">
      <c r="R26230" s="1288"/>
    </row>
    <row r="26231" spans="18:18" s="2" customFormat="1" ht="12.75" x14ac:dyDescent="0.2">
      <c r="R26231" s="1288"/>
    </row>
    <row r="26232" spans="18:18" s="2" customFormat="1" ht="12.75" x14ac:dyDescent="0.2">
      <c r="R26232" s="1288"/>
    </row>
    <row r="26233" spans="18:18" s="2" customFormat="1" ht="12.75" x14ac:dyDescent="0.2">
      <c r="R26233" s="1288"/>
    </row>
    <row r="26234" spans="18:18" s="2" customFormat="1" ht="12.75" x14ac:dyDescent="0.2">
      <c r="R26234" s="1288"/>
    </row>
    <row r="26235" spans="18:18" s="2" customFormat="1" ht="12.75" x14ac:dyDescent="0.2">
      <c r="R26235" s="1288"/>
    </row>
    <row r="26236" spans="18:18" s="2" customFormat="1" ht="12.75" x14ac:dyDescent="0.2">
      <c r="R26236" s="1288"/>
    </row>
    <row r="26237" spans="18:18" s="2" customFormat="1" ht="12.75" x14ac:dyDescent="0.2">
      <c r="R26237" s="1288"/>
    </row>
    <row r="26238" spans="18:18" s="2" customFormat="1" ht="12.75" x14ac:dyDescent="0.2">
      <c r="R26238" s="1288"/>
    </row>
    <row r="26239" spans="18:18" s="2" customFormat="1" ht="12.75" x14ac:dyDescent="0.2">
      <c r="R26239" s="1288"/>
    </row>
    <row r="26240" spans="18:18" s="2" customFormat="1" ht="12.75" x14ac:dyDescent="0.2">
      <c r="R26240" s="1288"/>
    </row>
    <row r="26241" spans="18:18" s="2" customFormat="1" ht="12.75" x14ac:dyDescent="0.2">
      <c r="R26241" s="1288"/>
    </row>
    <row r="26242" spans="18:18" s="2" customFormat="1" ht="12.75" x14ac:dyDescent="0.2">
      <c r="R26242" s="1288"/>
    </row>
    <row r="26243" spans="18:18" s="2" customFormat="1" ht="12.75" x14ac:dyDescent="0.2">
      <c r="R26243" s="1288"/>
    </row>
    <row r="26244" spans="18:18" s="2" customFormat="1" ht="12.75" x14ac:dyDescent="0.2">
      <c r="R26244" s="1288"/>
    </row>
    <row r="26245" spans="18:18" s="2" customFormat="1" ht="12.75" x14ac:dyDescent="0.2">
      <c r="R26245" s="1288"/>
    </row>
    <row r="26246" spans="18:18" s="2" customFormat="1" ht="12.75" x14ac:dyDescent="0.2">
      <c r="R26246" s="1288"/>
    </row>
    <row r="26247" spans="18:18" s="2" customFormat="1" ht="12.75" x14ac:dyDescent="0.2">
      <c r="R26247" s="1288"/>
    </row>
    <row r="26248" spans="18:18" s="2" customFormat="1" ht="12.75" x14ac:dyDescent="0.2">
      <c r="R26248" s="1288"/>
    </row>
    <row r="26249" spans="18:18" s="2" customFormat="1" ht="12.75" x14ac:dyDescent="0.2">
      <c r="R26249" s="1288"/>
    </row>
    <row r="26250" spans="18:18" s="2" customFormat="1" ht="12.75" x14ac:dyDescent="0.2">
      <c r="R26250" s="1288"/>
    </row>
    <row r="26251" spans="18:18" s="2" customFormat="1" ht="12.75" x14ac:dyDescent="0.2">
      <c r="R26251" s="1288"/>
    </row>
    <row r="26252" spans="18:18" s="2" customFormat="1" ht="12.75" x14ac:dyDescent="0.2">
      <c r="R26252" s="1288"/>
    </row>
    <row r="26253" spans="18:18" s="2" customFormat="1" ht="12.75" x14ac:dyDescent="0.2">
      <c r="R26253" s="1288"/>
    </row>
    <row r="26254" spans="18:18" s="2" customFormat="1" ht="12.75" x14ac:dyDescent="0.2">
      <c r="R26254" s="1288"/>
    </row>
    <row r="26255" spans="18:18" s="2" customFormat="1" ht="12.75" x14ac:dyDescent="0.2">
      <c r="R26255" s="1288"/>
    </row>
    <row r="26256" spans="18:18" s="2" customFormat="1" ht="12.75" x14ac:dyDescent="0.2">
      <c r="R26256" s="1288"/>
    </row>
    <row r="26257" spans="18:18" s="2" customFormat="1" ht="12.75" x14ac:dyDescent="0.2">
      <c r="R26257" s="1288"/>
    </row>
    <row r="26258" spans="18:18" s="2" customFormat="1" ht="12.75" x14ac:dyDescent="0.2">
      <c r="R26258" s="1288"/>
    </row>
    <row r="26259" spans="18:18" s="2" customFormat="1" ht="12.75" x14ac:dyDescent="0.2">
      <c r="R26259" s="1288"/>
    </row>
    <row r="26260" spans="18:18" s="2" customFormat="1" ht="12.75" x14ac:dyDescent="0.2">
      <c r="R26260" s="1288"/>
    </row>
    <row r="26261" spans="18:18" s="2" customFormat="1" ht="12.75" x14ac:dyDescent="0.2">
      <c r="R26261" s="1288"/>
    </row>
    <row r="26262" spans="18:18" s="2" customFormat="1" ht="12.75" x14ac:dyDescent="0.2">
      <c r="R26262" s="1288"/>
    </row>
    <row r="26263" spans="18:18" s="2" customFormat="1" ht="12.75" x14ac:dyDescent="0.2">
      <c r="R26263" s="1288"/>
    </row>
    <row r="26264" spans="18:18" s="2" customFormat="1" ht="12.75" x14ac:dyDescent="0.2">
      <c r="R26264" s="1288"/>
    </row>
    <row r="26265" spans="18:18" s="2" customFormat="1" ht="12.75" x14ac:dyDescent="0.2">
      <c r="R26265" s="1288"/>
    </row>
    <row r="26266" spans="18:18" s="2" customFormat="1" ht="12.75" x14ac:dyDescent="0.2">
      <c r="R26266" s="1288"/>
    </row>
    <row r="26267" spans="18:18" s="2" customFormat="1" ht="12.75" x14ac:dyDescent="0.2">
      <c r="R26267" s="1288"/>
    </row>
    <row r="26268" spans="18:18" s="2" customFormat="1" ht="12.75" x14ac:dyDescent="0.2">
      <c r="R26268" s="1288"/>
    </row>
    <row r="26269" spans="18:18" s="2" customFormat="1" ht="12.75" x14ac:dyDescent="0.2">
      <c r="R26269" s="1288"/>
    </row>
    <row r="26270" spans="18:18" s="2" customFormat="1" ht="12.75" x14ac:dyDescent="0.2">
      <c r="R26270" s="1288"/>
    </row>
    <row r="26271" spans="18:18" s="2" customFormat="1" ht="12.75" x14ac:dyDescent="0.2">
      <c r="R26271" s="1288"/>
    </row>
    <row r="26272" spans="18:18" s="2" customFormat="1" ht="12.75" x14ac:dyDescent="0.2">
      <c r="R26272" s="1288"/>
    </row>
    <row r="26273" spans="18:18" s="2" customFormat="1" ht="12.75" x14ac:dyDescent="0.2">
      <c r="R26273" s="1288"/>
    </row>
    <row r="26274" spans="18:18" s="2" customFormat="1" ht="12.75" x14ac:dyDescent="0.2">
      <c r="R26274" s="1288"/>
    </row>
    <row r="26275" spans="18:18" s="2" customFormat="1" ht="12.75" x14ac:dyDescent="0.2">
      <c r="R26275" s="1288"/>
    </row>
    <row r="26276" spans="18:18" s="2" customFormat="1" ht="12.75" x14ac:dyDescent="0.2">
      <c r="R26276" s="1288"/>
    </row>
    <row r="26277" spans="18:18" s="2" customFormat="1" ht="12.75" x14ac:dyDescent="0.2">
      <c r="R26277" s="1288"/>
    </row>
    <row r="26278" spans="18:18" s="2" customFormat="1" ht="12.75" x14ac:dyDescent="0.2">
      <c r="R26278" s="1288"/>
    </row>
    <row r="26279" spans="18:18" s="2" customFormat="1" ht="12.75" x14ac:dyDescent="0.2">
      <c r="R26279" s="1288"/>
    </row>
    <row r="26280" spans="18:18" s="2" customFormat="1" ht="12.75" x14ac:dyDescent="0.2">
      <c r="R26280" s="1288"/>
    </row>
    <row r="26281" spans="18:18" s="2" customFormat="1" ht="12.75" x14ac:dyDescent="0.2">
      <c r="R26281" s="1288"/>
    </row>
    <row r="26282" spans="18:18" s="2" customFormat="1" ht="12.75" x14ac:dyDescent="0.2">
      <c r="R26282" s="1288"/>
    </row>
    <row r="26283" spans="18:18" s="2" customFormat="1" ht="12.75" x14ac:dyDescent="0.2">
      <c r="R26283" s="1288"/>
    </row>
    <row r="26284" spans="18:18" s="2" customFormat="1" ht="12.75" x14ac:dyDescent="0.2">
      <c r="R26284" s="1288"/>
    </row>
    <row r="26285" spans="18:18" s="2" customFormat="1" ht="12.75" x14ac:dyDescent="0.2">
      <c r="R26285" s="1288"/>
    </row>
    <row r="26286" spans="18:18" s="2" customFormat="1" ht="12.75" x14ac:dyDescent="0.2">
      <c r="R26286" s="1288"/>
    </row>
    <row r="26287" spans="18:18" s="2" customFormat="1" ht="12.75" x14ac:dyDescent="0.2">
      <c r="R26287" s="1288"/>
    </row>
    <row r="26288" spans="18:18" s="2" customFormat="1" ht="12.75" x14ac:dyDescent="0.2">
      <c r="R26288" s="1288"/>
    </row>
    <row r="26289" spans="18:18" s="2" customFormat="1" ht="12.75" x14ac:dyDescent="0.2">
      <c r="R26289" s="1288"/>
    </row>
    <row r="26290" spans="18:18" s="2" customFormat="1" ht="12.75" x14ac:dyDescent="0.2">
      <c r="R26290" s="1288"/>
    </row>
    <row r="26291" spans="18:18" s="2" customFormat="1" ht="12.75" x14ac:dyDescent="0.2">
      <c r="R26291" s="1288"/>
    </row>
    <row r="26292" spans="18:18" s="2" customFormat="1" ht="12.75" x14ac:dyDescent="0.2">
      <c r="R26292" s="1288"/>
    </row>
    <row r="26293" spans="18:18" s="2" customFormat="1" ht="12.75" x14ac:dyDescent="0.2">
      <c r="R26293" s="1288"/>
    </row>
    <row r="26294" spans="18:18" s="2" customFormat="1" ht="12.75" x14ac:dyDescent="0.2">
      <c r="R26294" s="1288"/>
    </row>
    <row r="26295" spans="18:18" s="2" customFormat="1" ht="12.75" x14ac:dyDescent="0.2">
      <c r="R26295" s="1288"/>
    </row>
    <row r="26296" spans="18:18" s="2" customFormat="1" ht="12.75" x14ac:dyDescent="0.2">
      <c r="R26296" s="1288"/>
    </row>
    <row r="26297" spans="18:18" s="2" customFormat="1" ht="12.75" x14ac:dyDescent="0.2">
      <c r="R26297" s="1288"/>
    </row>
    <row r="26298" spans="18:18" s="2" customFormat="1" ht="12.75" x14ac:dyDescent="0.2">
      <c r="R26298" s="1288"/>
    </row>
    <row r="26299" spans="18:18" s="2" customFormat="1" ht="12.75" x14ac:dyDescent="0.2">
      <c r="R26299" s="1288"/>
    </row>
    <row r="26300" spans="18:18" s="2" customFormat="1" ht="12.75" x14ac:dyDescent="0.2">
      <c r="R26300" s="1288"/>
    </row>
    <row r="26301" spans="18:18" s="2" customFormat="1" ht="12.75" x14ac:dyDescent="0.2">
      <c r="R26301" s="1288"/>
    </row>
    <row r="26302" spans="18:18" s="2" customFormat="1" ht="12.75" x14ac:dyDescent="0.2">
      <c r="R26302" s="1288"/>
    </row>
    <row r="26303" spans="18:18" s="2" customFormat="1" ht="12.75" x14ac:dyDescent="0.2">
      <c r="R26303" s="1288"/>
    </row>
    <row r="26304" spans="18:18" s="2" customFormat="1" ht="12.75" x14ac:dyDescent="0.2">
      <c r="R26304" s="1288"/>
    </row>
    <row r="26305" spans="18:18" s="2" customFormat="1" ht="12.75" x14ac:dyDescent="0.2">
      <c r="R26305" s="1288"/>
    </row>
    <row r="26306" spans="18:18" s="2" customFormat="1" ht="12.75" x14ac:dyDescent="0.2">
      <c r="R26306" s="1288"/>
    </row>
    <row r="26307" spans="18:18" s="2" customFormat="1" ht="12.75" x14ac:dyDescent="0.2">
      <c r="R26307" s="1288"/>
    </row>
    <row r="26308" spans="18:18" s="2" customFormat="1" ht="12.75" x14ac:dyDescent="0.2">
      <c r="R26308" s="1288"/>
    </row>
    <row r="26309" spans="18:18" s="2" customFormat="1" ht="12.75" x14ac:dyDescent="0.2">
      <c r="R26309" s="1288"/>
    </row>
    <row r="26310" spans="18:18" s="2" customFormat="1" ht="12.75" x14ac:dyDescent="0.2">
      <c r="R26310" s="1288"/>
    </row>
    <row r="26311" spans="18:18" s="2" customFormat="1" ht="12.75" x14ac:dyDescent="0.2">
      <c r="R26311" s="1288"/>
    </row>
    <row r="26312" spans="18:18" s="2" customFormat="1" ht="12.75" x14ac:dyDescent="0.2">
      <c r="R26312" s="1288"/>
    </row>
    <row r="26313" spans="18:18" s="2" customFormat="1" ht="12.75" x14ac:dyDescent="0.2">
      <c r="R26313" s="1288"/>
    </row>
    <row r="26314" spans="18:18" s="2" customFormat="1" ht="12.75" x14ac:dyDescent="0.2">
      <c r="R26314" s="1288"/>
    </row>
    <row r="26315" spans="18:18" s="2" customFormat="1" ht="12.75" x14ac:dyDescent="0.2">
      <c r="R26315" s="1288"/>
    </row>
    <row r="26316" spans="18:18" s="2" customFormat="1" ht="12.75" x14ac:dyDescent="0.2">
      <c r="R26316" s="1288"/>
    </row>
    <row r="26317" spans="18:18" s="2" customFormat="1" ht="12.75" x14ac:dyDescent="0.2">
      <c r="R26317" s="1288"/>
    </row>
    <row r="26318" spans="18:18" s="2" customFormat="1" ht="12.75" x14ac:dyDescent="0.2">
      <c r="R26318" s="1288"/>
    </row>
    <row r="26319" spans="18:18" s="2" customFormat="1" ht="12.75" x14ac:dyDescent="0.2">
      <c r="R26319" s="1288"/>
    </row>
    <row r="26320" spans="18:18" s="2" customFormat="1" ht="12.75" x14ac:dyDescent="0.2">
      <c r="R26320" s="1288"/>
    </row>
    <row r="26321" spans="18:18" s="2" customFormat="1" ht="12.75" x14ac:dyDescent="0.2">
      <c r="R26321" s="1288"/>
    </row>
    <row r="26322" spans="18:18" s="2" customFormat="1" ht="12.75" x14ac:dyDescent="0.2">
      <c r="R26322" s="1288"/>
    </row>
    <row r="26323" spans="18:18" s="2" customFormat="1" ht="12.75" x14ac:dyDescent="0.2">
      <c r="R26323" s="1288"/>
    </row>
    <row r="26324" spans="18:18" s="2" customFormat="1" ht="12.75" x14ac:dyDescent="0.2">
      <c r="R26324" s="1288"/>
    </row>
    <row r="26325" spans="18:18" s="2" customFormat="1" ht="12.75" x14ac:dyDescent="0.2">
      <c r="R26325" s="1288"/>
    </row>
    <row r="26326" spans="18:18" s="2" customFormat="1" ht="12.75" x14ac:dyDescent="0.2">
      <c r="R26326" s="1288"/>
    </row>
    <row r="26327" spans="18:18" s="2" customFormat="1" ht="12.75" x14ac:dyDescent="0.2">
      <c r="R26327" s="1288"/>
    </row>
    <row r="26328" spans="18:18" s="2" customFormat="1" ht="12.75" x14ac:dyDescent="0.2">
      <c r="R26328" s="1288"/>
    </row>
    <row r="26329" spans="18:18" s="2" customFormat="1" ht="12.75" x14ac:dyDescent="0.2">
      <c r="R26329" s="1288"/>
    </row>
    <row r="26330" spans="18:18" s="2" customFormat="1" ht="12.75" x14ac:dyDescent="0.2">
      <c r="R26330" s="1288"/>
    </row>
    <row r="26331" spans="18:18" s="2" customFormat="1" ht="12.75" x14ac:dyDescent="0.2">
      <c r="R26331" s="1288"/>
    </row>
    <row r="26332" spans="18:18" s="2" customFormat="1" ht="12.75" x14ac:dyDescent="0.2">
      <c r="R26332" s="1288"/>
    </row>
    <row r="26333" spans="18:18" s="2" customFormat="1" ht="12.75" x14ac:dyDescent="0.2">
      <c r="R26333" s="1288"/>
    </row>
    <row r="26334" spans="18:18" s="2" customFormat="1" ht="12.75" x14ac:dyDescent="0.2">
      <c r="R26334" s="1288"/>
    </row>
    <row r="26335" spans="18:18" s="2" customFormat="1" ht="12.75" x14ac:dyDescent="0.2">
      <c r="R26335" s="1288"/>
    </row>
    <row r="26336" spans="18:18" s="2" customFormat="1" ht="12.75" x14ac:dyDescent="0.2">
      <c r="R26336" s="1288"/>
    </row>
    <row r="26337" spans="18:18" s="2" customFormat="1" ht="12.75" x14ac:dyDescent="0.2">
      <c r="R26337" s="1288"/>
    </row>
    <row r="26338" spans="18:18" s="2" customFormat="1" ht="12.75" x14ac:dyDescent="0.2">
      <c r="R26338" s="1288"/>
    </row>
    <row r="26339" spans="18:18" s="2" customFormat="1" ht="12.75" x14ac:dyDescent="0.2">
      <c r="R26339" s="1288"/>
    </row>
    <row r="26340" spans="18:18" s="2" customFormat="1" ht="12.75" x14ac:dyDescent="0.2">
      <c r="R26340" s="1288"/>
    </row>
    <row r="26341" spans="18:18" s="2" customFormat="1" ht="12.75" x14ac:dyDescent="0.2">
      <c r="R26341" s="1288"/>
    </row>
    <row r="26342" spans="18:18" s="2" customFormat="1" ht="12.75" x14ac:dyDescent="0.2">
      <c r="R26342" s="1288"/>
    </row>
    <row r="26343" spans="18:18" s="2" customFormat="1" ht="12.75" x14ac:dyDescent="0.2">
      <c r="R26343" s="1288"/>
    </row>
    <row r="26344" spans="18:18" s="2" customFormat="1" ht="12.75" x14ac:dyDescent="0.2">
      <c r="R26344" s="1288"/>
    </row>
    <row r="26345" spans="18:18" s="2" customFormat="1" ht="12.75" x14ac:dyDescent="0.2">
      <c r="R26345" s="1288"/>
    </row>
    <row r="26346" spans="18:18" s="2" customFormat="1" ht="12.75" x14ac:dyDescent="0.2">
      <c r="R26346" s="1288"/>
    </row>
    <row r="26347" spans="18:18" s="2" customFormat="1" ht="12.75" x14ac:dyDescent="0.2">
      <c r="R26347" s="1288"/>
    </row>
    <row r="26348" spans="18:18" s="2" customFormat="1" ht="12.75" x14ac:dyDescent="0.2">
      <c r="R26348" s="1288"/>
    </row>
    <row r="26349" spans="18:18" s="2" customFormat="1" ht="12.75" x14ac:dyDescent="0.2">
      <c r="R26349" s="1288"/>
    </row>
    <row r="26350" spans="18:18" s="2" customFormat="1" ht="12.75" x14ac:dyDescent="0.2">
      <c r="R26350" s="1288"/>
    </row>
    <row r="26351" spans="18:18" s="2" customFormat="1" ht="12.75" x14ac:dyDescent="0.2">
      <c r="R26351" s="1288"/>
    </row>
    <row r="26352" spans="18:18" s="2" customFormat="1" ht="12.75" x14ac:dyDescent="0.2">
      <c r="R26352" s="1288"/>
    </row>
    <row r="26353" spans="18:18" s="2" customFormat="1" ht="12.75" x14ac:dyDescent="0.2">
      <c r="R26353" s="1288"/>
    </row>
    <row r="26354" spans="18:18" s="2" customFormat="1" ht="12.75" x14ac:dyDescent="0.2">
      <c r="R26354" s="1288"/>
    </row>
    <row r="26355" spans="18:18" s="2" customFormat="1" ht="12.75" x14ac:dyDescent="0.2">
      <c r="R26355" s="1288"/>
    </row>
    <row r="26356" spans="18:18" s="2" customFormat="1" ht="12.75" x14ac:dyDescent="0.2">
      <c r="R26356" s="1288"/>
    </row>
    <row r="26357" spans="18:18" s="2" customFormat="1" ht="12.75" x14ac:dyDescent="0.2">
      <c r="R26357" s="1288"/>
    </row>
    <row r="26358" spans="18:18" s="2" customFormat="1" ht="12.75" x14ac:dyDescent="0.2">
      <c r="R26358" s="1288"/>
    </row>
    <row r="26359" spans="18:18" s="2" customFormat="1" ht="12.75" x14ac:dyDescent="0.2">
      <c r="R26359" s="1288"/>
    </row>
    <row r="26360" spans="18:18" s="2" customFormat="1" ht="12.75" x14ac:dyDescent="0.2">
      <c r="R26360" s="1288"/>
    </row>
    <row r="26361" spans="18:18" s="2" customFormat="1" ht="12.75" x14ac:dyDescent="0.2">
      <c r="R26361" s="1288"/>
    </row>
    <row r="26362" spans="18:18" s="2" customFormat="1" ht="12.75" x14ac:dyDescent="0.2">
      <c r="R26362" s="1288"/>
    </row>
    <row r="26363" spans="18:18" s="2" customFormat="1" ht="12.75" x14ac:dyDescent="0.2">
      <c r="R26363" s="1288"/>
    </row>
    <row r="26364" spans="18:18" s="2" customFormat="1" ht="12.75" x14ac:dyDescent="0.2">
      <c r="R26364" s="1288"/>
    </row>
    <row r="26365" spans="18:18" s="2" customFormat="1" ht="12.75" x14ac:dyDescent="0.2">
      <c r="R26365" s="1288"/>
    </row>
    <row r="26366" spans="18:18" s="2" customFormat="1" ht="12.75" x14ac:dyDescent="0.2">
      <c r="R26366" s="1288"/>
    </row>
    <row r="26367" spans="18:18" s="2" customFormat="1" ht="12.75" x14ac:dyDescent="0.2">
      <c r="R26367" s="1288"/>
    </row>
    <row r="26368" spans="18:18" s="2" customFormat="1" ht="12.75" x14ac:dyDescent="0.2">
      <c r="R26368" s="1288"/>
    </row>
    <row r="26369" spans="18:18" s="2" customFormat="1" ht="12.75" x14ac:dyDescent="0.2">
      <c r="R26369" s="1288"/>
    </row>
    <row r="26370" spans="18:18" s="2" customFormat="1" ht="12.75" x14ac:dyDescent="0.2">
      <c r="R26370" s="1288"/>
    </row>
    <row r="26371" spans="18:18" s="2" customFormat="1" ht="12.75" x14ac:dyDescent="0.2">
      <c r="R26371" s="1288"/>
    </row>
    <row r="26372" spans="18:18" s="2" customFormat="1" ht="12.75" x14ac:dyDescent="0.2">
      <c r="R26372" s="1288"/>
    </row>
    <row r="26373" spans="18:18" s="2" customFormat="1" ht="12.75" x14ac:dyDescent="0.2">
      <c r="R26373" s="1288"/>
    </row>
    <row r="26374" spans="18:18" s="2" customFormat="1" ht="12.75" x14ac:dyDescent="0.2">
      <c r="R26374" s="1288"/>
    </row>
    <row r="26375" spans="18:18" s="2" customFormat="1" ht="12.75" x14ac:dyDescent="0.2">
      <c r="R26375" s="1288"/>
    </row>
    <row r="26376" spans="18:18" s="2" customFormat="1" ht="12.75" x14ac:dyDescent="0.2">
      <c r="R26376" s="1288"/>
    </row>
    <row r="26377" spans="18:18" s="2" customFormat="1" ht="12.75" x14ac:dyDescent="0.2">
      <c r="R26377" s="1288"/>
    </row>
    <row r="26378" spans="18:18" s="2" customFormat="1" ht="12.75" x14ac:dyDescent="0.2">
      <c r="R26378" s="1288"/>
    </row>
    <row r="26379" spans="18:18" s="2" customFormat="1" ht="12.75" x14ac:dyDescent="0.2">
      <c r="R26379" s="1288"/>
    </row>
    <row r="26380" spans="18:18" s="2" customFormat="1" ht="12.75" x14ac:dyDescent="0.2">
      <c r="R26380" s="1288"/>
    </row>
    <row r="26381" spans="18:18" s="2" customFormat="1" ht="12.75" x14ac:dyDescent="0.2">
      <c r="R26381" s="1288"/>
    </row>
    <row r="26382" spans="18:18" s="2" customFormat="1" ht="12.75" x14ac:dyDescent="0.2">
      <c r="R26382" s="1288"/>
    </row>
    <row r="26383" spans="18:18" s="2" customFormat="1" ht="12.75" x14ac:dyDescent="0.2">
      <c r="R26383" s="1288"/>
    </row>
    <row r="26384" spans="18:18" s="2" customFormat="1" ht="12.75" x14ac:dyDescent="0.2">
      <c r="R26384" s="1288"/>
    </row>
    <row r="26385" spans="18:18" s="2" customFormat="1" ht="12.75" x14ac:dyDescent="0.2">
      <c r="R26385" s="1288"/>
    </row>
    <row r="26386" spans="18:18" s="2" customFormat="1" ht="12.75" x14ac:dyDescent="0.2">
      <c r="R26386" s="1288"/>
    </row>
    <row r="26387" spans="18:18" s="2" customFormat="1" ht="12.75" x14ac:dyDescent="0.2">
      <c r="R26387" s="1288"/>
    </row>
    <row r="26388" spans="18:18" s="2" customFormat="1" ht="12.75" x14ac:dyDescent="0.2">
      <c r="R26388" s="1288"/>
    </row>
    <row r="26389" spans="18:18" s="2" customFormat="1" ht="12.75" x14ac:dyDescent="0.2">
      <c r="R26389" s="1288"/>
    </row>
    <row r="26390" spans="18:18" s="2" customFormat="1" ht="12.75" x14ac:dyDescent="0.2">
      <c r="R26390" s="1288"/>
    </row>
    <row r="26391" spans="18:18" s="2" customFormat="1" ht="12.75" x14ac:dyDescent="0.2">
      <c r="R26391" s="1288"/>
    </row>
    <row r="26392" spans="18:18" s="2" customFormat="1" ht="12.75" x14ac:dyDescent="0.2">
      <c r="R26392" s="1288"/>
    </row>
    <row r="26393" spans="18:18" s="2" customFormat="1" ht="12.75" x14ac:dyDescent="0.2">
      <c r="R26393" s="1288"/>
    </row>
    <row r="26394" spans="18:18" s="2" customFormat="1" ht="12.75" x14ac:dyDescent="0.2">
      <c r="R26394" s="1288"/>
    </row>
    <row r="26395" spans="18:18" s="2" customFormat="1" ht="12.75" x14ac:dyDescent="0.2">
      <c r="R26395" s="1288"/>
    </row>
    <row r="26396" spans="18:18" s="2" customFormat="1" ht="12.75" x14ac:dyDescent="0.2">
      <c r="R26396" s="1288"/>
    </row>
    <row r="26397" spans="18:18" s="2" customFormat="1" ht="12.75" x14ac:dyDescent="0.2">
      <c r="R26397" s="1288"/>
    </row>
    <row r="26398" spans="18:18" s="2" customFormat="1" ht="12.75" x14ac:dyDescent="0.2">
      <c r="R26398" s="1288"/>
    </row>
    <row r="26399" spans="18:18" s="2" customFormat="1" ht="12.75" x14ac:dyDescent="0.2">
      <c r="R26399" s="1288"/>
    </row>
    <row r="26400" spans="18:18" s="2" customFormat="1" ht="12.75" x14ac:dyDescent="0.2">
      <c r="R26400" s="1288"/>
    </row>
    <row r="26401" spans="18:18" s="2" customFormat="1" ht="12.75" x14ac:dyDescent="0.2">
      <c r="R26401" s="1288"/>
    </row>
    <row r="26402" spans="18:18" s="2" customFormat="1" ht="12.75" x14ac:dyDescent="0.2">
      <c r="R26402" s="1288"/>
    </row>
    <row r="26403" spans="18:18" s="2" customFormat="1" ht="12.75" x14ac:dyDescent="0.2">
      <c r="R26403" s="1288"/>
    </row>
    <row r="26404" spans="18:18" s="2" customFormat="1" ht="12.75" x14ac:dyDescent="0.2">
      <c r="R26404" s="1288"/>
    </row>
    <row r="26405" spans="18:18" s="2" customFormat="1" ht="12.75" x14ac:dyDescent="0.2">
      <c r="R26405" s="1288"/>
    </row>
    <row r="26406" spans="18:18" s="2" customFormat="1" ht="12.75" x14ac:dyDescent="0.2">
      <c r="R26406" s="1288"/>
    </row>
    <row r="26407" spans="18:18" s="2" customFormat="1" ht="12.75" x14ac:dyDescent="0.2">
      <c r="R26407" s="1288"/>
    </row>
    <row r="26408" spans="18:18" s="2" customFormat="1" ht="12.75" x14ac:dyDescent="0.2">
      <c r="R26408" s="1288"/>
    </row>
    <row r="26409" spans="18:18" s="2" customFormat="1" ht="12.75" x14ac:dyDescent="0.2">
      <c r="R26409" s="1288"/>
    </row>
    <row r="26410" spans="18:18" s="2" customFormat="1" ht="12.75" x14ac:dyDescent="0.2">
      <c r="R26410" s="1288"/>
    </row>
    <row r="26411" spans="18:18" s="2" customFormat="1" ht="12.75" x14ac:dyDescent="0.2">
      <c r="R26411" s="1288"/>
    </row>
    <row r="26412" spans="18:18" s="2" customFormat="1" ht="12.75" x14ac:dyDescent="0.2">
      <c r="R26412" s="1288"/>
    </row>
    <row r="26413" spans="18:18" s="2" customFormat="1" ht="12.75" x14ac:dyDescent="0.2">
      <c r="R26413" s="1288"/>
    </row>
    <row r="26414" spans="18:18" s="2" customFormat="1" ht="12.75" x14ac:dyDescent="0.2">
      <c r="R26414" s="1288"/>
    </row>
    <row r="26415" spans="18:18" s="2" customFormat="1" ht="12.75" x14ac:dyDescent="0.2">
      <c r="R26415" s="1288"/>
    </row>
    <row r="26416" spans="18:18" s="2" customFormat="1" ht="12.75" x14ac:dyDescent="0.2">
      <c r="R26416" s="1288"/>
    </row>
    <row r="26417" spans="18:18" s="2" customFormat="1" ht="12.75" x14ac:dyDescent="0.2">
      <c r="R26417" s="1288"/>
    </row>
    <row r="26418" spans="18:18" s="2" customFormat="1" ht="12.75" x14ac:dyDescent="0.2">
      <c r="R26418" s="1288"/>
    </row>
    <row r="26419" spans="18:18" s="2" customFormat="1" ht="12.75" x14ac:dyDescent="0.2">
      <c r="R26419" s="1288"/>
    </row>
    <row r="26420" spans="18:18" s="2" customFormat="1" ht="12.75" x14ac:dyDescent="0.2">
      <c r="R26420" s="1288"/>
    </row>
    <row r="26421" spans="18:18" s="2" customFormat="1" ht="12.75" x14ac:dyDescent="0.2">
      <c r="R26421" s="1288"/>
    </row>
    <row r="26422" spans="18:18" s="2" customFormat="1" ht="12.75" x14ac:dyDescent="0.2">
      <c r="R26422" s="1288"/>
    </row>
    <row r="26423" spans="18:18" s="2" customFormat="1" ht="12.75" x14ac:dyDescent="0.2">
      <c r="R26423" s="1288"/>
    </row>
    <row r="26424" spans="18:18" s="2" customFormat="1" ht="12.75" x14ac:dyDescent="0.2">
      <c r="R26424" s="1288"/>
    </row>
    <row r="26425" spans="18:18" s="2" customFormat="1" ht="12.75" x14ac:dyDescent="0.2">
      <c r="R26425" s="1288"/>
    </row>
    <row r="26426" spans="18:18" s="2" customFormat="1" ht="12.75" x14ac:dyDescent="0.2">
      <c r="R26426" s="1288"/>
    </row>
    <row r="26427" spans="18:18" s="2" customFormat="1" ht="12.75" x14ac:dyDescent="0.2">
      <c r="R26427" s="1288"/>
    </row>
    <row r="26428" spans="18:18" s="2" customFormat="1" ht="12.75" x14ac:dyDescent="0.2">
      <c r="R26428" s="1288"/>
    </row>
    <row r="26429" spans="18:18" s="2" customFormat="1" ht="12.75" x14ac:dyDescent="0.2">
      <c r="R26429" s="1288"/>
    </row>
    <row r="26430" spans="18:18" s="2" customFormat="1" ht="12.75" x14ac:dyDescent="0.2">
      <c r="R26430" s="1288"/>
    </row>
    <row r="26431" spans="18:18" s="2" customFormat="1" ht="12.75" x14ac:dyDescent="0.2">
      <c r="R26431" s="1288"/>
    </row>
    <row r="26432" spans="18:18" s="2" customFormat="1" ht="12.75" x14ac:dyDescent="0.2">
      <c r="R26432" s="1288"/>
    </row>
    <row r="26433" spans="18:18" s="2" customFormat="1" ht="12.75" x14ac:dyDescent="0.2">
      <c r="R26433" s="1288"/>
    </row>
    <row r="26434" spans="18:18" s="2" customFormat="1" ht="12.75" x14ac:dyDescent="0.2">
      <c r="R26434" s="1288"/>
    </row>
    <row r="26435" spans="18:18" s="2" customFormat="1" ht="12.75" x14ac:dyDescent="0.2">
      <c r="R26435" s="1288"/>
    </row>
    <row r="26436" spans="18:18" s="2" customFormat="1" ht="12.75" x14ac:dyDescent="0.2">
      <c r="R26436" s="1288"/>
    </row>
    <row r="26437" spans="18:18" s="2" customFormat="1" ht="12.75" x14ac:dyDescent="0.2">
      <c r="R26437" s="1288"/>
    </row>
    <row r="26438" spans="18:18" s="2" customFormat="1" ht="12.75" x14ac:dyDescent="0.2">
      <c r="R26438" s="1288"/>
    </row>
    <row r="26439" spans="18:18" s="2" customFormat="1" ht="12.75" x14ac:dyDescent="0.2">
      <c r="R26439" s="1288"/>
    </row>
    <row r="26440" spans="18:18" s="2" customFormat="1" ht="12.75" x14ac:dyDescent="0.2">
      <c r="R26440" s="1288"/>
    </row>
    <row r="26441" spans="18:18" s="2" customFormat="1" ht="12.75" x14ac:dyDescent="0.2">
      <c r="R26441" s="1288"/>
    </row>
    <row r="26442" spans="18:18" s="2" customFormat="1" ht="12.75" x14ac:dyDescent="0.2">
      <c r="R26442" s="1288"/>
    </row>
    <row r="26443" spans="18:18" s="2" customFormat="1" ht="12.75" x14ac:dyDescent="0.2">
      <c r="R26443" s="1288"/>
    </row>
    <row r="26444" spans="18:18" s="2" customFormat="1" ht="12.75" x14ac:dyDescent="0.2">
      <c r="R26444" s="1288"/>
    </row>
    <row r="26445" spans="18:18" s="2" customFormat="1" ht="12.75" x14ac:dyDescent="0.2">
      <c r="R26445" s="1288"/>
    </row>
    <row r="26446" spans="18:18" s="2" customFormat="1" ht="12.75" x14ac:dyDescent="0.2">
      <c r="R26446" s="1288"/>
    </row>
    <row r="26447" spans="18:18" s="2" customFormat="1" ht="12.75" x14ac:dyDescent="0.2">
      <c r="R26447" s="1288"/>
    </row>
    <row r="26448" spans="18:18" s="2" customFormat="1" ht="12.75" x14ac:dyDescent="0.2">
      <c r="R26448" s="1288"/>
    </row>
    <row r="26449" spans="18:18" s="2" customFormat="1" ht="12.75" x14ac:dyDescent="0.2">
      <c r="R26449" s="1288"/>
    </row>
    <row r="26450" spans="18:18" s="2" customFormat="1" ht="12.75" x14ac:dyDescent="0.2">
      <c r="R26450" s="1288"/>
    </row>
    <row r="26451" spans="18:18" s="2" customFormat="1" ht="12.75" x14ac:dyDescent="0.2">
      <c r="R26451" s="1288"/>
    </row>
    <row r="26452" spans="18:18" s="2" customFormat="1" ht="12.75" x14ac:dyDescent="0.2">
      <c r="R26452" s="1288"/>
    </row>
    <row r="26453" spans="18:18" s="2" customFormat="1" ht="12.75" x14ac:dyDescent="0.2">
      <c r="R26453" s="1288"/>
    </row>
    <row r="26454" spans="18:18" s="2" customFormat="1" ht="12.75" x14ac:dyDescent="0.2">
      <c r="R26454" s="1288"/>
    </row>
    <row r="26455" spans="18:18" s="2" customFormat="1" ht="12.75" x14ac:dyDescent="0.2">
      <c r="R26455" s="1288"/>
    </row>
    <row r="26456" spans="18:18" s="2" customFormat="1" ht="12.75" x14ac:dyDescent="0.2">
      <c r="R26456" s="1288"/>
    </row>
    <row r="26457" spans="18:18" s="2" customFormat="1" ht="12.75" x14ac:dyDescent="0.2">
      <c r="R26457" s="1288"/>
    </row>
    <row r="26458" spans="18:18" s="2" customFormat="1" ht="12.75" x14ac:dyDescent="0.2">
      <c r="R26458" s="1288"/>
    </row>
    <row r="26459" spans="18:18" s="2" customFormat="1" ht="12.75" x14ac:dyDescent="0.2">
      <c r="R26459" s="1288"/>
    </row>
    <row r="26460" spans="18:18" s="2" customFormat="1" ht="12.75" x14ac:dyDescent="0.2">
      <c r="R26460" s="1288"/>
    </row>
    <row r="26461" spans="18:18" s="2" customFormat="1" ht="12.75" x14ac:dyDescent="0.2">
      <c r="R26461" s="1288"/>
    </row>
    <row r="26462" spans="18:18" s="2" customFormat="1" ht="12.75" x14ac:dyDescent="0.2">
      <c r="R26462" s="1288"/>
    </row>
    <row r="26463" spans="18:18" s="2" customFormat="1" ht="12.75" x14ac:dyDescent="0.2">
      <c r="R26463" s="1288"/>
    </row>
    <row r="26464" spans="18:18" s="2" customFormat="1" ht="12.75" x14ac:dyDescent="0.2">
      <c r="R26464" s="1288"/>
    </row>
    <row r="26465" spans="18:18" s="2" customFormat="1" ht="12.75" x14ac:dyDescent="0.2">
      <c r="R26465" s="1288"/>
    </row>
    <row r="26466" spans="18:18" s="2" customFormat="1" ht="12.75" x14ac:dyDescent="0.2">
      <c r="R26466" s="1288"/>
    </row>
    <row r="26467" spans="18:18" s="2" customFormat="1" ht="12.75" x14ac:dyDescent="0.2">
      <c r="R26467" s="1288"/>
    </row>
    <row r="26468" spans="18:18" s="2" customFormat="1" ht="12.75" x14ac:dyDescent="0.2">
      <c r="R26468" s="1288"/>
    </row>
    <row r="26469" spans="18:18" s="2" customFormat="1" ht="12.75" x14ac:dyDescent="0.2">
      <c r="R26469" s="1288"/>
    </row>
    <row r="26470" spans="18:18" s="2" customFormat="1" ht="12.75" x14ac:dyDescent="0.2">
      <c r="R26470" s="1288"/>
    </row>
    <row r="26471" spans="18:18" s="2" customFormat="1" ht="12.75" x14ac:dyDescent="0.2">
      <c r="R26471" s="1288"/>
    </row>
    <row r="26472" spans="18:18" s="2" customFormat="1" ht="12.75" x14ac:dyDescent="0.2">
      <c r="R26472" s="1288"/>
    </row>
    <row r="26473" spans="18:18" s="2" customFormat="1" ht="12.75" x14ac:dyDescent="0.2">
      <c r="R26473" s="1288"/>
    </row>
    <row r="26474" spans="18:18" s="2" customFormat="1" ht="12.75" x14ac:dyDescent="0.2">
      <c r="R26474" s="1288"/>
    </row>
    <row r="26475" spans="18:18" s="2" customFormat="1" ht="12.75" x14ac:dyDescent="0.2">
      <c r="R26475" s="1288"/>
    </row>
    <row r="26476" spans="18:18" s="2" customFormat="1" ht="12.75" x14ac:dyDescent="0.2">
      <c r="R26476" s="1288"/>
    </row>
    <row r="26477" spans="18:18" s="2" customFormat="1" ht="12.75" x14ac:dyDescent="0.2">
      <c r="R26477" s="1288"/>
    </row>
    <row r="26478" spans="18:18" s="2" customFormat="1" ht="12.75" x14ac:dyDescent="0.2">
      <c r="R26478" s="1288"/>
    </row>
    <row r="26479" spans="18:18" s="2" customFormat="1" ht="12.75" x14ac:dyDescent="0.2">
      <c r="R26479" s="1288"/>
    </row>
    <row r="26480" spans="18:18" s="2" customFormat="1" ht="12.75" x14ac:dyDescent="0.2">
      <c r="R26480" s="1288"/>
    </row>
    <row r="26481" spans="18:18" s="2" customFormat="1" ht="12.75" x14ac:dyDescent="0.2">
      <c r="R26481" s="1288"/>
    </row>
    <row r="26482" spans="18:18" s="2" customFormat="1" ht="12.75" x14ac:dyDescent="0.2">
      <c r="R26482" s="1288"/>
    </row>
    <row r="26483" spans="18:18" s="2" customFormat="1" ht="12.75" x14ac:dyDescent="0.2">
      <c r="R26483" s="1288"/>
    </row>
    <row r="26484" spans="18:18" s="2" customFormat="1" ht="12.75" x14ac:dyDescent="0.2">
      <c r="R26484" s="1288"/>
    </row>
    <row r="26485" spans="18:18" s="2" customFormat="1" ht="12.75" x14ac:dyDescent="0.2">
      <c r="R26485" s="1288"/>
    </row>
    <row r="26486" spans="18:18" s="2" customFormat="1" ht="12.75" x14ac:dyDescent="0.2">
      <c r="R26486" s="1288"/>
    </row>
    <row r="26487" spans="18:18" s="2" customFormat="1" ht="12.75" x14ac:dyDescent="0.2">
      <c r="R26487" s="1288"/>
    </row>
    <row r="26488" spans="18:18" s="2" customFormat="1" ht="12.75" x14ac:dyDescent="0.2">
      <c r="R26488" s="1288"/>
    </row>
    <row r="26489" spans="18:18" s="2" customFormat="1" ht="12.75" x14ac:dyDescent="0.2">
      <c r="R26489" s="1288"/>
    </row>
    <row r="26490" spans="18:18" s="2" customFormat="1" ht="12.75" x14ac:dyDescent="0.2">
      <c r="R26490" s="1288"/>
    </row>
    <row r="26491" spans="18:18" s="2" customFormat="1" ht="12.75" x14ac:dyDescent="0.2">
      <c r="R26491" s="1288"/>
    </row>
    <row r="26492" spans="18:18" s="2" customFormat="1" ht="12.75" x14ac:dyDescent="0.2">
      <c r="R26492" s="1288"/>
    </row>
    <row r="26493" spans="18:18" s="2" customFormat="1" ht="12.75" x14ac:dyDescent="0.2">
      <c r="R26493" s="1288"/>
    </row>
    <row r="26494" spans="18:18" s="2" customFormat="1" ht="12.75" x14ac:dyDescent="0.2">
      <c r="R26494" s="1288"/>
    </row>
    <row r="26495" spans="18:18" s="2" customFormat="1" ht="12.75" x14ac:dyDescent="0.2">
      <c r="R26495" s="1288"/>
    </row>
    <row r="26496" spans="18:18" s="2" customFormat="1" ht="12.75" x14ac:dyDescent="0.2">
      <c r="R26496" s="1288"/>
    </row>
    <row r="26497" spans="18:18" s="2" customFormat="1" ht="12.75" x14ac:dyDescent="0.2">
      <c r="R26497" s="1288"/>
    </row>
    <row r="26498" spans="18:18" s="2" customFormat="1" ht="12.75" x14ac:dyDescent="0.2">
      <c r="R26498" s="1288"/>
    </row>
    <row r="26499" spans="18:18" s="2" customFormat="1" ht="12.75" x14ac:dyDescent="0.2">
      <c r="R26499" s="1288"/>
    </row>
    <row r="26500" spans="18:18" s="2" customFormat="1" ht="12.75" x14ac:dyDescent="0.2">
      <c r="R26500" s="1288"/>
    </row>
    <row r="26501" spans="18:18" s="2" customFormat="1" ht="12.75" x14ac:dyDescent="0.2">
      <c r="R26501" s="1288"/>
    </row>
    <row r="26502" spans="18:18" s="2" customFormat="1" ht="12.75" x14ac:dyDescent="0.2">
      <c r="R26502" s="1288"/>
    </row>
    <row r="26503" spans="18:18" s="2" customFormat="1" ht="12.75" x14ac:dyDescent="0.2">
      <c r="R26503" s="1288"/>
    </row>
    <row r="26504" spans="18:18" s="2" customFormat="1" ht="12.75" x14ac:dyDescent="0.2">
      <c r="R26504" s="1288"/>
    </row>
    <row r="26505" spans="18:18" s="2" customFormat="1" ht="12.75" x14ac:dyDescent="0.2">
      <c r="R26505" s="1288"/>
    </row>
    <row r="26506" spans="18:18" s="2" customFormat="1" ht="12.75" x14ac:dyDescent="0.2">
      <c r="R26506" s="1288"/>
    </row>
    <row r="26507" spans="18:18" s="2" customFormat="1" ht="12.75" x14ac:dyDescent="0.2">
      <c r="R26507" s="1288"/>
    </row>
    <row r="26508" spans="18:18" s="2" customFormat="1" ht="12.75" x14ac:dyDescent="0.2">
      <c r="R26508" s="1288"/>
    </row>
    <row r="26509" spans="18:18" s="2" customFormat="1" ht="12.75" x14ac:dyDescent="0.2">
      <c r="R26509" s="1288"/>
    </row>
    <row r="26510" spans="18:18" s="2" customFormat="1" ht="12.75" x14ac:dyDescent="0.2">
      <c r="R26510" s="1288"/>
    </row>
    <row r="26511" spans="18:18" s="2" customFormat="1" ht="12.75" x14ac:dyDescent="0.2">
      <c r="R26511" s="1288"/>
    </row>
    <row r="26512" spans="18:18" s="2" customFormat="1" ht="12.75" x14ac:dyDescent="0.2">
      <c r="R26512" s="1288"/>
    </row>
    <row r="26513" spans="18:18" s="2" customFormat="1" ht="12.75" x14ac:dyDescent="0.2">
      <c r="R26513" s="1288"/>
    </row>
    <row r="26514" spans="18:18" s="2" customFormat="1" ht="12.75" x14ac:dyDescent="0.2">
      <c r="R26514" s="1288"/>
    </row>
    <row r="26515" spans="18:18" s="2" customFormat="1" ht="12.75" x14ac:dyDescent="0.2">
      <c r="R26515" s="1288"/>
    </row>
    <row r="26516" spans="18:18" s="2" customFormat="1" ht="12.75" x14ac:dyDescent="0.2">
      <c r="R26516" s="1288"/>
    </row>
    <row r="26517" spans="18:18" s="2" customFormat="1" ht="12.75" x14ac:dyDescent="0.2">
      <c r="R26517" s="1288"/>
    </row>
    <row r="26518" spans="18:18" s="2" customFormat="1" ht="12.75" x14ac:dyDescent="0.2">
      <c r="R26518" s="1288"/>
    </row>
    <row r="26519" spans="18:18" s="2" customFormat="1" ht="12.75" x14ac:dyDescent="0.2">
      <c r="R26519" s="1288"/>
    </row>
    <row r="26520" spans="18:18" s="2" customFormat="1" ht="12.75" x14ac:dyDescent="0.2">
      <c r="R26520" s="1288"/>
    </row>
    <row r="26521" spans="18:18" s="2" customFormat="1" ht="12.75" x14ac:dyDescent="0.2">
      <c r="R26521" s="1288"/>
    </row>
    <row r="26522" spans="18:18" s="2" customFormat="1" ht="12.75" x14ac:dyDescent="0.2">
      <c r="R26522" s="1288"/>
    </row>
    <row r="26523" spans="18:18" s="2" customFormat="1" ht="12.75" x14ac:dyDescent="0.2">
      <c r="R26523" s="1288"/>
    </row>
    <row r="26524" spans="18:18" s="2" customFormat="1" ht="12.75" x14ac:dyDescent="0.2">
      <c r="R26524" s="1288"/>
    </row>
    <row r="26525" spans="18:18" s="2" customFormat="1" ht="12.75" x14ac:dyDescent="0.2">
      <c r="R26525" s="1288"/>
    </row>
    <row r="26526" spans="18:18" s="2" customFormat="1" ht="12.75" x14ac:dyDescent="0.2">
      <c r="R26526" s="1288"/>
    </row>
    <row r="26527" spans="18:18" s="2" customFormat="1" ht="12.75" x14ac:dyDescent="0.2">
      <c r="R26527" s="1288"/>
    </row>
    <row r="26528" spans="18:18" s="2" customFormat="1" ht="12.75" x14ac:dyDescent="0.2">
      <c r="R26528" s="1288"/>
    </row>
    <row r="26529" spans="18:18" s="2" customFormat="1" ht="12.75" x14ac:dyDescent="0.2">
      <c r="R26529" s="1288"/>
    </row>
    <row r="26530" spans="18:18" s="2" customFormat="1" ht="12.75" x14ac:dyDescent="0.2">
      <c r="R26530" s="1288"/>
    </row>
    <row r="26531" spans="18:18" s="2" customFormat="1" ht="12.75" x14ac:dyDescent="0.2">
      <c r="R26531" s="1288"/>
    </row>
    <row r="26532" spans="18:18" s="2" customFormat="1" ht="12.75" x14ac:dyDescent="0.2">
      <c r="R26532" s="1288"/>
    </row>
    <row r="26533" spans="18:18" s="2" customFormat="1" ht="12.75" x14ac:dyDescent="0.2">
      <c r="R26533" s="1288"/>
    </row>
    <row r="26534" spans="18:18" s="2" customFormat="1" ht="12.75" x14ac:dyDescent="0.2">
      <c r="R26534" s="1288"/>
    </row>
    <row r="26535" spans="18:18" s="2" customFormat="1" ht="12.75" x14ac:dyDescent="0.2">
      <c r="R26535" s="1288"/>
    </row>
    <row r="26536" spans="18:18" s="2" customFormat="1" ht="12.75" x14ac:dyDescent="0.2">
      <c r="R26536" s="1288"/>
    </row>
    <row r="26537" spans="18:18" s="2" customFormat="1" ht="12.75" x14ac:dyDescent="0.2">
      <c r="R26537" s="1288"/>
    </row>
    <row r="26538" spans="18:18" s="2" customFormat="1" ht="12.75" x14ac:dyDescent="0.2">
      <c r="R26538" s="1288"/>
    </row>
    <row r="26539" spans="18:18" s="2" customFormat="1" ht="12.75" x14ac:dyDescent="0.2">
      <c r="R26539" s="1288"/>
    </row>
    <row r="26540" spans="18:18" s="2" customFormat="1" ht="12.75" x14ac:dyDescent="0.2">
      <c r="R26540" s="1288"/>
    </row>
    <row r="26541" spans="18:18" s="2" customFormat="1" ht="12.75" x14ac:dyDescent="0.2">
      <c r="R26541" s="1288"/>
    </row>
    <row r="26542" spans="18:18" s="2" customFormat="1" ht="12.75" x14ac:dyDescent="0.2">
      <c r="R26542" s="1288"/>
    </row>
    <row r="26543" spans="18:18" s="2" customFormat="1" ht="12.75" x14ac:dyDescent="0.2">
      <c r="R26543" s="1288"/>
    </row>
    <row r="26544" spans="18:18" s="2" customFormat="1" ht="12.75" x14ac:dyDescent="0.2">
      <c r="R26544" s="1288"/>
    </row>
    <row r="26545" spans="18:18" s="2" customFormat="1" ht="12.75" x14ac:dyDescent="0.2">
      <c r="R26545" s="1288"/>
    </row>
    <row r="26546" spans="18:18" s="2" customFormat="1" ht="12.75" x14ac:dyDescent="0.2">
      <c r="R26546" s="1288"/>
    </row>
    <row r="26547" spans="18:18" s="2" customFormat="1" ht="12.75" x14ac:dyDescent="0.2">
      <c r="R26547" s="1288"/>
    </row>
    <row r="26548" spans="18:18" s="2" customFormat="1" ht="12.75" x14ac:dyDescent="0.2">
      <c r="R26548" s="1288"/>
    </row>
    <row r="26549" spans="18:18" s="2" customFormat="1" ht="12.75" x14ac:dyDescent="0.2">
      <c r="R26549" s="1288"/>
    </row>
    <row r="26550" spans="18:18" s="2" customFormat="1" ht="12.75" x14ac:dyDescent="0.2">
      <c r="R26550" s="1288"/>
    </row>
    <row r="26551" spans="18:18" s="2" customFormat="1" ht="12.75" x14ac:dyDescent="0.2">
      <c r="R26551" s="1288"/>
    </row>
    <row r="26552" spans="18:18" s="2" customFormat="1" ht="12.75" x14ac:dyDescent="0.2">
      <c r="R26552" s="1288"/>
    </row>
    <row r="26553" spans="18:18" s="2" customFormat="1" ht="12.75" x14ac:dyDescent="0.2">
      <c r="R26553" s="1288"/>
    </row>
    <row r="26554" spans="18:18" s="2" customFormat="1" ht="12.75" x14ac:dyDescent="0.2">
      <c r="R26554" s="1288"/>
    </row>
    <row r="26555" spans="18:18" s="2" customFormat="1" ht="12.75" x14ac:dyDescent="0.2">
      <c r="R26555" s="1288"/>
    </row>
    <row r="26556" spans="18:18" s="2" customFormat="1" ht="12.75" x14ac:dyDescent="0.2">
      <c r="R26556" s="1288"/>
    </row>
    <row r="26557" spans="18:18" s="2" customFormat="1" ht="12.75" x14ac:dyDescent="0.2">
      <c r="R26557" s="1288"/>
    </row>
    <row r="26558" spans="18:18" s="2" customFormat="1" ht="12.75" x14ac:dyDescent="0.2">
      <c r="R26558" s="1288"/>
    </row>
    <row r="26559" spans="18:18" s="2" customFormat="1" ht="12.75" x14ac:dyDescent="0.2">
      <c r="R26559" s="1288"/>
    </row>
    <row r="26560" spans="18:18" s="2" customFormat="1" ht="12.75" x14ac:dyDescent="0.2">
      <c r="R26560" s="1288"/>
    </row>
    <row r="26561" spans="18:18" s="2" customFormat="1" ht="12.75" x14ac:dyDescent="0.2">
      <c r="R26561" s="1288"/>
    </row>
    <row r="26562" spans="18:18" s="2" customFormat="1" ht="12.75" x14ac:dyDescent="0.2">
      <c r="R26562" s="1288"/>
    </row>
    <row r="26563" spans="18:18" s="2" customFormat="1" ht="12.75" x14ac:dyDescent="0.2">
      <c r="R26563" s="1288"/>
    </row>
    <row r="26564" spans="18:18" s="2" customFormat="1" ht="12.75" x14ac:dyDescent="0.2">
      <c r="R26564" s="1288"/>
    </row>
    <row r="26565" spans="18:18" s="2" customFormat="1" ht="12.75" x14ac:dyDescent="0.2">
      <c r="R26565" s="1288"/>
    </row>
    <row r="26566" spans="18:18" s="2" customFormat="1" ht="12.75" x14ac:dyDescent="0.2">
      <c r="R26566" s="1288"/>
    </row>
    <row r="26567" spans="18:18" s="2" customFormat="1" ht="12.75" x14ac:dyDescent="0.2">
      <c r="R26567" s="1288"/>
    </row>
    <row r="26568" spans="18:18" s="2" customFormat="1" ht="12.75" x14ac:dyDescent="0.2">
      <c r="R26568" s="1288"/>
    </row>
    <row r="26569" spans="18:18" s="2" customFormat="1" ht="12.75" x14ac:dyDescent="0.2">
      <c r="R26569" s="1288"/>
    </row>
    <row r="26570" spans="18:18" s="2" customFormat="1" ht="12.75" x14ac:dyDescent="0.2">
      <c r="R26570" s="1288"/>
    </row>
    <row r="26571" spans="18:18" s="2" customFormat="1" ht="12.75" x14ac:dyDescent="0.2">
      <c r="R26571" s="1288"/>
    </row>
    <row r="26572" spans="18:18" s="2" customFormat="1" ht="12.75" x14ac:dyDescent="0.2">
      <c r="R26572" s="1288"/>
    </row>
    <row r="26573" spans="18:18" s="2" customFormat="1" ht="12.75" x14ac:dyDescent="0.2">
      <c r="R26573" s="1288"/>
    </row>
    <row r="26574" spans="18:18" s="2" customFormat="1" ht="12.75" x14ac:dyDescent="0.2">
      <c r="R26574" s="1288"/>
    </row>
    <row r="26575" spans="18:18" s="2" customFormat="1" ht="12.75" x14ac:dyDescent="0.2">
      <c r="R26575" s="1288"/>
    </row>
    <row r="26576" spans="18:18" s="2" customFormat="1" ht="12.75" x14ac:dyDescent="0.2">
      <c r="R26576" s="1288"/>
    </row>
    <row r="26577" spans="18:18" s="2" customFormat="1" ht="12.75" x14ac:dyDescent="0.2">
      <c r="R26577" s="1288"/>
    </row>
    <row r="26578" spans="18:18" s="2" customFormat="1" ht="12.75" x14ac:dyDescent="0.2">
      <c r="R26578" s="1288"/>
    </row>
    <row r="26579" spans="18:18" s="2" customFormat="1" ht="12.75" x14ac:dyDescent="0.2">
      <c r="R26579" s="1288"/>
    </row>
    <row r="26580" spans="18:18" s="2" customFormat="1" ht="12.75" x14ac:dyDescent="0.2">
      <c r="R26580" s="1288"/>
    </row>
    <row r="26581" spans="18:18" s="2" customFormat="1" ht="12.75" x14ac:dyDescent="0.2">
      <c r="R26581" s="1288"/>
    </row>
    <row r="26582" spans="18:18" s="2" customFormat="1" ht="12.75" x14ac:dyDescent="0.2">
      <c r="R26582" s="1288"/>
    </row>
    <row r="26583" spans="18:18" s="2" customFormat="1" ht="12.75" x14ac:dyDescent="0.2">
      <c r="R26583" s="1288"/>
    </row>
    <row r="26584" spans="18:18" s="2" customFormat="1" ht="12.75" x14ac:dyDescent="0.2">
      <c r="R26584" s="1288"/>
    </row>
    <row r="26585" spans="18:18" s="2" customFormat="1" ht="12.75" x14ac:dyDescent="0.2">
      <c r="R26585" s="1288"/>
    </row>
    <row r="26586" spans="18:18" s="2" customFormat="1" ht="12.75" x14ac:dyDescent="0.2">
      <c r="R26586" s="1288"/>
    </row>
    <row r="26587" spans="18:18" s="2" customFormat="1" ht="12.75" x14ac:dyDescent="0.2">
      <c r="R26587" s="1288"/>
    </row>
    <row r="26588" spans="18:18" s="2" customFormat="1" ht="12.75" x14ac:dyDescent="0.2">
      <c r="R26588" s="1288"/>
    </row>
    <row r="26589" spans="18:18" s="2" customFormat="1" ht="12.75" x14ac:dyDescent="0.2">
      <c r="R26589" s="1288"/>
    </row>
    <row r="26590" spans="18:18" s="2" customFormat="1" ht="12.75" x14ac:dyDescent="0.2">
      <c r="R26590" s="1288"/>
    </row>
    <row r="26591" spans="18:18" s="2" customFormat="1" ht="12.75" x14ac:dyDescent="0.2">
      <c r="R26591" s="1288"/>
    </row>
    <row r="26592" spans="18:18" s="2" customFormat="1" ht="12.75" x14ac:dyDescent="0.2">
      <c r="R26592" s="1288"/>
    </row>
    <row r="26593" spans="18:18" s="2" customFormat="1" ht="12.75" x14ac:dyDescent="0.2">
      <c r="R26593" s="1288"/>
    </row>
    <row r="26594" spans="18:18" s="2" customFormat="1" ht="12.75" x14ac:dyDescent="0.2">
      <c r="R26594" s="1288"/>
    </row>
    <row r="26595" spans="18:18" s="2" customFormat="1" ht="12.75" x14ac:dyDescent="0.2">
      <c r="R26595" s="1288"/>
    </row>
    <row r="26596" spans="18:18" s="2" customFormat="1" ht="12.75" x14ac:dyDescent="0.2">
      <c r="R26596" s="1288"/>
    </row>
    <row r="26597" spans="18:18" s="2" customFormat="1" ht="12.75" x14ac:dyDescent="0.2">
      <c r="R26597" s="1288"/>
    </row>
    <row r="26598" spans="18:18" s="2" customFormat="1" ht="12.75" x14ac:dyDescent="0.2">
      <c r="R26598" s="1288"/>
    </row>
    <row r="26599" spans="18:18" s="2" customFormat="1" ht="12.75" x14ac:dyDescent="0.2">
      <c r="R26599" s="1288"/>
    </row>
    <row r="26600" spans="18:18" s="2" customFormat="1" ht="12.75" x14ac:dyDescent="0.2">
      <c r="R26600" s="1288"/>
    </row>
    <row r="26601" spans="18:18" s="2" customFormat="1" ht="12.75" x14ac:dyDescent="0.2">
      <c r="R26601" s="1288"/>
    </row>
    <row r="26602" spans="18:18" s="2" customFormat="1" ht="12.75" x14ac:dyDescent="0.2">
      <c r="R26602" s="1288"/>
    </row>
    <row r="26603" spans="18:18" s="2" customFormat="1" ht="12.75" x14ac:dyDescent="0.2">
      <c r="R26603" s="1288"/>
    </row>
    <row r="26604" spans="18:18" s="2" customFormat="1" ht="12.75" x14ac:dyDescent="0.2">
      <c r="R26604" s="1288"/>
    </row>
    <row r="26605" spans="18:18" s="2" customFormat="1" ht="12.75" x14ac:dyDescent="0.2">
      <c r="R26605" s="1288"/>
    </row>
    <row r="26606" spans="18:18" s="2" customFormat="1" ht="12.75" x14ac:dyDescent="0.2">
      <c r="R26606" s="1288"/>
    </row>
    <row r="26607" spans="18:18" s="2" customFormat="1" ht="12.75" x14ac:dyDescent="0.2">
      <c r="R26607" s="1288"/>
    </row>
    <row r="26608" spans="18:18" s="2" customFormat="1" ht="12.75" x14ac:dyDescent="0.2">
      <c r="R26608" s="1288"/>
    </row>
    <row r="26609" spans="18:18" s="2" customFormat="1" ht="12.75" x14ac:dyDescent="0.2">
      <c r="R26609" s="1288"/>
    </row>
    <row r="26610" spans="18:18" s="2" customFormat="1" ht="12.75" x14ac:dyDescent="0.2">
      <c r="R26610" s="1288"/>
    </row>
    <row r="26611" spans="18:18" s="2" customFormat="1" ht="12.75" x14ac:dyDescent="0.2">
      <c r="R26611" s="1288"/>
    </row>
    <row r="26612" spans="18:18" s="2" customFormat="1" ht="12.75" x14ac:dyDescent="0.2">
      <c r="R26612" s="1288"/>
    </row>
    <row r="26613" spans="18:18" s="2" customFormat="1" ht="12.75" x14ac:dyDescent="0.2">
      <c r="R26613" s="1288"/>
    </row>
    <row r="26614" spans="18:18" s="2" customFormat="1" ht="12.75" x14ac:dyDescent="0.2">
      <c r="R26614" s="1288"/>
    </row>
    <row r="26615" spans="18:18" s="2" customFormat="1" ht="12.75" x14ac:dyDescent="0.2">
      <c r="R26615" s="1288"/>
    </row>
    <row r="26616" spans="18:18" s="2" customFormat="1" ht="12.75" x14ac:dyDescent="0.2">
      <c r="R26616" s="1288"/>
    </row>
    <row r="26617" spans="18:18" s="2" customFormat="1" ht="12.75" x14ac:dyDescent="0.2">
      <c r="R26617" s="1288"/>
    </row>
    <row r="26618" spans="18:18" s="2" customFormat="1" ht="12.75" x14ac:dyDescent="0.2">
      <c r="R26618" s="1288"/>
    </row>
    <row r="26619" spans="18:18" s="2" customFormat="1" ht="12.75" x14ac:dyDescent="0.2">
      <c r="R26619" s="1288"/>
    </row>
    <row r="26620" spans="18:18" s="2" customFormat="1" ht="12.75" x14ac:dyDescent="0.2">
      <c r="R26620" s="1288"/>
    </row>
    <row r="26621" spans="18:18" s="2" customFormat="1" ht="12.75" x14ac:dyDescent="0.2">
      <c r="R26621" s="1288"/>
    </row>
    <row r="26622" spans="18:18" s="2" customFormat="1" ht="12.75" x14ac:dyDescent="0.2">
      <c r="R26622" s="1288"/>
    </row>
    <row r="26623" spans="18:18" s="2" customFormat="1" ht="12.75" x14ac:dyDescent="0.2">
      <c r="R26623" s="1288"/>
    </row>
    <row r="26624" spans="18:18" s="2" customFormat="1" ht="12.75" x14ac:dyDescent="0.2">
      <c r="R26624" s="1288"/>
    </row>
    <row r="26625" spans="18:18" s="2" customFormat="1" ht="12.75" x14ac:dyDescent="0.2">
      <c r="R26625" s="1288"/>
    </row>
    <row r="26626" spans="18:18" s="2" customFormat="1" ht="12.75" x14ac:dyDescent="0.2">
      <c r="R26626" s="1288"/>
    </row>
    <row r="26627" spans="18:18" s="2" customFormat="1" ht="12.75" x14ac:dyDescent="0.2">
      <c r="R26627" s="1288"/>
    </row>
    <row r="26628" spans="18:18" s="2" customFormat="1" ht="12.75" x14ac:dyDescent="0.2">
      <c r="R26628" s="1288"/>
    </row>
    <row r="26629" spans="18:18" s="2" customFormat="1" ht="12.75" x14ac:dyDescent="0.2">
      <c r="R26629" s="1288"/>
    </row>
    <row r="26630" spans="18:18" s="2" customFormat="1" ht="12.75" x14ac:dyDescent="0.2">
      <c r="R26630" s="1288"/>
    </row>
    <row r="26631" spans="18:18" s="2" customFormat="1" ht="12.75" x14ac:dyDescent="0.2">
      <c r="R26631" s="1288"/>
    </row>
    <row r="26632" spans="18:18" s="2" customFormat="1" ht="12.75" x14ac:dyDescent="0.2">
      <c r="R26632" s="1288"/>
    </row>
    <row r="26633" spans="18:18" s="2" customFormat="1" ht="12.75" x14ac:dyDescent="0.2">
      <c r="R26633" s="1288"/>
    </row>
    <row r="26634" spans="18:18" s="2" customFormat="1" ht="12.75" x14ac:dyDescent="0.2">
      <c r="R26634" s="1288"/>
    </row>
    <row r="26635" spans="18:18" s="2" customFormat="1" ht="12.75" x14ac:dyDescent="0.2">
      <c r="R26635" s="1288"/>
    </row>
    <row r="26636" spans="18:18" s="2" customFormat="1" ht="12.75" x14ac:dyDescent="0.2">
      <c r="R26636" s="1288"/>
    </row>
    <row r="26637" spans="18:18" s="2" customFormat="1" ht="12.75" x14ac:dyDescent="0.2">
      <c r="R26637" s="1288"/>
    </row>
    <row r="26638" spans="18:18" s="2" customFormat="1" ht="12.75" x14ac:dyDescent="0.2">
      <c r="R26638" s="1288"/>
    </row>
    <row r="26639" spans="18:18" s="2" customFormat="1" ht="12.75" x14ac:dyDescent="0.2">
      <c r="R26639" s="1288"/>
    </row>
    <row r="26640" spans="18:18" s="2" customFormat="1" ht="12.75" x14ac:dyDescent="0.2">
      <c r="R26640" s="1288"/>
    </row>
    <row r="26641" spans="18:18" s="2" customFormat="1" ht="12.75" x14ac:dyDescent="0.2">
      <c r="R26641" s="1288"/>
    </row>
    <row r="26642" spans="18:18" s="2" customFormat="1" ht="12.75" x14ac:dyDescent="0.2">
      <c r="R26642" s="1288"/>
    </row>
    <row r="26643" spans="18:18" s="2" customFormat="1" ht="12.75" x14ac:dyDescent="0.2">
      <c r="R26643" s="1288"/>
    </row>
    <row r="26644" spans="18:18" s="2" customFormat="1" ht="12.75" x14ac:dyDescent="0.2">
      <c r="R26644" s="1288"/>
    </row>
    <row r="26645" spans="18:18" s="2" customFormat="1" ht="12.75" x14ac:dyDescent="0.2">
      <c r="R26645" s="1288"/>
    </row>
    <row r="26646" spans="18:18" s="2" customFormat="1" ht="12.75" x14ac:dyDescent="0.2">
      <c r="R26646" s="1288"/>
    </row>
    <row r="26647" spans="18:18" s="2" customFormat="1" ht="12.75" x14ac:dyDescent="0.2">
      <c r="R26647" s="1288"/>
    </row>
    <row r="26648" spans="18:18" s="2" customFormat="1" ht="12.75" x14ac:dyDescent="0.2">
      <c r="R26648" s="1288"/>
    </row>
    <row r="26649" spans="18:18" s="2" customFormat="1" ht="12.75" x14ac:dyDescent="0.2">
      <c r="R26649" s="1288"/>
    </row>
    <row r="26650" spans="18:18" s="2" customFormat="1" ht="12.75" x14ac:dyDescent="0.2">
      <c r="R26650" s="1288"/>
    </row>
    <row r="26651" spans="18:18" s="2" customFormat="1" ht="12.75" x14ac:dyDescent="0.2">
      <c r="R26651" s="1288"/>
    </row>
    <row r="26652" spans="18:18" s="2" customFormat="1" ht="12.75" x14ac:dyDescent="0.2">
      <c r="R26652" s="1288"/>
    </row>
    <row r="26653" spans="18:18" s="2" customFormat="1" ht="12.75" x14ac:dyDescent="0.2">
      <c r="R26653" s="1288"/>
    </row>
    <row r="26654" spans="18:18" s="2" customFormat="1" ht="12.75" x14ac:dyDescent="0.2">
      <c r="R26654" s="1288"/>
    </row>
    <row r="26655" spans="18:18" s="2" customFormat="1" ht="12.75" x14ac:dyDescent="0.2">
      <c r="R26655" s="1288"/>
    </row>
    <row r="26656" spans="18:18" s="2" customFormat="1" ht="12.75" x14ac:dyDescent="0.2">
      <c r="R26656" s="1288"/>
    </row>
    <row r="26657" spans="18:18" s="2" customFormat="1" ht="12.75" x14ac:dyDescent="0.2">
      <c r="R26657" s="1288"/>
    </row>
    <row r="26658" spans="18:18" s="2" customFormat="1" ht="12.75" x14ac:dyDescent="0.2">
      <c r="R26658" s="1288"/>
    </row>
    <row r="26659" spans="18:18" s="2" customFormat="1" ht="12.75" x14ac:dyDescent="0.2">
      <c r="R26659" s="1288"/>
    </row>
    <row r="26660" spans="18:18" s="2" customFormat="1" ht="12.75" x14ac:dyDescent="0.2">
      <c r="R26660" s="1288"/>
    </row>
    <row r="26661" spans="18:18" s="2" customFormat="1" ht="12.75" x14ac:dyDescent="0.2">
      <c r="R26661" s="1288"/>
    </row>
    <row r="26662" spans="18:18" s="2" customFormat="1" ht="12.75" x14ac:dyDescent="0.2">
      <c r="R26662" s="1288"/>
    </row>
    <row r="26663" spans="18:18" s="2" customFormat="1" ht="12.75" x14ac:dyDescent="0.2">
      <c r="R26663" s="1288"/>
    </row>
    <row r="26664" spans="18:18" s="2" customFormat="1" ht="12.75" x14ac:dyDescent="0.2">
      <c r="R26664" s="1288"/>
    </row>
    <row r="26665" spans="18:18" s="2" customFormat="1" ht="12.75" x14ac:dyDescent="0.2">
      <c r="R26665" s="1288"/>
    </row>
    <row r="26666" spans="18:18" s="2" customFormat="1" ht="12.75" x14ac:dyDescent="0.2">
      <c r="R26666" s="1288"/>
    </row>
    <row r="26667" spans="18:18" s="2" customFormat="1" ht="12.75" x14ac:dyDescent="0.2">
      <c r="R26667" s="1288"/>
    </row>
    <row r="26668" spans="18:18" s="2" customFormat="1" ht="12.75" x14ac:dyDescent="0.2">
      <c r="R26668" s="1288"/>
    </row>
    <row r="26669" spans="18:18" s="2" customFormat="1" ht="12.75" x14ac:dyDescent="0.2">
      <c r="R26669" s="1288"/>
    </row>
    <row r="26670" spans="18:18" s="2" customFormat="1" ht="12.75" x14ac:dyDescent="0.2">
      <c r="R26670" s="1288"/>
    </row>
    <row r="26671" spans="18:18" s="2" customFormat="1" ht="12.75" x14ac:dyDescent="0.2">
      <c r="R26671" s="1288"/>
    </row>
    <row r="26672" spans="18:18" s="2" customFormat="1" ht="12.75" x14ac:dyDescent="0.2">
      <c r="R26672" s="1288"/>
    </row>
    <row r="26673" spans="18:18" s="2" customFormat="1" ht="12.75" x14ac:dyDescent="0.2">
      <c r="R26673" s="1288"/>
    </row>
    <row r="26674" spans="18:18" s="2" customFormat="1" ht="12.75" x14ac:dyDescent="0.2">
      <c r="R26674" s="1288"/>
    </row>
    <row r="26675" spans="18:18" s="2" customFormat="1" ht="12.75" x14ac:dyDescent="0.2">
      <c r="R26675" s="1288"/>
    </row>
    <row r="26676" spans="18:18" s="2" customFormat="1" ht="12.75" x14ac:dyDescent="0.2">
      <c r="R26676" s="1288"/>
    </row>
    <row r="26677" spans="18:18" s="2" customFormat="1" ht="12.75" x14ac:dyDescent="0.2">
      <c r="R26677" s="1288"/>
    </row>
    <row r="26678" spans="18:18" s="2" customFormat="1" ht="12.75" x14ac:dyDescent="0.2">
      <c r="R26678" s="1288"/>
    </row>
    <row r="26679" spans="18:18" s="2" customFormat="1" ht="12.75" x14ac:dyDescent="0.2">
      <c r="R26679" s="1288"/>
    </row>
    <row r="26680" spans="18:18" s="2" customFormat="1" ht="12.75" x14ac:dyDescent="0.2">
      <c r="R26680" s="1288"/>
    </row>
    <row r="26681" spans="18:18" s="2" customFormat="1" ht="12.75" x14ac:dyDescent="0.2">
      <c r="R26681" s="1288"/>
    </row>
    <row r="26682" spans="18:18" s="2" customFormat="1" ht="12.75" x14ac:dyDescent="0.2">
      <c r="R26682" s="1288"/>
    </row>
    <row r="26683" spans="18:18" s="2" customFormat="1" ht="12.75" x14ac:dyDescent="0.2">
      <c r="R26683" s="1288"/>
    </row>
    <row r="26684" spans="18:18" s="2" customFormat="1" ht="12.75" x14ac:dyDescent="0.2">
      <c r="R26684" s="1288"/>
    </row>
    <row r="26685" spans="18:18" s="2" customFormat="1" ht="12.75" x14ac:dyDescent="0.2">
      <c r="R26685" s="1288"/>
    </row>
    <row r="26686" spans="18:18" s="2" customFormat="1" ht="12.75" x14ac:dyDescent="0.2">
      <c r="R26686" s="1288"/>
    </row>
    <row r="26687" spans="18:18" s="2" customFormat="1" ht="12.75" x14ac:dyDescent="0.2">
      <c r="R26687" s="1288"/>
    </row>
    <row r="26688" spans="18:18" s="2" customFormat="1" ht="12.75" x14ac:dyDescent="0.2">
      <c r="R26688" s="1288"/>
    </row>
    <row r="26689" spans="18:18" s="2" customFormat="1" ht="12.75" x14ac:dyDescent="0.2">
      <c r="R26689" s="1288"/>
    </row>
    <row r="26690" spans="18:18" s="2" customFormat="1" ht="12.75" x14ac:dyDescent="0.2">
      <c r="R26690" s="1288"/>
    </row>
    <row r="26691" spans="18:18" s="2" customFormat="1" ht="12.75" x14ac:dyDescent="0.2">
      <c r="R26691" s="1288"/>
    </row>
    <row r="26692" spans="18:18" s="2" customFormat="1" ht="12.75" x14ac:dyDescent="0.2">
      <c r="R26692" s="1288"/>
    </row>
    <row r="26693" spans="18:18" s="2" customFormat="1" ht="12.75" x14ac:dyDescent="0.2">
      <c r="R26693" s="1288"/>
    </row>
    <row r="26694" spans="18:18" s="2" customFormat="1" ht="12.75" x14ac:dyDescent="0.2">
      <c r="R26694" s="1288"/>
    </row>
    <row r="26695" spans="18:18" s="2" customFormat="1" ht="12.75" x14ac:dyDescent="0.2">
      <c r="R26695" s="1288"/>
    </row>
    <row r="26696" spans="18:18" s="2" customFormat="1" ht="12.75" x14ac:dyDescent="0.2">
      <c r="R26696" s="1288"/>
    </row>
    <row r="26697" spans="18:18" s="2" customFormat="1" ht="12.75" x14ac:dyDescent="0.2">
      <c r="R26697" s="1288"/>
    </row>
    <row r="26698" spans="18:18" s="2" customFormat="1" ht="12.75" x14ac:dyDescent="0.2">
      <c r="R26698" s="1288"/>
    </row>
    <row r="26699" spans="18:18" s="2" customFormat="1" ht="12.75" x14ac:dyDescent="0.2">
      <c r="R26699" s="1288"/>
    </row>
    <row r="26700" spans="18:18" s="2" customFormat="1" ht="12.75" x14ac:dyDescent="0.2">
      <c r="R26700" s="1288"/>
    </row>
    <row r="26701" spans="18:18" s="2" customFormat="1" ht="12.75" x14ac:dyDescent="0.2">
      <c r="R26701" s="1288"/>
    </row>
    <row r="26702" spans="18:18" s="2" customFormat="1" ht="12.75" x14ac:dyDescent="0.2">
      <c r="R26702" s="1288"/>
    </row>
    <row r="26703" spans="18:18" s="2" customFormat="1" ht="12.75" x14ac:dyDescent="0.2">
      <c r="R26703" s="1288"/>
    </row>
    <row r="26704" spans="18:18" s="2" customFormat="1" ht="12.75" x14ac:dyDescent="0.2">
      <c r="R26704" s="1288"/>
    </row>
    <row r="26705" spans="18:18" s="2" customFormat="1" ht="12.75" x14ac:dyDescent="0.2">
      <c r="R26705" s="1288"/>
    </row>
    <row r="26706" spans="18:18" s="2" customFormat="1" ht="12.75" x14ac:dyDescent="0.2">
      <c r="R26706" s="1288"/>
    </row>
    <row r="26707" spans="18:18" s="2" customFormat="1" ht="12.75" x14ac:dyDescent="0.2">
      <c r="R26707" s="1288"/>
    </row>
    <row r="26708" spans="18:18" s="2" customFormat="1" ht="12.75" x14ac:dyDescent="0.2">
      <c r="R26708" s="1288"/>
    </row>
    <row r="26709" spans="18:18" s="2" customFormat="1" ht="12.75" x14ac:dyDescent="0.2">
      <c r="R26709" s="1288"/>
    </row>
    <row r="26710" spans="18:18" s="2" customFormat="1" ht="12.75" x14ac:dyDescent="0.2">
      <c r="R26710" s="1288"/>
    </row>
    <row r="26711" spans="18:18" s="2" customFormat="1" ht="12.75" x14ac:dyDescent="0.2">
      <c r="R26711" s="1288"/>
    </row>
    <row r="26712" spans="18:18" s="2" customFormat="1" ht="12.75" x14ac:dyDescent="0.2">
      <c r="R26712" s="1288"/>
    </row>
    <row r="26713" spans="18:18" s="2" customFormat="1" ht="12.75" x14ac:dyDescent="0.2">
      <c r="R26713" s="1288"/>
    </row>
    <row r="26714" spans="18:18" s="2" customFormat="1" ht="12.75" x14ac:dyDescent="0.2">
      <c r="R26714" s="1288"/>
    </row>
    <row r="26715" spans="18:18" s="2" customFormat="1" ht="12.75" x14ac:dyDescent="0.2">
      <c r="R26715" s="1288"/>
    </row>
    <row r="26716" spans="18:18" s="2" customFormat="1" ht="12.75" x14ac:dyDescent="0.2">
      <c r="R26716" s="1288"/>
    </row>
    <row r="26717" spans="18:18" s="2" customFormat="1" ht="12.75" x14ac:dyDescent="0.2">
      <c r="R26717" s="1288"/>
    </row>
    <row r="26718" spans="18:18" s="2" customFormat="1" ht="12.75" x14ac:dyDescent="0.2">
      <c r="R26718" s="1288"/>
    </row>
    <row r="26719" spans="18:18" s="2" customFormat="1" ht="12.75" x14ac:dyDescent="0.2">
      <c r="R26719" s="1288"/>
    </row>
    <row r="26720" spans="18:18" s="2" customFormat="1" ht="12.75" x14ac:dyDescent="0.2">
      <c r="R26720" s="1288"/>
    </row>
    <row r="26721" spans="18:18" s="2" customFormat="1" ht="12.75" x14ac:dyDescent="0.2">
      <c r="R26721" s="1288"/>
    </row>
    <row r="26722" spans="18:18" s="2" customFormat="1" ht="12.75" x14ac:dyDescent="0.2">
      <c r="R26722" s="1288"/>
    </row>
    <row r="26723" spans="18:18" s="2" customFormat="1" ht="12.75" x14ac:dyDescent="0.2">
      <c r="R26723" s="1288"/>
    </row>
    <row r="26724" spans="18:18" s="2" customFormat="1" ht="12.75" x14ac:dyDescent="0.2">
      <c r="R26724" s="1288"/>
    </row>
    <row r="26725" spans="18:18" s="2" customFormat="1" ht="12.75" x14ac:dyDescent="0.2">
      <c r="R26725" s="1288"/>
    </row>
    <row r="26726" spans="18:18" s="2" customFormat="1" ht="12.75" x14ac:dyDescent="0.2">
      <c r="R26726" s="1288"/>
    </row>
    <row r="26727" spans="18:18" s="2" customFormat="1" ht="12.75" x14ac:dyDescent="0.2">
      <c r="R26727" s="1288"/>
    </row>
    <row r="26728" spans="18:18" s="2" customFormat="1" ht="12.75" x14ac:dyDescent="0.2">
      <c r="R26728" s="1288"/>
    </row>
    <row r="26729" spans="18:18" s="2" customFormat="1" ht="12.75" x14ac:dyDescent="0.2">
      <c r="R26729" s="1288"/>
    </row>
    <row r="26730" spans="18:18" s="2" customFormat="1" ht="12.75" x14ac:dyDescent="0.2">
      <c r="R26730" s="1288"/>
    </row>
    <row r="26731" spans="18:18" s="2" customFormat="1" ht="12.75" x14ac:dyDescent="0.2">
      <c r="R26731" s="1288"/>
    </row>
    <row r="26732" spans="18:18" s="2" customFormat="1" ht="12.75" x14ac:dyDescent="0.2">
      <c r="R26732" s="1288"/>
    </row>
    <row r="26733" spans="18:18" s="2" customFormat="1" ht="12.75" x14ac:dyDescent="0.2">
      <c r="R26733" s="1288"/>
    </row>
    <row r="26734" spans="18:18" s="2" customFormat="1" ht="12.75" x14ac:dyDescent="0.2">
      <c r="R26734" s="1288"/>
    </row>
    <row r="26735" spans="18:18" s="2" customFormat="1" ht="12.75" x14ac:dyDescent="0.2">
      <c r="R26735" s="1288"/>
    </row>
    <row r="26736" spans="18:18" s="2" customFormat="1" ht="12.75" x14ac:dyDescent="0.2">
      <c r="R26736" s="1288"/>
    </row>
    <row r="26737" spans="18:18" s="2" customFormat="1" ht="12.75" x14ac:dyDescent="0.2">
      <c r="R26737" s="1288"/>
    </row>
    <row r="26738" spans="18:18" s="2" customFormat="1" ht="12.75" x14ac:dyDescent="0.2">
      <c r="R26738" s="1288"/>
    </row>
    <row r="26739" spans="18:18" s="2" customFormat="1" ht="12.75" x14ac:dyDescent="0.2">
      <c r="R26739" s="1288"/>
    </row>
    <row r="26740" spans="18:18" s="2" customFormat="1" ht="12.75" x14ac:dyDescent="0.2">
      <c r="R26740" s="1288"/>
    </row>
    <row r="26741" spans="18:18" s="2" customFormat="1" ht="12.75" x14ac:dyDescent="0.2">
      <c r="R26741" s="1288"/>
    </row>
    <row r="26742" spans="18:18" s="2" customFormat="1" ht="12.75" x14ac:dyDescent="0.2">
      <c r="R26742" s="1288"/>
    </row>
    <row r="26743" spans="18:18" s="2" customFormat="1" ht="12.75" x14ac:dyDescent="0.2">
      <c r="R26743" s="1288"/>
    </row>
    <row r="26744" spans="18:18" s="2" customFormat="1" ht="12.75" x14ac:dyDescent="0.2">
      <c r="R26744" s="1288"/>
    </row>
    <row r="26745" spans="18:18" s="2" customFormat="1" ht="12.75" x14ac:dyDescent="0.2">
      <c r="R26745" s="1288"/>
    </row>
    <row r="26746" spans="18:18" s="2" customFormat="1" ht="12.75" x14ac:dyDescent="0.2">
      <c r="R26746" s="1288"/>
    </row>
    <row r="26747" spans="18:18" s="2" customFormat="1" ht="12.75" x14ac:dyDescent="0.2">
      <c r="R26747" s="1288"/>
    </row>
    <row r="26748" spans="18:18" s="2" customFormat="1" ht="12.75" x14ac:dyDescent="0.2">
      <c r="R26748" s="1288"/>
    </row>
    <row r="26749" spans="18:18" s="2" customFormat="1" ht="12.75" x14ac:dyDescent="0.2">
      <c r="R26749" s="1288"/>
    </row>
    <row r="26750" spans="18:18" s="2" customFormat="1" ht="12.75" x14ac:dyDescent="0.2">
      <c r="R26750" s="1288"/>
    </row>
    <row r="26751" spans="18:18" s="2" customFormat="1" ht="12.75" x14ac:dyDescent="0.2">
      <c r="R26751" s="1288"/>
    </row>
    <row r="26752" spans="18:18" s="2" customFormat="1" ht="12.75" x14ac:dyDescent="0.2">
      <c r="R26752" s="1288"/>
    </row>
    <row r="26753" spans="18:18" s="2" customFormat="1" ht="12.75" x14ac:dyDescent="0.2">
      <c r="R26753" s="1288"/>
    </row>
    <row r="26754" spans="18:18" s="2" customFormat="1" ht="12.75" x14ac:dyDescent="0.2">
      <c r="R26754" s="1288"/>
    </row>
    <row r="26755" spans="18:18" s="2" customFormat="1" ht="12.75" x14ac:dyDescent="0.2">
      <c r="R26755" s="1288"/>
    </row>
    <row r="26756" spans="18:18" s="2" customFormat="1" ht="12.75" x14ac:dyDescent="0.2">
      <c r="R26756" s="1288"/>
    </row>
    <row r="26757" spans="18:18" s="2" customFormat="1" ht="12.75" x14ac:dyDescent="0.2">
      <c r="R26757" s="1288"/>
    </row>
    <row r="26758" spans="18:18" s="2" customFormat="1" ht="12.75" x14ac:dyDescent="0.2">
      <c r="R26758" s="1288"/>
    </row>
    <row r="26759" spans="18:18" s="2" customFormat="1" ht="12.75" x14ac:dyDescent="0.2">
      <c r="R26759" s="1288"/>
    </row>
    <row r="26760" spans="18:18" s="2" customFormat="1" ht="12.75" x14ac:dyDescent="0.2">
      <c r="R26760" s="1288"/>
    </row>
    <row r="26761" spans="18:18" s="2" customFormat="1" ht="12.75" x14ac:dyDescent="0.2">
      <c r="R26761" s="1288"/>
    </row>
    <row r="26762" spans="18:18" s="2" customFormat="1" ht="12.75" x14ac:dyDescent="0.2">
      <c r="R26762" s="1288"/>
    </row>
    <row r="26763" spans="18:18" s="2" customFormat="1" ht="12.75" x14ac:dyDescent="0.2">
      <c r="R26763" s="1288"/>
    </row>
    <row r="26764" spans="18:18" s="2" customFormat="1" ht="12.75" x14ac:dyDescent="0.2">
      <c r="R26764" s="1288"/>
    </row>
    <row r="26765" spans="18:18" s="2" customFormat="1" ht="12.75" x14ac:dyDescent="0.2">
      <c r="R26765" s="1288"/>
    </row>
    <row r="26766" spans="18:18" s="2" customFormat="1" ht="12.75" x14ac:dyDescent="0.2">
      <c r="R26766" s="1288"/>
    </row>
    <row r="26767" spans="18:18" s="2" customFormat="1" ht="12.75" x14ac:dyDescent="0.2">
      <c r="R26767" s="1288"/>
    </row>
    <row r="26768" spans="18:18" s="2" customFormat="1" ht="12.75" x14ac:dyDescent="0.2">
      <c r="R26768" s="1288"/>
    </row>
    <row r="26769" spans="18:18" s="2" customFormat="1" ht="12.75" x14ac:dyDescent="0.2">
      <c r="R26769" s="1288"/>
    </row>
    <row r="26770" spans="18:18" s="2" customFormat="1" ht="12.75" x14ac:dyDescent="0.2">
      <c r="R26770" s="1288"/>
    </row>
    <row r="26771" spans="18:18" s="2" customFormat="1" ht="12.75" x14ac:dyDescent="0.2">
      <c r="R26771" s="1288"/>
    </row>
    <row r="26772" spans="18:18" s="2" customFormat="1" ht="12.75" x14ac:dyDescent="0.2">
      <c r="R26772" s="1288"/>
    </row>
    <row r="26773" spans="18:18" s="2" customFormat="1" ht="12.75" x14ac:dyDescent="0.2">
      <c r="R26773" s="1288"/>
    </row>
    <row r="26774" spans="18:18" s="2" customFormat="1" ht="12.75" x14ac:dyDescent="0.2">
      <c r="R26774" s="1288"/>
    </row>
    <row r="26775" spans="18:18" s="2" customFormat="1" ht="12.75" x14ac:dyDescent="0.2">
      <c r="R26775" s="1288"/>
    </row>
    <row r="26776" spans="18:18" s="2" customFormat="1" ht="12.75" x14ac:dyDescent="0.2">
      <c r="R26776" s="1288"/>
    </row>
    <row r="26777" spans="18:18" s="2" customFormat="1" ht="12.75" x14ac:dyDescent="0.2">
      <c r="R26777" s="1288"/>
    </row>
    <row r="26778" spans="18:18" s="2" customFormat="1" ht="12.75" x14ac:dyDescent="0.2">
      <c r="R26778" s="1288"/>
    </row>
    <row r="26779" spans="18:18" s="2" customFormat="1" ht="12.75" x14ac:dyDescent="0.2">
      <c r="R26779" s="1288"/>
    </row>
    <row r="26780" spans="18:18" s="2" customFormat="1" ht="12.75" x14ac:dyDescent="0.2">
      <c r="R26780" s="1288"/>
    </row>
    <row r="26781" spans="18:18" s="2" customFormat="1" ht="12.75" x14ac:dyDescent="0.2">
      <c r="R26781" s="1288"/>
    </row>
    <row r="26782" spans="18:18" s="2" customFormat="1" ht="12.75" x14ac:dyDescent="0.2">
      <c r="R26782" s="1288"/>
    </row>
    <row r="26783" spans="18:18" s="2" customFormat="1" ht="12.75" x14ac:dyDescent="0.2">
      <c r="R26783" s="1288"/>
    </row>
    <row r="26784" spans="18:18" s="2" customFormat="1" ht="12.75" x14ac:dyDescent="0.2">
      <c r="R26784" s="1288"/>
    </row>
    <row r="26785" spans="18:18" s="2" customFormat="1" ht="12.75" x14ac:dyDescent="0.2">
      <c r="R26785" s="1288"/>
    </row>
    <row r="26786" spans="18:18" s="2" customFormat="1" ht="12.75" x14ac:dyDescent="0.2">
      <c r="R26786" s="1288"/>
    </row>
    <row r="26787" spans="18:18" s="2" customFormat="1" ht="12.75" x14ac:dyDescent="0.2">
      <c r="R26787" s="1288"/>
    </row>
    <row r="26788" spans="18:18" s="2" customFormat="1" ht="12.75" x14ac:dyDescent="0.2">
      <c r="R26788" s="1288"/>
    </row>
    <row r="26789" spans="18:18" s="2" customFormat="1" ht="12.75" x14ac:dyDescent="0.2">
      <c r="R26789" s="1288"/>
    </row>
    <row r="26790" spans="18:18" s="2" customFormat="1" ht="12.75" x14ac:dyDescent="0.2">
      <c r="R26790" s="1288"/>
    </row>
    <row r="26791" spans="18:18" s="2" customFormat="1" ht="12.75" x14ac:dyDescent="0.2">
      <c r="R26791" s="1288"/>
    </row>
    <row r="26792" spans="18:18" s="2" customFormat="1" ht="12.75" x14ac:dyDescent="0.2">
      <c r="R26792" s="1288"/>
    </row>
    <row r="26793" spans="18:18" s="2" customFormat="1" ht="12.75" x14ac:dyDescent="0.2">
      <c r="R26793" s="1288"/>
    </row>
    <row r="26794" spans="18:18" s="2" customFormat="1" ht="12.75" x14ac:dyDescent="0.2">
      <c r="R26794" s="1288"/>
    </row>
    <row r="26795" spans="18:18" s="2" customFormat="1" ht="12.75" x14ac:dyDescent="0.2">
      <c r="R26795" s="1288"/>
    </row>
    <row r="26796" spans="18:18" s="2" customFormat="1" ht="12.75" x14ac:dyDescent="0.2">
      <c r="R26796" s="1288"/>
    </row>
    <row r="26797" spans="18:18" s="2" customFormat="1" ht="12.75" x14ac:dyDescent="0.2">
      <c r="R26797" s="1288"/>
    </row>
    <row r="26798" spans="18:18" s="2" customFormat="1" ht="12.75" x14ac:dyDescent="0.2">
      <c r="R26798" s="1288"/>
    </row>
    <row r="26799" spans="18:18" s="2" customFormat="1" ht="12.75" x14ac:dyDescent="0.2">
      <c r="R26799" s="1288"/>
    </row>
    <row r="26800" spans="18:18" s="2" customFormat="1" ht="12.75" x14ac:dyDescent="0.2">
      <c r="R26800" s="1288"/>
    </row>
    <row r="26801" spans="18:18" s="2" customFormat="1" ht="12.75" x14ac:dyDescent="0.2">
      <c r="R26801" s="1288"/>
    </row>
    <row r="26802" spans="18:18" s="2" customFormat="1" ht="12.75" x14ac:dyDescent="0.2">
      <c r="R26802" s="1288"/>
    </row>
    <row r="26803" spans="18:18" s="2" customFormat="1" ht="12.75" x14ac:dyDescent="0.2">
      <c r="R26803" s="1288"/>
    </row>
    <row r="26804" spans="18:18" s="2" customFormat="1" ht="12.75" x14ac:dyDescent="0.2">
      <c r="R26804" s="1288"/>
    </row>
    <row r="26805" spans="18:18" s="2" customFormat="1" ht="12.75" x14ac:dyDescent="0.2">
      <c r="R26805" s="1288"/>
    </row>
    <row r="26806" spans="18:18" s="2" customFormat="1" ht="12.75" x14ac:dyDescent="0.2">
      <c r="R26806" s="1288"/>
    </row>
    <row r="26807" spans="18:18" s="2" customFormat="1" ht="12.75" x14ac:dyDescent="0.2">
      <c r="R26807" s="1288"/>
    </row>
    <row r="26808" spans="18:18" s="2" customFormat="1" ht="12.75" x14ac:dyDescent="0.2">
      <c r="R26808" s="1288"/>
    </row>
    <row r="26809" spans="18:18" s="2" customFormat="1" ht="12.75" x14ac:dyDescent="0.2">
      <c r="R26809" s="1288"/>
    </row>
    <row r="26810" spans="18:18" s="2" customFormat="1" ht="12.75" x14ac:dyDescent="0.2">
      <c r="R26810" s="1288"/>
    </row>
    <row r="26811" spans="18:18" s="2" customFormat="1" ht="12.75" x14ac:dyDescent="0.2">
      <c r="R26811" s="1288"/>
    </row>
    <row r="26812" spans="18:18" s="2" customFormat="1" ht="12.75" x14ac:dyDescent="0.2">
      <c r="R26812" s="1288"/>
    </row>
    <row r="26813" spans="18:18" s="2" customFormat="1" ht="12.75" x14ac:dyDescent="0.2">
      <c r="R26813" s="1288"/>
    </row>
    <row r="26814" spans="18:18" s="2" customFormat="1" ht="12.75" x14ac:dyDescent="0.2">
      <c r="R26814" s="1288"/>
    </row>
    <row r="26815" spans="18:18" s="2" customFormat="1" ht="12.75" x14ac:dyDescent="0.2">
      <c r="R26815" s="1288"/>
    </row>
    <row r="26816" spans="18:18" s="2" customFormat="1" ht="12.75" x14ac:dyDescent="0.2">
      <c r="R26816" s="1288"/>
    </row>
    <row r="26817" spans="18:18" s="2" customFormat="1" ht="12.75" x14ac:dyDescent="0.2">
      <c r="R26817" s="1288"/>
    </row>
    <row r="26818" spans="18:18" s="2" customFormat="1" ht="12.75" x14ac:dyDescent="0.2">
      <c r="R26818" s="1288"/>
    </row>
    <row r="26819" spans="18:18" s="2" customFormat="1" ht="12.75" x14ac:dyDescent="0.2">
      <c r="R26819" s="1288"/>
    </row>
    <row r="26820" spans="18:18" s="2" customFormat="1" ht="12.75" x14ac:dyDescent="0.2">
      <c r="R26820" s="1288"/>
    </row>
    <row r="26821" spans="18:18" s="2" customFormat="1" ht="12.75" x14ac:dyDescent="0.2">
      <c r="R26821" s="1288"/>
    </row>
    <row r="26822" spans="18:18" s="2" customFormat="1" ht="12.75" x14ac:dyDescent="0.2">
      <c r="R26822" s="1288"/>
    </row>
    <row r="26823" spans="18:18" s="2" customFormat="1" ht="12.75" x14ac:dyDescent="0.2">
      <c r="R26823" s="1288"/>
    </row>
    <row r="26824" spans="18:18" s="2" customFormat="1" ht="12.75" x14ac:dyDescent="0.2">
      <c r="R26824" s="1288"/>
    </row>
    <row r="26825" spans="18:18" s="2" customFormat="1" ht="12.75" x14ac:dyDescent="0.2">
      <c r="R26825" s="1288"/>
    </row>
    <row r="26826" spans="18:18" s="2" customFormat="1" ht="12.75" x14ac:dyDescent="0.2">
      <c r="R26826" s="1288"/>
    </row>
    <row r="26827" spans="18:18" s="2" customFormat="1" ht="12.75" x14ac:dyDescent="0.2">
      <c r="R26827" s="1288"/>
    </row>
    <row r="26828" spans="18:18" s="2" customFormat="1" ht="12.75" x14ac:dyDescent="0.2">
      <c r="R26828" s="1288"/>
    </row>
    <row r="26829" spans="18:18" s="2" customFormat="1" ht="12.75" x14ac:dyDescent="0.2">
      <c r="R26829" s="1288"/>
    </row>
    <row r="26830" spans="18:18" s="2" customFormat="1" ht="12.75" x14ac:dyDescent="0.2">
      <c r="R26830" s="1288"/>
    </row>
    <row r="26831" spans="18:18" s="2" customFormat="1" ht="12.75" x14ac:dyDescent="0.2">
      <c r="R26831" s="1288"/>
    </row>
    <row r="26832" spans="18:18" s="2" customFormat="1" ht="12.75" x14ac:dyDescent="0.2">
      <c r="R26832" s="1288"/>
    </row>
    <row r="26833" spans="18:18" s="2" customFormat="1" ht="12.75" x14ac:dyDescent="0.2">
      <c r="R26833" s="1288"/>
    </row>
    <row r="26834" spans="18:18" s="2" customFormat="1" ht="12.75" x14ac:dyDescent="0.2">
      <c r="R26834" s="1288"/>
    </row>
    <row r="26835" spans="18:18" s="2" customFormat="1" ht="12.75" x14ac:dyDescent="0.2">
      <c r="R26835" s="1288"/>
    </row>
    <row r="26836" spans="18:18" s="2" customFormat="1" ht="12.75" x14ac:dyDescent="0.2">
      <c r="R26836" s="1288"/>
    </row>
    <row r="26837" spans="18:18" s="2" customFormat="1" ht="12.75" x14ac:dyDescent="0.2">
      <c r="R26837" s="1288"/>
    </row>
    <row r="26838" spans="18:18" s="2" customFormat="1" ht="12.75" x14ac:dyDescent="0.2">
      <c r="R26838" s="1288"/>
    </row>
    <row r="26839" spans="18:18" s="2" customFormat="1" ht="12.75" x14ac:dyDescent="0.2">
      <c r="R26839" s="1288"/>
    </row>
    <row r="26840" spans="18:18" s="2" customFormat="1" ht="12.75" x14ac:dyDescent="0.2">
      <c r="R26840" s="1288"/>
    </row>
    <row r="26841" spans="18:18" s="2" customFormat="1" ht="12.75" x14ac:dyDescent="0.2">
      <c r="R26841" s="1288"/>
    </row>
    <row r="26842" spans="18:18" s="2" customFormat="1" ht="12.75" x14ac:dyDescent="0.2">
      <c r="R26842" s="1288"/>
    </row>
    <row r="26843" spans="18:18" s="2" customFormat="1" ht="12.75" x14ac:dyDescent="0.2">
      <c r="R26843" s="1288"/>
    </row>
    <row r="26844" spans="18:18" s="2" customFormat="1" ht="12.75" x14ac:dyDescent="0.2">
      <c r="R26844" s="1288"/>
    </row>
    <row r="26845" spans="18:18" s="2" customFormat="1" ht="12.75" x14ac:dyDescent="0.2">
      <c r="R26845" s="1288"/>
    </row>
    <row r="26846" spans="18:18" s="2" customFormat="1" ht="12.75" x14ac:dyDescent="0.2">
      <c r="R26846" s="1288"/>
    </row>
    <row r="26847" spans="18:18" s="2" customFormat="1" ht="12.75" x14ac:dyDescent="0.2">
      <c r="R26847" s="1288"/>
    </row>
    <row r="26848" spans="18:18" s="2" customFormat="1" ht="12.75" x14ac:dyDescent="0.2">
      <c r="R26848" s="1288"/>
    </row>
    <row r="26849" spans="18:18" s="2" customFormat="1" ht="12.75" x14ac:dyDescent="0.2">
      <c r="R26849" s="1288"/>
    </row>
    <row r="26850" spans="18:18" s="2" customFormat="1" ht="12.75" x14ac:dyDescent="0.2">
      <c r="R26850" s="1288"/>
    </row>
    <row r="26851" spans="18:18" s="2" customFormat="1" ht="12.75" x14ac:dyDescent="0.2">
      <c r="R26851" s="1288"/>
    </row>
    <row r="26852" spans="18:18" s="2" customFormat="1" ht="12.75" x14ac:dyDescent="0.2">
      <c r="R26852" s="1288"/>
    </row>
    <row r="26853" spans="18:18" s="2" customFormat="1" ht="12.75" x14ac:dyDescent="0.2">
      <c r="R26853" s="1288"/>
    </row>
    <row r="26854" spans="18:18" s="2" customFormat="1" ht="12.75" x14ac:dyDescent="0.2">
      <c r="R26854" s="1288"/>
    </row>
    <row r="26855" spans="18:18" s="2" customFormat="1" ht="12.75" x14ac:dyDescent="0.2">
      <c r="R26855" s="1288"/>
    </row>
    <row r="26856" spans="18:18" s="2" customFormat="1" ht="12.75" x14ac:dyDescent="0.2">
      <c r="R26856" s="1288"/>
    </row>
    <row r="26857" spans="18:18" s="2" customFormat="1" ht="12.75" x14ac:dyDescent="0.2">
      <c r="R26857" s="1288"/>
    </row>
    <row r="26858" spans="18:18" s="2" customFormat="1" ht="12.75" x14ac:dyDescent="0.2">
      <c r="R26858" s="1288"/>
    </row>
    <row r="26859" spans="18:18" s="2" customFormat="1" ht="12.75" x14ac:dyDescent="0.2">
      <c r="R26859" s="1288"/>
    </row>
    <row r="26860" spans="18:18" s="2" customFormat="1" ht="12.75" x14ac:dyDescent="0.2">
      <c r="R26860" s="1288"/>
    </row>
    <row r="26861" spans="18:18" s="2" customFormat="1" ht="12.75" x14ac:dyDescent="0.2">
      <c r="R26861" s="1288"/>
    </row>
    <row r="26862" spans="18:18" s="2" customFormat="1" ht="12.75" x14ac:dyDescent="0.2">
      <c r="R26862" s="1288"/>
    </row>
    <row r="26863" spans="18:18" s="2" customFormat="1" ht="12.75" x14ac:dyDescent="0.2">
      <c r="R26863" s="1288"/>
    </row>
    <row r="26864" spans="18:18" s="2" customFormat="1" ht="12.75" x14ac:dyDescent="0.2">
      <c r="R26864" s="1288"/>
    </row>
    <row r="26865" spans="18:18" s="2" customFormat="1" ht="12.75" x14ac:dyDescent="0.2">
      <c r="R26865" s="1288"/>
    </row>
    <row r="26866" spans="18:18" s="2" customFormat="1" ht="12.75" x14ac:dyDescent="0.2">
      <c r="R26866" s="1288"/>
    </row>
    <row r="26867" spans="18:18" s="2" customFormat="1" ht="12.75" x14ac:dyDescent="0.2">
      <c r="R26867" s="1288"/>
    </row>
    <row r="26868" spans="18:18" s="2" customFormat="1" ht="12.75" x14ac:dyDescent="0.2">
      <c r="R26868" s="1288"/>
    </row>
    <row r="26869" spans="18:18" s="2" customFormat="1" ht="12.75" x14ac:dyDescent="0.2">
      <c r="R26869" s="1288"/>
    </row>
    <row r="26870" spans="18:18" s="2" customFormat="1" ht="12.75" x14ac:dyDescent="0.2">
      <c r="R26870" s="1288"/>
    </row>
    <row r="26871" spans="18:18" s="2" customFormat="1" ht="12.75" x14ac:dyDescent="0.2">
      <c r="R26871" s="1288"/>
    </row>
    <row r="26872" spans="18:18" s="2" customFormat="1" ht="12.75" x14ac:dyDescent="0.2">
      <c r="R26872" s="1288"/>
    </row>
    <row r="26873" spans="18:18" s="2" customFormat="1" ht="12.75" x14ac:dyDescent="0.2">
      <c r="R26873" s="1288"/>
    </row>
    <row r="26874" spans="18:18" s="2" customFormat="1" ht="12.75" x14ac:dyDescent="0.2">
      <c r="R26874" s="1288"/>
    </row>
    <row r="26875" spans="18:18" s="2" customFormat="1" ht="12.75" x14ac:dyDescent="0.2">
      <c r="R26875" s="1288"/>
    </row>
    <row r="26876" spans="18:18" s="2" customFormat="1" ht="12.75" x14ac:dyDescent="0.2">
      <c r="R26876" s="1288"/>
    </row>
    <row r="26877" spans="18:18" s="2" customFormat="1" ht="12.75" x14ac:dyDescent="0.2">
      <c r="R26877" s="1288"/>
    </row>
    <row r="26878" spans="18:18" s="2" customFormat="1" ht="12.75" x14ac:dyDescent="0.2">
      <c r="R26878" s="1288"/>
    </row>
    <row r="26879" spans="18:18" s="2" customFormat="1" ht="12.75" x14ac:dyDescent="0.2">
      <c r="R26879" s="1288"/>
    </row>
    <row r="26880" spans="18:18" s="2" customFormat="1" ht="12.75" x14ac:dyDescent="0.2">
      <c r="R26880" s="1288"/>
    </row>
    <row r="26881" spans="18:18" s="2" customFormat="1" ht="12.75" x14ac:dyDescent="0.2">
      <c r="R26881" s="1288"/>
    </row>
    <row r="26882" spans="18:18" s="2" customFormat="1" ht="12.75" x14ac:dyDescent="0.2">
      <c r="R26882" s="1288"/>
    </row>
    <row r="26883" spans="18:18" s="2" customFormat="1" ht="12.75" x14ac:dyDescent="0.2">
      <c r="R26883" s="1288"/>
    </row>
    <row r="26884" spans="18:18" s="2" customFormat="1" ht="12.75" x14ac:dyDescent="0.2">
      <c r="R26884" s="1288"/>
    </row>
    <row r="26885" spans="18:18" s="2" customFormat="1" ht="12.75" x14ac:dyDescent="0.2">
      <c r="R26885" s="1288"/>
    </row>
    <row r="26886" spans="18:18" s="2" customFormat="1" ht="12.75" x14ac:dyDescent="0.2">
      <c r="R26886" s="1288"/>
    </row>
    <row r="26887" spans="18:18" s="2" customFormat="1" ht="12.75" x14ac:dyDescent="0.2">
      <c r="R26887" s="1288"/>
    </row>
    <row r="26888" spans="18:18" s="2" customFormat="1" ht="12.75" x14ac:dyDescent="0.2">
      <c r="R26888" s="1288"/>
    </row>
    <row r="26889" spans="18:18" s="2" customFormat="1" ht="12.75" x14ac:dyDescent="0.2">
      <c r="R26889" s="1288"/>
    </row>
    <row r="26890" spans="18:18" s="2" customFormat="1" ht="12.75" x14ac:dyDescent="0.2">
      <c r="R26890" s="1288"/>
    </row>
    <row r="26891" spans="18:18" s="2" customFormat="1" ht="12.75" x14ac:dyDescent="0.2">
      <c r="R26891" s="1288"/>
    </row>
    <row r="26892" spans="18:18" s="2" customFormat="1" ht="12.75" x14ac:dyDescent="0.2">
      <c r="R26892" s="1288"/>
    </row>
    <row r="26893" spans="18:18" s="2" customFormat="1" ht="12.75" x14ac:dyDescent="0.2">
      <c r="R26893" s="1288"/>
    </row>
    <row r="26894" spans="18:18" s="2" customFormat="1" ht="12.75" x14ac:dyDescent="0.2">
      <c r="R26894" s="1288"/>
    </row>
    <row r="26895" spans="18:18" s="2" customFormat="1" ht="12.75" x14ac:dyDescent="0.2">
      <c r="R26895" s="1288"/>
    </row>
    <row r="26896" spans="18:18" s="2" customFormat="1" ht="12.75" x14ac:dyDescent="0.2">
      <c r="R26896" s="1288"/>
    </row>
    <row r="26897" spans="18:18" s="2" customFormat="1" ht="12.75" x14ac:dyDescent="0.2">
      <c r="R26897" s="1288"/>
    </row>
    <row r="26898" spans="18:18" s="2" customFormat="1" ht="12.75" x14ac:dyDescent="0.2">
      <c r="R26898" s="1288"/>
    </row>
    <row r="26899" spans="18:18" s="2" customFormat="1" ht="12.75" x14ac:dyDescent="0.2">
      <c r="R26899" s="1288"/>
    </row>
    <row r="26900" spans="18:18" s="2" customFormat="1" ht="12.75" x14ac:dyDescent="0.2">
      <c r="R26900" s="1288"/>
    </row>
    <row r="26901" spans="18:18" s="2" customFormat="1" ht="12.75" x14ac:dyDescent="0.2">
      <c r="R26901" s="1288"/>
    </row>
    <row r="26902" spans="18:18" s="2" customFormat="1" ht="12.75" x14ac:dyDescent="0.2">
      <c r="R26902" s="1288"/>
    </row>
    <row r="26903" spans="18:18" s="2" customFormat="1" ht="12.75" x14ac:dyDescent="0.2">
      <c r="R26903" s="1288"/>
    </row>
    <row r="26904" spans="18:18" s="2" customFormat="1" ht="12.75" x14ac:dyDescent="0.2">
      <c r="R26904" s="1288"/>
    </row>
    <row r="26905" spans="18:18" s="2" customFormat="1" ht="12.75" x14ac:dyDescent="0.2">
      <c r="R26905" s="1288"/>
    </row>
    <row r="26906" spans="18:18" s="2" customFormat="1" ht="12.75" x14ac:dyDescent="0.2">
      <c r="R26906" s="1288"/>
    </row>
    <row r="26907" spans="18:18" s="2" customFormat="1" ht="12.75" x14ac:dyDescent="0.2">
      <c r="R26907" s="1288"/>
    </row>
    <row r="26908" spans="18:18" s="2" customFormat="1" ht="12.75" x14ac:dyDescent="0.2">
      <c r="R26908" s="1288"/>
    </row>
    <row r="26909" spans="18:18" s="2" customFormat="1" ht="12.75" x14ac:dyDescent="0.2">
      <c r="R26909" s="1288"/>
    </row>
    <row r="26910" spans="18:18" s="2" customFormat="1" ht="12.75" x14ac:dyDescent="0.2">
      <c r="R26910" s="1288"/>
    </row>
    <row r="26911" spans="18:18" s="2" customFormat="1" ht="12.75" x14ac:dyDescent="0.2">
      <c r="R26911" s="1288"/>
    </row>
    <row r="26912" spans="18:18" s="2" customFormat="1" ht="12.75" x14ac:dyDescent="0.2">
      <c r="R26912" s="1288"/>
    </row>
    <row r="26913" spans="18:18" s="2" customFormat="1" ht="12.75" x14ac:dyDescent="0.2">
      <c r="R26913" s="1288"/>
    </row>
    <row r="26914" spans="18:18" s="2" customFormat="1" ht="12.75" x14ac:dyDescent="0.2">
      <c r="R26914" s="1288"/>
    </row>
    <row r="26915" spans="18:18" s="2" customFormat="1" ht="12.75" x14ac:dyDescent="0.2">
      <c r="R26915" s="1288"/>
    </row>
    <row r="26916" spans="18:18" s="2" customFormat="1" ht="12.75" x14ac:dyDescent="0.2">
      <c r="R26916" s="1288"/>
    </row>
    <row r="26917" spans="18:18" s="2" customFormat="1" ht="12.75" x14ac:dyDescent="0.2">
      <c r="R26917" s="1288"/>
    </row>
    <row r="26918" spans="18:18" s="2" customFormat="1" ht="12.75" x14ac:dyDescent="0.2">
      <c r="R26918" s="1288"/>
    </row>
    <row r="26919" spans="18:18" s="2" customFormat="1" ht="12.75" x14ac:dyDescent="0.2">
      <c r="R26919" s="1288"/>
    </row>
    <row r="26920" spans="18:18" s="2" customFormat="1" ht="12.75" x14ac:dyDescent="0.2">
      <c r="R26920" s="1288"/>
    </row>
    <row r="26921" spans="18:18" s="2" customFormat="1" ht="12.75" x14ac:dyDescent="0.2">
      <c r="R26921" s="1288"/>
    </row>
    <row r="26922" spans="18:18" s="2" customFormat="1" ht="12.75" x14ac:dyDescent="0.2">
      <c r="R26922" s="1288"/>
    </row>
    <row r="26923" spans="18:18" s="2" customFormat="1" ht="12.75" x14ac:dyDescent="0.2">
      <c r="R26923" s="1288"/>
    </row>
    <row r="26924" spans="18:18" s="2" customFormat="1" ht="12.75" x14ac:dyDescent="0.2">
      <c r="R26924" s="1288"/>
    </row>
    <row r="26925" spans="18:18" s="2" customFormat="1" ht="12.75" x14ac:dyDescent="0.2">
      <c r="R26925" s="1288"/>
    </row>
    <row r="26926" spans="18:18" s="2" customFormat="1" ht="12.75" x14ac:dyDescent="0.2">
      <c r="R26926" s="1288"/>
    </row>
    <row r="26927" spans="18:18" s="2" customFormat="1" ht="12.75" x14ac:dyDescent="0.2">
      <c r="R26927" s="1288"/>
    </row>
    <row r="26928" spans="18:18" s="2" customFormat="1" ht="12.75" x14ac:dyDescent="0.2">
      <c r="R26928" s="1288"/>
    </row>
    <row r="26929" spans="18:18" s="2" customFormat="1" ht="12.75" x14ac:dyDescent="0.2">
      <c r="R26929" s="1288"/>
    </row>
    <row r="26930" spans="18:18" s="2" customFormat="1" ht="12.75" x14ac:dyDescent="0.2">
      <c r="R26930" s="1288"/>
    </row>
    <row r="26931" spans="18:18" s="2" customFormat="1" ht="12.75" x14ac:dyDescent="0.2">
      <c r="R26931" s="1288"/>
    </row>
    <row r="26932" spans="18:18" s="2" customFormat="1" ht="12.75" x14ac:dyDescent="0.2">
      <c r="R26932" s="1288"/>
    </row>
    <row r="26933" spans="18:18" s="2" customFormat="1" ht="12.75" x14ac:dyDescent="0.2">
      <c r="R26933" s="1288"/>
    </row>
    <row r="26934" spans="18:18" s="2" customFormat="1" ht="12.75" x14ac:dyDescent="0.2">
      <c r="R26934" s="1288"/>
    </row>
    <row r="26935" spans="18:18" s="2" customFormat="1" ht="12.75" x14ac:dyDescent="0.2">
      <c r="R26935" s="1288"/>
    </row>
    <row r="26936" spans="18:18" s="2" customFormat="1" ht="12.75" x14ac:dyDescent="0.2">
      <c r="R26936" s="1288"/>
    </row>
    <row r="26937" spans="18:18" s="2" customFormat="1" ht="12.75" x14ac:dyDescent="0.2">
      <c r="R26937" s="1288"/>
    </row>
    <row r="26938" spans="18:18" s="2" customFormat="1" ht="12.75" x14ac:dyDescent="0.2">
      <c r="R26938" s="1288"/>
    </row>
    <row r="26939" spans="18:18" s="2" customFormat="1" ht="12.75" x14ac:dyDescent="0.2">
      <c r="R26939" s="1288"/>
    </row>
    <row r="26940" spans="18:18" s="2" customFormat="1" ht="12.75" x14ac:dyDescent="0.2">
      <c r="R26940" s="1288"/>
    </row>
    <row r="26941" spans="18:18" s="2" customFormat="1" ht="12.75" x14ac:dyDescent="0.2">
      <c r="R26941" s="1288"/>
    </row>
    <row r="26942" spans="18:18" s="2" customFormat="1" ht="12.75" x14ac:dyDescent="0.2">
      <c r="R26942" s="1288"/>
    </row>
    <row r="26943" spans="18:18" s="2" customFormat="1" ht="12.75" x14ac:dyDescent="0.2">
      <c r="R26943" s="1288"/>
    </row>
    <row r="26944" spans="18:18" s="2" customFormat="1" ht="12.75" x14ac:dyDescent="0.2">
      <c r="R26944" s="1288"/>
    </row>
    <row r="26945" spans="18:18" s="2" customFormat="1" ht="12.75" x14ac:dyDescent="0.2">
      <c r="R26945" s="1288"/>
    </row>
    <row r="26946" spans="18:18" s="2" customFormat="1" ht="12.75" x14ac:dyDescent="0.2">
      <c r="R26946" s="1288"/>
    </row>
    <row r="26947" spans="18:18" s="2" customFormat="1" ht="12.75" x14ac:dyDescent="0.2">
      <c r="R26947" s="1288"/>
    </row>
    <row r="26948" spans="18:18" s="2" customFormat="1" ht="12.75" x14ac:dyDescent="0.2">
      <c r="R26948" s="1288"/>
    </row>
    <row r="26949" spans="18:18" s="2" customFormat="1" ht="12.75" x14ac:dyDescent="0.2">
      <c r="R26949" s="1288"/>
    </row>
    <row r="26950" spans="18:18" s="2" customFormat="1" ht="12.75" x14ac:dyDescent="0.2">
      <c r="R26950" s="1288"/>
    </row>
    <row r="26951" spans="18:18" s="2" customFormat="1" ht="12.75" x14ac:dyDescent="0.2">
      <c r="R26951" s="1288"/>
    </row>
    <row r="26952" spans="18:18" s="2" customFormat="1" ht="12.75" x14ac:dyDescent="0.2">
      <c r="R26952" s="1288"/>
    </row>
    <row r="26953" spans="18:18" s="2" customFormat="1" ht="12.75" x14ac:dyDescent="0.2">
      <c r="R26953" s="1288"/>
    </row>
    <row r="26954" spans="18:18" s="2" customFormat="1" ht="12.75" x14ac:dyDescent="0.2">
      <c r="R26954" s="1288"/>
    </row>
    <row r="26955" spans="18:18" s="2" customFormat="1" ht="12.75" x14ac:dyDescent="0.2">
      <c r="R26955" s="1288"/>
    </row>
    <row r="26956" spans="18:18" s="2" customFormat="1" ht="12.75" x14ac:dyDescent="0.2">
      <c r="R26956" s="1288"/>
    </row>
    <row r="26957" spans="18:18" s="2" customFormat="1" ht="12.75" x14ac:dyDescent="0.2">
      <c r="R26957" s="1288"/>
    </row>
    <row r="26958" spans="18:18" s="2" customFormat="1" ht="12.75" x14ac:dyDescent="0.2">
      <c r="R26958" s="1288"/>
    </row>
    <row r="26959" spans="18:18" s="2" customFormat="1" ht="12.75" x14ac:dyDescent="0.2">
      <c r="R26959" s="1288"/>
    </row>
    <row r="26960" spans="18:18" s="2" customFormat="1" ht="12.75" x14ac:dyDescent="0.2">
      <c r="R26960" s="1288"/>
    </row>
    <row r="26961" spans="18:18" s="2" customFormat="1" ht="12.75" x14ac:dyDescent="0.2">
      <c r="R26961" s="1288"/>
    </row>
    <row r="26962" spans="18:18" s="2" customFormat="1" ht="12.75" x14ac:dyDescent="0.2">
      <c r="R26962" s="1288"/>
    </row>
    <row r="26963" spans="18:18" s="2" customFormat="1" ht="12.75" x14ac:dyDescent="0.2">
      <c r="R26963" s="1288"/>
    </row>
    <row r="26964" spans="18:18" s="2" customFormat="1" ht="12.75" x14ac:dyDescent="0.2">
      <c r="R26964" s="1288"/>
    </row>
    <row r="26965" spans="18:18" s="2" customFormat="1" ht="12.75" x14ac:dyDescent="0.2">
      <c r="R26965" s="1288"/>
    </row>
    <row r="26966" spans="18:18" s="2" customFormat="1" ht="12.75" x14ac:dyDescent="0.2">
      <c r="R26966" s="1288"/>
    </row>
    <row r="26967" spans="18:18" s="2" customFormat="1" ht="12.75" x14ac:dyDescent="0.2">
      <c r="R26967" s="1288"/>
    </row>
    <row r="26968" spans="18:18" s="2" customFormat="1" ht="12.75" x14ac:dyDescent="0.2">
      <c r="R26968" s="1288"/>
    </row>
    <row r="26969" spans="18:18" s="2" customFormat="1" ht="12.75" x14ac:dyDescent="0.2">
      <c r="R26969" s="1288"/>
    </row>
    <row r="26970" spans="18:18" s="2" customFormat="1" ht="12.75" x14ac:dyDescent="0.2">
      <c r="R26970" s="1288"/>
    </row>
    <row r="26971" spans="18:18" s="2" customFormat="1" ht="12.75" x14ac:dyDescent="0.2">
      <c r="R26971" s="1288"/>
    </row>
    <row r="26972" spans="18:18" s="2" customFormat="1" ht="12.75" x14ac:dyDescent="0.2">
      <c r="R26972" s="1288"/>
    </row>
    <row r="26973" spans="18:18" s="2" customFormat="1" ht="12.75" x14ac:dyDescent="0.2">
      <c r="R26973" s="1288"/>
    </row>
    <row r="26974" spans="18:18" s="2" customFormat="1" ht="12.75" x14ac:dyDescent="0.2">
      <c r="R26974" s="1288"/>
    </row>
    <row r="26975" spans="18:18" s="2" customFormat="1" ht="12.75" x14ac:dyDescent="0.2">
      <c r="R26975" s="1288"/>
    </row>
    <row r="26976" spans="18:18" s="2" customFormat="1" ht="12.75" x14ac:dyDescent="0.2">
      <c r="R26976" s="1288"/>
    </row>
    <row r="26977" spans="18:18" s="2" customFormat="1" ht="12.75" x14ac:dyDescent="0.2">
      <c r="R26977" s="1288"/>
    </row>
    <row r="26978" spans="18:18" s="2" customFormat="1" ht="12.75" x14ac:dyDescent="0.2">
      <c r="R26978" s="1288"/>
    </row>
    <row r="26979" spans="18:18" s="2" customFormat="1" ht="12.75" x14ac:dyDescent="0.2">
      <c r="R26979" s="1288"/>
    </row>
    <row r="26980" spans="18:18" s="2" customFormat="1" ht="12.75" x14ac:dyDescent="0.2">
      <c r="R26980" s="1288"/>
    </row>
    <row r="26981" spans="18:18" s="2" customFormat="1" ht="12.75" x14ac:dyDescent="0.2">
      <c r="R26981" s="1288"/>
    </row>
    <row r="26982" spans="18:18" s="2" customFormat="1" ht="12.75" x14ac:dyDescent="0.2">
      <c r="R26982" s="1288"/>
    </row>
    <row r="26983" spans="18:18" s="2" customFormat="1" ht="12.75" x14ac:dyDescent="0.2">
      <c r="R26983" s="1288"/>
    </row>
    <row r="26984" spans="18:18" s="2" customFormat="1" ht="12.75" x14ac:dyDescent="0.2">
      <c r="R26984" s="1288"/>
    </row>
    <row r="26985" spans="18:18" s="2" customFormat="1" ht="12.75" x14ac:dyDescent="0.2">
      <c r="R26985" s="1288"/>
    </row>
    <row r="26986" spans="18:18" s="2" customFormat="1" ht="12.75" x14ac:dyDescent="0.2">
      <c r="R26986" s="1288"/>
    </row>
    <row r="26987" spans="18:18" s="2" customFormat="1" ht="12.75" x14ac:dyDescent="0.2">
      <c r="R26987" s="1288"/>
    </row>
    <row r="26988" spans="18:18" s="2" customFormat="1" ht="12.75" x14ac:dyDescent="0.2">
      <c r="R26988" s="1288"/>
    </row>
    <row r="26989" spans="18:18" s="2" customFormat="1" ht="12.75" x14ac:dyDescent="0.2">
      <c r="R26989" s="1288"/>
    </row>
    <row r="26990" spans="18:18" s="2" customFormat="1" ht="12.75" x14ac:dyDescent="0.2">
      <c r="R26990" s="1288"/>
    </row>
    <row r="26991" spans="18:18" s="2" customFormat="1" ht="12.75" x14ac:dyDescent="0.2">
      <c r="R26991" s="1288"/>
    </row>
    <row r="26992" spans="18:18" s="2" customFormat="1" ht="12.75" x14ac:dyDescent="0.2">
      <c r="R26992" s="1288"/>
    </row>
    <row r="26993" spans="18:18" s="2" customFormat="1" ht="12.75" x14ac:dyDescent="0.2">
      <c r="R26993" s="1288"/>
    </row>
    <row r="26994" spans="18:18" s="2" customFormat="1" ht="12.75" x14ac:dyDescent="0.2">
      <c r="R26994" s="1288"/>
    </row>
    <row r="26995" spans="18:18" s="2" customFormat="1" ht="12.75" x14ac:dyDescent="0.2">
      <c r="R26995" s="1288"/>
    </row>
    <row r="26996" spans="18:18" s="2" customFormat="1" ht="12.75" x14ac:dyDescent="0.2">
      <c r="R26996" s="1288"/>
    </row>
    <row r="26997" spans="18:18" s="2" customFormat="1" ht="12.75" x14ac:dyDescent="0.2">
      <c r="R26997" s="1288"/>
    </row>
    <row r="26998" spans="18:18" s="2" customFormat="1" ht="12.75" x14ac:dyDescent="0.2">
      <c r="R26998" s="1288"/>
    </row>
    <row r="26999" spans="18:18" s="2" customFormat="1" ht="12.75" x14ac:dyDescent="0.2">
      <c r="R26999" s="1288"/>
    </row>
    <row r="27000" spans="18:18" s="2" customFormat="1" ht="12.75" x14ac:dyDescent="0.2">
      <c r="R27000" s="1288"/>
    </row>
    <row r="27001" spans="18:18" s="2" customFormat="1" ht="12.75" x14ac:dyDescent="0.2">
      <c r="R27001" s="1288"/>
    </row>
    <row r="27002" spans="18:18" s="2" customFormat="1" ht="12.75" x14ac:dyDescent="0.2">
      <c r="R27002" s="1288"/>
    </row>
    <row r="27003" spans="18:18" s="2" customFormat="1" ht="12.75" x14ac:dyDescent="0.2">
      <c r="R27003" s="1288"/>
    </row>
    <row r="27004" spans="18:18" s="2" customFormat="1" ht="12.75" x14ac:dyDescent="0.2">
      <c r="R27004" s="1288"/>
    </row>
    <row r="27005" spans="18:18" s="2" customFormat="1" ht="12.75" x14ac:dyDescent="0.2">
      <c r="R27005" s="1288"/>
    </row>
    <row r="27006" spans="18:18" s="2" customFormat="1" ht="12.75" x14ac:dyDescent="0.2">
      <c r="R27006" s="1288"/>
    </row>
    <row r="27007" spans="18:18" s="2" customFormat="1" ht="12.75" x14ac:dyDescent="0.2">
      <c r="R27007" s="1288"/>
    </row>
    <row r="27008" spans="18:18" s="2" customFormat="1" ht="12.75" x14ac:dyDescent="0.2">
      <c r="R27008" s="1288"/>
    </row>
    <row r="27009" spans="18:18" s="2" customFormat="1" ht="12.75" x14ac:dyDescent="0.2">
      <c r="R27009" s="1288"/>
    </row>
    <row r="27010" spans="18:18" s="2" customFormat="1" ht="12.75" x14ac:dyDescent="0.2">
      <c r="R27010" s="1288"/>
    </row>
    <row r="27011" spans="18:18" s="2" customFormat="1" ht="12.75" x14ac:dyDescent="0.2">
      <c r="R27011" s="1288"/>
    </row>
    <row r="27012" spans="18:18" s="2" customFormat="1" ht="12.75" x14ac:dyDescent="0.2">
      <c r="R27012" s="1288"/>
    </row>
    <row r="27013" spans="18:18" s="2" customFormat="1" ht="12.75" x14ac:dyDescent="0.2">
      <c r="R27013" s="1288"/>
    </row>
    <row r="27014" spans="18:18" s="2" customFormat="1" ht="12.75" x14ac:dyDescent="0.2">
      <c r="R27014" s="1288"/>
    </row>
    <row r="27015" spans="18:18" s="2" customFormat="1" ht="12.75" x14ac:dyDescent="0.2">
      <c r="R27015" s="1288"/>
    </row>
    <row r="27016" spans="18:18" s="2" customFormat="1" ht="12.75" x14ac:dyDescent="0.2">
      <c r="R27016" s="1288"/>
    </row>
    <row r="27017" spans="18:18" s="2" customFormat="1" ht="12.75" x14ac:dyDescent="0.2">
      <c r="R27017" s="1288"/>
    </row>
    <row r="27018" spans="18:18" s="2" customFormat="1" ht="12.75" x14ac:dyDescent="0.2">
      <c r="R27018" s="1288"/>
    </row>
    <row r="27019" spans="18:18" s="2" customFormat="1" ht="12.75" x14ac:dyDescent="0.2">
      <c r="R27019" s="1288"/>
    </row>
    <row r="27020" spans="18:18" s="2" customFormat="1" ht="12.75" x14ac:dyDescent="0.2">
      <c r="R27020" s="1288"/>
    </row>
    <row r="27021" spans="18:18" s="2" customFormat="1" ht="12.75" x14ac:dyDescent="0.2">
      <c r="R27021" s="1288"/>
    </row>
    <row r="27022" spans="18:18" s="2" customFormat="1" ht="12.75" x14ac:dyDescent="0.2">
      <c r="R27022" s="1288"/>
    </row>
    <row r="27023" spans="18:18" s="2" customFormat="1" ht="12.75" x14ac:dyDescent="0.2">
      <c r="R27023" s="1288"/>
    </row>
    <row r="27024" spans="18:18" s="2" customFormat="1" ht="12.75" x14ac:dyDescent="0.2">
      <c r="R27024" s="1288"/>
    </row>
    <row r="27025" spans="18:18" s="2" customFormat="1" ht="12.75" x14ac:dyDescent="0.2">
      <c r="R27025" s="1288"/>
    </row>
    <row r="27026" spans="18:18" s="2" customFormat="1" ht="12.75" x14ac:dyDescent="0.2">
      <c r="R27026" s="1288"/>
    </row>
    <row r="27027" spans="18:18" s="2" customFormat="1" ht="12.75" x14ac:dyDescent="0.2">
      <c r="R27027" s="1288"/>
    </row>
    <row r="27028" spans="18:18" s="2" customFormat="1" ht="12.75" x14ac:dyDescent="0.2">
      <c r="R27028" s="1288"/>
    </row>
    <row r="27029" spans="18:18" s="2" customFormat="1" ht="12.75" x14ac:dyDescent="0.2">
      <c r="R27029" s="1288"/>
    </row>
    <row r="27030" spans="18:18" s="2" customFormat="1" ht="12.75" x14ac:dyDescent="0.2">
      <c r="R27030" s="1288"/>
    </row>
    <row r="27031" spans="18:18" s="2" customFormat="1" ht="12.75" x14ac:dyDescent="0.2">
      <c r="R27031" s="1288"/>
    </row>
    <row r="27032" spans="18:18" s="2" customFormat="1" ht="12.75" x14ac:dyDescent="0.2">
      <c r="R27032" s="1288"/>
    </row>
    <row r="27033" spans="18:18" s="2" customFormat="1" ht="12.75" x14ac:dyDescent="0.2">
      <c r="R27033" s="1288"/>
    </row>
    <row r="27034" spans="18:18" s="2" customFormat="1" ht="12.75" x14ac:dyDescent="0.2">
      <c r="R27034" s="1288"/>
    </row>
    <row r="27035" spans="18:18" s="2" customFormat="1" ht="12.75" x14ac:dyDescent="0.2">
      <c r="R27035" s="1288"/>
    </row>
    <row r="27036" spans="18:18" s="2" customFormat="1" ht="12.75" x14ac:dyDescent="0.2">
      <c r="R27036" s="1288"/>
    </row>
    <row r="27037" spans="18:18" s="2" customFormat="1" ht="12.75" x14ac:dyDescent="0.2">
      <c r="R27037" s="1288"/>
    </row>
    <row r="27038" spans="18:18" s="2" customFormat="1" ht="12.75" x14ac:dyDescent="0.2">
      <c r="R27038" s="1288"/>
    </row>
    <row r="27039" spans="18:18" s="2" customFormat="1" ht="12.75" x14ac:dyDescent="0.2">
      <c r="R27039" s="1288"/>
    </row>
    <row r="27040" spans="18:18" s="2" customFormat="1" ht="12.75" x14ac:dyDescent="0.2">
      <c r="R27040" s="1288"/>
    </row>
    <row r="27041" spans="18:18" s="2" customFormat="1" ht="12.75" x14ac:dyDescent="0.2">
      <c r="R27041" s="1288"/>
    </row>
    <row r="27042" spans="18:18" s="2" customFormat="1" ht="12.75" x14ac:dyDescent="0.2">
      <c r="R27042" s="1288"/>
    </row>
    <row r="27043" spans="18:18" s="2" customFormat="1" ht="12.75" x14ac:dyDescent="0.2">
      <c r="R27043" s="1288"/>
    </row>
    <row r="27044" spans="18:18" s="2" customFormat="1" ht="12.75" x14ac:dyDescent="0.2">
      <c r="R27044" s="1288"/>
    </row>
    <row r="27045" spans="18:18" s="2" customFormat="1" ht="12.75" x14ac:dyDescent="0.2">
      <c r="R27045" s="1288"/>
    </row>
    <row r="27046" spans="18:18" s="2" customFormat="1" ht="12.75" x14ac:dyDescent="0.2">
      <c r="R27046" s="1288"/>
    </row>
    <row r="27047" spans="18:18" s="2" customFormat="1" ht="12.75" x14ac:dyDescent="0.2">
      <c r="R27047" s="1288"/>
    </row>
    <row r="27048" spans="18:18" s="2" customFormat="1" ht="12.75" x14ac:dyDescent="0.2">
      <c r="R27048" s="1288"/>
    </row>
    <row r="27049" spans="18:18" s="2" customFormat="1" ht="12.75" x14ac:dyDescent="0.2">
      <c r="R27049" s="1288"/>
    </row>
    <row r="27050" spans="18:18" s="2" customFormat="1" ht="12.75" x14ac:dyDescent="0.2">
      <c r="R27050" s="1288"/>
    </row>
    <row r="27051" spans="18:18" s="2" customFormat="1" ht="12.75" x14ac:dyDescent="0.2">
      <c r="R27051" s="1288"/>
    </row>
    <row r="27052" spans="18:18" s="2" customFormat="1" ht="12.75" x14ac:dyDescent="0.2">
      <c r="R27052" s="1288"/>
    </row>
    <row r="27053" spans="18:18" s="2" customFormat="1" ht="12.75" x14ac:dyDescent="0.2">
      <c r="R27053" s="1288"/>
    </row>
    <row r="27054" spans="18:18" s="2" customFormat="1" ht="12.75" x14ac:dyDescent="0.2">
      <c r="R27054" s="1288"/>
    </row>
    <row r="27055" spans="18:18" s="2" customFormat="1" ht="12.75" x14ac:dyDescent="0.2">
      <c r="R27055" s="1288"/>
    </row>
    <row r="27056" spans="18:18" s="2" customFormat="1" ht="12.75" x14ac:dyDescent="0.2">
      <c r="R27056" s="1288"/>
    </row>
    <row r="27057" spans="18:18" s="2" customFormat="1" ht="12.75" x14ac:dyDescent="0.2">
      <c r="R27057" s="1288"/>
    </row>
    <row r="27058" spans="18:18" s="2" customFormat="1" ht="12.75" x14ac:dyDescent="0.2">
      <c r="R27058" s="1288"/>
    </row>
    <row r="27059" spans="18:18" s="2" customFormat="1" ht="12.75" x14ac:dyDescent="0.2">
      <c r="R27059" s="1288"/>
    </row>
    <row r="27060" spans="18:18" s="2" customFormat="1" ht="12.75" x14ac:dyDescent="0.2">
      <c r="R27060" s="1288"/>
    </row>
    <row r="27061" spans="18:18" s="2" customFormat="1" ht="12.75" x14ac:dyDescent="0.2">
      <c r="R27061" s="1288"/>
    </row>
    <row r="27062" spans="18:18" s="2" customFormat="1" ht="12.75" x14ac:dyDescent="0.2">
      <c r="R27062" s="1288"/>
    </row>
    <row r="27063" spans="18:18" s="2" customFormat="1" ht="12.75" x14ac:dyDescent="0.2">
      <c r="R27063" s="1288"/>
    </row>
    <row r="27064" spans="18:18" s="2" customFormat="1" ht="12.75" x14ac:dyDescent="0.2">
      <c r="R27064" s="1288"/>
    </row>
    <row r="27065" spans="18:18" s="2" customFormat="1" ht="12.75" x14ac:dyDescent="0.2">
      <c r="R27065" s="1288"/>
    </row>
    <row r="27066" spans="18:18" s="2" customFormat="1" ht="12.75" x14ac:dyDescent="0.2">
      <c r="R27066" s="1288"/>
    </row>
    <row r="27067" spans="18:18" s="2" customFormat="1" ht="12.75" x14ac:dyDescent="0.2">
      <c r="R27067" s="1288"/>
    </row>
    <row r="27068" spans="18:18" s="2" customFormat="1" ht="12.75" x14ac:dyDescent="0.2">
      <c r="R27068" s="1288"/>
    </row>
    <row r="27069" spans="18:18" s="2" customFormat="1" ht="12.75" x14ac:dyDescent="0.2">
      <c r="R27069" s="1288"/>
    </row>
    <row r="27070" spans="18:18" s="2" customFormat="1" ht="12.75" x14ac:dyDescent="0.2">
      <c r="R27070" s="1288"/>
    </row>
    <row r="27071" spans="18:18" s="2" customFormat="1" ht="12.75" x14ac:dyDescent="0.2">
      <c r="R27071" s="1288"/>
    </row>
    <row r="27072" spans="18:18" s="2" customFormat="1" ht="12.75" x14ac:dyDescent="0.2">
      <c r="R27072" s="1288"/>
    </row>
    <row r="27073" spans="18:18" s="2" customFormat="1" ht="12.75" x14ac:dyDescent="0.2">
      <c r="R27073" s="1288"/>
    </row>
    <row r="27074" spans="18:18" s="2" customFormat="1" ht="12.75" x14ac:dyDescent="0.2">
      <c r="R27074" s="1288"/>
    </row>
    <row r="27075" spans="18:18" s="2" customFormat="1" ht="12.75" x14ac:dyDescent="0.2">
      <c r="R27075" s="1288"/>
    </row>
    <row r="27076" spans="18:18" s="2" customFormat="1" ht="12.75" x14ac:dyDescent="0.2">
      <c r="R27076" s="1288"/>
    </row>
    <row r="27077" spans="18:18" s="2" customFormat="1" ht="12.75" x14ac:dyDescent="0.2">
      <c r="R27077" s="1288"/>
    </row>
    <row r="27078" spans="18:18" s="2" customFormat="1" ht="12.75" x14ac:dyDescent="0.2">
      <c r="R27078" s="1288"/>
    </row>
    <row r="27079" spans="18:18" s="2" customFormat="1" ht="12.75" x14ac:dyDescent="0.2">
      <c r="R27079" s="1288"/>
    </row>
    <row r="27080" spans="18:18" s="2" customFormat="1" ht="12.75" x14ac:dyDescent="0.2">
      <c r="R27080" s="1288"/>
    </row>
    <row r="27081" spans="18:18" s="2" customFormat="1" ht="12.75" x14ac:dyDescent="0.2">
      <c r="R27081" s="1288"/>
    </row>
    <row r="27082" spans="18:18" s="2" customFormat="1" ht="12.75" x14ac:dyDescent="0.2">
      <c r="R27082" s="1288"/>
    </row>
    <row r="27083" spans="18:18" s="2" customFormat="1" ht="12.75" x14ac:dyDescent="0.2">
      <c r="R27083" s="1288"/>
    </row>
    <row r="27084" spans="18:18" s="2" customFormat="1" ht="12.75" x14ac:dyDescent="0.2">
      <c r="R27084" s="1288"/>
    </row>
    <row r="27085" spans="18:18" s="2" customFormat="1" ht="12.75" x14ac:dyDescent="0.2">
      <c r="R27085" s="1288"/>
    </row>
    <row r="27086" spans="18:18" s="2" customFormat="1" ht="12.75" x14ac:dyDescent="0.2">
      <c r="R27086" s="1288"/>
    </row>
    <row r="27087" spans="18:18" s="2" customFormat="1" ht="12.75" x14ac:dyDescent="0.2">
      <c r="R27087" s="1288"/>
    </row>
    <row r="27088" spans="18:18" s="2" customFormat="1" ht="12.75" x14ac:dyDescent="0.2">
      <c r="R27088" s="1288"/>
    </row>
    <row r="27089" spans="18:18" s="2" customFormat="1" ht="12.75" x14ac:dyDescent="0.2">
      <c r="R27089" s="1288"/>
    </row>
    <row r="27090" spans="18:18" s="2" customFormat="1" ht="12.75" x14ac:dyDescent="0.2">
      <c r="R27090" s="1288"/>
    </row>
    <row r="27091" spans="18:18" s="2" customFormat="1" ht="12.75" x14ac:dyDescent="0.2">
      <c r="R27091" s="1288"/>
    </row>
    <row r="27092" spans="18:18" s="2" customFormat="1" ht="12.75" x14ac:dyDescent="0.2">
      <c r="R27092" s="1288"/>
    </row>
    <row r="27093" spans="18:18" s="2" customFormat="1" ht="12.75" x14ac:dyDescent="0.2">
      <c r="R27093" s="1288"/>
    </row>
    <row r="27094" spans="18:18" s="2" customFormat="1" ht="12.75" x14ac:dyDescent="0.2">
      <c r="R27094" s="1288"/>
    </row>
    <row r="27095" spans="18:18" s="2" customFormat="1" ht="12.75" x14ac:dyDescent="0.2">
      <c r="R27095" s="1288"/>
    </row>
    <row r="27096" spans="18:18" s="2" customFormat="1" ht="12.75" x14ac:dyDescent="0.2">
      <c r="R27096" s="1288"/>
    </row>
    <row r="27097" spans="18:18" s="2" customFormat="1" ht="12.75" x14ac:dyDescent="0.2">
      <c r="R27097" s="1288"/>
    </row>
    <row r="27098" spans="18:18" s="2" customFormat="1" ht="12.75" x14ac:dyDescent="0.2">
      <c r="R27098" s="1288"/>
    </row>
    <row r="27099" spans="18:18" s="2" customFormat="1" ht="12.75" x14ac:dyDescent="0.2">
      <c r="R27099" s="1288"/>
    </row>
    <row r="27100" spans="18:18" s="2" customFormat="1" ht="12.75" x14ac:dyDescent="0.2">
      <c r="R27100" s="1288"/>
    </row>
    <row r="27101" spans="18:18" s="2" customFormat="1" ht="12.75" x14ac:dyDescent="0.2">
      <c r="R27101" s="1288"/>
    </row>
    <row r="27102" spans="18:18" s="2" customFormat="1" ht="12.75" x14ac:dyDescent="0.2">
      <c r="R27102" s="1288"/>
    </row>
    <row r="27103" spans="18:18" s="2" customFormat="1" ht="12.75" x14ac:dyDescent="0.2">
      <c r="R27103" s="1288"/>
    </row>
    <row r="27104" spans="18:18" s="2" customFormat="1" ht="12.75" x14ac:dyDescent="0.2">
      <c r="R27104" s="1288"/>
    </row>
    <row r="27105" spans="18:18" s="2" customFormat="1" ht="12.75" x14ac:dyDescent="0.2">
      <c r="R27105" s="1288"/>
    </row>
    <row r="27106" spans="18:18" s="2" customFormat="1" ht="12.75" x14ac:dyDescent="0.2">
      <c r="R27106" s="1288"/>
    </row>
    <row r="27107" spans="18:18" s="2" customFormat="1" ht="12.75" x14ac:dyDescent="0.2">
      <c r="R27107" s="1288"/>
    </row>
    <row r="27108" spans="18:18" s="2" customFormat="1" ht="12.75" x14ac:dyDescent="0.2">
      <c r="R27108" s="1288"/>
    </row>
    <row r="27109" spans="18:18" s="2" customFormat="1" ht="12.75" x14ac:dyDescent="0.2">
      <c r="R27109" s="1288"/>
    </row>
    <row r="27110" spans="18:18" s="2" customFormat="1" ht="12.75" x14ac:dyDescent="0.2">
      <c r="R27110" s="1288"/>
    </row>
    <row r="27111" spans="18:18" s="2" customFormat="1" ht="12.75" x14ac:dyDescent="0.2">
      <c r="R27111" s="1288"/>
    </row>
    <row r="27112" spans="18:18" s="2" customFormat="1" ht="12.75" x14ac:dyDescent="0.2">
      <c r="R27112" s="1288"/>
    </row>
    <row r="27113" spans="18:18" s="2" customFormat="1" ht="12.75" x14ac:dyDescent="0.2">
      <c r="R27113" s="1288"/>
    </row>
    <row r="27114" spans="18:18" s="2" customFormat="1" ht="12.75" x14ac:dyDescent="0.2">
      <c r="R27114" s="1288"/>
    </row>
    <row r="27115" spans="18:18" s="2" customFormat="1" ht="12.75" x14ac:dyDescent="0.2">
      <c r="R27115" s="1288"/>
    </row>
    <row r="27116" spans="18:18" s="2" customFormat="1" ht="12.75" x14ac:dyDescent="0.2">
      <c r="R27116" s="1288"/>
    </row>
    <row r="27117" spans="18:18" s="2" customFormat="1" ht="12.75" x14ac:dyDescent="0.2">
      <c r="R27117" s="1288"/>
    </row>
    <row r="27118" spans="18:18" s="2" customFormat="1" ht="12.75" x14ac:dyDescent="0.2">
      <c r="R27118" s="1288"/>
    </row>
    <row r="27119" spans="18:18" s="2" customFormat="1" ht="12.75" x14ac:dyDescent="0.2">
      <c r="R27119" s="1288"/>
    </row>
    <row r="27120" spans="18:18" s="2" customFormat="1" ht="12.75" x14ac:dyDescent="0.2">
      <c r="R27120" s="1288"/>
    </row>
    <row r="27121" spans="18:18" s="2" customFormat="1" ht="12.75" x14ac:dyDescent="0.2">
      <c r="R27121" s="1288"/>
    </row>
    <row r="27122" spans="18:18" s="2" customFormat="1" ht="12.75" x14ac:dyDescent="0.2">
      <c r="R27122" s="1288"/>
    </row>
    <row r="27123" spans="18:18" s="2" customFormat="1" ht="12.75" x14ac:dyDescent="0.2">
      <c r="R27123" s="1288"/>
    </row>
    <row r="27124" spans="18:18" s="2" customFormat="1" ht="12.75" x14ac:dyDescent="0.2">
      <c r="R27124" s="1288"/>
    </row>
    <row r="27125" spans="18:18" s="2" customFormat="1" ht="12.75" x14ac:dyDescent="0.2">
      <c r="R27125" s="1288"/>
    </row>
    <row r="27126" spans="18:18" s="2" customFormat="1" ht="12.75" x14ac:dyDescent="0.2">
      <c r="R27126" s="1288"/>
    </row>
    <row r="27127" spans="18:18" s="2" customFormat="1" ht="12.75" x14ac:dyDescent="0.2">
      <c r="R27127" s="1288"/>
    </row>
    <row r="27128" spans="18:18" s="2" customFormat="1" ht="12.75" x14ac:dyDescent="0.2">
      <c r="R27128" s="1288"/>
    </row>
    <row r="27129" spans="18:18" s="2" customFormat="1" ht="12.75" x14ac:dyDescent="0.2">
      <c r="R27129" s="1288"/>
    </row>
    <row r="27130" spans="18:18" s="2" customFormat="1" ht="12.75" x14ac:dyDescent="0.2">
      <c r="R27130" s="1288"/>
    </row>
    <row r="27131" spans="18:18" s="2" customFormat="1" ht="12.75" x14ac:dyDescent="0.2">
      <c r="R27131" s="1288"/>
    </row>
    <row r="27132" spans="18:18" s="2" customFormat="1" ht="12.75" x14ac:dyDescent="0.2">
      <c r="R27132" s="1288"/>
    </row>
    <row r="27133" spans="18:18" s="2" customFormat="1" ht="12.75" x14ac:dyDescent="0.2">
      <c r="R27133" s="1288"/>
    </row>
    <row r="27134" spans="18:18" s="2" customFormat="1" ht="12.75" x14ac:dyDescent="0.2">
      <c r="R27134" s="1288"/>
    </row>
    <row r="27135" spans="18:18" s="2" customFormat="1" ht="12.75" x14ac:dyDescent="0.2">
      <c r="R27135" s="1288"/>
    </row>
    <row r="27136" spans="18:18" s="2" customFormat="1" ht="12.75" x14ac:dyDescent="0.2">
      <c r="R27136" s="1288"/>
    </row>
    <row r="27137" spans="18:18" s="2" customFormat="1" ht="12.75" x14ac:dyDescent="0.2">
      <c r="R27137" s="1288"/>
    </row>
    <row r="27138" spans="18:18" s="2" customFormat="1" ht="12.75" x14ac:dyDescent="0.2">
      <c r="R27138" s="1288"/>
    </row>
    <row r="27139" spans="18:18" s="2" customFormat="1" ht="12.75" x14ac:dyDescent="0.2">
      <c r="R27139" s="1288"/>
    </row>
    <row r="27140" spans="18:18" s="2" customFormat="1" ht="12.75" x14ac:dyDescent="0.2">
      <c r="R27140" s="1288"/>
    </row>
    <row r="27141" spans="18:18" s="2" customFormat="1" ht="12.75" x14ac:dyDescent="0.2">
      <c r="R27141" s="1288"/>
    </row>
    <row r="27142" spans="18:18" s="2" customFormat="1" ht="12.75" x14ac:dyDescent="0.2">
      <c r="R27142" s="1288"/>
    </row>
    <row r="27143" spans="18:18" s="2" customFormat="1" ht="12.75" x14ac:dyDescent="0.2">
      <c r="R27143" s="1288"/>
    </row>
    <row r="27144" spans="18:18" s="2" customFormat="1" ht="12.75" x14ac:dyDescent="0.2">
      <c r="R27144" s="1288"/>
    </row>
    <row r="27145" spans="18:18" s="2" customFormat="1" ht="12.75" x14ac:dyDescent="0.2">
      <c r="R27145" s="1288"/>
    </row>
    <row r="27146" spans="18:18" s="2" customFormat="1" ht="12.75" x14ac:dyDescent="0.2">
      <c r="R27146" s="1288"/>
    </row>
    <row r="27147" spans="18:18" s="2" customFormat="1" ht="12.75" x14ac:dyDescent="0.2">
      <c r="R27147" s="1288"/>
    </row>
    <row r="27148" spans="18:18" s="2" customFormat="1" ht="12.75" x14ac:dyDescent="0.2">
      <c r="R27148" s="1288"/>
    </row>
    <row r="27149" spans="18:18" s="2" customFormat="1" ht="12.75" x14ac:dyDescent="0.2">
      <c r="R27149" s="1288"/>
    </row>
    <row r="27150" spans="18:18" s="2" customFormat="1" ht="12.75" x14ac:dyDescent="0.2">
      <c r="R27150" s="1288"/>
    </row>
    <row r="27151" spans="18:18" s="2" customFormat="1" ht="12.75" x14ac:dyDescent="0.2">
      <c r="R27151" s="1288"/>
    </row>
    <row r="27152" spans="18:18" s="2" customFormat="1" ht="12.75" x14ac:dyDescent="0.2">
      <c r="R27152" s="1288"/>
    </row>
    <row r="27153" spans="18:18" s="2" customFormat="1" ht="12.75" x14ac:dyDescent="0.2">
      <c r="R27153" s="1288"/>
    </row>
    <row r="27154" spans="18:18" s="2" customFormat="1" ht="12.75" x14ac:dyDescent="0.2">
      <c r="R27154" s="1288"/>
    </row>
    <row r="27155" spans="18:18" s="2" customFormat="1" ht="12.75" x14ac:dyDescent="0.2">
      <c r="R27155" s="1288"/>
    </row>
    <row r="27156" spans="18:18" s="2" customFormat="1" ht="12.75" x14ac:dyDescent="0.2">
      <c r="R27156" s="1288"/>
    </row>
    <row r="27157" spans="18:18" s="2" customFormat="1" ht="12.75" x14ac:dyDescent="0.2">
      <c r="R27157" s="1288"/>
    </row>
    <row r="27158" spans="18:18" s="2" customFormat="1" ht="12.75" x14ac:dyDescent="0.2">
      <c r="R27158" s="1288"/>
    </row>
    <row r="27159" spans="18:18" s="2" customFormat="1" ht="12.75" x14ac:dyDescent="0.2">
      <c r="R27159" s="1288"/>
    </row>
    <row r="27160" spans="18:18" s="2" customFormat="1" ht="12.75" x14ac:dyDescent="0.2">
      <c r="R27160" s="1288"/>
    </row>
    <row r="27161" spans="18:18" s="2" customFormat="1" ht="12.75" x14ac:dyDescent="0.2">
      <c r="R27161" s="1288"/>
    </row>
    <row r="27162" spans="18:18" s="2" customFormat="1" ht="12.75" x14ac:dyDescent="0.2">
      <c r="R27162" s="1288"/>
    </row>
    <row r="27163" spans="18:18" s="2" customFormat="1" ht="12.75" x14ac:dyDescent="0.2">
      <c r="R27163" s="1288"/>
    </row>
    <row r="27164" spans="18:18" s="2" customFormat="1" ht="12.75" x14ac:dyDescent="0.2">
      <c r="R27164" s="1288"/>
    </row>
    <row r="27165" spans="18:18" s="2" customFormat="1" ht="12.75" x14ac:dyDescent="0.2">
      <c r="R27165" s="1288"/>
    </row>
    <row r="27166" spans="18:18" s="2" customFormat="1" ht="12.75" x14ac:dyDescent="0.2">
      <c r="R27166" s="1288"/>
    </row>
    <row r="27167" spans="18:18" s="2" customFormat="1" ht="12.75" x14ac:dyDescent="0.2">
      <c r="R27167" s="1288"/>
    </row>
    <row r="27168" spans="18:18" s="2" customFormat="1" ht="12.75" x14ac:dyDescent="0.2">
      <c r="R27168" s="1288"/>
    </row>
    <row r="27169" spans="18:18" s="2" customFormat="1" ht="12.75" x14ac:dyDescent="0.2">
      <c r="R27169" s="1288"/>
    </row>
    <row r="27170" spans="18:18" s="2" customFormat="1" ht="12.75" x14ac:dyDescent="0.2">
      <c r="R27170" s="1288"/>
    </row>
    <row r="27171" spans="18:18" s="2" customFormat="1" ht="12.75" x14ac:dyDescent="0.2">
      <c r="R27171" s="1288"/>
    </row>
    <row r="27172" spans="18:18" s="2" customFormat="1" ht="12.75" x14ac:dyDescent="0.2">
      <c r="R27172" s="1288"/>
    </row>
    <row r="27173" spans="18:18" s="2" customFormat="1" ht="12.75" x14ac:dyDescent="0.2">
      <c r="R27173" s="1288"/>
    </row>
    <row r="27174" spans="18:18" s="2" customFormat="1" ht="12.75" x14ac:dyDescent="0.2">
      <c r="R27174" s="1288"/>
    </row>
    <row r="27175" spans="18:18" s="2" customFormat="1" ht="12.75" x14ac:dyDescent="0.2">
      <c r="R27175" s="1288"/>
    </row>
    <row r="27176" spans="18:18" s="2" customFormat="1" ht="12.75" x14ac:dyDescent="0.2">
      <c r="R27176" s="1288"/>
    </row>
    <row r="27177" spans="18:18" s="2" customFormat="1" ht="12.75" x14ac:dyDescent="0.2">
      <c r="R27177" s="1288"/>
    </row>
    <row r="27178" spans="18:18" s="2" customFormat="1" ht="12.75" x14ac:dyDescent="0.2">
      <c r="R27178" s="1288"/>
    </row>
    <row r="27179" spans="18:18" s="2" customFormat="1" ht="12.75" x14ac:dyDescent="0.2">
      <c r="R27179" s="1288"/>
    </row>
    <row r="27180" spans="18:18" s="2" customFormat="1" ht="12.75" x14ac:dyDescent="0.2">
      <c r="R27180" s="1288"/>
    </row>
    <row r="27181" spans="18:18" s="2" customFormat="1" ht="12.75" x14ac:dyDescent="0.2">
      <c r="R27181" s="1288"/>
    </row>
    <row r="27182" spans="18:18" s="2" customFormat="1" ht="12.75" x14ac:dyDescent="0.2">
      <c r="R27182" s="1288"/>
    </row>
    <row r="27183" spans="18:18" s="2" customFormat="1" ht="12.75" x14ac:dyDescent="0.2">
      <c r="R27183" s="1288"/>
    </row>
    <row r="27184" spans="18:18" s="2" customFormat="1" ht="12.75" x14ac:dyDescent="0.2">
      <c r="R27184" s="1288"/>
    </row>
    <row r="27185" spans="18:18" s="2" customFormat="1" ht="12.75" x14ac:dyDescent="0.2">
      <c r="R27185" s="1288"/>
    </row>
    <row r="27186" spans="18:18" s="2" customFormat="1" ht="12.75" x14ac:dyDescent="0.2">
      <c r="R27186" s="1288"/>
    </row>
    <row r="27187" spans="18:18" s="2" customFormat="1" ht="12.75" x14ac:dyDescent="0.2">
      <c r="R27187" s="1288"/>
    </row>
    <row r="27188" spans="18:18" s="2" customFormat="1" ht="12.75" x14ac:dyDescent="0.2">
      <c r="R27188" s="1288"/>
    </row>
    <row r="27189" spans="18:18" s="2" customFormat="1" ht="12.75" x14ac:dyDescent="0.2">
      <c r="R27189" s="1288"/>
    </row>
    <row r="27190" spans="18:18" s="2" customFormat="1" ht="12.75" x14ac:dyDescent="0.2">
      <c r="R27190" s="1288"/>
    </row>
    <row r="27191" spans="18:18" s="2" customFormat="1" ht="12.75" x14ac:dyDescent="0.2">
      <c r="R27191" s="1288"/>
    </row>
    <row r="27192" spans="18:18" s="2" customFormat="1" ht="12.75" x14ac:dyDescent="0.2">
      <c r="R27192" s="1288"/>
    </row>
    <row r="27193" spans="18:18" s="2" customFormat="1" ht="12.75" x14ac:dyDescent="0.2">
      <c r="R27193" s="1288"/>
    </row>
    <row r="27194" spans="18:18" s="2" customFormat="1" ht="12.75" x14ac:dyDescent="0.2">
      <c r="R27194" s="1288"/>
    </row>
    <row r="27195" spans="18:18" s="2" customFormat="1" ht="12.75" x14ac:dyDescent="0.2">
      <c r="R27195" s="1288"/>
    </row>
    <row r="27196" spans="18:18" s="2" customFormat="1" ht="12.75" x14ac:dyDescent="0.2">
      <c r="R27196" s="1288"/>
    </row>
    <row r="27197" spans="18:18" s="2" customFormat="1" ht="12.75" x14ac:dyDescent="0.2">
      <c r="R27197" s="1288"/>
    </row>
    <row r="27198" spans="18:18" s="2" customFormat="1" ht="12.75" x14ac:dyDescent="0.2">
      <c r="R27198" s="1288"/>
    </row>
    <row r="27199" spans="18:18" s="2" customFormat="1" ht="12.75" x14ac:dyDescent="0.2">
      <c r="R27199" s="1288"/>
    </row>
    <row r="27200" spans="18:18" s="2" customFormat="1" ht="12.75" x14ac:dyDescent="0.2">
      <c r="R27200" s="1288"/>
    </row>
    <row r="27201" spans="18:18" s="2" customFormat="1" ht="12.75" x14ac:dyDescent="0.2">
      <c r="R27201" s="1288"/>
    </row>
    <row r="27202" spans="18:18" s="2" customFormat="1" ht="12.75" x14ac:dyDescent="0.2">
      <c r="R27202" s="1288"/>
    </row>
    <row r="27203" spans="18:18" s="2" customFormat="1" ht="12.75" x14ac:dyDescent="0.2">
      <c r="R27203" s="1288"/>
    </row>
    <row r="27204" spans="18:18" s="2" customFormat="1" ht="12.75" x14ac:dyDescent="0.2">
      <c r="R27204" s="1288"/>
    </row>
    <row r="27205" spans="18:18" s="2" customFormat="1" ht="12.75" x14ac:dyDescent="0.2">
      <c r="R27205" s="1288"/>
    </row>
    <row r="27206" spans="18:18" s="2" customFormat="1" ht="12.75" x14ac:dyDescent="0.2">
      <c r="R27206" s="1288"/>
    </row>
    <row r="27207" spans="18:18" s="2" customFormat="1" ht="12.75" x14ac:dyDescent="0.2">
      <c r="R27207" s="1288"/>
    </row>
    <row r="27208" spans="18:18" s="2" customFormat="1" ht="12.75" x14ac:dyDescent="0.2">
      <c r="R27208" s="1288"/>
    </row>
    <row r="27209" spans="18:18" s="2" customFormat="1" ht="12.75" x14ac:dyDescent="0.2">
      <c r="R27209" s="1288"/>
    </row>
    <row r="27210" spans="18:18" s="2" customFormat="1" ht="12.75" x14ac:dyDescent="0.2">
      <c r="R27210" s="1288"/>
    </row>
    <row r="27211" spans="18:18" s="2" customFormat="1" ht="12.75" x14ac:dyDescent="0.2">
      <c r="R27211" s="1288"/>
    </row>
    <row r="27212" spans="18:18" s="2" customFormat="1" ht="12.75" x14ac:dyDescent="0.2">
      <c r="R27212" s="1288"/>
    </row>
    <row r="27213" spans="18:18" s="2" customFormat="1" ht="12.75" x14ac:dyDescent="0.2">
      <c r="R27213" s="1288"/>
    </row>
    <row r="27214" spans="18:18" s="2" customFormat="1" ht="12.75" x14ac:dyDescent="0.2">
      <c r="R27214" s="1288"/>
    </row>
    <row r="27215" spans="18:18" s="2" customFormat="1" ht="12.75" x14ac:dyDescent="0.2">
      <c r="R27215" s="1288"/>
    </row>
    <row r="27216" spans="18:18" s="2" customFormat="1" ht="12.75" x14ac:dyDescent="0.2">
      <c r="R27216" s="1288"/>
    </row>
    <row r="27217" spans="18:18" s="2" customFormat="1" ht="12.75" x14ac:dyDescent="0.2">
      <c r="R27217" s="1288"/>
    </row>
    <row r="27218" spans="18:18" s="2" customFormat="1" ht="12.75" x14ac:dyDescent="0.2">
      <c r="R27218" s="1288"/>
    </row>
    <row r="27219" spans="18:18" s="2" customFormat="1" ht="12.75" x14ac:dyDescent="0.2">
      <c r="R27219" s="1288"/>
    </row>
    <row r="27220" spans="18:18" s="2" customFormat="1" ht="12.75" x14ac:dyDescent="0.2">
      <c r="R27220" s="1288"/>
    </row>
    <row r="27221" spans="18:18" s="2" customFormat="1" ht="12.75" x14ac:dyDescent="0.2">
      <c r="R27221" s="1288"/>
    </row>
    <row r="27222" spans="18:18" s="2" customFormat="1" ht="12.75" x14ac:dyDescent="0.2">
      <c r="R27222" s="1288"/>
    </row>
    <row r="27223" spans="18:18" s="2" customFormat="1" ht="12.75" x14ac:dyDescent="0.2">
      <c r="R27223" s="1288"/>
    </row>
    <row r="27224" spans="18:18" s="2" customFormat="1" ht="12.75" x14ac:dyDescent="0.2">
      <c r="R27224" s="1288"/>
    </row>
    <row r="27225" spans="18:18" s="2" customFormat="1" ht="12.75" x14ac:dyDescent="0.2">
      <c r="R27225" s="1288"/>
    </row>
    <row r="27226" spans="18:18" s="2" customFormat="1" ht="12.75" x14ac:dyDescent="0.2">
      <c r="R27226" s="1288"/>
    </row>
    <row r="27227" spans="18:18" s="2" customFormat="1" ht="12.75" x14ac:dyDescent="0.2">
      <c r="R27227" s="1288"/>
    </row>
    <row r="27228" spans="18:18" s="2" customFormat="1" ht="12.75" x14ac:dyDescent="0.2">
      <c r="R27228" s="1288"/>
    </row>
    <row r="27229" spans="18:18" s="2" customFormat="1" ht="12.75" x14ac:dyDescent="0.2">
      <c r="R27229" s="1288"/>
    </row>
    <row r="27230" spans="18:18" s="2" customFormat="1" ht="12.75" x14ac:dyDescent="0.2">
      <c r="R27230" s="1288"/>
    </row>
    <row r="27231" spans="18:18" s="2" customFormat="1" ht="12.75" x14ac:dyDescent="0.2">
      <c r="R27231" s="1288"/>
    </row>
    <row r="27232" spans="18:18" s="2" customFormat="1" ht="12.75" x14ac:dyDescent="0.2">
      <c r="R27232" s="1288"/>
    </row>
    <row r="27233" spans="18:18" s="2" customFormat="1" ht="12.75" x14ac:dyDescent="0.2">
      <c r="R27233" s="1288"/>
    </row>
    <row r="27234" spans="18:18" s="2" customFormat="1" ht="12.75" x14ac:dyDescent="0.2">
      <c r="R27234" s="1288"/>
    </row>
    <row r="27235" spans="18:18" s="2" customFormat="1" ht="12.75" x14ac:dyDescent="0.2">
      <c r="R27235" s="1288"/>
    </row>
    <row r="27236" spans="18:18" s="2" customFormat="1" ht="12.75" x14ac:dyDescent="0.2">
      <c r="R27236" s="1288"/>
    </row>
    <row r="27237" spans="18:18" s="2" customFormat="1" ht="12.75" x14ac:dyDescent="0.2">
      <c r="R27237" s="1288"/>
    </row>
    <row r="27238" spans="18:18" s="2" customFormat="1" ht="12.75" x14ac:dyDescent="0.2">
      <c r="R27238" s="1288"/>
    </row>
    <row r="27239" spans="18:18" s="2" customFormat="1" ht="12.75" x14ac:dyDescent="0.2">
      <c r="R27239" s="1288"/>
    </row>
    <row r="27240" spans="18:18" s="2" customFormat="1" ht="12.75" x14ac:dyDescent="0.2">
      <c r="R27240" s="1288"/>
    </row>
    <row r="27241" spans="18:18" s="2" customFormat="1" ht="12.75" x14ac:dyDescent="0.2">
      <c r="R27241" s="1288"/>
    </row>
    <row r="27242" spans="18:18" s="2" customFormat="1" ht="12.75" x14ac:dyDescent="0.2">
      <c r="R27242" s="1288"/>
    </row>
    <row r="27243" spans="18:18" s="2" customFormat="1" ht="12.75" x14ac:dyDescent="0.2">
      <c r="R27243" s="1288"/>
    </row>
    <row r="27244" spans="18:18" s="2" customFormat="1" ht="12.75" x14ac:dyDescent="0.2">
      <c r="R27244" s="1288"/>
    </row>
    <row r="27245" spans="18:18" s="2" customFormat="1" ht="12.75" x14ac:dyDescent="0.2">
      <c r="R27245" s="1288"/>
    </row>
    <row r="27246" spans="18:18" s="2" customFormat="1" ht="12.75" x14ac:dyDescent="0.2">
      <c r="R27246" s="1288"/>
    </row>
    <row r="27247" spans="18:18" s="2" customFormat="1" ht="12.75" x14ac:dyDescent="0.2">
      <c r="R27247" s="1288"/>
    </row>
    <row r="27248" spans="18:18" s="2" customFormat="1" ht="12.75" x14ac:dyDescent="0.2">
      <c r="R27248" s="1288"/>
    </row>
    <row r="27249" spans="18:18" s="2" customFormat="1" ht="12.75" x14ac:dyDescent="0.2">
      <c r="R27249" s="1288"/>
    </row>
    <row r="27250" spans="18:18" s="2" customFormat="1" ht="12.75" x14ac:dyDescent="0.2">
      <c r="R27250" s="1288"/>
    </row>
    <row r="27251" spans="18:18" s="2" customFormat="1" ht="12.75" x14ac:dyDescent="0.2">
      <c r="R27251" s="1288"/>
    </row>
    <row r="27252" spans="18:18" s="2" customFormat="1" ht="12.75" x14ac:dyDescent="0.2">
      <c r="R27252" s="1288"/>
    </row>
    <row r="27253" spans="18:18" s="2" customFormat="1" ht="12.75" x14ac:dyDescent="0.2">
      <c r="R27253" s="1288"/>
    </row>
    <row r="27254" spans="18:18" s="2" customFormat="1" ht="12.75" x14ac:dyDescent="0.2">
      <c r="R27254" s="1288"/>
    </row>
    <row r="27255" spans="18:18" s="2" customFormat="1" ht="12.75" x14ac:dyDescent="0.2">
      <c r="R27255" s="1288"/>
    </row>
    <row r="27256" spans="18:18" s="2" customFormat="1" ht="12.75" x14ac:dyDescent="0.2">
      <c r="R27256" s="1288"/>
    </row>
    <row r="27257" spans="18:18" s="2" customFormat="1" ht="12.75" x14ac:dyDescent="0.2">
      <c r="R27257" s="1288"/>
    </row>
    <row r="27258" spans="18:18" s="2" customFormat="1" ht="12.75" x14ac:dyDescent="0.2">
      <c r="R27258" s="1288"/>
    </row>
    <row r="27259" spans="18:18" s="2" customFormat="1" ht="12.75" x14ac:dyDescent="0.2">
      <c r="R27259" s="1288"/>
    </row>
    <row r="27260" spans="18:18" s="2" customFormat="1" ht="12.75" x14ac:dyDescent="0.2">
      <c r="R27260" s="1288"/>
    </row>
    <row r="27261" spans="18:18" s="2" customFormat="1" ht="12.75" x14ac:dyDescent="0.2">
      <c r="R27261" s="1288"/>
    </row>
    <row r="27262" spans="18:18" s="2" customFormat="1" ht="12.75" x14ac:dyDescent="0.2">
      <c r="R27262" s="1288"/>
    </row>
    <row r="27263" spans="18:18" s="2" customFormat="1" ht="12.75" x14ac:dyDescent="0.2">
      <c r="R27263" s="1288"/>
    </row>
    <row r="27264" spans="18:18" s="2" customFormat="1" ht="12.75" x14ac:dyDescent="0.2">
      <c r="R27264" s="1288"/>
    </row>
    <row r="27265" spans="18:18" s="2" customFormat="1" ht="12.75" x14ac:dyDescent="0.2">
      <c r="R27265" s="1288"/>
    </row>
    <row r="27266" spans="18:18" s="2" customFormat="1" ht="12.75" x14ac:dyDescent="0.2">
      <c r="R27266" s="1288"/>
    </row>
    <row r="27267" spans="18:18" s="2" customFormat="1" ht="12.75" x14ac:dyDescent="0.2">
      <c r="R27267" s="1288"/>
    </row>
    <row r="27268" spans="18:18" s="2" customFormat="1" ht="12.75" x14ac:dyDescent="0.2">
      <c r="R27268" s="1288"/>
    </row>
    <row r="27269" spans="18:18" s="2" customFormat="1" ht="12.75" x14ac:dyDescent="0.2">
      <c r="R27269" s="1288"/>
    </row>
    <row r="27270" spans="18:18" s="2" customFormat="1" ht="12.75" x14ac:dyDescent="0.2">
      <c r="R27270" s="1288"/>
    </row>
    <row r="27271" spans="18:18" s="2" customFormat="1" ht="12.75" x14ac:dyDescent="0.2">
      <c r="R27271" s="1288"/>
    </row>
    <row r="27272" spans="18:18" s="2" customFormat="1" ht="12.75" x14ac:dyDescent="0.2">
      <c r="R27272" s="1288"/>
    </row>
    <row r="27273" spans="18:18" s="2" customFormat="1" ht="12.75" x14ac:dyDescent="0.2">
      <c r="R27273" s="1288"/>
    </row>
    <row r="27274" spans="18:18" s="2" customFormat="1" ht="12.75" x14ac:dyDescent="0.2">
      <c r="R27274" s="1288"/>
    </row>
    <row r="27275" spans="18:18" s="2" customFormat="1" ht="12.75" x14ac:dyDescent="0.2">
      <c r="R27275" s="1288"/>
    </row>
    <row r="27276" spans="18:18" s="2" customFormat="1" ht="12.75" x14ac:dyDescent="0.2">
      <c r="R27276" s="1288"/>
    </row>
    <row r="27277" spans="18:18" s="2" customFormat="1" ht="12.75" x14ac:dyDescent="0.2">
      <c r="R27277" s="1288"/>
    </row>
    <row r="27278" spans="18:18" s="2" customFormat="1" ht="12.75" x14ac:dyDescent="0.2">
      <c r="R27278" s="1288"/>
    </row>
    <row r="27279" spans="18:18" s="2" customFormat="1" ht="12.75" x14ac:dyDescent="0.2">
      <c r="R27279" s="1288"/>
    </row>
    <row r="27280" spans="18:18" s="2" customFormat="1" ht="12.75" x14ac:dyDescent="0.2">
      <c r="R27280" s="1288"/>
    </row>
    <row r="27281" spans="18:18" s="2" customFormat="1" ht="12.75" x14ac:dyDescent="0.2">
      <c r="R27281" s="1288"/>
    </row>
    <row r="27282" spans="18:18" s="2" customFormat="1" ht="12.75" x14ac:dyDescent="0.2">
      <c r="R27282" s="1288"/>
    </row>
    <row r="27283" spans="18:18" s="2" customFormat="1" ht="12.75" x14ac:dyDescent="0.2">
      <c r="R27283" s="1288"/>
    </row>
    <row r="27284" spans="18:18" s="2" customFormat="1" ht="12.75" x14ac:dyDescent="0.2">
      <c r="R27284" s="1288"/>
    </row>
    <row r="27285" spans="18:18" s="2" customFormat="1" ht="12.75" x14ac:dyDescent="0.2">
      <c r="R27285" s="1288"/>
    </row>
    <row r="27286" spans="18:18" s="2" customFormat="1" ht="12.75" x14ac:dyDescent="0.2">
      <c r="R27286" s="1288"/>
    </row>
    <row r="27287" spans="18:18" s="2" customFormat="1" ht="12.75" x14ac:dyDescent="0.2">
      <c r="R27287" s="1288"/>
    </row>
    <row r="27288" spans="18:18" s="2" customFormat="1" ht="12.75" x14ac:dyDescent="0.2">
      <c r="R27288" s="1288"/>
    </row>
    <row r="27289" spans="18:18" s="2" customFormat="1" ht="12.75" x14ac:dyDescent="0.2">
      <c r="R27289" s="1288"/>
    </row>
    <row r="27290" spans="18:18" s="2" customFormat="1" ht="12.75" x14ac:dyDescent="0.2">
      <c r="R27290" s="1288"/>
    </row>
    <row r="27291" spans="18:18" s="2" customFormat="1" ht="12.75" x14ac:dyDescent="0.2">
      <c r="R27291" s="1288"/>
    </row>
    <row r="27292" spans="18:18" s="2" customFormat="1" ht="12.75" x14ac:dyDescent="0.2">
      <c r="R27292" s="1288"/>
    </row>
    <row r="27293" spans="18:18" s="2" customFormat="1" ht="12.75" x14ac:dyDescent="0.2">
      <c r="R27293" s="1288"/>
    </row>
    <row r="27294" spans="18:18" s="2" customFormat="1" ht="12.75" x14ac:dyDescent="0.2">
      <c r="R27294" s="1288"/>
    </row>
    <row r="27295" spans="18:18" s="2" customFormat="1" ht="12.75" x14ac:dyDescent="0.2">
      <c r="R27295" s="1288"/>
    </row>
    <row r="27296" spans="18:18" s="2" customFormat="1" ht="12.75" x14ac:dyDescent="0.2">
      <c r="R27296" s="1288"/>
    </row>
    <row r="27297" spans="18:18" s="2" customFormat="1" ht="12.75" x14ac:dyDescent="0.2">
      <c r="R27297" s="1288"/>
    </row>
    <row r="27298" spans="18:18" s="2" customFormat="1" ht="12.75" x14ac:dyDescent="0.2">
      <c r="R27298" s="1288"/>
    </row>
    <row r="27299" spans="18:18" s="2" customFormat="1" ht="12.75" x14ac:dyDescent="0.2">
      <c r="R27299" s="1288"/>
    </row>
    <row r="27300" spans="18:18" s="2" customFormat="1" ht="12.75" x14ac:dyDescent="0.2">
      <c r="R27300" s="1288"/>
    </row>
    <row r="27301" spans="18:18" s="2" customFormat="1" ht="12.75" x14ac:dyDescent="0.2">
      <c r="R27301" s="1288"/>
    </row>
    <row r="27302" spans="18:18" s="2" customFormat="1" ht="12.75" x14ac:dyDescent="0.2">
      <c r="R27302" s="1288"/>
    </row>
    <row r="27303" spans="18:18" s="2" customFormat="1" ht="12.75" x14ac:dyDescent="0.2">
      <c r="R27303" s="1288"/>
    </row>
    <row r="27304" spans="18:18" s="2" customFormat="1" ht="12.75" x14ac:dyDescent="0.2">
      <c r="R27304" s="1288"/>
    </row>
    <row r="27305" spans="18:18" s="2" customFormat="1" ht="12.75" x14ac:dyDescent="0.2">
      <c r="R27305" s="1288"/>
    </row>
    <row r="27306" spans="18:18" s="2" customFormat="1" ht="12.75" x14ac:dyDescent="0.2">
      <c r="R27306" s="1288"/>
    </row>
    <row r="27307" spans="18:18" s="2" customFormat="1" ht="12.75" x14ac:dyDescent="0.2">
      <c r="R27307" s="1288"/>
    </row>
    <row r="27308" spans="18:18" s="2" customFormat="1" ht="12.75" x14ac:dyDescent="0.2">
      <c r="R27308" s="1288"/>
    </row>
    <row r="27309" spans="18:18" s="2" customFormat="1" ht="12.75" x14ac:dyDescent="0.2">
      <c r="R27309" s="1288"/>
    </row>
    <row r="27310" spans="18:18" s="2" customFormat="1" ht="12.75" x14ac:dyDescent="0.2">
      <c r="R27310" s="1288"/>
    </row>
    <row r="27311" spans="18:18" s="2" customFormat="1" ht="12.75" x14ac:dyDescent="0.2">
      <c r="R27311" s="1288"/>
    </row>
    <row r="27312" spans="18:18" s="2" customFormat="1" ht="12.75" x14ac:dyDescent="0.2">
      <c r="R27312" s="1288"/>
    </row>
    <row r="27313" spans="18:18" s="2" customFormat="1" ht="12.75" x14ac:dyDescent="0.2">
      <c r="R27313" s="1288"/>
    </row>
    <row r="27314" spans="18:18" s="2" customFormat="1" ht="12.75" x14ac:dyDescent="0.2">
      <c r="R27314" s="1288"/>
    </row>
    <row r="27315" spans="18:18" s="2" customFormat="1" ht="12.75" x14ac:dyDescent="0.2">
      <c r="R27315" s="1288"/>
    </row>
    <row r="27316" spans="18:18" s="2" customFormat="1" ht="12.75" x14ac:dyDescent="0.2">
      <c r="R27316" s="1288"/>
    </row>
    <row r="27317" spans="18:18" s="2" customFormat="1" ht="12.75" x14ac:dyDescent="0.2">
      <c r="R27317" s="1288"/>
    </row>
    <row r="27318" spans="18:18" s="2" customFormat="1" ht="12.75" x14ac:dyDescent="0.2">
      <c r="R27318" s="1288"/>
    </row>
    <row r="27319" spans="18:18" s="2" customFormat="1" ht="12.75" x14ac:dyDescent="0.2">
      <c r="R27319" s="1288"/>
    </row>
    <row r="27320" spans="18:18" s="2" customFormat="1" ht="12.75" x14ac:dyDescent="0.2">
      <c r="R27320" s="1288"/>
    </row>
    <row r="27321" spans="18:18" s="2" customFormat="1" ht="12.75" x14ac:dyDescent="0.2">
      <c r="R27321" s="1288"/>
    </row>
    <row r="27322" spans="18:18" s="2" customFormat="1" ht="12.75" x14ac:dyDescent="0.2">
      <c r="R27322" s="1288"/>
    </row>
    <row r="27323" spans="18:18" s="2" customFormat="1" ht="12.75" x14ac:dyDescent="0.2">
      <c r="R27323" s="1288"/>
    </row>
    <row r="27324" spans="18:18" s="2" customFormat="1" ht="12.75" x14ac:dyDescent="0.2">
      <c r="R27324" s="1288"/>
    </row>
    <row r="27325" spans="18:18" s="2" customFormat="1" ht="12.75" x14ac:dyDescent="0.2">
      <c r="R27325" s="1288"/>
    </row>
    <row r="27326" spans="18:18" s="2" customFormat="1" ht="12.75" x14ac:dyDescent="0.2">
      <c r="R27326" s="1288"/>
    </row>
    <row r="27327" spans="18:18" s="2" customFormat="1" ht="12.75" x14ac:dyDescent="0.2">
      <c r="R27327" s="1288"/>
    </row>
    <row r="27328" spans="18:18" s="2" customFormat="1" ht="12.75" x14ac:dyDescent="0.2">
      <c r="R27328" s="1288"/>
    </row>
    <row r="27329" spans="18:18" s="2" customFormat="1" ht="12.75" x14ac:dyDescent="0.2">
      <c r="R27329" s="1288"/>
    </row>
    <row r="27330" spans="18:18" s="2" customFormat="1" ht="12.75" x14ac:dyDescent="0.2">
      <c r="R27330" s="1288"/>
    </row>
    <row r="27331" spans="18:18" s="2" customFormat="1" ht="12.75" x14ac:dyDescent="0.2">
      <c r="R27331" s="1288"/>
    </row>
    <row r="27332" spans="18:18" s="2" customFormat="1" ht="12.75" x14ac:dyDescent="0.2">
      <c r="R27332" s="1288"/>
    </row>
    <row r="27333" spans="18:18" s="2" customFormat="1" ht="12.75" x14ac:dyDescent="0.2">
      <c r="R27333" s="1288"/>
    </row>
    <row r="27334" spans="18:18" s="2" customFormat="1" ht="12.75" x14ac:dyDescent="0.2">
      <c r="R27334" s="1288"/>
    </row>
    <row r="27335" spans="18:18" s="2" customFormat="1" ht="12.75" x14ac:dyDescent="0.2">
      <c r="R27335" s="1288"/>
    </row>
    <row r="27336" spans="18:18" s="2" customFormat="1" ht="12.75" x14ac:dyDescent="0.2">
      <c r="R27336" s="1288"/>
    </row>
    <row r="27337" spans="18:18" s="2" customFormat="1" ht="12.75" x14ac:dyDescent="0.2">
      <c r="R27337" s="1288"/>
    </row>
    <row r="27338" spans="18:18" s="2" customFormat="1" ht="12.75" x14ac:dyDescent="0.2">
      <c r="R27338" s="1288"/>
    </row>
    <row r="27339" spans="18:18" s="2" customFormat="1" ht="12.75" x14ac:dyDescent="0.2">
      <c r="R27339" s="1288"/>
    </row>
    <row r="27340" spans="18:18" s="2" customFormat="1" ht="12.75" x14ac:dyDescent="0.2">
      <c r="R27340" s="1288"/>
    </row>
    <row r="27341" spans="18:18" s="2" customFormat="1" ht="12.75" x14ac:dyDescent="0.2">
      <c r="R27341" s="1288"/>
    </row>
    <row r="27342" spans="18:18" s="2" customFormat="1" ht="12.75" x14ac:dyDescent="0.2">
      <c r="R27342" s="1288"/>
    </row>
    <row r="27343" spans="18:18" s="2" customFormat="1" ht="12.75" x14ac:dyDescent="0.2">
      <c r="R27343" s="1288"/>
    </row>
    <row r="27344" spans="18:18" s="2" customFormat="1" ht="12.75" x14ac:dyDescent="0.2">
      <c r="R27344" s="1288"/>
    </row>
    <row r="27345" spans="18:18" s="2" customFormat="1" ht="12.75" x14ac:dyDescent="0.2">
      <c r="R27345" s="1288"/>
    </row>
    <row r="27346" spans="18:18" s="2" customFormat="1" ht="12.75" x14ac:dyDescent="0.2">
      <c r="R27346" s="1288"/>
    </row>
    <row r="27347" spans="18:18" s="2" customFormat="1" ht="12.75" x14ac:dyDescent="0.2">
      <c r="R27347" s="1288"/>
    </row>
    <row r="27348" spans="18:18" s="2" customFormat="1" ht="12.75" x14ac:dyDescent="0.2">
      <c r="R27348" s="1288"/>
    </row>
    <row r="27349" spans="18:18" s="2" customFormat="1" ht="12.75" x14ac:dyDescent="0.2">
      <c r="R27349" s="1288"/>
    </row>
    <row r="27350" spans="18:18" s="2" customFormat="1" ht="12.75" x14ac:dyDescent="0.2">
      <c r="R27350" s="1288"/>
    </row>
    <row r="27351" spans="18:18" s="2" customFormat="1" ht="12.75" x14ac:dyDescent="0.2">
      <c r="R27351" s="1288"/>
    </row>
    <row r="27352" spans="18:18" s="2" customFormat="1" ht="12.75" x14ac:dyDescent="0.2">
      <c r="R27352" s="1288"/>
    </row>
    <row r="27353" spans="18:18" s="2" customFormat="1" ht="12.75" x14ac:dyDescent="0.2">
      <c r="R27353" s="1288"/>
    </row>
    <row r="27354" spans="18:18" s="2" customFormat="1" ht="12.75" x14ac:dyDescent="0.2">
      <c r="R27354" s="1288"/>
    </row>
    <row r="27355" spans="18:18" s="2" customFormat="1" ht="12.75" x14ac:dyDescent="0.2">
      <c r="R27355" s="1288"/>
    </row>
    <row r="27356" spans="18:18" s="2" customFormat="1" ht="12.75" x14ac:dyDescent="0.2">
      <c r="R27356" s="1288"/>
    </row>
    <row r="27357" spans="18:18" s="2" customFormat="1" ht="12.75" x14ac:dyDescent="0.2">
      <c r="R27357" s="1288"/>
    </row>
    <row r="27358" spans="18:18" s="2" customFormat="1" ht="12.75" x14ac:dyDescent="0.2">
      <c r="R27358" s="1288"/>
    </row>
    <row r="27359" spans="18:18" s="2" customFormat="1" ht="12.75" x14ac:dyDescent="0.2">
      <c r="R27359" s="1288"/>
    </row>
    <row r="27360" spans="18:18" s="2" customFormat="1" ht="12.75" x14ac:dyDescent="0.2">
      <c r="R27360" s="1288"/>
    </row>
    <row r="27361" spans="18:18" s="2" customFormat="1" ht="12.75" x14ac:dyDescent="0.2">
      <c r="R27361" s="1288"/>
    </row>
    <row r="27362" spans="18:18" s="2" customFormat="1" ht="12.75" x14ac:dyDescent="0.2">
      <c r="R27362" s="1288"/>
    </row>
    <row r="27363" spans="18:18" s="2" customFormat="1" ht="12.75" x14ac:dyDescent="0.2">
      <c r="R27363" s="1288"/>
    </row>
    <row r="27364" spans="18:18" s="2" customFormat="1" ht="12.75" x14ac:dyDescent="0.2">
      <c r="R27364" s="1288"/>
    </row>
    <row r="27365" spans="18:18" s="2" customFormat="1" ht="12.75" x14ac:dyDescent="0.2">
      <c r="R27365" s="1288"/>
    </row>
    <row r="27366" spans="18:18" s="2" customFormat="1" ht="12.75" x14ac:dyDescent="0.2">
      <c r="R27366" s="1288"/>
    </row>
    <row r="27367" spans="18:18" s="2" customFormat="1" ht="12.75" x14ac:dyDescent="0.2">
      <c r="R27367" s="1288"/>
    </row>
    <row r="27368" spans="18:18" s="2" customFormat="1" ht="12.75" x14ac:dyDescent="0.2">
      <c r="R27368" s="1288"/>
    </row>
    <row r="27369" spans="18:18" s="2" customFormat="1" ht="12.75" x14ac:dyDescent="0.2">
      <c r="R27369" s="1288"/>
    </row>
    <row r="27370" spans="18:18" s="2" customFormat="1" ht="12.75" x14ac:dyDescent="0.2">
      <c r="R27370" s="1288"/>
    </row>
    <row r="27371" spans="18:18" s="2" customFormat="1" ht="12.75" x14ac:dyDescent="0.2">
      <c r="R27371" s="1288"/>
    </row>
    <row r="27372" spans="18:18" s="2" customFormat="1" ht="12.75" x14ac:dyDescent="0.2">
      <c r="R27372" s="1288"/>
    </row>
    <row r="27373" spans="18:18" s="2" customFormat="1" ht="12.75" x14ac:dyDescent="0.2">
      <c r="R27373" s="1288"/>
    </row>
    <row r="27374" spans="18:18" s="2" customFormat="1" ht="12.75" x14ac:dyDescent="0.2">
      <c r="R27374" s="1288"/>
    </row>
    <row r="27375" spans="18:18" s="2" customFormat="1" ht="12.75" x14ac:dyDescent="0.2">
      <c r="R27375" s="1288"/>
    </row>
    <row r="27376" spans="18:18" s="2" customFormat="1" ht="12.75" x14ac:dyDescent="0.2">
      <c r="R27376" s="1288"/>
    </row>
    <row r="27377" spans="18:18" s="2" customFormat="1" ht="12.75" x14ac:dyDescent="0.2">
      <c r="R27377" s="1288"/>
    </row>
    <row r="27378" spans="18:18" s="2" customFormat="1" ht="12.75" x14ac:dyDescent="0.2">
      <c r="R27378" s="1288"/>
    </row>
    <row r="27379" spans="18:18" s="2" customFormat="1" ht="12.75" x14ac:dyDescent="0.2">
      <c r="R27379" s="1288"/>
    </row>
    <row r="27380" spans="18:18" s="2" customFormat="1" ht="12.75" x14ac:dyDescent="0.2">
      <c r="R27380" s="1288"/>
    </row>
    <row r="27381" spans="18:18" s="2" customFormat="1" ht="12.75" x14ac:dyDescent="0.2">
      <c r="R27381" s="1288"/>
    </row>
    <row r="27382" spans="18:18" s="2" customFormat="1" ht="12.75" x14ac:dyDescent="0.2">
      <c r="R27382" s="1288"/>
    </row>
    <row r="27383" spans="18:18" s="2" customFormat="1" ht="12.75" x14ac:dyDescent="0.2">
      <c r="R27383" s="1288"/>
    </row>
    <row r="27384" spans="18:18" s="2" customFormat="1" ht="12.75" x14ac:dyDescent="0.2">
      <c r="R27384" s="1288"/>
    </row>
    <row r="27385" spans="18:18" s="2" customFormat="1" ht="12.75" x14ac:dyDescent="0.2">
      <c r="R27385" s="1288"/>
    </row>
    <row r="27386" spans="18:18" s="2" customFormat="1" ht="12.75" x14ac:dyDescent="0.2">
      <c r="R27386" s="1288"/>
    </row>
    <row r="27387" spans="18:18" s="2" customFormat="1" ht="12.75" x14ac:dyDescent="0.2">
      <c r="R27387" s="1288"/>
    </row>
    <row r="27388" spans="18:18" s="2" customFormat="1" ht="12.75" x14ac:dyDescent="0.2">
      <c r="R27388" s="1288"/>
    </row>
    <row r="27389" spans="18:18" s="2" customFormat="1" ht="12.75" x14ac:dyDescent="0.2">
      <c r="R27389" s="1288"/>
    </row>
    <row r="27390" spans="18:18" s="2" customFormat="1" ht="12.75" x14ac:dyDescent="0.2">
      <c r="R27390" s="1288"/>
    </row>
    <row r="27391" spans="18:18" s="2" customFormat="1" ht="12.75" x14ac:dyDescent="0.2">
      <c r="R27391" s="1288"/>
    </row>
    <row r="27392" spans="18:18" s="2" customFormat="1" ht="12.75" x14ac:dyDescent="0.2">
      <c r="R27392" s="1288"/>
    </row>
    <row r="27393" spans="18:18" s="2" customFormat="1" ht="12.75" x14ac:dyDescent="0.2">
      <c r="R27393" s="1288"/>
    </row>
    <row r="27394" spans="18:18" s="2" customFormat="1" ht="12.75" x14ac:dyDescent="0.2">
      <c r="R27394" s="1288"/>
    </row>
    <row r="27395" spans="18:18" s="2" customFormat="1" ht="12.75" x14ac:dyDescent="0.2">
      <c r="R27395" s="1288"/>
    </row>
    <row r="27396" spans="18:18" s="2" customFormat="1" ht="12.75" x14ac:dyDescent="0.2">
      <c r="R27396" s="1288"/>
    </row>
    <row r="27397" spans="18:18" s="2" customFormat="1" ht="12.75" x14ac:dyDescent="0.2">
      <c r="R27397" s="1288"/>
    </row>
    <row r="27398" spans="18:18" s="2" customFormat="1" ht="12.75" x14ac:dyDescent="0.2">
      <c r="R27398" s="1288"/>
    </row>
    <row r="27399" spans="18:18" s="2" customFormat="1" ht="12.75" x14ac:dyDescent="0.2">
      <c r="R27399" s="1288"/>
    </row>
    <row r="27400" spans="18:18" s="2" customFormat="1" ht="12.75" x14ac:dyDescent="0.2">
      <c r="R27400" s="1288"/>
    </row>
    <row r="27401" spans="18:18" s="2" customFormat="1" ht="12.75" x14ac:dyDescent="0.2">
      <c r="R27401" s="1288"/>
    </row>
    <row r="27402" spans="18:18" s="2" customFormat="1" ht="12.75" x14ac:dyDescent="0.2">
      <c r="R27402" s="1288"/>
    </row>
    <row r="27403" spans="18:18" s="2" customFormat="1" ht="12.75" x14ac:dyDescent="0.2">
      <c r="R27403" s="1288"/>
    </row>
    <row r="27404" spans="18:18" s="2" customFormat="1" ht="12.75" x14ac:dyDescent="0.2">
      <c r="R27404" s="1288"/>
    </row>
    <row r="27405" spans="18:18" s="2" customFormat="1" ht="12.75" x14ac:dyDescent="0.2">
      <c r="R27405" s="1288"/>
    </row>
    <row r="27406" spans="18:18" s="2" customFormat="1" ht="12.75" x14ac:dyDescent="0.2">
      <c r="R27406" s="1288"/>
    </row>
    <row r="27407" spans="18:18" s="2" customFormat="1" ht="12.75" x14ac:dyDescent="0.2">
      <c r="R27407" s="1288"/>
    </row>
    <row r="27408" spans="18:18" s="2" customFormat="1" ht="12.75" x14ac:dyDescent="0.2">
      <c r="R27408" s="1288"/>
    </row>
    <row r="27409" spans="18:18" s="2" customFormat="1" ht="12.75" x14ac:dyDescent="0.2">
      <c r="R27409" s="1288"/>
    </row>
    <row r="27410" spans="18:18" s="2" customFormat="1" ht="12.75" x14ac:dyDescent="0.2">
      <c r="R27410" s="1288"/>
    </row>
    <row r="27411" spans="18:18" s="2" customFormat="1" ht="12.75" x14ac:dyDescent="0.2">
      <c r="R27411" s="1288"/>
    </row>
    <row r="27412" spans="18:18" s="2" customFormat="1" ht="12.75" x14ac:dyDescent="0.2">
      <c r="R27412" s="1288"/>
    </row>
    <row r="27413" spans="18:18" s="2" customFormat="1" ht="12.75" x14ac:dyDescent="0.2">
      <c r="R27413" s="1288"/>
    </row>
    <row r="27414" spans="18:18" s="2" customFormat="1" ht="12.75" x14ac:dyDescent="0.2">
      <c r="R27414" s="1288"/>
    </row>
    <row r="27415" spans="18:18" s="2" customFormat="1" ht="12.75" x14ac:dyDescent="0.2">
      <c r="R27415" s="1288"/>
    </row>
    <row r="27416" spans="18:18" s="2" customFormat="1" ht="12.75" x14ac:dyDescent="0.2">
      <c r="R27416" s="1288"/>
    </row>
    <row r="27417" spans="18:18" s="2" customFormat="1" ht="12.75" x14ac:dyDescent="0.2">
      <c r="R27417" s="1288"/>
    </row>
    <row r="27418" spans="18:18" s="2" customFormat="1" ht="12.75" x14ac:dyDescent="0.2">
      <c r="R27418" s="1288"/>
    </row>
    <row r="27419" spans="18:18" s="2" customFormat="1" ht="12.75" x14ac:dyDescent="0.2">
      <c r="R27419" s="1288"/>
    </row>
    <row r="27420" spans="18:18" s="2" customFormat="1" ht="12.75" x14ac:dyDescent="0.2">
      <c r="R27420" s="1288"/>
    </row>
    <row r="27421" spans="18:18" s="2" customFormat="1" ht="12.75" x14ac:dyDescent="0.2">
      <c r="R27421" s="1288"/>
    </row>
    <row r="27422" spans="18:18" s="2" customFormat="1" ht="12.75" x14ac:dyDescent="0.2">
      <c r="R27422" s="1288"/>
    </row>
    <row r="27423" spans="18:18" s="2" customFormat="1" ht="12.75" x14ac:dyDescent="0.2">
      <c r="R27423" s="1288"/>
    </row>
    <row r="27424" spans="18:18" s="2" customFormat="1" ht="12.75" x14ac:dyDescent="0.2">
      <c r="R27424" s="1288"/>
    </row>
    <row r="27425" spans="18:18" s="2" customFormat="1" ht="12.75" x14ac:dyDescent="0.2">
      <c r="R27425" s="1288"/>
    </row>
    <row r="27426" spans="18:18" s="2" customFormat="1" ht="12.75" x14ac:dyDescent="0.2">
      <c r="R27426" s="1288"/>
    </row>
    <row r="27427" spans="18:18" s="2" customFormat="1" ht="12.75" x14ac:dyDescent="0.2">
      <c r="R27427" s="1288"/>
    </row>
    <row r="27428" spans="18:18" s="2" customFormat="1" ht="12.75" x14ac:dyDescent="0.2">
      <c r="R27428" s="1288"/>
    </row>
    <row r="27429" spans="18:18" s="2" customFormat="1" ht="12.75" x14ac:dyDescent="0.2">
      <c r="R27429" s="1288"/>
    </row>
    <row r="27430" spans="18:18" s="2" customFormat="1" ht="12.75" x14ac:dyDescent="0.2">
      <c r="R27430" s="1288"/>
    </row>
    <row r="27431" spans="18:18" s="2" customFormat="1" ht="12.75" x14ac:dyDescent="0.2">
      <c r="R27431" s="1288"/>
    </row>
    <row r="27432" spans="18:18" s="2" customFormat="1" ht="12.75" x14ac:dyDescent="0.2">
      <c r="R27432" s="1288"/>
    </row>
    <row r="27433" spans="18:18" s="2" customFormat="1" ht="12.75" x14ac:dyDescent="0.2">
      <c r="R27433" s="1288"/>
    </row>
    <row r="27434" spans="18:18" s="2" customFormat="1" ht="12.75" x14ac:dyDescent="0.2">
      <c r="R27434" s="1288"/>
    </row>
    <row r="27435" spans="18:18" s="2" customFormat="1" ht="12.75" x14ac:dyDescent="0.2">
      <c r="R27435" s="1288"/>
    </row>
    <row r="27436" spans="18:18" s="2" customFormat="1" ht="12.75" x14ac:dyDescent="0.2">
      <c r="R27436" s="1288"/>
    </row>
    <row r="27437" spans="18:18" s="2" customFormat="1" ht="12.75" x14ac:dyDescent="0.2">
      <c r="R27437" s="1288"/>
    </row>
    <row r="27438" spans="18:18" s="2" customFormat="1" ht="12.75" x14ac:dyDescent="0.2">
      <c r="R27438" s="1288"/>
    </row>
    <row r="27439" spans="18:18" s="2" customFormat="1" ht="12.75" x14ac:dyDescent="0.2">
      <c r="R27439" s="1288"/>
    </row>
    <row r="27440" spans="18:18" s="2" customFormat="1" ht="12.75" x14ac:dyDescent="0.2">
      <c r="R27440" s="1288"/>
    </row>
    <row r="27441" spans="18:18" s="2" customFormat="1" ht="12.75" x14ac:dyDescent="0.2">
      <c r="R27441" s="1288"/>
    </row>
    <row r="27442" spans="18:18" s="2" customFormat="1" ht="12.75" x14ac:dyDescent="0.2">
      <c r="R27442" s="1288"/>
    </row>
    <row r="27443" spans="18:18" s="2" customFormat="1" ht="12.75" x14ac:dyDescent="0.2">
      <c r="R27443" s="1288"/>
    </row>
    <row r="27444" spans="18:18" s="2" customFormat="1" ht="12.75" x14ac:dyDescent="0.2">
      <c r="R27444" s="1288"/>
    </row>
    <row r="27445" spans="18:18" s="2" customFormat="1" ht="12.75" x14ac:dyDescent="0.2">
      <c r="R27445" s="1288"/>
    </row>
    <row r="27446" spans="18:18" s="2" customFormat="1" ht="12.75" x14ac:dyDescent="0.2">
      <c r="R27446" s="1288"/>
    </row>
    <row r="27447" spans="18:18" s="2" customFormat="1" ht="12.75" x14ac:dyDescent="0.2">
      <c r="R27447" s="1288"/>
    </row>
    <row r="27448" spans="18:18" s="2" customFormat="1" ht="12.75" x14ac:dyDescent="0.2">
      <c r="R27448" s="1288"/>
    </row>
    <row r="27449" spans="18:18" s="2" customFormat="1" ht="12.75" x14ac:dyDescent="0.2">
      <c r="R27449" s="1288"/>
    </row>
    <row r="27450" spans="18:18" s="2" customFormat="1" ht="12.75" x14ac:dyDescent="0.2">
      <c r="R27450" s="1288"/>
    </row>
    <row r="27451" spans="18:18" s="2" customFormat="1" ht="12.75" x14ac:dyDescent="0.2">
      <c r="R27451" s="1288"/>
    </row>
    <row r="27452" spans="18:18" s="2" customFormat="1" ht="12.75" x14ac:dyDescent="0.2">
      <c r="R27452" s="1288"/>
    </row>
    <row r="27453" spans="18:18" s="2" customFormat="1" ht="12.75" x14ac:dyDescent="0.2">
      <c r="R27453" s="1288"/>
    </row>
    <row r="27454" spans="18:18" s="2" customFormat="1" ht="12.75" x14ac:dyDescent="0.2">
      <c r="R27454" s="1288"/>
    </row>
    <row r="27455" spans="18:18" s="2" customFormat="1" ht="12.75" x14ac:dyDescent="0.2">
      <c r="R27455" s="1288"/>
    </row>
    <row r="27456" spans="18:18" s="2" customFormat="1" ht="12.75" x14ac:dyDescent="0.2">
      <c r="R27456" s="1288"/>
    </row>
    <row r="27457" spans="18:18" s="2" customFormat="1" ht="12.75" x14ac:dyDescent="0.2">
      <c r="R27457" s="1288"/>
    </row>
    <row r="27458" spans="18:18" s="2" customFormat="1" ht="12.75" x14ac:dyDescent="0.2">
      <c r="R27458" s="1288"/>
    </row>
    <row r="27459" spans="18:18" s="2" customFormat="1" ht="12.75" x14ac:dyDescent="0.2">
      <c r="R27459" s="1288"/>
    </row>
    <row r="27460" spans="18:18" s="2" customFormat="1" ht="12.75" x14ac:dyDescent="0.2">
      <c r="R27460" s="1288"/>
    </row>
    <row r="27461" spans="18:18" s="2" customFormat="1" ht="12.75" x14ac:dyDescent="0.2">
      <c r="R27461" s="1288"/>
    </row>
    <row r="27462" spans="18:18" s="2" customFormat="1" ht="12.75" x14ac:dyDescent="0.2">
      <c r="R27462" s="1288"/>
    </row>
    <row r="27463" spans="18:18" s="2" customFormat="1" ht="12.75" x14ac:dyDescent="0.2">
      <c r="R27463" s="1288"/>
    </row>
    <row r="27464" spans="18:18" s="2" customFormat="1" ht="12.75" x14ac:dyDescent="0.2">
      <c r="R27464" s="1288"/>
    </row>
    <row r="27465" spans="18:18" s="2" customFormat="1" ht="12.75" x14ac:dyDescent="0.2">
      <c r="R27465" s="1288"/>
    </row>
    <row r="27466" spans="18:18" s="2" customFormat="1" ht="12.75" x14ac:dyDescent="0.2">
      <c r="R27466" s="1288"/>
    </row>
    <row r="27467" spans="18:18" s="2" customFormat="1" ht="12.75" x14ac:dyDescent="0.2">
      <c r="R27467" s="1288"/>
    </row>
    <row r="27468" spans="18:18" s="2" customFormat="1" ht="12.75" x14ac:dyDescent="0.2">
      <c r="R27468" s="1288"/>
    </row>
    <row r="27469" spans="18:18" s="2" customFormat="1" ht="12.75" x14ac:dyDescent="0.2">
      <c r="R27469" s="1288"/>
    </row>
    <row r="27470" spans="18:18" s="2" customFormat="1" ht="12.75" x14ac:dyDescent="0.2">
      <c r="R27470" s="1288"/>
    </row>
    <row r="27471" spans="18:18" s="2" customFormat="1" ht="12.75" x14ac:dyDescent="0.2">
      <c r="R27471" s="1288"/>
    </row>
    <row r="27472" spans="18:18" s="2" customFormat="1" ht="12.75" x14ac:dyDescent="0.2">
      <c r="R27472" s="1288"/>
    </row>
    <row r="27473" spans="18:18" s="2" customFormat="1" ht="12.75" x14ac:dyDescent="0.2">
      <c r="R27473" s="1288"/>
    </row>
    <row r="27474" spans="18:18" s="2" customFormat="1" ht="12.75" x14ac:dyDescent="0.2">
      <c r="R27474" s="1288"/>
    </row>
    <row r="27475" spans="18:18" s="2" customFormat="1" ht="12.75" x14ac:dyDescent="0.2">
      <c r="R27475" s="1288"/>
    </row>
    <row r="27476" spans="18:18" s="2" customFormat="1" ht="12.75" x14ac:dyDescent="0.2">
      <c r="R27476" s="1288"/>
    </row>
    <row r="27477" spans="18:18" s="2" customFormat="1" ht="12.75" x14ac:dyDescent="0.2">
      <c r="R27477" s="1288"/>
    </row>
    <row r="27478" spans="18:18" s="2" customFormat="1" ht="12.75" x14ac:dyDescent="0.2">
      <c r="R27478" s="1288"/>
    </row>
    <row r="27479" spans="18:18" s="2" customFormat="1" ht="12.75" x14ac:dyDescent="0.2">
      <c r="R27479" s="1288"/>
    </row>
    <row r="27480" spans="18:18" s="2" customFormat="1" ht="12.75" x14ac:dyDescent="0.2">
      <c r="R27480" s="1288"/>
    </row>
    <row r="27481" spans="18:18" s="2" customFormat="1" ht="12.75" x14ac:dyDescent="0.2">
      <c r="R27481" s="1288"/>
    </row>
    <row r="27482" spans="18:18" s="2" customFormat="1" ht="12.75" x14ac:dyDescent="0.2">
      <c r="R27482" s="1288"/>
    </row>
    <row r="27483" spans="18:18" s="2" customFormat="1" ht="12.75" x14ac:dyDescent="0.2">
      <c r="R27483" s="1288"/>
    </row>
    <row r="27484" spans="18:18" s="2" customFormat="1" ht="12.75" x14ac:dyDescent="0.2">
      <c r="R27484" s="1288"/>
    </row>
    <row r="27485" spans="18:18" s="2" customFormat="1" ht="12.75" x14ac:dyDescent="0.2">
      <c r="R27485" s="1288"/>
    </row>
    <row r="27486" spans="18:18" s="2" customFormat="1" ht="12.75" x14ac:dyDescent="0.2">
      <c r="R27486" s="1288"/>
    </row>
    <row r="27487" spans="18:18" s="2" customFormat="1" ht="12.75" x14ac:dyDescent="0.2">
      <c r="R27487" s="1288"/>
    </row>
    <row r="27488" spans="18:18" s="2" customFormat="1" ht="12.75" x14ac:dyDescent="0.2">
      <c r="R27488" s="1288"/>
    </row>
    <row r="27489" spans="18:18" s="2" customFormat="1" ht="12.75" x14ac:dyDescent="0.2">
      <c r="R27489" s="1288"/>
    </row>
    <row r="27490" spans="18:18" s="2" customFormat="1" ht="12.75" x14ac:dyDescent="0.2">
      <c r="R27490" s="1288"/>
    </row>
    <row r="27491" spans="18:18" s="2" customFormat="1" ht="12.75" x14ac:dyDescent="0.2">
      <c r="R27491" s="1288"/>
    </row>
    <row r="27492" spans="18:18" s="2" customFormat="1" ht="12.75" x14ac:dyDescent="0.2">
      <c r="R27492" s="1288"/>
    </row>
    <row r="27493" spans="18:18" s="2" customFormat="1" ht="12.75" x14ac:dyDescent="0.2">
      <c r="R27493" s="1288"/>
    </row>
    <row r="27494" spans="18:18" s="2" customFormat="1" ht="12.75" x14ac:dyDescent="0.2">
      <c r="R27494" s="1288"/>
    </row>
    <row r="27495" spans="18:18" s="2" customFormat="1" ht="12.75" x14ac:dyDescent="0.2">
      <c r="R27495" s="1288"/>
    </row>
    <row r="27496" spans="18:18" s="2" customFormat="1" ht="12.75" x14ac:dyDescent="0.2">
      <c r="R27496" s="1288"/>
    </row>
    <row r="27497" spans="18:18" s="2" customFormat="1" ht="12.75" x14ac:dyDescent="0.2">
      <c r="R27497" s="1288"/>
    </row>
    <row r="27498" spans="18:18" s="2" customFormat="1" ht="12.75" x14ac:dyDescent="0.2">
      <c r="R27498" s="1288"/>
    </row>
    <row r="27499" spans="18:18" s="2" customFormat="1" ht="12.75" x14ac:dyDescent="0.2">
      <c r="R27499" s="1288"/>
    </row>
    <row r="27500" spans="18:18" s="2" customFormat="1" ht="12.75" x14ac:dyDescent="0.2">
      <c r="R27500" s="1288"/>
    </row>
    <row r="27501" spans="18:18" s="2" customFormat="1" ht="12.75" x14ac:dyDescent="0.2">
      <c r="R27501" s="1288"/>
    </row>
    <row r="27502" spans="18:18" s="2" customFormat="1" ht="12.75" x14ac:dyDescent="0.2">
      <c r="R27502" s="1288"/>
    </row>
    <row r="27503" spans="18:18" s="2" customFormat="1" ht="12.75" x14ac:dyDescent="0.2">
      <c r="R27503" s="1288"/>
    </row>
    <row r="27504" spans="18:18" s="2" customFormat="1" ht="12.75" x14ac:dyDescent="0.2">
      <c r="R27504" s="1288"/>
    </row>
    <row r="27505" spans="18:18" s="2" customFormat="1" ht="12.75" x14ac:dyDescent="0.2">
      <c r="R27505" s="1288"/>
    </row>
    <row r="27506" spans="18:18" s="2" customFormat="1" ht="12.75" x14ac:dyDescent="0.2">
      <c r="R27506" s="1288"/>
    </row>
    <row r="27507" spans="18:18" s="2" customFormat="1" ht="12.75" x14ac:dyDescent="0.2">
      <c r="R27507" s="1288"/>
    </row>
    <row r="27508" spans="18:18" s="2" customFormat="1" ht="12.75" x14ac:dyDescent="0.2">
      <c r="R27508" s="1288"/>
    </row>
    <row r="27509" spans="18:18" s="2" customFormat="1" ht="12.75" x14ac:dyDescent="0.2">
      <c r="R27509" s="1288"/>
    </row>
    <row r="27510" spans="18:18" s="2" customFormat="1" ht="12.75" x14ac:dyDescent="0.2">
      <c r="R27510" s="1288"/>
    </row>
    <row r="27511" spans="18:18" s="2" customFormat="1" ht="12.75" x14ac:dyDescent="0.2">
      <c r="R27511" s="1288"/>
    </row>
    <row r="27512" spans="18:18" s="2" customFormat="1" ht="12.75" x14ac:dyDescent="0.2">
      <c r="R27512" s="1288"/>
    </row>
    <row r="27513" spans="18:18" s="2" customFormat="1" ht="12.75" x14ac:dyDescent="0.2">
      <c r="R27513" s="1288"/>
    </row>
    <row r="27514" spans="18:18" s="2" customFormat="1" ht="12.75" x14ac:dyDescent="0.2">
      <c r="R27514" s="1288"/>
    </row>
    <row r="27515" spans="18:18" s="2" customFormat="1" ht="12.75" x14ac:dyDescent="0.2">
      <c r="R27515" s="1288"/>
    </row>
    <row r="27516" spans="18:18" s="2" customFormat="1" ht="12.75" x14ac:dyDescent="0.2">
      <c r="R27516" s="1288"/>
    </row>
    <row r="27517" spans="18:18" s="2" customFormat="1" ht="12.75" x14ac:dyDescent="0.2">
      <c r="R27517" s="1288"/>
    </row>
    <row r="27518" spans="18:18" s="2" customFormat="1" ht="12.75" x14ac:dyDescent="0.2">
      <c r="R27518" s="1288"/>
    </row>
    <row r="27519" spans="18:18" s="2" customFormat="1" ht="12.75" x14ac:dyDescent="0.2">
      <c r="R27519" s="1288"/>
    </row>
    <row r="27520" spans="18:18" s="2" customFormat="1" ht="12.75" x14ac:dyDescent="0.2">
      <c r="R27520" s="1288"/>
    </row>
    <row r="27521" spans="18:18" s="2" customFormat="1" ht="12.75" x14ac:dyDescent="0.2">
      <c r="R27521" s="1288"/>
    </row>
    <row r="27522" spans="18:18" s="2" customFormat="1" ht="12.75" x14ac:dyDescent="0.2">
      <c r="R27522" s="1288"/>
    </row>
    <row r="27523" spans="18:18" s="2" customFormat="1" ht="12.75" x14ac:dyDescent="0.2">
      <c r="R27523" s="1288"/>
    </row>
    <row r="27524" spans="18:18" s="2" customFormat="1" ht="12.75" x14ac:dyDescent="0.2">
      <c r="R27524" s="1288"/>
    </row>
    <row r="27525" spans="18:18" s="2" customFormat="1" ht="12.75" x14ac:dyDescent="0.2">
      <c r="R27525" s="1288"/>
    </row>
    <row r="27526" spans="18:18" s="2" customFormat="1" ht="12.75" x14ac:dyDescent="0.2">
      <c r="R27526" s="1288"/>
    </row>
    <row r="27527" spans="18:18" s="2" customFormat="1" ht="12.75" x14ac:dyDescent="0.2">
      <c r="R27527" s="1288"/>
    </row>
    <row r="27528" spans="18:18" s="2" customFormat="1" ht="12.75" x14ac:dyDescent="0.2">
      <c r="R27528" s="1288"/>
    </row>
    <row r="27529" spans="18:18" s="2" customFormat="1" ht="12.75" x14ac:dyDescent="0.2">
      <c r="R27529" s="1288"/>
    </row>
    <row r="27530" spans="18:18" s="2" customFormat="1" ht="12.75" x14ac:dyDescent="0.2">
      <c r="R27530" s="1288"/>
    </row>
    <row r="27531" spans="18:18" s="2" customFormat="1" ht="12.75" x14ac:dyDescent="0.2">
      <c r="R27531" s="1288"/>
    </row>
    <row r="27532" spans="18:18" s="2" customFormat="1" ht="12.75" x14ac:dyDescent="0.2">
      <c r="R27532" s="1288"/>
    </row>
    <row r="27533" spans="18:18" s="2" customFormat="1" ht="12.75" x14ac:dyDescent="0.2">
      <c r="R27533" s="1288"/>
    </row>
    <row r="27534" spans="18:18" s="2" customFormat="1" ht="12.75" x14ac:dyDescent="0.2">
      <c r="R27534" s="1288"/>
    </row>
    <row r="27535" spans="18:18" s="2" customFormat="1" ht="12.75" x14ac:dyDescent="0.2">
      <c r="R27535" s="1288"/>
    </row>
    <row r="27536" spans="18:18" s="2" customFormat="1" ht="12.75" x14ac:dyDescent="0.2">
      <c r="R27536" s="1288"/>
    </row>
    <row r="27537" spans="18:18" s="2" customFormat="1" ht="12.75" x14ac:dyDescent="0.2">
      <c r="R27537" s="1288"/>
    </row>
    <row r="27538" spans="18:18" s="2" customFormat="1" ht="12.75" x14ac:dyDescent="0.2">
      <c r="R27538" s="1288"/>
    </row>
    <row r="27539" spans="18:18" s="2" customFormat="1" ht="12.75" x14ac:dyDescent="0.2">
      <c r="R27539" s="1288"/>
    </row>
    <row r="27540" spans="18:18" s="2" customFormat="1" ht="12.75" x14ac:dyDescent="0.2">
      <c r="R27540" s="1288"/>
    </row>
    <row r="27541" spans="18:18" s="2" customFormat="1" ht="12.75" x14ac:dyDescent="0.2">
      <c r="R27541" s="1288"/>
    </row>
    <row r="27542" spans="18:18" s="2" customFormat="1" ht="12.75" x14ac:dyDescent="0.2">
      <c r="R27542" s="1288"/>
    </row>
    <row r="27543" spans="18:18" s="2" customFormat="1" ht="12.75" x14ac:dyDescent="0.2">
      <c r="R27543" s="1288"/>
    </row>
    <row r="27544" spans="18:18" s="2" customFormat="1" ht="12.75" x14ac:dyDescent="0.2">
      <c r="R27544" s="1288"/>
    </row>
    <row r="27545" spans="18:18" s="2" customFormat="1" ht="12.75" x14ac:dyDescent="0.2">
      <c r="R27545" s="1288"/>
    </row>
    <row r="27546" spans="18:18" s="2" customFormat="1" ht="12.75" x14ac:dyDescent="0.2">
      <c r="R27546" s="1288"/>
    </row>
    <row r="27547" spans="18:18" s="2" customFormat="1" ht="12.75" x14ac:dyDescent="0.2">
      <c r="R27547" s="1288"/>
    </row>
    <row r="27548" spans="18:18" s="2" customFormat="1" ht="12.75" x14ac:dyDescent="0.2">
      <c r="R27548" s="1288"/>
    </row>
    <row r="27549" spans="18:18" s="2" customFormat="1" ht="12.75" x14ac:dyDescent="0.2">
      <c r="R27549" s="1288"/>
    </row>
    <row r="27550" spans="18:18" s="2" customFormat="1" ht="12.75" x14ac:dyDescent="0.2">
      <c r="R27550" s="1288"/>
    </row>
    <row r="27551" spans="18:18" s="2" customFormat="1" ht="12.75" x14ac:dyDescent="0.2">
      <c r="R27551" s="1288"/>
    </row>
    <row r="27552" spans="18:18" s="2" customFormat="1" ht="12.75" x14ac:dyDescent="0.2">
      <c r="R27552" s="1288"/>
    </row>
    <row r="27553" spans="18:18" s="2" customFormat="1" ht="12.75" x14ac:dyDescent="0.2">
      <c r="R27553" s="1288"/>
    </row>
    <row r="27554" spans="18:18" s="2" customFormat="1" ht="12.75" x14ac:dyDescent="0.2">
      <c r="R27554" s="1288"/>
    </row>
    <row r="27555" spans="18:18" s="2" customFormat="1" ht="12.75" x14ac:dyDescent="0.2">
      <c r="R27555" s="1288"/>
    </row>
    <row r="27556" spans="18:18" s="2" customFormat="1" ht="12.75" x14ac:dyDescent="0.2">
      <c r="R27556" s="1288"/>
    </row>
    <row r="27557" spans="18:18" s="2" customFormat="1" ht="12.75" x14ac:dyDescent="0.2">
      <c r="R27557" s="1288"/>
    </row>
    <row r="27558" spans="18:18" s="2" customFormat="1" ht="12.75" x14ac:dyDescent="0.2">
      <c r="R27558" s="1288"/>
    </row>
    <row r="27559" spans="18:18" s="2" customFormat="1" ht="12.75" x14ac:dyDescent="0.2">
      <c r="R27559" s="1288"/>
    </row>
    <row r="27560" spans="18:18" s="2" customFormat="1" ht="12.75" x14ac:dyDescent="0.2">
      <c r="R27560" s="1288"/>
    </row>
    <row r="27561" spans="18:18" s="2" customFormat="1" ht="12.75" x14ac:dyDescent="0.2">
      <c r="R27561" s="1288"/>
    </row>
    <row r="27562" spans="18:18" s="2" customFormat="1" ht="12.75" x14ac:dyDescent="0.2">
      <c r="R27562" s="1288"/>
    </row>
    <row r="27563" spans="18:18" s="2" customFormat="1" ht="12.75" x14ac:dyDescent="0.2">
      <c r="R27563" s="1288"/>
    </row>
    <row r="27564" spans="18:18" s="2" customFormat="1" ht="12.75" x14ac:dyDescent="0.2">
      <c r="R27564" s="1288"/>
    </row>
    <row r="27565" spans="18:18" s="2" customFormat="1" ht="12.75" x14ac:dyDescent="0.2">
      <c r="R27565" s="1288"/>
    </row>
    <row r="27566" spans="18:18" s="2" customFormat="1" ht="12.75" x14ac:dyDescent="0.2">
      <c r="R27566" s="1288"/>
    </row>
    <row r="27567" spans="18:18" s="2" customFormat="1" ht="12.75" x14ac:dyDescent="0.2">
      <c r="R27567" s="1288"/>
    </row>
    <row r="27568" spans="18:18" s="2" customFormat="1" ht="12.75" x14ac:dyDescent="0.2">
      <c r="R27568" s="1288"/>
    </row>
    <row r="27569" spans="18:18" s="2" customFormat="1" ht="12.75" x14ac:dyDescent="0.2">
      <c r="R27569" s="1288"/>
    </row>
    <row r="27570" spans="18:18" s="2" customFormat="1" ht="12.75" x14ac:dyDescent="0.2">
      <c r="R27570" s="1288"/>
    </row>
    <row r="27571" spans="18:18" s="2" customFormat="1" ht="12.75" x14ac:dyDescent="0.2">
      <c r="R27571" s="1288"/>
    </row>
    <row r="27572" spans="18:18" s="2" customFormat="1" ht="12.75" x14ac:dyDescent="0.2">
      <c r="R27572" s="1288"/>
    </row>
    <row r="27573" spans="18:18" s="2" customFormat="1" ht="12.75" x14ac:dyDescent="0.2">
      <c r="R27573" s="1288"/>
    </row>
    <row r="27574" spans="18:18" s="2" customFormat="1" ht="12.75" x14ac:dyDescent="0.2">
      <c r="R27574" s="1288"/>
    </row>
    <row r="27575" spans="18:18" s="2" customFormat="1" ht="12.75" x14ac:dyDescent="0.2">
      <c r="R27575" s="1288"/>
    </row>
    <row r="27576" spans="18:18" s="2" customFormat="1" ht="12.75" x14ac:dyDescent="0.2">
      <c r="R27576" s="1288"/>
    </row>
    <row r="27577" spans="18:18" s="2" customFormat="1" ht="12.75" x14ac:dyDescent="0.2">
      <c r="R27577" s="1288"/>
    </row>
    <row r="27578" spans="18:18" s="2" customFormat="1" ht="12.75" x14ac:dyDescent="0.2">
      <c r="R27578" s="1288"/>
    </row>
    <row r="27579" spans="18:18" s="2" customFormat="1" ht="12.75" x14ac:dyDescent="0.2">
      <c r="R27579" s="1288"/>
    </row>
    <row r="27580" spans="18:18" s="2" customFormat="1" ht="12.75" x14ac:dyDescent="0.2">
      <c r="R27580" s="1288"/>
    </row>
    <row r="27581" spans="18:18" s="2" customFormat="1" ht="12.75" x14ac:dyDescent="0.2">
      <c r="R27581" s="1288"/>
    </row>
    <row r="27582" spans="18:18" s="2" customFormat="1" ht="12.75" x14ac:dyDescent="0.2">
      <c r="R27582" s="1288"/>
    </row>
    <row r="27583" spans="18:18" s="2" customFormat="1" ht="12.75" x14ac:dyDescent="0.2">
      <c r="R27583" s="1288"/>
    </row>
    <row r="27584" spans="18:18" s="2" customFormat="1" ht="12.75" x14ac:dyDescent="0.2">
      <c r="R27584" s="1288"/>
    </row>
    <row r="27585" spans="18:18" s="2" customFormat="1" ht="12.75" x14ac:dyDescent="0.2">
      <c r="R27585" s="1288"/>
    </row>
    <row r="27586" spans="18:18" s="2" customFormat="1" ht="12.75" x14ac:dyDescent="0.2">
      <c r="R27586" s="1288"/>
    </row>
    <row r="27587" spans="18:18" s="2" customFormat="1" ht="12.75" x14ac:dyDescent="0.2">
      <c r="R27587" s="1288"/>
    </row>
    <row r="27588" spans="18:18" s="2" customFormat="1" ht="12.75" x14ac:dyDescent="0.2">
      <c r="R27588" s="1288"/>
    </row>
    <row r="27589" spans="18:18" s="2" customFormat="1" ht="12.75" x14ac:dyDescent="0.2">
      <c r="R27589" s="1288"/>
    </row>
    <row r="27590" spans="18:18" s="2" customFormat="1" ht="12.75" x14ac:dyDescent="0.2">
      <c r="R27590" s="1288"/>
    </row>
    <row r="27591" spans="18:18" s="2" customFormat="1" ht="12.75" x14ac:dyDescent="0.2">
      <c r="R27591" s="1288"/>
    </row>
    <row r="27592" spans="18:18" s="2" customFormat="1" ht="12.75" x14ac:dyDescent="0.2">
      <c r="R27592" s="1288"/>
    </row>
    <row r="27593" spans="18:18" s="2" customFormat="1" ht="12.75" x14ac:dyDescent="0.2">
      <c r="R27593" s="1288"/>
    </row>
    <row r="27594" spans="18:18" s="2" customFormat="1" ht="12.75" x14ac:dyDescent="0.2">
      <c r="R27594" s="1288"/>
    </row>
    <row r="27595" spans="18:18" s="2" customFormat="1" ht="12.75" x14ac:dyDescent="0.2">
      <c r="R27595" s="1288"/>
    </row>
    <row r="27596" spans="18:18" s="2" customFormat="1" ht="12.75" x14ac:dyDescent="0.2">
      <c r="R27596" s="1288"/>
    </row>
    <row r="27597" spans="18:18" s="2" customFormat="1" ht="12.75" x14ac:dyDescent="0.2">
      <c r="R27597" s="1288"/>
    </row>
    <row r="27598" spans="18:18" s="2" customFormat="1" ht="12.75" x14ac:dyDescent="0.2">
      <c r="R27598" s="1288"/>
    </row>
    <row r="27599" spans="18:18" s="2" customFormat="1" ht="12.75" x14ac:dyDescent="0.2">
      <c r="R27599" s="1288"/>
    </row>
    <row r="27600" spans="18:18" s="2" customFormat="1" ht="12.75" x14ac:dyDescent="0.2">
      <c r="R27600" s="1288"/>
    </row>
    <row r="27601" spans="18:18" s="2" customFormat="1" ht="12.75" x14ac:dyDescent="0.2">
      <c r="R27601" s="1288"/>
    </row>
    <row r="27602" spans="18:18" s="2" customFormat="1" ht="12.75" x14ac:dyDescent="0.2">
      <c r="R27602" s="1288"/>
    </row>
    <row r="27603" spans="18:18" s="2" customFormat="1" ht="12.75" x14ac:dyDescent="0.2">
      <c r="R27603" s="1288"/>
    </row>
    <row r="27604" spans="18:18" s="2" customFormat="1" ht="12.75" x14ac:dyDescent="0.2">
      <c r="R27604" s="1288"/>
    </row>
    <row r="27605" spans="18:18" s="2" customFormat="1" ht="12.75" x14ac:dyDescent="0.2">
      <c r="R27605" s="1288"/>
    </row>
    <row r="27606" spans="18:18" s="2" customFormat="1" ht="12.75" x14ac:dyDescent="0.2">
      <c r="R27606" s="1288"/>
    </row>
    <row r="27607" spans="18:18" s="2" customFormat="1" ht="12.75" x14ac:dyDescent="0.2">
      <c r="R27607" s="1288"/>
    </row>
    <row r="27608" spans="18:18" s="2" customFormat="1" ht="12.75" x14ac:dyDescent="0.2">
      <c r="R27608" s="1288"/>
    </row>
    <row r="27609" spans="18:18" s="2" customFormat="1" ht="12.75" x14ac:dyDescent="0.2">
      <c r="R27609" s="1288"/>
    </row>
    <row r="27610" spans="18:18" s="2" customFormat="1" ht="12.75" x14ac:dyDescent="0.2">
      <c r="R27610" s="1288"/>
    </row>
    <row r="27611" spans="18:18" s="2" customFormat="1" ht="12.75" x14ac:dyDescent="0.2">
      <c r="R27611" s="1288"/>
    </row>
    <row r="27612" spans="18:18" s="2" customFormat="1" ht="12.75" x14ac:dyDescent="0.2">
      <c r="R27612" s="1288"/>
    </row>
    <row r="27613" spans="18:18" s="2" customFormat="1" ht="12.75" x14ac:dyDescent="0.2">
      <c r="R27613" s="1288"/>
    </row>
    <row r="27614" spans="18:18" s="2" customFormat="1" ht="12.75" x14ac:dyDescent="0.2">
      <c r="R27614" s="1288"/>
    </row>
    <row r="27615" spans="18:18" s="2" customFormat="1" ht="12.75" x14ac:dyDescent="0.2">
      <c r="R27615" s="1288"/>
    </row>
    <row r="27616" spans="18:18" s="2" customFormat="1" ht="12.75" x14ac:dyDescent="0.2">
      <c r="R27616" s="1288"/>
    </row>
    <row r="27617" spans="18:18" s="2" customFormat="1" ht="12.75" x14ac:dyDescent="0.2">
      <c r="R27617" s="1288"/>
    </row>
    <row r="27618" spans="18:18" s="2" customFormat="1" ht="12.75" x14ac:dyDescent="0.2">
      <c r="R27618" s="1288"/>
    </row>
    <row r="27619" spans="18:18" s="2" customFormat="1" ht="12.75" x14ac:dyDescent="0.2">
      <c r="R27619" s="1288"/>
    </row>
    <row r="27620" spans="18:18" s="2" customFormat="1" ht="12.75" x14ac:dyDescent="0.2">
      <c r="R27620" s="1288"/>
    </row>
    <row r="27621" spans="18:18" s="2" customFormat="1" ht="12.75" x14ac:dyDescent="0.2">
      <c r="R27621" s="1288"/>
    </row>
    <row r="27622" spans="18:18" s="2" customFormat="1" ht="12.75" x14ac:dyDescent="0.2">
      <c r="R27622" s="1288"/>
    </row>
    <row r="27623" spans="18:18" s="2" customFormat="1" ht="12.75" x14ac:dyDescent="0.2">
      <c r="R27623" s="1288"/>
    </row>
    <row r="27624" spans="18:18" s="2" customFormat="1" ht="12.75" x14ac:dyDescent="0.2">
      <c r="R27624" s="1288"/>
    </row>
    <row r="27625" spans="18:18" s="2" customFormat="1" ht="12.75" x14ac:dyDescent="0.2">
      <c r="R27625" s="1288"/>
    </row>
    <row r="27626" spans="18:18" s="2" customFormat="1" ht="12.75" x14ac:dyDescent="0.2">
      <c r="R27626" s="1288"/>
    </row>
    <row r="27627" spans="18:18" s="2" customFormat="1" ht="12.75" x14ac:dyDescent="0.2">
      <c r="R27627" s="1288"/>
    </row>
    <row r="27628" spans="18:18" s="2" customFormat="1" ht="12.75" x14ac:dyDescent="0.2">
      <c r="R27628" s="1288"/>
    </row>
    <row r="27629" spans="18:18" s="2" customFormat="1" ht="12.75" x14ac:dyDescent="0.2">
      <c r="R27629" s="1288"/>
    </row>
    <row r="27630" spans="18:18" s="2" customFormat="1" ht="12.75" x14ac:dyDescent="0.2">
      <c r="R27630" s="1288"/>
    </row>
    <row r="27631" spans="18:18" s="2" customFormat="1" ht="12.75" x14ac:dyDescent="0.2">
      <c r="R27631" s="1288"/>
    </row>
    <row r="27632" spans="18:18" s="2" customFormat="1" ht="12.75" x14ac:dyDescent="0.2">
      <c r="R27632" s="1288"/>
    </row>
    <row r="27633" spans="18:18" s="2" customFormat="1" ht="12.75" x14ac:dyDescent="0.2">
      <c r="R27633" s="1288"/>
    </row>
    <row r="27634" spans="18:18" s="2" customFormat="1" ht="12.75" x14ac:dyDescent="0.2">
      <c r="R27634" s="1288"/>
    </row>
    <row r="27635" spans="18:18" s="2" customFormat="1" ht="12.75" x14ac:dyDescent="0.2">
      <c r="R27635" s="1288"/>
    </row>
    <row r="27636" spans="18:18" s="2" customFormat="1" ht="12.75" x14ac:dyDescent="0.2">
      <c r="R27636" s="1288"/>
    </row>
    <row r="27637" spans="18:18" s="2" customFormat="1" ht="12.75" x14ac:dyDescent="0.2">
      <c r="R27637" s="1288"/>
    </row>
    <row r="27638" spans="18:18" s="2" customFormat="1" ht="12.75" x14ac:dyDescent="0.2">
      <c r="R27638" s="1288"/>
    </row>
    <row r="27639" spans="18:18" s="2" customFormat="1" ht="12.75" x14ac:dyDescent="0.2">
      <c r="R27639" s="1288"/>
    </row>
    <row r="27640" spans="18:18" s="2" customFormat="1" ht="12.75" x14ac:dyDescent="0.2">
      <c r="R27640" s="1288"/>
    </row>
    <row r="27641" spans="18:18" s="2" customFormat="1" ht="12.75" x14ac:dyDescent="0.2">
      <c r="R27641" s="1288"/>
    </row>
    <row r="27642" spans="18:18" s="2" customFormat="1" ht="12.75" x14ac:dyDescent="0.2">
      <c r="R27642" s="1288"/>
    </row>
    <row r="27643" spans="18:18" s="2" customFormat="1" ht="12.75" x14ac:dyDescent="0.2">
      <c r="R27643" s="1288"/>
    </row>
    <row r="27644" spans="18:18" s="2" customFormat="1" ht="12.75" x14ac:dyDescent="0.2">
      <c r="R27644" s="1288"/>
    </row>
    <row r="27645" spans="18:18" s="2" customFormat="1" ht="12.75" x14ac:dyDescent="0.2">
      <c r="R27645" s="1288"/>
    </row>
    <row r="27646" spans="18:18" s="2" customFormat="1" ht="12.75" x14ac:dyDescent="0.2">
      <c r="R27646" s="1288"/>
    </row>
    <row r="27647" spans="18:18" s="2" customFormat="1" ht="12.75" x14ac:dyDescent="0.2">
      <c r="R27647" s="1288"/>
    </row>
    <row r="27648" spans="18:18" s="2" customFormat="1" ht="12.75" x14ac:dyDescent="0.2">
      <c r="R27648" s="1288"/>
    </row>
    <row r="27649" spans="18:18" s="2" customFormat="1" ht="12.75" x14ac:dyDescent="0.2">
      <c r="R27649" s="1288"/>
    </row>
    <row r="27650" spans="18:18" s="2" customFormat="1" ht="12.75" x14ac:dyDescent="0.2">
      <c r="R27650" s="1288"/>
    </row>
    <row r="27651" spans="18:18" s="2" customFormat="1" ht="12.75" x14ac:dyDescent="0.2">
      <c r="R27651" s="1288"/>
    </row>
    <row r="27652" spans="18:18" s="2" customFormat="1" ht="12.75" x14ac:dyDescent="0.2">
      <c r="R27652" s="1288"/>
    </row>
    <row r="27653" spans="18:18" s="2" customFormat="1" ht="12.75" x14ac:dyDescent="0.2">
      <c r="R27653" s="1288"/>
    </row>
    <row r="27654" spans="18:18" s="2" customFormat="1" ht="12.75" x14ac:dyDescent="0.2">
      <c r="R27654" s="1288"/>
    </row>
    <row r="27655" spans="18:18" s="2" customFormat="1" ht="12.75" x14ac:dyDescent="0.2">
      <c r="R27655" s="1288"/>
    </row>
    <row r="27656" spans="18:18" s="2" customFormat="1" ht="12.75" x14ac:dyDescent="0.2">
      <c r="R27656" s="1288"/>
    </row>
    <row r="27657" spans="18:18" s="2" customFormat="1" ht="12.75" x14ac:dyDescent="0.2">
      <c r="R27657" s="1288"/>
    </row>
    <row r="27658" spans="18:18" s="2" customFormat="1" ht="12.75" x14ac:dyDescent="0.2">
      <c r="R27658" s="1288"/>
    </row>
    <row r="27659" spans="18:18" s="2" customFormat="1" ht="12.75" x14ac:dyDescent="0.2">
      <c r="R27659" s="1288"/>
    </row>
    <row r="27660" spans="18:18" s="2" customFormat="1" ht="12.75" x14ac:dyDescent="0.2">
      <c r="R27660" s="1288"/>
    </row>
    <row r="27661" spans="18:18" s="2" customFormat="1" ht="12.75" x14ac:dyDescent="0.2">
      <c r="R27661" s="1288"/>
    </row>
    <row r="27662" spans="18:18" s="2" customFormat="1" ht="12.75" x14ac:dyDescent="0.2">
      <c r="R27662" s="1288"/>
    </row>
    <row r="27663" spans="18:18" s="2" customFormat="1" ht="12.75" x14ac:dyDescent="0.2">
      <c r="R27663" s="1288"/>
    </row>
    <row r="27664" spans="18:18" s="2" customFormat="1" ht="12.75" x14ac:dyDescent="0.2">
      <c r="R27664" s="1288"/>
    </row>
    <row r="27665" spans="18:18" s="2" customFormat="1" ht="12.75" x14ac:dyDescent="0.2">
      <c r="R27665" s="1288"/>
    </row>
    <row r="27666" spans="18:18" s="2" customFormat="1" ht="12.75" x14ac:dyDescent="0.2">
      <c r="R27666" s="1288"/>
    </row>
    <row r="27667" spans="18:18" s="2" customFormat="1" ht="12.75" x14ac:dyDescent="0.2">
      <c r="R27667" s="1288"/>
    </row>
    <row r="27668" spans="18:18" s="2" customFormat="1" ht="12.75" x14ac:dyDescent="0.2">
      <c r="R27668" s="1288"/>
    </row>
    <row r="27669" spans="18:18" s="2" customFormat="1" ht="12.75" x14ac:dyDescent="0.2">
      <c r="R27669" s="1288"/>
    </row>
    <row r="27670" spans="18:18" s="2" customFormat="1" ht="12.75" x14ac:dyDescent="0.2">
      <c r="R27670" s="1288"/>
    </row>
    <row r="27671" spans="18:18" s="2" customFormat="1" ht="12.75" x14ac:dyDescent="0.2">
      <c r="R27671" s="1288"/>
    </row>
    <row r="27672" spans="18:18" s="2" customFormat="1" ht="12.75" x14ac:dyDescent="0.2">
      <c r="R27672" s="1288"/>
    </row>
    <row r="27673" spans="18:18" s="2" customFormat="1" ht="12.75" x14ac:dyDescent="0.2">
      <c r="R27673" s="1288"/>
    </row>
    <row r="27674" spans="18:18" s="2" customFormat="1" ht="12.75" x14ac:dyDescent="0.2">
      <c r="R27674" s="1288"/>
    </row>
    <row r="27675" spans="18:18" s="2" customFormat="1" ht="12.75" x14ac:dyDescent="0.2">
      <c r="R27675" s="1288"/>
    </row>
    <row r="27676" spans="18:18" s="2" customFormat="1" ht="12.75" x14ac:dyDescent="0.2">
      <c r="R27676" s="1288"/>
    </row>
    <row r="27677" spans="18:18" s="2" customFormat="1" ht="12.75" x14ac:dyDescent="0.2">
      <c r="R27677" s="1288"/>
    </row>
    <row r="27678" spans="18:18" s="2" customFormat="1" ht="12.75" x14ac:dyDescent="0.2">
      <c r="R27678" s="1288"/>
    </row>
    <row r="27679" spans="18:18" s="2" customFormat="1" ht="12.75" x14ac:dyDescent="0.2">
      <c r="R27679" s="1288"/>
    </row>
    <row r="27680" spans="18:18" s="2" customFormat="1" ht="12.75" x14ac:dyDescent="0.2">
      <c r="R27680" s="1288"/>
    </row>
    <row r="27681" spans="18:18" s="2" customFormat="1" ht="12.75" x14ac:dyDescent="0.2">
      <c r="R27681" s="1288"/>
    </row>
    <row r="27682" spans="18:18" s="2" customFormat="1" ht="12.75" x14ac:dyDescent="0.2">
      <c r="R27682" s="1288"/>
    </row>
    <row r="27683" spans="18:18" s="2" customFormat="1" ht="12.75" x14ac:dyDescent="0.2">
      <c r="R27683" s="1288"/>
    </row>
    <row r="27684" spans="18:18" s="2" customFormat="1" ht="12.75" x14ac:dyDescent="0.2">
      <c r="R27684" s="1288"/>
    </row>
    <row r="27685" spans="18:18" s="2" customFormat="1" ht="12.75" x14ac:dyDescent="0.2">
      <c r="R27685" s="1288"/>
    </row>
    <row r="27686" spans="18:18" s="2" customFormat="1" ht="12.75" x14ac:dyDescent="0.2">
      <c r="R27686" s="1288"/>
    </row>
    <row r="27687" spans="18:18" s="2" customFormat="1" ht="12.75" x14ac:dyDescent="0.2">
      <c r="R27687" s="1288"/>
    </row>
    <row r="27688" spans="18:18" s="2" customFormat="1" ht="12.75" x14ac:dyDescent="0.2">
      <c r="R27688" s="1288"/>
    </row>
    <row r="27689" spans="18:18" s="2" customFormat="1" ht="12.75" x14ac:dyDescent="0.2">
      <c r="R27689" s="1288"/>
    </row>
    <row r="27690" spans="18:18" s="2" customFormat="1" ht="12.75" x14ac:dyDescent="0.2">
      <c r="R27690" s="1288"/>
    </row>
    <row r="27691" spans="18:18" s="2" customFormat="1" ht="12.75" x14ac:dyDescent="0.2">
      <c r="R27691" s="1288"/>
    </row>
    <row r="27692" spans="18:18" s="2" customFormat="1" ht="12.75" x14ac:dyDescent="0.2">
      <c r="R27692" s="1288"/>
    </row>
    <row r="27693" spans="18:18" s="2" customFormat="1" ht="12.75" x14ac:dyDescent="0.2">
      <c r="R27693" s="1288"/>
    </row>
    <row r="27694" spans="18:18" s="2" customFormat="1" ht="12.75" x14ac:dyDescent="0.2">
      <c r="R27694" s="1288"/>
    </row>
    <row r="27695" spans="18:18" s="2" customFormat="1" ht="12.75" x14ac:dyDescent="0.2">
      <c r="R27695" s="1288"/>
    </row>
    <row r="27696" spans="18:18" s="2" customFormat="1" ht="12.75" x14ac:dyDescent="0.2">
      <c r="R27696" s="1288"/>
    </row>
    <row r="27697" spans="18:18" s="2" customFormat="1" ht="12.75" x14ac:dyDescent="0.2">
      <c r="R27697" s="1288"/>
    </row>
    <row r="27698" spans="18:18" s="2" customFormat="1" ht="12.75" x14ac:dyDescent="0.2">
      <c r="R27698" s="1288"/>
    </row>
    <row r="27699" spans="18:18" s="2" customFormat="1" ht="12.75" x14ac:dyDescent="0.2">
      <c r="R27699" s="1288"/>
    </row>
    <row r="27700" spans="18:18" s="2" customFormat="1" ht="12.75" x14ac:dyDescent="0.2">
      <c r="R27700" s="1288"/>
    </row>
    <row r="27701" spans="18:18" s="2" customFormat="1" ht="12.75" x14ac:dyDescent="0.2">
      <c r="R27701" s="1288"/>
    </row>
    <row r="27702" spans="18:18" s="2" customFormat="1" ht="12.75" x14ac:dyDescent="0.2">
      <c r="R27702" s="1288"/>
    </row>
    <row r="27703" spans="18:18" s="2" customFormat="1" ht="12.75" x14ac:dyDescent="0.2">
      <c r="R27703" s="1288"/>
    </row>
    <row r="27704" spans="18:18" s="2" customFormat="1" ht="12.75" x14ac:dyDescent="0.2">
      <c r="R27704" s="1288"/>
    </row>
    <row r="27705" spans="18:18" s="2" customFormat="1" ht="12.75" x14ac:dyDescent="0.2">
      <c r="R27705" s="1288"/>
    </row>
    <row r="27706" spans="18:18" s="2" customFormat="1" ht="12.75" x14ac:dyDescent="0.2">
      <c r="R27706" s="1288"/>
    </row>
    <row r="27707" spans="18:18" s="2" customFormat="1" ht="12.75" x14ac:dyDescent="0.2">
      <c r="R27707" s="1288"/>
    </row>
    <row r="27708" spans="18:18" s="2" customFormat="1" ht="12.75" x14ac:dyDescent="0.2">
      <c r="R27708" s="1288"/>
    </row>
    <row r="27709" spans="18:18" s="2" customFormat="1" ht="12.75" x14ac:dyDescent="0.2">
      <c r="R27709" s="1288"/>
    </row>
    <row r="27710" spans="18:18" s="2" customFormat="1" ht="12.75" x14ac:dyDescent="0.2">
      <c r="R27710" s="1288"/>
    </row>
    <row r="27711" spans="18:18" s="2" customFormat="1" ht="12.75" x14ac:dyDescent="0.2">
      <c r="R27711" s="1288"/>
    </row>
    <row r="27712" spans="18:18" s="2" customFormat="1" ht="12.75" x14ac:dyDescent="0.2">
      <c r="R27712" s="1288"/>
    </row>
    <row r="27713" spans="18:18" s="2" customFormat="1" ht="12.75" x14ac:dyDescent="0.2">
      <c r="R27713" s="1288"/>
    </row>
    <row r="27714" spans="18:18" s="2" customFormat="1" ht="12.75" x14ac:dyDescent="0.2">
      <c r="R27714" s="1288"/>
    </row>
    <row r="27715" spans="18:18" s="2" customFormat="1" ht="12.75" x14ac:dyDescent="0.2">
      <c r="R27715" s="1288"/>
    </row>
    <row r="27716" spans="18:18" s="2" customFormat="1" ht="12.75" x14ac:dyDescent="0.2">
      <c r="R27716" s="1288"/>
    </row>
    <row r="27717" spans="18:18" s="2" customFormat="1" ht="12.75" x14ac:dyDescent="0.2">
      <c r="R27717" s="1288"/>
    </row>
    <row r="27718" spans="18:18" s="2" customFormat="1" ht="12.75" x14ac:dyDescent="0.2">
      <c r="R27718" s="1288"/>
    </row>
    <row r="27719" spans="18:18" s="2" customFormat="1" ht="12.75" x14ac:dyDescent="0.2">
      <c r="R27719" s="1288"/>
    </row>
    <row r="27720" spans="18:18" s="2" customFormat="1" ht="12.75" x14ac:dyDescent="0.2">
      <c r="R27720" s="1288"/>
    </row>
    <row r="27721" spans="18:18" s="2" customFormat="1" ht="12.75" x14ac:dyDescent="0.2">
      <c r="R27721" s="1288"/>
    </row>
    <row r="27722" spans="18:18" s="2" customFormat="1" ht="12.75" x14ac:dyDescent="0.2">
      <c r="R27722" s="1288"/>
    </row>
    <row r="27723" spans="18:18" s="2" customFormat="1" ht="12.75" x14ac:dyDescent="0.2">
      <c r="R27723" s="1288"/>
    </row>
    <row r="27724" spans="18:18" s="2" customFormat="1" ht="12.75" x14ac:dyDescent="0.2">
      <c r="R27724" s="1288"/>
    </row>
    <row r="27725" spans="18:18" s="2" customFormat="1" ht="12.75" x14ac:dyDescent="0.2">
      <c r="R27725" s="1288"/>
    </row>
    <row r="27726" spans="18:18" s="2" customFormat="1" ht="12.75" x14ac:dyDescent="0.2">
      <c r="R27726" s="1288"/>
    </row>
    <row r="27727" spans="18:18" s="2" customFormat="1" ht="12.75" x14ac:dyDescent="0.2">
      <c r="R27727" s="1288"/>
    </row>
    <row r="27728" spans="18:18" s="2" customFormat="1" ht="12.75" x14ac:dyDescent="0.2">
      <c r="R27728" s="1288"/>
    </row>
    <row r="27729" spans="18:18" s="2" customFormat="1" ht="12.75" x14ac:dyDescent="0.2">
      <c r="R27729" s="1288"/>
    </row>
    <row r="27730" spans="18:18" s="2" customFormat="1" ht="12.75" x14ac:dyDescent="0.2">
      <c r="R27730" s="1288"/>
    </row>
    <row r="27731" spans="18:18" s="2" customFormat="1" ht="12.75" x14ac:dyDescent="0.2">
      <c r="R27731" s="1288"/>
    </row>
    <row r="27732" spans="18:18" s="2" customFormat="1" ht="12.75" x14ac:dyDescent="0.2">
      <c r="R27732" s="1288"/>
    </row>
    <row r="27733" spans="18:18" s="2" customFormat="1" ht="12.75" x14ac:dyDescent="0.2">
      <c r="R27733" s="1288"/>
    </row>
    <row r="27734" spans="18:18" s="2" customFormat="1" ht="12.75" x14ac:dyDescent="0.2">
      <c r="R27734" s="1288"/>
    </row>
    <row r="27735" spans="18:18" s="2" customFormat="1" ht="12.75" x14ac:dyDescent="0.2">
      <c r="R27735" s="1288"/>
    </row>
    <row r="27736" spans="18:18" s="2" customFormat="1" ht="12.75" x14ac:dyDescent="0.2">
      <c r="R27736" s="1288"/>
    </row>
    <row r="27737" spans="18:18" s="2" customFormat="1" ht="12.75" x14ac:dyDescent="0.2">
      <c r="R27737" s="1288"/>
    </row>
    <row r="27738" spans="18:18" s="2" customFormat="1" ht="12.75" x14ac:dyDescent="0.2">
      <c r="R27738" s="1288"/>
    </row>
    <row r="27739" spans="18:18" s="2" customFormat="1" ht="12.75" x14ac:dyDescent="0.2">
      <c r="R27739" s="1288"/>
    </row>
    <row r="27740" spans="18:18" s="2" customFormat="1" ht="12.75" x14ac:dyDescent="0.2">
      <c r="R27740" s="1288"/>
    </row>
    <row r="27741" spans="18:18" s="2" customFormat="1" ht="12.75" x14ac:dyDescent="0.2">
      <c r="R27741" s="1288"/>
    </row>
    <row r="27742" spans="18:18" s="2" customFormat="1" ht="12.75" x14ac:dyDescent="0.2">
      <c r="R27742" s="1288"/>
    </row>
    <row r="27743" spans="18:18" s="2" customFormat="1" ht="12.75" x14ac:dyDescent="0.2">
      <c r="R27743" s="1288"/>
    </row>
    <row r="27744" spans="18:18" s="2" customFormat="1" ht="12.75" x14ac:dyDescent="0.2">
      <c r="R27744" s="1288"/>
    </row>
    <row r="27745" spans="18:18" s="2" customFormat="1" ht="12.75" x14ac:dyDescent="0.2">
      <c r="R27745" s="1288"/>
    </row>
    <row r="27746" spans="18:18" s="2" customFormat="1" ht="12.75" x14ac:dyDescent="0.2">
      <c r="R27746" s="1288"/>
    </row>
    <row r="27747" spans="18:18" s="2" customFormat="1" ht="12.75" x14ac:dyDescent="0.2">
      <c r="R27747" s="1288"/>
    </row>
    <row r="27748" spans="18:18" s="2" customFormat="1" ht="12.75" x14ac:dyDescent="0.2">
      <c r="R27748" s="1288"/>
    </row>
    <row r="27749" spans="18:18" s="2" customFormat="1" ht="12.75" x14ac:dyDescent="0.2">
      <c r="R27749" s="1288"/>
    </row>
    <row r="27750" spans="18:18" s="2" customFormat="1" ht="12.75" x14ac:dyDescent="0.2">
      <c r="R27750" s="1288"/>
    </row>
    <row r="27751" spans="18:18" s="2" customFormat="1" ht="12.75" x14ac:dyDescent="0.2">
      <c r="R27751" s="1288"/>
    </row>
    <row r="27752" spans="18:18" s="2" customFormat="1" ht="12.75" x14ac:dyDescent="0.2">
      <c r="R27752" s="1288"/>
    </row>
    <row r="27753" spans="18:18" s="2" customFormat="1" ht="12.75" x14ac:dyDescent="0.2">
      <c r="R27753" s="1288"/>
    </row>
    <row r="27754" spans="18:18" s="2" customFormat="1" ht="12.75" x14ac:dyDescent="0.2">
      <c r="R27754" s="1288"/>
    </row>
    <row r="27755" spans="18:18" s="2" customFormat="1" ht="12.75" x14ac:dyDescent="0.2">
      <c r="R27755" s="1288"/>
    </row>
    <row r="27756" spans="18:18" s="2" customFormat="1" ht="12.75" x14ac:dyDescent="0.2">
      <c r="R27756" s="1288"/>
    </row>
    <row r="27757" spans="18:18" s="2" customFormat="1" ht="12.75" x14ac:dyDescent="0.2">
      <c r="R27757" s="1288"/>
    </row>
    <row r="27758" spans="18:18" s="2" customFormat="1" ht="12.75" x14ac:dyDescent="0.2">
      <c r="R27758" s="1288"/>
    </row>
    <row r="27759" spans="18:18" s="2" customFormat="1" ht="12.75" x14ac:dyDescent="0.2">
      <c r="R27759" s="1288"/>
    </row>
    <row r="27760" spans="18:18" s="2" customFormat="1" ht="12.75" x14ac:dyDescent="0.2">
      <c r="R27760" s="1288"/>
    </row>
    <row r="27761" spans="18:18" s="2" customFormat="1" ht="12.75" x14ac:dyDescent="0.2">
      <c r="R27761" s="1288"/>
    </row>
    <row r="27762" spans="18:18" s="2" customFormat="1" ht="12.75" x14ac:dyDescent="0.2">
      <c r="R27762" s="1288"/>
    </row>
    <row r="27763" spans="18:18" s="2" customFormat="1" ht="12.75" x14ac:dyDescent="0.2">
      <c r="R27763" s="1288"/>
    </row>
    <row r="27764" spans="18:18" s="2" customFormat="1" ht="12.75" x14ac:dyDescent="0.2">
      <c r="R27764" s="1288"/>
    </row>
    <row r="27765" spans="18:18" s="2" customFormat="1" ht="12.75" x14ac:dyDescent="0.2">
      <c r="R27765" s="1288"/>
    </row>
    <row r="27766" spans="18:18" s="2" customFormat="1" ht="12.75" x14ac:dyDescent="0.2">
      <c r="R27766" s="1288"/>
    </row>
    <row r="27767" spans="18:18" s="2" customFormat="1" ht="12.75" x14ac:dyDescent="0.2">
      <c r="R27767" s="1288"/>
    </row>
    <row r="27768" spans="18:18" s="2" customFormat="1" ht="12.75" x14ac:dyDescent="0.2">
      <c r="R27768" s="1288"/>
    </row>
    <row r="27769" spans="18:18" s="2" customFormat="1" ht="12.75" x14ac:dyDescent="0.2">
      <c r="R27769" s="1288"/>
    </row>
    <row r="27770" spans="18:18" s="2" customFormat="1" ht="12.75" x14ac:dyDescent="0.2">
      <c r="R27770" s="1288"/>
    </row>
    <row r="27771" spans="18:18" s="2" customFormat="1" ht="12.75" x14ac:dyDescent="0.2">
      <c r="R27771" s="1288"/>
    </row>
    <row r="27772" spans="18:18" s="2" customFormat="1" ht="12.75" x14ac:dyDescent="0.2">
      <c r="R27772" s="1288"/>
    </row>
    <row r="27773" spans="18:18" s="2" customFormat="1" ht="12.75" x14ac:dyDescent="0.2">
      <c r="R27773" s="1288"/>
    </row>
    <row r="27774" spans="18:18" s="2" customFormat="1" ht="12.75" x14ac:dyDescent="0.2">
      <c r="R27774" s="1288"/>
    </row>
    <row r="27775" spans="18:18" s="2" customFormat="1" ht="12.75" x14ac:dyDescent="0.2">
      <c r="R27775" s="1288"/>
    </row>
    <row r="27776" spans="18:18" s="2" customFormat="1" ht="12.75" x14ac:dyDescent="0.2">
      <c r="R27776" s="1288"/>
    </row>
    <row r="27777" spans="18:18" s="2" customFormat="1" ht="12.75" x14ac:dyDescent="0.2">
      <c r="R27777" s="1288"/>
    </row>
    <row r="27778" spans="18:18" s="2" customFormat="1" ht="12.75" x14ac:dyDescent="0.2">
      <c r="R27778" s="1288"/>
    </row>
    <row r="27779" spans="18:18" s="2" customFormat="1" ht="12.75" x14ac:dyDescent="0.2">
      <c r="R27779" s="1288"/>
    </row>
    <row r="27780" spans="18:18" s="2" customFormat="1" ht="12.75" x14ac:dyDescent="0.2">
      <c r="R27780" s="1288"/>
    </row>
    <row r="27781" spans="18:18" s="2" customFormat="1" ht="12.75" x14ac:dyDescent="0.2">
      <c r="R27781" s="1288"/>
    </row>
    <row r="27782" spans="18:18" s="2" customFormat="1" ht="12.75" x14ac:dyDescent="0.2">
      <c r="R27782" s="1288"/>
    </row>
    <row r="27783" spans="18:18" s="2" customFormat="1" ht="12.75" x14ac:dyDescent="0.2">
      <c r="R27783" s="1288"/>
    </row>
    <row r="27784" spans="18:18" s="2" customFormat="1" ht="12.75" x14ac:dyDescent="0.2">
      <c r="R27784" s="1288"/>
    </row>
    <row r="27785" spans="18:18" s="2" customFormat="1" ht="12.75" x14ac:dyDescent="0.2">
      <c r="R27785" s="1288"/>
    </row>
    <row r="27786" spans="18:18" s="2" customFormat="1" ht="12.75" x14ac:dyDescent="0.2">
      <c r="R27786" s="1288"/>
    </row>
    <row r="27787" spans="18:18" s="2" customFormat="1" ht="12.75" x14ac:dyDescent="0.2">
      <c r="R27787" s="1288"/>
    </row>
    <row r="27788" spans="18:18" s="2" customFormat="1" ht="12.75" x14ac:dyDescent="0.2">
      <c r="R27788" s="1288"/>
    </row>
    <row r="27789" spans="18:18" s="2" customFormat="1" ht="12.75" x14ac:dyDescent="0.2">
      <c r="R27789" s="1288"/>
    </row>
    <row r="27790" spans="18:18" s="2" customFormat="1" ht="12.75" x14ac:dyDescent="0.2">
      <c r="R27790" s="1288"/>
    </row>
    <row r="27791" spans="18:18" s="2" customFormat="1" ht="12.75" x14ac:dyDescent="0.2">
      <c r="R27791" s="1288"/>
    </row>
    <row r="27792" spans="18:18" s="2" customFormat="1" ht="12.75" x14ac:dyDescent="0.2">
      <c r="R27792" s="1288"/>
    </row>
    <row r="27793" spans="18:18" s="2" customFormat="1" ht="12.75" x14ac:dyDescent="0.2">
      <c r="R27793" s="1288"/>
    </row>
    <row r="27794" spans="18:18" s="2" customFormat="1" ht="12.75" x14ac:dyDescent="0.2">
      <c r="R27794" s="1288"/>
    </row>
    <row r="27795" spans="18:18" s="2" customFormat="1" ht="12.75" x14ac:dyDescent="0.2">
      <c r="R27795" s="1288"/>
    </row>
    <row r="27796" spans="18:18" s="2" customFormat="1" ht="12.75" x14ac:dyDescent="0.2">
      <c r="R27796" s="1288"/>
    </row>
    <row r="27797" spans="18:18" s="2" customFormat="1" ht="12.75" x14ac:dyDescent="0.2">
      <c r="R27797" s="1288"/>
    </row>
    <row r="27798" spans="18:18" s="2" customFormat="1" ht="12.75" x14ac:dyDescent="0.2">
      <c r="R27798" s="1288"/>
    </row>
    <row r="27799" spans="18:18" s="2" customFormat="1" ht="12.75" x14ac:dyDescent="0.2">
      <c r="R27799" s="1288"/>
    </row>
    <row r="27800" spans="18:18" s="2" customFormat="1" ht="12.75" x14ac:dyDescent="0.2">
      <c r="R27800" s="1288"/>
    </row>
    <row r="27801" spans="18:18" s="2" customFormat="1" ht="12.75" x14ac:dyDescent="0.2">
      <c r="R27801" s="1288"/>
    </row>
    <row r="27802" spans="18:18" s="2" customFormat="1" ht="12.75" x14ac:dyDescent="0.2">
      <c r="R27802" s="1288"/>
    </row>
    <row r="27803" spans="18:18" s="2" customFormat="1" ht="12.75" x14ac:dyDescent="0.2">
      <c r="R27803" s="1288"/>
    </row>
    <row r="27804" spans="18:18" s="2" customFormat="1" ht="12.75" x14ac:dyDescent="0.2">
      <c r="R27804" s="1288"/>
    </row>
    <row r="27805" spans="18:18" s="2" customFormat="1" ht="12.75" x14ac:dyDescent="0.2">
      <c r="R27805" s="1288"/>
    </row>
    <row r="27806" spans="18:18" s="2" customFormat="1" ht="12.75" x14ac:dyDescent="0.2">
      <c r="R27806" s="1288"/>
    </row>
    <row r="27807" spans="18:18" s="2" customFormat="1" ht="12.75" x14ac:dyDescent="0.2">
      <c r="R27807" s="1288"/>
    </row>
    <row r="27808" spans="18:18" s="2" customFormat="1" ht="12.75" x14ac:dyDescent="0.2">
      <c r="R27808" s="1288"/>
    </row>
    <row r="27809" spans="18:18" s="2" customFormat="1" ht="12.75" x14ac:dyDescent="0.2">
      <c r="R27809" s="1288"/>
    </row>
    <row r="27810" spans="18:18" s="2" customFormat="1" ht="12.75" x14ac:dyDescent="0.2">
      <c r="R27810" s="1288"/>
    </row>
    <row r="27811" spans="18:18" s="2" customFormat="1" ht="12.75" x14ac:dyDescent="0.2">
      <c r="R27811" s="1288"/>
    </row>
    <row r="27812" spans="18:18" s="2" customFormat="1" ht="12.75" x14ac:dyDescent="0.2">
      <c r="R27812" s="1288"/>
    </row>
    <row r="27813" spans="18:18" s="2" customFormat="1" ht="12.75" x14ac:dyDescent="0.2">
      <c r="R27813" s="1288"/>
    </row>
    <row r="27814" spans="18:18" s="2" customFormat="1" ht="12.75" x14ac:dyDescent="0.2">
      <c r="R27814" s="1288"/>
    </row>
    <row r="27815" spans="18:18" s="2" customFormat="1" ht="12.75" x14ac:dyDescent="0.2">
      <c r="R27815" s="1288"/>
    </row>
    <row r="27816" spans="18:18" s="2" customFormat="1" ht="12.75" x14ac:dyDescent="0.2">
      <c r="R27816" s="1288"/>
    </row>
    <row r="27817" spans="18:18" s="2" customFormat="1" ht="12.75" x14ac:dyDescent="0.2">
      <c r="R27817" s="1288"/>
    </row>
    <row r="27818" spans="18:18" s="2" customFormat="1" ht="12.75" x14ac:dyDescent="0.2">
      <c r="R27818" s="1288"/>
    </row>
    <row r="27819" spans="18:18" s="2" customFormat="1" ht="12.75" x14ac:dyDescent="0.2">
      <c r="R27819" s="1288"/>
    </row>
    <row r="27820" spans="18:18" s="2" customFormat="1" ht="12.75" x14ac:dyDescent="0.2">
      <c r="R27820" s="1288"/>
    </row>
    <row r="27821" spans="18:18" s="2" customFormat="1" ht="12.75" x14ac:dyDescent="0.2">
      <c r="R27821" s="1288"/>
    </row>
    <row r="27822" spans="18:18" s="2" customFormat="1" ht="12.75" x14ac:dyDescent="0.2">
      <c r="R27822" s="1288"/>
    </row>
    <row r="27823" spans="18:18" s="2" customFormat="1" ht="12.75" x14ac:dyDescent="0.2">
      <c r="R27823" s="1288"/>
    </row>
    <row r="27824" spans="18:18" s="2" customFormat="1" ht="12.75" x14ac:dyDescent="0.2">
      <c r="R27824" s="1288"/>
    </row>
    <row r="27825" spans="18:18" s="2" customFormat="1" ht="12.75" x14ac:dyDescent="0.2">
      <c r="R27825" s="1288"/>
    </row>
    <row r="27826" spans="18:18" s="2" customFormat="1" ht="12.75" x14ac:dyDescent="0.2">
      <c r="R27826" s="1288"/>
    </row>
    <row r="27827" spans="18:18" s="2" customFormat="1" ht="12.75" x14ac:dyDescent="0.2">
      <c r="R27827" s="1288"/>
    </row>
    <row r="27828" spans="18:18" s="2" customFormat="1" ht="12.75" x14ac:dyDescent="0.2">
      <c r="R27828" s="1288"/>
    </row>
    <row r="27829" spans="18:18" s="2" customFormat="1" ht="12.75" x14ac:dyDescent="0.2">
      <c r="R27829" s="1288"/>
    </row>
    <row r="27830" spans="18:18" s="2" customFormat="1" ht="12.75" x14ac:dyDescent="0.2">
      <c r="R27830" s="1288"/>
    </row>
    <row r="27831" spans="18:18" s="2" customFormat="1" ht="12.75" x14ac:dyDescent="0.2">
      <c r="R27831" s="1288"/>
    </row>
    <row r="27832" spans="18:18" s="2" customFormat="1" ht="12.75" x14ac:dyDescent="0.2">
      <c r="R27832" s="1288"/>
    </row>
    <row r="27833" spans="18:18" s="2" customFormat="1" ht="12.75" x14ac:dyDescent="0.2">
      <c r="R27833" s="1288"/>
    </row>
    <row r="27834" spans="18:18" s="2" customFormat="1" ht="12.75" x14ac:dyDescent="0.2">
      <c r="R27834" s="1288"/>
    </row>
    <row r="27835" spans="18:18" s="2" customFormat="1" ht="12.75" x14ac:dyDescent="0.2">
      <c r="R27835" s="1288"/>
    </row>
    <row r="27836" spans="18:18" s="2" customFormat="1" ht="12.75" x14ac:dyDescent="0.2">
      <c r="R27836" s="1288"/>
    </row>
    <row r="27837" spans="18:18" s="2" customFormat="1" ht="12.75" x14ac:dyDescent="0.2">
      <c r="R27837" s="1288"/>
    </row>
    <row r="27838" spans="18:18" s="2" customFormat="1" ht="12.75" x14ac:dyDescent="0.2">
      <c r="R27838" s="1288"/>
    </row>
    <row r="27839" spans="18:18" s="2" customFormat="1" ht="12.75" x14ac:dyDescent="0.2">
      <c r="R27839" s="1288"/>
    </row>
    <row r="27840" spans="18:18" s="2" customFormat="1" ht="12.75" x14ac:dyDescent="0.2">
      <c r="R27840" s="1288"/>
    </row>
    <row r="27841" spans="18:18" s="2" customFormat="1" ht="12.75" x14ac:dyDescent="0.2">
      <c r="R27841" s="1288"/>
    </row>
    <row r="27842" spans="18:18" s="2" customFormat="1" ht="12.75" x14ac:dyDescent="0.2">
      <c r="R27842" s="1288"/>
    </row>
    <row r="27843" spans="18:18" s="2" customFormat="1" ht="12.75" x14ac:dyDescent="0.2">
      <c r="R27843" s="1288"/>
    </row>
    <row r="27844" spans="18:18" s="2" customFormat="1" ht="12.75" x14ac:dyDescent="0.2">
      <c r="R27844" s="1288"/>
    </row>
    <row r="27845" spans="18:18" s="2" customFormat="1" ht="12.75" x14ac:dyDescent="0.2">
      <c r="R27845" s="1288"/>
    </row>
    <row r="27846" spans="18:18" s="2" customFormat="1" ht="12.75" x14ac:dyDescent="0.2">
      <c r="R27846" s="1288"/>
    </row>
    <row r="27847" spans="18:18" s="2" customFormat="1" ht="12.75" x14ac:dyDescent="0.2">
      <c r="R27847" s="1288"/>
    </row>
    <row r="27848" spans="18:18" s="2" customFormat="1" ht="12.75" x14ac:dyDescent="0.2">
      <c r="R27848" s="1288"/>
    </row>
    <row r="27849" spans="18:18" s="2" customFormat="1" ht="12.75" x14ac:dyDescent="0.2">
      <c r="R27849" s="1288"/>
    </row>
    <row r="27850" spans="18:18" s="2" customFormat="1" ht="12.75" x14ac:dyDescent="0.2">
      <c r="R27850" s="1288"/>
    </row>
    <row r="27851" spans="18:18" s="2" customFormat="1" ht="12.75" x14ac:dyDescent="0.2">
      <c r="R27851" s="1288"/>
    </row>
    <row r="27852" spans="18:18" s="2" customFormat="1" ht="12.75" x14ac:dyDescent="0.2">
      <c r="R27852" s="1288"/>
    </row>
    <row r="27853" spans="18:18" s="2" customFormat="1" ht="12.75" x14ac:dyDescent="0.2">
      <c r="R27853" s="1288"/>
    </row>
    <row r="27854" spans="18:18" s="2" customFormat="1" ht="12.75" x14ac:dyDescent="0.2">
      <c r="R27854" s="1288"/>
    </row>
    <row r="27855" spans="18:18" s="2" customFormat="1" ht="12.75" x14ac:dyDescent="0.2">
      <c r="R27855" s="1288"/>
    </row>
    <row r="27856" spans="18:18" s="2" customFormat="1" ht="12.75" x14ac:dyDescent="0.2">
      <c r="R27856" s="1288"/>
    </row>
    <row r="27857" spans="18:18" s="2" customFormat="1" ht="12.75" x14ac:dyDescent="0.2">
      <c r="R27857" s="1288"/>
    </row>
    <row r="27858" spans="18:18" s="2" customFormat="1" ht="12.75" x14ac:dyDescent="0.2">
      <c r="R27858" s="1288"/>
    </row>
    <row r="27859" spans="18:18" s="2" customFormat="1" ht="12.75" x14ac:dyDescent="0.2">
      <c r="R27859" s="1288"/>
    </row>
    <row r="27860" spans="18:18" s="2" customFormat="1" ht="12.75" x14ac:dyDescent="0.2">
      <c r="R27860" s="1288"/>
    </row>
    <row r="27861" spans="18:18" s="2" customFormat="1" ht="12.75" x14ac:dyDescent="0.2">
      <c r="R27861" s="1288"/>
    </row>
    <row r="27862" spans="18:18" s="2" customFormat="1" ht="12.75" x14ac:dyDescent="0.2">
      <c r="R27862" s="1288"/>
    </row>
    <row r="27863" spans="18:18" s="2" customFormat="1" ht="12.75" x14ac:dyDescent="0.2">
      <c r="R27863" s="1288"/>
    </row>
    <row r="27864" spans="18:18" s="2" customFormat="1" ht="12.75" x14ac:dyDescent="0.2">
      <c r="R27864" s="1288"/>
    </row>
    <row r="27865" spans="18:18" s="2" customFormat="1" ht="12.75" x14ac:dyDescent="0.2">
      <c r="R27865" s="1288"/>
    </row>
    <row r="27866" spans="18:18" s="2" customFormat="1" ht="12.75" x14ac:dyDescent="0.2">
      <c r="R27866" s="1288"/>
    </row>
    <row r="27867" spans="18:18" s="2" customFormat="1" ht="12.75" x14ac:dyDescent="0.2">
      <c r="R27867" s="1288"/>
    </row>
    <row r="27868" spans="18:18" s="2" customFormat="1" ht="12.75" x14ac:dyDescent="0.2">
      <c r="R27868" s="1288"/>
    </row>
    <row r="27869" spans="18:18" s="2" customFormat="1" ht="12.75" x14ac:dyDescent="0.2">
      <c r="R27869" s="1288"/>
    </row>
    <row r="27870" spans="18:18" s="2" customFormat="1" ht="12.75" x14ac:dyDescent="0.2">
      <c r="R27870" s="1288"/>
    </row>
    <row r="27871" spans="18:18" s="2" customFormat="1" ht="12.75" x14ac:dyDescent="0.2">
      <c r="R27871" s="1288"/>
    </row>
    <row r="27872" spans="18:18" s="2" customFormat="1" ht="12.75" x14ac:dyDescent="0.2">
      <c r="R27872" s="1288"/>
    </row>
    <row r="27873" spans="18:18" s="2" customFormat="1" ht="12.75" x14ac:dyDescent="0.2">
      <c r="R27873" s="1288"/>
    </row>
    <row r="27874" spans="18:18" s="2" customFormat="1" ht="12.75" x14ac:dyDescent="0.2">
      <c r="R27874" s="1288"/>
    </row>
    <row r="27875" spans="18:18" s="2" customFormat="1" ht="12.75" x14ac:dyDescent="0.2">
      <c r="R27875" s="1288"/>
    </row>
    <row r="27876" spans="18:18" s="2" customFormat="1" ht="12.75" x14ac:dyDescent="0.2">
      <c r="R27876" s="1288"/>
    </row>
    <row r="27877" spans="18:18" s="2" customFormat="1" ht="12.75" x14ac:dyDescent="0.2">
      <c r="R27877" s="1288"/>
    </row>
    <row r="27878" spans="18:18" s="2" customFormat="1" ht="12.75" x14ac:dyDescent="0.2">
      <c r="R27878" s="1288"/>
    </row>
    <row r="27879" spans="18:18" s="2" customFormat="1" ht="12.75" x14ac:dyDescent="0.2">
      <c r="R27879" s="1288"/>
    </row>
    <row r="27880" spans="18:18" s="2" customFormat="1" ht="12.75" x14ac:dyDescent="0.2">
      <c r="R27880" s="1288"/>
    </row>
    <row r="27881" spans="18:18" s="2" customFormat="1" ht="12.75" x14ac:dyDescent="0.2">
      <c r="R27881" s="1288"/>
    </row>
    <row r="27882" spans="18:18" s="2" customFormat="1" ht="12.75" x14ac:dyDescent="0.2">
      <c r="R27882" s="1288"/>
    </row>
    <row r="27883" spans="18:18" s="2" customFormat="1" ht="12.75" x14ac:dyDescent="0.2">
      <c r="R27883" s="1288"/>
    </row>
    <row r="27884" spans="18:18" s="2" customFormat="1" ht="12.75" x14ac:dyDescent="0.2">
      <c r="R27884" s="1288"/>
    </row>
    <row r="27885" spans="18:18" s="2" customFormat="1" ht="12.75" x14ac:dyDescent="0.2">
      <c r="R27885" s="1288"/>
    </row>
    <row r="27886" spans="18:18" s="2" customFormat="1" ht="12.75" x14ac:dyDescent="0.2">
      <c r="R27886" s="1288"/>
    </row>
    <row r="27887" spans="18:18" s="2" customFormat="1" ht="12.75" x14ac:dyDescent="0.2">
      <c r="R27887" s="1288"/>
    </row>
    <row r="27888" spans="18:18" s="2" customFormat="1" ht="12.75" x14ac:dyDescent="0.2">
      <c r="R27888" s="1288"/>
    </row>
    <row r="27889" spans="18:18" s="2" customFormat="1" ht="12.75" x14ac:dyDescent="0.2">
      <c r="R27889" s="1288"/>
    </row>
    <row r="27890" spans="18:18" s="2" customFormat="1" ht="12.75" x14ac:dyDescent="0.2">
      <c r="R27890" s="1288"/>
    </row>
    <row r="27891" spans="18:18" s="2" customFormat="1" ht="12.75" x14ac:dyDescent="0.2">
      <c r="R27891" s="1288"/>
    </row>
    <row r="27892" spans="18:18" s="2" customFormat="1" ht="12.75" x14ac:dyDescent="0.2">
      <c r="R27892" s="1288"/>
    </row>
    <row r="27893" spans="18:18" s="2" customFormat="1" ht="12.75" x14ac:dyDescent="0.2">
      <c r="R27893" s="1288"/>
    </row>
    <row r="27894" spans="18:18" s="2" customFormat="1" ht="12.75" x14ac:dyDescent="0.2">
      <c r="R27894" s="1288"/>
    </row>
    <row r="27895" spans="18:18" s="2" customFormat="1" ht="12.75" x14ac:dyDescent="0.2">
      <c r="R27895" s="1288"/>
    </row>
    <row r="27896" spans="18:18" s="2" customFormat="1" ht="12.75" x14ac:dyDescent="0.2">
      <c r="R27896" s="1288"/>
    </row>
    <row r="27897" spans="18:18" s="2" customFormat="1" ht="12.75" x14ac:dyDescent="0.2">
      <c r="R27897" s="1288"/>
    </row>
    <row r="27898" spans="18:18" s="2" customFormat="1" ht="12.75" x14ac:dyDescent="0.2">
      <c r="R27898" s="1288"/>
    </row>
    <row r="27899" spans="18:18" s="2" customFormat="1" ht="12.75" x14ac:dyDescent="0.2">
      <c r="R27899" s="1288"/>
    </row>
    <row r="27900" spans="18:18" s="2" customFormat="1" ht="12.75" x14ac:dyDescent="0.2">
      <c r="R27900" s="1288"/>
    </row>
    <row r="27901" spans="18:18" s="2" customFormat="1" ht="12.75" x14ac:dyDescent="0.2">
      <c r="R27901" s="1288"/>
    </row>
    <row r="27902" spans="18:18" s="2" customFormat="1" ht="12.75" x14ac:dyDescent="0.2">
      <c r="R27902" s="1288"/>
    </row>
    <row r="27903" spans="18:18" s="2" customFormat="1" ht="12.75" x14ac:dyDescent="0.2">
      <c r="R27903" s="1288"/>
    </row>
    <row r="27904" spans="18:18" s="2" customFormat="1" ht="12.75" x14ac:dyDescent="0.2">
      <c r="R27904" s="1288"/>
    </row>
    <row r="27905" spans="18:18" s="2" customFormat="1" ht="12.75" x14ac:dyDescent="0.2">
      <c r="R27905" s="1288"/>
    </row>
    <row r="27906" spans="18:18" s="2" customFormat="1" ht="12.75" x14ac:dyDescent="0.2">
      <c r="R27906" s="1288"/>
    </row>
    <row r="27907" spans="18:18" s="2" customFormat="1" ht="12.75" x14ac:dyDescent="0.2">
      <c r="R27907" s="1288"/>
    </row>
    <row r="27908" spans="18:18" s="2" customFormat="1" ht="12.75" x14ac:dyDescent="0.2">
      <c r="R27908" s="1288"/>
    </row>
    <row r="27909" spans="18:18" s="2" customFormat="1" ht="12.75" x14ac:dyDescent="0.2">
      <c r="R27909" s="1288"/>
    </row>
    <row r="27910" spans="18:18" s="2" customFormat="1" ht="12.75" x14ac:dyDescent="0.2">
      <c r="R27910" s="1288"/>
    </row>
    <row r="27911" spans="18:18" s="2" customFormat="1" ht="12.75" x14ac:dyDescent="0.2">
      <c r="R27911" s="1288"/>
    </row>
    <row r="27912" spans="18:18" s="2" customFormat="1" ht="12.75" x14ac:dyDescent="0.2">
      <c r="R27912" s="1288"/>
    </row>
    <row r="27913" spans="18:18" s="2" customFormat="1" ht="12.75" x14ac:dyDescent="0.2">
      <c r="R27913" s="1288"/>
    </row>
    <row r="27914" spans="18:18" s="2" customFormat="1" ht="12.75" x14ac:dyDescent="0.2">
      <c r="R27914" s="1288"/>
    </row>
    <row r="27915" spans="18:18" s="2" customFormat="1" ht="12.75" x14ac:dyDescent="0.2">
      <c r="R27915" s="1288"/>
    </row>
    <row r="27916" spans="18:18" s="2" customFormat="1" ht="12.75" x14ac:dyDescent="0.2">
      <c r="R27916" s="1288"/>
    </row>
    <row r="27917" spans="18:18" s="2" customFormat="1" ht="12.75" x14ac:dyDescent="0.2">
      <c r="R27917" s="1288"/>
    </row>
    <row r="27918" spans="18:18" s="2" customFormat="1" ht="12.75" x14ac:dyDescent="0.2">
      <c r="R27918" s="1288"/>
    </row>
    <row r="27919" spans="18:18" s="2" customFormat="1" ht="12.75" x14ac:dyDescent="0.2">
      <c r="R27919" s="1288"/>
    </row>
    <row r="27920" spans="18:18" s="2" customFormat="1" ht="12.75" x14ac:dyDescent="0.2">
      <c r="R27920" s="1288"/>
    </row>
    <row r="27921" spans="18:18" s="2" customFormat="1" ht="12.75" x14ac:dyDescent="0.2">
      <c r="R27921" s="1288"/>
    </row>
    <row r="27922" spans="18:18" s="2" customFormat="1" ht="12.75" x14ac:dyDescent="0.2">
      <c r="R27922" s="1288"/>
    </row>
    <row r="27923" spans="18:18" s="2" customFormat="1" ht="12.75" x14ac:dyDescent="0.2">
      <c r="R27923" s="1288"/>
    </row>
    <row r="27924" spans="18:18" s="2" customFormat="1" ht="12.75" x14ac:dyDescent="0.2">
      <c r="R27924" s="1288"/>
    </row>
    <row r="27925" spans="18:18" s="2" customFormat="1" ht="12.75" x14ac:dyDescent="0.2">
      <c r="R27925" s="1288"/>
    </row>
    <row r="27926" spans="18:18" s="2" customFormat="1" ht="12.75" x14ac:dyDescent="0.2">
      <c r="R27926" s="1288"/>
    </row>
    <row r="27927" spans="18:18" s="2" customFormat="1" ht="12.75" x14ac:dyDescent="0.2">
      <c r="R27927" s="1288"/>
    </row>
    <row r="27928" spans="18:18" s="2" customFormat="1" ht="12.75" x14ac:dyDescent="0.2">
      <c r="R27928" s="1288"/>
    </row>
    <row r="27929" spans="18:18" s="2" customFormat="1" ht="12.75" x14ac:dyDescent="0.2">
      <c r="R27929" s="1288"/>
    </row>
    <row r="27930" spans="18:18" s="2" customFormat="1" ht="12.75" x14ac:dyDescent="0.2">
      <c r="R27930" s="1288"/>
    </row>
    <row r="27931" spans="18:18" s="2" customFormat="1" ht="12.75" x14ac:dyDescent="0.2">
      <c r="R27931" s="1288"/>
    </row>
    <row r="27932" spans="18:18" s="2" customFormat="1" ht="12.75" x14ac:dyDescent="0.2">
      <c r="R27932" s="1288"/>
    </row>
    <row r="27933" spans="18:18" s="2" customFormat="1" ht="12.75" x14ac:dyDescent="0.2">
      <c r="R27933" s="1288"/>
    </row>
    <row r="27934" spans="18:18" s="2" customFormat="1" ht="12.75" x14ac:dyDescent="0.2">
      <c r="R27934" s="1288"/>
    </row>
    <row r="27935" spans="18:18" s="2" customFormat="1" ht="12.75" x14ac:dyDescent="0.2">
      <c r="R27935" s="1288"/>
    </row>
    <row r="27936" spans="18:18" s="2" customFormat="1" ht="12.75" x14ac:dyDescent="0.2">
      <c r="R27936" s="1288"/>
    </row>
    <row r="27937" spans="18:18" s="2" customFormat="1" ht="12.75" x14ac:dyDescent="0.2">
      <c r="R27937" s="1288"/>
    </row>
    <row r="27938" spans="18:18" s="2" customFormat="1" ht="12.75" x14ac:dyDescent="0.2">
      <c r="R27938" s="1288"/>
    </row>
    <row r="27939" spans="18:18" s="2" customFormat="1" ht="12.75" x14ac:dyDescent="0.2">
      <c r="R27939" s="1288"/>
    </row>
    <row r="27940" spans="18:18" s="2" customFormat="1" ht="12.75" x14ac:dyDescent="0.2">
      <c r="R27940" s="1288"/>
    </row>
    <row r="27941" spans="18:18" s="2" customFormat="1" ht="12.75" x14ac:dyDescent="0.2">
      <c r="R27941" s="1288"/>
    </row>
    <row r="27942" spans="18:18" s="2" customFormat="1" ht="12.75" x14ac:dyDescent="0.2">
      <c r="R27942" s="1288"/>
    </row>
    <row r="27943" spans="18:18" s="2" customFormat="1" ht="12.75" x14ac:dyDescent="0.2">
      <c r="R27943" s="1288"/>
    </row>
    <row r="27944" spans="18:18" s="2" customFormat="1" ht="12.75" x14ac:dyDescent="0.2">
      <c r="R27944" s="1288"/>
    </row>
    <row r="27945" spans="18:18" s="2" customFormat="1" ht="12.75" x14ac:dyDescent="0.2">
      <c r="R27945" s="1288"/>
    </row>
    <row r="27946" spans="18:18" s="2" customFormat="1" ht="12.75" x14ac:dyDescent="0.2">
      <c r="R27946" s="1288"/>
    </row>
    <row r="27947" spans="18:18" s="2" customFormat="1" ht="12.75" x14ac:dyDescent="0.2">
      <c r="R27947" s="1288"/>
    </row>
    <row r="27948" spans="18:18" s="2" customFormat="1" ht="12.75" x14ac:dyDescent="0.2">
      <c r="R27948" s="1288"/>
    </row>
    <row r="27949" spans="18:18" s="2" customFormat="1" ht="12.75" x14ac:dyDescent="0.2">
      <c r="R27949" s="1288"/>
    </row>
    <row r="27950" spans="18:18" s="2" customFormat="1" ht="12.75" x14ac:dyDescent="0.2">
      <c r="R27950" s="1288"/>
    </row>
    <row r="27951" spans="18:18" s="2" customFormat="1" ht="12.75" x14ac:dyDescent="0.2">
      <c r="R27951" s="1288"/>
    </row>
    <row r="27952" spans="18:18" s="2" customFormat="1" ht="12.75" x14ac:dyDescent="0.2">
      <c r="R27952" s="1288"/>
    </row>
    <row r="27953" spans="18:18" s="2" customFormat="1" ht="12.75" x14ac:dyDescent="0.2">
      <c r="R27953" s="1288"/>
    </row>
    <row r="27954" spans="18:18" s="2" customFormat="1" ht="12.75" x14ac:dyDescent="0.2">
      <c r="R27954" s="1288"/>
    </row>
    <row r="27955" spans="18:18" s="2" customFormat="1" ht="12.75" x14ac:dyDescent="0.2">
      <c r="R27955" s="1288"/>
    </row>
    <row r="27956" spans="18:18" s="2" customFormat="1" ht="12.75" x14ac:dyDescent="0.2">
      <c r="R27956" s="1288"/>
    </row>
    <row r="27957" spans="18:18" s="2" customFormat="1" ht="12.75" x14ac:dyDescent="0.2">
      <c r="R27957" s="1288"/>
    </row>
    <row r="27958" spans="18:18" s="2" customFormat="1" ht="12.75" x14ac:dyDescent="0.2">
      <c r="R27958" s="1288"/>
    </row>
    <row r="27959" spans="18:18" s="2" customFormat="1" ht="12.75" x14ac:dyDescent="0.2">
      <c r="R27959" s="1288"/>
    </row>
    <row r="27960" spans="18:18" s="2" customFormat="1" ht="12.75" x14ac:dyDescent="0.2">
      <c r="R27960" s="1288"/>
    </row>
    <row r="27961" spans="18:18" s="2" customFormat="1" ht="12.75" x14ac:dyDescent="0.2">
      <c r="R27961" s="1288"/>
    </row>
    <row r="27962" spans="18:18" s="2" customFormat="1" ht="12.75" x14ac:dyDescent="0.2">
      <c r="R27962" s="1288"/>
    </row>
    <row r="27963" spans="18:18" s="2" customFormat="1" ht="12.75" x14ac:dyDescent="0.2">
      <c r="R27963" s="1288"/>
    </row>
    <row r="27964" spans="18:18" s="2" customFormat="1" ht="12.75" x14ac:dyDescent="0.2">
      <c r="R27964" s="1288"/>
    </row>
    <row r="27965" spans="18:18" s="2" customFormat="1" ht="12.75" x14ac:dyDescent="0.2">
      <c r="R27965" s="1288"/>
    </row>
    <row r="27966" spans="18:18" s="2" customFormat="1" ht="12.75" x14ac:dyDescent="0.2">
      <c r="R27966" s="1288"/>
    </row>
    <row r="27967" spans="18:18" s="2" customFormat="1" ht="12.75" x14ac:dyDescent="0.2">
      <c r="R27967" s="1288"/>
    </row>
    <row r="27968" spans="18:18" s="2" customFormat="1" ht="12.75" x14ac:dyDescent="0.2">
      <c r="R27968" s="1288"/>
    </row>
    <row r="27969" spans="18:18" s="2" customFormat="1" ht="12.75" x14ac:dyDescent="0.2">
      <c r="R27969" s="1288"/>
    </row>
    <row r="27970" spans="18:18" s="2" customFormat="1" ht="12.75" x14ac:dyDescent="0.2">
      <c r="R27970" s="1288"/>
    </row>
    <row r="27971" spans="18:18" s="2" customFormat="1" ht="12.75" x14ac:dyDescent="0.2">
      <c r="R27971" s="1288"/>
    </row>
    <row r="27972" spans="18:18" s="2" customFormat="1" ht="12.75" x14ac:dyDescent="0.2">
      <c r="R27972" s="1288"/>
    </row>
    <row r="27973" spans="18:18" s="2" customFormat="1" ht="12.75" x14ac:dyDescent="0.2">
      <c r="R27973" s="1288"/>
    </row>
    <row r="27974" spans="18:18" s="2" customFormat="1" ht="12.75" x14ac:dyDescent="0.2">
      <c r="R27974" s="1288"/>
    </row>
    <row r="27975" spans="18:18" s="2" customFormat="1" ht="12.75" x14ac:dyDescent="0.2">
      <c r="R27975" s="1288"/>
    </row>
    <row r="27976" spans="18:18" s="2" customFormat="1" ht="12.75" x14ac:dyDescent="0.2">
      <c r="R27976" s="1288"/>
    </row>
    <row r="27977" spans="18:18" s="2" customFormat="1" ht="12.75" x14ac:dyDescent="0.2">
      <c r="R27977" s="1288"/>
    </row>
    <row r="27978" spans="18:18" s="2" customFormat="1" ht="12.75" x14ac:dyDescent="0.2">
      <c r="R27978" s="1288"/>
    </row>
    <row r="27979" spans="18:18" s="2" customFormat="1" ht="12.75" x14ac:dyDescent="0.2">
      <c r="R27979" s="1288"/>
    </row>
    <row r="27980" spans="18:18" s="2" customFormat="1" ht="12.75" x14ac:dyDescent="0.2">
      <c r="R27980" s="1288"/>
    </row>
    <row r="27981" spans="18:18" s="2" customFormat="1" ht="12.75" x14ac:dyDescent="0.2">
      <c r="R27981" s="1288"/>
    </row>
    <row r="27982" spans="18:18" s="2" customFormat="1" ht="12.75" x14ac:dyDescent="0.2">
      <c r="R27982" s="1288"/>
    </row>
    <row r="27983" spans="18:18" s="2" customFormat="1" ht="12.75" x14ac:dyDescent="0.2">
      <c r="R27983" s="1288"/>
    </row>
    <row r="27984" spans="18:18" s="2" customFormat="1" ht="12.75" x14ac:dyDescent="0.2">
      <c r="R27984" s="1288"/>
    </row>
    <row r="27985" spans="18:18" s="2" customFormat="1" ht="12.75" x14ac:dyDescent="0.2">
      <c r="R27985" s="1288"/>
    </row>
    <row r="27986" spans="18:18" s="2" customFormat="1" ht="12.75" x14ac:dyDescent="0.2">
      <c r="R27986" s="1288"/>
    </row>
    <row r="27987" spans="18:18" s="2" customFormat="1" ht="12.75" x14ac:dyDescent="0.2">
      <c r="R27987" s="1288"/>
    </row>
    <row r="27988" spans="18:18" s="2" customFormat="1" ht="12.75" x14ac:dyDescent="0.2">
      <c r="R27988" s="1288"/>
    </row>
    <row r="27989" spans="18:18" s="2" customFormat="1" ht="12.75" x14ac:dyDescent="0.2">
      <c r="R27989" s="1288"/>
    </row>
    <row r="27990" spans="18:18" s="2" customFormat="1" ht="12.75" x14ac:dyDescent="0.2">
      <c r="R27990" s="1288"/>
    </row>
    <row r="27991" spans="18:18" s="2" customFormat="1" ht="12.75" x14ac:dyDescent="0.2">
      <c r="R27991" s="1288"/>
    </row>
    <row r="27992" spans="18:18" s="2" customFormat="1" ht="12.75" x14ac:dyDescent="0.2">
      <c r="R27992" s="1288"/>
    </row>
    <row r="27993" spans="18:18" s="2" customFormat="1" ht="12.75" x14ac:dyDescent="0.2">
      <c r="R27993" s="1288"/>
    </row>
    <row r="27994" spans="18:18" s="2" customFormat="1" ht="12.75" x14ac:dyDescent="0.2">
      <c r="R27994" s="1288"/>
    </row>
    <row r="27995" spans="18:18" s="2" customFormat="1" ht="12.75" x14ac:dyDescent="0.2">
      <c r="R27995" s="1288"/>
    </row>
    <row r="27996" spans="18:18" s="2" customFormat="1" ht="12.75" x14ac:dyDescent="0.2">
      <c r="R27996" s="1288"/>
    </row>
    <row r="27997" spans="18:18" s="2" customFormat="1" ht="12.75" x14ac:dyDescent="0.2">
      <c r="R27997" s="1288"/>
    </row>
    <row r="27998" spans="18:18" s="2" customFormat="1" ht="12.75" x14ac:dyDescent="0.2">
      <c r="R27998" s="1288"/>
    </row>
    <row r="27999" spans="18:18" s="2" customFormat="1" ht="12.75" x14ac:dyDescent="0.2">
      <c r="R27999" s="1288"/>
    </row>
    <row r="28000" spans="18:18" s="2" customFormat="1" ht="12.75" x14ac:dyDescent="0.2">
      <c r="R28000" s="1288"/>
    </row>
    <row r="28001" spans="18:18" s="2" customFormat="1" ht="12.75" x14ac:dyDescent="0.2">
      <c r="R28001" s="1288"/>
    </row>
    <row r="28002" spans="18:18" s="2" customFormat="1" ht="12.75" x14ac:dyDescent="0.2">
      <c r="R28002" s="1288"/>
    </row>
    <row r="28003" spans="18:18" s="2" customFormat="1" ht="12.75" x14ac:dyDescent="0.2">
      <c r="R28003" s="1288"/>
    </row>
    <row r="28004" spans="18:18" s="2" customFormat="1" ht="12.75" x14ac:dyDescent="0.2">
      <c r="R28004" s="1288"/>
    </row>
    <row r="28005" spans="18:18" s="2" customFormat="1" ht="12.75" x14ac:dyDescent="0.2">
      <c r="R28005" s="1288"/>
    </row>
    <row r="28006" spans="18:18" s="2" customFormat="1" ht="12.75" x14ac:dyDescent="0.2">
      <c r="R28006" s="1288"/>
    </row>
    <row r="28007" spans="18:18" s="2" customFormat="1" ht="12.75" x14ac:dyDescent="0.2">
      <c r="R28007" s="1288"/>
    </row>
    <row r="28008" spans="18:18" s="2" customFormat="1" ht="12.75" x14ac:dyDescent="0.2">
      <c r="R28008" s="1288"/>
    </row>
    <row r="28009" spans="18:18" s="2" customFormat="1" ht="12.75" x14ac:dyDescent="0.2">
      <c r="R28009" s="1288"/>
    </row>
    <row r="28010" spans="18:18" s="2" customFormat="1" ht="12.75" x14ac:dyDescent="0.2">
      <c r="R28010" s="1288"/>
    </row>
    <row r="28011" spans="18:18" s="2" customFormat="1" ht="12.75" x14ac:dyDescent="0.2">
      <c r="R28011" s="1288"/>
    </row>
    <row r="28012" spans="18:18" s="2" customFormat="1" ht="12.75" x14ac:dyDescent="0.2">
      <c r="R28012" s="1288"/>
    </row>
    <row r="28013" spans="18:18" s="2" customFormat="1" ht="12.75" x14ac:dyDescent="0.2">
      <c r="R28013" s="1288"/>
    </row>
    <row r="28014" spans="18:18" s="2" customFormat="1" ht="12.75" x14ac:dyDescent="0.2">
      <c r="R28014" s="1288"/>
    </row>
    <row r="28015" spans="18:18" s="2" customFormat="1" ht="12.75" x14ac:dyDescent="0.2">
      <c r="R28015" s="1288"/>
    </row>
    <row r="28016" spans="18:18" s="2" customFormat="1" ht="12.75" x14ac:dyDescent="0.2">
      <c r="R28016" s="1288"/>
    </row>
    <row r="28017" spans="18:18" s="2" customFormat="1" ht="12.75" x14ac:dyDescent="0.2">
      <c r="R28017" s="1288"/>
    </row>
    <row r="28018" spans="18:18" s="2" customFormat="1" ht="12.75" x14ac:dyDescent="0.2">
      <c r="R28018" s="1288"/>
    </row>
    <row r="28019" spans="18:18" s="2" customFormat="1" ht="12.75" x14ac:dyDescent="0.2">
      <c r="R28019" s="1288"/>
    </row>
    <row r="28020" spans="18:18" s="2" customFormat="1" ht="12.75" x14ac:dyDescent="0.2">
      <c r="R28020" s="1288"/>
    </row>
    <row r="28021" spans="18:18" s="2" customFormat="1" ht="12.75" x14ac:dyDescent="0.2">
      <c r="R28021" s="1288"/>
    </row>
    <row r="28022" spans="18:18" s="2" customFormat="1" ht="12.75" x14ac:dyDescent="0.2">
      <c r="R28022" s="1288"/>
    </row>
    <row r="28023" spans="18:18" s="2" customFormat="1" ht="12.75" x14ac:dyDescent="0.2">
      <c r="R28023" s="1288"/>
    </row>
    <row r="28024" spans="18:18" s="2" customFormat="1" ht="12.75" x14ac:dyDescent="0.2">
      <c r="R28024" s="1288"/>
    </row>
    <row r="28025" spans="18:18" s="2" customFormat="1" ht="12.75" x14ac:dyDescent="0.2">
      <c r="R28025" s="1288"/>
    </row>
    <row r="28026" spans="18:18" s="2" customFormat="1" ht="12.75" x14ac:dyDescent="0.2">
      <c r="R28026" s="1288"/>
    </row>
    <row r="28027" spans="18:18" s="2" customFormat="1" ht="12.75" x14ac:dyDescent="0.2">
      <c r="R28027" s="1288"/>
    </row>
    <row r="28028" spans="18:18" s="2" customFormat="1" ht="12.75" x14ac:dyDescent="0.2">
      <c r="R28028" s="1288"/>
    </row>
    <row r="28029" spans="18:18" s="2" customFormat="1" ht="12.75" x14ac:dyDescent="0.2">
      <c r="R28029" s="1288"/>
    </row>
    <row r="28030" spans="18:18" s="2" customFormat="1" ht="12.75" x14ac:dyDescent="0.2">
      <c r="R28030" s="1288"/>
    </row>
    <row r="28031" spans="18:18" s="2" customFormat="1" ht="12.75" x14ac:dyDescent="0.2">
      <c r="R28031" s="1288"/>
    </row>
    <row r="28032" spans="18:18" s="2" customFormat="1" ht="12.75" x14ac:dyDescent="0.2">
      <c r="R28032" s="1288"/>
    </row>
    <row r="28033" spans="18:18" s="2" customFormat="1" ht="12.75" x14ac:dyDescent="0.2">
      <c r="R28033" s="1288"/>
    </row>
    <row r="28034" spans="18:18" s="2" customFormat="1" ht="12.75" x14ac:dyDescent="0.2">
      <c r="R28034" s="1288"/>
    </row>
    <row r="28035" spans="18:18" s="2" customFormat="1" ht="12.75" x14ac:dyDescent="0.2">
      <c r="R28035" s="1288"/>
    </row>
    <row r="28036" spans="18:18" s="2" customFormat="1" ht="12.75" x14ac:dyDescent="0.2">
      <c r="R28036" s="1288"/>
    </row>
    <row r="28037" spans="18:18" s="2" customFormat="1" ht="12.75" x14ac:dyDescent="0.2">
      <c r="R28037" s="1288"/>
    </row>
    <row r="28038" spans="18:18" s="2" customFormat="1" ht="12.75" x14ac:dyDescent="0.2">
      <c r="R28038" s="1288"/>
    </row>
    <row r="28039" spans="18:18" s="2" customFormat="1" ht="12.75" x14ac:dyDescent="0.2">
      <c r="R28039" s="1288"/>
    </row>
    <row r="28040" spans="18:18" s="2" customFormat="1" ht="12.75" x14ac:dyDescent="0.2">
      <c r="R28040" s="1288"/>
    </row>
    <row r="28041" spans="18:18" s="2" customFormat="1" ht="12.75" x14ac:dyDescent="0.2">
      <c r="R28041" s="1288"/>
    </row>
    <row r="28042" spans="18:18" s="2" customFormat="1" ht="12.75" x14ac:dyDescent="0.2">
      <c r="R28042" s="1288"/>
    </row>
    <row r="28043" spans="18:18" s="2" customFormat="1" ht="12.75" x14ac:dyDescent="0.2">
      <c r="R28043" s="1288"/>
    </row>
    <row r="28044" spans="18:18" s="2" customFormat="1" ht="12.75" x14ac:dyDescent="0.2">
      <c r="R28044" s="1288"/>
    </row>
    <row r="28045" spans="18:18" s="2" customFormat="1" ht="12.75" x14ac:dyDescent="0.2">
      <c r="R28045" s="1288"/>
    </row>
    <row r="28046" spans="18:18" s="2" customFormat="1" ht="12.75" x14ac:dyDescent="0.2">
      <c r="R28046" s="1288"/>
    </row>
    <row r="28047" spans="18:18" s="2" customFormat="1" ht="12.75" x14ac:dyDescent="0.2">
      <c r="R28047" s="1288"/>
    </row>
    <row r="28048" spans="18:18" s="2" customFormat="1" ht="12.75" x14ac:dyDescent="0.2">
      <c r="R28048" s="1288"/>
    </row>
    <row r="28049" spans="18:18" s="2" customFormat="1" ht="12.75" x14ac:dyDescent="0.2">
      <c r="R28049" s="1288"/>
    </row>
    <row r="28050" spans="18:18" s="2" customFormat="1" ht="12.75" x14ac:dyDescent="0.2">
      <c r="R28050" s="1288"/>
    </row>
    <row r="28051" spans="18:18" s="2" customFormat="1" ht="12.75" x14ac:dyDescent="0.2">
      <c r="R28051" s="1288"/>
    </row>
    <row r="28052" spans="18:18" s="2" customFormat="1" ht="12.75" x14ac:dyDescent="0.2">
      <c r="R28052" s="1288"/>
    </row>
    <row r="28053" spans="18:18" s="2" customFormat="1" ht="12.75" x14ac:dyDescent="0.2">
      <c r="R28053" s="1288"/>
    </row>
    <row r="28054" spans="18:18" s="2" customFormat="1" ht="12.75" x14ac:dyDescent="0.2">
      <c r="R28054" s="1288"/>
    </row>
    <row r="28055" spans="18:18" s="2" customFormat="1" ht="12.75" x14ac:dyDescent="0.2">
      <c r="R28055" s="1288"/>
    </row>
    <row r="28056" spans="18:18" s="2" customFormat="1" ht="12.75" x14ac:dyDescent="0.2">
      <c r="R28056" s="1288"/>
    </row>
    <row r="28057" spans="18:18" s="2" customFormat="1" ht="12.75" x14ac:dyDescent="0.2">
      <c r="R28057" s="1288"/>
    </row>
    <row r="28058" spans="18:18" s="2" customFormat="1" ht="12.75" x14ac:dyDescent="0.2">
      <c r="R28058" s="1288"/>
    </row>
    <row r="28059" spans="18:18" s="2" customFormat="1" ht="12.75" x14ac:dyDescent="0.2">
      <c r="R28059" s="1288"/>
    </row>
    <row r="28060" spans="18:18" s="2" customFormat="1" ht="12.75" x14ac:dyDescent="0.2">
      <c r="R28060" s="1288"/>
    </row>
    <row r="28061" spans="18:18" s="2" customFormat="1" ht="12.75" x14ac:dyDescent="0.2">
      <c r="R28061" s="1288"/>
    </row>
    <row r="28062" spans="18:18" s="2" customFormat="1" ht="12.75" x14ac:dyDescent="0.2">
      <c r="R28062" s="1288"/>
    </row>
    <row r="28063" spans="18:18" s="2" customFormat="1" ht="12.75" x14ac:dyDescent="0.2">
      <c r="R28063" s="1288"/>
    </row>
    <row r="28064" spans="18:18" s="2" customFormat="1" ht="12.75" x14ac:dyDescent="0.2">
      <c r="R28064" s="1288"/>
    </row>
    <row r="28065" spans="18:18" s="2" customFormat="1" ht="12.75" x14ac:dyDescent="0.2">
      <c r="R28065" s="1288"/>
    </row>
    <row r="28066" spans="18:18" s="2" customFormat="1" ht="12.75" x14ac:dyDescent="0.2">
      <c r="R28066" s="1288"/>
    </row>
    <row r="28067" spans="18:18" s="2" customFormat="1" ht="12.75" x14ac:dyDescent="0.2">
      <c r="R28067" s="1288"/>
    </row>
    <row r="28068" spans="18:18" s="2" customFormat="1" ht="12.75" x14ac:dyDescent="0.2">
      <c r="R28068" s="1288"/>
    </row>
    <row r="28069" spans="18:18" s="2" customFormat="1" ht="12.75" x14ac:dyDescent="0.2">
      <c r="R28069" s="1288"/>
    </row>
    <row r="28070" spans="18:18" s="2" customFormat="1" ht="12.75" x14ac:dyDescent="0.2">
      <c r="R28070" s="1288"/>
    </row>
    <row r="28071" spans="18:18" s="2" customFormat="1" ht="12.75" x14ac:dyDescent="0.2">
      <c r="R28071" s="1288"/>
    </row>
    <row r="28072" spans="18:18" s="2" customFormat="1" ht="12.75" x14ac:dyDescent="0.2">
      <c r="R28072" s="1288"/>
    </row>
    <row r="28073" spans="18:18" s="2" customFormat="1" ht="12.75" x14ac:dyDescent="0.2">
      <c r="R28073" s="1288"/>
    </row>
    <row r="28074" spans="18:18" s="2" customFormat="1" ht="12.75" x14ac:dyDescent="0.2">
      <c r="R28074" s="1288"/>
    </row>
    <row r="28075" spans="18:18" s="2" customFormat="1" ht="12.75" x14ac:dyDescent="0.2">
      <c r="R28075" s="1288"/>
    </row>
    <row r="28076" spans="18:18" s="2" customFormat="1" ht="12.75" x14ac:dyDescent="0.2">
      <c r="R28076" s="1288"/>
    </row>
    <row r="28077" spans="18:18" s="2" customFormat="1" ht="12.75" x14ac:dyDescent="0.2">
      <c r="R28077" s="1288"/>
    </row>
    <row r="28078" spans="18:18" s="2" customFormat="1" ht="12.75" x14ac:dyDescent="0.2">
      <c r="R28078" s="1288"/>
    </row>
    <row r="28079" spans="18:18" s="2" customFormat="1" ht="12.75" x14ac:dyDescent="0.2">
      <c r="R28079" s="1288"/>
    </row>
    <row r="28080" spans="18:18" s="2" customFormat="1" ht="12.75" x14ac:dyDescent="0.2">
      <c r="R28080" s="1288"/>
    </row>
    <row r="28081" spans="18:18" s="2" customFormat="1" ht="12.75" x14ac:dyDescent="0.2">
      <c r="R28081" s="1288"/>
    </row>
    <row r="28082" spans="18:18" s="2" customFormat="1" ht="12.75" x14ac:dyDescent="0.2">
      <c r="R28082" s="1288"/>
    </row>
    <row r="28083" spans="18:18" s="2" customFormat="1" ht="12.75" x14ac:dyDescent="0.2">
      <c r="R28083" s="1288"/>
    </row>
    <row r="28084" spans="18:18" s="2" customFormat="1" ht="12.75" x14ac:dyDescent="0.2">
      <c r="R28084" s="1288"/>
    </row>
    <row r="28085" spans="18:18" s="2" customFormat="1" ht="12.75" x14ac:dyDescent="0.2">
      <c r="R28085" s="1288"/>
    </row>
    <row r="28086" spans="18:18" s="2" customFormat="1" ht="12.75" x14ac:dyDescent="0.2">
      <c r="R28086" s="1288"/>
    </row>
    <row r="28087" spans="18:18" s="2" customFormat="1" ht="12.75" x14ac:dyDescent="0.2">
      <c r="R28087" s="1288"/>
    </row>
    <row r="28088" spans="18:18" s="2" customFormat="1" ht="12.75" x14ac:dyDescent="0.2">
      <c r="R28088" s="1288"/>
    </row>
    <row r="28089" spans="18:18" s="2" customFormat="1" ht="12.75" x14ac:dyDescent="0.2">
      <c r="R28089" s="1288"/>
    </row>
    <row r="28090" spans="18:18" s="2" customFormat="1" ht="12.75" x14ac:dyDescent="0.2">
      <c r="R28090" s="1288"/>
    </row>
    <row r="28091" spans="18:18" s="2" customFormat="1" ht="12.75" x14ac:dyDescent="0.2">
      <c r="R28091" s="1288"/>
    </row>
    <row r="28092" spans="18:18" s="2" customFormat="1" ht="12.75" x14ac:dyDescent="0.2">
      <c r="R28092" s="1288"/>
    </row>
    <row r="28093" spans="18:18" s="2" customFormat="1" ht="12.75" x14ac:dyDescent="0.2">
      <c r="R28093" s="1288"/>
    </row>
    <row r="28094" spans="18:18" s="2" customFormat="1" ht="12.75" x14ac:dyDescent="0.2">
      <c r="R28094" s="1288"/>
    </row>
    <row r="28095" spans="18:18" s="2" customFormat="1" ht="12.75" x14ac:dyDescent="0.2">
      <c r="R28095" s="1288"/>
    </row>
    <row r="28096" spans="18:18" s="2" customFormat="1" ht="12.75" x14ac:dyDescent="0.2">
      <c r="R28096" s="1288"/>
    </row>
    <row r="28097" spans="18:18" s="2" customFormat="1" ht="12.75" x14ac:dyDescent="0.2">
      <c r="R28097" s="1288"/>
    </row>
    <row r="28098" spans="18:18" s="2" customFormat="1" ht="12.75" x14ac:dyDescent="0.2">
      <c r="R28098" s="1288"/>
    </row>
    <row r="28099" spans="18:18" s="2" customFormat="1" ht="12.75" x14ac:dyDescent="0.2">
      <c r="R28099" s="1288"/>
    </row>
    <row r="28100" spans="18:18" s="2" customFormat="1" ht="12.75" x14ac:dyDescent="0.2">
      <c r="R28100" s="1288"/>
    </row>
    <row r="28101" spans="18:18" s="2" customFormat="1" ht="12.75" x14ac:dyDescent="0.2">
      <c r="R28101" s="1288"/>
    </row>
    <row r="28102" spans="18:18" s="2" customFormat="1" ht="12.75" x14ac:dyDescent="0.2">
      <c r="R28102" s="1288"/>
    </row>
    <row r="28103" spans="18:18" s="2" customFormat="1" ht="12.75" x14ac:dyDescent="0.2">
      <c r="R28103" s="1288"/>
    </row>
    <row r="28104" spans="18:18" s="2" customFormat="1" ht="12.75" x14ac:dyDescent="0.2">
      <c r="R28104" s="1288"/>
    </row>
    <row r="28105" spans="18:18" s="2" customFormat="1" ht="12.75" x14ac:dyDescent="0.2">
      <c r="R28105" s="1288"/>
    </row>
    <row r="28106" spans="18:18" s="2" customFormat="1" ht="12.75" x14ac:dyDescent="0.2">
      <c r="R28106" s="1288"/>
    </row>
    <row r="28107" spans="18:18" s="2" customFormat="1" ht="12.75" x14ac:dyDescent="0.2">
      <c r="R28107" s="1288"/>
    </row>
    <row r="28108" spans="18:18" s="2" customFormat="1" ht="12.75" x14ac:dyDescent="0.2">
      <c r="R28108" s="1288"/>
    </row>
    <row r="28109" spans="18:18" s="2" customFormat="1" ht="12.75" x14ac:dyDescent="0.2">
      <c r="R28109" s="1288"/>
    </row>
    <row r="28110" spans="18:18" s="2" customFormat="1" ht="12.75" x14ac:dyDescent="0.2">
      <c r="R28110" s="1288"/>
    </row>
    <row r="28111" spans="18:18" s="2" customFormat="1" ht="12.75" x14ac:dyDescent="0.2">
      <c r="R28111" s="1288"/>
    </row>
    <row r="28112" spans="18:18" s="2" customFormat="1" ht="12.75" x14ac:dyDescent="0.2">
      <c r="R28112" s="1288"/>
    </row>
    <row r="28113" spans="18:18" s="2" customFormat="1" ht="12.75" x14ac:dyDescent="0.2">
      <c r="R28113" s="1288"/>
    </row>
    <row r="28114" spans="18:18" s="2" customFormat="1" ht="12.75" x14ac:dyDescent="0.2">
      <c r="R28114" s="1288"/>
    </row>
    <row r="28115" spans="18:18" s="2" customFormat="1" ht="12.75" x14ac:dyDescent="0.2">
      <c r="R28115" s="1288"/>
    </row>
    <row r="28116" spans="18:18" s="2" customFormat="1" ht="12.75" x14ac:dyDescent="0.2">
      <c r="R28116" s="1288"/>
    </row>
    <row r="28117" spans="18:18" s="2" customFormat="1" ht="12.75" x14ac:dyDescent="0.2">
      <c r="R28117" s="1288"/>
    </row>
    <row r="28118" spans="18:18" s="2" customFormat="1" ht="12.75" x14ac:dyDescent="0.2">
      <c r="R28118" s="1288"/>
    </row>
    <row r="28119" spans="18:18" s="2" customFormat="1" ht="12.75" x14ac:dyDescent="0.2">
      <c r="R28119" s="1288"/>
    </row>
    <row r="28120" spans="18:18" s="2" customFormat="1" ht="12.75" x14ac:dyDescent="0.2">
      <c r="R28120" s="1288"/>
    </row>
    <row r="28121" spans="18:18" s="2" customFormat="1" ht="12.75" x14ac:dyDescent="0.2">
      <c r="R28121" s="1288"/>
    </row>
    <row r="28122" spans="18:18" s="2" customFormat="1" ht="12.75" x14ac:dyDescent="0.2">
      <c r="R28122" s="1288"/>
    </row>
    <row r="28123" spans="18:18" s="2" customFormat="1" ht="12.75" x14ac:dyDescent="0.2">
      <c r="R28123" s="1288"/>
    </row>
    <row r="28124" spans="18:18" s="2" customFormat="1" ht="12.75" x14ac:dyDescent="0.2">
      <c r="R28124" s="1288"/>
    </row>
    <row r="28125" spans="18:18" s="2" customFormat="1" ht="12.75" x14ac:dyDescent="0.2">
      <c r="R28125" s="1288"/>
    </row>
    <row r="28126" spans="18:18" s="2" customFormat="1" ht="12.75" x14ac:dyDescent="0.2">
      <c r="R28126" s="1288"/>
    </row>
    <row r="28127" spans="18:18" s="2" customFormat="1" ht="12.75" x14ac:dyDescent="0.2">
      <c r="R28127" s="1288"/>
    </row>
    <row r="28128" spans="18:18" s="2" customFormat="1" ht="12.75" x14ac:dyDescent="0.2">
      <c r="R28128" s="1288"/>
    </row>
    <row r="28129" spans="18:18" s="2" customFormat="1" ht="12.75" x14ac:dyDescent="0.2">
      <c r="R28129" s="1288"/>
    </row>
    <row r="28130" spans="18:18" s="2" customFormat="1" ht="12.75" x14ac:dyDescent="0.2">
      <c r="R28130" s="1288"/>
    </row>
    <row r="28131" spans="18:18" s="2" customFormat="1" ht="12.75" x14ac:dyDescent="0.2">
      <c r="R28131" s="1288"/>
    </row>
    <row r="28132" spans="18:18" s="2" customFormat="1" ht="12.75" x14ac:dyDescent="0.2">
      <c r="R28132" s="1288"/>
    </row>
    <row r="28133" spans="18:18" s="2" customFormat="1" ht="12.75" x14ac:dyDescent="0.2">
      <c r="R28133" s="1288"/>
    </row>
    <row r="28134" spans="18:18" s="2" customFormat="1" ht="12.75" x14ac:dyDescent="0.2">
      <c r="R28134" s="1288"/>
    </row>
    <row r="28135" spans="18:18" s="2" customFormat="1" ht="12.75" x14ac:dyDescent="0.2">
      <c r="R28135" s="1288"/>
    </row>
    <row r="28136" spans="18:18" s="2" customFormat="1" ht="12.75" x14ac:dyDescent="0.2">
      <c r="R28136" s="1288"/>
    </row>
    <row r="28137" spans="18:18" s="2" customFormat="1" ht="12.75" x14ac:dyDescent="0.2">
      <c r="R28137" s="1288"/>
    </row>
    <row r="28138" spans="18:18" s="2" customFormat="1" ht="12.75" x14ac:dyDescent="0.2">
      <c r="R28138" s="1288"/>
    </row>
    <row r="28139" spans="18:18" s="2" customFormat="1" ht="12.75" x14ac:dyDescent="0.2">
      <c r="R28139" s="1288"/>
    </row>
    <row r="28140" spans="18:18" s="2" customFormat="1" ht="12.75" x14ac:dyDescent="0.2">
      <c r="R28140" s="1288"/>
    </row>
    <row r="28141" spans="18:18" s="2" customFormat="1" ht="12.75" x14ac:dyDescent="0.2">
      <c r="R28141" s="1288"/>
    </row>
    <row r="28142" spans="18:18" s="2" customFormat="1" ht="12.75" x14ac:dyDescent="0.2">
      <c r="R28142" s="1288"/>
    </row>
    <row r="28143" spans="18:18" s="2" customFormat="1" ht="12.75" x14ac:dyDescent="0.2">
      <c r="R28143" s="1288"/>
    </row>
    <row r="28144" spans="18:18" s="2" customFormat="1" ht="12.75" x14ac:dyDescent="0.2">
      <c r="R28144" s="1288"/>
    </row>
    <row r="28145" spans="18:18" s="2" customFormat="1" ht="12.75" x14ac:dyDescent="0.2">
      <c r="R28145" s="1288"/>
    </row>
    <row r="28146" spans="18:18" s="2" customFormat="1" ht="12.75" x14ac:dyDescent="0.2">
      <c r="R28146" s="1288"/>
    </row>
    <row r="28147" spans="18:18" s="2" customFormat="1" ht="12.75" x14ac:dyDescent="0.2">
      <c r="R28147" s="1288"/>
    </row>
    <row r="28148" spans="18:18" s="2" customFormat="1" ht="12.75" x14ac:dyDescent="0.2">
      <c r="R28148" s="1288"/>
    </row>
    <row r="28149" spans="18:18" s="2" customFormat="1" ht="12.75" x14ac:dyDescent="0.2">
      <c r="R28149" s="1288"/>
    </row>
    <row r="28150" spans="18:18" s="2" customFormat="1" ht="12.75" x14ac:dyDescent="0.2">
      <c r="R28150" s="1288"/>
    </row>
    <row r="28151" spans="18:18" s="2" customFormat="1" ht="12.75" x14ac:dyDescent="0.2">
      <c r="R28151" s="1288"/>
    </row>
    <row r="28152" spans="18:18" s="2" customFormat="1" ht="12.75" x14ac:dyDescent="0.2">
      <c r="R28152" s="1288"/>
    </row>
    <row r="28153" spans="18:18" s="2" customFormat="1" ht="12.75" x14ac:dyDescent="0.2">
      <c r="R28153" s="1288"/>
    </row>
    <row r="28154" spans="18:18" s="2" customFormat="1" ht="12.75" x14ac:dyDescent="0.2">
      <c r="R28154" s="1288"/>
    </row>
    <row r="28155" spans="18:18" s="2" customFormat="1" ht="12.75" x14ac:dyDescent="0.2">
      <c r="R28155" s="1288"/>
    </row>
    <row r="28156" spans="18:18" s="2" customFormat="1" ht="12.75" x14ac:dyDescent="0.2">
      <c r="R28156" s="1288"/>
    </row>
    <row r="28157" spans="18:18" s="2" customFormat="1" ht="12.75" x14ac:dyDescent="0.2">
      <c r="R28157" s="1288"/>
    </row>
    <row r="28158" spans="18:18" s="2" customFormat="1" ht="12.75" x14ac:dyDescent="0.2">
      <c r="R28158" s="1288"/>
    </row>
    <row r="28159" spans="18:18" s="2" customFormat="1" ht="12.75" x14ac:dyDescent="0.2">
      <c r="R28159" s="1288"/>
    </row>
    <row r="28160" spans="18:18" s="2" customFormat="1" ht="12.75" x14ac:dyDescent="0.2">
      <c r="R28160" s="1288"/>
    </row>
    <row r="28161" spans="18:18" s="2" customFormat="1" ht="12.75" x14ac:dyDescent="0.2">
      <c r="R28161" s="1288"/>
    </row>
    <row r="28162" spans="18:18" s="2" customFormat="1" ht="12.75" x14ac:dyDescent="0.2">
      <c r="R28162" s="1288"/>
    </row>
    <row r="28163" spans="18:18" s="2" customFormat="1" ht="12.75" x14ac:dyDescent="0.2">
      <c r="R28163" s="1288"/>
    </row>
    <row r="28164" spans="18:18" s="2" customFormat="1" ht="12.75" x14ac:dyDescent="0.2">
      <c r="R28164" s="1288"/>
    </row>
    <row r="28165" spans="18:18" s="2" customFormat="1" ht="12.75" x14ac:dyDescent="0.2">
      <c r="R28165" s="1288"/>
    </row>
    <row r="28166" spans="18:18" s="2" customFormat="1" ht="12.75" x14ac:dyDescent="0.2">
      <c r="R28166" s="1288"/>
    </row>
    <row r="28167" spans="18:18" s="2" customFormat="1" ht="12.75" x14ac:dyDescent="0.2">
      <c r="R28167" s="1288"/>
    </row>
    <row r="28168" spans="18:18" s="2" customFormat="1" ht="12.75" x14ac:dyDescent="0.2">
      <c r="R28168" s="1288"/>
    </row>
    <row r="28169" spans="18:18" s="2" customFormat="1" ht="12.75" x14ac:dyDescent="0.2">
      <c r="R28169" s="1288"/>
    </row>
    <row r="28170" spans="18:18" s="2" customFormat="1" ht="12.75" x14ac:dyDescent="0.2">
      <c r="R28170" s="1288"/>
    </row>
    <row r="28171" spans="18:18" s="2" customFormat="1" ht="12.75" x14ac:dyDescent="0.2">
      <c r="R28171" s="1288"/>
    </row>
    <row r="28172" spans="18:18" s="2" customFormat="1" ht="12.75" x14ac:dyDescent="0.2">
      <c r="R28172" s="1288"/>
    </row>
    <row r="28173" spans="18:18" s="2" customFormat="1" ht="12.75" x14ac:dyDescent="0.2">
      <c r="R28173" s="1288"/>
    </row>
    <row r="28174" spans="18:18" s="2" customFormat="1" ht="12.75" x14ac:dyDescent="0.2">
      <c r="R28174" s="1288"/>
    </row>
    <row r="28175" spans="18:18" s="2" customFormat="1" ht="12.75" x14ac:dyDescent="0.2">
      <c r="R28175" s="1288"/>
    </row>
    <row r="28176" spans="18:18" s="2" customFormat="1" ht="12.75" x14ac:dyDescent="0.2">
      <c r="R28176" s="1288"/>
    </row>
    <row r="28177" spans="18:18" s="2" customFormat="1" ht="12.75" x14ac:dyDescent="0.2">
      <c r="R28177" s="1288"/>
    </row>
    <row r="28178" spans="18:18" s="2" customFormat="1" ht="12.75" x14ac:dyDescent="0.2">
      <c r="R28178" s="1288"/>
    </row>
    <row r="28179" spans="18:18" s="2" customFormat="1" ht="12.75" x14ac:dyDescent="0.2">
      <c r="R28179" s="1288"/>
    </row>
    <row r="28180" spans="18:18" s="2" customFormat="1" ht="12.75" x14ac:dyDescent="0.2">
      <c r="R28180" s="1288"/>
    </row>
    <row r="28181" spans="18:18" s="2" customFormat="1" ht="12.75" x14ac:dyDescent="0.2">
      <c r="R28181" s="1288"/>
    </row>
    <row r="28182" spans="18:18" s="2" customFormat="1" ht="12.75" x14ac:dyDescent="0.2">
      <c r="R28182" s="1288"/>
    </row>
    <row r="28183" spans="18:18" s="2" customFormat="1" ht="12.75" x14ac:dyDescent="0.2">
      <c r="R28183" s="1288"/>
    </row>
    <row r="28184" spans="18:18" s="2" customFormat="1" ht="12.75" x14ac:dyDescent="0.2">
      <c r="R28184" s="1288"/>
    </row>
    <row r="28185" spans="18:18" s="2" customFormat="1" ht="12.75" x14ac:dyDescent="0.2">
      <c r="R28185" s="1288"/>
    </row>
    <row r="28186" spans="18:18" s="2" customFormat="1" ht="12.75" x14ac:dyDescent="0.2">
      <c r="R28186" s="1288"/>
    </row>
    <row r="28187" spans="18:18" s="2" customFormat="1" ht="12.75" x14ac:dyDescent="0.2">
      <c r="R28187" s="1288"/>
    </row>
    <row r="28188" spans="18:18" s="2" customFormat="1" ht="12.75" x14ac:dyDescent="0.2">
      <c r="R28188" s="1288"/>
    </row>
    <row r="28189" spans="18:18" s="2" customFormat="1" ht="12.75" x14ac:dyDescent="0.2">
      <c r="R28189" s="1288"/>
    </row>
    <row r="28190" spans="18:18" s="2" customFormat="1" ht="12.75" x14ac:dyDescent="0.2">
      <c r="R28190" s="1288"/>
    </row>
    <row r="28191" spans="18:18" s="2" customFormat="1" ht="12.75" x14ac:dyDescent="0.2">
      <c r="R28191" s="1288"/>
    </row>
    <row r="28192" spans="18:18" s="2" customFormat="1" ht="12.75" x14ac:dyDescent="0.2">
      <c r="R28192" s="1288"/>
    </row>
    <row r="28193" spans="18:18" s="2" customFormat="1" ht="12.75" x14ac:dyDescent="0.2">
      <c r="R28193" s="1288"/>
    </row>
    <row r="28194" spans="18:18" s="2" customFormat="1" ht="12.75" x14ac:dyDescent="0.2">
      <c r="R28194" s="1288"/>
    </row>
    <row r="28195" spans="18:18" s="2" customFormat="1" ht="12.75" x14ac:dyDescent="0.2">
      <c r="R28195" s="1288"/>
    </row>
    <row r="28196" spans="18:18" s="2" customFormat="1" ht="12.75" x14ac:dyDescent="0.2">
      <c r="R28196" s="1288"/>
    </row>
    <row r="28197" spans="18:18" s="2" customFormat="1" ht="12.75" x14ac:dyDescent="0.2">
      <c r="R28197" s="1288"/>
    </row>
    <row r="28198" spans="18:18" s="2" customFormat="1" ht="12.75" x14ac:dyDescent="0.2">
      <c r="R28198" s="1288"/>
    </row>
    <row r="28199" spans="18:18" s="2" customFormat="1" ht="12.75" x14ac:dyDescent="0.2">
      <c r="R28199" s="1288"/>
    </row>
    <row r="28200" spans="18:18" s="2" customFormat="1" ht="12.75" x14ac:dyDescent="0.2">
      <c r="R28200" s="1288"/>
    </row>
    <row r="28201" spans="18:18" s="2" customFormat="1" ht="12.75" x14ac:dyDescent="0.2">
      <c r="R28201" s="1288"/>
    </row>
    <row r="28202" spans="18:18" s="2" customFormat="1" ht="12.75" x14ac:dyDescent="0.2">
      <c r="R28202" s="1288"/>
    </row>
    <row r="28203" spans="18:18" s="2" customFormat="1" ht="12.75" x14ac:dyDescent="0.2">
      <c r="R28203" s="1288"/>
    </row>
    <row r="28204" spans="18:18" s="2" customFormat="1" ht="12.75" x14ac:dyDescent="0.2">
      <c r="R28204" s="1288"/>
    </row>
    <row r="28205" spans="18:18" s="2" customFormat="1" ht="12.75" x14ac:dyDescent="0.2">
      <c r="R28205" s="1288"/>
    </row>
    <row r="28206" spans="18:18" s="2" customFormat="1" ht="12.75" x14ac:dyDescent="0.2">
      <c r="R28206" s="1288"/>
    </row>
    <row r="28207" spans="18:18" s="2" customFormat="1" ht="12.75" x14ac:dyDescent="0.2">
      <c r="R28207" s="1288"/>
    </row>
    <row r="28208" spans="18:18" s="2" customFormat="1" ht="12.75" x14ac:dyDescent="0.2">
      <c r="R28208" s="1288"/>
    </row>
    <row r="28209" spans="18:18" s="2" customFormat="1" ht="12.75" x14ac:dyDescent="0.2">
      <c r="R28209" s="1288"/>
    </row>
    <row r="28210" spans="18:18" s="2" customFormat="1" ht="12.75" x14ac:dyDescent="0.2">
      <c r="R28210" s="1288"/>
    </row>
    <row r="28211" spans="18:18" s="2" customFormat="1" ht="12.75" x14ac:dyDescent="0.2">
      <c r="R28211" s="1288"/>
    </row>
    <row r="28212" spans="18:18" s="2" customFormat="1" ht="12.75" x14ac:dyDescent="0.2">
      <c r="R28212" s="1288"/>
    </row>
    <row r="28213" spans="18:18" s="2" customFormat="1" ht="12.75" x14ac:dyDescent="0.2">
      <c r="R28213" s="1288"/>
    </row>
    <row r="28214" spans="18:18" s="2" customFormat="1" ht="12.75" x14ac:dyDescent="0.2">
      <c r="R28214" s="1288"/>
    </row>
    <row r="28215" spans="18:18" s="2" customFormat="1" ht="12.75" x14ac:dyDescent="0.2">
      <c r="R28215" s="1288"/>
    </row>
    <row r="28216" spans="18:18" s="2" customFormat="1" ht="12.75" x14ac:dyDescent="0.2">
      <c r="R28216" s="1288"/>
    </row>
    <row r="28217" spans="18:18" s="2" customFormat="1" ht="12.75" x14ac:dyDescent="0.2">
      <c r="R28217" s="1288"/>
    </row>
    <row r="28218" spans="18:18" s="2" customFormat="1" ht="12.75" x14ac:dyDescent="0.2">
      <c r="R28218" s="1288"/>
    </row>
    <row r="28219" spans="18:18" s="2" customFormat="1" ht="12.75" x14ac:dyDescent="0.2">
      <c r="R28219" s="1288"/>
    </row>
    <row r="28220" spans="18:18" s="2" customFormat="1" ht="12.75" x14ac:dyDescent="0.2">
      <c r="R28220" s="1288"/>
    </row>
    <row r="28221" spans="18:18" s="2" customFormat="1" ht="12.75" x14ac:dyDescent="0.2">
      <c r="R28221" s="1288"/>
    </row>
    <row r="28222" spans="18:18" s="2" customFormat="1" ht="12.75" x14ac:dyDescent="0.2">
      <c r="R28222" s="1288"/>
    </row>
    <row r="28223" spans="18:18" s="2" customFormat="1" ht="12.75" x14ac:dyDescent="0.2">
      <c r="R28223" s="1288"/>
    </row>
    <row r="28224" spans="18:18" s="2" customFormat="1" ht="12.75" x14ac:dyDescent="0.2">
      <c r="R28224" s="1288"/>
    </row>
    <row r="28225" spans="18:18" s="2" customFormat="1" ht="12.75" x14ac:dyDescent="0.2">
      <c r="R28225" s="1288"/>
    </row>
    <row r="28226" spans="18:18" s="2" customFormat="1" ht="12.75" x14ac:dyDescent="0.2">
      <c r="R28226" s="1288"/>
    </row>
    <row r="28227" spans="18:18" s="2" customFormat="1" ht="12.75" x14ac:dyDescent="0.2">
      <c r="R28227" s="1288"/>
    </row>
    <row r="28228" spans="18:18" s="2" customFormat="1" ht="12.75" x14ac:dyDescent="0.2">
      <c r="R28228" s="1288"/>
    </row>
    <row r="28229" spans="18:18" s="2" customFormat="1" ht="12.75" x14ac:dyDescent="0.2">
      <c r="R28229" s="1288"/>
    </row>
    <row r="28230" spans="18:18" s="2" customFormat="1" ht="12.75" x14ac:dyDescent="0.2">
      <c r="R28230" s="1288"/>
    </row>
    <row r="28231" spans="18:18" s="2" customFormat="1" ht="12.75" x14ac:dyDescent="0.2">
      <c r="R28231" s="1288"/>
    </row>
    <row r="28232" spans="18:18" s="2" customFormat="1" ht="12.75" x14ac:dyDescent="0.2">
      <c r="R28232" s="1288"/>
    </row>
    <row r="28233" spans="18:18" s="2" customFormat="1" ht="12.75" x14ac:dyDescent="0.2">
      <c r="R28233" s="1288"/>
    </row>
    <row r="28234" spans="18:18" s="2" customFormat="1" ht="12.75" x14ac:dyDescent="0.2">
      <c r="R28234" s="1288"/>
    </row>
    <row r="28235" spans="18:18" s="2" customFormat="1" ht="12.75" x14ac:dyDescent="0.2">
      <c r="R28235" s="1288"/>
    </row>
    <row r="28236" spans="18:18" s="2" customFormat="1" ht="12.75" x14ac:dyDescent="0.2">
      <c r="R28236" s="1288"/>
    </row>
    <row r="28237" spans="18:18" s="2" customFormat="1" ht="12.75" x14ac:dyDescent="0.2">
      <c r="R28237" s="1288"/>
    </row>
    <row r="28238" spans="18:18" s="2" customFormat="1" ht="12.75" x14ac:dyDescent="0.2">
      <c r="R28238" s="1288"/>
    </row>
    <row r="28239" spans="18:18" s="2" customFormat="1" ht="12.75" x14ac:dyDescent="0.2">
      <c r="R28239" s="1288"/>
    </row>
    <row r="28240" spans="18:18" s="2" customFormat="1" ht="12.75" x14ac:dyDescent="0.2">
      <c r="R28240" s="1288"/>
    </row>
    <row r="28241" spans="18:18" s="2" customFormat="1" ht="12.75" x14ac:dyDescent="0.2">
      <c r="R28241" s="1288"/>
    </row>
    <row r="28242" spans="18:18" s="2" customFormat="1" ht="12.75" x14ac:dyDescent="0.2">
      <c r="R28242" s="1288"/>
    </row>
    <row r="28243" spans="18:18" s="2" customFormat="1" ht="12.75" x14ac:dyDescent="0.2">
      <c r="R28243" s="1288"/>
    </row>
    <row r="28244" spans="18:18" s="2" customFormat="1" ht="12.75" x14ac:dyDescent="0.2">
      <c r="R28244" s="1288"/>
    </row>
    <row r="28245" spans="18:18" s="2" customFormat="1" ht="12.75" x14ac:dyDescent="0.2">
      <c r="R28245" s="1288"/>
    </row>
    <row r="28246" spans="18:18" s="2" customFormat="1" ht="12.75" x14ac:dyDescent="0.2">
      <c r="R28246" s="1288"/>
    </row>
    <row r="28247" spans="18:18" s="2" customFormat="1" ht="12.75" x14ac:dyDescent="0.2">
      <c r="R28247" s="1288"/>
    </row>
    <row r="28248" spans="18:18" s="2" customFormat="1" ht="12.75" x14ac:dyDescent="0.2">
      <c r="R28248" s="1288"/>
    </row>
    <row r="28249" spans="18:18" s="2" customFormat="1" ht="12.75" x14ac:dyDescent="0.2">
      <c r="R28249" s="1288"/>
    </row>
    <row r="28250" spans="18:18" s="2" customFormat="1" ht="12.75" x14ac:dyDescent="0.2">
      <c r="R28250" s="1288"/>
    </row>
    <row r="28251" spans="18:18" s="2" customFormat="1" ht="12.75" x14ac:dyDescent="0.2">
      <c r="R28251" s="1288"/>
    </row>
    <row r="28252" spans="18:18" s="2" customFormat="1" ht="12.75" x14ac:dyDescent="0.2">
      <c r="R28252" s="1288"/>
    </row>
    <row r="28253" spans="18:18" s="2" customFormat="1" ht="12.75" x14ac:dyDescent="0.2">
      <c r="R28253" s="1288"/>
    </row>
    <row r="28254" spans="18:18" s="2" customFormat="1" ht="12.75" x14ac:dyDescent="0.2">
      <c r="R28254" s="1288"/>
    </row>
    <row r="28255" spans="18:18" s="2" customFormat="1" ht="12.75" x14ac:dyDescent="0.2">
      <c r="R28255" s="1288"/>
    </row>
    <row r="28256" spans="18:18" s="2" customFormat="1" ht="12.75" x14ac:dyDescent="0.2">
      <c r="R28256" s="1288"/>
    </row>
    <row r="28257" spans="18:18" s="2" customFormat="1" ht="12.75" x14ac:dyDescent="0.2">
      <c r="R28257" s="1288"/>
    </row>
    <row r="28258" spans="18:18" s="2" customFormat="1" ht="12.75" x14ac:dyDescent="0.2">
      <c r="R28258" s="1288"/>
    </row>
    <row r="28259" spans="18:18" s="2" customFormat="1" ht="12.75" x14ac:dyDescent="0.2">
      <c r="R28259" s="1288"/>
    </row>
    <row r="28260" spans="18:18" s="2" customFormat="1" ht="12.75" x14ac:dyDescent="0.2">
      <c r="R28260" s="1288"/>
    </row>
    <row r="28261" spans="18:18" s="2" customFormat="1" ht="12.75" x14ac:dyDescent="0.2">
      <c r="R28261" s="1288"/>
    </row>
    <row r="28262" spans="18:18" s="2" customFormat="1" ht="12.75" x14ac:dyDescent="0.2">
      <c r="R28262" s="1288"/>
    </row>
    <row r="28263" spans="18:18" s="2" customFormat="1" ht="12.75" x14ac:dyDescent="0.2">
      <c r="R28263" s="1288"/>
    </row>
    <row r="28264" spans="18:18" s="2" customFormat="1" ht="12.75" x14ac:dyDescent="0.2">
      <c r="R28264" s="1288"/>
    </row>
    <row r="28265" spans="18:18" s="2" customFormat="1" ht="12.75" x14ac:dyDescent="0.2">
      <c r="R28265" s="1288"/>
    </row>
    <row r="28266" spans="18:18" s="2" customFormat="1" ht="12.75" x14ac:dyDescent="0.2">
      <c r="R28266" s="1288"/>
    </row>
    <row r="28267" spans="18:18" s="2" customFormat="1" ht="12.75" x14ac:dyDescent="0.2">
      <c r="R28267" s="1288"/>
    </row>
    <row r="28268" spans="18:18" s="2" customFormat="1" ht="12.75" x14ac:dyDescent="0.2">
      <c r="R28268" s="1288"/>
    </row>
    <row r="28269" spans="18:18" s="2" customFormat="1" ht="12.75" x14ac:dyDescent="0.2">
      <c r="R28269" s="1288"/>
    </row>
    <row r="28270" spans="18:18" s="2" customFormat="1" ht="12.75" x14ac:dyDescent="0.2">
      <c r="R28270" s="1288"/>
    </row>
    <row r="28271" spans="18:18" s="2" customFormat="1" ht="12.75" x14ac:dyDescent="0.2">
      <c r="R28271" s="1288"/>
    </row>
    <row r="28272" spans="18:18" s="2" customFormat="1" ht="12.75" x14ac:dyDescent="0.2">
      <c r="R28272" s="1288"/>
    </row>
    <row r="28273" spans="18:18" s="2" customFormat="1" ht="12.75" x14ac:dyDescent="0.2">
      <c r="R28273" s="1288"/>
    </row>
    <row r="28274" spans="18:18" s="2" customFormat="1" ht="12.75" x14ac:dyDescent="0.2">
      <c r="R28274" s="1288"/>
    </row>
    <row r="28275" spans="18:18" s="2" customFormat="1" ht="12.75" x14ac:dyDescent="0.2">
      <c r="R28275" s="1288"/>
    </row>
    <row r="28276" spans="18:18" s="2" customFormat="1" ht="12.75" x14ac:dyDescent="0.2">
      <c r="R28276" s="1288"/>
    </row>
    <row r="28277" spans="18:18" s="2" customFormat="1" ht="12.75" x14ac:dyDescent="0.2">
      <c r="R28277" s="1288"/>
    </row>
    <row r="28278" spans="18:18" s="2" customFormat="1" ht="12.75" x14ac:dyDescent="0.2">
      <c r="R28278" s="1288"/>
    </row>
    <row r="28279" spans="18:18" s="2" customFormat="1" ht="12.75" x14ac:dyDescent="0.2">
      <c r="R28279" s="1288"/>
    </row>
    <row r="28280" spans="18:18" s="2" customFormat="1" ht="12.75" x14ac:dyDescent="0.2">
      <c r="R28280" s="1288"/>
    </row>
    <row r="28281" spans="18:18" s="2" customFormat="1" ht="12.75" x14ac:dyDescent="0.2">
      <c r="R28281" s="1288"/>
    </row>
    <row r="28282" spans="18:18" s="2" customFormat="1" ht="12.75" x14ac:dyDescent="0.2">
      <c r="R28282" s="1288"/>
    </row>
    <row r="28283" spans="18:18" s="2" customFormat="1" ht="12.75" x14ac:dyDescent="0.2">
      <c r="R28283" s="1288"/>
    </row>
    <row r="28284" spans="18:18" s="2" customFormat="1" ht="12.75" x14ac:dyDescent="0.2">
      <c r="R28284" s="1288"/>
    </row>
    <row r="28285" spans="18:18" s="2" customFormat="1" ht="12.75" x14ac:dyDescent="0.2">
      <c r="R28285" s="1288"/>
    </row>
    <row r="28286" spans="18:18" s="2" customFormat="1" ht="12.75" x14ac:dyDescent="0.2">
      <c r="R28286" s="1288"/>
    </row>
    <row r="28287" spans="18:18" s="2" customFormat="1" ht="12.75" x14ac:dyDescent="0.2">
      <c r="R28287" s="1288"/>
    </row>
    <row r="28288" spans="18:18" s="2" customFormat="1" ht="12.75" x14ac:dyDescent="0.2">
      <c r="R28288" s="1288"/>
    </row>
    <row r="28289" spans="18:18" s="2" customFormat="1" ht="12.75" x14ac:dyDescent="0.2">
      <c r="R28289" s="1288"/>
    </row>
    <row r="28290" spans="18:18" s="2" customFormat="1" ht="12.75" x14ac:dyDescent="0.2">
      <c r="R28290" s="1288"/>
    </row>
    <row r="28291" spans="18:18" s="2" customFormat="1" ht="12.75" x14ac:dyDescent="0.2">
      <c r="R28291" s="1288"/>
    </row>
    <row r="28292" spans="18:18" s="2" customFormat="1" ht="12.75" x14ac:dyDescent="0.2">
      <c r="R28292" s="1288"/>
    </row>
    <row r="28293" spans="18:18" s="2" customFormat="1" ht="12.75" x14ac:dyDescent="0.2">
      <c r="R28293" s="1288"/>
    </row>
    <row r="28294" spans="18:18" s="2" customFormat="1" ht="12.75" x14ac:dyDescent="0.2">
      <c r="R28294" s="1288"/>
    </row>
    <row r="28295" spans="18:18" s="2" customFormat="1" ht="12.75" x14ac:dyDescent="0.2">
      <c r="R28295" s="1288"/>
    </row>
    <row r="28296" spans="18:18" s="2" customFormat="1" ht="12.75" x14ac:dyDescent="0.2">
      <c r="R28296" s="1288"/>
    </row>
    <row r="28297" spans="18:18" s="2" customFormat="1" ht="12.75" x14ac:dyDescent="0.2">
      <c r="R28297" s="1288"/>
    </row>
    <row r="28298" spans="18:18" s="2" customFormat="1" ht="12.75" x14ac:dyDescent="0.2">
      <c r="R28298" s="1288"/>
    </row>
    <row r="28299" spans="18:18" s="2" customFormat="1" ht="12.75" x14ac:dyDescent="0.2">
      <c r="R28299" s="1288"/>
    </row>
    <row r="28300" spans="18:18" s="2" customFormat="1" ht="12.75" x14ac:dyDescent="0.2">
      <c r="R28300" s="1288"/>
    </row>
    <row r="28301" spans="18:18" s="2" customFormat="1" ht="12.75" x14ac:dyDescent="0.2">
      <c r="R28301" s="1288"/>
    </row>
    <row r="28302" spans="18:18" s="2" customFormat="1" ht="12.75" x14ac:dyDescent="0.2">
      <c r="R28302" s="1288"/>
    </row>
    <row r="28303" spans="18:18" s="2" customFormat="1" ht="12.75" x14ac:dyDescent="0.2">
      <c r="R28303" s="1288"/>
    </row>
    <row r="28304" spans="18:18" s="2" customFormat="1" ht="12.75" x14ac:dyDescent="0.2">
      <c r="R28304" s="1288"/>
    </row>
    <row r="28305" spans="18:18" s="2" customFormat="1" ht="12.75" x14ac:dyDescent="0.2">
      <c r="R28305" s="1288"/>
    </row>
    <row r="28306" spans="18:18" s="2" customFormat="1" ht="12.75" x14ac:dyDescent="0.2">
      <c r="R28306" s="1288"/>
    </row>
    <row r="28307" spans="18:18" s="2" customFormat="1" ht="12.75" x14ac:dyDescent="0.2">
      <c r="R28307" s="1288"/>
    </row>
    <row r="28308" spans="18:18" s="2" customFormat="1" ht="12.75" x14ac:dyDescent="0.2">
      <c r="R28308" s="1288"/>
    </row>
    <row r="28309" spans="18:18" s="2" customFormat="1" ht="12.75" x14ac:dyDescent="0.2">
      <c r="R28309" s="1288"/>
    </row>
    <row r="28310" spans="18:18" s="2" customFormat="1" ht="12.75" x14ac:dyDescent="0.2">
      <c r="R28310" s="1288"/>
    </row>
    <row r="28311" spans="18:18" s="2" customFormat="1" ht="12.75" x14ac:dyDescent="0.2">
      <c r="R28311" s="1288"/>
    </row>
    <row r="28312" spans="18:18" s="2" customFormat="1" ht="12.75" x14ac:dyDescent="0.2">
      <c r="R28312" s="1288"/>
    </row>
    <row r="28313" spans="18:18" s="2" customFormat="1" ht="12.75" x14ac:dyDescent="0.2">
      <c r="R28313" s="1288"/>
    </row>
    <row r="28314" spans="18:18" s="2" customFormat="1" ht="12.75" x14ac:dyDescent="0.2">
      <c r="R28314" s="1288"/>
    </row>
    <row r="28315" spans="18:18" s="2" customFormat="1" ht="12.75" x14ac:dyDescent="0.2">
      <c r="R28315" s="1288"/>
    </row>
    <row r="28316" spans="18:18" s="2" customFormat="1" ht="12.75" x14ac:dyDescent="0.2">
      <c r="R28316" s="1288"/>
    </row>
    <row r="28317" spans="18:18" s="2" customFormat="1" ht="12.75" x14ac:dyDescent="0.2">
      <c r="R28317" s="1288"/>
    </row>
    <row r="28318" spans="18:18" s="2" customFormat="1" ht="12.75" x14ac:dyDescent="0.2">
      <c r="R28318" s="1288"/>
    </row>
    <row r="28319" spans="18:18" s="2" customFormat="1" ht="12.75" x14ac:dyDescent="0.2">
      <c r="R28319" s="1288"/>
    </row>
    <row r="28320" spans="18:18" s="2" customFormat="1" ht="12.75" x14ac:dyDescent="0.2">
      <c r="R28320" s="1288"/>
    </row>
    <row r="28321" spans="18:18" s="2" customFormat="1" ht="12.75" x14ac:dyDescent="0.2">
      <c r="R28321" s="1288"/>
    </row>
    <row r="28322" spans="18:18" s="2" customFormat="1" ht="12.75" x14ac:dyDescent="0.2">
      <c r="R28322" s="1288"/>
    </row>
    <row r="28323" spans="18:18" s="2" customFormat="1" ht="12.75" x14ac:dyDescent="0.2">
      <c r="R28323" s="1288"/>
    </row>
    <row r="28324" spans="18:18" s="2" customFormat="1" ht="12.75" x14ac:dyDescent="0.2">
      <c r="R28324" s="1288"/>
    </row>
    <row r="28325" spans="18:18" s="2" customFormat="1" ht="12.75" x14ac:dyDescent="0.2">
      <c r="R28325" s="1288"/>
    </row>
    <row r="28326" spans="18:18" s="2" customFormat="1" ht="12.75" x14ac:dyDescent="0.2">
      <c r="R28326" s="1288"/>
    </row>
    <row r="28327" spans="18:18" s="2" customFormat="1" ht="12.75" x14ac:dyDescent="0.2">
      <c r="R28327" s="1288"/>
    </row>
    <row r="28328" spans="18:18" s="2" customFormat="1" ht="12.75" x14ac:dyDescent="0.2">
      <c r="R28328" s="1288"/>
    </row>
    <row r="28329" spans="18:18" s="2" customFormat="1" ht="12.75" x14ac:dyDescent="0.2">
      <c r="R28329" s="1288"/>
    </row>
    <row r="28330" spans="18:18" s="2" customFormat="1" ht="12.75" x14ac:dyDescent="0.2">
      <c r="R28330" s="1288"/>
    </row>
    <row r="28331" spans="18:18" s="2" customFormat="1" ht="12.75" x14ac:dyDescent="0.2">
      <c r="R28331" s="1288"/>
    </row>
    <row r="28332" spans="18:18" s="2" customFormat="1" ht="12.75" x14ac:dyDescent="0.2">
      <c r="R28332" s="1288"/>
    </row>
    <row r="28333" spans="18:18" s="2" customFormat="1" ht="12.75" x14ac:dyDescent="0.2">
      <c r="R28333" s="1288"/>
    </row>
    <row r="28334" spans="18:18" s="2" customFormat="1" ht="12.75" x14ac:dyDescent="0.2">
      <c r="R28334" s="1288"/>
    </row>
    <row r="28335" spans="18:18" s="2" customFormat="1" ht="12.75" x14ac:dyDescent="0.2">
      <c r="R28335" s="1288"/>
    </row>
    <row r="28336" spans="18:18" s="2" customFormat="1" ht="12.75" x14ac:dyDescent="0.2">
      <c r="R28336" s="1288"/>
    </row>
    <row r="28337" spans="18:18" s="2" customFormat="1" ht="12.75" x14ac:dyDescent="0.2">
      <c r="R28337" s="1288"/>
    </row>
    <row r="28338" spans="18:18" s="2" customFormat="1" ht="12.75" x14ac:dyDescent="0.2">
      <c r="R28338" s="1288"/>
    </row>
    <row r="28339" spans="18:18" s="2" customFormat="1" ht="12.75" x14ac:dyDescent="0.2">
      <c r="R28339" s="1288"/>
    </row>
    <row r="28340" spans="18:18" s="2" customFormat="1" ht="12.75" x14ac:dyDescent="0.2">
      <c r="R28340" s="1288"/>
    </row>
    <row r="28341" spans="18:18" s="2" customFormat="1" ht="12.75" x14ac:dyDescent="0.2">
      <c r="R28341" s="1288"/>
    </row>
    <row r="28342" spans="18:18" s="2" customFormat="1" ht="12.75" x14ac:dyDescent="0.2">
      <c r="R28342" s="1288"/>
    </row>
    <row r="28343" spans="18:18" s="2" customFormat="1" ht="12.75" x14ac:dyDescent="0.2">
      <c r="R28343" s="1288"/>
    </row>
    <row r="28344" spans="18:18" s="2" customFormat="1" ht="12.75" x14ac:dyDescent="0.2">
      <c r="R28344" s="1288"/>
    </row>
    <row r="28345" spans="18:18" s="2" customFormat="1" ht="12.75" x14ac:dyDescent="0.2">
      <c r="R28345" s="1288"/>
    </row>
    <row r="28346" spans="18:18" s="2" customFormat="1" ht="12.75" x14ac:dyDescent="0.2">
      <c r="R28346" s="1288"/>
    </row>
    <row r="28347" spans="18:18" s="2" customFormat="1" ht="12.75" x14ac:dyDescent="0.2">
      <c r="R28347" s="1288"/>
    </row>
    <row r="28348" spans="18:18" s="2" customFormat="1" ht="12.75" x14ac:dyDescent="0.2">
      <c r="R28348" s="1288"/>
    </row>
    <row r="28349" spans="18:18" s="2" customFormat="1" ht="12.75" x14ac:dyDescent="0.2">
      <c r="R28349" s="1288"/>
    </row>
    <row r="28350" spans="18:18" s="2" customFormat="1" ht="12.75" x14ac:dyDescent="0.2">
      <c r="R28350" s="1288"/>
    </row>
    <row r="28351" spans="18:18" s="2" customFormat="1" ht="12.75" x14ac:dyDescent="0.2">
      <c r="R28351" s="1288"/>
    </row>
    <row r="28352" spans="18:18" s="2" customFormat="1" ht="12.75" x14ac:dyDescent="0.2">
      <c r="R28352" s="1288"/>
    </row>
    <row r="28353" spans="18:18" s="2" customFormat="1" ht="12.75" x14ac:dyDescent="0.2">
      <c r="R28353" s="1288"/>
    </row>
    <row r="28354" spans="18:18" s="2" customFormat="1" ht="12.75" x14ac:dyDescent="0.2">
      <c r="R28354" s="1288"/>
    </row>
    <row r="28355" spans="18:18" s="2" customFormat="1" ht="12.75" x14ac:dyDescent="0.2">
      <c r="R28355" s="1288"/>
    </row>
    <row r="28356" spans="18:18" s="2" customFormat="1" ht="12.75" x14ac:dyDescent="0.2">
      <c r="R28356" s="1288"/>
    </row>
    <row r="28357" spans="18:18" s="2" customFormat="1" ht="12.75" x14ac:dyDescent="0.2">
      <c r="R28357" s="1288"/>
    </row>
    <row r="28358" spans="18:18" s="2" customFormat="1" ht="12.75" x14ac:dyDescent="0.2">
      <c r="R28358" s="1288"/>
    </row>
    <row r="28359" spans="18:18" s="2" customFormat="1" ht="12.75" x14ac:dyDescent="0.2">
      <c r="R28359" s="1288"/>
    </row>
    <row r="28360" spans="18:18" s="2" customFormat="1" ht="12.75" x14ac:dyDescent="0.2">
      <c r="R28360" s="1288"/>
    </row>
    <row r="28361" spans="18:18" s="2" customFormat="1" ht="12.75" x14ac:dyDescent="0.2">
      <c r="R28361" s="1288"/>
    </row>
    <row r="28362" spans="18:18" s="2" customFormat="1" ht="12.75" x14ac:dyDescent="0.2">
      <c r="R28362" s="1288"/>
    </row>
    <row r="28363" spans="18:18" s="2" customFormat="1" ht="12.75" x14ac:dyDescent="0.2">
      <c r="R28363" s="1288"/>
    </row>
    <row r="28364" spans="18:18" s="2" customFormat="1" ht="12.75" x14ac:dyDescent="0.2">
      <c r="R28364" s="1288"/>
    </row>
    <row r="28365" spans="18:18" s="2" customFormat="1" ht="12.75" x14ac:dyDescent="0.2">
      <c r="R28365" s="1288"/>
    </row>
    <row r="28366" spans="18:18" s="2" customFormat="1" ht="12.75" x14ac:dyDescent="0.2">
      <c r="R28366" s="1288"/>
    </row>
    <row r="28367" spans="18:18" s="2" customFormat="1" ht="12.75" x14ac:dyDescent="0.2">
      <c r="R28367" s="1288"/>
    </row>
    <row r="28368" spans="18:18" s="2" customFormat="1" ht="12.75" x14ac:dyDescent="0.2">
      <c r="R28368" s="1288"/>
    </row>
    <row r="28369" spans="18:18" s="2" customFormat="1" ht="12.75" x14ac:dyDescent="0.2">
      <c r="R28369" s="1288"/>
    </row>
    <row r="28370" spans="18:18" s="2" customFormat="1" ht="12.75" x14ac:dyDescent="0.2">
      <c r="R28370" s="1288"/>
    </row>
    <row r="28371" spans="18:18" s="2" customFormat="1" ht="12.75" x14ac:dyDescent="0.2">
      <c r="R28371" s="1288"/>
    </row>
    <row r="28372" spans="18:18" s="2" customFormat="1" ht="12.75" x14ac:dyDescent="0.2">
      <c r="R28372" s="1288"/>
    </row>
    <row r="28373" spans="18:18" s="2" customFormat="1" ht="12.75" x14ac:dyDescent="0.2">
      <c r="R28373" s="1288"/>
    </row>
    <row r="28374" spans="18:18" s="2" customFormat="1" ht="12.75" x14ac:dyDescent="0.2">
      <c r="R28374" s="1288"/>
    </row>
    <row r="28375" spans="18:18" s="2" customFormat="1" ht="12.75" x14ac:dyDescent="0.2">
      <c r="R28375" s="1288"/>
    </row>
    <row r="28376" spans="18:18" s="2" customFormat="1" ht="12.75" x14ac:dyDescent="0.2">
      <c r="R28376" s="1288"/>
    </row>
    <row r="28377" spans="18:18" s="2" customFormat="1" ht="12.75" x14ac:dyDescent="0.2">
      <c r="R28377" s="1288"/>
    </row>
    <row r="28378" spans="18:18" s="2" customFormat="1" ht="12.75" x14ac:dyDescent="0.2">
      <c r="R28378" s="1288"/>
    </row>
    <row r="28379" spans="18:18" s="2" customFormat="1" ht="12.75" x14ac:dyDescent="0.2">
      <c r="R28379" s="1288"/>
    </row>
    <row r="28380" spans="18:18" s="2" customFormat="1" ht="12.75" x14ac:dyDescent="0.2">
      <c r="R28380" s="1288"/>
    </row>
    <row r="28381" spans="18:18" s="2" customFormat="1" ht="12.75" x14ac:dyDescent="0.2">
      <c r="R28381" s="1288"/>
    </row>
    <row r="28382" spans="18:18" s="2" customFormat="1" ht="12.75" x14ac:dyDescent="0.2">
      <c r="R28382" s="1288"/>
    </row>
    <row r="28383" spans="18:18" s="2" customFormat="1" ht="12.75" x14ac:dyDescent="0.2">
      <c r="R28383" s="1288"/>
    </row>
    <row r="28384" spans="18:18" s="2" customFormat="1" ht="12.75" x14ac:dyDescent="0.2">
      <c r="R28384" s="1288"/>
    </row>
    <row r="28385" spans="18:18" s="2" customFormat="1" ht="12.75" x14ac:dyDescent="0.2">
      <c r="R28385" s="1288"/>
    </row>
    <row r="28386" spans="18:18" s="2" customFormat="1" ht="12.75" x14ac:dyDescent="0.2">
      <c r="R28386" s="1288"/>
    </row>
    <row r="28387" spans="18:18" s="2" customFormat="1" ht="12.75" x14ac:dyDescent="0.2">
      <c r="R28387" s="1288"/>
    </row>
    <row r="28388" spans="18:18" s="2" customFormat="1" ht="12.75" x14ac:dyDescent="0.2">
      <c r="R28388" s="1288"/>
    </row>
    <row r="28389" spans="18:18" s="2" customFormat="1" ht="12.75" x14ac:dyDescent="0.2">
      <c r="R28389" s="1288"/>
    </row>
    <row r="28390" spans="18:18" s="2" customFormat="1" ht="12.75" x14ac:dyDescent="0.2">
      <c r="R28390" s="1288"/>
    </row>
    <row r="28391" spans="18:18" s="2" customFormat="1" ht="12.75" x14ac:dyDescent="0.2">
      <c r="R28391" s="1288"/>
    </row>
    <row r="28392" spans="18:18" s="2" customFormat="1" ht="12.75" x14ac:dyDescent="0.2">
      <c r="R28392" s="1288"/>
    </row>
    <row r="28393" spans="18:18" s="2" customFormat="1" ht="12.75" x14ac:dyDescent="0.2">
      <c r="R28393" s="1288"/>
    </row>
    <row r="28394" spans="18:18" s="2" customFormat="1" ht="12.75" x14ac:dyDescent="0.2">
      <c r="R28394" s="1288"/>
    </row>
    <row r="28395" spans="18:18" s="2" customFormat="1" ht="12.75" x14ac:dyDescent="0.2">
      <c r="R28395" s="1288"/>
    </row>
    <row r="28396" spans="18:18" s="2" customFormat="1" ht="12.75" x14ac:dyDescent="0.2">
      <c r="R28396" s="1288"/>
    </row>
    <row r="28397" spans="18:18" s="2" customFormat="1" ht="12.75" x14ac:dyDescent="0.2">
      <c r="R28397" s="1288"/>
    </row>
    <row r="28398" spans="18:18" s="2" customFormat="1" ht="12.75" x14ac:dyDescent="0.2">
      <c r="R28398" s="1288"/>
    </row>
    <row r="28399" spans="18:18" s="2" customFormat="1" ht="12.75" x14ac:dyDescent="0.2">
      <c r="R28399" s="1288"/>
    </row>
    <row r="28400" spans="18:18" s="2" customFormat="1" ht="12.75" x14ac:dyDescent="0.2">
      <c r="R28400" s="1288"/>
    </row>
    <row r="28401" spans="18:18" s="2" customFormat="1" ht="12.75" x14ac:dyDescent="0.2">
      <c r="R28401" s="1288"/>
    </row>
    <row r="28402" spans="18:18" s="2" customFormat="1" ht="12.75" x14ac:dyDescent="0.2">
      <c r="R28402" s="1288"/>
    </row>
    <row r="28403" spans="18:18" s="2" customFormat="1" ht="12.75" x14ac:dyDescent="0.2">
      <c r="R28403" s="1288"/>
    </row>
    <row r="28404" spans="18:18" s="2" customFormat="1" ht="12.75" x14ac:dyDescent="0.2">
      <c r="R28404" s="1288"/>
    </row>
    <row r="28405" spans="18:18" s="2" customFormat="1" ht="12.75" x14ac:dyDescent="0.2">
      <c r="R28405" s="1288"/>
    </row>
    <row r="28406" spans="18:18" s="2" customFormat="1" ht="12.75" x14ac:dyDescent="0.2">
      <c r="R28406" s="1288"/>
    </row>
    <row r="28407" spans="18:18" s="2" customFormat="1" ht="12.75" x14ac:dyDescent="0.2">
      <c r="R28407" s="1288"/>
    </row>
    <row r="28408" spans="18:18" s="2" customFormat="1" ht="12.75" x14ac:dyDescent="0.2">
      <c r="R28408" s="1288"/>
    </row>
    <row r="28409" spans="18:18" s="2" customFormat="1" ht="12.75" x14ac:dyDescent="0.2">
      <c r="R28409" s="1288"/>
    </row>
    <row r="28410" spans="18:18" s="2" customFormat="1" ht="12.75" x14ac:dyDescent="0.2">
      <c r="R28410" s="1288"/>
    </row>
    <row r="28411" spans="18:18" s="2" customFormat="1" ht="12.75" x14ac:dyDescent="0.2">
      <c r="R28411" s="1288"/>
    </row>
    <row r="28412" spans="18:18" s="2" customFormat="1" ht="12.75" x14ac:dyDescent="0.2">
      <c r="R28412" s="1288"/>
    </row>
    <row r="28413" spans="18:18" s="2" customFormat="1" ht="12.75" x14ac:dyDescent="0.2">
      <c r="R28413" s="1288"/>
    </row>
    <row r="28414" spans="18:18" s="2" customFormat="1" ht="12.75" x14ac:dyDescent="0.2">
      <c r="R28414" s="1288"/>
    </row>
    <row r="28415" spans="18:18" s="2" customFormat="1" ht="12.75" x14ac:dyDescent="0.2">
      <c r="R28415" s="1288"/>
    </row>
    <row r="28416" spans="18:18" s="2" customFormat="1" ht="12.75" x14ac:dyDescent="0.2">
      <c r="R28416" s="1288"/>
    </row>
    <row r="28417" spans="18:18" s="2" customFormat="1" ht="12.75" x14ac:dyDescent="0.2">
      <c r="R28417" s="1288"/>
    </row>
    <row r="28418" spans="18:18" s="2" customFormat="1" ht="12.75" x14ac:dyDescent="0.2">
      <c r="R28418" s="1288"/>
    </row>
    <row r="28419" spans="18:18" s="2" customFormat="1" ht="12.75" x14ac:dyDescent="0.2">
      <c r="R28419" s="1288"/>
    </row>
    <row r="28420" spans="18:18" s="2" customFormat="1" ht="12.75" x14ac:dyDescent="0.2">
      <c r="R28420" s="1288"/>
    </row>
    <row r="28421" spans="18:18" s="2" customFormat="1" ht="12.75" x14ac:dyDescent="0.2">
      <c r="R28421" s="1288"/>
    </row>
    <row r="28422" spans="18:18" s="2" customFormat="1" ht="12.75" x14ac:dyDescent="0.2">
      <c r="R28422" s="1288"/>
    </row>
    <row r="28423" spans="18:18" s="2" customFormat="1" ht="12.75" x14ac:dyDescent="0.2">
      <c r="R28423" s="1288"/>
    </row>
    <row r="28424" spans="18:18" s="2" customFormat="1" ht="12.75" x14ac:dyDescent="0.2">
      <c r="R28424" s="1288"/>
    </row>
    <row r="28425" spans="18:18" s="2" customFormat="1" ht="12.75" x14ac:dyDescent="0.2">
      <c r="R28425" s="1288"/>
    </row>
    <row r="28426" spans="18:18" s="2" customFormat="1" ht="12.75" x14ac:dyDescent="0.2">
      <c r="R28426" s="1288"/>
    </row>
    <row r="28427" spans="18:18" s="2" customFormat="1" ht="12.75" x14ac:dyDescent="0.2">
      <c r="R28427" s="1288"/>
    </row>
    <row r="28428" spans="18:18" s="2" customFormat="1" ht="12.75" x14ac:dyDescent="0.2">
      <c r="R28428" s="1288"/>
    </row>
    <row r="28429" spans="18:18" s="2" customFormat="1" ht="12.75" x14ac:dyDescent="0.2">
      <c r="R28429" s="1288"/>
    </row>
    <row r="28430" spans="18:18" s="2" customFormat="1" ht="12.75" x14ac:dyDescent="0.2">
      <c r="R28430" s="1288"/>
    </row>
    <row r="28431" spans="18:18" s="2" customFormat="1" ht="12.75" x14ac:dyDescent="0.2">
      <c r="R28431" s="1288"/>
    </row>
    <row r="28432" spans="18:18" s="2" customFormat="1" ht="12.75" x14ac:dyDescent="0.2">
      <c r="R28432" s="1288"/>
    </row>
    <row r="28433" spans="18:18" s="2" customFormat="1" ht="12.75" x14ac:dyDescent="0.2">
      <c r="R28433" s="1288"/>
    </row>
    <row r="28434" spans="18:18" s="2" customFormat="1" ht="12.75" x14ac:dyDescent="0.2">
      <c r="R28434" s="1288"/>
    </row>
    <row r="28435" spans="18:18" s="2" customFormat="1" ht="12.75" x14ac:dyDescent="0.2">
      <c r="R28435" s="1288"/>
    </row>
    <row r="28436" spans="18:18" s="2" customFormat="1" ht="12.75" x14ac:dyDescent="0.2">
      <c r="R28436" s="1288"/>
    </row>
    <row r="28437" spans="18:18" s="2" customFormat="1" ht="12.75" x14ac:dyDescent="0.2">
      <c r="R28437" s="1288"/>
    </row>
    <row r="28438" spans="18:18" s="2" customFormat="1" ht="12.75" x14ac:dyDescent="0.2">
      <c r="R28438" s="1288"/>
    </row>
    <row r="28439" spans="18:18" s="2" customFormat="1" ht="12.75" x14ac:dyDescent="0.2">
      <c r="R28439" s="1288"/>
    </row>
    <row r="28440" spans="18:18" s="2" customFormat="1" ht="12.75" x14ac:dyDescent="0.2">
      <c r="R28440" s="1288"/>
    </row>
    <row r="28441" spans="18:18" s="2" customFormat="1" ht="12.75" x14ac:dyDescent="0.2">
      <c r="R28441" s="1288"/>
    </row>
    <row r="28442" spans="18:18" s="2" customFormat="1" ht="12.75" x14ac:dyDescent="0.2">
      <c r="R28442" s="1288"/>
    </row>
    <row r="28443" spans="18:18" s="2" customFormat="1" ht="12.75" x14ac:dyDescent="0.2">
      <c r="R28443" s="1288"/>
    </row>
    <row r="28444" spans="18:18" s="2" customFormat="1" ht="12.75" x14ac:dyDescent="0.2">
      <c r="R28444" s="1288"/>
    </row>
    <row r="28445" spans="18:18" s="2" customFormat="1" ht="12.75" x14ac:dyDescent="0.2">
      <c r="R28445" s="1288"/>
    </row>
    <row r="28446" spans="18:18" s="2" customFormat="1" ht="12.75" x14ac:dyDescent="0.2">
      <c r="R28446" s="1288"/>
    </row>
    <row r="28447" spans="18:18" s="2" customFormat="1" ht="12.75" x14ac:dyDescent="0.2">
      <c r="R28447" s="1288"/>
    </row>
    <row r="28448" spans="18:18" s="2" customFormat="1" ht="12.75" x14ac:dyDescent="0.2">
      <c r="R28448" s="1288"/>
    </row>
    <row r="28449" spans="18:18" s="2" customFormat="1" ht="12.75" x14ac:dyDescent="0.2">
      <c r="R28449" s="1288"/>
    </row>
    <row r="28450" spans="18:18" s="2" customFormat="1" ht="12.75" x14ac:dyDescent="0.2">
      <c r="R28450" s="1288"/>
    </row>
    <row r="28451" spans="18:18" s="2" customFormat="1" ht="12.75" x14ac:dyDescent="0.2">
      <c r="R28451" s="1288"/>
    </row>
    <row r="28452" spans="18:18" s="2" customFormat="1" ht="12.75" x14ac:dyDescent="0.2">
      <c r="R28452" s="1288"/>
    </row>
    <row r="28453" spans="18:18" s="2" customFormat="1" ht="12.75" x14ac:dyDescent="0.2">
      <c r="R28453" s="1288"/>
    </row>
    <row r="28454" spans="18:18" s="2" customFormat="1" ht="12.75" x14ac:dyDescent="0.2">
      <c r="R28454" s="1288"/>
    </row>
    <row r="28455" spans="18:18" s="2" customFormat="1" ht="12.75" x14ac:dyDescent="0.2">
      <c r="R28455" s="1288"/>
    </row>
    <row r="28456" spans="18:18" s="2" customFormat="1" ht="12.75" x14ac:dyDescent="0.2">
      <c r="R28456" s="1288"/>
    </row>
    <row r="28457" spans="18:18" s="2" customFormat="1" ht="12.75" x14ac:dyDescent="0.2">
      <c r="R28457" s="1288"/>
    </row>
    <row r="28458" spans="18:18" s="2" customFormat="1" ht="12.75" x14ac:dyDescent="0.2">
      <c r="R28458" s="1288"/>
    </row>
    <row r="28459" spans="18:18" s="2" customFormat="1" ht="12.75" x14ac:dyDescent="0.2">
      <c r="R28459" s="1288"/>
    </row>
    <row r="28460" spans="18:18" s="2" customFormat="1" ht="12.75" x14ac:dyDescent="0.2">
      <c r="R28460" s="1288"/>
    </row>
    <row r="28461" spans="18:18" s="2" customFormat="1" ht="12.75" x14ac:dyDescent="0.2">
      <c r="R28461" s="1288"/>
    </row>
    <row r="28462" spans="18:18" s="2" customFormat="1" ht="12.75" x14ac:dyDescent="0.2">
      <c r="R28462" s="1288"/>
    </row>
    <row r="28463" spans="18:18" s="2" customFormat="1" ht="12.75" x14ac:dyDescent="0.2">
      <c r="R28463" s="1288"/>
    </row>
    <row r="28464" spans="18:18" s="2" customFormat="1" ht="12.75" x14ac:dyDescent="0.2">
      <c r="R28464" s="1288"/>
    </row>
    <row r="28465" spans="18:18" s="2" customFormat="1" ht="12.75" x14ac:dyDescent="0.2">
      <c r="R28465" s="1288"/>
    </row>
    <row r="28466" spans="18:18" s="2" customFormat="1" ht="12.75" x14ac:dyDescent="0.2">
      <c r="R28466" s="1288"/>
    </row>
    <row r="28467" spans="18:18" s="2" customFormat="1" ht="12.75" x14ac:dyDescent="0.2">
      <c r="R28467" s="1288"/>
    </row>
    <row r="28468" spans="18:18" s="2" customFormat="1" ht="12.75" x14ac:dyDescent="0.2">
      <c r="R28468" s="1288"/>
    </row>
    <row r="28469" spans="18:18" s="2" customFormat="1" ht="12.75" x14ac:dyDescent="0.2">
      <c r="R28469" s="1288"/>
    </row>
    <row r="28470" spans="18:18" s="2" customFormat="1" ht="12.75" x14ac:dyDescent="0.2">
      <c r="R28470" s="1288"/>
    </row>
    <row r="28471" spans="18:18" s="2" customFormat="1" ht="12.75" x14ac:dyDescent="0.2">
      <c r="R28471" s="1288"/>
    </row>
    <row r="28472" spans="18:18" s="2" customFormat="1" ht="12.75" x14ac:dyDescent="0.2">
      <c r="R28472" s="1288"/>
    </row>
    <row r="28473" spans="18:18" s="2" customFormat="1" ht="12.75" x14ac:dyDescent="0.2">
      <c r="R28473" s="1288"/>
    </row>
    <row r="28474" spans="18:18" s="2" customFormat="1" ht="12.75" x14ac:dyDescent="0.2">
      <c r="R28474" s="1288"/>
    </row>
    <row r="28475" spans="18:18" s="2" customFormat="1" ht="12.75" x14ac:dyDescent="0.2">
      <c r="R28475" s="1288"/>
    </row>
    <row r="28476" spans="18:18" s="2" customFormat="1" ht="12.75" x14ac:dyDescent="0.2">
      <c r="R28476" s="1288"/>
    </row>
    <row r="28477" spans="18:18" s="2" customFormat="1" ht="12.75" x14ac:dyDescent="0.2">
      <c r="R28477" s="1288"/>
    </row>
    <row r="28478" spans="18:18" s="2" customFormat="1" ht="12.75" x14ac:dyDescent="0.2">
      <c r="R28478" s="1288"/>
    </row>
    <row r="28479" spans="18:18" s="2" customFormat="1" ht="12.75" x14ac:dyDescent="0.2">
      <c r="R28479" s="1288"/>
    </row>
    <row r="28480" spans="18:18" s="2" customFormat="1" ht="12.75" x14ac:dyDescent="0.2">
      <c r="R28480" s="1288"/>
    </row>
    <row r="28481" spans="18:18" s="2" customFormat="1" ht="12.75" x14ac:dyDescent="0.2">
      <c r="R28481" s="1288"/>
    </row>
    <row r="28482" spans="18:18" s="2" customFormat="1" ht="12.75" x14ac:dyDescent="0.2">
      <c r="R28482" s="1288"/>
    </row>
    <row r="28483" spans="18:18" s="2" customFormat="1" ht="12.75" x14ac:dyDescent="0.2">
      <c r="R28483" s="1288"/>
    </row>
    <row r="28484" spans="18:18" s="2" customFormat="1" ht="12.75" x14ac:dyDescent="0.2">
      <c r="R28484" s="1288"/>
    </row>
    <row r="28485" spans="18:18" s="2" customFormat="1" ht="12.75" x14ac:dyDescent="0.2">
      <c r="R28485" s="1288"/>
    </row>
    <row r="28486" spans="18:18" s="2" customFormat="1" ht="12.75" x14ac:dyDescent="0.2">
      <c r="R28486" s="1288"/>
    </row>
    <row r="28487" spans="18:18" s="2" customFormat="1" ht="12.75" x14ac:dyDescent="0.2">
      <c r="R28487" s="1288"/>
    </row>
    <row r="28488" spans="18:18" s="2" customFormat="1" ht="12.75" x14ac:dyDescent="0.2">
      <c r="R28488" s="1288"/>
    </row>
    <row r="28489" spans="18:18" s="2" customFormat="1" ht="12.75" x14ac:dyDescent="0.2">
      <c r="R28489" s="1288"/>
    </row>
    <row r="28490" spans="18:18" s="2" customFormat="1" ht="12.75" x14ac:dyDescent="0.2">
      <c r="R28490" s="1288"/>
    </row>
    <row r="28491" spans="18:18" s="2" customFormat="1" ht="12.75" x14ac:dyDescent="0.2">
      <c r="R28491" s="1288"/>
    </row>
    <row r="28492" spans="18:18" s="2" customFormat="1" ht="12.75" x14ac:dyDescent="0.2">
      <c r="R28492" s="1288"/>
    </row>
    <row r="28493" spans="18:18" s="2" customFormat="1" ht="12.75" x14ac:dyDescent="0.2">
      <c r="R28493" s="1288"/>
    </row>
    <row r="28494" spans="18:18" s="2" customFormat="1" ht="12.75" x14ac:dyDescent="0.2">
      <c r="R28494" s="1288"/>
    </row>
    <row r="28495" spans="18:18" s="2" customFormat="1" ht="12.75" x14ac:dyDescent="0.2">
      <c r="R28495" s="1288"/>
    </row>
    <row r="28496" spans="18:18" s="2" customFormat="1" ht="12.75" x14ac:dyDescent="0.2">
      <c r="R28496" s="1288"/>
    </row>
    <row r="28497" spans="18:18" s="2" customFormat="1" ht="12.75" x14ac:dyDescent="0.2">
      <c r="R28497" s="1288"/>
    </row>
    <row r="28498" spans="18:18" s="2" customFormat="1" ht="12.75" x14ac:dyDescent="0.2">
      <c r="R28498" s="1288"/>
    </row>
    <row r="28499" spans="18:18" s="2" customFormat="1" ht="12.75" x14ac:dyDescent="0.2">
      <c r="R28499" s="1288"/>
    </row>
    <row r="28500" spans="18:18" s="2" customFormat="1" ht="12.75" x14ac:dyDescent="0.2">
      <c r="R28500" s="1288"/>
    </row>
    <row r="28501" spans="18:18" s="2" customFormat="1" ht="12.75" x14ac:dyDescent="0.2">
      <c r="R28501" s="1288"/>
    </row>
    <row r="28502" spans="18:18" s="2" customFormat="1" ht="12.75" x14ac:dyDescent="0.2">
      <c r="R28502" s="1288"/>
    </row>
    <row r="28503" spans="18:18" s="2" customFormat="1" ht="12.75" x14ac:dyDescent="0.2">
      <c r="R28503" s="1288"/>
    </row>
    <row r="28504" spans="18:18" s="2" customFormat="1" ht="12.75" x14ac:dyDescent="0.2">
      <c r="R28504" s="1288"/>
    </row>
    <row r="28505" spans="18:18" s="2" customFormat="1" ht="12.75" x14ac:dyDescent="0.2">
      <c r="R28505" s="1288"/>
    </row>
    <row r="28506" spans="18:18" s="2" customFormat="1" ht="12.75" x14ac:dyDescent="0.2">
      <c r="R28506" s="1288"/>
    </row>
    <row r="28507" spans="18:18" s="2" customFormat="1" ht="12.75" x14ac:dyDescent="0.2">
      <c r="R28507" s="1288"/>
    </row>
    <row r="28508" spans="18:18" s="2" customFormat="1" ht="12.75" x14ac:dyDescent="0.2">
      <c r="R28508" s="1288"/>
    </row>
    <row r="28509" spans="18:18" s="2" customFormat="1" ht="12.75" x14ac:dyDescent="0.2">
      <c r="R28509" s="1288"/>
    </row>
    <row r="28510" spans="18:18" s="2" customFormat="1" ht="12.75" x14ac:dyDescent="0.2">
      <c r="R28510" s="1288"/>
    </row>
    <row r="28511" spans="18:18" s="2" customFormat="1" ht="12.75" x14ac:dyDescent="0.2">
      <c r="R28511" s="1288"/>
    </row>
    <row r="28512" spans="18:18" s="2" customFormat="1" ht="12.75" x14ac:dyDescent="0.2">
      <c r="R28512" s="1288"/>
    </row>
    <row r="28513" spans="18:18" s="2" customFormat="1" ht="12.75" x14ac:dyDescent="0.2">
      <c r="R28513" s="1288"/>
    </row>
    <row r="28514" spans="18:18" s="2" customFormat="1" ht="12.75" x14ac:dyDescent="0.2">
      <c r="R28514" s="1288"/>
    </row>
    <row r="28515" spans="18:18" s="2" customFormat="1" ht="12.75" x14ac:dyDescent="0.2">
      <c r="R28515" s="1288"/>
    </row>
    <row r="28516" spans="18:18" s="2" customFormat="1" ht="12.75" x14ac:dyDescent="0.2">
      <c r="R28516" s="1288"/>
    </row>
    <row r="28517" spans="18:18" s="2" customFormat="1" ht="12.75" x14ac:dyDescent="0.2">
      <c r="R28517" s="1288"/>
    </row>
    <row r="28518" spans="18:18" s="2" customFormat="1" ht="12.75" x14ac:dyDescent="0.2">
      <c r="R28518" s="1288"/>
    </row>
    <row r="28519" spans="18:18" s="2" customFormat="1" ht="12.75" x14ac:dyDescent="0.2">
      <c r="R28519" s="1288"/>
    </row>
    <row r="28520" spans="18:18" s="2" customFormat="1" ht="12.75" x14ac:dyDescent="0.2">
      <c r="R28520" s="1288"/>
    </row>
    <row r="28521" spans="18:18" s="2" customFormat="1" ht="12.75" x14ac:dyDescent="0.2">
      <c r="R28521" s="1288"/>
    </row>
    <row r="28522" spans="18:18" s="2" customFormat="1" ht="12.75" x14ac:dyDescent="0.2">
      <c r="R28522" s="1288"/>
    </row>
    <row r="28523" spans="18:18" s="2" customFormat="1" ht="12.75" x14ac:dyDescent="0.2">
      <c r="R28523" s="1288"/>
    </row>
    <row r="28524" spans="18:18" s="2" customFormat="1" ht="12.75" x14ac:dyDescent="0.2">
      <c r="R28524" s="1288"/>
    </row>
    <row r="28525" spans="18:18" s="2" customFormat="1" ht="12.75" x14ac:dyDescent="0.2">
      <c r="R28525" s="1288"/>
    </row>
    <row r="28526" spans="18:18" s="2" customFormat="1" ht="12.75" x14ac:dyDescent="0.2">
      <c r="R28526" s="1288"/>
    </row>
    <row r="28527" spans="18:18" s="2" customFormat="1" ht="12.75" x14ac:dyDescent="0.2">
      <c r="R28527" s="1288"/>
    </row>
    <row r="28528" spans="18:18" s="2" customFormat="1" ht="12.75" x14ac:dyDescent="0.2">
      <c r="R28528" s="1288"/>
    </row>
    <row r="28529" spans="18:18" s="2" customFormat="1" ht="12.75" x14ac:dyDescent="0.2">
      <c r="R28529" s="1288"/>
    </row>
    <row r="28530" spans="18:18" s="2" customFormat="1" ht="12.75" x14ac:dyDescent="0.2">
      <c r="R28530" s="1288"/>
    </row>
    <row r="28531" spans="18:18" s="2" customFormat="1" ht="12.75" x14ac:dyDescent="0.2">
      <c r="R28531" s="1288"/>
    </row>
    <row r="28532" spans="18:18" s="2" customFormat="1" ht="12.75" x14ac:dyDescent="0.2">
      <c r="R28532" s="1288"/>
    </row>
    <row r="28533" spans="18:18" s="2" customFormat="1" ht="12.75" x14ac:dyDescent="0.2">
      <c r="R28533" s="1288"/>
    </row>
    <row r="28534" spans="18:18" s="2" customFormat="1" ht="12.75" x14ac:dyDescent="0.2">
      <c r="R28534" s="1288"/>
    </row>
    <row r="28535" spans="18:18" s="2" customFormat="1" ht="12.75" x14ac:dyDescent="0.2">
      <c r="R28535" s="1288"/>
    </row>
    <row r="28536" spans="18:18" s="2" customFormat="1" ht="12.75" x14ac:dyDescent="0.2">
      <c r="R28536" s="1288"/>
    </row>
    <row r="28537" spans="18:18" s="2" customFormat="1" ht="12.75" x14ac:dyDescent="0.2">
      <c r="R28537" s="1288"/>
    </row>
    <row r="28538" spans="18:18" s="2" customFormat="1" ht="12.75" x14ac:dyDescent="0.2">
      <c r="R28538" s="1288"/>
    </row>
    <row r="28539" spans="18:18" s="2" customFormat="1" ht="12.75" x14ac:dyDescent="0.2">
      <c r="R28539" s="1288"/>
    </row>
    <row r="28540" spans="18:18" s="2" customFormat="1" ht="12.75" x14ac:dyDescent="0.2">
      <c r="R28540" s="1288"/>
    </row>
    <row r="28541" spans="18:18" s="2" customFormat="1" ht="12.75" x14ac:dyDescent="0.2">
      <c r="R28541" s="1288"/>
    </row>
    <row r="28542" spans="18:18" s="2" customFormat="1" ht="12.75" x14ac:dyDescent="0.2">
      <c r="R28542" s="1288"/>
    </row>
    <row r="28543" spans="18:18" s="2" customFormat="1" ht="12.75" x14ac:dyDescent="0.2">
      <c r="R28543" s="1288"/>
    </row>
    <row r="28544" spans="18:18" s="2" customFormat="1" ht="12.75" x14ac:dyDescent="0.2">
      <c r="R28544" s="1288"/>
    </row>
    <row r="28545" spans="18:18" s="2" customFormat="1" ht="12.75" x14ac:dyDescent="0.2">
      <c r="R28545" s="1288"/>
    </row>
    <row r="28546" spans="18:18" s="2" customFormat="1" ht="12.75" x14ac:dyDescent="0.2">
      <c r="R28546" s="1288"/>
    </row>
    <row r="28547" spans="18:18" s="2" customFormat="1" ht="12.75" x14ac:dyDescent="0.2">
      <c r="R28547" s="1288"/>
    </row>
    <row r="28548" spans="18:18" s="2" customFormat="1" ht="12.75" x14ac:dyDescent="0.2">
      <c r="R28548" s="1288"/>
    </row>
    <row r="28549" spans="18:18" s="2" customFormat="1" ht="12.75" x14ac:dyDescent="0.2">
      <c r="R28549" s="1288"/>
    </row>
    <row r="28550" spans="18:18" s="2" customFormat="1" ht="12.75" x14ac:dyDescent="0.2">
      <c r="R28550" s="1288"/>
    </row>
    <row r="28551" spans="18:18" s="2" customFormat="1" ht="12.75" x14ac:dyDescent="0.2">
      <c r="R28551" s="1288"/>
    </row>
    <row r="28552" spans="18:18" s="2" customFormat="1" ht="12.75" x14ac:dyDescent="0.2">
      <c r="R28552" s="1288"/>
    </row>
    <row r="28553" spans="18:18" s="2" customFormat="1" ht="12.75" x14ac:dyDescent="0.2">
      <c r="R28553" s="1288"/>
    </row>
    <row r="28554" spans="18:18" s="2" customFormat="1" ht="12.75" x14ac:dyDescent="0.2">
      <c r="R28554" s="1288"/>
    </row>
    <row r="28555" spans="18:18" s="2" customFormat="1" ht="12.75" x14ac:dyDescent="0.2">
      <c r="R28555" s="1288"/>
    </row>
    <row r="28556" spans="18:18" s="2" customFormat="1" ht="12.75" x14ac:dyDescent="0.2">
      <c r="R28556" s="1288"/>
    </row>
    <row r="28557" spans="18:18" s="2" customFormat="1" ht="12.75" x14ac:dyDescent="0.2">
      <c r="R28557" s="1288"/>
    </row>
    <row r="28558" spans="18:18" s="2" customFormat="1" ht="12.75" x14ac:dyDescent="0.2">
      <c r="R28558" s="1288"/>
    </row>
    <row r="28559" spans="18:18" s="2" customFormat="1" ht="12.75" x14ac:dyDescent="0.2">
      <c r="R28559" s="1288"/>
    </row>
    <row r="28560" spans="18:18" s="2" customFormat="1" ht="12.75" x14ac:dyDescent="0.2">
      <c r="R28560" s="1288"/>
    </row>
    <row r="28561" spans="18:18" s="2" customFormat="1" ht="12.75" x14ac:dyDescent="0.2">
      <c r="R28561" s="1288"/>
    </row>
    <row r="28562" spans="18:18" s="2" customFormat="1" ht="12.75" x14ac:dyDescent="0.2">
      <c r="R28562" s="1288"/>
    </row>
    <row r="28563" spans="18:18" s="2" customFormat="1" ht="12.75" x14ac:dyDescent="0.2">
      <c r="R28563" s="1288"/>
    </row>
    <row r="28564" spans="18:18" s="2" customFormat="1" ht="12.75" x14ac:dyDescent="0.2">
      <c r="R28564" s="1288"/>
    </row>
    <row r="28565" spans="18:18" s="2" customFormat="1" ht="12.75" x14ac:dyDescent="0.2">
      <c r="R28565" s="1288"/>
    </row>
    <row r="28566" spans="18:18" s="2" customFormat="1" ht="12.75" x14ac:dyDescent="0.2">
      <c r="R28566" s="1288"/>
    </row>
    <row r="28567" spans="18:18" s="2" customFormat="1" ht="12.75" x14ac:dyDescent="0.2">
      <c r="R28567" s="1288"/>
    </row>
    <row r="28568" spans="18:18" s="2" customFormat="1" ht="12.75" x14ac:dyDescent="0.2">
      <c r="R28568" s="1288"/>
    </row>
    <row r="28569" spans="18:18" s="2" customFormat="1" ht="12.75" x14ac:dyDescent="0.2">
      <c r="R28569" s="1288"/>
    </row>
    <row r="28570" spans="18:18" s="2" customFormat="1" ht="12.75" x14ac:dyDescent="0.2">
      <c r="R28570" s="1288"/>
    </row>
    <row r="28571" spans="18:18" s="2" customFormat="1" ht="12.75" x14ac:dyDescent="0.2">
      <c r="R28571" s="1288"/>
    </row>
    <row r="28572" spans="18:18" s="2" customFormat="1" ht="12.75" x14ac:dyDescent="0.2">
      <c r="R28572" s="1288"/>
    </row>
    <row r="28573" spans="18:18" s="2" customFormat="1" ht="12.75" x14ac:dyDescent="0.2">
      <c r="R28573" s="1288"/>
    </row>
    <row r="28574" spans="18:18" s="2" customFormat="1" ht="12.75" x14ac:dyDescent="0.2">
      <c r="R28574" s="1288"/>
    </row>
    <row r="28575" spans="18:18" s="2" customFormat="1" ht="12.75" x14ac:dyDescent="0.2">
      <c r="R28575" s="1288"/>
    </row>
    <row r="28576" spans="18:18" s="2" customFormat="1" ht="12.75" x14ac:dyDescent="0.2">
      <c r="R28576" s="1288"/>
    </row>
    <row r="28577" spans="18:18" s="2" customFormat="1" ht="12.75" x14ac:dyDescent="0.2">
      <c r="R28577" s="1288"/>
    </row>
    <row r="28578" spans="18:18" s="2" customFormat="1" ht="12.75" x14ac:dyDescent="0.2">
      <c r="R28578" s="1288"/>
    </row>
    <row r="28579" spans="18:18" s="2" customFormat="1" ht="12.75" x14ac:dyDescent="0.2">
      <c r="R28579" s="1288"/>
    </row>
    <row r="28580" spans="18:18" s="2" customFormat="1" ht="12.75" x14ac:dyDescent="0.2">
      <c r="R28580" s="1288"/>
    </row>
    <row r="28581" spans="18:18" s="2" customFormat="1" ht="12.75" x14ac:dyDescent="0.2">
      <c r="R28581" s="1288"/>
    </row>
    <row r="28582" spans="18:18" s="2" customFormat="1" ht="12.75" x14ac:dyDescent="0.2">
      <c r="R28582" s="1288"/>
    </row>
    <row r="28583" spans="18:18" s="2" customFormat="1" ht="12.75" x14ac:dyDescent="0.2">
      <c r="R28583" s="1288"/>
    </row>
    <row r="28584" spans="18:18" s="2" customFormat="1" ht="12.75" x14ac:dyDescent="0.2">
      <c r="R28584" s="1288"/>
    </row>
    <row r="28585" spans="18:18" s="2" customFormat="1" ht="12.75" x14ac:dyDescent="0.2">
      <c r="R28585" s="1288"/>
    </row>
    <row r="28586" spans="18:18" s="2" customFormat="1" ht="12.75" x14ac:dyDescent="0.2">
      <c r="R28586" s="1288"/>
    </row>
    <row r="28587" spans="18:18" s="2" customFormat="1" ht="12.75" x14ac:dyDescent="0.2">
      <c r="R28587" s="1288"/>
    </row>
    <row r="28588" spans="18:18" s="2" customFormat="1" ht="12.75" x14ac:dyDescent="0.2">
      <c r="R28588" s="1288"/>
    </row>
    <row r="28589" spans="18:18" s="2" customFormat="1" ht="12.75" x14ac:dyDescent="0.2">
      <c r="R28589" s="1288"/>
    </row>
    <row r="28590" spans="18:18" s="2" customFormat="1" ht="12.75" x14ac:dyDescent="0.2">
      <c r="R28590" s="1288"/>
    </row>
    <row r="28591" spans="18:18" s="2" customFormat="1" ht="12.75" x14ac:dyDescent="0.2">
      <c r="R28591" s="1288"/>
    </row>
    <row r="28592" spans="18:18" s="2" customFormat="1" ht="12.75" x14ac:dyDescent="0.2">
      <c r="R28592" s="1288"/>
    </row>
    <row r="28593" spans="18:18" s="2" customFormat="1" ht="12.75" x14ac:dyDescent="0.2">
      <c r="R28593" s="1288"/>
    </row>
    <row r="28594" spans="18:18" s="2" customFormat="1" ht="12.75" x14ac:dyDescent="0.2">
      <c r="R28594" s="1288"/>
    </row>
    <row r="28595" spans="18:18" s="2" customFormat="1" ht="12.75" x14ac:dyDescent="0.2">
      <c r="R28595" s="1288"/>
    </row>
    <row r="28596" spans="18:18" s="2" customFormat="1" ht="12.75" x14ac:dyDescent="0.2">
      <c r="R28596" s="1288"/>
    </row>
    <row r="28597" spans="18:18" s="2" customFormat="1" ht="12.75" x14ac:dyDescent="0.2">
      <c r="R28597" s="1288"/>
    </row>
    <row r="28598" spans="18:18" s="2" customFormat="1" ht="12.75" x14ac:dyDescent="0.2">
      <c r="R28598" s="1288"/>
    </row>
    <row r="28599" spans="18:18" s="2" customFormat="1" ht="12.75" x14ac:dyDescent="0.2">
      <c r="R28599" s="1288"/>
    </row>
    <row r="28600" spans="18:18" s="2" customFormat="1" ht="12.75" x14ac:dyDescent="0.2">
      <c r="R28600" s="1288"/>
    </row>
    <row r="28601" spans="18:18" s="2" customFormat="1" ht="12.75" x14ac:dyDescent="0.2">
      <c r="R28601" s="1288"/>
    </row>
    <row r="28602" spans="18:18" s="2" customFormat="1" ht="12.75" x14ac:dyDescent="0.2">
      <c r="R28602" s="1288"/>
    </row>
    <row r="28603" spans="18:18" s="2" customFormat="1" ht="12.75" x14ac:dyDescent="0.2">
      <c r="R28603" s="1288"/>
    </row>
    <row r="28604" spans="18:18" s="2" customFormat="1" ht="12.75" x14ac:dyDescent="0.2">
      <c r="R28604" s="1288"/>
    </row>
    <row r="28605" spans="18:18" s="2" customFormat="1" ht="12.75" x14ac:dyDescent="0.2">
      <c r="R28605" s="1288"/>
    </row>
    <row r="28606" spans="18:18" s="2" customFormat="1" ht="12.75" x14ac:dyDescent="0.2">
      <c r="R28606" s="1288"/>
    </row>
    <row r="28607" spans="18:18" s="2" customFormat="1" ht="12.75" x14ac:dyDescent="0.2">
      <c r="R28607" s="1288"/>
    </row>
    <row r="28608" spans="18:18" s="2" customFormat="1" ht="12.75" x14ac:dyDescent="0.2">
      <c r="R28608" s="1288"/>
    </row>
    <row r="28609" spans="18:18" s="2" customFormat="1" ht="12.75" x14ac:dyDescent="0.2">
      <c r="R28609" s="1288"/>
    </row>
    <row r="28610" spans="18:18" s="2" customFormat="1" ht="12.75" x14ac:dyDescent="0.2">
      <c r="R28610" s="1288"/>
    </row>
    <row r="28611" spans="18:18" s="2" customFormat="1" ht="12.75" x14ac:dyDescent="0.2">
      <c r="R28611" s="1288"/>
    </row>
    <row r="28612" spans="18:18" s="2" customFormat="1" ht="12.75" x14ac:dyDescent="0.2">
      <c r="R28612" s="1288"/>
    </row>
    <row r="28613" spans="18:18" s="2" customFormat="1" ht="12.75" x14ac:dyDescent="0.2">
      <c r="R28613" s="1288"/>
    </row>
    <row r="28614" spans="18:18" s="2" customFormat="1" ht="12.75" x14ac:dyDescent="0.2">
      <c r="R28614" s="1288"/>
    </row>
    <row r="28615" spans="18:18" s="2" customFormat="1" ht="12.75" x14ac:dyDescent="0.2">
      <c r="R28615" s="1288"/>
    </row>
    <row r="28616" spans="18:18" s="2" customFormat="1" ht="12.75" x14ac:dyDescent="0.2">
      <c r="R28616" s="1288"/>
    </row>
    <row r="28617" spans="18:18" s="2" customFormat="1" ht="12.75" x14ac:dyDescent="0.2">
      <c r="R28617" s="1288"/>
    </row>
    <row r="28618" spans="18:18" s="2" customFormat="1" ht="12.75" x14ac:dyDescent="0.2">
      <c r="R28618" s="1288"/>
    </row>
    <row r="28619" spans="18:18" s="2" customFormat="1" ht="12.75" x14ac:dyDescent="0.2">
      <c r="R28619" s="1288"/>
    </row>
    <row r="28620" spans="18:18" s="2" customFormat="1" ht="12.75" x14ac:dyDescent="0.2">
      <c r="R28620" s="1288"/>
    </row>
    <row r="28621" spans="18:18" s="2" customFormat="1" ht="12.75" x14ac:dyDescent="0.2">
      <c r="R28621" s="1288"/>
    </row>
    <row r="28622" spans="18:18" s="2" customFormat="1" ht="12.75" x14ac:dyDescent="0.2">
      <c r="R28622" s="1288"/>
    </row>
    <row r="28623" spans="18:18" s="2" customFormat="1" ht="12.75" x14ac:dyDescent="0.2">
      <c r="R28623" s="1288"/>
    </row>
    <row r="28624" spans="18:18" s="2" customFormat="1" ht="12.75" x14ac:dyDescent="0.2">
      <c r="R28624" s="1288"/>
    </row>
    <row r="28625" spans="18:18" s="2" customFormat="1" ht="12.75" x14ac:dyDescent="0.2">
      <c r="R28625" s="1288"/>
    </row>
    <row r="28626" spans="18:18" s="2" customFormat="1" ht="12.75" x14ac:dyDescent="0.2">
      <c r="R28626" s="1288"/>
    </row>
    <row r="28627" spans="18:18" s="2" customFormat="1" ht="12.75" x14ac:dyDescent="0.2">
      <c r="R28627" s="1288"/>
    </row>
    <row r="28628" spans="18:18" s="2" customFormat="1" ht="12.75" x14ac:dyDescent="0.2">
      <c r="R28628" s="1288"/>
    </row>
    <row r="28629" spans="18:18" s="2" customFormat="1" ht="12.75" x14ac:dyDescent="0.2">
      <c r="R28629" s="1288"/>
    </row>
    <row r="28630" spans="18:18" s="2" customFormat="1" ht="12.75" x14ac:dyDescent="0.2">
      <c r="R28630" s="1288"/>
    </row>
    <row r="28631" spans="18:18" s="2" customFormat="1" ht="12.75" x14ac:dyDescent="0.2">
      <c r="R28631" s="1288"/>
    </row>
    <row r="28632" spans="18:18" s="2" customFormat="1" ht="12.75" x14ac:dyDescent="0.2">
      <c r="R28632" s="1288"/>
    </row>
    <row r="28633" spans="18:18" s="2" customFormat="1" ht="12.75" x14ac:dyDescent="0.2">
      <c r="R28633" s="1288"/>
    </row>
    <row r="28634" spans="18:18" s="2" customFormat="1" ht="12.75" x14ac:dyDescent="0.2">
      <c r="R28634" s="1288"/>
    </row>
    <row r="28635" spans="18:18" s="2" customFormat="1" ht="12.75" x14ac:dyDescent="0.2">
      <c r="R28635" s="1288"/>
    </row>
    <row r="28636" spans="18:18" s="2" customFormat="1" ht="12.75" x14ac:dyDescent="0.2">
      <c r="R28636" s="1288"/>
    </row>
    <row r="28637" spans="18:18" s="2" customFormat="1" ht="12.75" x14ac:dyDescent="0.2">
      <c r="R28637" s="1288"/>
    </row>
    <row r="28638" spans="18:18" s="2" customFormat="1" ht="12.75" x14ac:dyDescent="0.2">
      <c r="R28638" s="1288"/>
    </row>
    <row r="28639" spans="18:18" s="2" customFormat="1" ht="12.75" x14ac:dyDescent="0.2">
      <c r="R28639" s="1288"/>
    </row>
    <row r="28640" spans="18:18" s="2" customFormat="1" ht="12.75" x14ac:dyDescent="0.2">
      <c r="R28640" s="1288"/>
    </row>
    <row r="28641" spans="18:18" s="2" customFormat="1" ht="12.75" x14ac:dyDescent="0.2">
      <c r="R28641" s="1288"/>
    </row>
    <row r="28642" spans="18:18" s="2" customFormat="1" ht="12.75" x14ac:dyDescent="0.2">
      <c r="R28642" s="1288"/>
    </row>
    <row r="28643" spans="18:18" s="2" customFormat="1" ht="12.75" x14ac:dyDescent="0.2">
      <c r="R28643" s="1288"/>
    </row>
    <row r="28644" spans="18:18" s="2" customFormat="1" ht="12.75" x14ac:dyDescent="0.2">
      <c r="R28644" s="1288"/>
    </row>
    <row r="28645" spans="18:18" s="2" customFormat="1" ht="12.75" x14ac:dyDescent="0.2">
      <c r="R28645" s="1288"/>
    </row>
    <row r="28646" spans="18:18" s="2" customFormat="1" ht="12.75" x14ac:dyDescent="0.2">
      <c r="R28646" s="1288"/>
    </row>
    <row r="28647" spans="18:18" s="2" customFormat="1" ht="12.75" x14ac:dyDescent="0.2">
      <c r="R28647" s="1288"/>
    </row>
    <row r="28648" spans="18:18" s="2" customFormat="1" ht="12.75" x14ac:dyDescent="0.2">
      <c r="R28648" s="1288"/>
    </row>
    <row r="28649" spans="18:18" s="2" customFormat="1" ht="12.75" x14ac:dyDescent="0.2">
      <c r="R28649" s="1288"/>
    </row>
    <row r="28650" spans="18:18" s="2" customFormat="1" ht="12.75" x14ac:dyDescent="0.2">
      <c r="R28650" s="1288"/>
    </row>
    <row r="28651" spans="18:18" s="2" customFormat="1" ht="12.75" x14ac:dyDescent="0.2">
      <c r="R28651" s="1288"/>
    </row>
    <row r="28652" spans="18:18" s="2" customFormat="1" ht="12.75" x14ac:dyDescent="0.2">
      <c r="R28652" s="1288"/>
    </row>
    <row r="28653" spans="18:18" s="2" customFormat="1" ht="12.75" x14ac:dyDescent="0.2">
      <c r="R28653" s="1288"/>
    </row>
    <row r="28654" spans="18:18" s="2" customFormat="1" ht="12.75" x14ac:dyDescent="0.2">
      <c r="R28654" s="1288"/>
    </row>
    <row r="28655" spans="18:18" s="2" customFormat="1" ht="12.75" x14ac:dyDescent="0.2">
      <c r="R28655" s="1288"/>
    </row>
    <row r="28656" spans="18:18" s="2" customFormat="1" ht="12.75" x14ac:dyDescent="0.2">
      <c r="R28656" s="1288"/>
    </row>
    <row r="28657" spans="18:18" s="2" customFormat="1" ht="12.75" x14ac:dyDescent="0.2">
      <c r="R28657" s="1288"/>
    </row>
    <row r="28658" spans="18:18" s="2" customFormat="1" ht="12.75" x14ac:dyDescent="0.2">
      <c r="R28658" s="1288"/>
    </row>
    <row r="28659" spans="18:18" s="2" customFormat="1" ht="12.75" x14ac:dyDescent="0.2">
      <c r="R28659" s="1288"/>
    </row>
    <row r="28660" spans="18:18" s="2" customFormat="1" ht="12.75" x14ac:dyDescent="0.2">
      <c r="R28660" s="1288"/>
    </row>
    <row r="28661" spans="18:18" s="2" customFormat="1" ht="12.75" x14ac:dyDescent="0.2">
      <c r="R28661" s="1288"/>
    </row>
    <row r="28662" spans="18:18" s="2" customFormat="1" ht="12.75" x14ac:dyDescent="0.2">
      <c r="R28662" s="1288"/>
    </row>
    <row r="28663" spans="18:18" s="2" customFormat="1" ht="12.75" x14ac:dyDescent="0.2">
      <c r="R28663" s="1288"/>
    </row>
    <row r="28664" spans="18:18" s="2" customFormat="1" ht="12.75" x14ac:dyDescent="0.2">
      <c r="R28664" s="1288"/>
    </row>
    <row r="28665" spans="18:18" s="2" customFormat="1" ht="12.75" x14ac:dyDescent="0.2">
      <c r="R28665" s="1288"/>
    </row>
    <row r="28666" spans="18:18" s="2" customFormat="1" ht="12.75" x14ac:dyDescent="0.2">
      <c r="R28666" s="1288"/>
    </row>
    <row r="28667" spans="18:18" s="2" customFormat="1" ht="12.75" x14ac:dyDescent="0.2">
      <c r="R28667" s="1288"/>
    </row>
    <row r="28668" spans="18:18" s="2" customFormat="1" ht="12.75" x14ac:dyDescent="0.2">
      <c r="R28668" s="1288"/>
    </row>
    <row r="28669" spans="18:18" s="2" customFormat="1" ht="12.75" x14ac:dyDescent="0.2">
      <c r="R28669" s="1288"/>
    </row>
    <row r="28670" spans="18:18" s="2" customFormat="1" ht="12.75" x14ac:dyDescent="0.2">
      <c r="R28670" s="1288"/>
    </row>
    <row r="28671" spans="18:18" s="2" customFormat="1" ht="12.75" x14ac:dyDescent="0.2">
      <c r="R28671" s="1288"/>
    </row>
    <row r="28672" spans="18:18" s="2" customFormat="1" ht="12.75" x14ac:dyDescent="0.2">
      <c r="R28672" s="1288"/>
    </row>
    <row r="28673" spans="18:18" s="2" customFormat="1" ht="12.75" x14ac:dyDescent="0.2">
      <c r="R28673" s="1288"/>
    </row>
    <row r="28674" spans="18:18" s="2" customFormat="1" ht="12.75" x14ac:dyDescent="0.2">
      <c r="R28674" s="1288"/>
    </row>
    <row r="28675" spans="18:18" s="2" customFormat="1" ht="12.75" x14ac:dyDescent="0.2">
      <c r="R28675" s="1288"/>
    </row>
    <row r="28676" spans="18:18" s="2" customFormat="1" ht="12.75" x14ac:dyDescent="0.2">
      <c r="R28676" s="1288"/>
    </row>
    <row r="28677" spans="18:18" s="2" customFormat="1" ht="12.75" x14ac:dyDescent="0.2">
      <c r="R28677" s="1288"/>
    </row>
    <row r="28678" spans="18:18" s="2" customFormat="1" ht="12.75" x14ac:dyDescent="0.2">
      <c r="R28678" s="1288"/>
    </row>
    <row r="28679" spans="18:18" s="2" customFormat="1" ht="12.75" x14ac:dyDescent="0.2">
      <c r="R28679" s="1288"/>
    </row>
    <row r="28680" spans="18:18" s="2" customFormat="1" ht="12.75" x14ac:dyDescent="0.2">
      <c r="R28680" s="1288"/>
    </row>
    <row r="28681" spans="18:18" s="2" customFormat="1" ht="12.75" x14ac:dyDescent="0.2">
      <c r="R28681" s="1288"/>
    </row>
    <row r="28682" spans="18:18" s="2" customFormat="1" ht="12.75" x14ac:dyDescent="0.2">
      <c r="R28682" s="1288"/>
    </row>
    <row r="28683" spans="18:18" s="2" customFormat="1" ht="12.75" x14ac:dyDescent="0.2">
      <c r="R28683" s="1288"/>
    </row>
    <row r="28684" spans="18:18" s="2" customFormat="1" ht="12.75" x14ac:dyDescent="0.2">
      <c r="R28684" s="1288"/>
    </row>
    <row r="28685" spans="18:18" s="2" customFormat="1" ht="12.75" x14ac:dyDescent="0.2">
      <c r="R28685" s="1288"/>
    </row>
    <row r="28686" spans="18:18" s="2" customFormat="1" ht="12.75" x14ac:dyDescent="0.2">
      <c r="R28686" s="1288"/>
    </row>
    <row r="28687" spans="18:18" s="2" customFormat="1" ht="12.75" x14ac:dyDescent="0.2">
      <c r="R28687" s="1288"/>
    </row>
    <row r="28688" spans="18:18" s="2" customFormat="1" ht="12.75" x14ac:dyDescent="0.2">
      <c r="R28688" s="1288"/>
    </row>
    <row r="28689" spans="18:18" s="2" customFormat="1" ht="12.75" x14ac:dyDescent="0.2">
      <c r="R28689" s="1288"/>
    </row>
    <row r="28690" spans="18:18" s="2" customFormat="1" ht="12.75" x14ac:dyDescent="0.2">
      <c r="R28690" s="1288"/>
    </row>
    <row r="28691" spans="18:18" s="2" customFormat="1" ht="12.75" x14ac:dyDescent="0.2">
      <c r="R28691" s="1288"/>
    </row>
    <row r="28692" spans="18:18" s="2" customFormat="1" ht="12.75" x14ac:dyDescent="0.2">
      <c r="R28692" s="1288"/>
    </row>
    <row r="28693" spans="18:18" s="2" customFormat="1" ht="12.75" x14ac:dyDescent="0.2">
      <c r="R28693" s="1288"/>
    </row>
    <row r="28694" spans="18:18" s="2" customFormat="1" ht="12.75" x14ac:dyDescent="0.2">
      <c r="R28694" s="1288"/>
    </row>
    <row r="28695" spans="18:18" s="2" customFormat="1" ht="12.75" x14ac:dyDescent="0.2">
      <c r="R28695" s="1288"/>
    </row>
    <row r="28696" spans="18:18" s="2" customFormat="1" ht="12.75" x14ac:dyDescent="0.2">
      <c r="R28696" s="1288"/>
    </row>
    <row r="28697" spans="18:18" s="2" customFormat="1" ht="12.75" x14ac:dyDescent="0.2">
      <c r="R28697" s="1288"/>
    </row>
    <row r="28698" spans="18:18" s="2" customFormat="1" ht="12.75" x14ac:dyDescent="0.2">
      <c r="R28698" s="1288"/>
    </row>
    <row r="28699" spans="18:18" s="2" customFormat="1" ht="12.75" x14ac:dyDescent="0.2">
      <c r="R28699" s="1288"/>
    </row>
    <row r="28700" spans="18:18" s="2" customFormat="1" ht="12.75" x14ac:dyDescent="0.2">
      <c r="R28700" s="1288"/>
    </row>
    <row r="28701" spans="18:18" s="2" customFormat="1" ht="12.75" x14ac:dyDescent="0.2">
      <c r="R28701" s="1288"/>
    </row>
    <row r="28702" spans="18:18" s="2" customFormat="1" ht="12.75" x14ac:dyDescent="0.2">
      <c r="R28702" s="1288"/>
    </row>
    <row r="28703" spans="18:18" s="2" customFormat="1" ht="12.75" x14ac:dyDescent="0.2">
      <c r="R28703" s="1288"/>
    </row>
    <row r="28704" spans="18:18" s="2" customFormat="1" ht="12.75" x14ac:dyDescent="0.2">
      <c r="R28704" s="1288"/>
    </row>
    <row r="28705" spans="18:18" s="2" customFormat="1" ht="12.75" x14ac:dyDescent="0.2">
      <c r="R28705" s="1288"/>
    </row>
    <row r="28706" spans="18:18" s="2" customFormat="1" ht="12.75" x14ac:dyDescent="0.2">
      <c r="R28706" s="1288"/>
    </row>
    <row r="28707" spans="18:18" s="2" customFormat="1" ht="12.75" x14ac:dyDescent="0.2">
      <c r="R28707" s="1288"/>
    </row>
    <row r="28708" spans="18:18" s="2" customFormat="1" ht="12.75" x14ac:dyDescent="0.2">
      <c r="R28708" s="1288"/>
    </row>
    <row r="28709" spans="18:18" s="2" customFormat="1" ht="12.75" x14ac:dyDescent="0.2">
      <c r="R28709" s="1288"/>
    </row>
    <row r="28710" spans="18:18" s="2" customFormat="1" ht="12.75" x14ac:dyDescent="0.2">
      <c r="R28710" s="1288"/>
    </row>
    <row r="28711" spans="18:18" s="2" customFormat="1" ht="12.75" x14ac:dyDescent="0.2">
      <c r="R28711" s="1288"/>
    </row>
    <row r="28712" spans="18:18" s="2" customFormat="1" ht="12.75" x14ac:dyDescent="0.2">
      <c r="R28712" s="1288"/>
    </row>
    <row r="28713" spans="18:18" s="2" customFormat="1" ht="12.75" x14ac:dyDescent="0.2">
      <c r="R28713" s="1288"/>
    </row>
    <row r="28714" spans="18:18" s="2" customFormat="1" ht="12.75" x14ac:dyDescent="0.2">
      <c r="R28714" s="1288"/>
    </row>
    <row r="28715" spans="18:18" s="2" customFormat="1" ht="12.75" x14ac:dyDescent="0.2">
      <c r="R28715" s="1288"/>
    </row>
    <row r="28716" spans="18:18" s="2" customFormat="1" ht="12.75" x14ac:dyDescent="0.2">
      <c r="R28716" s="1288"/>
    </row>
    <row r="28717" spans="18:18" s="2" customFormat="1" ht="12.75" x14ac:dyDescent="0.2">
      <c r="R28717" s="1288"/>
    </row>
    <row r="28718" spans="18:18" s="2" customFormat="1" ht="12.75" x14ac:dyDescent="0.2">
      <c r="R28718" s="1288"/>
    </row>
    <row r="28719" spans="18:18" s="2" customFormat="1" ht="12.75" x14ac:dyDescent="0.2">
      <c r="R28719" s="1288"/>
    </row>
    <row r="28720" spans="18:18" s="2" customFormat="1" ht="12.75" x14ac:dyDescent="0.2">
      <c r="R28720" s="1288"/>
    </row>
    <row r="28721" spans="18:18" s="2" customFormat="1" ht="12.75" x14ac:dyDescent="0.2">
      <c r="R28721" s="1288"/>
    </row>
    <row r="28722" spans="18:18" s="2" customFormat="1" ht="12.75" x14ac:dyDescent="0.2">
      <c r="R28722" s="1288"/>
    </row>
    <row r="28723" spans="18:18" s="2" customFormat="1" ht="12.75" x14ac:dyDescent="0.2">
      <c r="R28723" s="1288"/>
    </row>
    <row r="28724" spans="18:18" s="2" customFormat="1" ht="12.75" x14ac:dyDescent="0.2">
      <c r="R28724" s="1288"/>
    </row>
    <row r="28725" spans="18:18" s="2" customFormat="1" ht="12.75" x14ac:dyDescent="0.2">
      <c r="R28725" s="1288"/>
    </row>
    <row r="28726" spans="18:18" s="2" customFormat="1" ht="12.75" x14ac:dyDescent="0.2">
      <c r="R28726" s="1288"/>
    </row>
    <row r="28727" spans="18:18" s="2" customFormat="1" ht="12.75" x14ac:dyDescent="0.2">
      <c r="R28727" s="1288"/>
    </row>
    <row r="28728" spans="18:18" s="2" customFormat="1" ht="12.75" x14ac:dyDescent="0.2">
      <c r="R28728" s="1288"/>
    </row>
    <row r="28729" spans="18:18" s="2" customFormat="1" ht="12.75" x14ac:dyDescent="0.2">
      <c r="R28729" s="1288"/>
    </row>
    <row r="28730" spans="18:18" s="2" customFormat="1" ht="12.75" x14ac:dyDescent="0.2">
      <c r="R28730" s="1288"/>
    </row>
    <row r="28731" spans="18:18" s="2" customFormat="1" ht="12.75" x14ac:dyDescent="0.2">
      <c r="R28731" s="1288"/>
    </row>
    <row r="28732" spans="18:18" s="2" customFormat="1" ht="12.75" x14ac:dyDescent="0.2">
      <c r="R28732" s="1288"/>
    </row>
    <row r="28733" spans="18:18" s="2" customFormat="1" ht="12.75" x14ac:dyDescent="0.2">
      <c r="R28733" s="1288"/>
    </row>
    <row r="28734" spans="18:18" s="2" customFormat="1" ht="12.75" x14ac:dyDescent="0.2">
      <c r="R28734" s="1288"/>
    </row>
    <row r="28735" spans="18:18" s="2" customFormat="1" ht="12.75" x14ac:dyDescent="0.2">
      <c r="R28735" s="1288"/>
    </row>
    <row r="28736" spans="18:18" s="2" customFormat="1" ht="12.75" x14ac:dyDescent="0.2">
      <c r="R28736" s="1288"/>
    </row>
    <row r="28737" spans="18:18" s="2" customFormat="1" ht="12.75" x14ac:dyDescent="0.2">
      <c r="R28737" s="1288"/>
    </row>
    <row r="28738" spans="18:18" s="2" customFormat="1" ht="12.75" x14ac:dyDescent="0.2">
      <c r="R28738" s="1288"/>
    </row>
    <row r="28739" spans="18:18" s="2" customFormat="1" ht="12.75" x14ac:dyDescent="0.2">
      <c r="R28739" s="1288"/>
    </row>
    <row r="28740" spans="18:18" s="2" customFormat="1" ht="12.75" x14ac:dyDescent="0.2">
      <c r="R28740" s="1288"/>
    </row>
    <row r="28741" spans="18:18" s="2" customFormat="1" ht="12.75" x14ac:dyDescent="0.2">
      <c r="R28741" s="1288"/>
    </row>
    <row r="28742" spans="18:18" s="2" customFormat="1" ht="12.75" x14ac:dyDescent="0.2">
      <c r="R28742" s="1288"/>
    </row>
    <row r="28743" spans="18:18" s="2" customFormat="1" ht="12.75" x14ac:dyDescent="0.2">
      <c r="R28743" s="1288"/>
    </row>
    <row r="28744" spans="18:18" s="2" customFormat="1" ht="12.75" x14ac:dyDescent="0.2">
      <c r="R28744" s="1288"/>
    </row>
    <row r="28745" spans="18:18" s="2" customFormat="1" ht="12.75" x14ac:dyDescent="0.2">
      <c r="R28745" s="1288"/>
    </row>
    <row r="28746" spans="18:18" s="2" customFormat="1" ht="12.75" x14ac:dyDescent="0.2">
      <c r="R28746" s="1288"/>
    </row>
    <row r="28747" spans="18:18" s="2" customFormat="1" ht="12.75" x14ac:dyDescent="0.2">
      <c r="R28747" s="1288"/>
    </row>
    <row r="28748" spans="18:18" s="2" customFormat="1" ht="12.75" x14ac:dyDescent="0.2">
      <c r="R28748" s="1288"/>
    </row>
    <row r="28749" spans="18:18" s="2" customFormat="1" ht="12.75" x14ac:dyDescent="0.2">
      <c r="R28749" s="1288"/>
    </row>
    <row r="28750" spans="18:18" s="2" customFormat="1" ht="12.75" x14ac:dyDescent="0.2">
      <c r="R28750" s="1288"/>
    </row>
    <row r="28751" spans="18:18" s="2" customFormat="1" ht="12.75" x14ac:dyDescent="0.2">
      <c r="R28751" s="1288"/>
    </row>
    <row r="28752" spans="18:18" s="2" customFormat="1" ht="12.75" x14ac:dyDescent="0.2">
      <c r="R28752" s="1288"/>
    </row>
    <row r="28753" spans="18:18" s="2" customFormat="1" ht="12.75" x14ac:dyDescent="0.2">
      <c r="R28753" s="1288"/>
    </row>
    <row r="28754" spans="18:18" s="2" customFormat="1" ht="12.75" x14ac:dyDescent="0.2">
      <c r="R28754" s="1288"/>
    </row>
    <row r="28755" spans="18:18" s="2" customFormat="1" ht="12.75" x14ac:dyDescent="0.2">
      <c r="R28755" s="1288"/>
    </row>
    <row r="28756" spans="18:18" s="2" customFormat="1" ht="12.75" x14ac:dyDescent="0.2">
      <c r="R28756" s="1288"/>
    </row>
    <row r="28757" spans="18:18" s="2" customFormat="1" ht="12.75" x14ac:dyDescent="0.2">
      <c r="R28757" s="1288"/>
    </row>
    <row r="28758" spans="18:18" s="2" customFormat="1" ht="12.75" x14ac:dyDescent="0.2">
      <c r="R28758" s="1288"/>
    </row>
    <row r="28759" spans="18:18" s="2" customFormat="1" ht="12.75" x14ac:dyDescent="0.2">
      <c r="R28759" s="1288"/>
    </row>
    <row r="28760" spans="18:18" s="2" customFormat="1" ht="12.75" x14ac:dyDescent="0.2">
      <c r="R28760" s="1288"/>
    </row>
    <row r="28761" spans="18:18" s="2" customFormat="1" ht="12.75" x14ac:dyDescent="0.2">
      <c r="R28761" s="1288"/>
    </row>
    <row r="28762" spans="18:18" s="2" customFormat="1" ht="12.75" x14ac:dyDescent="0.2">
      <c r="R28762" s="1288"/>
    </row>
    <row r="28763" spans="18:18" s="2" customFormat="1" ht="12.75" x14ac:dyDescent="0.2">
      <c r="R28763" s="1288"/>
    </row>
    <row r="28764" spans="18:18" s="2" customFormat="1" ht="12.75" x14ac:dyDescent="0.2">
      <c r="R28764" s="1288"/>
    </row>
    <row r="28765" spans="18:18" s="2" customFormat="1" ht="12.75" x14ac:dyDescent="0.2">
      <c r="R28765" s="1288"/>
    </row>
    <row r="28766" spans="18:18" s="2" customFormat="1" ht="12.75" x14ac:dyDescent="0.2">
      <c r="R28766" s="1288"/>
    </row>
    <row r="28767" spans="18:18" s="2" customFormat="1" ht="12.75" x14ac:dyDescent="0.2">
      <c r="R28767" s="1288"/>
    </row>
    <row r="28768" spans="18:18" s="2" customFormat="1" ht="12.75" x14ac:dyDescent="0.2">
      <c r="R28768" s="1288"/>
    </row>
    <row r="28769" spans="18:18" s="2" customFormat="1" ht="12.75" x14ac:dyDescent="0.2">
      <c r="R28769" s="1288"/>
    </row>
    <row r="28770" spans="18:18" s="2" customFormat="1" ht="12.75" x14ac:dyDescent="0.2">
      <c r="R28770" s="1288"/>
    </row>
    <row r="28771" spans="18:18" s="2" customFormat="1" ht="12.75" x14ac:dyDescent="0.2">
      <c r="R28771" s="1288"/>
    </row>
    <row r="28772" spans="18:18" s="2" customFormat="1" ht="12.75" x14ac:dyDescent="0.2">
      <c r="R28772" s="1288"/>
    </row>
    <row r="28773" spans="18:18" s="2" customFormat="1" ht="12.75" x14ac:dyDescent="0.2">
      <c r="R28773" s="1288"/>
    </row>
    <row r="28774" spans="18:18" s="2" customFormat="1" ht="12.75" x14ac:dyDescent="0.2">
      <c r="R28774" s="1288"/>
    </row>
    <row r="28775" spans="18:18" s="2" customFormat="1" ht="12.75" x14ac:dyDescent="0.2">
      <c r="R28775" s="1288"/>
    </row>
    <row r="28776" spans="18:18" s="2" customFormat="1" ht="12.75" x14ac:dyDescent="0.2">
      <c r="R28776" s="1288"/>
    </row>
    <row r="28777" spans="18:18" s="2" customFormat="1" ht="12.75" x14ac:dyDescent="0.2">
      <c r="R28777" s="1288"/>
    </row>
    <row r="28778" spans="18:18" s="2" customFormat="1" ht="12.75" x14ac:dyDescent="0.2">
      <c r="R28778" s="1288"/>
    </row>
    <row r="28779" spans="18:18" s="2" customFormat="1" ht="12.75" x14ac:dyDescent="0.2">
      <c r="R28779" s="1288"/>
    </row>
    <row r="28780" spans="18:18" s="2" customFormat="1" ht="12.75" x14ac:dyDescent="0.2">
      <c r="R28780" s="1288"/>
    </row>
    <row r="28781" spans="18:18" s="2" customFormat="1" ht="12.75" x14ac:dyDescent="0.2">
      <c r="R28781" s="1288"/>
    </row>
    <row r="28782" spans="18:18" s="2" customFormat="1" ht="12.75" x14ac:dyDescent="0.2">
      <c r="R28782" s="1288"/>
    </row>
    <row r="28783" spans="18:18" s="2" customFormat="1" ht="12.75" x14ac:dyDescent="0.2">
      <c r="R28783" s="1288"/>
    </row>
    <row r="28784" spans="18:18" s="2" customFormat="1" ht="12.75" x14ac:dyDescent="0.2">
      <c r="R28784" s="1288"/>
    </row>
    <row r="28785" spans="18:18" s="2" customFormat="1" ht="12.75" x14ac:dyDescent="0.2">
      <c r="R28785" s="1288"/>
    </row>
    <row r="28786" spans="18:18" s="2" customFormat="1" ht="12.75" x14ac:dyDescent="0.2">
      <c r="R28786" s="1288"/>
    </row>
    <row r="28787" spans="18:18" s="2" customFormat="1" ht="12.75" x14ac:dyDescent="0.2">
      <c r="R28787" s="1288"/>
    </row>
    <row r="28788" spans="18:18" s="2" customFormat="1" ht="12.75" x14ac:dyDescent="0.2">
      <c r="R28788" s="1288"/>
    </row>
    <row r="28789" spans="18:18" s="2" customFormat="1" ht="12.75" x14ac:dyDescent="0.2">
      <c r="R28789" s="1288"/>
    </row>
    <row r="28790" spans="18:18" s="2" customFormat="1" ht="12.75" x14ac:dyDescent="0.2">
      <c r="R28790" s="1288"/>
    </row>
    <row r="28791" spans="18:18" s="2" customFormat="1" ht="12.75" x14ac:dyDescent="0.2">
      <c r="R28791" s="1288"/>
    </row>
    <row r="28792" spans="18:18" s="2" customFormat="1" ht="12.75" x14ac:dyDescent="0.2">
      <c r="R28792" s="1288"/>
    </row>
    <row r="28793" spans="18:18" s="2" customFormat="1" ht="12.75" x14ac:dyDescent="0.2">
      <c r="R28793" s="1288"/>
    </row>
    <row r="28794" spans="18:18" s="2" customFormat="1" ht="12.75" x14ac:dyDescent="0.2">
      <c r="R28794" s="1288"/>
    </row>
    <row r="28795" spans="18:18" s="2" customFormat="1" ht="12.75" x14ac:dyDescent="0.2">
      <c r="R28795" s="1288"/>
    </row>
    <row r="28796" spans="18:18" s="2" customFormat="1" ht="12.75" x14ac:dyDescent="0.2">
      <c r="R28796" s="1288"/>
    </row>
    <row r="28797" spans="18:18" s="2" customFormat="1" ht="12.75" x14ac:dyDescent="0.2">
      <c r="R28797" s="1288"/>
    </row>
    <row r="28798" spans="18:18" s="2" customFormat="1" ht="12.75" x14ac:dyDescent="0.2">
      <c r="R28798" s="1288"/>
    </row>
    <row r="28799" spans="18:18" s="2" customFormat="1" ht="12.75" x14ac:dyDescent="0.2">
      <c r="R28799" s="1288"/>
    </row>
    <row r="28800" spans="18:18" s="2" customFormat="1" ht="12.75" x14ac:dyDescent="0.2">
      <c r="R28800" s="1288"/>
    </row>
    <row r="28801" spans="18:18" s="2" customFormat="1" ht="12.75" x14ac:dyDescent="0.2">
      <c r="R28801" s="1288"/>
    </row>
    <row r="28802" spans="18:18" s="2" customFormat="1" ht="12.75" x14ac:dyDescent="0.2">
      <c r="R28802" s="1288"/>
    </row>
    <row r="28803" spans="18:18" s="2" customFormat="1" ht="12.75" x14ac:dyDescent="0.2">
      <c r="R28803" s="1288"/>
    </row>
    <row r="28804" spans="18:18" s="2" customFormat="1" ht="12.75" x14ac:dyDescent="0.2">
      <c r="R28804" s="1288"/>
    </row>
    <row r="28805" spans="18:18" s="2" customFormat="1" ht="12.75" x14ac:dyDescent="0.2">
      <c r="R28805" s="1288"/>
    </row>
    <row r="28806" spans="18:18" s="2" customFormat="1" ht="12.75" x14ac:dyDescent="0.2">
      <c r="R28806" s="1288"/>
    </row>
    <row r="28807" spans="18:18" s="2" customFormat="1" ht="12.75" x14ac:dyDescent="0.2">
      <c r="R28807" s="1288"/>
    </row>
    <row r="28808" spans="18:18" s="2" customFormat="1" ht="12.75" x14ac:dyDescent="0.2">
      <c r="R28808" s="1288"/>
    </row>
    <row r="28809" spans="18:18" s="2" customFormat="1" ht="12.75" x14ac:dyDescent="0.2">
      <c r="R28809" s="1288"/>
    </row>
    <row r="28810" spans="18:18" s="2" customFormat="1" ht="12.75" x14ac:dyDescent="0.2">
      <c r="R28810" s="1288"/>
    </row>
    <row r="28811" spans="18:18" s="2" customFormat="1" ht="12.75" x14ac:dyDescent="0.2">
      <c r="R28811" s="1288"/>
    </row>
    <row r="28812" spans="18:18" s="2" customFormat="1" ht="12.75" x14ac:dyDescent="0.2">
      <c r="R28812" s="1288"/>
    </row>
    <row r="28813" spans="18:18" s="2" customFormat="1" ht="12.75" x14ac:dyDescent="0.2">
      <c r="R28813" s="1288"/>
    </row>
    <row r="28814" spans="18:18" s="2" customFormat="1" ht="12.75" x14ac:dyDescent="0.2">
      <c r="R28814" s="1288"/>
    </row>
    <row r="28815" spans="18:18" s="2" customFormat="1" ht="12.75" x14ac:dyDescent="0.2">
      <c r="R28815" s="1288"/>
    </row>
    <row r="28816" spans="18:18" s="2" customFormat="1" ht="12.75" x14ac:dyDescent="0.2">
      <c r="R28816" s="1288"/>
    </row>
    <row r="28817" spans="18:18" s="2" customFormat="1" ht="12.75" x14ac:dyDescent="0.2">
      <c r="R28817" s="1288"/>
    </row>
    <row r="28818" spans="18:18" s="2" customFormat="1" ht="12.75" x14ac:dyDescent="0.2">
      <c r="R28818" s="1288"/>
    </row>
    <row r="28819" spans="18:18" s="2" customFormat="1" ht="12.75" x14ac:dyDescent="0.2">
      <c r="R28819" s="1288"/>
    </row>
    <row r="28820" spans="18:18" s="2" customFormat="1" ht="12.75" x14ac:dyDescent="0.2">
      <c r="R28820" s="1288"/>
    </row>
    <row r="28821" spans="18:18" s="2" customFormat="1" ht="12.75" x14ac:dyDescent="0.2">
      <c r="R28821" s="1288"/>
    </row>
    <row r="28822" spans="18:18" s="2" customFormat="1" ht="12.75" x14ac:dyDescent="0.2">
      <c r="R28822" s="1288"/>
    </row>
    <row r="28823" spans="18:18" s="2" customFormat="1" ht="12.75" x14ac:dyDescent="0.2">
      <c r="R28823" s="1288"/>
    </row>
    <row r="28824" spans="18:18" s="2" customFormat="1" ht="12.75" x14ac:dyDescent="0.2">
      <c r="R28824" s="1288"/>
    </row>
    <row r="28825" spans="18:18" s="2" customFormat="1" ht="12.75" x14ac:dyDescent="0.2">
      <c r="R28825" s="1288"/>
    </row>
    <row r="28826" spans="18:18" s="2" customFormat="1" ht="12.75" x14ac:dyDescent="0.2">
      <c r="R28826" s="1288"/>
    </row>
    <row r="28827" spans="18:18" s="2" customFormat="1" ht="12.75" x14ac:dyDescent="0.2">
      <c r="R28827" s="1288"/>
    </row>
    <row r="28828" spans="18:18" s="2" customFormat="1" ht="12.75" x14ac:dyDescent="0.2">
      <c r="R28828" s="1288"/>
    </row>
    <row r="28829" spans="18:18" s="2" customFormat="1" ht="12.75" x14ac:dyDescent="0.2">
      <c r="R28829" s="1288"/>
    </row>
    <row r="28830" spans="18:18" s="2" customFormat="1" ht="12.75" x14ac:dyDescent="0.2">
      <c r="R28830" s="1288"/>
    </row>
    <row r="28831" spans="18:18" s="2" customFormat="1" ht="12.75" x14ac:dyDescent="0.2">
      <c r="R28831" s="1288"/>
    </row>
    <row r="28832" spans="18:18" s="2" customFormat="1" ht="12.75" x14ac:dyDescent="0.2">
      <c r="R28832" s="1288"/>
    </row>
    <row r="28833" spans="18:18" s="2" customFormat="1" ht="12.75" x14ac:dyDescent="0.2">
      <c r="R28833" s="1288"/>
    </row>
    <row r="28834" spans="18:18" s="2" customFormat="1" ht="12.75" x14ac:dyDescent="0.2">
      <c r="R28834" s="1288"/>
    </row>
    <row r="28835" spans="18:18" s="2" customFormat="1" ht="12.75" x14ac:dyDescent="0.2">
      <c r="R28835" s="1288"/>
    </row>
    <row r="28836" spans="18:18" s="2" customFormat="1" ht="12.75" x14ac:dyDescent="0.2">
      <c r="R28836" s="1288"/>
    </row>
    <row r="28837" spans="18:18" s="2" customFormat="1" ht="12.75" x14ac:dyDescent="0.2">
      <c r="R28837" s="1288"/>
    </row>
    <row r="28838" spans="18:18" s="2" customFormat="1" ht="12.75" x14ac:dyDescent="0.2">
      <c r="R28838" s="1288"/>
    </row>
    <row r="28839" spans="18:18" s="2" customFormat="1" ht="12.75" x14ac:dyDescent="0.2">
      <c r="R28839" s="1288"/>
    </row>
    <row r="28840" spans="18:18" s="2" customFormat="1" ht="12.75" x14ac:dyDescent="0.2">
      <c r="R28840" s="1288"/>
    </row>
    <row r="28841" spans="18:18" s="2" customFormat="1" ht="12.75" x14ac:dyDescent="0.2">
      <c r="R28841" s="1288"/>
    </row>
    <row r="28842" spans="18:18" s="2" customFormat="1" ht="12.75" x14ac:dyDescent="0.2">
      <c r="R28842" s="1288"/>
    </row>
    <row r="28843" spans="18:18" s="2" customFormat="1" ht="12.75" x14ac:dyDescent="0.2">
      <c r="R28843" s="1288"/>
    </row>
    <row r="28844" spans="18:18" s="2" customFormat="1" ht="12.75" x14ac:dyDescent="0.2">
      <c r="R28844" s="1288"/>
    </row>
    <row r="28845" spans="18:18" s="2" customFormat="1" ht="12.75" x14ac:dyDescent="0.2">
      <c r="R28845" s="1288"/>
    </row>
    <row r="28846" spans="18:18" s="2" customFormat="1" ht="12.75" x14ac:dyDescent="0.2">
      <c r="R28846" s="1288"/>
    </row>
    <row r="28847" spans="18:18" s="2" customFormat="1" ht="12.75" x14ac:dyDescent="0.2">
      <c r="R28847" s="1288"/>
    </row>
    <row r="28848" spans="18:18" s="2" customFormat="1" ht="12.75" x14ac:dyDescent="0.2">
      <c r="R28848" s="1288"/>
    </row>
    <row r="28849" spans="18:18" s="2" customFormat="1" ht="12.75" x14ac:dyDescent="0.2">
      <c r="R28849" s="1288"/>
    </row>
    <row r="28850" spans="18:18" s="2" customFormat="1" ht="12.75" x14ac:dyDescent="0.2">
      <c r="R28850" s="1288"/>
    </row>
    <row r="28851" spans="18:18" s="2" customFormat="1" ht="12.75" x14ac:dyDescent="0.2">
      <c r="R28851" s="1288"/>
    </row>
    <row r="28852" spans="18:18" s="2" customFormat="1" ht="12.75" x14ac:dyDescent="0.2">
      <c r="R28852" s="1288"/>
    </row>
    <row r="28853" spans="18:18" s="2" customFormat="1" ht="12.75" x14ac:dyDescent="0.2">
      <c r="R28853" s="1288"/>
    </row>
    <row r="28854" spans="18:18" s="2" customFormat="1" ht="12.75" x14ac:dyDescent="0.2">
      <c r="R28854" s="1288"/>
    </row>
    <row r="28855" spans="18:18" s="2" customFormat="1" ht="12.75" x14ac:dyDescent="0.2">
      <c r="R28855" s="1288"/>
    </row>
    <row r="28856" spans="18:18" s="2" customFormat="1" ht="12.75" x14ac:dyDescent="0.2">
      <c r="R28856" s="1288"/>
    </row>
    <row r="28857" spans="18:18" s="2" customFormat="1" ht="12.75" x14ac:dyDescent="0.2">
      <c r="R28857" s="1288"/>
    </row>
    <row r="28858" spans="18:18" s="2" customFormat="1" ht="12.75" x14ac:dyDescent="0.2">
      <c r="R28858" s="1288"/>
    </row>
    <row r="28859" spans="18:18" s="2" customFormat="1" ht="12.75" x14ac:dyDescent="0.2">
      <c r="R28859" s="1288"/>
    </row>
    <row r="28860" spans="18:18" s="2" customFormat="1" ht="12.75" x14ac:dyDescent="0.2">
      <c r="R28860" s="1288"/>
    </row>
    <row r="28861" spans="18:18" s="2" customFormat="1" ht="12.75" x14ac:dyDescent="0.2">
      <c r="R28861" s="1288"/>
    </row>
    <row r="28862" spans="18:18" s="2" customFormat="1" ht="12.75" x14ac:dyDescent="0.2">
      <c r="R28862" s="1288"/>
    </row>
    <row r="28863" spans="18:18" s="2" customFormat="1" ht="12.75" x14ac:dyDescent="0.2">
      <c r="R28863" s="1288"/>
    </row>
    <row r="28864" spans="18:18" s="2" customFormat="1" ht="12.75" x14ac:dyDescent="0.2">
      <c r="R28864" s="1288"/>
    </row>
    <row r="28865" spans="18:18" s="2" customFormat="1" ht="12.75" x14ac:dyDescent="0.2">
      <c r="R28865" s="1288"/>
    </row>
    <row r="28866" spans="18:18" s="2" customFormat="1" ht="12.75" x14ac:dyDescent="0.2">
      <c r="R28866" s="1288"/>
    </row>
    <row r="28867" spans="18:18" s="2" customFormat="1" ht="12.75" x14ac:dyDescent="0.2">
      <c r="R28867" s="1288"/>
    </row>
    <row r="28868" spans="18:18" s="2" customFormat="1" ht="12.75" x14ac:dyDescent="0.2">
      <c r="R28868" s="1288"/>
    </row>
    <row r="28869" spans="18:18" s="2" customFormat="1" ht="12.75" x14ac:dyDescent="0.2">
      <c r="R28869" s="1288"/>
    </row>
    <row r="28870" spans="18:18" s="2" customFormat="1" ht="12.75" x14ac:dyDescent="0.2">
      <c r="R28870" s="1288"/>
    </row>
    <row r="28871" spans="18:18" s="2" customFormat="1" ht="12.75" x14ac:dyDescent="0.2">
      <c r="R28871" s="1288"/>
    </row>
    <row r="28872" spans="18:18" s="2" customFormat="1" ht="12.75" x14ac:dyDescent="0.2">
      <c r="R28872" s="1288"/>
    </row>
    <row r="28873" spans="18:18" s="2" customFormat="1" ht="12.75" x14ac:dyDescent="0.2">
      <c r="R28873" s="1288"/>
    </row>
    <row r="28874" spans="18:18" s="2" customFormat="1" ht="12.75" x14ac:dyDescent="0.2">
      <c r="R28874" s="1288"/>
    </row>
    <row r="28875" spans="18:18" s="2" customFormat="1" ht="12.75" x14ac:dyDescent="0.2">
      <c r="R28875" s="1288"/>
    </row>
    <row r="28876" spans="18:18" s="2" customFormat="1" ht="12.75" x14ac:dyDescent="0.2">
      <c r="R28876" s="1288"/>
    </row>
    <row r="28877" spans="18:18" s="2" customFormat="1" ht="12.75" x14ac:dyDescent="0.2">
      <c r="R28877" s="1288"/>
    </row>
    <row r="28878" spans="18:18" s="2" customFormat="1" ht="12.75" x14ac:dyDescent="0.2">
      <c r="R28878" s="1288"/>
    </row>
    <row r="28879" spans="18:18" s="2" customFormat="1" ht="12.75" x14ac:dyDescent="0.2">
      <c r="R28879" s="1288"/>
    </row>
    <row r="28880" spans="18:18" s="2" customFormat="1" ht="12.75" x14ac:dyDescent="0.2">
      <c r="R28880" s="1288"/>
    </row>
    <row r="28881" spans="18:18" s="2" customFormat="1" ht="12.75" x14ac:dyDescent="0.2">
      <c r="R28881" s="1288"/>
    </row>
    <row r="28882" spans="18:18" s="2" customFormat="1" ht="12.75" x14ac:dyDescent="0.2">
      <c r="R28882" s="1288"/>
    </row>
    <row r="28883" spans="18:18" s="2" customFormat="1" ht="12.75" x14ac:dyDescent="0.2">
      <c r="R28883" s="1288"/>
    </row>
    <row r="28884" spans="18:18" s="2" customFormat="1" ht="12.75" x14ac:dyDescent="0.2">
      <c r="R28884" s="1288"/>
    </row>
    <row r="28885" spans="18:18" s="2" customFormat="1" ht="12.75" x14ac:dyDescent="0.2">
      <c r="R28885" s="1288"/>
    </row>
    <row r="28886" spans="18:18" s="2" customFormat="1" ht="12.75" x14ac:dyDescent="0.2">
      <c r="R28886" s="1288"/>
    </row>
    <row r="28887" spans="18:18" s="2" customFormat="1" ht="12.75" x14ac:dyDescent="0.2">
      <c r="R28887" s="1288"/>
    </row>
    <row r="28888" spans="18:18" s="2" customFormat="1" ht="12.75" x14ac:dyDescent="0.2">
      <c r="R28888" s="1288"/>
    </row>
    <row r="28889" spans="18:18" s="2" customFormat="1" ht="12.75" x14ac:dyDescent="0.2">
      <c r="R28889" s="1288"/>
    </row>
    <row r="28890" spans="18:18" s="2" customFormat="1" ht="12.75" x14ac:dyDescent="0.2">
      <c r="R28890" s="1288"/>
    </row>
    <row r="28891" spans="18:18" s="2" customFormat="1" ht="12.75" x14ac:dyDescent="0.2">
      <c r="R28891" s="1288"/>
    </row>
    <row r="28892" spans="18:18" s="2" customFormat="1" ht="12.75" x14ac:dyDescent="0.2">
      <c r="R28892" s="1288"/>
    </row>
    <row r="28893" spans="18:18" s="2" customFormat="1" ht="12.75" x14ac:dyDescent="0.2">
      <c r="R28893" s="1288"/>
    </row>
    <row r="28894" spans="18:18" s="2" customFormat="1" ht="12.75" x14ac:dyDescent="0.2">
      <c r="R28894" s="1288"/>
    </row>
    <row r="28895" spans="18:18" s="2" customFormat="1" ht="12.75" x14ac:dyDescent="0.2">
      <c r="R28895" s="1288"/>
    </row>
    <row r="28896" spans="18:18" s="2" customFormat="1" ht="12.75" x14ac:dyDescent="0.2">
      <c r="R28896" s="1288"/>
    </row>
    <row r="28897" spans="18:18" s="2" customFormat="1" ht="12.75" x14ac:dyDescent="0.2">
      <c r="R28897" s="1288"/>
    </row>
    <row r="28898" spans="18:18" s="2" customFormat="1" ht="12.75" x14ac:dyDescent="0.2">
      <c r="R28898" s="1288"/>
    </row>
    <row r="28899" spans="18:18" s="2" customFormat="1" ht="12.75" x14ac:dyDescent="0.2">
      <c r="R28899" s="1288"/>
    </row>
    <row r="28900" spans="18:18" s="2" customFormat="1" ht="12.75" x14ac:dyDescent="0.2">
      <c r="R28900" s="1288"/>
    </row>
    <row r="28901" spans="18:18" s="2" customFormat="1" ht="12.75" x14ac:dyDescent="0.2">
      <c r="R28901" s="1288"/>
    </row>
    <row r="28902" spans="18:18" s="2" customFormat="1" ht="12.75" x14ac:dyDescent="0.2">
      <c r="R28902" s="1288"/>
    </row>
    <row r="28903" spans="18:18" s="2" customFormat="1" ht="12.75" x14ac:dyDescent="0.2">
      <c r="R28903" s="1288"/>
    </row>
    <row r="28904" spans="18:18" s="2" customFormat="1" ht="12.75" x14ac:dyDescent="0.2">
      <c r="R28904" s="1288"/>
    </row>
    <row r="28905" spans="18:18" s="2" customFormat="1" ht="12.75" x14ac:dyDescent="0.2">
      <c r="R28905" s="1288"/>
    </row>
    <row r="28906" spans="18:18" s="2" customFormat="1" ht="12.75" x14ac:dyDescent="0.2">
      <c r="R28906" s="1288"/>
    </row>
    <row r="28907" spans="18:18" s="2" customFormat="1" ht="12.75" x14ac:dyDescent="0.2">
      <c r="R28907" s="1288"/>
    </row>
    <row r="28908" spans="18:18" s="2" customFormat="1" ht="12.75" x14ac:dyDescent="0.2">
      <c r="R28908" s="1288"/>
    </row>
    <row r="28909" spans="18:18" s="2" customFormat="1" ht="12.75" x14ac:dyDescent="0.2">
      <c r="R28909" s="1288"/>
    </row>
    <row r="28910" spans="18:18" s="2" customFormat="1" ht="12.75" x14ac:dyDescent="0.2">
      <c r="R28910" s="1288"/>
    </row>
    <row r="28911" spans="18:18" s="2" customFormat="1" ht="12.75" x14ac:dyDescent="0.2">
      <c r="R28911" s="1288"/>
    </row>
    <row r="28912" spans="18:18" s="2" customFormat="1" ht="12.75" x14ac:dyDescent="0.2">
      <c r="R28912" s="1288"/>
    </row>
    <row r="28913" spans="18:18" s="2" customFormat="1" ht="12.75" x14ac:dyDescent="0.2">
      <c r="R28913" s="1288"/>
    </row>
    <row r="28914" spans="18:18" s="2" customFormat="1" ht="12.75" x14ac:dyDescent="0.2">
      <c r="R28914" s="1288"/>
    </row>
    <row r="28915" spans="18:18" s="2" customFormat="1" ht="12.75" x14ac:dyDescent="0.2">
      <c r="R28915" s="1288"/>
    </row>
    <row r="28916" spans="18:18" s="2" customFormat="1" ht="12.75" x14ac:dyDescent="0.2">
      <c r="R28916" s="1288"/>
    </row>
    <row r="28917" spans="18:18" s="2" customFormat="1" ht="12.75" x14ac:dyDescent="0.2">
      <c r="R28917" s="1288"/>
    </row>
    <row r="28918" spans="18:18" s="2" customFormat="1" ht="12.75" x14ac:dyDescent="0.2">
      <c r="R28918" s="1288"/>
    </row>
    <row r="28919" spans="18:18" s="2" customFormat="1" ht="12.75" x14ac:dyDescent="0.2">
      <c r="R28919" s="1288"/>
    </row>
    <row r="28920" spans="18:18" s="2" customFormat="1" ht="12.75" x14ac:dyDescent="0.2">
      <c r="R28920" s="1288"/>
    </row>
    <row r="28921" spans="18:18" s="2" customFormat="1" ht="12.75" x14ac:dyDescent="0.2">
      <c r="R28921" s="1288"/>
    </row>
    <row r="28922" spans="18:18" s="2" customFormat="1" ht="12.75" x14ac:dyDescent="0.2">
      <c r="R28922" s="1288"/>
    </row>
    <row r="28923" spans="18:18" s="2" customFormat="1" ht="12.75" x14ac:dyDescent="0.2">
      <c r="R28923" s="1288"/>
    </row>
    <row r="28924" spans="18:18" s="2" customFormat="1" ht="12.75" x14ac:dyDescent="0.2">
      <c r="R28924" s="1288"/>
    </row>
    <row r="28925" spans="18:18" s="2" customFormat="1" ht="12.75" x14ac:dyDescent="0.2">
      <c r="R28925" s="1288"/>
    </row>
    <row r="28926" spans="18:18" s="2" customFormat="1" ht="12.75" x14ac:dyDescent="0.2">
      <c r="R28926" s="1288"/>
    </row>
    <row r="28927" spans="18:18" s="2" customFormat="1" ht="12.75" x14ac:dyDescent="0.2">
      <c r="R28927" s="1288"/>
    </row>
    <row r="28928" spans="18:18" s="2" customFormat="1" ht="12.75" x14ac:dyDescent="0.2">
      <c r="R28928" s="1288"/>
    </row>
    <row r="28929" spans="18:18" s="2" customFormat="1" ht="12.75" x14ac:dyDescent="0.2">
      <c r="R28929" s="1288"/>
    </row>
    <row r="28930" spans="18:18" s="2" customFormat="1" ht="12.75" x14ac:dyDescent="0.2">
      <c r="R28930" s="1288"/>
    </row>
    <row r="28931" spans="18:18" s="2" customFormat="1" ht="12.75" x14ac:dyDescent="0.2">
      <c r="R28931" s="1288"/>
    </row>
    <row r="28932" spans="18:18" s="2" customFormat="1" ht="12.75" x14ac:dyDescent="0.2">
      <c r="R28932" s="1288"/>
    </row>
    <row r="28933" spans="18:18" s="2" customFormat="1" ht="12.75" x14ac:dyDescent="0.2">
      <c r="R28933" s="1288"/>
    </row>
    <row r="28934" spans="18:18" s="2" customFormat="1" ht="12.75" x14ac:dyDescent="0.2">
      <c r="R28934" s="1288"/>
    </row>
    <row r="28935" spans="18:18" s="2" customFormat="1" ht="12.75" x14ac:dyDescent="0.2">
      <c r="R28935" s="1288"/>
    </row>
    <row r="28936" spans="18:18" s="2" customFormat="1" ht="12.75" x14ac:dyDescent="0.2">
      <c r="R28936" s="1288"/>
    </row>
    <row r="28937" spans="18:18" s="2" customFormat="1" ht="12.75" x14ac:dyDescent="0.2">
      <c r="R28937" s="1288"/>
    </row>
    <row r="28938" spans="18:18" s="2" customFormat="1" ht="12.75" x14ac:dyDescent="0.2">
      <c r="R28938" s="1288"/>
    </row>
    <row r="28939" spans="18:18" s="2" customFormat="1" ht="12.75" x14ac:dyDescent="0.2">
      <c r="R28939" s="1288"/>
    </row>
    <row r="28940" spans="18:18" s="2" customFormat="1" ht="12.75" x14ac:dyDescent="0.2">
      <c r="R28940" s="1288"/>
    </row>
    <row r="28941" spans="18:18" s="2" customFormat="1" ht="12.75" x14ac:dyDescent="0.2">
      <c r="R28941" s="1288"/>
    </row>
    <row r="28942" spans="18:18" s="2" customFormat="1" ht="12.75" x14ac:dyDescent="0.2">
      <c r="R28942" s="1288"/>
    </row>
    <row r="28943" spans="18:18" s="2" customFormat="1" ht="12.75" x14ac:dyDescent="0.2">
      <c r="R28943" s="1288"/>
    </row>
    <row r="28944" spans="18:18" s="2" customFormat="1" ht="12.75" x14ac:dyDescent="0.2">
      <c r="R28944" s="1288"/>
    </row>
    <row r="28945" spans="18:18" s="2" customFormat="1" ht="12.75" x14ac:dyDescent="0.2">
      <c r="R28945" s="1288"/>
    </row>
    <row r="28946" spans="18:18" s="2" customFormat="1" ht="12.75" x14ac:dyDescent="0.2">
      <c r="R28946" s="1288"/>
    </row>
    <row r="28947" spans="18:18" s="2" customFormat="1" ht="12.75" x14ac:dyDescent="0.2">
      <c r="R28947" s="1288"/>
    </row>
    <row r="28948" spans="18:18" s="2" customFormat="1" ht="12.75" x14ac:dyDescent="0.2">
      <c r="R28948" s="1288"/>
    </row>
    <row r="28949" spans="18:18" s="2" customFormat="1" ht="12.75" x14ac:dyDescent="0.2">
      <c r="R28949" s="1288"/>
    </row>
    <row r="28950" spans="18:18" s="2" customFormat="1" ht="12.75" x14ac:dyDescent="0.2">
      <c r="R28950" s="1288"/>
    </row>
    <row r="28951" spans="18:18" s="2" customFormat="1" ht="12.75" x14ac:dyDescent="0.2">
      <c r="R28951" s="1288"/>
    </row>
    <row r="28952" spans="18:18" s="2" customFormat="1" ht="12.75" x14ac:dyDescent="0.2">
      <c r="R28952" s="1288"/>
    </row>
    <row r="28953" spans="18:18" s="2" customFormat="1" ht="12.75" x14ac:dyDescent="0.2">
      <c r="R28953" s="1288"/>
    </row>
    <row r="28954" spans="18:18" s="2" customFormat="1" ht="12.75" x14ac:dyDescent="0.2">
      <c r="R28954" s="1288"/>
    </row>
    <row r="28955" spans="18:18" s="2" customFormat="1" ht="12.75" x14ac:dyDescent="0.2">
      <c r="R28955" s="1288"/>
    </row>
    <row r="28956" spans="18:18" s="2" customFormat="1" ht="12.75" x14ac:dyDescent="0.2">
      <c r="R28956" s="1288"/>
    </row>
    <row r="28957" spans="18:18" s="2" customFormat="1" ht="12.75" x14ac:dyDescent="0.2">
      <c r="R28957" s="1288"/>
    </row>
    <row r="28958" spans="18:18" s="2" customFormat="1" ht="12.75" x14ac:dyDescent="0.2">
      <c r="R28958" s="1288"/>
    </row>
    <row r="28959" spans="18:18" s="2" customFormat="1" ht="12.75" x14ac:dyDescent="0.2">
      <c r="R28959" s="1288"/>
    </row>
    <row r="28960" spans="18:18" s="2" customFormat="1" ht="12.75" x14ac:dyDescent="0.2">
      <c r="R28960" s="1288"/>
    </row>
    <row r="28961" spans="18:18" s="2" customFormat="1" ht="12.75" x14ac:dyDescent="0.2">
      <c r="R28961" s="1288"/>
    </row>
    <row r="28962" spans="18:18" s="2" customFormat="1" ht="12.75" x14ac:dyDescent="0.2">
      <c r="R28962" s="1288"/>
    </row>
    <row r="28963" spans="18:18" s="2" customFormat="1" ht="12.75" x14ac:dyDescent="0.2">
      <c r="R28963" s="1288"/>
    </row>
    <row r="28964" spans="18:18" s="2" customFormat="1" ht="12.75" x14ac:dyDescent="0.2">
      <c r="R28964" s="1288"/>
    </row>
    <row r="28965" spans="18:18" s="2" customFormat="1" ht="12.75" x14ac:dyDescent="0.2">
      <c r="R28965" s="1288"/>
    </row>
    <row r="28966" spans="18:18" s="2" customFormat="1" ht="12.75" x14ac:dyDescent="0.2">
      <c r="R28966" s="1288"/>
    </row>
    <row r="28967" spans="18:18" s="2" customFormat="1" ht="12.75" x14ac:dyDescent="0.2">
      <c r="R28967" s="1288"/>
    </row>
    <row r="28968" spans="18:18" s="2" customFormat="1" ht="12.75" x14ac:dyDescent="0.2">
      <c r="R28968" s="1288"/>
    </row>
    <row r="28969" spans="18:18" s="2" customFormat="1" ht="12.75" x14ac:dyDescent="0.2">
      <c r="R28969" s="1288"/>
    </row>
    <row r="28970" spans="18:18" s="2" customFormat="1" ht="12.75" x14ac:dyDescent="0.2">
      <c r="R28970" s="1288"/>
    </row>
    <row r="28971" spans="18:18" s="2" customFormat="1" ht="12.75" x14ac:dyDescent="0.2">
      <c r="R28971" s="1288"/>
    </row>
    <row r="28972" spans="18:18" s="2" customFormat="1" ht="12.75" x14ac:dyDescent="0.2">
      <c r="R28972" s="1288"/>
    </row>
    <row r="28973" spans="18:18" s="2" customFormat="1" ht="12.75" x14ac:dyDescent="0.2">
      <c r="R28973" s="1288"/>
    </row>
    <row r="28974" spans="18:18" s="2" customFormat="1" ht="12.75" x14ac:dyDescent="0.2">
      <c r="R28974" s="1288"/>
    </row>
    <row r="28975" spans="18:18" s="2" customFormat="1" ht="12.75" x14ac:dyDescent="0.2">
      <c r="R28975" s="1288"/>
    </row>
    <row r="28976" spans="18:18" s="2" customFormat="1" ht="12.75" x14ac:dyDescent="0.2">
      <c r="R28976" s="1288"/>
    </row>
    <row r="28977" spans="18:18" s="2" customFormat="1" ht="12.75" x14ac:dyDescent="0.2">
      <c r="R28977" s="1288"/>
    </row>
    <row r="28978" spans="18:18" s="2" customFormat="1" ht="12.75" x14ac:dyDescent="0.2">
      <c r="R28978" s="1288"/>
    </row>
    <row r="28979" spans="18:18" s="2" customFormat="1" ht="12.75" x14ac:dyDescent="0.2">
      <c r="R28979" s="1288"/>
    </row>
    <row r="28980" spans="18:18" s="2" customFormat="1" ht="12.75" x14ac:dyDescent="0.2">
      <c r="R28980" s="1288"/>
    </row>
    <row r="28981" spans="18:18" s="2" customFormat="1" ht="12.75" x14ac:dyDescent="0.2">
      <c r="R28981" s="1288"/>
    </row>
    <row r="28982" spans="18:18" s="2" customFormat="1" ht="12.75" x14ac:dyDescent="0.2">
      <c r="R28982" s="1288"/>
    </row>
    <row r="28983" spans="18:18" s="2" customFormat="1" ht="12.75" x14ac:dyDescent="0.2">
      <c r="R28983" s="1288"/>
    </row>
    <row r="28984" spans="18:18" s="2" customFormat="1" ht="12.75" x14ac:dyDescent="0.2">
      <c r="R28984" s="1288"/>
    </row>
    <row r="28985" spans="18:18" s="2" customFormat="1" ht="12.75" x14ac:dyDescent="0.2">
      <c r="R28985" s="1288"/>
    </row>
    <row r="28986" spans="18:18" s="2" customFormat="1" ht="12.75" x14ac:dyDescent="0.2">
      <c r="R28986" s="1288"/>
    </row>
    <row r="28987" spans="18:18" s="2" customFormat="1" ht="12.75" x14ac:dyDescent="0.2">
      <c r="R28987" s="1288"/>
    </row>
    <row r="28988" spans="18:18" s="2" customFormat="1" ht="12.75" x14ac:dyDescent="0.2">
      <c r="R28988" s="1288"/>
    </row>
    <row r="28989" spans="18:18" s="2" customFormat="1" ht="12.75" x14ac:dyDescent="0.2">
      <c r="R28989" s="1288"/>
    </row>
    <row r="28990" spans="18:18" s="2" customFormat="1" ht="12.75" x14ac:dyDescent="0.2">
      <c r="R28990" s="1288"/>
    </row>
    <row r="28991" spans="18:18" s="2" customFormat="1" ht="12.75" x14ac:dyDescent="0.2">
      <c r="R28991" s="1288"/>
    </row>
    <row r="28992" spans="18:18" s="2" customFormat="1" ht="12.75" x14ac:dyDescent="0.2">
      <c r="R28992" s="1288"/>
    </row>
    <row r="28993" spans="18:18" s="2" customFormat="1" ht="12.75" x14ac:dyDescent="0.2">
      <c r="R28993" s="1288"/>
    </row>
    <row r="28994" spans="18:18" s="2" customFormat="1" ht="12.75" x14ac:dyDescent="0.2">
      <c r="R28994" s="1288"/>
    </row>
    <row r="28995" spans="18:18" s="2" customFormat="1" ht="12.75" x14ac:dyDescent="0.2">
      <c r="R28995" s="1288"/>
    </row>
    <row r="28996" spans="18:18" s="2" customFormat="1" ht="12.75" x14ac:dyDescent="0.2">
      <c r="R28996" s="1288"/>
    </row>
    <row r="28997" spans="18:18" s="2" customFormat="1" ht="12.75" x14ac:dyDescent="0.2">
      <c r="R28997" s="1288"/>
    </row>
    <row r="28998" spans="18:18" s="2" customFormat="1" ht="12.75" x14ac:dyDescent="0.2">
      <c r="R28998" s="1288"/>
    </row>
    <row r="28999" spans="18:18" s="2" customFormat="1" ht="12.75" x14ac:dyDescent="0.2">
      <c r="R28999" s="1288"/>
    </row>
    <row r="29000" spans="18:18" s="2" customFormat="1" ht="12.75" x14ac:dyDescent="0.2">
      <c r="R29000" s="1288"/>
    </row>
    <row r="29001" spans="18:18" s="2" customFormat="1" ht="12.75" x14ac:dyDescent="0.2">
      <c r="R29001" s="1288"/>
    </row>
    <row r="29002" spans="18:18" s="2" customFormat="1" ht="12.75" x14ac:dyDescent="0.2">
      <c r="R29002" s="1288"/>
    </row>
    <row r="29003" spans="18:18" s="2" customFormat="1" ht="12.75" x14ac:dyDescent="0.2">
      <c r="R29003" s="1288"/>
    </row>
    <row r="29004" spans="18:18" s="2" customFormat="1" ht="12.75" x14ac:dyDescent="0.2">
      <c r="R29004" s="1288"/>
    </row>
    <row r="29005" spans="18:18" s="2" customFormat="1" ht="12.75" x14ac:dyDescent="0.2">
      <c r="R29005" s="1288"/>
    </row>
    <row r="29006" spans="18:18" s="2" customFormat="1" ht="12.75" x14ac:dyDescent="0.2">
      <c r="R29006" s="1288"/>
    </row>
    <row r="29007" spans="18:18" s="2" customFormat="1" ht="12.75" x14ac:dyDescent="0.2">
      <c r="R29007" s="1288"/>
    </row>
    <row r="29008" spans="18:18" s="2" customFormat="1" ht="12.75" x14ac:dyDescent="0.2">
      <c r="R29008" s="1288"/>
    </row>
    <row r="29009" spans="18:18" s="2" customFormat="1" ht="12.75" x14ac:dyDescent="0.2">
      <c r="R29009" s="1288"/>
    </row>
    <row r="29010" spans="18:18" s="2" customFormat="1" ht="12.75" x14ac:dyDescent="0.2">
      <c r="R29010" s="1288"/>
    </row>
    <row r="29011" spans="18:18" s="2" customFormat="1" ht="12.75" x14ac:dyDescent="0.2">
      <c r="R29011" s="1288"/>
    </row>
    <row r="29012" spans="18:18" s="2" customFormat="1" ht="12.75" x14ac:dyDescent="0.2">
      <c r="R29012" s="1288"/>
    </row>
    <row r="29013" spans="18:18" s="2" customFormat="1" ht="12.75" x14ac:dyDescent="0.2">
      <c r="R29013" s="1288"/>
    </row>
    <row r="29014" spans="18:18" s="2" customFormat="1" ht="12.75" x14ac:dyDescent="0.2">
      <c r="R29014" s="1288"/>
    </row>
    <row r="29015" spans="18:18" s="2" customFormat="1" ht="12.75" x14ac:dyDescent="0.2">
      <c r="R29015" s="1288"/>
    </row>
    <row r="29016" spans="18:18" s="2" customFormat="1" ht="12.75" x14ac:dyDescent="0.2">
      <c r="R29016" s="1288"/>
    </row>
    <row r="29017" spans="18:18" s="2" customFormat="1" ht="12.75" x14ac:dyDescent="0.2">
      <c r="R29017" s="1288"/>
    </row>
    <row r="29018" spans="18:18" s="2" customFormat="1" ht="12.75" x14ac:dyDescent="0.2">
      <c r="R29018" s="1288"/>
    </row>
    <row r="29019" spans="18:18" s="2" customFormat="1" ht="12.75" x14ac:dyDescent="0.2">
      <c r="R29019" s="1288"/>
    </row>
    <row r="29020" spans="18:18" s="2" customFormat="1" ht="12.75" x14ac:dyDescent="0.2">
      <c r="R29020" s="1288"/>
    </row>
    <row r="29021" spans="18:18" s="2" customFormat="1" ht="12.75" x14ac:dyDescent="0.2">
      <c r="R29021" s="1288"/>
    </row>
    <row r="29022" spans="18:18" s="2" customFormat="1" ht="12.75" x14ac:dyDescent="0.2">
      <c r="R29022" s="1288"/>
    </row>
    <row r="29023" spans="18:18" s="2" customFormat="1" ht="12.75" x14ac:dyDescent="0.2">
      <c r="R29023" s="1288"/>
    </row>
    <row r="29024" spans="18:18" s="2" customFormat="1" ht="12.75" x14ac:dyDescent="0.2">
      <c r="R29024" s="1288"/>
    </row>
    <row r="29025" spans="18:18" s="2" customFormat="1" ht="12.75" x14ac:dyDescent="0.2">
      <c r="R29025" s="1288"/>
    </row>
    <row r="29026" spans="18:18" s="2" customFormat="1" ht="12.75" x14ac:dyDescent="0.2">
      <c r="R29026" s="1288"/>
    </row>
    <row r="29027" spans="18:18" s="2" customFormat="1" ht="12.75" x14ac:dyDescent="0.2">
      <c r="R29027" s="1288"/>
    </row>
    <row r="29028" spans="18:18" s="2" customFormat="1" ht="12.75" x14ac:dyDescent="0.2">
      <c r="R29028" s="1288"/>
    </row>
    <row r="29029" spans="18:18" s="2" customFormat="1" ht="12.75" x14ac:dyDescent="0.2">
      <c r="R29029" s="1288"/>
    </row>
    <row r="29030" spans="18:18" s="2" customFormat="1" ht="12.75" x14ac:dyDescent="0.2">
      <c r="R29030" s="1288"/>
    </row>
    <row r="29031" spans="18:18" s="2" customFormat="1" ht="12.75" x14ac:dyDescent="0.2">
      <c r="R29031" s="1288"/>
    </row>
    <row r="29032" spans="18:18" s="2" customFormat="1" ht="12.75" x14ac:dyDescent="0.2">
      <c r="R29032" s="1288"/>
    </row>
    <row r="29033" spans="18:18" s="2" customFormat="1" ht="12.75" x14ac:dyDescent="0.2">
      <c r="R29033" s="1288"/>
    </row>
    <row r="29034" spans="18:18" s="2" customFormat="1" ht="12.75" x14ac:dyDescent="0.2">
      <c r="R29034" s="1288"/>
    </row>
    <row r="29035" spans="18:18" s="2" customFormat="1" ht="12.75" x14ac:dyDescent="0.2">
      <c r="R29035" s="1288"/>
    </row>
    <row r="29036" spans="18:18" s="2" customFormat="1" ht="12.75" x14ac:dyDescent="0.2">
      <c r="R29036" s="1288"/>
    </row>
    <row r="29037" spans="18:18" s="2" customFormat="1" ht="12.75" x14ac:dyDescent="0.2">
      <c r="R29037" s="1288"/>
    </row>
    <row r="29038" spans="18:18" s="2" customFormat="1" ht="12.75" x14ac:dyDescent="0.2">
      <c r="R29038" s="1288"/>
    </row>
    <row r="29039" spans="18:18" s="2" customFormat="1" ht="12.75" x14ac:dyDescent="0.2">
      <c r="R29039" s="1288"/>
    </row>
    <row r="29040" spans="18:18" s="2" customFormat="1" ht="12.75" x14ac:dyDescent="0.2">
      <c r="R29040" s="1288"/>
    </row>
    <row r="29041" spans="18:18" s="2" customFormat="1" ht="12.75" x14ac:dyDescent="0.2">
      <c r="R29041" s="1288"/>
    </row>
    <row r="29042" spans="18:18" s="2" customFormat="1" ht="12.75" x14ac:dyDescent="0.2">
      <c r="R29042" s="1288"/>
    </row>
    <row r="29043" spans="18:18" s="2" customFormat="1" ht="12.75" x14ac:dyDescent="0.2">
      <c r="R29043" s="1288"/>
    </row>
    <row r="29044" spans="18:18" s="2" customFormat="1" ht="12.75" x14ac:dyDescent="0.2">
      <c r="R29044" s="1288"/>
    </row>
    <row r="29045" spans="18:18" s="2" customFormat="1" ht="12.75" x14ac:dyDescent="0.2">
      <c r="R29045" s="1288"/>
    </row>
    <row r="29046" spans="18:18" s="2" customFormat="1" ht="12.75" x14ac:dyDescent="0.2">
      <c r="R29046" s="1288"/>
    </row>
    <row r="29047" spans="18:18" s="2" customFormat="1" ht="12.75" x14ac:dyDescent="0.2">
      <c r="R29047" s="1288"/>
    </row>
    <row r="29048" spans="18:18" s="2" customFormat="1" ht="12.75" x14ac:dyDescent="0.2">
      <c r="R29048" s="1288"/>
    </row>
    <row r="29049" spans="18:18" s="2" customFormat="1" ht="12.75" x14ac:dyDescent="0.2">
      <c r="R29049" s="1288"/>
    </row>
    <row r="29050" spans="18:18" s="2" customFormat="1" ht="12.75" x14ac:dyDescent="0.2">
      <c r="R29050" s="1288"/>
    </row>
    <row r="29051" spans="18:18" s="2" customFormat="1" ht="12.75" x14ac:dyDescent="0.2">
      <c r="R29051" s="1288"/>
    </row>
    <row r="29052" spans="18:18" s="2" customFormat="1" ht="12.75" x14ac:dyDescent="0.2">
      <c r="R29052" s="1288"/>
    </row>
    <row r="29053" spans="18:18" s="2" customFormat="1" ht="12.75" x14ac:dyDescent="0.2">
      <c r="R29053" s="1288"/>
    </row>
    <row r="29054" spans="18:18" s="2" customFormat="1" ht="12.75" x14ac:dyDescent="0.2">
      <c r="R29054" s="1288"/>
    </row>
    <row r="29055" spans="18:18" s="2" customFormat="1" ht="12.75" x14ac:dyDescent="0.2">
      <c r="R29055" s="1288"/>
    </row>
    <row r="29056" spans="18:18" s="2" customFormat="1" ht="12.75" x14ac:dyDescent="0.2">
      <c r="R29056" s="1288"/>
    </row>
    <row r="29057" spans="18:18" s="2" customFormat="1" ht="12.75" x14ac:dyDescent="0.2">
      <c r="R29057" s="1288"/>
    </row>
    <row r="29058" spans="18:18" s="2" customFormat="1" ht="12.75" x14ac:dyDescent="0.2">
      <c r="R29058" s="1288"/>
    </row>
    <row r="29059" spans="18:18" s="2" customFormat="1" ht="12.75" x14ac:dyDescent="0.2">
      <c r="R29059" s="1288"/>
    </row>
    <row r="29060" spans="18:18" s="2" customFormat="1" ht="12.75" x14ac:dyDescent="0.2">
      <c r="R29060" s="1288"/>
    </row>
    <row r="29061" spans="18:18" s="2" customFormat="1" ht="12.75" x14ac:dyDescent="0.2">
      <c r="R29061" s="1288"/>
    </row>
    <row r="29062" spans="18:18" s="2" customFormat="1" ht="12.75" x14ac:dyDescent="0.2">
      <c r="R29062" s="1288"/>
    </row>
    <row r="29063" spans="18:18" s="2" customFormat="1" ht="12.75" x14ac:dyDescent="0.2">
      <c r="R29063" s="1288"/>
    </row>
    <row r="29064" spans="18:18" s="2" customFormat="1" ht="12.75" x14ac:dyDescent="0.2">
      <c r="R29064" s="1288"/>
    </row>
    <row r="29065" spans="18:18" s="2" customFormat="1" ht="12.75" x14ac:dyDescent="0.2">
      <c r="R29065" s="1288"/>
    </row>
    <row r="29066" spans="18:18" s="2" customFormat="1" ht="12.75" x14ac:dyDescent="0.2">
      <c r="R29066" s="1288"/>
    </row>
    <row r="29067" spans="18:18" s="2" customFormat="1" ht="12.75" x14ac:dyDescent="0.2">
      <c r="R29067" s="1288"/>
    </row>
    <row r="29068" spans="18:18" s="2" customFormat="1" ht="12.75" x14ac:dyDescent="0.2">
      <c r="R29068" s="1288"/>
    </row>
    <row r="29069" spans="18:18" s="2" customFormat="1" ht="12.75" x14ac:dyDescent="0.2">
      <c r="R29069" s="1288"/>
    </row>
    <row r="29070" spans="18:18" s="2" customFormat="1" ht="12.75" x14ac:dyDescent="0.2">
      <c r="R29070" s="1288"/>
    </row>
    <row r="29071" spans="18:18" s="2" customFormat="1" ht="12.75" x14ac:dyDescent="0.2">
      <c r="R29071" s="1288"/>
    </row>
    <row r="29072" spans="18:18" s="2" customFormat="1" ht="12.75" x14ac:dyDescent="0.2">
      <c r="R29072" s="1288"/>
    </row>
    <row r="29073" spans="18:18" s="2" customFormat="1" ht="12.75" x14ac:dyDescent="0.2">
      <c r="R29073" s="1288"/>
    </row>
    <row r="29074" spans="18:18" s="2" customFormat="1" ht="12.75" x14ac:dyDescent="0.2">
      <c r="R29074" s="1288"/>
    </row>
    <row r="29075" spans="18:18" s="2" customFormat="1" ht="12.75" x14ac:dyDescent="0.2">
      <c r="R29075" s="1288"/>
    </row>
    <row r="29076" spans="18:18" s="2" customFormat="1" ht="12.75" x14ac:dyDescent="0.2">
      <c r="R29076" s="1288"/>
    </row>
    <row r="29077" spans="18:18" s="2" customFormat="1" ht="12.75" x14ac:dyDescent="0.2">
      <c r="R29077" s="1288"/>
    </row>
    <row r="29078" spans="18:18" s="2" customFormat="1" ht="12.75" x14ac:dyDescent="0.2">
      <c r="R29078" s="1288"/>
    </row>
    <row r="29079" spans="18:18" s="2" customFormat="1" ht="12.75" x14ac:dyDescent="0.2">
      <c r="R29079" s="1288"/>
    </row>
    <row r="29080" spans="18:18" s="2" customFormat="1" ht="12.75" x14ac:dyDescent="0.2">
      <c r="R29080" s="1288"/>
    </row>
    <row r="29081" spans="18:18" s="2" customFormat="1" ht="12.75" x14ac:dyDescent="0.2">
      <c r="R29081" s="1288"/>
    </row>
    <row r="29082" spans="18:18" s="2" customFormat="1" ht="12.75" x14ac:dyDescent="0.2">
      <c r="R29082" s="1288"/>
    </row>
    <row r="29083" spans="18:18" s="2" customFormat="1" ht="12.75" x14ac:dyDescent="0.2">
      <c r="R29083" s="1288"/>
    </row>
    <row r="29084" spans="18:18" s="2" customFormat="1" ht="12.75" x14ac:dyDescent="0.2">
      <c r="R29084" s="1288"/>
    </row>
    <row r="29085" spans="18:18" s="2" customFormat="1" ht="12.75" x14ac:dyDescent="0.2">
      <c r="R29085" s="1288"/>
    </row>
    <row r="29086" spans="18:18" s="2" customFormat="1" ht="12.75" x14ac:dyDescent="0.2">
      <c r="R29086" s="1288"/>
    </row>
    <row r="29087" spans="18:18" s="2" customFormat="1" ht="12.75" x14ac:dyDescent="0.2">
      <c r="R29087" s="1288"/>
    </row>
    <row r="29088" spans="18:18" s="2" customFormat="1" ht="12.75" x14ac:dyDescent="0.2">
      <c r="R29088" s="1288"/>
    </row>
    <row r="29089" spans="18:18" s="2" customFormat="1" ht="12.75" x14ac:dyDescent="0.2">
      <c r="R29089" s="1288"/>
    </row>
    <row r="29090" spans="18:18" s="2" customFormat="1" ht="12.75" x14ac:dyDescent="0.2">
      <c r="R29090" s="1288"/>
    </row>
    <row r="29091" spans="18:18" s="2" customFormat="1" ht="12.75" x14ac:dyDescent="0.2">
      <c r="R29091" s="1288"/>
    </row>
    <row r="29092" spans="18:18" s="2" customFormat="1" ht="12.75" x14ac:dyDescent="0.2">
      <c r="R29092" s="1288"/>
    </row>
    <row r="29093" spans="18:18" s="2" customFormat="1" ht="12.75" x14ac:dyDescent="0.2">
      <c r="R29093" s="1288"/>
    </row>
    <row r="29094" spans="18:18" s="2" customFormat="1" ht="12.75" x14ac:dyDescent="0.2">
      <c r="R29094" s="1288"/>
    </row>
    <row r="29095" spans="18:18" s="2" customFormat="1" ht="12.75" x14ac:dyDescent="0.2">
      <c r="R29095" s="1288"/>
    </row>
    <row r="29096" spans="18:18" s="2" customFormat="1" ht="12.75" x14ac:dyDescent="0.2">
      <c r="R29096" s="1288"/>
    </row>
    <row r="29097" spans="18:18" s="2" customFormat="1" ht="12.75" x14ac:dyDescent="0.2">
      <c r="R29097" s="1288"/>
    </row>
    <row r="29098" spans="18:18" s="2" customFormat="1" ht="12.75" x14ac:dyDescent="0.2">
      <c r="R29098" s="1288"/>
    </row>
    <row r="29099" spans="18:18" s="2" customFormat="1" ht="12.75" x14ac:dyDescent="0.2">
      <c r="R29099" s="1288"/>
    </row>
    <row r="29100" spans="18:18" s="2" customFormat="1" ht="12.75" x14ac:dyDescent="0.2">
      <c r="R29100" s="1288"/>
    </row>
    <row r="29101" spans="18:18" s="2" customFormat="1" ht="12.75" x14ac:dyDescent="0.2">
      <c r="R29101" s="1288"/>
    </row>
    <row r="29102" spans="18:18" s="2" customFormat="1" ht="12.75" x14ac:dyDescent="0.2">
      <c r="R29102" s="1288"/>
    </row>
    <row r="29103" spans="18:18" s="2" customFormat="1" ht="12.75" x14ac:dyDescent="0.2">
      <c r="R29103" s="1288"/>
    </row>
    <row r="29104" spans="18:18" s="2" customFormat="1" ht="12.75" x14ac:dyDescent="0.2">
      <c r="R29104" s="1288"/>
    </row>
    <row r="29105" spans="18:18" s="2" customFormat="1" ht="12.75" x14ac:dyDescent="0.2">
      <c r="R29105" s="1288"/>
    </row>
    <row r="29106" spans="18:18" s="2" customFormat="1" ht="12.75" x14ac:dyDescent="0.2">
      <c r="R29106" s="1288"/>
    </row>
    <row r="29107" spans="18:18" s="2" customFormat="1" ht="12.75" x14ac:dyDescent="0.2">
      <c r="R29107" s="1288"/>
    </row>
    <row r="29108" spans="18:18" s="2" customFormat="1" ht="12.75" x14ac:dyDescent="0.2">
      <c r="R29108" s="1288"/>
    </row>
    <row r="29109" spans="18:18" s="2" customFormat="1" ht="12.75" x14ac:dyDescent="0.2">
      <c r="R29109" s="1288"/>
    </row>
    <row r="29110" spans="18:18" s="2" customFormat="1" ht="12.75" x14ac:dyDescent="0.2">
      <c r="R29110" s="1288"/>
    </row>
    <row r="29111" spans="18:18" s="2" customFormat="1" ht="12.75" x14ac:dyDescent="0.2">
      <c r="R29111" s="1288"/>
    </row>
    <row r="29112" spans="18:18" s="2" customFormat="1" ht="12.75" x14ac:dyDescent="0.2">
      <c r="R29112" s="1288"/>
    </row>
    <row r="29113" spans="18:18" s="2" customFormat="1" ht="12.75" x14ac:dyDescent="0.2">
      <c r="R29113" s="1288"/>
    </row>
    <row r="29114" spans="18:18" s="2" customFormat="1" ht="12.75" x14ac:dyDescent="0.2">
      <c r="R29114" s="1288"/>
    </row>
    <row r="29115" spans="18:18" s="2" customFormat="1" ht="12.75" x14ac:dyDescent="0.2">
      <c r="R29115" s="1288"/>
    </row>
    <row r="29116" spans="18:18" s="2" customFormat="1" ht="12.75" x14ac:dyDescent="0.2">
      <c r="R29116" s="1288"/>
    </row>
    <row r="29117" spans="18:18" s="2" customFormat="1" ht="12.75" x14ac:dyDescent="0.2">
      <c r="R29117" s="1288"/>
    </row>
    <row r="29118" spans="18:18" s="2" customFormat="1" ht="12.75" x14ac:dyDescent="0.2">
      <c r="R29118" s="1288"/>
    </row>
    <row r="29119" spans="18:18" s="2" customFormat="1" ht="12.75" x14ac:dyDescent="0.2">
      <c r="R29119" s="1288"/>
    </row>
    <row r="29120" spans="18:18" s="2" customFormat="1" ht="12.75" x14ac:dyDescent="0.2">
      <c r="R29120" s="1288"/>
    </row>
    <row r="29121" spans="18:18" s="2" customFormat="1" ht="12.75" x14ac:dyDescent="0.2">
      <c r="R29121" s="1288"/>
    </row>
    <row r="29122" spans="18:18" s="2" customFormat="1" ht="12.75" x14ac:dyDescent="0.2">
      <c r="R29122" s="1288"/>
    </row>
    <row r="29123" spans="18:18" s="2" customFormat="1" ht="12.75" x14ac:dyDescent="0.2">
      <c r="R29123" s="1288"/>
    </row>
    <row r="29124" spans="18:18" s="2" customFormat="1" ht="12.75" x14ac:dyDescent="0.2">
      <c r="R29124" s="1288"/>
    </row>
    <row r="29125" spans="18:18" s="2" customFormat="1" ht="12.75" x14ac:dyDescent="0.2">
      <c r="R29125" s="1288"/>
    </row>
    <row r="29126" spans="18:18" s="2" customFormat="1" ht="12.75" x14ac:dyDescent="0.2">
      <c r="R29126" s="1288"/>
    </row>
    <row r="29127" spans="18:18" s="2" customFormat="1" ht="12.75" x14ac:dyDescent="0.2">
      <c r="R29127" s="1288"/>
    </row>
    <row r="29128" spans="18:18" s="2" customFormat="1" ht="12.75" x14ac:dyDescent="0.2">
      <c r="R29128" s="1288"/>
    </row>
    <row r="29129" spans="18:18" s="2" customFormat="1" ht="12.75" x14ac:dyDescent="0.2">
      <c r="R29129" s="1288"/>
    </row>
    <row r="29130" spans="18:18" s="2" customFormat="1" ht="12.75" x14ac:dyDescent="0.2">
      <c r="R29130" s="1288"/>
    </row>
    <row r="29131" spans="18:18" s="2" customFormat="1" ht="12.75" x14ac:dyDescent="0.2">
      <c r="R29131" s="1288"/>
    </row>
    <row r="29132" spans="18:18" s="2" customFormat="1" ht="12.75" x14ac:dyDescent="0.2">
      <c r="R29132" s="1288"/>
    </row>
    <row r="29133" spans="18:18" s="2" customFormat="1" ht="12.75" x14ac:dyDescent="0.2">
      <c r="R29133" s="1288"/>
    </row>
    <row r="29134" spans="18:18" s="2" customFormat="1" ht="12.75" x14ac:dyDescent="0.2">
      <c r="R29134" s="1288"/>
    </row>
    <row r="29135" spans="18:18" s="2" customFormat="1" ht="12.75" x14ac:dyDescent="0.2">
      <c r="R29135" s="1288"/>
    </row>
    <row r="29136" spans="18:18" s="2" customFormat="1" ht="12.75" x14ac:dyDescent="0.2">
      <c r="R29136" s="1288"/>
    </row>
    <row r="29137" spans="18:18" s="2" customFormat="1" ht="12.75" x14ac:dyDescent="0.2">
      <c r="R29137" s="1288"/>
    </row>
    <row r="29138" spans="18:18" s="2" customFormat="1" ht="12.75" x14ac:dyDescent="0.2">
      <c r="R29138" s="1288"/>
    </row>
    <row r="29139" spans="18:18" s="2" customFormat="1" ht="12.75" x14ac:dyDescent="0.2">
      <c r="R29139" s="1288"/>
    </row>
    <row r="29140" spans="18:18" s="2" customFormat="1" ht="12.75" x14ac:dyDescent="0.2">
      <c r="R29140" s="1288"/>
    </row>
    <row r="29141" spans="18:18" s="2" customFormat="1" ht="12.75" x14ac:dyDescent="0.2">
      <c r="R29141" s="1288"/>
    </row>
    <row r="29142" spans="18:18" s="2" customFormat="1" ht="12.75" x14ac:dyDescent="0.2">
      <c r="R29142" s="1288"/>
    </row>
    <row r="29143" spans="18:18" s="2" customFormat="1" ht="12.75" x14ac:dyDescent="0.2">
      <c r="R29143" s="1288"/>
    </row>
    <row r="29144" spans="18:18" s="2" customFormat="1" ht="12.75" x14ac:dyDescent="0.2">
      <c r="R29144" s="1288"/>
    </row>
    <row r="29145" spans="18:18" s="2" customFormat="1" ht="12.75" x14ac:dyDescent="0.2">
      <c r="R29145" s="1288"/>
    </row>
    <row r="29146" spans="18:18" s="2" customFormat="1" ht="12.75" x14ac:dyDescent="0.2">
      <c r="R29146" s="1288"/>
    </row>
    <row r="29147" spans="18:18" s="2" customFormat="1" ht="12.75" x14ac:dyDescent="0.2">
      <c r="R29147" s="1288"/>
    </row>
    <row r="29148" spans="18:18" s="2" customFormat="1" ht="12.75" x14ac:dyDescent="0.2">
      <c r="R29148" s="1288"/>
    </row>
    <row r="29149" spans="18:18" s="2" customFormat="1" ht="12.75" x14ac:dyDescent="0.2">
      <c r="R29149" s="1288"/>
    </row>
    <row r="29150" spans="18:18" s="2" customFormat="1" ht="12.75" x14ac:dyDescent="0.2">
      <c r="R29150" s="1288"/>
    </row>
    <row r="29151" spans="18:18" s="2" customFormat="1" ht="12.75" x14ac:dyDescent="0.2">
      <c r="R29151" s="1288"/>
    </row>
    <row r="29152" spans="18:18" s="2" customFormat="1" ht="12.75" x14ac:dyDescent="0.2">
      <c r="R29152" s="1288"/>
    </row>
    <row r="29153" spans="18:18" s="2" customFormat="1" ht="12.75" x14ac:dyDescent="0.2">
      <c r="R29153" s="1288"/>
    </row>
    <row r="29154" spans="18:18" s="2" customFormat="1" ht="12.75" x14ac:dyDescent="0.2">
      <c r="R29154" s="1288"/>
    </row>
    <row r="29155" spans="18:18" s="2" customFormat="1" ht="12.75" x14ac:dyDescent="0.2">
      <c r="R29155" s="1288"/>
    </row>
    <row r="29156" spans="18:18" s="2" customFormat="1" ht="12.75" x14ac:dyDescent="0.2">
      <c r="R29156" s="1288"/>
    </row>
    <row r="29157" spans="18:18" s="2" customFormat="1" ht="12.75" x14ac:dyDescent="0.2">
      <c r="R29157" s="1288"/>
    </row>
    <row r="29158" spans="18:18" s="2" customFormat="1" ht="12.75" x14ac:dyDescent="0.2">
      <c r="R29158" s="1288"/>
    </row>
    <row r="29159" spans="18:18" s="2" customFormat="1" ht="12.75" x14ac:dyDescent="0.2">
      <c r="R29159" s="1288"/>
    </row>
    <row r="29160" spans="18:18" s="2" customFormat="1" ht="12.75" x14ac:dyDescent="0.2">
      <c r="R29160" s="1288"/>
    </row>
    <row r="29161" spans="18:18" s="2" customFormat="1" ht="12.75" x14ac:dyDescent="0.2">
      <c r="R29161" s="1288"/>
    </row>
    <row r="29162" spans="18:18" s="2" customFormat="1" ht="12.75" x14ac:dyDescent="0.2">
      <c r="R29162" s="1288"/>
    </row>
    <row r="29163" spans="18:18" s="2" customFormat="1" ht="12.75" x14ac:dyDescent="0.2">
      <c r="R29163" s="1288"/>
    </row>
    <row r="29164" spans="18:18" s="2" customFormat="1" ht="12.75" x14ac:dyDescent="0.2">
      <c r="R29164" s="1288"/>
    </row>
    <row r="29165" spans="18:18" s="2" customFormat="1" ht="12.75" x14ac:dyDescent="0.2">
      <c r="R29165" s="1288"/>
    </row>
    <row r="29166" spans="18:18" s="2" customFormat="1" ht="12.75" x14ac:dyDescent="0.2">
      <c r="R29166" s="1288"/>
    </row>
    <row r="29167" spans="18:18" s="2" customFormat="1" ht="12.75" x14ac:dyDescent="0.2">
      <c r="R29167" s="1288"/>
    </row>
    <row r="29168" spans="18:18" s="2" customFormat="1" ht="12.75" x14ac:dyDescent="0.2">
      <c r="R29168" s="1288"/>
    </row>
    <row r="29169" spans="18:18" s="2" customFormat="1" ht="12.75" x14ac:dyDescent="0.2">
      <c r="R29169" s="1288"/>
    </row>
    <row r="29170" spans="18:18" s="2" customFormat="1" ht="12.75" x14ac:dyDescent="0.2">
      <c r="R29170" s="1288"/>
    </row>
    <row r="29171" spans="18:18" s="2" customFormat="1" ht="12.75" x14ac:dyDescent="0.2">
      <c r="R29171" s="1288"/>
    </row>
    <row r="29172" spans="18:18" s="2" customFormat="1" ht="12.75" x14ac:dyDescent="0.2">
      <c r="R29172" s="1288"/>
    </row>
    <row r="29173" spans="18:18" s="2" customFormat="1" ht="12.75" x14ac:dyDescent="0.2">
      <c r="R29173" s="1288"/>
    </row>
    <row r="29174" spans="18:18" s="2" customFormat="1" ht="12.75" x14ac:dyDescent="0.2">
      <c r="R29174" s="1288"/>
    </row>
    <row r="29175" spans="18:18" s="2" customFormat="1" ht="12.75" x14ac:dyDescent="0.2">
      <c r="R29175" s="1288"/>
    </row>
    <row r="29176" spans="18:18" s="2" customFormat="1" ht="12.75" x14ac:dyDescent="0.2">
      <c r="R29176" s="1288"/>
    </row>
    <row r="29177" spans="18:18" s="2" customFormat="1" ht="12.75" x14ac:dyDescent="0.2">
      <c r="R29177" s="1288"/>
    </row>
    <row r="29178" spans="18:18" s="2" customFormat="1" ht="12.75" x14ac:dyDescent="0.2">
      <c r="R29178" s="1288"/>
    </row>
    <row r="29179" spans="18:18" s="2" customFormat="1" ht="12.75" x14ac:dyDescent="0.2">
      <c r="R29179" s="1288"/>
    </row>
    <row r="29180" spans="18:18" s="2" customFormat="1" ht="12.75" x14ac:dyDescent="0.2">
      <c r="R29180" s="1288"/>
    </row>
    <row r="29181" spans="18:18" s="2" customFormat="1" ht="12.75" x14ac:dyDescent="0.2">
      <c r="R29181" s="1288"/>
    </row>
    <row r="29182" spans="18:18" s="2" customFormat="1" ht="12.75" x14ac:dyDescent="0.2">
      <c r="R29182" s="1288"/>
    </row>
    <row r="29183" spans="18:18" s="2" customFormat="1" ht="12.75" x14ac:dyDescent="0.2">
      <c r="R29183" s="1288"/>
    </row>
    <row r="29184" spans="18:18" s="2" customFormat="1" ht="12.75" x14ac:dyDescent="0.2">
      <c r="R29184" s="1288"/>
    </row>
    <row r="29185" spans="18:18" s="2" customFormat="1" ht="12.75" x14ac:dyDescent="0.2">
      <c r="R29185" s="1288"/>
    </row>
    <row r="29186" spans="18:18" s="2" customFormat="1" ht="12.75" x14ac:dyDescent="0.2">
      <c r="R29186" s="1288"/>
    </row>
    <row r="29187" spans="18:18" s="2" customFormat="1" ht="12.75" x14ac:dyDescent="0.2">
      <c r="R29187" s="1288"/>
    </row>
    <row r="29188" spans="18:18" s="2" customFormat="1" ht="12.75" x14ac:dyDescent="0.2">
      <c r="R29188" s="1288"/>
    </row>
    <row r="29189" spans="18:18" s="2" customFormat="1" ht="12.75" x14ac:dyDescent="0.2">
      <c r="R29189" s="1288"/>
    </row>
    <row r="29190" spans="18:18" s="2" customFormat="1" ht="12.75" x14ac:dyDescent="0.2">
      <c r="R29190" s="1288"/>
    </row>
    <row r="29191" spans="18:18" s="2" customFormat="1" ht="12.75" x14ac:dyDescent="0.2">
      <c r="R29191" s="1288"/>
    </row>
    <row r="29192" spans="18:18" s="2" customFormat="1" ht="12.75" x14ac:dyDescent="0.2">
      <c r="R29192" s="1288"/>
    </row>
    <row r="29193" spans="18:18" s="2" customFormat="1" ht="12.75" x14ac:dyDescent="0.2">
      <c r="R29193" s="1288"/>
    </row>
    <row r="29194" spans="18:18" s="2" customFormat="1" ht="12.75" x14ac:dyDescent="0.2">
      <c r="R29194" s="1288"/>
    </row>
    <row r="29195" spans="18:18" s="2" customFormat="1" ht="12.75" x14ac:dyDescent="0.2">
      <c r="R29195" s="1288"/>
    </row>
    <row r="29196" spans="18:18" s="2" customFormat="1" ht="12.75" x14ac:dyDescent="0.2">
      <c r="R29196" s="1288"/>
    </row>
    <row r="29197" spans="18:18" s="2" customFormat="1" ht="12.75" x14ac:dyDescent="0.2">
      <c r="R29197" s="1288"/>
    </row>
    <row r="29198" spans="18:18" s="2" customFormat="1" ht="12.75" x14ac:dyDescent="0.2">
      <c r="R29198" s="1288"/>
    </row>
    <row r="29199" spans="18:18" s="2" customFormat="1" ht="12.75" x14ac:dyDescent="0.2">
      <c r="R29199" s="1288"/>
    </row>
    <row r="29200" spans="18:18" s="2" customFormat="1" ht="12.75" x14ac:dyDescent="0.2">
      <c r="R29200" s="1288"/>
    </row>
    <row r="29201" spans="18:18" s="2" customFormat="1" ht="12.75" x14ac:dyDescent="0.2">
      <c r="R29201" s="1288"/>
    </row>
    <row r="29202" spans="18:18" s="2" customFormat="1" ht="12.75" x14ac:dyDescent="0.2">
      <c r="R29202" s="1288"/>
    </row>
    <row r="29203" spans="18:18" s="2" customFormat="1" ht="12.75" x14ac:dyDescent="0.2">
      <c r="R29203" s="1288"/>
    </row>
    <row r="29204" spans="18:18" s="2" customFormat="1" ht="12.75" x14ac:dyDescent="0.2">
      <c r="R29204" s="1288"/>
    </row>
    <row r="29205" spans="18:18" s="2" customFormat="1" ht="12.75" x14ac:dyDescent="0.2">
      <c r="R29205" s="1288"/>
    </row>
    <row r="29206" spans="18:18" s="2" customFormat="1" ht="12.75" x14ac:dyDescent="0.2">
      <c r="R29206" s="1288"/>
    </row>
    <row r="29207" spans="18:18" s="2" customFormat="1" ht="12.75" x14ac:dyDescent="0.2">
      <c r="R29207" s="1288"/>
    </row>
    <row r="29208" spans="18:18" s="2" customFormat="1" ht="12.75" x14ac:dyDescent="0.2">
      <c r="R29208" s="1288"/>
    </row>
    <row r="29209" spans="18:18" s="2" customFormat="1" ht="12.75" x14ac:dyDescent="0.2">
      <c r="R29209" s="1288"/>
    </row>
    <row r="29210" spans="18:18" s="2" customFormat="1" ht="12.75" x14ac:dyDescent="0.2">
      <c r="R29210" s="1288"/>
    </row>
    <row r="29211" spans="18:18" s="2" customFormat="1" ht="12.75" x14ac:dyDescent="0.2">
      <c r="R29211" s="1288"/>
    </row>
    <row r="29212" spans="18:18" s="2" customFormat="1" ht="12.75" x14ac:dyDescent="0.2">
      <c r="R29212" s="1288"/>
    </row>
    <row r="29213" spans="18:18" s="2" customFormat="1" ht="12.75" x14ac:dyDescent="0.2">
      <c r="R29213" s="1288"/>
    </row>
    <row r="29214" spans="18:18" s="2" customFormat="1" ht="12.75" x14ac:dyDescent="0.2">
      <c r="R29214" s="1288"/>
    </row>
    <row r="29215" spans="18:18" s="2" customFormat="1" ht="12.75" x14ac:dyDescent="0.2">
      <c r="R29215" s="1288"/>
    </row>
    <row r="29216" spans="18:18" s="2" customFormat="1" ht="12.75" x14ac:dyDescent="0.2">
      <c r="R29216" s="1288"/>
    </row>
    <row r="29217" spans="18:18" s="2" customFormat="1" ht="12.75" x14ac:dyDescent="0.2">
      <c r="R29217" s="1288"/>
    </row>
    <row r="29218" spans="18:18" s="2" customFormat="1" ht="12.75" x14ac:dyDescent="0.2">
      <c r="R29218" s="1288"/>
    </row>
    <row r="29219" spans="18:18" s="2" customFormat="1" ht="12.75" x14ac:dyDescent="0.2">
      <c r="R29219" s="1288"/>
    </row>
    <row r="29220" spans="18:18" s="2" customFormat="1" ht="12.75" x14ac:dyDescent="0.2">
      <c r="R29220" s="1288"/>
    </row>
    <row r="29221" spans="18:18" s="2" customFormat="1" ht="12.75" x14ac:dyDescent="0.2">
      <c r="R29221" s="1288"/>
    </row>
    <row r="29222" spans="18:18" s="2" customFormat="1" ht="12.75" x14ac:dyDescent="0.2">
      <c r="R29222" s="1288"/>
    </row>
    <row r="29223" spans="18:18" s="2" customFormat="1" ht="12.75" x14ac:dyDescent="0.2">
      <c r="R29223" s="1288"/>
    </row>
    <row r="29224" spans="18:18" s="2" customFormat="1" ht="12.75" x14ac:dyDescent="0.2">
      <c r="R29224" s="1288"/>
    </row>
    <row r="29225" spans="18:18" s="2" customFormat="1" ht="12.75" x14ac:dyDescent="0.2">
      <c r="R29225" s="1288"/>
    </row>
    <row r="29226" spans="18:18" s="2" customFormat="1" ht="12.75" x14ac:dyDescent="0.2">
      <c r="R29226" s="1288"/>
    </row>
    <row r="29227" spans="18:18" s="2" customFormat="1" ht="12.75" x14ac:dyDescent="0.2">
      <c r="R29227" s="1288"/>
    </row>
    <row r="29228" spans="18:18" s="2" customFormat="1" ht="12.75" x14ac:dyDescent="0.2">
      <c r="R29228" s="1288"/>
    </row>
    <row r="29229" spans="18:18" s="2" customFormat="1" ht="12.75" x14ac:dyDescent="0.2">
      <c r="R29229" s="1288"/>
    </row>
    <row r="29230" spans="18:18" s="2" customFormat="1" ht="12.75" x14ac:dyDescent="0.2">
      <c r="R29230" s="1288"/>
    </row>
    <row r="29231" spans="18:18" s="2" customFormat="1" ht="12.75" x14ac:dyDescent="0.2">
      <c r="R29231" s="1288"/>
    </row>
    <row r="29232" spans="18:18" s="2" customFormat="1" ht="12.75" x14ac:dyDescent="0.2">
      <c r="R29232" s="1288"/>
    </row>
    <row r="29233" spans="18:18" s="2" customFormat="1" ht="12.75" x14ac:dyDescent="0.2">
      <c r="R29233" s="1288"/>
    </row>
    <row r="29234" spans="18:18" s="2" customFormat="1" ht="12.75" x14ac:dyDescent="0.2">
      <c r="R29234" s="1288"/>
    </row>
    <row r="29235" spans="18:18" s="2" customFormat="1" ht="12.75" x14ac:dyDescent="0.2">
      <c r="R29235" s="1288"/>
    </row>
    <row r="29236" spans="18:18" s="2" customFormat="1" ht="12.75" x14ac:dyDescent="0.2">
      <c r="R29236" s="1288"/>
    </row>
    <row r="29237" spans="18:18" s="2" customFormat="1" ht="12.75" x14ac:dyDescent="0.2">
      <c r="R29237" s="1288"/>
    </row>
    <row r="29238" spans="18:18" s="2" customFormat="1" ht="12.75" x14ac:dyDescent="0.2">
      <c r="R29238" s="1288"/>
    </row>
    <row r="29239" spans="18:18" s="2" customFormat="1" ht="12.75" x14ac:dyDescent="0.2">
      <c r="R29239" s="1288"/>
    </row>
    <row r="29240" spans="18:18" s="2" customFormat="1" ht="12.75" x14ac:dyDescent="0.2">
      <c r="R29240" s="1288"/>
    </row>
    <row r="29241" spans="18:18" s="2" customFormat="1" ht="12.75" x14ac:dyDescent="0.2">
      <c r="R29241" s="1288"/>
    </row>
    <row r="29242" spans="18:18" s="2" customFormat="1" ht="12.75" x14ac:dyDescent="0.2">
      <c r="R29242" s="1288"/>
    </row>
    <row r="29243" spans="18:18" s="2" customFormat="1" ht="12.75" x14ac:dyDescent="0.2">
      <c r="R29243" s="1288"/>
    </row>
    <row r="29244" spans="18:18" s="2" customFormat="1" ht="12.75" x14ac:dyDescent="0.2">
      <c r="R29244" s="1288"/>
    </row>
    <row r="29245" spans="18:18" s="2" customFormat="1" ht="12.75" x14ac:dyDescent="0.2">
      <c r="R29245" s="1288"/>
    </row>
    <row r="29246" spans="18:18" s="2" customFormat="1" ht="12.75" x14ac:dyDescent="0.2">
      <c r="R29246" s="1288"/>
    </row>
    <row r="29247" spans="18:18" s="2" customFormat="1" ht="12.75" x14ac:dyDescent="0.2">
      <c r="R29247" s="1288"/>
    </row>
    <row r="29248" spans="18:18" s="2" customFormat="1" ht="12.75" x14ac:dyDescent="0.2">
      <c r="R29248" s="1288"/>
    </row>
    <row r="29249" spans="18:18" s="2" customFormat="1" ht="12.75" x14ac:dyDescent="0.2">
      <c r="R29249" s="1288"/>
    </row>
    <row r="29250" spans="18:18" s="2" customFormat="1" ht="12.75" x14ac:dyDescent="0.2">
      <c r="R29250" s="1288"/>
    </row>
    <row r="29251" spans="18:18" s="2" customFormat="1" ht="12.75" x14ac:dyDescent="0.2">
      <c r="R29251" s="1288"/>
    </row>
    <row r="29252" spans="18:18" s="2" customFormat="1" ht="12.75" x14ac:dyDescent="0.2">
      <c r="R29252" s="1288"/>
    </row>
    <row r="29253" spans="18:18" s="2" customFormat="1" ht="12.75" x14ac:dyDescent="0.2">
      <c r="R29253" s="1288"/>
    </row>
    <row r="29254" spans="18:18" s="2" customFormat="1" ht="12.75" x14ac:dyDescent="0.2">
      <c r="R29254" s="1288"/>
    </row>
    <row r="29255" spans="18:18" s="2" customFormat="1" ht="12.75" x14ac:dyDescent="0.2">
      <c r="R29255" s="1288"/>
    </row>
    <row r="29256" spans="18:18" s="2" customFormat="1" ht="12.75" x14ac:dyDescent="0.2">
      <c r="R29256" s="1288"/>
    </row>
    <row r="29257" spans="18:18" s="2" customFormat="1" ht="12.75" x14ac:dyDescent="0.2">
      <c r="R29257" s="1288"/>
    </row>
    <row r="29258" spans="18:18" s="2" customFormat="1" ht="12.75" x14ac:dyDescent="0.2">
      <c r="R29258" s="1288"/>
    </row>
    <row r="29259" spans="18:18" s="2" customFormat="1" ht="12.75" x14ac:dyDescent="0.2">
      <c r="R29259" s="1288"/>
    </row>
    <row r="29260" spans="18:18" s="2" customFormat="1" ht="12.75" x14ac:dyDescent="0.2">
      <c r="R29260" s="1288"/>
    </row>
    <row r="29261" spans="18:18" s="2" customFormat="1" ht="12.75" x14ac:dyDescent="0.2">
      <c r="R29261" s="1288"/>
    </row>
    <row r="29262" spans="18:18" s="2" customFormat="1" ht="12.75" x14ac:dyDescent="0.2">
      <c r="R29262" s="1288"/>
    </row>
    <row r="29263" spans="18:18" s="2" customFormat="1" ht="12.75" x14ac:dyDescent="0.2">
      <c r="R29263" s="1288"/>
    </row>
    <row r="29264" spans="18:18" s="2" customFormat="1" ht="12.75" x14ac:dyDescent="0.2">
      <c r="R29264" s="1288"/>
    </row>
    <row r="29265" spans="18:18" s="2" customFormat="1" ht="12.75" x14ac:dyDescent="0.2">
      <c r="R29265" s="1288"/>
    </row>
    <row r="29266" spans="18:18" s="2" customFormat="1" ht="12.75" x14ac:dyDescent="0.2">
      <c r="R29266" s="1288"/>
    </row>
    <row r="29267" spans="18:18" s="2" customFormat="1" ht="12.75" x14ac:dyDescent="0.2">
      <c r="R29267" s="1288"/>
    </row>
    <row r="29268" spans="18:18" s="2" customFormat="1" ht="12.75" x14ac:dyDescent="0.2">
      <c r="R29268" s="1288"/>
    </row>
    <row r="29269" spans="18:18" s="2" customFormat="1" ht="12.75" x14ac:dyDescent="0.2">
      <c r="R29269" s="1288"/>
    </row>
    <row r="29270" spans="18:18" s="2" customFormat="1" ht="12.75" x14ac:dyDescent="0.2">
      <c r="R29270" s="1288"/>
    </row>
    <row r="29271" spans="18:18" s="2" customFormat="1" ht="12.75" x14ac:dyDescent="0.2">
      <c r="R29271" s="1288"/>
    </row>
    <row r="29272" spans="18:18" s="2" customFormat="1" ht="12.75" x14ac:dyDescent="0.2">
      <c r="R29272" s="1288"/>
    </row>
    <row r="29273" spans="18:18" s="2" customFormat="1" ht="12.75" x14ac:dyDescent="0.2">
      <c r="R29273" s="1288"/>
    </row>
    <row r="29274" spans="18:18" s="2" customFormat="1" ht="12.75" x14ac:dyDescent="0.2">
      <c r="R29274" s="1288"/>
    </row>
    <row r="29275" spans="18:18" s="2" customFormat="1" ht="12.75" x14ac:dyDescent="0.2">
      <c r="R29275" s="1288"/>
    </row>
    <row r="29276" spans="18:18" s="2" customFormat="1" ht="12.75" x14ac:dyDescent="0.2">
      <c r="R29276" s="1288"/>
    </row>
    <row r="29277" spans="18:18" s="2" customFormat="1" ht="12.75" x14ac:dyDescent="0.2">
      <c r="R29277" s="1288"/>
    </row>
    <row r="29278" spans="18:18" s="2" customFormat="1" ht="12.75" x14ac:dyDescent="0.2">
      <c r="R29278" s="1288"/>
    </row>
    <row r="29279" spans="18:18" s="2" customFormat="1" ht="12.75" x14ac:dyDescent="0.2">
      <c r="R29279" s="1288"/>
    </row>
    <row r="29280" spans="18:18" s="2" customFormat="1" ht="12.75" x14ac:dyDescent="0.2">
      <c r="R29280" s="1288"/>
    </row>
    <row r="29281" spans="18:18" s="2" customFormat="1" ht="12.75" x14ac:dyDescent="0.2">
      <c r="R29281" s="1288"/>
    </row>
    <row r="29282" spans="18:18" s="2" customFormat="1" ht="12.75" x14ac:dyDescent="0.2">
      <c r="R29282" s="1288"/>
    </row>
    <row r="29283" spans="18:18" s="2" customFormat="1" ht="12.75" x14ac:dyDescent="0.2">
      <c r="R29283" s="1288"/>
    </row>
    <row r="29284" spans="18:18" s="2" customFormat="1" ht="12.75" x14ac:dyDescent="0.2">
      <c r="R29284" s="1288"/>
    </row>
    <row r="29285" spans="18:18" s="2" customFormat="1" ht="12.75" x14ac:dyDescent="0.2">
      <c r="R29285" s="1288"/>
    </row>
    <row r="29286" spans="18:18" s="2" customFormat="1" ht="12.75" x14ac:dyDescent="0.2">
      <c r="R29286" s="1288"/>
    </row>
    <row r="29287" spans="18:18" s="2" customFormat="1" ht="12.75" x14ac:dyDescent="0.2">
      <c r="R29287" s="1288"/>
    </row>
    <row r="29288" spans="18:18" s="2" customFormat="1" ht="12.75" x14ac:dyDescent="0.2">
      <c r="R29288" s="1288"/>
    </row>
    <row r="29289" spans="18:18" s="2" customFormat="1" ht="12.75" x14ac:dyDescent="0.2">
      <c r="R29289" s="1288"/>
    </row>
    <row r="29290" spans="18:18" s="2" customFormat="1" ht="12.75" x14ac:dyDescent="0.2">
      <c r="R29290" s="1288"/>
    </row>
    <row r="29291" spans="18:18" s="2" customFormat="1" ht="12.75" x14ac:dyDescent="0.2">
      <c r="R29291" s="1288"/>
    </row>
    <row r="29292" spans="18:18" s="2" customFormat="1" ht="12.75" x14ac:dyDescent="0.2">
      <c r="R29292" s="1288"/>
    </row>
    <row r="29293" spans="18:18" s="2" customFormat="1" ht="12.75" x14ac:dyDescent="0.2">
      <c r="R29293" s="1288"/>
    </row>
    <row r="29294" spans="18:18" s="2" customFormat="1" ht="12.75" x14ac:dyDescent="0.2">
      <c r="R29294" s="1288"/>
    </row>
    <row r="29295" spans="18:18" s="2" customFormat="1" ht="12.75" x14ac:dyDescent="0.2">
      <c r="R29295" s="1288"/>
    </row>
    <row r="29296" spans="18:18" s="2" customFormat="1" ht="12.75" x14ac:dyDescent="0.2">
      <c r="R29296" s="1288"/>
    </row>
    <row r="29297" spans="18:18" s="2" customFormat="1" ht="12.75" x14ac:dyDescent="0.2">
      <c r="R29297" s="1288"/>
    </row>
    <row r="29298" spans="18:18" s="2" customFormat="1" ht="12.75" x14ac:dyDescent="0.2">
      <c r="R29298" s="1288"/>
    </row>
    <row r="29299" spans="18:18" s="2" customFormat="1" ht="12.75" x14ac:dyDescent="0.2">
      <c r="R29299" s="1288"/>
    </row>
    <row r="29300" spans="18:18" s="2" customFormat="1" ht="12.75" x14ac:dyDescent="0.2">
      <c r="R29300" s="1288"/>
    </row>
    <row r="29301" spans="18:18" s="2" customFormat="1" ht="12.75" x14ac:dyDescent="0.2">
      <c r="R29301" s="1288"/>
    </row>
    <row r="29302" spans="18:18" s="2" customFormat="1" ht="12.75" x14ac:dyDescent="0.2">
      <c r="R29302" s="1288"/>
    </row>
    <row r="29303" spans="18:18" s="2" customFormat="1" ht="12.75" x14ac:dyDescent="0.2">
      <c r="R29303" s="1288"/>
    </row>
    <row r="29304" spans="18:18" s="2" customFormat="1" ht="12.75" x14ac:dyDescent="0.2">
      <c r="R29304" s="1288"/>
    </row>
    <row r="29305" spans="18:18" s="2" customFormat="1" ht="12.75" x14ac:dyDescent="0.2">
      <c r="R29305" s="1288"/>
    </row>
    <row r="29306" spans="18:18" s="2" customFormat="1" ht="12.75" x14ac:dyDescent="0.2">
      <c r="R29306" s="1288"/>
    </row>
    <row r="29307" spans="18:18" s="2" customFormat="1" ht="12.75" x14ac:dyDescent="0.2">
      <c r="R29307" s="1288"/>
    </row>
    <row r="29308" spans="18:18" s="2" customFormat="1" ht="12.75" x14ac:dyDescent="0.2">
      <c r="R29308" s="1288"/>
    </row>
    <row r="29309" spans="18:18" s="2" customFormat="1" ht="12.75" x14ac:dyDescent="0.2">
      <c r="R29309" s="1288"/>
    </row>
    <row r="29310" spans="18:18" s="2" customFormat="1" ht="12.75" x14ac:dyDescent="0.2">
      <c r="R29310" s="1288"/>
    </row>
    <row r="29311" spans="18:18" s="2" customFormat="1" ht="12.75" x14ac:dyDescent="0.2">
      <c r="R29311" s="1288"/>
    </row>
    <row r="29312" spans="18:18" s="2" customFormat="1" ht="12.75" x14ac:dyDescent="0.2">
      <c r="R29312" s="1288"/>
    </row>
    <row r="29313" spans="18:18" s="2" customFormat="1" ht="12.75" x14ac:dyDescent="0.2">
      <c r="R29313" s="1288"/>
    </row>
    <row r="29314" spans="18:18" s="2" customFormat="1" ht="12.75" x14ac:dyDescent="0.2">
      <c r="R29314" s="1288"/>
    </row>
    <row r="29315" spans="18:18" s="2" customFormat="1" ht="12.75" x14ac:dyDescent="0.2">
      <c r="R29315" s="1288"/>
    </row>
    <row r="29316" spans="18:18" s="2" customFormat="1" ht="12.75" x14ac:dyDescent="0.2">
      <c r="R29316" s="1288"/>
    </row>
    <row r="29317" spans="18:18" s="2" customFormat="1" ht="12.75" x14ac:dyDescent="0.2">
      <c r="R29317" s="1288"/>
    </row>
    <row r="29318" spans="18:18" s="2" customFormat="1" ht="12.75" x14ac:dyDescent="0.2">
      <c r="R29318" s="1288"/>
    </row>
    <row r="29319" spans="18:18" s="2" customFormat="1" ht="12.75" x14ac:dyDescent="0.2">
      <c r="R29319" s="1288"/>
    </row>
    <row r="29320" spans="18:18" s="2" customFormat="1" ht="12.75" x14ac:dyDescent="0.2">
      <c r="R29320" s="1288"/>
    </row>
    <row r="29321" spans="18:18" s="2" customFormat="1" ht="12.75" x14ac:dyDescent="0.2">
      <c r="R29321" s="1288"/>
    </row>
    <row r="29322" spans="18:18" s="2" customFormat="1" ht="12.75" x14ac:dyDescent="0.2">
      <c r="R29322" s="1288"/>
    </row>
    <row r="29323" spans="18:18" s="2" customFormat="1" ht="12.75" x14ac:dyDescent="0.2">
      <c r="R29323" s="1288"/>
    </row>
    <row r="29324" spans="18:18" s="2" customFormat="1" ht="12.75" x14ac:dyDescent="0.2">
      <c r="R29324" s="1288"/>
    </row>
    <row r="29325" spans="18:18" s="2" customFormat="1" ht="12.75" x14ac:dyDescent="0.2">
      <c r="R29325" s="1288"/>
    </row>
    <row r="29326" spans="18:18" s="2" customFormat="1" ht="12.75" x14ac:dyDescent="0.2">
      <c r="R29326" s="1288"/>
    </row>
    <row r="29327" spans="18:18" s="2" customFormat="1" ht="12.75" x14ac:dyDescent="0.2">
      <c r="R29327" s="1288"/>
    </row>
    <row r="29328" spans="18:18" s="2" customFormat="1" ht="12.75" x14ac:dyDescent="0.2">
      <c r="R29328" s="1288"/>
    </row>
    <row r="29329" spans="18:18" s="2" customFormat="1" ht="12.75" x14ac:dyDescent="0.2">
      <c r="R29329" s="1288"/>
    </row>
    <row r="29330" spans="18:18" s="2" customFormat="1" ht="12.75" x14ac:dyDescent="0.2">
      <c r="R29330" s="1288"/>
    </row>
    <row r="29331" spans="18:18" s="2" customFormat="1" ht="12.75" x14ac:dyDescent="0.2">
      <c r="R29331" s="1288"/>
    </row>
    <row r="29332" spans="18:18" s="2" customFormat="1" ht="12.75" x14ac:dyDescent="0.2">
      <c r="R29332" s="1288"/>
    </row>
    <row r="29333" spans="18:18" s="2" customFormat="1" ht="12.75" x14ac:dyDescent="0.2">
      <c r="R29333" s="1288"/>
    </row>
    <row r="29334" spans="18:18" s="2" customFormat="1" ht="12.75" x14ac:dyDescent="0.2">
      <c r="R29334" s="1288"/>
    </row>
    <row r="29335" spans="18:18" s="2" customFormat="1" ht="12.75" x14ac:dyDescent="0.2">
      <c r="R29335" s="1288"/>
    </row>
    <row r="29336" spans="18:18" s="2" customFormat="1" ht="12.75" x14ac:dyDescent="0.2">
      <c r="R29336" s="1288"/>
    </row>
    <row r="29337" spans="18:18" s="2" customFormat="1" ht="12.75" x14ac:dyDescent="0.2">
      <c r="R29337" s="1288"/>
    </row>
    <row r="29338" spans="18:18" s="2" customFormat="1" ht="12.75" x14ac:dyDescent="0.2">
      <c r="R29338" s="1288"/>
    </row>
    <row r="29339" spans="18:18" s="2" customFormat="1" ht="12.75" x14ac:dyDescent="0.2">
      <c r="R29339" s="1288"/>
    </row>
    <row r="29340" spans="18:18" s="2" customFormat="1" ht="12.75" x14ac:dyDescent="0.2">
      <c r="R29340" s="1288"/>
    </row>
    <row r="29341" spans="18:18" s="2" customFormat="1" ht="12.75" x14ac:dyDescent="0.2">
      <c r="R29341" s="1288"/>
    </row>
    <row r="29342" spans="18:18" s="2" customFormat="1" ht="12.75" x14ac:dyDescent="0.2">
      <c r="R29342" s="1288"/>
    </row>
    <row r="29343" spans="18:18" s="2" customFormat="1" ht="12.75" x14ac:dyDescent="0.2">
      <c r="R29343" s="1288"/>
    </row>
    <row r="29344" spans="18:18" s="2" customFormat="1" ht="12.75" x14ac:dyDescent="0.2">
      <c r="R29344" s="1288"/>
    </row>
    <row r="29345" spans="18:18" s="2" customFormat="1" ht="12.75" x14ac:dyDescent="0.2">
      <c r="R29345" s="1288"/>
    </row>
    <row r="29346" spans="18:18" s="2" customFormat="1" ht="12.75" x14ac:dyDescent="0.2">
      <c r="R29346" s="1288"/>
    </row>
    <row r="29347" spans="18:18" s="2" customFormat="1" ht="12.75" x14ac:dyDescent="0.2">
      <c r="R29347" s="1288"/>
    </row>
    <row r="29348" spans="18:18" s="2" customFormat="1" ht="12.75" x14ac:dyDescent="0.2">
      <c r="R29348" s="1288"/>
    </row>
    <row r="29349" spans="18:18" s="2" customFormat="1" ht="12.75" x14ac:dyDescent="0.2">
      <c r="R29349" s="1288"/>
    </row>
    <row r="29350" spans="18:18" s="2" customFormat="1" ht="12.75" x14ac:dyDescent="0.2">
      <c r="R29350" s="1288"/>
    </row>
    <row r="29351" spans="18:18" s="2" customFormat="1" ht="12.75" x14ac:dyDescent="0.2">
      <c r="R29351" s="1288"/>
    </row>
    <row r="29352" spans="18:18" s="2" customFormat="1" ht="12.75" x14ac:dyDescent="0.2">
      <c r="R29352" s="1288"/>
    </row>
    <row r="29353" spans="18:18" s="2" customFormat="1" ht="12.75" x14ac:dyDescent="0.2">
      <c r="R29353" s="1288"/>
    </row>
    <row r="29354" spans="18:18" s="2" customFormat="1" ht="12.75" x14ac:dyDescent="0.2">
      <c r="R29354" s="1288"/>
    </row>
    <row r="29355" spans="18:18" s="2" customFormat="1" ht="12.75" x14ac:dyDescent="0.2">
      <c r="R29355" s="1288"/>
    </row>
    <row r="29356" spans="18:18" s="2" customFormat="1" ht="12.75" x14ac:dyDescent="0.2">
      <c r="R29356" s="1288"/>
    </row>
    <row r="29357" spans="18:18" s="2" customFormat="1" ht="12.75" x14ac:dyDescent="0.2">
      <c r="R29357" s="1288"/>
    </row>
    <row r="29358" spans="18:18" s="2" customFormat="1" ht="12.75" x14ac:dyDescent="0.2">
      <c r="R29358" s="1288"/>
    </row>
    <row r="29359" spans="18:18" s="2" customFormat="1" ht="12.75" x14ac:dyDescent="0.2">
      <c r="R29359" s="1288"/>
    </row>
    <row r="29360" spans="18:18" s="2" customFormat="1" ht="12.75" x14ac:dyDescent="0.2">
      <c r="R29360" s="1288"/>
    </row>
    <row r="29361" spans="18:18" s="2" customFormat="1" ht="12.75" x14ac:dyDescent="0.2">
      <c r="R29361" s="1288"/>
    </row>
    <row r="29362" spans="18:18" s="2" customFormat="1" ht="12.75" x14ac:dyDescent="0.2">
      <c r="R29362" s="1288"/>
    </row>
    <row r="29363" spans="18:18" s="2" customFormat="1" ht="12.75" x14ac:dyDescent="0.2">
      <c r="R29363" s="1288"/>
    </row>
    <row r="29364" spans="18:18" s="2" customFormat="1" ht="12.75" x14ac:dyDescent="0.2">
      <c r="R29364" s="1288"/>
    </row>
    <row r="29365" spans="18:18" s="2" customFormat="1" ht="12.75" x14ac:dyDescent="0.2">
      <c r="R29365" s="1288"/>
    </row>
    <row r="29366" spans="18:18" s="2" customFormat="1" ht="12.75" x14ac:dyDescent="0.2">
      <c r="R29366" s="1288"/>
    </row>
    <row r="29367" spans="18:18" s="2" customFormat="1" ht="12.75" x14ac:dyDescent="0.2">
      <c r="R29367" s="1288"/>
    </row>
    <row r="29368" spans="18:18" s="2" customFormat="1" ht="12.75" x14ac:dyDescent="0.2">
      <c r="R29368" s="1288"/>
    </row>
    <row r="29369" spans="18:18" s="2" customFormat="1" ht="12.75" x14ac:dyDescent="0.2">
      <c r="R29369" s="1288"/>
    </row>
    <row r="29370" spans="18:18" s="2" customFormat="1" ht="12.75" x14ac:dyDescent="0.2">
      <c r="R29370" s="1288"/>
    </row>
    <row r="29371" spans="18:18" s="2" customFormat="1" ht="12.75" x14ac:dyDescent="0.2">
      <c r="R29371" s="1288"/>
    </row>
    <row r="29372" spans="18:18" s="2" customFormat="1" ht="12.75" x14ac:dyDescent="0.2">
      <c r="R29372" s="1288"/>
    </row>
    <row r="29373" spans="18:18" s="2" customFormat="1" ht="12.75" x14ac:dyDescent="0.2">
      <c r="R29373" s="1288"/>
    </row>
    <row r="29374" spans="18:18" s="2" customFormat="1" ht="12.75" x14ac:dyDescent="0.2">
      <c r="R29374" s="1288"/>
    </row>
    <row r="29375" spans="18:18" s="2" customFormat="1" ht="12.75" x14ac:dyDescent="0.2">
      <c r="R29375" s="1288"/>
    </row>
    <row r="29376" spans="18:18" s="2" customFormat="1" ht="12.75" x14ac:dyDescent="0.2">
      <c r="R29376" s="1288"/>
    </row>
    <row r="29377" spans="18:18" s="2" customFormat="1" ht="12.75" x14ac:dyDescent="0.2">
      <c r="R29377" s="1288"/>
    </row>
    <row r="29378" spans="18:18" s="2" customFormat="1" ht="12.75" x14ac:dyDescent="0.2">
      <c r="R29378" s="1288"/>
    </row>
    <row r="29379" spans="18:18" s="2" customFormat="1" ht="12.75" x14ac:dyDescent="0.2">
      <c r="R29379" s="1288"/>
    </row>
    <row r="29380" spans="18:18" s="2" customFormat="1" ht="12.75" x14ac:dyDescent="0.2">
      <c r="R29380" s="1288"/>
    </row>
    <row r="29381" spans="18:18" s="2" customFormat="1" ht="12.75" x14ac:dyDescent="0.2">
      <c r="R29381" s="1288"/>
    </row>
    <row r="29382" spans="18:18" s="2" customFormat="1" ht="12.75" x14ac:dyDescent="0.2">
      <c r="R29382" s="1288"/>
    </row>
    <row r="29383" spans="18:18" s="2" customFormat="1" ht="12.75" x14ac:dyDescent="0.2">
      <c r="R29383" s="1288"/>
    </row>
    <row r="29384" spans="18:18" s="2" customFormat="1" ht="12.75" x14ac:dyDescent="0.2">
      <c r="R29384" s="1288"/>
    </row>
    <row r="29385" spans="18:18" s="2" customFormat="1" ht="12.75" x14ac:dyDescent="0.2">
      <c r="R29385" s="1288"/>
    </row>
    <row r="29386" spans="18:18" s="2" customFormat="1" ht="12.75" x14ac:dyDescent="0.2">
      <c r="R29386" s="1288"/>
    </row>
    <row r="29387" spans="18:18" s="2" customFormat="1" ht="12.75" x14ac:dyDescent="0.2">
      <c r="R29387" s="1288"/>
    </row>
    <row r="29388" spans="18:18" s="2" customFormat="1" ht="12.75" x14ac:dyDescent="0.2">
      <c r="R29388" s="1288"/>
    </row>
    <row r="29389" spans="18:18" s="2" customFormat="1" ht="12.75" x14ac:dyDescent="0.2">
      <c r="R29389" s="1288"/>
    </row>
    <row r="29390" spans="18:18" s="2" customFormat="1" ht="12.75" x14ac:dyDescent="0.2">
      <c r="R29390" s="1288"/>
    </row>
    <row r="29391" spans="18:18" s="2" customFormat="1" ht="12.75" x14ac:dyDescent="0.2">
      <c r="R29391" s="1288"/>
    </row>
    <row r="29392" spans="18:18" s="2" customFormat="1" ht="12.75" x14ac:dyDescent="0.2">
      <c r="R29392" s="1288"/>
    </row>
    <row r="29393" spans="18:18" s="2" customFormat="1" ht="12.75" x14ac:dyDescent="0.2">
      <c r="R29393" s="1288"/>
    </row>
    <row r="29394" spans="18:18" s="2" customFormat="1" ht="12.75" x14ac:dyDescent="0.2">
      <c r="R29394" s="1288"/>
    </row>
    <row r="29395" spans="18:18" s="2" customFormat="1" ht="12.75" x14ac:dyDescent="0.2">
      <c r="R29395" s="1288"/>
    </row>
    <row r="29396" spans="18:18" s="2" customFormat="1" ht="12.75" x14ac:dyDescent="0.2">
      <c r="R29396" s="1288"/>
    </row>
    <row r="29397" spans="18:18" s="2" customFormat="1" ht="12.75" x14ac:dyDescent="0.2">
      <c r="R29397" s="1288"/>
    </row>
    <row r="29398" spans="18:18" s="2" customFormat="1" ht="12.75" x14ac:dyDescent="0.2">
      <c r="R29398" s="1288"/>
    </row>
    <row r="29399" spans="18:18" s="2" customFormat="1" ht="12.75" x14ac:dyDescent="0.2">
      <c r="R29399" s="1288"/>
    </row>
    <row r="29400" spans="18:18" s="2" customFormat="1" ht="12.75" x14ac:dyDescent="0.2">
      <c r="R29400" s="1288"/>
    </row>
    <row r="29401" spans="18:18" s="2" customFormat="1" ht="12.75" x14ac:dyDescent="0.2">
      <c r="R29401" s="1288"/>
    </row>
    <row r="29402" spans="18:18" s="2" customFormat="1" ht="12.75" x14ac:dyDescent="0.2">
      <c r="R29402" s="1288"/>
    </row>
    <row r="29403" spans="18:18" s="2" customFormat="1" ht="12.75" x14ac:dyDescent="0.2">
      <c r="R29403" s="1288"/>
    </row>
    <row r="29404" spans="18:18" s="2" customFormat="1" ht="12.75" x14ac:dyDescent="0.2">
      <c r="R29404" s="1288"/>
    </row>
    <row r="29405" spans="18:18" s="2" customFormat="1" ht="12.75" x14ac:dyDescent="0.2">
      <c r="R29405" s="1288"/>
    </row>
    <row r="29406" spans="18:18" s="2" customFormat="1" ht="12.75" x14ac:dyDescent="0.2">
      <c r="R29406" s="1288"/>
    </row>
    <row r="29407" spans="18:18" s="2" customFormat="1" ht="12.75" x14ac:dyDescent="0.2">
      <c r="R29407" s="1288"/>
    </row>
    <row r="29408" spans="18:18" s="2" customFormat="1" ht="12.75" x14ac:dyDescent="0.2">
      <c r="R29408" s="1288"/>
    </row>
    <row r="29409" spans="18:18" s="2" customFormat="1" ht="12.75" x14ac:dyDescent="0.2">
      <c r="R29409" s="1288"/>
    </row>
    <row r="29410" spans="18:18" s="2" customFormat="1" ht="12.75" x14ac:dyDescent="0.2">
      <c r="R29410" s="1288"/>
    </row>
    <row r="29411" spans="18:18" s="2" customFormat="1" ht="12.75" x14ac:dyDescent="0.2">
      <c r="R29411" s="1288"/>
    </row>
    <row r="29412" spans="18:18" s="2" customFormat="1" ht="12.75" x14ac:dyDescent="0.2">
      <c r="R29412" s="1288"/>
    </row>
    <row r="29413" spans="18:18" s="2" customFormat="1" ht="12.75" x14ac:dyDescent="0.2">
      <c r="R29413" s="1288"/>
    </row>
    <row r="29414" spans="18:18" s="2" customFormat="1" ht="12.75" x14ac:dyDescent="0.2">
      <c r="R29414" s="1288"/>
    </row>
    <row r="29415" spans="18:18" s="2" customFormat="1" ht="12.75" x14ac:dyDescent="0.2">
      <c r="R29415" s="1288"/>
    </row>
    <row r="29416" spans="18:18" s="2" customFormat="1" ht="12.75" x14ac:dyDescent="0.2">
      <c r="R29416" s="1288"/>
    </row>
    <row r="29417" spans="18:18" s="2" customFormat="1" ht="12.75" x14ac:dyDescent="0.2">
      <c r="R29417" s="1288"/>
    </row>
    <row r="29418" spans="18:18" s="2" customFormat="1" ht="12.75" x14ac:dyDescent="0.2">
      <c r="R29418" s="1288"/>
    </row>
    <row r="29419" spans="18:18" s="2" customFormat="1" ht="12.75" x14ac:dyDescent="0.2">
      <c r="R29419" s="1288"/>
    </row>
    <row r="29420" spans="18:18" s="2" customFormat="1" ht="12.75" x14ac:dyDescent="0.2">
      <c r="R29420" s="1288"/>
    </row>
    <row r="29421" spans="18:18" s="2" customFormat="1" ht="12.75" x14ac:dyDescent="0.2">
      <c r="R29421" s="1288"/>
    </row>
    <row r="29422" spans="18:18" s="2" customFormat="1" ht="12.75" x14ac:dyDescent="0.2">
      <c r="R29422" s="1288"/>
    </row>
    <row r="29423" spans="18:18" s="2" customFormat="1" ht="12.75" x14ac:dyDescent="0.2">
      <c r="R29423" s="1288"/>
    </row>
    <row r="29424" spans="18:18" s="2" customFormat="1" ht="12.75" x14ac:dyDescent="0.2">
      <c r="R29424" s="1288"/>
    </row>
    <row r="29425" spans="18:18" s="2" customFormat="1" ht="12.75" x14ac:dyDescent="0.2">
      <c r="R29425" s="1288"/>
    </row>
    <row r="29426" spans="18:18" s="2" customFormat="1" ht="12.75" x14ac:dyDescent="0.2">
      <c r="R29426" s="1288"/>
    </row>
    <row r="29427" spans="18:18" s="2" customFormat="1" ht="12.75" x14ac:dyDescent="0.2">
      <c r="R29427" s="1288"/>
    </row>
    <row r="29428" spans="18:18" s="2" customFormat="1" ht="12.75" x14ac:dyDescent="0.2">
      <c r="R29428" s="1288"/>
    </row>
    <row r="29429" spans="18:18" s="2" customFormat="1" ht="12.75" x14ac:dyDescent="0.2">
      <c r="R29429" s="1288"/>
    </row>
    <row r="29430" spans="18:18" s="2" customFormat="1" ht="12.75" x14ac:dyDescent="0.2">
      <c r="R29430" s="1288"/>
    </row>
    <row r="29431" spans="18:18" s="2" customFormat="1" ht="12.75" x14ac:dyDescent="0.2">
      <c r="R29431" s="1288"/>
    </row>
    <row r="29432" spans="18:18" s="2" customFormat="1" ht="12.75" x14ac:dyDescent="0.2">
      <c r="R29432" s="1288"/>
    </row>
    <row r="29433" spans="18:18" s="2" customFormat="1" ht="12.75" x14ac:dyDescent="0.2">
      <c r="R29433" s="1288"/>
    </row>
    <row r="29434" spans="18:18" s="2" customFormat="1" ht="12.75" x14ac:dyDescent="0.2">
      <c r="R29434" s="1288"/>
    </row>
    <row r="29435" spans="18:18" s="2" customFormat="1" ht="12.75" x14ac:dyDescent="0.2">
      <c r="R29435" s="1288"/>
    </row>
    <row r="29436" spans="18:18" s="2" customFormat="1" ht="12.75" x14ac:dyDescent="0.2">
      <c r="R29436" s="1288"/>
    </row>
    <row r="29437" spans="18:18" s="2" customFormat="1" ht="12.75" x14ac:dyDescent="0.2">
      <c r="R29437" s="1288"/>
    </row>
    <row r="29438" spans="18:18" s="2" customFormat="1" ht="12.75" x14ac:dyDescent="0.2">
      <c r="R29438" s="1288"/>
    </row>
    <row r="29439" spans="18:18" s="2" customFormat="1" ht="12.75" x14ac:dyDescent="0.2">
      <c r="R29439" s="1288"/>
    </row>
    <row r="29440" spans="18:18" s="2" customFormat="1" ht="12.75" x14ac:dyDescent="0.2">
      <c r="R29440" s="1288"/>
    </row>
    <row r="29441" spans="18:18" s="2" customFormat="1" ht="12.75" x14ac:dyDescent="0.2">
      <c r="R29441" s="1288"/>
    </row>
    <row r="29442" spans="18:18" s="2" customFormat="1" ht="12.75" x14ac:dyDescent="0.2">
      <c r="R29442" s="1288"/>
    </row>
    <row r="29443" spans="18:18" s="2" customFormat="1" ht="12.75" x14ac:dyDescent="0.2">
      <c r="R29443" s="1288"/>
    </row>
    <row r="29444" spans="18:18" s="2" customFormat="1" ht="12.75" x14ac:dyDescent="0.2">
      <c r="R29444" s="1288"/>
    </row>
    <row r="29445" spans="18:18" s="2" customFormat="1" ht="12.75" x14ac:dyDescent="0.2">
      <c r="R29445" s="1288"/>
    </row>
    <row r="29446" spans="18:18" s="2" customFormat="1" ht="12.75" x14ac:dyDescent="0.2">
      <c r="R29446" s="1288"/>
    </row>
    <row r="29447" spans="18:18" s="2" customFormat="1" ht="12.75" x14ac:dyDescent="0.2">
      <c r="R29447" s="1288"/>
    </row>
    <row r="29448" spans="18:18" s="2" customFormat="1" ht="12.75" x14ac:dyDescent="0.2">
      <c r="R29448" s="1288"/>
    </row>
    <row r="29449" spans="18:18" s="2" customFormat="1" ht="12.75" x14ac:dyDescent="0.2">
      <c r="R29449" s="1288"/>
    </row>
    <row r="29450" spans="18:18" s="2" customFormat="1" ht="12.75" x14ac:dyDescent="0.2">
      <c r="R29450" s="1288"/>
    </row>
    <row r="29451" spans="18:18" s="2" customFormat="1" ht="12.75" x14ac:dyDescent="0.2">
      <c r="R29451" s="1288"/>
    </row>
    <row r="29452" spans="18:18" s="2" customFormat="1" ht="12.75" x14ac:dyDescent="0.2">
      <c r="R29452" s="1288"/>
    </row>
    <row r="29453" spans="18:18" s="2" customFormat="1" ht="12.75" x14ac:dyDescent="0.2">
      <c r="R29453" s="1288"/>
    </row>
    <row r="29454" spans="18:18" s="2" customFormat="1" ht="12.75" x14ac:dyDescent="0.2">
      <c r="R29454" s="1288"/>
    </row>
    <row r="29455" spans="18:18" s="2" customFormat="1" ht="12.75" x14ac:dyDescent="0.2">
      <c r="R29455" s="1288"/>
    </row>
    <row r="29456" spans="18:18" s="2" customFormat="1" ht="12.75" x14ac:dyDescent="0.2">
      <c r="R29456" s="1288"/>
    </row>
    <row r="29457" spans="18:18" s="2" customFormat="1" ht="12.75" x14ac:dyDescent="0.2">
      <c r="R29457" s="1288"/>
    </row>
    <row r="29458" spans="18:18" s="2" customFormat="1" ht="12.75" x14ac:dyDescent="0.2">
      <c r="R29458" s="1288"/>
    </row>
    <row r="29459" spans="18:18" s="2" customFormat="1" ht="12.75" x14ac:dyDescent="0.2">
      <c r="R29459" s="1288"/>
    </row>
    <row r="29460" spans="18:18" s="2" customFormat="1" ht="12.75" x14ac:dyDescent="0.2">
      <c r="R29460" s="1288"/>
    </row>
    <row r="29461" spans="18:18" s="2" customFormat="1" ht="12.75" x14ac:dyDescent="0.2">
      <c r="R29461" s="1288"/>
    </row>
    <row r="29462" spans="18:18" s="2" customFormat="1" ht="12.75" x14ac:dyDescent="0.2">
      <c r="R29462" s="1288"/>
    </row>
    <row r="29463" spans="18:18" s="2" customFormat="1" ht="12.75" x14ac:dyDescent="0.2">
      <c r="R29463" s="1288"/>
    </row>
    <row r="29464" spans="18:18" s="2" customFormat="1" ht="12.75" x14ac:dyDescent="0.2">
      <c r="R29464" s="1288"/>
    </row>
    <row r="29465" spans="18:18" s="2" customFormat="1" ht="12.75" x14ac:dyDescent="0.2">
      <c r="R29465" s="1288"/>
    </row>
    <row r="29466" spans="18:18" s="2" customFormat="1" ht="12.75" x14ac:dyDescent="0.2">
      <c r="R29466" s="1288"/>
    </row>
    <row r="29467" spans="18:18" s="2" customFormat="1" ht="12.75" x14ac:dyDescent="0.2">
      <c r="R29467" s="1288"/>
    </row>
    <row r="29468" spans="18:18" s="2" customFormat="1" ht="12.75" x14ac:dyDescent="0.2">
      <c r="R29468" s="1288"/>
    </row>
    <row r="29469" spans="18:18" s="2" customFormat="1" ht="12.75" x14ac:dyDescent="0.2">
      <c r="R29469" s="1288"/>
    </row>
    <row r="29470" spans="18:18" s="2" customFormat="1" ht="12.75" x14ac:dyDescent="0.2">
      <c r="R29470" s="1288"/>
    </row>
    <row r="29471" spans="18:18" s="2" customFormat="1" ht="12.75" x14ac:dyDescent="0.2">
      <c r="R29471" s="1288"/>
    </row>
    <row r="29472" spans="18:18" s="2" customFormat="1" ht="12.75" x14ac:dyDescent="0.2">
      <c r="R29472" s="1288"/>
    </row>
    <row r="29473" spans="18:18" s="2" customFormat="1" ht="12.75" x14ac:dyDescent="0.2">
      <c r="R29473" s="1288"/>
    </row>
    <row r="29474" spans="18:18" s="2" customFormat="1" ht="12.75" x14ac:dyDescent="0.2">
      <c r="R29474" s="1288"/>
    </row>
    <row r="29475" spans="18:18" s="2" customFormat="1" ht="12.75" x14ac:dyDescent="0.2">
      <c r="R29475" s="1288"/>
    </row>
    <row r="29476" spans="18:18" s="2" customFormat="1" ht="12.75" x14ac:dyDescent="0.2">
      <c r="R29476" s="1288"/>
    </row>
    <row r="29477" spans="18:18" s="2" customFormat="1" ht="12.75" x14ac:dyDescent="0.2">
      <c r="R29477" s="1288"/>
    </row>
    <row r="29478" spans="18:18" s="2" customFormat="1" ht="12.75" x14ac:dyDescent="0.2">
      <c r="R29478" s="1288"/>
    </row>
    <row r="29479" spans="18:18" s="2" customFormat="1" ht="12.75" x14ac:dyDescent="0.2">
      <c r="R29479" s="1288"/>
    </row>
    <row r="29480" spans="18:18" s="2" customFormat="1" ht="12.75" x14ac:dyDescent="0.2">
      <c r="R29480" s="1288"/>
    </row>
    <row r="29481" spans="18:18" s="2" customFormat="1" ht="12.75" x14ac:dyDescent="0.2">
      <c r="R29481" s="1288"/>
    </row>
    <row r="29482" spans="18:18" s="2" customFormat="1" ht="12.75" x14ac:dyDescent="0.2">
      <c r="R29482" s="1288"/>
    </row>
    <row r="29483" spans="18:18" s="2" customFormat="1" ht="12.75" x14ac:dyDescent="0.2">
      <c r="R29483" s="1288"/>
    </row>
    <row r="29484" spans="18:18" s="2" customFormat="1" ht="12.75" x14ac:dyDescent="0.2">
      <c r="R29484" s="1288"/>
    </row>
    <row r="29485" spans="18:18" s="2" customFormat="1" ht="12.75" x14ac:dyDescent="0.2">
      <c r="R29485" s="1288"/>
    </row>
    <row r="29486" spans="18:18" s="2" customFormat="1" ht="12.75" x14ac:dyDescent="0.2">
      <c r="R29486" s="1288"/>
    </row>
    <row r="29487" spans="18:18" s="2" customFormat="1" ht="12.75" x14ac:dyDescent="0.2">
      <c r="R29487" s="1288"/>
    </row>
    <row r="29488" spans="18:18" s="2" customFormat="1" ht="12.75" x14ac:dyDescent="0.2">
      <c r="R29488" s="1288"/>
    </row>
    <row r="29489" spans="18:18" s="2" customFormat="1" ht="12.75" x14ac:dyDescent="0.2">
      <c r="R29489" s="1288"/>
    </row>
    <row r="29490" spans="18:18" s="2" customFormat="1" ht="12.75" x14ac:dyDescent="0.2">
      <c r="R29490" s="1288"/>
    </row>
    <row r="29491" spans="18:18" s="2" customFormat="1" ht="12.75" x14ac:dyDescent="0.2">
      <c r="R29491" s="1288"/>
    </row>
    <row r="29492" spans="18:18" s="2" customFormat="1" ht="12.75" x14ac:dyDescent="0.2">
      <c r="R29492" s="1288"/>
    </row>
    <row r="29493" spans="18:18" s="2" customFormat="1" ht="12.75" x14ac:dyDescent="0.2">
      <c r="R29493" s="1288"/>
    </row>
    <row r="29494" spans="18:18" s="2" customFormat="1" ht="12.75" x14ac:dyDescent="0.2">
      <c r="R29494" s="1288"/>
    </row>
    <row r="29495" spans="18:18" s="2" customFormat="1" ht="12.75" x14ac:dyDescent="0.2">
      <c r="R29495" s="1288"/>
    </row>
    <row r="29496" spans="18:18" s="2" customFormat="1" ht="12.75" x14ac:dyDescent="0.2">
      <c r="R29496" s="1288"/>
    </row>
    <row r="29497" spans="18:18" s="2" customFormat="1" ht="12.75" x14ac:dyDescent="0.2">
      <c r="R29497" s="1288"/>
    </row>
    <row r="29498" spans="18:18" s="2" customFormat="1" ht="12.75" x14ac:dyDescent="0.2">
      <c r="R29498" s="1288"/>
    </row>
    <row r="29499" spans="18:18" s="2" customFormat="1" ht="12.75" x14ac:dyDescent="0.2">
      <c r="R29499" s="1288"/>
    </row>
    <row r="29500" spans="18:18" s="2" customFormat="1" ht="12.75" x14ac:dyDescent="0.2">
      <c r="R29500" s="1288"/>
    </row>
    <row r="29501" spans="18:18" s="2" customFormat="1" ht="12.75" x14ac:dyDescent="0.2">
      <c r="R29501" s="1288"/>
    </row>
    <row r="29502" spans="18:18" s="2" customFormat="1" ht="12.75" x14ac:dyDescent="0.2">
      <c r="R29502" s="1288"/>
    </row>
    <row r="29503" spans="18:18" s="2" customFormat="1" ht="12.75" x14ac:dyDescent="0.2">
      <c r="R29503" s="1288"/>
    </row>
    <row r="29504" spans="18:18" s="2" customFormat="1" ht="12.75" x14ac:dyDescent="0.2">
      <c r="R29504" s="1288"/>
    </row>
    <row r="29505" spans="18:18" s="2" customFormat="1" ht="12.75" x14ac:dyDescent="0.2">
      <c r="R29505" s="1288"/>
    </row>
    <row r="29506" spans="18:18" s="2" customFormat="1" ht="12.75" x14ac:dyDescent="0.2">
      <c r="R29506" s="1288"/>
    </row>
    <row r="29507" spans="18:18" s="2" customFormat="1" ht="12.75" x14ac:dyDescent="0.2">
      <c r="R29507" s="1288"/>
    </row>
    <row r="29508" spans="18:18" s="2" customFormat="1" ht="12.75" x14ac:dyDescent="0.2">
      <c r="R29508" s="1288"/>
    </row>
    <row r="29509" spans="18:18" s="2" customFormat="1" ht="12.75" x14ac:dyDescent="0.2">
      <c r="R29509" s="1288"/>
    </row>
    <row r="29510" spans="18:18" s="2" customFormat="1" ht="12.75" x14ac:dyDescent="0.2">
      <c r="R29510" s="1288"/>
    </row>
    <row r="29511" spans="18:18" s="2" customFormat="1" ht="12.75" x14ac:dyDescent="0.2">
      <c r="R29511" s="1288"/>
    </row>
    <row r="29512" spans="18:18" s="2" customFormat="1" ht="12.75" x14ac:dyDescent="0.2">
      <c r="R29512" s="1288"/>
    </row>
    <row r="29513" spans="18:18" s="2" customFormat="1" ht="12.75" x14ac:dyDescent="0.2">
      <c r="R29513" s="1288"/>
    </row>
    <row r="29514" spans="18:18" s="2" customFormat="1" ht="12.75" x14ac:dyDescent="0.2">
      <c r="R29514" s="1288"/>
    </row>
    <row r="29515" spans="18:18" s="2" customFormat="1" ht="12.75" x14ac:dyDescent="0.2">
      <c r="R29515" s="1288"/>
    </row>
    <row r="29516" spans="18:18" s="2" customFormat="1" ht="12.75" x14ac:dyDescent="0.2">
      <c r="R29516" s="1288"/>
    </row>
    <row r="29517" spans="18:18" s="2" customFormat="1" ht="12.75" x14ac:dyDescent="0.2">
      <c r="R29517" s="1288"/>
    </row>
    <row r="29518" spans="18:18" s="2" customFormat="1" ht="12.75" x14ac:dyDescent="0.2">
      <c r="R29518" s="1288"/>
    </row>
    <row r="29519" spans="18:18" s="2" customFormat="1" ht="12.75" x14ac:dyDescent="0.2">
      <c r="R29519" s="1288"/>
    </row>
    <row r="29520" spans="18:18" s="2" customFormat="1" ht="12.75" x14ac:dyDescent="0.2">
      <c r="R29520" s="1288"/>
    </row>
    <row r="29521" spans="18:18" s="2" customFormat="1" ht="12.75" x14ac:dyDescent="0.2">
      <c r="R29521" s="1288"/>
    </row>
    <row r="29522" spans="18:18" s="2" customFormat="1" ht="12.75" x14ac:dyDescent="0.2">
      <c r="R29522" s="1288"/>
    </row>
    <row r="29523" spans="18:18" s="2" customFormat="1" ht="12.75" x14ac:dyDescent="0.2">
      <c r="R29523" s="1288"/>
    </row>
    <row r="29524" spans="18:18" s="2" customFormat="1" ht="12.75" x14ac:dyDescent="0.2">
      <c r="R29524" s="1288"/>
    </row>
    <row r="29525" spans="18:18" s="2" customFormat="1" ht="12.75" x14ac:dyDescent="0.2">
      <c r="R29525" s="1288"/>
    </row>
    <row r="29526" spans="18:18" s="2" customFormat="1" ht="12.75" x14ac:dyDescent="0.2">
      <c r="R29526" s="1288"/>
    </row>
    <row r="29527" spans="18:18" s="2" customFormat="1" ht="12.75" x14ac:dyDescent="0.2">
      <c r="R29527" s="1288"/>
    </row>
    <row r="29528" spans="18:18" s="2" customFormat="1" ht="12.75" x14ac:dyDescent="0.2">
      <c r="R29528" s="1288"/>
    </row>
    <row r="29529" spans="18:18" s="2" customFormat="1" ht="12.75" x14ac:dyDescent="0.2">
      <c r="R29529" s="1288"/>
    </row>
    <row r="29530" spans="18:18" s="2" customFormat="1" ht="12.75" x14ac:dyDescent="0.2">
      <c r="R29530" s="1288"/>
    </row>
    <row r="29531" spans="18:18" s="2" customFormat="1" ht="12.75" x14ac:dyDescent="0.2">
      <c r="R29531" s="1288"/>
    </row>
    <row r="29532" spans="18:18" s="2" customFormat="1" ht="12.75" x14ac:dyDescent="0.2">
      <c r="R29532" s="1288"/>
    </row>
    <row r="29533" spans="18:18" s="2" customFormat="1" ht="12.75" x14ac:dyDescent="0.2">
      <c r="R29533" s="1288"/>
    </row>
    <row r="29534" spans="18:18" s="2" customFormat="1" ht="12.75" x14ac:dyDescent="0.2">
      <c r="R29534" s="1288"/>
    </row>
    <row r="29535" spans="18:18" s="2" customFormat="1" ht="12.75" x14ac:dyDescent="0.2">
      <c r="R29535" s="1288"/>
    </row>
    <row r="29536" spans="18:18" s="2" customFormat="1" ht="12.75" x14ac:dyDescent="0.2">
      <c r="R29536" s="1288"/>
    </row>
    <row r="29537" spans="18:18" s="2" customFormat="1" ht="12.75" x14ac:dyDescent="0.2">
      <c r="R29537" s="1288"/>
    </row>
    <row r="29538" spans="18:18" s="2" customFormat="1" ht="12.75" x14ac:dyDescent="0.2">
      <c r="R29538" s="1288"/>
    </row>
    <row r="29539" spans="18:18" s="2" customFormat="1" ht="12.75" x14ac:dyDescent="0.2">
      <c r="R29539" s="1288"/>
    </row>
    <row r="29540" spans="18:18" s="2" customFormat="1" ht="12.75" x14ac:dyDescent="0.2">
      <c r="R29540" s="1288"/>
    </row>
    <row r="29541" spans="18:18" s="2" customFormat="1" ht="12.75" x14ac:dyDescent="0.2">
      <c r="R29541" s="1288"/>
    </row>
    <row r="29542" spans="18:18" s="2" customFormat="1" ht="12.75" x14ac:dyDescent="0.2">
      <c r="R29542" s="1288"/>
    </row>
    <row r="29543" spans="18:18" s="2" customFormat="1" ht="12.75" x14ac:dyDescent="0.2">
      <c r="R29543" s="1288"/>
    </row>
    <row r="29544" spans="18:18" s="2" customFormat="1" ht="12.75" x14ac:dyDescent="0.2">
      <c r="R29544" s="1288"/>
    </row>
    <row r="29545" spans="18:18" s="2" customFormat="1" ht="12.75" x14ac:dyDescent="0.2">
      <c r="R29545" s="1288"/>
    </row>
    <row r="29546" spans="18:18" s="2" customFormat="1" ht="12.75" x14ac:dyDescent="0.2">
      <c r="R29546" s="1288"/>
    </row>
    <row r="29547" spans="18:18" s="2" customFormat="1" ht="12.75" x14ac:dyDescent="0.2">
      <c r="R29547" s="1288"/>
    </row>
    <row r="29548" spans="18:18" s="2" customFormat="1" ht="12.75" x14ac:dyDescent="0.2">
      <c r="R29548" s="1288"/>
    </row>
    <row r="29549" spans="18:18" s="2" customFormat="1" ht="12.75" x14ac:dyDescent="0.2">
      <c r="R29549" s="1288"/>
    </row>
    <row r="29550" spans="18:18" s="2" customFormat="1" ht="12.75" x14ac:dyDescent="0.2">
      <c r="R29550" s="1288"/>
    </row>
    <row r="29551" spans="18:18" s="2" customFormat="1" ht="12.75" x14ac:dyDescent="0.2">
      <c r="R29551" s="1288"/>
    </row>
    <row r="29552" spans="18:18" s="2" customFormat="1" ht="12.75" x14ac:dyDescent="0.2">
      <c r="R29552" s="1288"/>
    </row>
    <row r="29553" spans="18:18" s="2" customFormat="1" ht="12.75" x14ac:dyDescent="0.2">
      <c r="R29553" s="1288"/>
    </row>
    <row r="29554" spans="18:18" s="2" customFormat="1" ht="12.75" x14ac:dyDescent="0.2">
      <c r="R29554" s="1288"/>
    </row>
    <row r="29555" spans="18:18" s="2" customFormat="1" ht="12.75" x14ac:dyDescent="0.2">
      <c r="R29555" s="1288"/>
    </row>
    <row r="29556" spans="18:18" s="2" customFormat="1" ht="12.75" x14ac:dyDescent="0.2">
      <c r="R29556" s="1288"/>
    </row>
    <row r="29557" spans="18:18" s="2" customFormat="1" ht="12.75" x14ac:dyDescent="0.2">
      <c r="R29557" s="1288"/>
    </row>
    <row r="29558" spans="18:18" s="2" customFormat="1" ht="12.75" x14ac:dyDescent="0.2">
      <c r="R29558" s="1288"/>
    </row>
    <row r="29559" spans="18:18" s="2" customFormat="1" ht="12.75" x14ac:dyDescent="0.2">
      <c r="R29559" s="1288"/>
    </row>
    <row r="29560" spans="18:18" s="2" customFormat="1" ht="12.75" x14ac:dyDescent="0.2">
      <c r="R29560" s="1288"/>
    </row>
    <row r="29561" spans="18:18" s="2" customFormat="1" ht="12.75" x14ac:dyDescent="0.2">
      <c r="R29561" s="1288"/>
    </row>
    <row r="29562" spans="18:18" s="2" customFormat="1" ht="12.75" x14ac:dyDescent="0.2">
      <c r="R29562" s="1288"/>
    </row>
    <row r="29563" spans="18:18" s="2" customFormat="1" ht="12.75" x14ac:dyDescent="0.2">
      <c r="R29563" s="1288"/>
    </row>
    <row r="29564" spans="18:18" s="2" customFormat="1" ht="12.75" x14ac:dyDescent="0.2">
      <c r="R29564" s="1288"/>
    </row>
    <row r="29565" spans="18:18" s="2" customFormat="1" ht="12.75" x14ac:dyDescent="0.2">
      <c r="R29565" s="1288"/>
    </row>
    <row r="29566" spans="18:18" s="2" customFormat="1" ht="12.75" x14ac:dyDescent="0.2">
      <c r="R29566" s="1288"/>
    </row>
    <row r="29567" spans="18:18" s="2" customFormat="1" ht="12.75" x14ac:dyDescent="0.2">
      <c r="R29567" s="1288"/>
    </row>
    <row r="29568" spans="18:18" s="2" customFormat="1" ht="12.75" x14ac:dyDescent="0.2">
      <c r="R29568" s="1288"/>
    </row>
    <row r="29569" spans="18:18" s="2" customFormat="1" ht="12.75" x14ac:dyDescent="0.2">
      <c r="R29569" s="1288"/>
    </row>
    <row r="29570" spans="18:18" s="2" customFormat="1" ht="12.75" x14ac:dyDescent="0.2">
      <c r="R29570" s="1288"/>
    </row>
    <row r="29571" spans="18:18" s="2" customFormat="1" ht="12.75" x14ac:dyDescent="0.2">
      <c r="R29571" s="1288"/>
    </row>
    <row r="29572" spans="18:18" s="2" customFormat="1" ht="12.75" x14ac:dyDescent="0.2">
      <c r="R29572" s="1288"/>
    </row>
    <row r="29573" spans="18:18" s="2" customFormat="1" ht="12.75" x14ac:dyDescent="0.2">
      <c r="R29573" s="1288"/>
    </row>
    <row r="29574" spans="18:18" s="2" customFormat="1" ht="12.75" x14ac:dyDescent="0.2">
      <c r="R29574" s="1288"/>
    </row>
    <row r="29575" spans="18:18" s="2" customFormat="1" ht="12.75" x14ac:dyDescent="0.2">
      <c r="R29575" s="1288"/>
    </row>
    <row r="29576" spans="18:18" s="2" customFormat="1" ht="12.75" x14ac:dyDescent="0.2">
      <c r="R29576" s="1288"/>
    </row>
    <row r="29577" spans="18:18" s="2" customFormat="1" ht="12.75" x14ac:dyDescent="0.2">
      <c r="R29577" s="1288"/>
    </row>
    <row r="29578" spans="18:18" s="2" customFormat="1" ht="12.75" x14ac:dyDescent="0.2">
      <c r="R29578" s="1288"/>
    </row>
    <row r="29579" spans="18:18" s="2" customFormat="1" ht="12.75" x14ac:dyDescent="0.2">
      <c r="R29579" s="1288"/>
    </row>
    <row r="29580" spans="18:18" s="2" customFormat="1" ht="12.75" x14ac:dyDescent="0.2">
      <c r="R29580" s="1288"/>
    </row>
    <row r="29581" spans="18:18" s="2" customFormat="1" ht="12.75" x14ac:dyDescent="0.2">
      <c r="R29581" s="1288"/>
    </row>
    <row r="29582" spans="18:18" s="2" customFormat="1" ht="12.75" x14ac:dyDescent="0.2">
      <c r="R29582" s="1288"/>
    </row>
    <row r="29583" spans="18:18" s="2" customFormat="1" ht="12.75" x14ac:dyDescent="0.2">
      <c r="R29583" s="1288"/>
    </row>
    <row r="29584" spans="18:18" s="2" customFormat="1" ht="12.75" x14ac:dyDescent="0.2">
      <c r="R29584" s="1288"/>
    </row>
    <row r="29585" spans="18:18" s="2" customFormat="1" ht="12.75" x14ac:dyDescent="0.2">
      <c r="R29585" s="1288"/>
    </row>
    <row r="29586" spans="18:18" s="2" customFormat="1" ht="12.75" x14ac:dyDescent="0.2">
      <c r="R29586" s="1288"/>
    </row>
    <row r="29587" spans="18:18" s="2" customFormat="1" ht="12.75" x14ac:dyDescent="0.2">
      <c r="R29587" s="1288"/>
    </row>
    <row r="29588" spans="18:18" s="2" customFormat="1" ht="12.75" x14ac:dyDescent="0.2">
      <c r="R29588" s="1288"/>
    </row>
    <row r="29589" spans="18:18" s="2" customFormat="1" ht="12.75" x14ac:dyDescent="0.2">
      <c r="R29589" s="1288"/>
    </row>
    <row r="29590" spans="18:18" s="2" customFormat="1" ht="12.75" x14ac:dyDescent="0.2">
      <c r="R29590" s="1288"/>
    </row>
    <row r="29591" spans="18:18" s="2" customFormat="1" ht="12.75" x14ac:dyDescent="0.2">
      <c r="R29591" s="1288"/>
    </row>
    <row r="29592" spans="18:18" s="2" customFormat="1" ht="12.75" x14ac:dyDescent="0.2">
      <c r="R29592" s="1288"/>
    </row>
    <row r="29593" spans="18:18" s="2" customFormat="1" ht="12.75" x14ac:dyDescent="0.2">
      <c r="R29593" s="1288"/>
    </row>
    <row r="29594" spans="18:18" s="2" customFormat="1" ht="12.75" x14ac:dyDescent="0.2">
      <c r="R29594" s="1288"/>
    </row>
    <row r="29595" spans="18:18" s="2" customFormat="1" ht="12.75" x14ac:dyDescent="0.2">
      <c r="R29595" s="1288"/>
    </row>
    <row r="29596" spans="18:18" s="2" customFormat="1" ht="12.75" x14ac:dyDescent="0.2">
      <c r="R29596" s="1288"/>
    </row>
    <row r="29597" spans="18:18" s="2" customFormat="1" ht="12.75" x14ac:dyDescent="0.2">
      <c r="R29597" s="1288"/>
    </row>
    <row r="29598" spans="18:18" s="2" customFormat="1" ht="12.75" x14ac:dyDescent="0.2">
      <c r="R29598" s="1288"/>
    </row>
    <row r="29599" spans="18:18" s="2" customFormat="1" ht="12.75" x14ac:dyDescent="0.2">
      <c r="R29599" s="1288"/>
    </row>
    <row r="29600" spans="18:18" s="2" customFormat="1" ht="12.75" x14ac:dyDescent="0.2">
      <c r="R29600" s="1288"/>
    </row>
    <row r="29601" spans="18:18" s="2" customFormat="1" ht="12.75" x14ac:dyDescent="0.2">
      <c r="R29601" s="1288"/>
    </row>
    <row r="29602" spans="18:18" s="2" customFormat="1" ht="12.75" x14ac:dyDescent="0.2">
      <c r="R29602" s="1288"/>
    </row>
    <row r="29603" spans="18:18" s="2" customFormat="1" ht="12.75" x14ac:dyDescent="0.2">
      <c r="R29603" s="1288"/>
    </row>
    <row r="29604" spans="18:18" s="2" customFormat="1" ht="12.75" x14ac:dyDescent="0.2">
      <c r="R29604" s="1288"/>
    </row>
    <row r="29605" spans="18:18" s="2" customFormat="1" ht="12.75" x14ac:dyDescent="0.2">
      <c r="R29605" s="1288"/>
    </row>
    <row r="29606" spans="18:18" s="2" customFormat="1" ht="12.75" x14ac:dyDescent="0.2">
      <c r="R29606" s="1288"/>
    </row>
    <row r="29607" spans="18:18" s="2" customFormat="1" ht="12.75" x14ac:dyDescent="0.2">
      <c r="R29607" s="1288"/>
    </row>
    <row r="29608" spans="18:18" s="2" customFormat="1" ht="12.75" x14ac:dyDescent="0.2">
      <c r="R29608" s="1288"/>
    </row>
    <row r="29609" spans="18:18" s="2" customFormat="1" ht="12.75" x14ac:dyDescent="0.2">
      <c r="R29609" s="1288"/>
    </row>
    <row r="29610" spans="18:18" s="2" customFormat="1" ht="12.75" x14ac:dyDescent="0.2">
      <c r="R29610" s="1288"/>
    </row>
    <row r="29611" spans="18:18" s="2" customFormat="1" ht="12.75" x14ac:dyDescent="0.2">
      <c r="R29611" s="1288"/>
    </row>
    <row r="29612" spans="18:18" s="2" customFormat="1" ht="12.75" x14ac:dyDescent="0.2">
      <c r="R29612" s="1288"/>
    </row>
    <row r="29613" spans="18:18" s="2" customFormat="1" ht="12.75" x14ac:dyDescent="0.2">
      <c r="R29613" s="1288"/>
    </row>
    <row r="29614" spans="18:18" s="2" customFormat="1" ht="12.75" x14ac:dyDescent="0.2">
      <c r="R29614" s="1288"/>
    </row>
    <row r="29615" spans="18:18" s="2" customFormat="1" ht="12.75" x14ac:dyDescent="0.2">
      <c r="R29615" s="1288"/>
    </row>
    <row r="29616" spans="18:18" s="2" customFormat="1" ht="12.75" x14ac:dyDescent="0.2">
      <c r="R29616" s="1288"/>
    </row>
    <row r="29617" spans="18:18" s="2" customFormat="1" ht="12.75" x14ac:dyDescent="0.2">
      <c r="R29617" s="1288"/>
    </row>
    <row r="29618" spans="18:18" s="2" customFormat="1" ht="12.75" x14ac:dyDescent="0.2">
      <c r="R29618" s="1288"/>
    </row>
    <row r="29619" spans="18:18" s="2" customFormat="1" ht="12.75" x14ac:dyDescent="0.2">
      <c r="R29619" s="1288"/>
    </row>
    <row r="29620" spans="18:18" s="2" customFormat="1" ht="12.75" x14ac:dyDescent="0.2">
      <c r="R29620" s="1288"/>
    </row>
    <row r="29621" spans="18:18" s="2" customFormat="1" ht="12.75" x14ac:dyDescent="0.2">
      <c r="R29621" s="1288"/>
    </row>
    <row r="29622" spans="18:18" s="2" customFormat="1" ht="12.75" x14ac:dyDescent="0.2">
      <c r="R29622" s="1288"/>
    </row>
    <row r="29623" spans="18:18" s="2" customFormat="1" ht="12.75" x14ac:dyDescent="0.2">
      <c r="R29623" s="1288"/>
    </row>
    <row r="29624" spans="18:18" s="2" customFormat="1" ht="12.75" x14ac:dyDescent="0.2">
      <c r="R29624" s="1288"/>
    </row>
    <row r="29625" spans="18:18" s="2" customFormat="1" ht="12.75" x14ac:dyDescent="0.2">
      <c r="R29625" s="1288"/>
    </row>
    <row r="29626" spans="18:18" s="2" customFormat="1" ht="12.75" x14ac:dyDescent="0.2">
      <c r="R29626" s="1288"/>
    </row>
    <row r="29627" spans="18:18" s="2" customFormat="1" ht="12.75" x14ac:dyDescent="0.2">
      <c r="R29627" s="1288"/>
    </row>
    <row r="29628" spans="18:18" s="2" customFormat="1" ht="12.75" x14ac:dyDescent="0.2">
      <c r="R29628" s="1288"/>
    </row>
    <row r="29629" spans="18:18" s="2" customFormat="1" ht="12.75" x14ac:dyDescent="0.2">
      <c r="R29629" s="1288"/>
    </row>
    <row r="29630" spans="18:18" s="2" customFormat="1" ht="12.75" x14ac:dyDescent="0.2">
      <c r="R29630" s="1288"/>
    </row>
    <row r="29631" spans="18:18" s="2" customFormat="1" ht="12.75" x14ac:dyDescent="0.2">
      <c r="R29631" s="1288"/>
    </row>
    <row r="29632" spans="18:18" s="2" customFormat="1" ht="12.75" x14ac:dyDescent="0.2">
      <c r="R29632" s="1288"/>
    </row>
    <row r="29633" spans="18:18" s="2" customFormat="1" ht="12.75" x14ac:dyDescent="0.2">
      <c r="R29633" s="1288"/>
    </row>
    <row r="29634" spans="18:18" s="2" customFormat="1" ht="12.75" x14ac:dyDescent="0.2">
      <c r="R29634" s="1288"/>
    </row>
    <row r="29635" spans="18:18" s="2" customFormat="1" ht="12.75" x14ac:dyDescent="0.2">
      <c r="R29635" s="1288"/>
    </row>
    <row r="29636" spans="18:18" s="2" customFormat="1" ht="12.75" x14ac:dyDescent="0.2">
      <c r="R29636" s="1288"/>
    </row>
    <row r="29637" spans="18:18" s="2" customFormat="1" ht="12.75" x14ac:dyDescent="0.2">
      <c r="R29637" s="1288"/>
    </row>
    <row r="29638" spans="18:18" s="2" customFormat="1" ht="12.75" x14ac:dyDescent="0.2">
      <c r="R29638" s="1288"/>
    </row>
    <row r="29639" spans="18:18" s="2" customFormat="1" ht="12.75" x14ac:dyDescent="0.2">
      <c r="R29639" s="1288"/>
    </row>
    <row r="29640" spans="18:18" s="2" customFormat="1" ht="12.75" x14ac:dyDescent="0.2">
      <c r="R29640" s="1288"/>
    </row>
    <row r="29641" spans="18:18" s="2" customFormat="1" ht="12.75" x14ac:dyDescent="0.2">
      <c r="R29641" s="1288"/>
    </row>
    <row r="29642" spans="18:18" s="2" customFormat="1" ht="12.75" x14ac:dyDescent="0.2">
      <c r="R29642" s="1288"/>
    </row>
    <row r="29643" spans="18:18" s="2" customFormat="1" ht="12.75" x14ac:dyDescent="0.2">
      <c r="R29643" s="1288"/>
    </row>
    <row r="29644" spans="18:18" s="2" customFormat="1" ht="12.75" x14ac:dyDescent="0.2">
      <c r="R29644" s="1288"/>
    </row>
    <row r="29645" spans="18:18" s="2" customFormat="1" ht="12.75" x14ac:dyDescent="0.2">
      <c r="R29645" s="1288"/>
    </row>
    <row r="29646" spans="18:18" s="2" customFormat="1" ht="12.75" x14ac:dyDescent="0.2">
      <c r="R29646" s="1288"/>
    </row>
    <row r="29647" spans="18:18" s="2" customFormat="1" ht="12.75" x14ac:dyDescent="0.2">
      <c r="R29647" s="1288"/>
    </row>
    <row r="29648" spans="18:18" s="2" customFormat="1" ht="12.75" x14ac:dyDescent="0.2">
      <c r="R29648" s="1288"/>
    </row>
    <row r="29649" spans="18:18" s="2" customFormat="1" ht="12.75" x14ac:dyDescent="0.2">
      <c r="R29649" s="1288"/>
    </row>
    <row r="29650" spans="18:18" s="2" customFormat="1" ht="12.75" x14ac:dyDescent="0.2">
      <c r="R29650" s="1288"/>
    </row>
    <row r="29651" spans="18:18" s="2" customFormat="1" ht="12.75" x14ac:dyDescent="0.2">
      <c r="R29651" s="1288"/>
    </row>
    <row r="29652" spans="18:18" s="2" customFormat="1" ht="12.75" x14ac:dyDescent="0.2">
      <c r="R29652" s="1288"/>
    </row>
    <row r="29653" spans="18:18" s="2" customFormat="1" ht="12.75" x14ac:dyDescent="0.2">
      <c r="R29653" s="1288"/>
    </row>
    <row r="29654" spans="18:18" s="2" customFormat="1" ht="12.75" x14ac:dyDescent="0.2">
      <c r="R29654" s="1288"/>
    </row>
    <row r="29655" spans="18:18" s="2" customFormat="1" ht="12.75" x14ac:dyDescent="0.2">
      <c r="R29655" s="1288"/>
    </row>
    <row r="29656" spans="18:18" s="2" customFormat="1" ht="12.75" x14ac:dyDescent="0.2">
      <c r="R29656" s="1288"/>
    </row>
    <row r="29657" spans="18:18" s="2" customFormat="1" ht="12.75" x14ac:dyDescent="0.2">
      <c r="R29657" s="1288"/>
    </row>
    <row r="29658" spans="18:18" s="2" customFormat="1" ht="12.75" x14ac:dyDescent="0.2">
      <c r="R29658" s="1288"/>
    </row>
    <row r="29659" spans="18:18" s="2" customFormat="1" ht="12.75" x14ac:dyDescent="0.2">
      <c r="R29659" s="1288"/>
    </row>
    <row r="29660" spans="18:18" s="2" customFormat="1" ht="12.75" x14ac:dyDescent="0.2">
      <c r="R29660" s="1288"/>
    </row>
    <row r="29661" spans="18:18" s="2" customFormat="1" ht="12.75" x14ac:dyDescent="0.2">
      <c r="R29661" s="1288"/>
    </row>
    <row r="29662" spans="18:18" s="2" customFormat="1" ht="12.75" x14ac:dyDescent="0.2">
      <c r="R29662" s="1288"/>
    </row>
    <row r="29663" spans="18:18" s="2" customFormat="1" ht="12.75" x14ac:dyDescent="0.2">
      <c r="R29663" s="1288"/>
    </row>
    <row r="29664" spans="18:18" s="2" customFormat="1" ht="12.75" x14ac:dyDescent="0.2">
      <c r="R29664" s="1288"/>
    </row>
    <row r="29665" spans="18:18" s="2" customFormat="1" ht="12.75" x14ac:dyDescent="0.2">
      <c r="R29665" s="1288"/>
    </row>
    <row r="29666" spans="18:18" s="2" customFormat="1" ht="12.75" x14ac:dyDescent="0.2">
      <c r="R29666" s="1288"/>
    </row>
    <row r="29667" spans="18:18" s="2" customFormat="1" ht="12.75" x14ac:dyDescent="0.2">
      <c r="R29667" s="1288"/>
    </row>
    <row r="29668" spans="18:18" s="2" customFormat="1" ht="12.75" x14ac:dyDescent="0.2">
      <c r="R29668" s="1288"/>
    </row>
    <row r="29669" spans="18:18" s="2" customFormat="1" ht="12.75" x14ac:dyDescent="0.2">
      <c r="R29669" s="1288"/>
    </row>
    <row r="29670" spans="18:18" s="2" customFormat="1" ht="12.75" x14ac:dyDescent="0.2">
      <c r="R29670" s="1288"/>
    </row>
    <row r="29671" spans="18:18" s="2" customFormat="1" ht="12.75" x14ac:dyDescent="0.2">
      <c r="R29671" s="1288"/>
    </row>
    <row r="29672" spans="18:18" s="2" customFormat="1" ht="12.75" x14ac:dyDescent="0.2">
      <c r="R29672" s="1288"/>
    </row>
    <row r="29673" spans="18:18" s="2" customFormat="1" ht="12.75" x14ac:dyDescent="0.2">
      <c r="R29673" s="1288"/>
    </row>
    <row r="29674" spans="18:18" s="2" customFormat="1" ht="12.75" x14ac:dyDescent="0.2">
      <c r="R29674" s="1288"/>
    </row>
    <row r="29675" spans="18:18" s="2" customFormat="1" ht="12.75" x14ac:dyDescent="0.2">
      <c r="R29675" s="1288"/>
    </row>
    <row r="29676" spans="18:18" s="2" customFormat="1" ht="12.75" x14ac:dyDescent="0.2">
      <c r="R29676" s="1288"/>
    </row>
    <row r="29677" spans="18:18" s="2" customFormat="1" ht="12.75" x14ac:dyDescent="0.2">
      <c r="R29677" s="1288"/>
    </row>
    <row r="29678" spans="18:18" s="2" customFormat="1" ht="12.75" x14ac:dyDescent="0.2">
      <c r="R29678" s="1288"/>
    </row>
    <row r="29679" spans="18:18" s="2" customFormat="1" ht="12.75" x14ac:dyDescent="0.2">
      <c r="R29679" s="1288"/>
    </row>
    <row r="29680" spans="18:18" s="2" customFormat="1" ht="12.75" x14ac:dyDescent="0.2">
      <c r="R29680" s="1288"/>
    </row>
    <row r="29681" spans="18:18" s="2" customFormat="1" ht="12.75" x14ac:dyDescent="0.2">
      <c r="R29681" s="1288"/>
    </row>
    <row r="29682" spans="18:18" s="2" customFormat="1" ht="12.75" x14ac:dyDescent="0.2">
      <c r="R29682" s="1288"/>
    </row>
    <row r="29683" spans="18:18" s="2" customFormat="1" ht="12.75" x14ac:dyDescent="0.2">
      <c r="R29683" s="1288"/>
    </row>
    <row r="29684" spans="18:18" s="2" customFormat="1" ht="12.75" x14ac:dyDescent="0.2">
      <c r="R29684" s="1288"/>
    </row>
    <row r="29685" spans="18:18" s="2" customFormat="1" ht="12.75" x14ac:dyDescent="0.2">
      <c r="R29685" s="1288"/>
    </row>
    <row r="29686" spans="18:18" s="2" customFormat="1" ht="12.75" x14ac:dyDescent="0.2">
      <c r="R29686" s="1288"/>
    </row>
    <row r="29687" spans="18:18" s="2" customFormat="1" ht="12.75" x14ac:dyDescent="0.2">
      <c r="R29687" s="1288"/>
    </row>
    <row r="29688" spans="18:18" s="2" customFormat="1" ht="12.75" x14ac:dyDescent="0.2">
      <c r="R29688" s="1288"/>
    </row>
    <row r="29689" spans="18:18" s="2" customFormat="1" ht="12.75" x14ac:dyDescent="0.2">
      <c r="R29689" s="1288"/>
    </row>
    <row r="29690" spans="18:18" s="2" customFormat="1" ht="12.75" x14ac:dyDescent="0.2">
      <c r="R29690" s="1288"/>
    </row>
    <row r="29691" spans="18:18" s="2" customFormat="1" ht="12.75" x14ac:dyDescent="0.2">
      <c r="R29691" s="1288"/>
    </row>
    <row r="29692" spans="18:18" s="2" customFormat="1" ht="12.75" x14ac:dyDescent="0.2">
      <c r="R29692" s="1288"/>
    </row>
    <row r="29693" spans="18:18" s="2" customFormat="1" ht="12.75" x14ac:dyDescent="0.2">
      <c r="R29693" s="1288"/>
    </row>
    <row r="29694" spans="18:18" s="2" customFormat="1" ht="12.75" x14ac:dyDescent="0.2">
      <c r="R29694" s="1288"/>
    </row>
    <row r="29695" spans="18:18" s="2" customFormat="1" ht="12.75" x14ac:dyDescent="0.2">
      <c r="R29695" s="1288"/>
    </row>
    <row r="29696" spans="18:18" s="2" customFormat="1" ht="12.75" x14ac:dyDescent="0.2">
      <c r="R29696" s="1288"/>
    </row>
    <row r="29697" spans="18:18" s="2" customFormat="1" ht="12.75" x14ac:dyDescent="0.2">
      <c r="R29697" s="1288"/>
    </row>
    <row r="29698" spans="18:18" s="2" customFormat="1" ht="12.75" x14ac:dyDescent="0.2">
      <c r="R29698" s="1288"/>
    </row>
    <row r="29699" spans="18:18" s="2" customFormat="1" ht="12.75" x14ac:dyDescent="0.2">
      <c r="R29699" s="1288"/>
    </row>
    <row r="29700" spans="18:18" s="2" customFormat="1" ht="12.75" x14ac:dyDescent="0.2">
      <c r="R29700" s="1288"/>
    </row>
    <row r="29701" spans="18:18" s="2" customFormat="1" ht="12.75" x14ac:dyDescent="0.2">
      <c r="R29701" s="1288"/>
    </row>
    <row r="29702" spans="18:18" s="2" customFormat="1" ht="12.75" x14ac:dyDescent="0.2">
      <c r="R29702" s="1288"/>
    </row>
    <row r="29703" spans="18:18" s="2" customFormat="1" ht="12.75" x14ac:dyDescent="0.2">
      <c r="R29703" s="1288"/>
    </row>
    <row r="29704" spans="18:18" s="2" customFormat="1" ht="12.75" x14ac:dyDescent="0.2">
      <c r="R29704" s="1288"/>
    </row>
    <row r="29705" spans="18:18" s="2" customFormat="1" ht="12.75" x14ac:dyDescent="0.2">
      <c r="R29705" s="1288"/>
    </row>
    <row r="29706" spans="18:18" s="2" customFormat="1" ht="12.75" x14ac:dyDescent="0.2">
      <c r="R29706" s="1288"/>
    </row>
    <row r="29707" spans="18:18" s="2" customFormat="1" ht="12.75" x14ac:dyDescent="0.2">
      <c r="R29707" s="1288"/>
    </row>
    <row r="29708" spans="18:18" s="2" customFormat="1" ht="12.75" x14ac:dyDescent="0.2">
      <c r="R29708" s="1288"/>
    </row>
    <row r="29709" spans="18:18" s="2" customFormat="1" ht="12.75" x14ac:dyDescent="0.2">
      <c r="R29709" s="1288"/>
    </row>
    <row r="29710" spans="18:18" s="2" customFormat="1" ht="12.75" x14ac:dyDescent="0.2">
      <c r="R29710" s="1288"/>
    </row>
    <row r="29711" spans="18:18" s="2" customFormat="1" ht="12.75" x14ac:dyDescent="0.2">
      <c r="R29711" s="1288"/>
    </row>
    <row r="29712" spans="18:18" s="2" customFormat="1" ht="12.75" x14ac:dyDescent="0.2">
      <c r="R29712" s="1288"/>
    </row>
    <row r="29713" spans="18:18" s="2" customFormat="1" ht="12.75" x14ac:dyDescent="0.2">
      <c r="R29713" s="1288"/>
    </row>
    <row r="29714" spans="18:18" s="2" customFormat="1" ht="12.75" x14ac:dyDescent="0.2">
      <c r="R29714" s="1288"/>
    </row>
    <row r="29715" spans="18:18" s="2" customFormat="1" ht="12.75" x14ac:dyDescent="0.2">
      <c r="R29715" s="1288"/>
    </row>
    <row r="29716" spans="18:18" s="2" customFormat="1" ht="12.75" x14ac:dyDescent="0.2">
      <c r="R29716" s="1288"/>
    </row>
    <row r="29717" spans="18:18" s="2" customFormat="1" ht="12.75" x14ac:dyDescent="0.2">
      <c r="R29717" s="1288"/>
    </row>
    <row r="29718" spans="18:18" s="2" customFormat="1" ht="12.75" x14ac:dyDescent="0.2">
      <c r="R29718" s="1288"/>
    </row>
    <row r="29719" spans="18:18" s="2" customFormat="1" ht="12.75" x14ac:dyDescent="0.2">
      <c r="R29719" s="1288"/>
    </row>
    <row r="29720" spans="18:18" s="2" customFormat="1" ht="12.75" x14ac:dyDescent="0.2">
      <c r="R29720" s="1288"/>
    </row>
    <row r="29721" spans="18:18" s="2" customFormat="1" ht="12.75" x14ac:dyDescent="0.2">
      <c r="R29721" s="1288"/>
    </row>
    <row r="29722" spans="18:18" s="2" customFormat="1" ht="12.75" x14ac:dyDescent="0.2">
      <c r="R29722" s="1288"/>
    </row>
    <row r="29723" spans="18:18" s="2" customFormat="1" ht="12.75" x14ac:dyDescent="0.2">
      <c r="R29723" s="1288"/>
    </row>
    <row r="29724" spans="18:18" s="2" customFormat="1" ht="12.75" x14ac:dyDescent="0.2">
      <c r="R29724" s="1288"/>
    </row>
    <row r="29725" spans="18:18" s="2" customFormat="1" ht="12.75" x14ac:dyDescent="0.2">
      <c r="R29725" s="1288"/>
    </row>
    <row r="29726" spans="18:18" s="2" customFormat="1" ht="12.75" x14ac:dyDescent="0.2">
      <c r="R29726" s="1288"/>
    </row>
    <row r="29727" spans="18:18" s="2" customFormat="1" ht="12.75" x14ac:dyDescent="0.2">
      <c r="R29727" s="1288"/>
    </row>
    <row r="29728" spans="18:18" s="2" customFormat="1" ht="12.75" x14ac:dyDescent="0.2">
      <c r="R29728" s="1288"/>
    </row>
    <row r="29729" spans="18:18" s="2" customFormat="1" ht="12.75" x14ac:dyDescent="0.2">
      <c r="R29729" s="1288"/>
    </row>
    <row r="29730" spans="18:18" s="2" customFormat="1" ht="12.75" x14ac:dyDescent="0.2">
      <c r="R29730" s="1288"/>
    </row>
    <row r="29731" spans="18:18" s="2" customFormat="1" ht="12.75" x14ac:dyDescent="0.2">
      <c r="R29731" s="1288"/>
    </row>
    <row r="29732" spans="18:18" s="2" customFormat="1" ht="12.75" x14ac:dyDescent="0.2">
      <c r="R29732" s="1288"/>
    </row>
    <row r="29733" spans="18:18" s="2" customFormat="1" ht="12.75" x14ac:dyDescent="0.2">
      <c r="R29733" s="1288"/>
    </row>
    <row r="29734" spans="18:18" s="2" customFormat="1" ht="12.75" x14ac:dyDescent="0.2">
      <c r="R29734" s="1288"/>
    </row>
    <row r="29735" spans="18:18" s="2" customFormat="1" ht="12.75" x14ac:dyDescent="0.2">
      <c r="R29735" s="1288"/>
    </row>
    <row r="29736" spans="18:18" s="2" customFormat="1" ht="12.75" x14ac:dyDescent="0.2">
      <c r="R29736" s="1288"/>
    </row>
    <row r="29737" spans="18:18" s="2" customFormat="1" ht="12.75" x14ac:dyDescent="0.2">
      <c r="R29737" s="1288"/>
    </row>
    <row r="29738" spans="18:18" s="2" customFormat="1" ht="12.75" x14ac:dyDescent="0.2">
      <c r="R29738" s="1288"/>
    </row>
    <row r="29739" spans="18:18" s="2" customFormat="1" ht="12.75" x14ac:dyDescent="0.2">
      <c r="R29739" s="1288"/>
    </row>
    <row r="29740" spans="18:18" s="2" customFormat="1" ht="12.75" x14ac:dyDescent="0.2">
      <c r="R29740" s="1288"/>
    </row>
    <row r="29741" spans="18:18" s="2" customFormat="1" ht="12.75" x14ac:dyDescent="0.2">
      <c r="R29741" s="1288"/>
    </row>
    <row r="29742" spans="18:18" s="2" customFormat="1" ht="12.75" x14ac:dyDescent="0.2">
      <c r="R29742" s="1288"/>
    </row>
    <row r="29743" spans="18:18" s="2" customFormat="1" ht="12.75" x14ac:dyDescent="0.2">
      <c r="R29743" s="1288"/>
    </row>
    <row r="29744" spans="18:18" s="2" customFormat="1" ht="12.75" x14ac:dyDescent="0.2">
      <c r="R29744" s="1288"/>
    </row>
    <row r="29745" spans="18:18" s="2" customFormat="1" ht="12.75" x14ac:dyDescent="0.2">
      <c r="R29745" s="1288"/>
    </row>
    <row r="29746" spans="18:18" s="2" customFormat="1" ht="12.75" x14ac:dyDescent="0.2">
      <c r="R29746" s="1288"/>
    </row>
    <row r="29747" spans="18:18" s="2" customFormat="1" ht="12.75" x14ac:dyDescent="0.2">
      <c r="R29747" s="1288"/>
    </row>
    <row r="29748" spans="18:18" s="2" customFormat="1" ht="12.75" x14ac:dyDescent="0.2">
      <c r="R29748" s="1288"/>
    </row>
    <row r="29749" spans="18:18" s="2" customFormat="1" ht="12.75" x14ac:dyDescent="0.2">
      <c r="R29749" s="1288"/>
    </row>
    <row r="29750" spans="18:18" s="2" customFormat="1" ht="12.75" x14ac:dyDescent="0.2">
      <c r="R29750" s="1288"/>
    </row>
    <row r="29751" spans="18:18" s="2" customFormat="1" ht="12.75" x14ac:dyDescent="0.2">
      <c r="R29751" s="1288"/>
    </row>
    <row r="29752" spans="18:18" s="2" customFormat="1" ht="12.75" x14ac:dyDescent="0.2">
      <c r="R29752" s="1288"/>
    </row>
    <row r="29753" spans="18:18" s="2" customFormat="1" ht="12.75" x14ac:dyDescent="0.2">
      <c r="R29753" s="1288"/>
    </row>
    <row r="29754" spans="18:18" s="2" customFormat="1" ht="12.75" x14ac:dyDescent="0.2">
      <c r="R29754" s="1288"/>
    </row>
    <row r="29755" spans="18:18" s="2" customFormat="1" ht="12.75" x14ac:dyDescent="0.2">
      <c r="R29755" s="1288"/>
    </row>
    <row r="29756" spans="18:18" s="2" customFormat="1" ht="12.75" x14ac:dyDescent="0.2">
      <c r="R29756" s="1288"/>
    </row>
    <row r="29757" spans="18:18" s="2" customFormat="1" ht="12.75" x14ac:dyDescent="0.2">
      <c r="R29757" s="1288"/>
    </row>
    <row r="29758" spans="18:18" s="2" customFormat="1" ht="12.75" x14ac:dyDescent="0.2">
      <c r="R29758" s="1288"/>
    </row>
    <row r="29759" spans="18:18" s="2" customFormat="1" ht="12.75" x14ac:dyDescent="0.2">
      <c r="R29759" s="1288"/>
    </row>
    <row r="29760" spans="18:18" s="2" customFormat="1" ht="12.75" x14ac:dyDescent="0.2">
      <c r="R29760" s="1288"/>
    </row>
    <row r="29761" spans="18:18" s="2" customFormat="1" ht="12.75" x14ac:dyDescent="0.2">
      <c r="R29761" s="1288"/>
    </row>
    <row r="29762" spans="18:18" s="2" customFormat="1" ht="12.75" x14ac:dyDescent="0.2">
      <c r="R29762" s="1288"/>
    </row>
    <row r="29763" spans="18:18" s="2" customFormat="1" ht="12.75" x14ac:dyDescent="0.2">
      <c r="R29763" s="1288"/>
    </row>
    <row r="29764" spans="18:18" s="2" customFormat="1" ht="12.75" x14ac:dyDescent="0.2">
      <c r="R29764" s="1288"/>
    </row>
    <row r="29765" spans="18:18" s="2" customFormat="1" ht="12.75" x14ac:dyDescent="0.2">
      <c r="R29765" s="1288"/>
    </row>
    <row r="29766" spans="18:18" s="2" customFormat="1" ht="12.75" x14ac:dyDescent="0.2">
      <c r="R29766" s="1288"/>
    </row>
    <row r="29767" spans="18:18" s="2" customFormat="1" ht="12.75" x14ac:dyDescent="0.2">
      <c r="R29767" s="1288"/>
    </row>
    <row r="29768" spans="18:18" s="2" customFormat="1" ht="12.75" x14ac:dyDescent="0.2">
      <c r="R29768" s="1288"/>
    </row>
    <row r="29769" spans="18:18" s="2" customFormat="1" ht="12.75" x14ac:dyDescent="0.2">
      <c r="R29769" s="1288"/>
    </row>
    <row r="29770" spans="18:18" s="2" customFormat="1" ht="12.75" x14ac:dyDescent="0.2">
      <c r="R29770" s="1288"/>
    </row>
    <row r="29771" spans="18:18" s="2" customFormat="1" ht="12.75" x14ac:dyDescent="0.2">
      <c r="R29771" s="1288"/>
    </row>
    <row r="29772" spans="18:18" s="2" customFormat="1" ht="12.75" x14ac:dyDescent="0.2">
      <c r="R29772" s="1288"/>
    </row>
    <row r="29773" spans="18:18" s="2" customFormat="1" ht="12.75" x14ac:dyDescent="0.2">
      <c r="R29773" s="1288"/>
    </row>
    <row r="29774" spans="18:18" s="2" customFormat="1" ht="12.75" x14ac:dyDescent="0.2">
      <c r="R29774" s="1288"/>
    </row>
    <row r="29775" spans="18:18" s="2" customFormat="1" ht="12.75" x14ac:dyDescent="0.2">
      <c r="R29775" s="1288"/>
    </row>
    <row r="29776" spans="18:18" s="2" customFormat="1" ht="12.75" x14ac:dyDescent="0.2">
      <c r="R29776" s="1288"/>
    </row>
    <row r="29777" spans="18:18" s="2" customFormat="1" ht="12.75" x14ac:dyDescent="0.2">
      <c r="R29777" s="1288"/>
    </row>
    <row r="29778" spans="18:18" s="2" customFormat="1" ht="12.75" x14ac:dyDescent="0.2">
      <c r="R29778" s="1288"/>
    </row>
    <row r="29779" spans="18:18" s="2" customFormat="1" ht="12.75" x14ac:dyDescent="0.2">
      <c r="R29779" s="1288"/>
    </row>
    <row r="29780" spans="18:18" s="2" customFormat="1" ht="12.75" x14ac:dyDescent="0.2">
      <c r="R29780" s="1288"/>
    </row>
    <row r="29781" spans="18:18" s="2" customFormat="1" ht="12.75" x14ac:dyDescent="0.2">
      <c r="R29781" s="1288"/>
    </row>
    <row r="29782" spans="18:18" s="2" customFormat="1" ht="12.75" x14ac:dyDescent="0.2">
      <c r="R29782" s="1288"/>
    </row>
    <row r="29783" spans="18:18" s="2" customFormat="1" ht="12.75" x14ac:dyDescent="0.2">
      <c r="R29783" s="1288"/>
    </row>
    <row r="29784" spans="18:18" s="2" customFormat="1" ht="12.75" x14ac:dyDescent="0.2">
      <c r="R29784" s="1288"/>
    </row>
    <row r="29785" spans="18:18" s="2" customFormat="1" ht="12.75" x14ac:dyDescent="0.2">
      <c r="R29785" s="1288"/>
    </row>
    <row r="29786" spans="18:18" s="2" customFormat="1" ht="12.75" x14ac:dyDescent="0.2">
      <c r="R29786" s="1288"/>
    </row>
    <row r="29787" spans="18:18" s="2" customFormat="1" ht="12.75" x14ac:dyDescent="0.2">
      <c r="R29787" s="1288"/>
    </row>
    <row r="29788" spans="18:18" s="2" customFormat="1" ht="12.75" x14ac:dyDescent="0.2">
      <c r="R29788" s="1288"/>
    </row>
    <row r="29789" spans="18:18" s="2" customFormat="1" ht="12.75" x14ac:dyDescent="0.2">
      <c r="R29789" s="1288"/>
    </row>
    <row r="29790" spans="18:18" s="2" customFormat="1" ht="12.75" x14ac:dyDescent="0.2">
      <c r="R29790" s="1288"/>
    </row>
    <row r="29791" spans="18:18" s="2" customFormat="1" ht="12.75" x14ac:dyDescent="0.2">
      <c r="R29791" s="1288"/>
    </row>
    <row r="29792" spans="18:18" s="2" customFormat="1" ht="12.75" x14ac:dyDescent="0.2">
      <c r="R29792" s="1288"/>
    </row>
    <row r="29793" spans="18:18" s="2" customFormat="1" ht="12.75" x14ac:dyDescent="0.2">
      <c r="R29793" s="1288"/>
    </row>
    <row r="29794" spans="18:18" s="2" customFormat="1" ht="12.75" x14ac:dyDescent="0.2">
      <c r="R29794" s="1288"/>
    </row>
    <row r="29795" spans="18:18" s="2" customFormat="1" ht="12.75" x14ac:dyDescent="0.2">
      <c r="R29795" s="1288"/>
    </row>
    <row r="29796" spans="18:18" s="2" customFormat="1" ht="12.75" x14ac:dyDescent="0.2">
      <c r="R29796" s="1288"/>
    </row>
    <row r="29797" spans="18:18" s="2" customFormat="1" ht="12.75" x14ac:dyDescent="0.2">
      <c r="R29797" s="1288"/>
    </row>
    <row r="29798" spans="18:18" s="2" customFormat="1" ht="12.75" x14ac:dyDescent="0.2">
      <c r="R29798" s="1288"/>
    </row>
    <row r="29799" spans="18:18" s="2" customFormat="1" ht="12.75" x14ac:dyDescent="0.2">
      <c r="R29799" s="1288"/>
    </row>
    <row r="29800" spans="18:18" s="2" customFormat="1" ht="12.75" x14ac:dyDescent="0.2">
      <c r="R29800" s="1288"/>
    </row>
    <row r="29801" spans="18:18" s="2" customFormat="1" ht="12.75" x14ac:dyDescent="0.2">
      <c r="R29801" s="1288"/>
    </row>
    <row r="29802" spans="18:18" s="2" customFormat="1" ht="12.75" x14ac:dyDescent="0.2">
      <c r="R29802" s="1288"/>
    </row>
    <row r="29803" spans="18:18" s="2" customFormat="1" ht="12.75" x14ac:dyDescent="0.2">
      <c r="R29803" s="1288"/>
    </row>
    <row r="29804" spans="18:18" s="2" customFormat="1" ht="12.75" x14ac:dyDescent="0.2">
      <c r="R29804" s="1288"/>
    </row>
    <row r="29805" spans="18:18" s="2" customFormat="1" ht="12.75" x14ac:dyDescent="0.2">
      <c r="R29805" s="1288"/>
    </row>
    <row r="29806" spans="18:18" s="2" customFormat="1" ht="12.75" x14ac:dyDescent="0.2">
      <c r="R29806" s="1288"/>
    </row>
    <row r="29807" spans="18:18" s="2" customFormat="1" ht="12.75" x14ac:dyDescent="0.2">
      <c r="R29807" s="1288"/>
    </row>
    <row r="29808" spans="18:18" s="2" customFormat="1" ht="12.75" x14ac:dyDescent="0.2">
      <c r="R29808" s="1288"/>
    </row>
    <row r="29809" spans="18:18" s="2" customFormat="1" ht="12.75" x14ac:dyDescent="0.2">
      <c r="R29809" s="1288"/>
    </row>
    <row r="29810" spans="18:18" s="2" customFormat="1" ht="12.75" x14ac:dyDescent="0.2">
      <c r="R29810" s="1288"/>
    </row>
    <row r="29811" spans="18:18" s="2" customFormat="1" ht="12.75" x14ac:dyDescent="0.2">
      <c r="R29811" s="1288"/>
    </row>
    <row r="29812" spans="18:18" s="2" customFormat="1" ht="12.75" x14ac:dyDescent="0.2">
      <c r="R29812" s="1288"/>
    </row>
    <row r="29813" spans="18:18" s="2" customFormat="1" ht="12.75" x14ac:dyDescent="0.2">
      <c r="R29813" s="1288"/>
    </row>
    <row r="29814" spans="18:18" s="2" customFormat="1" ht="12.75" x14ac:dyDescent="0.2">
      <c r="R29814" s="1288"/>
    </row>
    <row r="29815" spans="18:18" s="2" customFormat="1" ht="12.75" x14ac:dyDescent="0.2">
      <c r="R29815" s="1288"/>
    </row>
    <row r="29816" spans="18:18" s="2" customFormat="1" ht="12.75" x14ac:dyDescent="0.2">
      <c r="R29816" s="1288"/>
    </row>
    <row r="29817" spans="18:18" s="2" customFormat="1" ht="12.75" x14ac:dyDescent="0.2">
      <c r="R29817" s="1288"/>
    </row>
    <row r="29818" spans="18:18" s="2" customFormat="1" ht="12.75" x14ac:dyDescent="0.2">
      <c r="R29818" s="1288"/>
    </row>
    <row r="29819" spans="18:18" s="2" customFormat="1" ht="12.75" x14ac:dyDescent="0.2">
      <c r="R29819" s="1288"/>
    </row>
    <row r="29820" spans="18:18" s="2" customFormat="1" ht="12.75" x14ac:dyDescent="0.2">
      <c r="R29820" s="1288"/>
    </row>
    <row r="29821" spans="18:18" s="2" customFormat="1" ht="12.75" x14ac:dyDescent="0.2">
      <c r="R29821" s="1288"/>
    </row>
    <row r="29822" spans="18:18" s="2" customFormat="1" ht="12.75" x14ac:dyDescent="0.2">
      <c r="R29822" s="1288"/>
    </row>
    <row r="29823" spans="18:18" s="2" customFormat="1" ht="12.75" x14ac:dyDescent="0.2">
      <c r="R29823" s="1288"/>
    </row>
    <row r="29824" spans="18:18" s="2" customFormat="1" ht="12.75" x14ac:dyDescent="0.2">
      <c r="R29824" s="1288"/>
    </row>
    <row r="29825" spans="18:18" s="2" customFormat="1" ht="12.75" x14ac:dyDescent="0.2">
      <c r="R29825" s="1288"/>
    </row>
    <row r="29826" spans="18:18" s="2" customFormat="1" ht="12.75" x14ac:dyDescent="0.2">
      <c r="R29826" s="1288"/>
    </row>
    <row r="29827" spans="18:18" s="2" customFormat="1" ht="12.75" x14ac:dyDescent="0.2">
      <c r="R29827" s="1288"/>
    </row>
    <row r="29828" spans="18:18" s="2" customFormat="1" ht="12.75" x14ac:dyDescent="0.2">
      <c r="R29828" s="1288"/>
    </row>
    <row r="29829" spans="18:18" s="2" customFormat="1" ht="12.75" x14ac:dyDescent="0.2">
      <c r="R29829" s="1288"/>
    </row>
    <row r="29830" spans="18:18" s="2" customFormat="1" ht="12.75" x14ac:dyDescent="0.2">
      <c r="R29830" s="1288"/>
    </row>
    <row r="29831" spans="18:18" s="2" customFormat="1" ht="12.75" x14ac:dyDescent="0.2">
      <c r="R29831" s="1288"/>
    </row>
    <row r="29832" spans="18:18" s="2" customFormat="1" ht="12.75" x14ac:dyDescent="0.2">
      <c r="R29832" s="1288"/>
    </row>
    <row r="29833" spans="18:18" s="2" customFormat="1" ht="12.75" x14ac:dyDescent="0.2">
      <c r="R29833" s="1288"/>
    </row>
    <row r="29834" spans="18:18" s="2" customFormat="1" ht="12.75" x14ac:dyDescent="0.2">
      <c r="R29834" s="1288"/>
    </row>
    <row r="29835" spans="18:18" s="2" customFormat="1" ht="12.75" x14ac:dyDescent="0.2">
      <c r="R29835" s="1288"/>
    </row>
    <row r="29836" spans="18:18" s="2" customFormat="1" ht="12.75" x14ac:dyDescent="0.2">
      <c r="R29836" s="1288"/>
    </row>
    <row r="29837" spans="18:18" s="2" customFormat="1" ht="12.75" x14ac:dyDescent="0.2">
      <c r="R29837" s="1288"/>
    </row>
    <row r="29838" spans="18:18" s="2" customFormat="1" ht="12.75" x14ac:dyDescent="0.2">
      <c r="R29838" s="1288"/>
    </row>
    <row r="29839" spans="18:18" s="2" customFormat="1" ht="12.75" x14ac:dyDescent="0.2">
      <c r="R29839" s="1288"/>
    </row>
    <row r="29840" spans="18:18" s="2" customFormat="1" ht="12.75" x14ac:dyDescent="0.2">
      <c r="R29840" s="1288"/>
    </row>
    <row r="29841" spans="18:18" s="2" customFormat="1" ht="12.75" x14ac:dyDescent="0.2">
      <c r="R29841" s="1288"/>
    </row>
    <row r="29842" spans="18:18" s="2" customFormat="1" ht="12.75" x14ac:dyDescent="0.2">
      <c r="R29842" s="1288"/>
    </row>
    <row r="29843" spans="18:18" s="2" customFormat="1" ht="12.75" x14ac:dyDescent="0.2">
      <c r="R29843" s="1288"/>
    </row>
    <row r="29844" spans="18:18" s="2" customFormat="1" ht="12.75" x14ac:dyDescent="0.2">
      <c r="R29844" s="1288"/>
    </row>
    <row r="29845" spans="18:18" s="2" customFormat="1" ht="12.75" x14ac:dyDescent="0.2">
      <c r="R29845" s="1288"/>
    </row>
    <row r="29846" spans="18:18" s="2" customFormat="1" ht="12.75" x14ac:dyDescent="0.2">
      <c r="R29846" s="1288"/>
    </row>
    <row r="29847" spans="18:18" s="2" customFormat="1" ht="12.75" x14ac:dyDescent="0.2">
      <c r="R29847" s="1288"/>
    </row>
    <row r="29848" spans="18:18" s="2" customFormat="1" ht="12.75" x14ac:dyDescent="0.2">
      <c r="R29848" s="1288"/>
    </row>
    <row r="29849" spans="18:18" s="2" customFormat="1" ht="12.75" x14ac:dyDescent="0.2">
      <c r="R29849" s="1288"/>
    </row>
    <row r="29850" spans="18:18" s="2" customFormat="1" ht="12.75" x14ac:dyDescent="0.2">
      <c r="R29850" s="1288"/>
    </row>
    <row r="29851" spans="18:18" s="2" customFormat="1" ht="12.75" x14ac:dyDescent="0.2">
      <c r="R29851" s="1288"/>
    </row>
    <row r="29852" spans="18:18" s="2" customFormat="1" ht="12.75" x14ac:dyDescent="0.2">
      <c r="R29852" s="1288"/>
    </row>
    <row r="29853" spans="18:18" s="2" customFormat="1" ht="12.75" x14ac:dyDescent="0.2">
      <c r="R29853" s="1288"/>
    </row>
    <row r="29854" spans="18:18" s="2" customFormat="1" ht="12.75" x14ac:dyDescent="0.2">
      <c r="R29854" s="1288"/>
    </row>
    <row r="29855" spans="18:18" s="2" customFormat="1" ht="12.75" x14ac:dyDescent="0.2">
      <c r="R29855" s="1288"/>
    </row>
    <row r="29856" spans="18:18" s="2" customFormat="1" ht="12.75" x14ac:dyDescent="0.2">
      <c r="R29856" s="1288"/>
    </row>
    <row r="29857" spans="18:18" s="2" customFormat="1" ht="12.75" x14ac:dyDescent="0.2">
      <c r="R29857" s="1288"/>
    </row>
    <row r="29858" spans="18:18" s="2" customFormat="1" ht="12.75" x14ac:dyDescent="0.2">
      <c r="R29858" s="1288"/>
    </row>
    <row r="29859" spans="18:18" s="2" customFormat="1" ht="12.75" x14ac:dyDescent="0.2">
      <c r="R29859" s="1288"/>
    </row>
    <row r="29860" spans="18:18" s="2" customFormat="1" ht="12.75" x14ac:dyDescent="0.2">
      <c r="R29860" s="1288"/>
    </row>
    <row r="29861" spans="18:18" s="2" customFormat="1" ht="12.75" x14ac:dyDescent="0.2">
      <c r="R29861" s="1288"/>
    </row>
    <row r="29862" spans="18:18" s="2" customFormat="1" ht="12.75" x14ac:dyDescent="0.2">
      <c r="R29862" s="1288"/>
    </row>
    <row r="29863" spans="18:18" s="2" customFormat="1" ht="12.75" x14ac:dyDescent="0.2">
      <c r="R29863" s="1288"/>
    </row>
    <row r="29864" spans="18:18" s="2" customFormat="1" ht="12.75" x14ac:dyDescent="0.2">
      <c r="R29864" s="1288"/>
    </row>
    <row r="29865" spans="18:18" s="2" customFormat="1" ht="12.75" x14ac:dyDescent="0.2">
      <c r="R29865" s="1288"/>
    </row>
    <row r="29866" spans="18:18" s="2" customFormat="1" ht="12.75" x14ac:dyDescent="0.2">
      <c r="R29866" s="1288"/>
    </row>
    <row r="29867" spans="18:18" s="2" customFormat="1" ht="12.75" x14ac:dyDescent="0.2">
      <c r="R29867" s="1288"/>
    </row>
    <row r="29868" spans="18:18" s="2" customFormat="1" ht="12.75" x14ac:dyDescent="0.2">
      <c r="R29868" s="1288"/>
    </row>
    <row r="29869" spans="18:18" s="2" customFormat="1" ht="12.75" x14ac:dyDescent="0.2">
      <c r="R29869" s="1288"/>
    </row>
    <row r="29870" spans="18:18" s="2" customFormat="1" ht="12.75" x14ac:dyDescent="0.2">
      <c r="R29870" s="1288"/>
    </row>
    <row r="29871" spans="18:18" s="2" customFormat="1" ht="12.75" x14ac:dyDescent="0.2">
      <c r="R29871" s="1288"/>
    </row>
    <row r="29872" spans="18:18" s="2" customFormat="1" ht="12.75" x14ac:dyDescent="0.2">
      <c r="R29872" s="1288"/>
    </row>
    <row r="29873" spans="18:18" s="2" customFormat="1" ht="12.75" x14ac:dyDescent="0.2">
      <c r="R29873" s="1288"/>
    </row>
    <row r="29874" spans="18:18" s="2" customFormat="1" ht="12.75" x14ac:dyDescent="0.2">
      <c r="R29874" s="1288"/>
    </row>
    <row r="29875" spans="18:18" s="2" customFormat="1" ht="12.75" x14ac:dyDescent="0.2">
      <c r="R29875" s="1288"/>
    </row>
    <row r="29876" spans="18:18" s="2" customFormat="1" ht="12.75" x14ac:dyDescent="0.2">
      <c r="R29876" s="1288"/>
    </row>
    <row r="29877" spans="18:18" s="2" customFormat="1" ht="12.75" x14ac:dyDescent="0.2">
      <c r="R29877" s="1288"/>
    </row>
    <row r="29878" spans="18:18" s="2" customFormat="1" ht="12.75" x14ac:dyDescent="0.2">
      <c r="R29878" s="1288"/>
    </row>
    <row r="29879" spans="18:18" s="2" customFormat="1" ht="12.75" x14ac:dyDescent="0.2">
      <c r="R29879" s="1288"/>
    </row>
    <row r="29880" spans="18:18" s="2" customFormat="1" ht="12.75" x14ac:dyDescent="0.2">
      <c r="R29880" s="1288"/>
    </row>
    <row r="29881" spans="18:18" s="2" customFormat="1" ht="12.75" x14ac:dyDescent="0.2">
      <c r="R29881" s="1288"/>
    </row>
    <row r="29882" spans="18:18" s="2" customFormat="1" ht="12.75" x14ac:dyDescent="0.2">
      <c r="R29882" s="1288"/>
    </row>
    <row r="29883" spans="18:18" s="2" customFormat="1" ht="12.75" x14ac:dyDescent="0.2">
      <c r="R29883" s="1288"/>
    </row>
    <row r="29884" spans="18:18" s="2" customFormat="1" ht="12.75" x14ac:dyDescent="0.2">
      <c r="R29884" s="1288"/>
    </row>
    <row r="29885" spans="18:18" s="2" customFormat="1" ht="12.75" x14ac:dyDescent="0.2">
      <c r="R29885" s="1288"/>
    </row>
    <row r="29886" spans="18:18" s="2" customFormat="1" ht="12.75" x14ac:dyDescent="0.2">
      <c r="R29886" s="1288"/>
    </row>
    <row r="29887" spans="18:18" s="2" customFormat="1" ht="12.75" x14ac:dyDescent="0.2">
      <c r="R29887" s="1288"/>
    </row>
    <row r="29888" spans="18:18" s="2" customFormat="1" ht="12.75" x14ac:dyDescent="0.2">
      <c r="R29888" s="1288"/>
    </row>
    <row r="29889" spans="18:18" s="2" customFormat="1" ht="12.75" x14ac:dyDescent="0.2">
      <c r="R29889" s="1288"/>
    </row>
    <row r="29890" spans="18:18" s="2" customFormat="1" ht="12.75" x14ac:dyDescent="0.2">
      <c r="R29890" s="1288"/>
    </row>
    <row r="29891" spans="18:18" s="2" customFormat="1" ht="12.75" x14ac:dyDescent="0.2">
      <c r="R29891" s="1288"/>
    </row>
    <row r="29892" spans="18:18" s="2" customFormat="1" ht="12.75" x14ac:dyDescent="0.2">
      <c r="R29892" s="1288"/>
    </row>
    <row r="29893" spans="18:18" s="2" customFormat="1" ht="12.75" x14ac:dyDescent="0.2">
      <c r="R29893" s="1288"/>
    </row>
    <row r="29894" spans="18:18" s="2" customFormat="1" ht="12.75" x14ac:dyDescent="0.2">
      <c r="R29894" s="1288"/>
    </row>
    <row r="29895" spans="18:18" s="2" customFormat="1" ht="12.75" x14ac:dyDescent="0.2">
      <c r="R29895" s="1288"/>
    </row>
    <row r="29896" spans="18:18" s="2" customFormat="1" ht="12.75" x14ac:dyDescent="0.2">
      <c r="R29896" s="1288"/>
    </row>
    <row r="29897" spans="18:18" s="2" customFormat="1" ht="12.75" x14ac:dyDescent="0.2">
      <c r="R29897" s="1288"/>
    </row>
    <row r="29898" spans="18:18" s="2" customFormat="1" ht="12.75" x14ac:dyDescent="0.2">
      <c r="R29898" s="1288"/>
    </row>
    <row r="29899" spans="18:18" s="2" customFormat="1" ht="12.75" x14ac:dyDescent="0.2">
      <c r="R29899" s="1288"/>
    </row>
    <row r="29900" spans="18:18" s="2" customFormat="1" ht="12.75" x14ac:dyDescent="0.2">
      <c r="R29900" s="1288"/>
    </row>
    <row r="29901" spans="18:18" s="2" customFormat="1" ht="12.75" x14ac:dyDescent="0.2">
      <c r="R29901" s="1288"/>
    </row>
    <row r="29902" spans="18:18" s="2" customFormat="1" ht="12.75" x14ac:dyDescent="0.2">
      <c r="R29902" s="1288"/>
    </row>
    <row r="29903" spans="18:18" s="2" customFormat="1" ht="12.75" x14ac:dyDescent="0.2">
      <c r="R29903" s="1288"/>
    </row>
    <row r="29904" spans="18:18" s="2" customFormat="1" ht="12.75" x14ac:dyDescent="0.2">
      <c r="R29904" s="1288"/>
    </row>
    <row r="29905" spans="18:18" s="2" customFormat="1" ht="12.75" x14ac:dyDescent="0.2">
      <c r="R29905" s="1288"/>
    </row>
    <row r="29906" spans="18:18" s="2" customFormat="1" ht="12.75" x14ac:dyDescent="0.2">
      <c r="R29906" s="1288"/>
    </row>
    <row r="29907" spans="18:18" s="2" customFormat="1" ht="12.75" x14ac:dyDescent="0.2">
      <c r="R29907" s="1288"/>
    </row>
    <row r="29908" spans="18:18" s="2" customFormat="1" ht="12.75" x14ac:dyDescent="0.2">
      <c r="R29908" s="1288"/>
    </row>
    <row r="29909" spans="18:18" s="2" customFormat="1" ht="12.75" x14ac:dyDescent="0.2">
      <c r="R29909" s="1288"/>
    </row>
    <row r="29910" spans="18:18" s="2" customFormat="1" ht="12.75" x14ac:dyDescent="0.2">
      <c r="R29910" s="1288"/>
    </row>
    <row r="29911" spans="18:18" s="2" customFormat="1" ht="12.75" x14ac:dyDescent="0.2">
      <c r="R29911" s="1288"/>
    </row>
    <row r="29912" spans="18:18" s="2" customFormat="1" ht="12.75" x14ac:dyDescent="0.2">
      <c r="R29912" s="1288"/>
    </row>
    <row r="29913" spans="18:18" s="2" customFormat="1" ht="12.75" x14ac:dyDescent="0.2">
      <c r="R29913" s="1288"/>
    </row>
    <row r="29914" spans="18:18" s="2" customFormat="1" ht="12.75" x14ac:dyDescent="0.2">
      <c r="R29914" s="1288"/>
    </row>
    <row r="29915" spans="18:18" s="2" customFormat="1" ht="12.75" x14ac:dyDescent="0.2">
      <c r="R29915" s="1288"/>
    </row>
    <row r="29916" spans="18:18" s="2" customFormat="1" ht="12.75" x14ac:dyDescent="0.2">
      <c r="R29916" s="1288"/>
    </row>
    <row r="29917" spans="18:18" s="2" customFormat="1" ht="12.75" x14ac:dyDescent="0.2">
      <c r="R29917" s="1288"/>
    </row>
    <row r="29918" spans="18:18" s="2" customFormat="1" ht="12.75" x14ac:dyDescent="0.2">
      <c r="R29918" s="1288"/>
    </row>
    <row r="29919" spans="18:18" s="2" customFormat="1" ht="12.75" x14ac:dyDescent="0.2">
      <c r="R29919" s="1288"/>
    </row>
    <row r="29920" spans="18:18" s="2" customFormat="1" ht="12.75" x14ac:dyDescent="0.2">
      <c r="R29920" s="1288"/>
    </row>
    <row r="29921" spans="18:18" s="2" customFormat="1" ht="12.75" x14ac:dyDescent="0.2">
      <c r="R29921" s="1288"/>
    </row>
    <row r="29922" spans="18:18" s="2" customFormat="1" ht="12.75" x14ac:dyDescent="0.2">
      <c r="R29922" s="1288"/>
    </row>
    <row r="29923" spans="18:18" s="2" customFormat="1" ht="12.75" x14ac:dyDescent="0.2">
      <c r="R29923" s="1288"/>
    </row>
    <row r="29924" spans="18:18" s="2" customFormat="1" ht="12.75" x14ac:dyDescent="0.2">
      <c r="R29924" s="1288"/>
    </row>
    <row r="29925" spans="18:18" s="2" customFormat="1" ht="12.75" x14ac:dyDescent="0.2">
      <c r="R29925" s="1288"/>
    </row>
    <row r="29926" spans="18:18" s="2" customFormat="1" ht="12.75" x14ac:dyDescent="0.2">
      <c r="R29926" s="1288"/>
    </row>
    <row r="29927" spans="18:18" s="2" customFormat="1" ht="12.75" x14ac:dyDescent="0.2">
      <c r="R29927" s="1288"/>
    </row>
    <row r="29928" spans="18:18" s="2" customFormat="1" ht="12.75" x14ac:dyDescent="0.2">
      <c r="R29928" s="1288"/>
    </row>
    <row r="29929" spans="18:18" s="2" customFormat="1" ht="12.75" x14ac:dyDescent="0.2">
      <c r="R29929" s="1288"/>
    </row>
    <row r="29930" spans="18:18" s="2" customFormat="1" ht="12.75" x14ac:dyDescent="0.2">
      <c r="R29930" s="1288"/>
    </row>
    <row r="29931" spans="18:18" s="2" customFormat="1" ht="12.75" x14ac:dyDescent="0.2">
      <c r="R29931" s="1288"/>
    </row>
    <row r="29932" spans="18:18" s="2" customFormat="1" ht="12.75" x14ac:dyDescent="0.2">
      <c r="R29932" s="1288"/>
    </row>
    <row r="29933" spans="18:18" s="2" customFormat="1" ht="12.75" x14ac:dyDescent="0.2">
      <c r="R29933" s="1288"/>
    </row>
    <row r="29934" spans="18:18" s="2" customFormat="1" ht="12.75" x14ac:dyDescent="0.2">
      <c r="R29934" s="1288"/>
    </row>
    <row r="29935" spans="18:18" s="2" customFormat="1" ht="12.75" x14ac:dyDescent="0.2">
      <c r="R29935" s="1288"/>
    </row>
    <row r="29936" spans="18:18" s="2" customFormat="1" ht="12.75" x14ac:dyDescent="0.2">
      <c r="R29936" s="1288"/>
    </row>
    <row r="29937" spans="18:18" s="2" customFormat="1" ht="12.75" x14ac:dyDescent="0.2">
      <c r="R29937" s="1288"/>
    </row>
    <row r="29938" spans="18:18" s="2" customFormat="1" ht="12.75" x14ac:dyDescent="0.2">
      <c r="R29938" s="1288"/>
    </row>
    <row r="29939" spans="18:18" s="2" customFormat="1" ht="12.75" x14ac:dyDescent="0.2">
      <c r="R29939" s="1288"/>
    </row>
    <row r="29940" spans="18:18" s="2" customFormat="1" ht="12.75" x14ac:dyDescent="0.2">
      <c r="R29940" s="1288"/>
    </row>
    <row r="29941" spans="18:18" s="2" customFormat="1" ht="12.75" x14ac:dyDescent="0.2">
      <c r="R29941" s="1288"/>
    </row>
    <row r="29942" spans="18:18" s="2" customFormat="1" ht="12.75" x14ac:dyDescent="0.2">
      <c r="R29942" s="1288"/>
    </row>
    <row r="29943" spans="18:18" s="2" customFormat="1" ht="12.75" x14ac:dyDescent="0.2">
      <c r="R29943" s="1288"/>
    </row>
    <row r="29944" spans="18:18" s="2" customFormat="1" ht="12.75" x14ac:dyDescent="0.2">
      <c r="R29944" s="1288"/>
    </row>
    <row r="29945" spans="18:18" s="2" customFormat="1" ht="12.75" x14ac:dyDescent="0.2">
      <c r="R29945" s="1288"/>
    </row>
    <row r="29946" spans="18:18" s="2" customFormat="1" ht="12.75" x14ac:dyDescent="0.2">
      <c r="R29946" s="1288"/>
    </row>
    <row r="29947" spans="18:18" s="2" customFormat="1" ht="12.75" x14ac:dyDescent="0.2">
      <c r="R29947" s="1288"/>
    </row>
    <row r="29948" spans="18:18" s="2" customFormat="1" ht="12.75" x14ac:dyDescent="0.2">
      <c r="R29948" s="1288"/>
    </row>
    <row r="29949" spans="18:18" s="2" customFormat="1" ht="12.75" x14ac:dyDescent="0.2">
      <c r="R29949" s="1288"/>
    </row>
    <row r="29950" spans="18:18" s="2" customFormat="1" ht="12.75" x14ac:dyDescent="0.2">
      <c r="R29950" s="1288"/>
    </row>
    <row r="29951" spans="18:18" s="2" customFormat="1" ht="12.75" x14ac:dyDescent="0.2">
      <c r="R29951" s="1288"/>
    </row>
    <row r="29952" spans="18:18" s="2" customFormat="1" ht="12.75" x14ac:dyDescent="0.2">
      <c r="R29952" s="1288"/>
    </row>
    <row r="29953" spans="18:18" s="2" customFormat="1" ht="12.75" x14ac:dyDescent="0.2">
      <c r="R29953" s="1288"/>
    </row>
    <row r="29954" spans="18:18" s="2" customFormat="1" ht="12.75" x14ac:dyDescent="0.2">
      <c r="R29954" s="1288"/>
    </row>
    <row r="29955" spans="18:18" s="2" customFormat="1" ht="12.75" x14ac:dyDescent="0.2">
      <c r="R29955" s="1288"/>
    </row>
    <row r="29956" spans="18:18" s="2" customFormat="1" ht="12.75" x14ac:dyDescent="0.2">
      <c r="R29956" s="1288"/>
    </row>
    <row r="29957" spans="18:18" s="2" customFormat="1" ht="12.75" x14ac:dyDescent="0.2">
      <c r="R29957" s="1288"/>
    </row>
    <row r="29958" spans="18:18" s="2" customFormat="1" ht="12.75" x14ac:dyDescent="0.2">
      <c r="R29958" s="1288"/>
    </row>
    <row r="29959" spans="18:18" s="2" customFormat="1" ht="12.75" x14ac:dyDescent="0.2">
      <c r="R29959" s="1288"/>
    </row>
    <row r="29960" spans="18:18" s="2" customFormat="1" ht="12.75" x14ac:dyDescent="0.2">
      <c r="R29960" s="1288"/>
    </row>
    <row r="29961" spans="18:18" s="2" customFormat="1" ht="12.75" x14ac:dyDescent="0.2">
      <c r="R29961" s="1288"/>
    </row>
    <row r="29962" spans="18:18" s="2" customFormat="1" ht="12.75" x14ac:dyDescent="0.2">
      <c r="R29962" s="1288"/>
    </row>
    <row r="29963" spans="18:18" s="2" customFormat="1" ht="12.75" x14ac:dyDescent="0.2">
      <c r="R29963" s="1288"/>
    </row>
    <row r="29964" spans="18:18" s="2" customFormat="1" ht="12.75" x14ac:dyDescent="0.2">
      <c r="R29964" s="1288"/>
    </row>
    <row r="29965" spans="18:18" s="2" customFormat="1" ht="12.75" x14ac:dyDescent="0.2">
      <c r="R29965" s="1288"/>
    </row>
    <row r="29966" spans="18:18" s="2" customFormat="1" ht="12.75" x14ac:dyDescent="0.2">
      <c r="R29966" s="1288"/>
    </row>
    <row r="29967" spans="18:18" s="2" customFormat="1" ht="12.75" x14ac:dyDescent="0.2">
      <c r="R29967" s="1288"/>
    </row>
    <row r="29968" spans="18:18" s="2" customFormat="1" ht="12.75" x14ac:dyDescent="0.2">
      <c r="R29968" s="1288"/>
    </row>
    <row r="29969" spans="18:18" s="2" customFormat="1" ht="12.75" x14ac:dyDescent="0.2">
      <c r="R29969" s="1288"/>
    </row>
    <row r="29970" spans="18:18" s="2" customFormat="1" ht="12.75" x14ac:dyDescent="0.2">
      <c r="R29970" s="1288"/>
    </row>
    <row r="29971" spans="18:18" s="2" customFormat="1" ht="12.75" x14ac:dyDescent="0.2">
      <c r="R29971" s="1288"/>
    </row>
    <row r="29972" spans="18:18" s="2" customFormat="1" ht="12.75" x14ac:dyDescent="0.2">
      <c r="R29972" s="1288"/>
    </row>
    <row r="29973" spans="18:18" s="2" customFormat="1" ht="12.75" x14ac:dyDescent="0.2">
      <c r="R29973" s="1288"/>
    </row>
    <row r="29974" spans="18:18" s="2" customFormat="1" ht="12.75" x14ac:dyDescent="0.2">
      <c r="R29974" s="1288"/>
    </row>
    <row r="29975" spans="18:18" s="2" customFormat="1" ht="12.75" x14ac:dyDescent="0.2">
      <c r="R29975" s="1288"/>
    </row>
    <row r="29976" spans="18:18" s="2" customFormat="1" ht="12.75" x14ac:dyDescent="0.2">
      <c r="R29976" s="1288"/>
    </row>
    <row r="29977" spans="18:18" s="2" customFormat="1" ht="12.75" x14ac:dyDescent="0.2">
      <c r="R29977" s="1288"/>
    </row>
    <row r="29978" spans="18:18" s="2" customFormat="1" ht="12.75" x14ac:dyDescent="0.2">
      <c r="R29978" s="1288"/>
    </row>
    <row r="29979" spans="18:18" s="2" customFormat="1" ht="12.75" x14ac:dyDescent="0.2">
      <c r="R29979" s="1288"/>
    </row>
    <row r="29980" spans="18:18" s="2" customFormat="1" ht="12.75" x14ac:dyDescent="0.2">
      <c r="R29980" s="1288"/>
    </row>
    <row r="29981" spans="18:18" s="2" customFormat="1" ht="12.75" x14ac:dyDescent="0.2">
      <c r="R29981" s="1288"/>
    </row>
    <row r="29982" spans="18:18" s="2" customFormat="1" ht="12.75" x14ac:dyDescent="0.2">
      <c r="R29982" s="1288"/>
    </row>
    <row r="29983" spans="18:18" s="2" customFormat="1" ht="12.75" x14ac:dyDescent="0.2">
      <c r="R29983" s="1288"/>
    </row>
    <row r="29984" spans="18:18" s="2" customFormat="1" ht="12.75" x14ac:dyDescent="0.2">
      <c r="R29984" s="1288"/>
    </row>
    <row r="29985" spans="18:18" s="2" customFormat="1" ht="12.75" x14ac:dyDescent="0.2">
      <c r="R29985" s="1288"/>
    </row>
    <row r="29986" spans="18:18" s="2" customFormat="1" ht="12.75" x14ac:dyDescent="0.2">
      <c r="R29986" s="1288"/>
    </row>
    <row r="29987" spans="18:18" s="2" customFormat="1" ht="12.75" x14ac:dyDescent="0.2">
      <c r="R29987" s="1288"/>
    </row>
    <row r="29988" spans="18:18" s="2" customFormat="1" ht="12.75" x14ac:dyDescent="0.2">
      <c r="R29988" s="1288"/>
    </row>
    <row r="29989" spans="18:18" s="2" customFormat="1" ht="12.75" x14ac:dyDescent="0.2">
      <c r="R29989" s="1288"/>
    </row>
    <row r="29990" spans="18:18" s="2" customFormat="1" ht="12.75" x14ac:dyDescent="0.2">
      <c r="R29990" s="1288"/>
    </row>
    <row r="29991" spans="18:18" s="2" customFormat="1" ht="12.75" x14ac:dyDescent="0.2">
      <c r="R29991" s="1288"/>
    </row>
    <row r="29992" spans="18:18" s="2" customFormat="1" ht="12.75" x14ac:dyDescent="0.2">
      <c r="R29992" s="1288"/>
    </row>
    <row r="29993" spans="18:18" s="2" customFormat="1" ht="12.75" x14ac:dyDescent="0.2">
      <c r="R29993" s="1288"/>
    </row>
    <row r="29994" spans="18:18" s="2" customFormat="1" ht="12.75" x14ac:dyDescent="0.2">
      <c r="R29994" s="1288"/>
    </row>
    <row r="29995" spans="18:18" s="2" customFormat="1" ht="12.75" x14ac:dyDescent="0.2">
      <c r="R29995" s="1288"/>
    </row>
    <row r="29996" spans="18:18" s="2" customFormat="1" ht="12.75" x14ac:dyDescent="0.2">
      <c r="R29996" s="1288"/>
    </row>
    <row r="29997" spans="18:18" s="2" customFormat="1" ht="12.75" x14ac:dyDescent="0.2">
      <c r="R29997" s="1288"/>
    </row>
    <row r="29998" spans="18:18" s="2" customFormat="1" ht="12.75" x14ac:dyDescent="0.2">
      <c r="R29998" s="1288"/>
    </row>
    <row r="29999" spans="18:18" s="2" customFormat="1" ht="12.75" x14ac:dyDescent="0.2">
      <c r="R29999" s="1288"/>
    </row>
    <row r="30000" spans="18:18" s="2" customFormat="1" ht="12.75" x14ac:dyDescent="0.2">
      <c r="R30000" s="1288"/>
    </row>
    <row r="30001" spans="18:18" s="2" customFormat="1" ht="12.75" x14ac:dyDescent="0.2">
      <c r="R30001" s="1288"/>
    </row>
    <row r="30002" spans="18:18" s="2" customFormat="1" ht="12.75" x14ac:dyDescent="0.2">
      <c r="R30002" s="1288"/>
    </row>
    <row r="30003" spans="18:18" s="2" customFormat="1" ht="12.75" x14ac:dyDescent="0.2">
      <c r="R30003" s="1288"/>
    </row>
    <row r="30004" spans="18:18" s="2" customFormat="1" ht="12.75" x14ac:dyDescent="0.2">
      <c r="R30004" s="1288"/>
    </row>
    <row r="30005" spans="18:18" s="2" customFormat="1" ht="12.75" x14ac:dyDescent="0.2">
      <c r="R30005" s="1288"/>
    </row>
    <row r="30006" spans="18:18" s="2" customFormat="1" ht="12.75" x14ac:dyDescent="0.2">
      <c r="R30006" s="1288"/>
    </row>
    <row r="30007" spans="18:18" s="2" customFormat="1" ht="12.75" x14ac:dyDescent="0.2">
      <c r="R30007" s="1288"/>
    </row>
    <row r="30008" spans="18:18" s="2" customFormat="1" ht="12.75" x14ac:dyDescent="0.2">
      <c r="R30008" s="1288"/>
    </row>
    <row r="30009" spans="18:18" s="2" customFormat="1" ht="12.75" x14ac:dyDescent="0.2">
      <c r="R30009" s="1288"/>
    </row>
    <row r="30010" spans="18:18" s="2" customFormat="1" ht="12.75" x14ac:dyDescent="0.2">
      <c r="R30010" s="1288"/>
    </row>
    <row r="30011" spans="18:18" s="2" customFormat="1" ht="12.75" x14ac:dyDescent="0.2">
      <c r="R30011" s="1288"/>
    </row>
    <row r="30012" spans="18:18" s="2" customFormat="1" ht="12.75" x14ac:dyDescent="0.2">
      <c r="R30012" s="1288"/>
    </row>
    <row r="30013" spans="18:18" s="2" customFormat="1" ht="12.75" x14ac:dyDescent="0.2">
      <c r="R30013" s="1288"/>
    </row>
    <row r="30014" spans="18:18" s="2" customFormat="1" ht="12.75" x14ac:dyDescent="0.2">
      <c r="R30014" s="1288"/>
    </row>
    <row r="30015" spans="18:18" s="2" customFormat="1" ht="12.75" x14ac:dyDescent="0.2">
      <c r="R30015" s="1288"/>
    </row>
    <row r="30016" spans="18:18" s="2" customFormat="1" ht="12.75" x14ac:dyDescent="0.2">
      <c r="R30016" s="1288"/>
    </row>
    <row r="30017" spans="18:18" s="2" customFormat="1" ht="12.75" x14ac:dyDescent="0.2">
      <c r="R30017" s="1288"/>
    </row>
    <row r="30018" spans="18:18" s="2" customFormat="1" ht="12.75" x14ac:dyDescent="0.2">
      <c r="R30018" s="1288"/>
    </row>
    <row r="30019" spans="18:18" s="2" customFormat="1" ht="12.75" x14ac:dyDescent="0.2">
      <c r="R30019" s="1288"/>
    </row>
    <row r="30020" spans="18:18" s="2" customFormat="1" ht="12.75" x14ac:dyDescent="0.2">
      <c r="R30020" s="1288"/>
    </row>
    <row r="30021" spans="18:18" s="2" customFormat="1" ht="12.75" x14ac:dyDescent="0.2">
      <c r="R30021" s="1288"/>
    </row>
    <row r="30022" spans="18:18" s="2" customFormat="1" ht="12.75" x14ac:dyDescent="0.2">
      <c r="R30022" s="1288"/>
    </row>
    <row r="30023" spans="18:18" s="2" customFormat="1" ht="12.75" x14ac:dyDescent="0.2">
      <c r="R30023" s="1288"/>
    </row>
    <row r="30024" spans="18:18" s="2" customFormat="1" ht="12.75" x14ac:dyDescent="0.2">
      <c r="R30024" s="1288"/>
    </row>
    <row r="30025" spans="18:18" s="2" customFormat="1" ht="12.75" x14ac:dyDescent="0.2">
      <c r="R30025" s="1288"/>
    </row>
    <row r="30026" spans="18:18" s="2" customFormat="1" ht="12.75" x14ac:dyDescent="0.2">
      <c r="R30026" s="1288"/>
    </row>
    <row r="30027" spans="18:18" s="2" customFormat="1" ht="12.75" x14ac:dyDescent="0.2">
      <c r="R30027" s="1288"/>
    </row>
    <row r="30028" spans="18:18" s="2" customFormat="1" ht="12.75" x14ac:dyDescent="0.2">
      <c r="R30028" s="1288"/>
    </row>
    <row r="30029" spans="18:18" s="2" customFormat="1" ht="12.75" x14ac:dyDescent="0.2">
      <c r="R30029" s="1288"/>
    </row>
    <row r="30030" spans="18:18" s="2" customFormat="1" ht="12.75" x14ac:dyDescent="0.2">
      <c r="R30030" s="1288"/>
    </row>
    <row r="30031" spans="18:18" s="2" customFormat="1" ht="12.75" x14ac:dyDescent="0.2">
      <c r="R30031" s="1288"/>
    </row>
    <row r="30032" spans="18:18" s="2" customFormat="1" ht="12.75" x14ac:dyDescent="0.2">
      <c r="R30032" s="1288"/>
    </row>
    <row r="30033" spans="18:18" s="2" customFormat="1" ht="12.75" x14ac:dyDescent="0.2">
      <c r="R30033" s="1288"/>
    </row>
    <row r="30034" spans="18:18" s="2" customFormat="1" ht="12.75" x14ac:dyDescent="0.2">
      <c r="R30034" s="1288"/>
    </row>
    <row r="30035" spans="18:18" s="2" customFormat="1" ht="12.75" x14ac:dyDescent="0.2">
      <c r="R30035" s="1288"/>
    </row>
    <row r="30036" spans="18:18" s="2" customFormat="1" ht="12.75" x14ac:dyDescent="0.2">
      <c r="R30036" s="1288"/>
    </row>
    <row r="30037" spans="18:18" s="2" customFormat="1" ht="12.75" x14ac:dyDescent="0.2">
      <c r="R30037" s="1288"/>
    </row>
    <row r="30038" spans="18:18" s="2" customFormat="1" ht="12.75" x14ac:dyDescent="0.2">
      <c r="R30038" s="1288"/>
    </row>
    <row r="30039" spans="18:18" s="2" customFormat="1" ht="12.75" x14ac:dyDescent="0.2">
      <c r="R30039" s="1288"/>
    </row>
    <row r="30040" spans="18:18" s="2" customFormat="1" ht="12.75" x14ac:dyDescent="0.2">
      <c r="R30040" s="1288"/>
    </row>
    <row r="30041" spans="18:18" s="2" customFormat="1" ht="12.75" x14ac:dyDescent="0.2">
      <c r="R30041" s="1288"/>
    </row>
    <row r="30042" spans="18:18" s="2" customFormat="1" ht="12.75" x14ac:dyDescent="0.2">
      <c r="R30042" s="1288"/>
    </row>
    <row r="30043" spans="18:18" s="2" customFormat="1" ht="12.75" x14ac:dyDescent="0.2">
      <c r="R30043" s="1288"/>
    </row>
    <row r="30044" spans="18:18" s="2" customFormat="1" ht="12.75" x14ac:dyDescent="0.2">
      <c r="R30044" s="1288"/>
    </row>
    <row r="30045" spans="18:18" s="2" customFormat="1" ht="12.75" x14ac:dyDescent="0.2">
      <c r="R30045" s="1288"/>
    </row>
    <row r="30046" spans="18:18" s="2" customFormat="1" ht="12.75" x14ac:dyDescent="0.2">
      <c r="R30046" s="1288"/>
    </row>
    <row r="30047" spans="18:18" s="2" customFormat="1" ht="12.75" x14ac:dyDescent="0.2">
      <c r="R30047" s="1288"/>
    </row>
    <row r="30048" spans="18:18" s="2" customFormat="1" ht="12.75" x14ac:dyDescent="0.2">
      <c r="R30048" s="1288"/>
    </row>
    <row r="30049" spans="18:18" s="2" customFormat="1" ht="12.75" x14ac:dyDescent="0.2">
      <c r="R30049" s="1288"/>
    </row>
    <row r="30050" spans="18:18" s="2" customFormat="1" ht="12.75" x14ac:dyDescent="0.2">
      <c r="R30050" s="1288"/>
    </row>
    <row r="30051" spans="18:18" s="2" customFormat="1" ht="12.75" x14ac:dyDescent="0.2">
      <c r="R30051" s="1288"/>
    </row>
    <row r="30052" spans="18:18" s="2" customFormat="1" ht="12.75" x14ac:dyDescent="0.2">
      <c r="R30052" s="1288"/>
    </row>
    <row r="30053" spans="18:18" s="2" customFormat="1" ht="12.75" x14ac:dyDescent="0.2">
      <c r="R30053" s="1288"/>
    </row>
    <row r="30054" spans="18:18" s="2" customFormat="1" ht="12.75" x14ac:dyDescent="0.2">
      <c r="R30054" s="1288"/>
    </row>
    <row r="30055" spans="18:18" s="2" customFormat="1" ht="12.75" x14ac:dyDescent="0.2">
      <c r="R30055" s="1288"/>
    </row>
    <row r="30056" spans="18:18" s="2" customFormat="1" ht="12.75" x14ac:dyDescent="0.2">
      <c r="R30056" s="1288"/>
    </row>
    <row r="30057" spans="18:18" s="2" customFormat="1" ht="12.75" x14ac:dyDescent="0.2">
      <c r="R30057" s="1288"/>
    </row>
    <row r="30058" spans="18:18" s="2" customFormat="1" ht="12.75" x14ac:dyDescent="0.2">
      <c r="R30058" s="1288"/>
    </row>
    <row r="30059" spans="18:18" s="2" customFormat="1" ht="12.75" x14ac:dyDescent="0.2">
      <c r="R30059" s="1288"/>
    </row>
    <row r="30060" spans="18:18" s="2" customFormat="1" ht="12.75" x14ac:dyDescent="0.2">
      <c r="R30060" s="1288"/>
    </row>
    <row r="30061" spans="18:18" s="2" customFormat="1" ht="12.75" x14ac:dyDescent="0.2">
      <c r="R30061" s="1288"/>
    </row>
    <row r="30062" spans="18:18" s="2" customFormat="1" ht="12.75" x14ac:dyDescent="0.2">
      <c r="R30062" s="1288"/>
    </row>
    <row r="30063" spans="18:18" s="2" customFormat="1" ht="12.75" x14ac:dyDescent="0.2">
      <c r="R30063" s="1288"/>
    </row>
    <row r="30064" spans="18:18" s="2" customFormat="1" ht="12.75" x14ac:dyDescent="0.2">
      <c r="R30064" s="1288"/>
    </row>
    <row r="30065" spans="18:18" s="2" customFormat="1" ht="12.75" x14ac:dyDescent="0.2">
      <c r="R30065" s="1288"/>
    </row>
    <row r="30066" spans="18:18" s="2" customFormat="1" ht="12.75" x14ac:dyDescent="0.2">
      <c r="R30066" s="1288"/>
    </row>
    <row r="30067" spans="18:18" s="2" customFormat="1" ht="12.75" x14ac:dyDescent="0.2">
      <c r="R30067" s="1288"/>
    </row>
    <row r="30068" spans="18:18" s="2" customFormat="1" ht="12.75" x14ac:dyDescent="0.2">
      <c r="R30068" s="1288"/>
    </row>
    <row r="30069" spans="18:18" s="2" customFormat="1" ht="12.75" x14ac:dyDescent="0.2">
      <c r="R30069" s="1288"/>
    </row>
    <row r="30070" spans="18:18" s="2" customFormat="1" ht="12.75" x14ac:dyDescent="0.2">
      <c r="R30070" s="1288"/>
    </row>
    <row r="30071" spans="18:18" s="2" customFormat="1" ht="12.75" x14ac:dyDescent="0.2">
      <c r="R30071" s="1288"/>
    </row>
    <row r="30072" spans="18:18" s="2" customFormat="1" ht="12.75" x14ac:dyDescent="0.2">
      <c r="R30072" s="1288"/>
    </row>
    <row r="30073" spans="18:18" s="2" customFormat="1" ht="12.75" x14ac:dyDescent="0.2">
      <c r="R30073" s="1288"/>
    </row>
    <row r="30074" spans="18:18" s="2" customFormat="1" ht="12.75" x14ac:dyDescent="0.2">
      <c r="R30074" s="1288"/>
    </row>
    <row r="30075" spans="18:18" s="2" customFormat="1" ht="12.75" x14ac:dyDescent="0.2">
      <c r="R30075" s="1288"/>
    </row>
    <row r="30076" spans="18:18" s="2" customFormat="1" ht="12.75" x14ac:dyDescent="0.2">
      <c r="R30076" s="1288"/>
    </row>
    <row r="30077" spans="18:18" s="2" customFormat="1" ht="12.75" x14ac:dyDescent="0.2">
      <c r="R30077" s="1288"/>
    </row>
    <row r="30078" spans="18:18" s="2" customFormat="1" ht="12.75" x14ac:dyDescent="0.2">
      <c r="R30078" s="1288"/>
    </row>
    <row r="30079" spans="18:18" s="2" customFormat="1" ht="12.75" x14ac:dyDescent="0.2">
      <c r="R30079" s="1288"/>
    </row>
    <row r="30080" spans="18:18" s="2" customFormat="1" ht="12.75" x14ac:dyDescent="0.2">
      <c r="R30080" s="1288"/>
    </row>
    <row r="30081" spans="18:18" s="2" customFormat="1" ht="12.75" x14ac:dyDescent="0.2">
      <c r="R30081" s="1288"/>
    </row>
    <row r="30082" spans="18:18" s="2" customFormat="1" ht="12.75" x14ac:dyDescent="0.2">
      <c r="R30082" s="1288"/>
    </row>
    <row r="30083" spans="18:18" s="2" customFormat="1" ht="12.75" x14ac:dyDescent="0.2">
      <c r="R30083" s="1288"/>
    </row>
    <row r="30084" spans="18:18" s="2" customFormat="1" ht="12.75" x14ac:dyDescent="0.2">
      <c r="R30084" s="1288"/>
    </row>
    <row r="30085" spans="18:18" s="2" customFormat="1" ht="12.75" x14ac:dyDescent="0.2">
      <c r="R30085" s="1288"/>
    </row>
    <row r="30086" spans="18:18" s="2" customFormat="1" ht="12.75" x14ac:dyDescent="0.2">
      <c r="R30086" s="1288"/>
    </row>
    <row r="30087" spans="18:18" s="2" customFormat="1" ht="12.75" x14ac:dyDescent="0.2">
      <c r="R30087" s="1288"/>
    </row>
    <row r="30088" spans="18:18" s="2" customFormat="1" ht="12.75" x14ac:dyDescent="0.2">
      <c r="R30088" s="1288"/>
    </row>
    <row r="30089" spans="18:18" s="2" customFormat="1" ht="12.75" x14ac:dyDescent="0.2">
      <c r="R30089" s="1288"/>
    </row>
    <row r="30090" spans="18:18" s="2" customFormat="1" ht="12.75" x14ac:dyDescent="0.2">
      <c r="R30090" s="1288"/>
    </row>
    <row r="30091" spans="18:18" s="2" customFormat="1" ht="12.75" x14ac:dyDescent="0.2">
      <c r="R30091" s="1288"/>
    </row>
    <row r="30092" spans="18:18" s="2" customFormat="1" ht="12.75" x14ac:dyDescent="0.2">
      <c r="R30092" s="1288"/>
    </row>
    <row r="30093" spans="18:18" s="2" customFormat="1" ht="12.75" x14ac:dyDescent="0.2">
      <c r="R30093" s="1288"/>
    </row>
    <row r="30094" spans="18:18" s="2" customFormat="1" ht="12.75" x14ac:dyDescent="0.2">
      <c r="R30094" s="1288"/>
    </row>
    <row r="30095" spans="18:18" s="2" customFormat="1" ht="12.75" x14ac:dyDescent="0.2">
      <c r="R30095" s="1288"/>
    </row>
    <row r="30096" spans="18:18" s="2" customFormat="1" ht="12.75" x14ac:dyDescent="0.2">
      <c r="R30096" s="1288"/>
    </row>
    <row r="30097" spans="18:18" s="2" customFormat="1" ht="12.75" x14ac:dyDescent="0.2">
      <c r="R30097" s="1288"/>
    </row>
    <row r="30098" spans="18:18" s="2" customFormat="1" ht="12.75" x14ac:dyDescent="0.2">
      <c r="R30098" s="1288"/>
    </row>
    <row r="30099" spans="18:18" s="2" customFormat="1" ht="12.75" x14ac:dyDescent="0.2">
      <c r="R30099" s="1288"/>
    </row>
    <row r="30100" spans="18:18" s="2" customFormat="1" ht="12.75" x14ac:dyDescent="0.2">
      <c r="R30100" s="1288"/>
    </row>
    <row r="30101" spans="18:18" s="2" customFormat="1" ht="12.75" x14ac:dyDescent="0.2">
      <c r="R30101" s="1288"/>
    </row>
    <row r="30102" spans="18:18" s="2" customFormat="1" ht="12.75" x14ac:dyDescent="0.2">
      <c r="R30102" s="1288"/>
    </row>
    <row r="30103" spans="18:18" s="2" customFormat="1" ht="12.75" x14ac:dyDescent="0.2">
      <c r="R30103" s="1288"/>
    </row>
    <row r="30104" spans="18:18" s="2" customFormat="1" ht="12.75" x14ac:dyDescent="0.2">
      <c r="R30104" s="1288"/>
    </row>
    <row r="30105" spans="18:18" s="2" customFormat="1" ht="12.75" x14ac:dyDescent="0.2">
      <c r="R30105" s="1288"/>
    </row>
    <row r="30106" spans="18:18" s="2" customFormat="1" ht="12.75" x14ac:dyDescent="0.2">
      <c r="R30106" s="1288"/>
    </row>
    <row r="30107" spans="18:18" s="2" customFormat="1" ht="12.75" x14ac:dyDescent="0.2">
      <c r="R30107" s="1288"/>
    </row>
    <row r="30108" spans="18:18" s="2" customFormat="1" ht="12.75" x14ac:dyDescent="0.2">
      <c r="R30108" s="1288"/>
    </row>
    <row r="30109" spans="18:18" s="2" customFormat="1" ht="12.75" x14ac:dyDescent="0.2">
      <c r="R30109" s="1288"/>
    </row>
    <row r="30110" spans="18:18" s="2" customFormat="1" ht="12.75" x14ac:dyDescent="0.2">
      <c r="R30110" s="1288"/>
    </row>
    <row r="30111" spans="18:18" s="2" customFormat="1" ht="12.75" x14ac:dyDescent="0.2">
      <c r="R30111" s="1288"/>
    </row>
    <row r="30112" spans="18:18" s="2" customFormat="1" ht="12.75" x14ac:dyDescent="0.2">
      <c r="R30112" s="1288"/>
    </row>
    <row r="30113" spans="18:18" s="2" customFormat="1" ht="12.75" x14ac:dyDescent="0.2">
      <c r="R30113" s="1288"/>
    </row>
    <row r="30114" spans="18:18" s="2" customFormat="1" ht="12.75" x14ac:dyDescent="0.2">
      <c r="R30114" s="1288"/>
    </row>
    <row r="30115" spans="18:18" s="2" customFormat="1" ht="12.75" x14ac:dyDescent="0.2">
      <c r="R30115" s="1288"/>
    </row>
    <row r="30116" spans="18:18" s="2" customFormat="1" ht="12.75" x14ac:dyDescent="0.2">
      <c r="R30116" s="1288"/>
    </row>
    <row r="30117" spans="18:18" s="2" customFormat="1" ht="12.75" x14ac:dyDescent="0.2">
      <c r="R30117" s="1288"/>
    </row>
    <row r="30118" spans="18:18" s="2" customFormat="1" ht="12.75" x14ac:dyDescent="0.2">
      <c r="R30118" s="1288"/>
    </row>
    <row r="30119" spans="18:18" s="2" customFormat="1" ht="12.75" x14ac:dyDescent="0.2">
      <c r="R30119" s="1288"/>
    </row>
    <row r="30120" spans="18:18" s="2" customFormat="1" ht="12.75" x14ac:dyDescent="0.2">
      <c r="R30120" s="1288"/>
    </row>
    <row r="30121" spans="18:18" s="2" customFormat="1" ht="12.75" x14ac:dyDescent="0.2">
      <c r="R30121" s="1288"/>
    </row>
    <row r="30122" spans="18:18" s="2" customFormat="1" ht="12.75" x14ac:dyDescent="0.2">
      <c r="R30122" s="1288"/>
    </row>
    <row r="30123" spans="18:18" s="2" customFormat="1" ht="12.75" x14ac:dyDescent="0.2">
      <c r="R30123" s="1288"/>
    </row>
    <row r="30124" spans="18:18" s="2" customFormat="1" ht="12.75" x14ac:dyDescent="0.2">
      <c r="R30124" s="1288"/>
    </row>
    <row r="30125" spans="18:18" s="2" customFormat="1" ht="12.75" x14ac:dyDescent="0.2">
      <c r="R30125" s="1288"/>
    </row>
    <row r="30126" spans="18:18" s="2" customFormat="1" ht="12.75" x14ac:dyDescent="0.2">
      <c r="R30126" s="1288"/>
    </row>
    <row r="30127" spans="18:18" s="2" customFormat="1" ht="12.75" x14ac:dyDescent="0.2">
      <c r="R30127" s="1288"/>
    </row>
    <row r="30128" spans="18:18" s="2" customFormat="1" ht="12.75" x14ac:dyDescent="0.2">
      <c r="R30128" s="1288"/>
    </row>
    <row r="30129" spans="18:18" s="2" customFormat="1" ht="12.75" x14ac:dyDescent="0.2">
      <c r="R30129" s="1288"/>
    </row>
    <row r="30130" spans="18:18" s="2" customFormat="1" ht="12.75" x14ac:dyDescent="0.2">
      <c r="R30130" s="1288"/>
    </row>
    <row r="30131" spans="18:18" s="2" customFormat="1" ht="12.75" x14ac:dyDescent="0.2">
      <c r="R30131" s="1288"/>
    </row>
    <row r="30132" spans="18:18" s="2" customFormat="1" ht="12.75" x14ac:dyDescent="0.2">
      <c r="R30132" s="1288"/>
    </row>
    <row r="30133" spans="18:18" s="2" customFormat="1" ht="12.75" x14ac:dyDescent="0.2">
      <c r="R30133" s="1288"/>
    </row>
    <row r="30134" spans="18:18" s="2" customFormat="1" ht="12.75" x14ac:dyDescent="0.2">
      <c r="R30134" s="1288"/>
    </row>
    <row r="30135" spans="18:18" s="2" customFormat="1" ht="12.75" x14ac:dyDescent="0.2">
      <c r="R30135" s="1288"/>
    </row>
    <row r="30136" spans="18:18" s="2" customFormat="1" ht="12.75" x14ac:dyDescent="0.2">
      <c r="R30136" s="1288"/>
    </row>
    <row r="30137" spans="18:18" s="2" customFormat="1" ht="12.75" x14ac:dyDescent="0.2">
      <c r="R30137" s="1288"/>
    </row>
    <row r="30138" spans="18:18" s="2" customFormat="1" ht="12.75" x14ac:dyDescent="0.2">
      <c r="R30138" s="1288"/>
    </row>
    <row r="30139" spans="18:18" s="2" customFormat="1" ht="12.75" x14ac:dyDescent="0.2">
      <c r="R30139" s="1288"/>
    </row>
    <row r="30140" spans="18:18" s="2" customFormat="1" ht="12.75" x14ac:dyDescent="0.2">
      <c r="R30140" s="1288"/>
    </row>
    <row r="30141" spans="18:18" s="2" customFormat="1" ht="12.75" x14ac:dyDescent="0.2">
      <c r="R30141" s="1288"/>
    </row>
    <row r="30142" spans="18:18" s="2" customFormat="1" ht="12.75" x14ac:dyDescent="0.2">
      <c r="R30142" s="1288"/>
    </row>
    <row r="30143" spans="18:18" s="2" customFormat="1" ht="12.75" x14ac:dyDescent="0.2">
      <c r="R30143" s="1288"/>
    </row>
    <row r="30144" spans="18:18" s="2" customFormat="1" ht="12.75" x14ac:dyDescent="0.2">
      <c r="R30144" s="1288"/>
    </row>
    <row r="30145" spans="18:18" s="2" customFormat="1" ht="12.75" x14ac:dyDescent="0.2">
      <c r="R30145" s="1288"/>
    </row>
    <row r="30146" spans="18:18" s="2" customFormat="1" ht="12.75" x14ac:dyDescent="0.2">
      <c r="R30146" s="1288"/>
    </row>
    <row r="30147" spans="18:18" s="2" customFormat="1" ht="12.75" x14ac:dyDescent="0.2">
      <c r="R30147" s="1288"/>
    </row>
    <row r="30148" spans="18:18" s="2" customFormat="1" ht="12.75" x14ac:dyDescent="0.2">
      <c r="R30148" s="1288"/>
    </row>
    <row r="30149" spans="18:18" s="2" customFormat="1" ht="12.75" x14ac:dyDescent="0.2">
      <c r="R30149" s="1288"/>
    </row>
    <row r="30150" spans="18:18" s="2" customFormat="1" ht="12.75" x14ac:dyDescent="0.2">
      <c r="R30150" s="1288"/>
    </row>
    <row r="30151" spans="18:18" s="2" customFormat="1" ht="12.75" x14ac:dyDescent="0.2">
      <c r="R30151" s="1288"/>
    </row>
    <row r="30152" spans="18:18" s="2" customFormat="1" ht="12.75" x14ac:dyDescent="0.2">
      <c r="R30152" s="1288"/>
    </row>
    <row r="30153" spans="18:18" s="2" customFormat="1" ht="12.75" x14ac:dyDescent="0.2">
      <c r="R30153" s="1288"/>
    </row>
    <row r="30154" spans="18:18" s="2" customFormat="1" ht="12.75" x14ac:dyDescent="0.2">
      <c r="R30154" s="1288"/>
    </row>
    <row r="30155" spans="18:18" s="2" customFormat="1" ht="12.75" x14ac:dyDescent="0.2">
      <c r="R30155" s="1288"/>
    </row>
    <row r="30156" spans="18:18" s="2" customFormat="1" ht="12.75" x14ac:dyDescent="0.2">
      <c r="R30156" s="1288"/>
    </row>
    <row r="30157" spans="18:18" s="2" customFormat="1" ht="12.75" x14ac:dyDescent="0.2">
      <c r="R30157" s="1288"/>
    </row>
    <row r="30158" spans="18:18" s="2" customFormat="1" ht="12.75" x14ac:dyDescent="0.2">
      <c r="R30158" s="1288"/>
    </row>
    <row r="30159" spans="18:18" s="2" customFormat="1" ht="12.75" x14ac:dyDescent="0.2">
      <c r="R30159" s="1288"/>
    </row>
    <row r="30160" spans="18:18" s="2" customFormat="1" ht="12.75" x14ac:dyDescent="0.2">
      <c r="R30160" s="1288"/>
    </row>
    <row r="30161" spans="18:18" s="2" customFormat="1" ht="12.75" x14ac:dyDescent="0.2">
      <c r="R30161" s="1288"/>
    </row>
    <row r="30162" spans="18:18" s="2" customFormat="1" ht="12.75" x14ac:dyDescent="0.2">
      <c r="R30162" s="1288"/>
    </row>
    <row r="30163" spans="18:18" s="2" customFormat="1" ht="12.75" x14ac:dyDescent="0.2">
      <c r="R30163" s="1288"/>
    </row>
    <row r="30164" spans="18:18" s="2" customFormat="1" ht="12.75" x14ac:dyDescent="0.2">
      <c r="R30164" s="1288"/>
    </row>
    <row r="30165" spans="18:18" s="2" customFormat="1" ht="12.75" x14ac:dyDescent="0.2">
      <c r="R30165" s="1288"/>
    </row>
    <row r="30166" spans="18:18" s="2" customFormat="1" ht="12.75" x14ac:dyDescent="0.2">
      <c r="R30166" s="1288"/>
    </row>
    <row r="30167" spans="18:18" s="2" customFormat="1" ht="12.75" x14ac:dyDescent="0.2">
      <c r="R30167" s="1288"/>
    </row>
    <row r="30168" spans="18:18" s="2" customFormat="1" ht="12.75" x14ac:dyDescent="0.2">
      <c r="R30168" s="1288"/>
    </row>
    <row r="30169" spans="18:18" s="2" customFormat="1" ht="12.75" x14ac:dyDescent="0.2">
      <c r="R30169" s="1288"/>
    </row>
    <row r="30170" spans="18:18" s="2" customFormat="1" ht="12.75" x14ac:dyDescent="0.2">
      <c r="R30170" s="1288"/>
    </row>
    <row r="30171" spans="18:18" s="2" customFormat="1" ht="12.75" x14ac:dyDescent="0.2">
      <c r="R30171" s="1288"/>
    </row>
    <row r="30172" spans="18:18" s="2" customFormat="1" ht="12.75" x14ac:dyDescent="0.2">
      <c r="R30172" s="1288"/>
    </row>
    <row r="30173" spans="18:18" s="2" customFormat="1" ht="12.75" x14ac:dyDescent="0.2">
      <c r="R30173" s="1288"/>
    </row>
    <row r="30174" spans="18:18" s="2" customFormat="1" ht="12.75" x14ac:dyDescent="0.2">
      <c r="R30174" s="1288"/>
    </row>
    <row r="30175" spans="18:18" s="2" customFormat="1" ht="12.75" x14ac:dyDescent="0.2">
      <c r="R30175" s="1288"/>
    </row>
    <row r="30176" spans="18:18" s="2" customFormat="1" ht="12.75" x14ac:dyDescent="0.2">
      <c r="R30176" s="1288"/>
    </row>
    <row r="30177" spans="18:18" s="2" customFormat="1" ht="12.75" x14ac:dyDescent="0.2">
      <c r="R30177" s="1288"/>
    </row>
    <row r="30178" spans="18:18" s="2" customFormat="1" ht="12.75" x14ac:dyDescent="0.2">
      <c r="R30178" s="1288"/>
    </row>
    <row r="30179" spans="18:18" s="2" customFormat="1" ht="12.75" x14ac:dyDescent="0.2">
      <c r="R30179" s="1288"/>
    </row>
    <row r="30180" spans="18:18" s="2" customFormat="1" ht="12.75" x14ac:dyDescent="0.2">
      <c r="R30180" s="1288"/>
    </row>
    <row r="30181" spans="18:18" s="2" customFormat="1" ht="12.75" x14ac:dyDescent="0.2">
      <c r="R30181" s="1288"/>
    </row>
    <row r="30182" spans="18:18" s="2" customFormat="1" ht="12.75" x14ac:dyDescent="0.2">
      <c r="R30182" s="1288"/>
    </row>
    <row r="30183" spans="18:18" s="2" customFormat="1" ht="12.75" x14ac:dyDescent="0.2">
      <c r="R30183" s="1288"/>
    </row>
    <row r="30184" spans="18:18" s="2" customFormat="1" ht="12.75" x14ac:dyDescent="0.2">
      <c r="R30184" s="1288"/>
    </row>
    <row r="30185" spans="18:18" s="2" customFormat="1" ht="12.75" x14ac:dyDescent="0.2">
      <c r="R30185" s="1288"/>
    </row>
    <row r="30186" spans="18:18" s="2" customFormat="1" ht="12.75" x14ac:dyDescent="0.2">
      <c r="R30186" s="1288"/>
    </row>
    <row r="30187" spans="18:18" s="2" customFormat="1" ht="12.75" x14ac:dyDescent="0.2">
      <c r="R30187" s="1288"/>
    </row>
    <row r="30188" spans="18:18" s="2" customFormat="1" ht="12.75" x14ac:dyDescent="0.2">
      <c r="R30188" s="1288"/>
    </row>
    <row r="30189" spans="18:18" s="2" customFormat="1" ht="12.75" x14ac:dyDescent="0.2">
      <c r="R30189" s="1288"/>
    </row>
    <row r="30190" spans="18:18" s="2" customFormat="1" ht="12.75" x14ac:dyDescent="0.2">
      <c r="R30190" s="1288"/>
    </row>
    <row r="30191" spans="18:18" s="2" customFormat="1" ht="12.75" x14ac:dyDescent="0.2">
      <c r="R30191" s="1288"/>
    </row>
    <row r="30192" spans="18:18" s="2" customFormat="1" ht="12.75" x14ac:dyDescent="0.2">
      <c r="R30192" s="1288"/>
    </row>
    <row r="30193" spans="18:18" s="2" customFormat="1" ht="12.75" x14ac:dyDescent="0.2">
      <c r="R30193" s="1288"/>
    </row>
    <row r="30194" spans="18:18" s="2" customFormat="1" ht="12.75" x14ac:dyDescent="0.2">
      <c r="R30194" s="1288"/>
    </row>
    <row r="30195" spans="18:18" s="2" customFormat="1" ht="12.75" x14ac:dyDescent="0.2">
      <c r="R30195" s="1288"/>
    </row>
    <row r="30196" spans="18:18" s="2" customFormat="1" ht="12.75" x14ac:dyDescent="0.2">
      <c r="R30196" s="1288"/>
    </row>
    <row r="30197" spans="18:18" s="2" customFormat="1" ht="12.75" x14ac:dyDescent="0.2">
      <c r="R30197" s="1288"/>
    </row>
    <row r="30198" spans="18:18" s="2" customFormat="1" ht="12.75" x14ac:dyDescent="0.2">
      <c r="R30198" s="1288"/>
    </row>
    <row r="30199" spans="18:18" s="2" customFormat="1" ht="12.75" x14ac:dyDescent="0.2">
      <c r="R30199" s="1288"/>
    </row>
    <row r="30200" spans="18:18" s="2" customFormat="1" ht="12.75" x14ac:dyDescent="0.2">
      <c r="R30200" s="1288"/>
    </row>
    <row r="30201" spans="18:18" s="2" customFormat="1" ht="12.75" x14ac:dyDescent="0.2">
      <c r="R30201" s="1288"/>
    </row>
    <row r="30202" spans="18:18" s="2" customFormat="1" ht="12.75" x14ac:dyDescent="0.2">
      <c r="R30202" s="1288"/>
    </row>
    <row r="30203" spans="18:18" s="2" customFormat="1" ht="12.75" x14ac:dyDescent="0.2">
      <c r="R30203" s="1288"/>
    </row>
    <row r="30204" spans="18:18" s="2" customFormat="1" ht="12.75" x14ac:dyDescent="0.2">
      <c r="R30204" s="1288"/>
    </row>
    <row r="30205" spans="18:18" s="2" customFormat="1" ht="12.75" x14ac:dyDescent="0.2">
      <c r="R30205" s="1288"/>
    </row>
    <row r="30206" spans="18:18" s="2" customFormat="1" ht="12.75" x14ac:dyDescent="0.2">
      <c r="R30206" s="1288"/>
    </row>
    <row r="30207" spans="18:18" s="2" customFormat="1" ht="12.75" x14ac:dyDescent="0.2">
      <c r="R30207" s="1288"/>
    </row>
    <row r="30208" spans="18:18" s="2" customFormat="1" ht="12.75" x14ac:dyDescent="0.2">
      <c r="R30208" s="1288"/>
    </row>
    <row r="30209" spans="18:18" s="2" customFormat="1" ht="12.75" x14ac:dyDescent="0.2">
      <c r="R30209" s="1288"/>
    </row>
    <row r="30210" spans="18:18" s="2" customFormat="1" ht="12.75" x14ac:dyDescent="0.2">
      <c r="R30210" s="1288"/>
    </row>
    <row r="30211" spans="18:18" s="2" customFormat="1" ht="12.75" x14ac:dyDescent="0.2">
      <c r="R30211" s="1288"/>
    </row>
    <row r="30212" spans="18:18" s="2" customFormat="1" ht="12.75" x14ac:dyDescent="0.2">
      <c r="R30212" s="1288"/>
    </row>
    <row r="30213" spans="18:18" s="2" customFormat="1" ht="12.75" x14ac:dyDescent="0.2">
      <c r="R30213" s="1288"/>
    </row>
    <row r="30214" spans="18:18" s="2" customFormat="1" ht="12.75" x14ac:dyDescent="0.2">
      <c r="R30214" s="1288"/>
    </row>
    <row r="30215" spans="18:18" s="2" customFormat="1" ht="12.75" x14ac:dyDescent="0.2">
      <c r="R30215" s="1288"/>
    </row>
    <row r="30216" spans="18:18" s="2" customFormat="1" ht="12.75" x14ac:dyDescent="0.2">
      <c r="R30216" s="1288"/>
    </row>
    <row r="30217" spans="18:18" s="2" customFormat="1" ht="12.75" x14ac:dyDescent="0.2">
      <c r="R30217" s="1288"/>
    </row>
    <row r="30218" spans="18:18" s="2" customFormat="1" ht="12.75" x14ac:dyDescent="0.2">
      <c r="R30218" s="1288"/>
    </row>
    <row r="30219" spans="18:18" s="2" customFormat="1" ht="12.75" x14ac:dyDescent="0.2">
      <c r="R30219" s="1288"/>
    </row>
    <row r="30220" spans="18:18" s="2" customFormat="1" ht="12.75" x14ac:dyDescent="0.2">
      <c r="R30220" s="1288"/>
    </row>
    <row r="30221" spans="18:18" s="2" customFormat="1" ht="12.75" x14ac:dyDescent="0.2">
      <c r="R30221" s="1288"/>
    </row>
    <row r="30222" spans="18:18" s="2" customFormat="1" ht="12.75" x14ac:dyDescent="0.2">
      <c r="R30222" s="1288"/>
    </row>
    <row r="30223" spans="18:18" s="2" customFormat="1" ht="12.75" x14ac:dyDescent="0.2">
      <c r="R30223" s="1288"/>
    </row>
    <row r="30224" spans="18:18" s="2" customFormat="1" ht="12.75" x14ac:dyDescent="0.2">
      <c r="R30224" s="1288"/>
    </row>
    <row r="30225" spans="18:18" s="2" customFormat="1" ht="12.75" x14ac:dyDescent="0.2">
      <c r="R30225" s="1288"/>
    </row>
    <row r="30226" spans="18:18" s="2" customFormat="1" ht="12.75" x14ac:dyDescent="0.2">
      <c r="R30226" s="1288"/>
    </row>
    <row r="30227" spans="18:18" s="2" customFormat="1" ht="12.75" x14ac:dyDescent="0.2">
      <c r="R30227" s="1288"/>
    </row>
    <row r="30228" spans="18:18" s="2" customFormat="1" ht="12.75" x14ac:dyDescent="0.2">
      <c r="R30228" s="1288"/>
    </row>
    <row r="30229" spans="18:18" s="2" customFormat="1" ht="12.75" x14ac:dyDescent="0.2">
      <c r="R30229" s="1288"/>
    </row>
    <row r="30230" spans="18:18" s="2" customFormat="1" ht="12.75" x14ac:dyDescent="0.2">
      <c r="R30230" s="1288"/>
    </row>
    <row r="30231" spans="18:18" s="2" customFormat="1" ht="12.75" x14ac:dyDescent="0.2">
      <c r="R30231" s="1288"/>
    </row>
    <row r="30232" spans="18:18" s="2" customFormat="1" ht="12.75" x14ac:dyDescent="0.2">
      <c r="R30232" s="1288"/>
    </row>
    <row r="30233" spans="18:18" s="2" customFormat="1" ht="12.75" x14ac:dyDescent="0.2">
      <c r="R30233" s="1288"/>
    </row>
    <row r="30234" spans="18:18" s="2" customFormat="1" ht="12.75" x14ac:dyDescent="0.2">
      <c r="R30234" s="1288"/>
    </row>
    <row r="30235" spans="18:18" s="2" customFormat="1" ht="12.75" x14ac:dyDescent="0.2">
      <c r="R30235" s="1288"/>
    </row>
    <row r="30236" spans="18:18" s="2" customFormat="1" ht="12.75" x14ac:dyDescent="0.2">
      <c r="R30236" s="1288"/>
    </row>
    <row r="30237" spans="18:18" s="2" customFormat="1" ht="12.75" x14ac:dyDescent="0.2">
      <c r="R30237" s="1288"/>
    </row>
    <row r="30238" spans="18:18" s="2" customFormat="1" ht="12.75" x14ac:dyDescent="0.2">
      <c r="R30238" s="1288"/>
    </row>
    <row r="30239" spans="18:18" s="2" customFormat="1" ht="12.75" x14ac:dyDescent="0.2">
      <c r="R30239" s="1288"/>
    </row>
    <row r="30240" spans="18:18" s="2" customFormat="1" ht="12.75" x14ac:dyDescent="0.2">
      <c r="R30240" s="1288"/>
    </row>
    <row r="30241" spans="18:18" s="2" customFormat="1" ht="12.75" x14ac:dyDescent="0.2">
      <c r="R30241" s="1288"/>
    </row>
    <row r="30242" spans="18:18" s="2" customFormat="1" ht="12.75" x14ac:dyDescent="0.2">
      <c r="R30242" s="1288"/>
    </row>
    <row r="30243" spans="18:18" s="2" customFormat="1" ht="12.75" x14ac:dyDescent="0.2">
      <c r="R30243" s="1288"/>
    </row>
    <row r="30244" spans="18:18" s="2" customFormat="1" ht="12.75" x14ac:dyDescent="0.2">
      <c r="R30244" s="1288"/>
    </row>
    <row r="30245" spans="18:18" s="2" customFormat="1" ht="12.75" x14ac:dyDescent="0.2">
      <c r="R30245" s="1288"/>
    </row>
    <row r="30246" spans="18:18" s="2" customFormat="1" ht="12.75" x14ac:dyDescent="0.2">
      <c r="R30246" s="1288"/>
    </row>
    <row r="30247" spans="18:18" s="2" customFormat="1" ht="12.75" x14ac:dyDescent="0.2">
      <c r="R30247" s="1288"/>
    </row>
    <row r="30248" spans="18:18" s="2" customFormat="1" ht="12.75" x14ac:dyDescent="0.2">
      <c r="R30248" s="1288"/>
    </row>
    <row r="30249" spans="18:18" s="2" customFormat="1" ht="12.75" x14ac:dyDescent="0.2">
      <c r="R30249" s="1288"/>
    </row>
    <row r="30250" spans="18:18" s="2" customFormat="1" ht="12.75" x14ac:dyDescent="0.2">
      <c r="R30250" s="1288"/>
    </row>
    <row r="30251" spans="18:18" s="2" customFormat="1" ht="12.75" x14ac:dyDescent="0.2">
      <c r="R30251" s="1288"/>
    </row>
    <row r="30252" spans="18:18" s="2" customFormat="1" ht="12.75" x14ac:dyDescent="0.2">
      <c r="R30252" s="1288"/>
    </row>
    <row r="30253" spans="18:18" s="2" customFormat="1" ht="12.75" x14ac:dyDescent="0.2">
      <c r="R30253" s="1288"/>
    </row>
    <row r="30254" spans="18:18" s="2" customFormat="1" ht="12.75" x14ac:dyDescent="0.2">
      <c r="R30254" s="1288"/>
    </row>
    <row r="30255" spans="18:18" s="2" customFormat="1" ht="12.75" x14ac:dyDescent="0.2">
      <c r="R30255" s="1288"/>
    </row>
    <row r="30256" spans="18:18" s="2" customFormat="1" ht="12.75" x14ac:dyDescent="0.2">
      <c r="R30256" s="1288"/>
    </row>
    <row r="30257" spans="18:18" s="2" customFormat="1" ht="12.75" x14ac:dyDescent="0.2">
      <c r="R30257" s="1288"/>
    </row>
    <row r="30258" spans="18:18" s="2" customFormat="1" ht="12.75" x14ac:dyDescent="0.2">
      <c r="R30258" s="1288"/>
    </row>
    <row r="30259" spans="18:18" s="2" customFormat="1" ht="12.75" x14ac:dyDescent="0.2">
      <c r="R30259" s="1288"/>
    </row>
    <row r="30260" spans="18:18" s="2" customFormat="1" ht="12.75" x14ac:dyDescent="0.2">
      <c r="R30260" s="1288"/>
    </row>
    <row r="30261" spans="18:18" s="2" customFormat="1" ht="12.75" x14ac:dyDescent="0.2">
      <c r="R30261" s="1288"/>
    </row>
    <row r="30262" spans="18:18" s="2" customFormat="1" ht="12.75" x14ac:dyDescent="0.2">
      <c r="R30262" s="1288"/>
    </row>
    <row r="30263" spans="18:18" s="2" customFormat="1" ht="12.75" x14ac:dyDescent="0.2">
      <c r="R30263" s="1288"/>
    </row>
    <row r="30264" spans="18:18" s="2" customFormat="1" ht="12.75" x14ac:dyDescent="0.2">
      <c r="R30264" s="1288"/>
    </row>
    <row r="30265" spans="18:18" s="2" customFormat="1" ht="12.75" x14ac:dyDescent="0.2">
      <c r="R30265" s="1288"/>
    </row>
    <row r="30266" spans="18:18" s="2" customFormat="1" ht="12.75" x14ac:dyDescent="0.2">
      <c r="R30266" s="1288"/>
    </row>
    <row r="30267" spans="18:18" s="2" customFormat="1" ht="12.75" x14ac:dyDescent="0.2">
      <c r="R30267" s="1288"/>
    </row>
    <row r="30268" spans="18:18" s="2" customFormat="1" ht="12.75" x14ac:dyDescent="0.2">
      <c r="R30268" s="1288"/>
    </row>
    <row r="30269" spans="18:18" s="2" customFormat="1" ht="12.75" x14ac:dyDescent="0.2">
      <c r="R30269" s="1288"/>
    </row>
    <row r="30270" spans="18:18" s="2" customFormat="1" ht="12.75" x14ac:dyDescent="0.2">
      <c r="R30270" s="1288"/>
    </row>
    <row r="30271" spans="18:18" s="2" customFormat="1" ht="12.75" x14ac:dyDescent="0.2">
      <c r="R30271" s="1288"/>
    </row>
    <row r="30272" spans="18:18" s="2" customFormat="1" ht="12.75" x14ac:dyDescent="0.2">
      <c r="R30272" s="1288"/>
    </row>
    <row r="30273" spans="18:18" s="2" customFormat="1" ht="12.75" x14ac:dyDescent="0.2">
      <c r="R30273" s="1288"/>
    </row>
    <row r="30274" spans="18:18" s="2" customFormat="1" ht="12.75" x14ac:dyDescent="0.2">
      <c r="R30274" s="1288"/>
    </row>
    <row r="30275" spans="18:18" s="2" customFormat="1" ht="12.75" x14ac:dyDescent="0.2">
      <c r="R30275" s="1288"/>
    </row>
    <row r="30276" spans="18:18" s="2" customFormat="1" ht="12.75" x14ac:dyDescent="0.2">
      <c r="R30276" s="1288"/>
    </row>
    <row r="30277" spans="18:18" s="2" customFormat="1" ht="12.75" x14ac:dyDescent="0.2">
      <c r="R30277" s="1288"/>
    </row>
    <row r="30278" spans="18:18" s="2" customFormat="1" ht="12.75" x14ac:dyDescent="0.2">
      <c r="R30278" s="1288"/>
    </row>
    <row r="30279" spans="18:18" s="2" customFormat="1" ht="12.75" x14ac:dyDescent="0.2">
      <c r="R30279" s="1288"/>
    </row>
    <row r="30280" spans="18:18" s="2" customFormat="1" ht="12.75" x14ac:dyDescent="0.2">
      <c r="R30280" s="1288"/>
    </row>
    <row r="30281" spans="18:18" s="2" customFormat="1" ht="12.75" x14ac:dyDescent="0.2">
      <c r="R30281" s="1288"/>
    </row>
    <row r="30282" spans="18:18" s="2" customFormat="1" ht="12.75" x14ac:dyDescent="0.2">
      <c r="R30282" s="1288"/>
    </row>
    <row r="30283" spans="18:18" s="2" customFormat="1" ht="12.75" x14ac:dyDescent="0.2">
      <c r="R30283" s="1288"/>
    </row>
    <row r="30284" spans="18:18" s="2" customFormat="1" ht="12.75" x14ac:dyDescent="0.2">
      <c r="R30284" s="1288"/>
    </row>
    <row r="30285" spans="18:18" s="2" customFormat="1" ht="12.75" x14ac:dyDescent="0.2">
      <c r="R30285" s="1288"/>
    </row>
    <row r="30286" spans="18:18" s="2" customFormat="1" ht="12.75" x14ac:dyDescent="0.2">
      <c r="R30286" s="1288"/>
    </row>
    <row r="30287" spans="18:18" s="2" customFormat="1" ht="12.75" x14ac:dyDescent="0.2">
      <c r="R30287" s="1288"/>
    </row>
    <row r="30288" spans="18:18" s="2" customFormat="1" ht="12.75" x14ac:dyDescent="0.2">
      <c r="R30288" s="1288"/>
    </row>
    <row r="30289" spans="18:18" s="2" customFormat="1" ht="12.75" x14ac:dyDescent="0.2">
      <c r="R30289" s="1288"/>
    </row>
    <row r="30290" spans="18:18" s="2" customFormat="1" ht="12.75" x14ac:dyDescent="0.2">
      <c r="R30290" s="1288"/>
    </row>
    <row r="30291" spans="18:18" s="2" customFormat="1" ht="12.75" x14ac:dyDescent="0.2">
      <c r="R30291" s="1288"/>
    </row>
    <row r="30292" spans="18:18" s="2" customFormat="1" ht="12.75" x14ac:dyDescent="0.2">
      <c r="R30292" s="1288"/>
    </row>
    <row r="30293" spans="18:18" s="2" customFormat="1" ht="12.75" x14ac:dyDescent="0.2">
      <c r="R30293" s="1288"/>
    </row>
    <row r="30294" spans="18:18" s="2" customFormat="1" ht="12.75" x14ac:dyDescent="0.2">
      <c r="R30294" s="1288"/>
    </row>
    <row r="30295" spans="18:18" s="2" customFormat="1" ht="12.75" x14ac:dyDescent="0.2">
      <c r="R30295" s="1288"/>
    </row>
    <row r="30296" spans="18:18" s="2" customFormat="1" ht="12.75" x14ac:dyDescent="0.2">
      <c r="R30296" s="1288"/>
    </row>
    <row r="30297" spans="18:18" s="2" customFormat="1" ht="12.75" x14ac:dyDescent="0.2">
      <c r="R30297" s="1288"/>
    </row>
    <row r="30298" spans="18:18" s="2" customFormat="1" ht="12.75" x14ac:dyDescent="0.2">
      <c r="R30298" s="1288"/>
    </row>
    <row r="30299" spans="18:18" s="2" customFormat="1" ht="12.75" x14ac:dyDescent="0.2">
      <c r="R30299" s="1288"/>
    </row>
    <row r="30300" spans="18:18" s="2" customFormat="1" ht="12.75" x14ac:dyDescent="0.2">
      <c r="R30300" s="1288"/>
    </row>
    <row r="30301" spans="18:18" s="2" customFormat="1" ht="12.75" x14ac:dyDescent="0.2">
      <c r="R30301" s="1288"/>
    </row>
    <row r="30302" spans="18:18" s="2" customFormat="1" ht="12.75" x14ac:dyDescent="0.2">
      <c r="R30302" s="1288"/>
    </row>
    <row r="30303" spans="18:18" s="2" customFormat="1" ht="12.75" x14ac:dyDescent="0.2">
      <c r="R30303" s="1288"/>
    </row>
    <row r="30304" spans="18:18" s="2" customFormat="1" ht="12.75" x14ac:dyDescent="0.2">
      <c r="R30304" s="1288"/>
    </row>
    <row r="30305" spans="18:18" s="2" customFormat="1" ht="12.75" x14ac:dyDescent="0.2">
      <c r="R30305" s="1288"/>
    </row>
    <row r="30306" spans="18:18" s="2" customFormat="1" ht="12.75" x14ac:dyDescent="0.2">
      <c r="R30306" s="1288"/>
    </row>
    <row r="30307" spans="18:18" s="2" customFormat="1" ht="12.75" x14ac:dyDescent="0.2">
      <c r="R30307" s="1288"/>
    </row>
    <row r="30308" spans="18:18" s="2" customFormat="1" ht="12.75" x14ac:dyDescent="0.2">
      <c r="R30308" s="1288"/>
    </row>
    <row r="30309" spans="18:18" s="2" customFormat="1" ht="12.75" x14ac:dyDescent="0.2">
      <c r="R30309" s="1288"/>
    </row>
    <row r="30310" spans="18:18" s="2" customFormat="1" ht="12.75" x14ac:dyDescent="0.2">
      <c r="R30310" s="1288"/>
    </row>
    <row r="30311" spans="18:18" s="2" customFormat="1" ht="12.75" x14ac:dyDescent="0.2">
      <c r="R30311" s="1288"/>
    </row>
    <row r="30312" spans="18:18" s="2" customFormat="1" ht="12.75" x14ac:dyDescent="0.2">
      <c r="R30312" s="1288"/>
    </row>
    <row r="30313" spans="18:18" s="2" customFormat="1" ht="12.75" x14ac:dyDescent="0.2">
      <c r="R30313" s="1288"/>
    </row>
    <row r="30314" spans="18:18" s="2" customFormat="1" ht="12.75" x14ac:dyDescent="0.2">
      <c r="R30314" s="1288"/>
    </row>
    <row r="30315" spans="18:18" s="2" customFormat="1" ht="12.75" x14ac:dyDescent="0.2">
      <c r="R30315" s="1288"/>
    </row>
    <row r="30316" spans="18:18" s="2" customFormat="1" ht="12.75" x14ac:dyDescent="0.2">
      <c r="R30316" s="1288"/>
    </row>
    <row r="30317" spans="18:18" s="2" customFormat="1" ht="12.75" x14ac:dyDescent="0.2">
      <c r="R30317" s="1288"/>
    </row>
    <row r="30318" spans="18:18" s="2" customFormat="1" ht="12.75" x14ac:dyDescent="0.2">
      <c r="R30318" s="1288"/>
    </row>
    <row r="30319" spans="18:18" s="2" customFormat="1" ht="12.75" x14ac:dyDescent="0.2">
      <c r="R30319" s="1288"/>
    </row>
    <row r="30320" spans="18:18" s="2" customFormat="1" ht="12.75" x14ac:dyDescent="0.2">
      <c r="R30320" s="1288"/>
    </row>
    <row r="30321" spans="18:18" s="2" customFormat="1" ht="12.75" x14ac:dyDescent="0.2">
      <c r="R30321" s="1288"/>
    </row>
    <row r="30322" spans="18:18" s="2" customFormat="1" ht="12.75" x14ac:dyDescent="0.2">
      <c r="R30322" s="1288"/>
    </row>
    <row r="30323" spans="18:18" s="2" customFormat="1" ht="12.75" x14ac:dyDescent="0.2">
      <c r="R30323" s="1288"/>
    </row>
    <row r="30324" spans="18:18" s="2" customFormat="1" ht="12.75" x14ac:dyDescent="0.2">
      <c r="R30324" s="1288"/>
    </row>
    <row r="30325" spans="18:18" s="2" customFormat="1" ht="12.75" x14ac:dyDescent="0.2">
      <c r="R30325" s="1288"/>
    </row>
    <row r="30326" spans="18:18" s="2" customFormat="1" ht="12.75" x14ac:dyDescent="0.2">
      <c r="R30326" s="1288"/>
    </row>
    <row r="30327" spans="18:18" s="2" customFormat="1" ht="12.75" x14ac:dyDescent="0.2">
      <c r="R30327" s="1288"/>
    </row>
    <row r="30328" spans="18:18" s="2" customFormat="1" ht="12.75" x14ac:dyDescent="0.2">
      <c r="R30328" s="1288"/>
    </row>
    <row r="30329" spans="18:18" s="2" customFormat="1" ht="12.75" x14ac:dyDescent="0.2">
      <c r="R30329" s="1288"/>
    </row>
    <row r="30330" spans="18:18" s="2" customFormat="1" ht="12.75" x14ac:dyDescent="0.2">
      <c r="R30330" s="1288"/>
    </row>
    <row r="30331" spans="18:18" s="2" customFormat="1" ht="12.75" x14ac:dyDescent="0.2">
      <c r="R30331" s="1288"/>
    </row>
    <row r="30332" spans="18:18" s="2" customFormat="1" ht="12.75" x14ac:dyDescent="0.2">
      <c r="R30332" s="1288"/>
    </row>
    <row r="30333" spans="18:18" s="2" customFormat="1" ht="12.75" x14ac:dyDescent="0.2">
      <c r="R30333" s="1288"/>
    </row>
    <row r="30334" spans="18:18" s="2" customFormat="1" ht="12.75" x14ac:dyDescent="0.2">
      <c r="R30334" s="1288"/>
    </row>
    <row r="30335" spans="18:18" s="2" customFormat="1" ht="12.75" x14ac:dyDescent="0.2">
      <c r="R30335" s="1288"/>
    </row>
    <row r="30336" spans="18:18" s="2" customFormat="1" ht="12.75" x14ac:dyDescent="0.2">
      <c r="R30336" s="1288"/>
    </row>
    <row r="30337" spans="18:18" s="2" customFormat="1" ht="12.75" x14ac:dyDescent="0.2">
      <c r="R30337" s="1288"/>
    </row>
    <row r="30338" spans="18:18" s="2" customFormat="1" ht="12.75" x14ac:dyDescent="0.2">
      <c r="R30338" s="1288"/>
    </row>
    <row r="30339" spans="18:18" s="2" customFormat="1" ht="12.75" x14ac:dyDescent="0.2">
      <c r="R30339" s="1288"/>
    </row>
    <row r="30340" spans="18:18" s="2" customFormat="1" ht="12.75" x14ac:dyDescent="0.2">
      <c r="R30340" s="1288"/>
    </row>
    <row r="30341" spans="18:18" s="2" customFormat="1" ht="12.75" x14ac:dyDescent="0.2">
      <c r="R30341" s="1288"/>
    </row>
    <row r="30342" spans="18:18" s="2" customFormat="1" ht="12.75" x14ac:dyDescent="0.2">
      <c r="R30342" s="1288"/>
    </row>
    <row r="30343" spans="18:18" s="2" customFormat="1" ht="12.75" x14ac:dyDescent="0.2">
      <c r="R30343" s="1288"/>
    </row>
    <row r="30344" spans="18:18" s="2" customFormat="1" ht="12.75" x14ac:dyDescent="0.2">
      <c r="R30344" s="1288"/>
    </row>
    <row r="30345" spans="18:18" s="2" customFormat="1" ht="12.75" x14ac:dyDescent="0.2">
      <c r="R30345" s="1288"/>
    </row>
    <row r="30346" spans="18:18" s="2" customFormat="1" ht="12.75" x14ac:dyDescent="0.2">
      <c r="R30346" s="1288"/>
    </row>
    <row r="30347" spans="18:18" s="2" customFormat="1" ht="12.75" x14ac:dyDescent="0.2">
      <c r="R30347" s="1288"/>
    </row>
    <row r="30348" spans="18:18" s="2" customFormat="1" ht="12.75" x14ac:dyDescent="0.2">
      <c r="R30348" s="1288"/>
    </row>
    <row r="30349" spans="18:18" s="2" customFormat="1" ht="12.75" x14ac:dyDescent="0.2">
      <c r="R30349" s="1288"/>
    </row>
    <row r="30350" spans="18:18" s="2" customFormat="1" ht="12.75" x14ac:dyDescent="0.2">
      <c r="R30350" s="1288"/>
    </row>
    <row r="30351" spans="18:18" s="2" customFormat="1" ht="12.75" x14ac:dyDescent="0.2">
      <c r="R30351" s="1288"/>
    </row>
    <row r="30352" spans="18:18" s="2" customFormat="1" ht="12.75" x14ac:dyDescent="0.2">
      <c r="R30352" s="1288"/>
    </row>
    <row r="30353" spans="18:18" s="2" customFormat="1" ht="12.75" x14ac:dyDescent="0.2">
      <c r="R30353" s="1288"/>
    </row>
    <row r="30354" spans="18:18" s="2" customFormat="1" ht="12.75" x14ac:dyDescent="0.2">
      <c r="R30354" s="1288"/>
    </row>
    <row r="30355" spans="18:18" s="2" customFormat="1" ht="12.75" x14ac:dyDescent="0.2">
      <c r="R30355" s="1288"/>
    </row>
    <row r="30356" spans="18:18" s="2" customFormat="1" ht="12.75" x14ac:dyDescent="0.2">
      <c r="R30356" s="1288"/>
    </row>
    <row r="30357" spans="18:18" s="2" customFormat="1" ht="12.75" x14ac:dyDescent="0.2">
      <c r="R30357" s="1288"/>
    </row>
    <row r="30358" spans="18:18" s="2" customFormat="1" ht="12.75" x14ac:dyDescent="0.2">
      <c r="R30358" s="1288"/>
    </row>
    <row r="30359" spans="18:18" s="2" customFormat="1" ht="12.75" x14ac:dyDescent="0.2">
      <c r="R30359" s="1288"/>
    </row>
    <row r="30360" spans="18:18" s="2" customFormat="1" ht="12.75" x14ac:dyDescent="0.2">
      <c r="R30360" s="1288"/>
    </row>
    <row r="30361" spans="18:18" s="2" customFormat="1" ht="12.75" x14ac:dyDescent="0.2">
      <c r="R30361" s="1288"/>
    </row>
    <row r="30362" spans="18:18" s="2" customFormat="1" ht="12.75" x14ac:dyDescent="0.2">
      <c r="R30362" s="1288"/>
    </row>
    <row r="30363" spans="18:18" s="2" customFormat="1" ht="12.75" x14ac:dyDescent="0.2">
      <c r="R30363" s="1288"/>
    </row>
    <row r="30364" spans="18:18" s="2" customFormat="1" ht="12.75" x14ac:dyDescent="0.2">
      <c r="R30364" s="1288"/>
    </row>
    <row r="30365" spans="18:18" s="2" customFormat="1" ht="12.75" x14ac:dyDescent="0.2">
      <c r="R30365" s="1288"/>
    </row>
    <row r="30366" spans="18:18" s="2" customFormat="1" ht="12.75" x14ac:dyDescent="0.2">
      <c r="R30366" s="1288"/>
    </row>
    <row r="30367" spans="18:18" s="2" customFormat="1" ht="12.75" x14ac:dyDescent="0.2">
      <c r="R30367" s="1288"/>
    </row>
    <row r="30368" spans="18:18" s="2" customFormat="1" ht="12.75" x14ac:dyDescent="0.2">
      <c r="R30368" s="1288"/>
    </row>
    <row r="30369" spans="18:18" s="2" customFormat="1" ht="12.75" x14ac:dyDescent="0.2">
      <c r="R30369" s="1288"/>
    </row>
    <row r="30370" spans="18:18" s="2" customFormat="1" ht="12.75" x14ac:dyDescent="0.2">
      <c r="R30370" s="1288"/>
    </row>
    <row r="30371" spans="18:18" s="2" customFormat="1" ht="12.75" x14ac:dyDescent="0.2">
      <c r="R30371" s="1288"/>
    </row>
    <row r="30372" spans="18:18" s="2" customFormat="1" ht="12.75" x14ac:dyDescent="0.2">
      <c r="R30372" s="1288"/>
    </row>
    <row r="30373" spans="18:18" s="2" customFormat="1" ht="12.75" x14ac:dyDescent="0.2">
      <c r="R30373" s="1288"/>
    </row>
    <row r="30374" spans="18:18" s="2" customFormat="1" ht="12.75" x14ac:dyDescent="0.2">
      <c r="R30374" s="1288"/>
    </row>
    <row r="30375" spans="18:18" s="2" customFormat="1" ht="12.75" x14ac:dyDescent="0.2">
      <c r="R30375" s="1288"/>
    </row>
    <row r="30376" spans="18:18" s="2" customFormat="1" ht="12.75" x14ac:dyDescent="0.2">
      <c r="R30376" s="1288"/>
    </row>
    <row r="30377" spans="18:18" s="2" customFormat="1" ht="12.75" x14ac:dyDescent="0.2">
      <c r="R30377" s="1288"/>
    </row>
    <row r="30378" spans="18:18" s="2" customFormat="1" ht="12.75" x14ac:dyDescent="0.2">
      <c r="R30378" s="1288"/>
    </row>
    <row r="30379" spans="18:18" s="2" customFormat="1" ht="12.75" x14ac:dyDescent="0.2">
      <c r="R30379" s="1288"/>
    </row>
    <row r="30380" spans="18:18" s="2" customFormat="1" ht="12.75" x14ac:dyDescent="0.2">
      <c r="R30380" s="1288"/>
    </row>
    <row r="30381" spans="18:18" s="2" customFormat="1" ht="12.75" x14ac:dyDescent="0.2">
      <c r="R30381" s="1288"/>
    </row>
    <row r="30382" spans="18:18" s="2" customFormat="1" ht="12.75" x14ac:dyDescent="0.2">
      <c r="R30382" s="1288"/>
    </row>
    <row r="30383" spans="18:18" s="2" customFormat="1" ht="12.75" x14ac:dyDescent="0.2">
      <c r="R30383" s="1288"/>
    </row>
    <row r="30384" spans="18:18" s="2" customFormat="1" ht="12.75" x14ac:dyDescent="0.2">
      <c r="R30384" s="1288"/>
    </row>
    <row r="30385" spans="18:18" s="2" customFormat="1" ht="12.75" x14ac:dyDescent="0.2">
      <c r="R30385" s="1288"/>
    </row>
    <row r="30386" spans="18:18" s="2" customFormat="1" ht="12.75" x14ac:dyDescent="0.2">
      <c r="R30386" s="1288"/>
    </row>
    <row r="30387" spans="18:18" s="2" customFormat="1" ht="12.75" x14ac:dyDescent="0.2">
      <c r="R30387" s="1288"/>
    </row>
    <row r="30388" spans="18:18" s="2" customFormat="1" ht="12.75" x14ac:dyDescent="0.2">
      <c r="R30388" s="1288"/>
    </row>
    <row r="30389" spans="18:18" s="2" customFormat="1" ht="12.75" x14ac:dyDescent="0.2">
      <c r="R30389" s="1288"/>
    </row>
    <row r="30390" spans="18:18" s="2" customFormat="1" ht="12.75" x14ac:dyDescent="0.2">
      <c r="R30390" s="1288"/>
    </row>
    <row r="30391" spans="18:18" s="2" customFormat="1" ht="12.75" x14ac:dyDescent="0.2">
      <c r="R30391" s="1288"/>
    </row>
    <row r="30392" spans="18:18" s="2" customFormat="1" ht="12.75" x14ac:dyDescent="0.2">
      <c r="R30392" s="1288"/>
    </row>
    <row r="30393" spans="18:18" s="2" customFormat="1" ht="12.75" x14ac:dyDescent="0.2">
      <c r="R30393" s="1288"/>
    </row>
    <row r="30394" spans="18:18" s="2" customFormat="1" ht="12.75" x14ac:dyDescent="0.2">
      <c r="R30394" s="1288"/>
    </row>
    <row r="30395" spans="18:18" s="2" customFormat="1" ht="12.75" x14ac:dyDescent="0.2">
      <c r="R30395" s="1288"/>
    </row>
    <row r="30396" spans="18:18" s="2" customFormat="1" ht="12.75" x14ac:dyDescent="0.2">
      <c r="R30396" s="1288"/>
    </row>
    <row r="30397" spans="18:18" s="2" customFormat="1" ht="12.75" x14ac:dyDescent="0.2">
      <c r="R30397" s="1288"/>
    </row>
    <row r="30398" spans="18:18" s="2" customFormat="1" ht="12.75" x14ac:dyDescent="0.2">
      <c r="R30398" s="1288"/>
    </row>
    <row r="30399" spans="18:18" s="2" customFormat="1" ht="12.75" x14ac:dyDescent="0.2">
      <c r="R30399" s="1288"/>
    </row>
    <row r="30400" spans="18:18" s="2" customFormat="1" ht="12.75" x14ac:dyDescent="0.2">
      <c r="R30400" s="1288"/>
    </row>
    <row r="30401" spans="18:18" s="2" customFormat="1" ht="12.75" x14ac:dyDescent="0.2">
      <c r="R30401" s="1288"/>
    </row>
    <row r="30402" spans="18:18" s="2" customFormat="1" ht="12.75" x14ac:dyDescent="0.2">
      <c r="R30402" s="1288"/>
    </row>
    <row r="30403" spans="18:18" s="2" customFormat="1" ht="12.75" x14ac:dyDescent="0.2">
      <c r="R30403" s="1288"/>
    </row>
    <row r="30404" spans="18:18" s="2" customFormat="1" ht="12.75" x14ac:dyDescent="0.2">
      <c r="R30404" s="1288"/>
    </row>
    <row r="30405" spans="18:18" s="2" customFormat="1" ht="12.75" x14ac:dyDescent="0.2">
      <c r="R30405" s="1288"/>
    </row>
    <row r="30406" spans="18:18" s="2" customFormat="1" ht="12.75" x14ac:dyDescent="0.2">
      <c r="R30406" s="1288"/>
    </row>
    <row r="30407" spans="18:18" s="2" customFormat="1" ht="12.75" x14ac:dyDescent="0.2">
      <c r="R30407" s="1288"/>
    </row>
    <row r="30408" spans="18:18" s="2" customFormat="1" ht="12.75" x14ac:dyDescent="0.2">
      <c r="R30408" s="1288"/>
    </row>
    <row r="30409" spans="18:18" s="2" customFormat="1" ht="12.75" x14ac:dyDescent="0.2">
      <c r="R30409" s="1288"/>
    </row>
    <row r="30410" spans="18:18" s="2" customFormat="1" ht="12.75" x14ac:dyDescent="0.2">
      <c r="R30410" s="1288"/>
    </row>
    <row r="30411" spans="18:18" s="2" customFormat="1" ht="12.75" x14ac:dyDescent="0.2">
      <c r="R30411" s="1288"/>
    </row>
    <row r="30412" spans="18:18" s="2" customFormat="1" ht="12.75" x14ac:dyDescent="0.2">
      <c r="R30412" s="1288"/>
    </row>
    <row r="30413" spans="18:18" s="2" customFormat="1" ht="12.75" x14ac:dyDescent="0.2">
      <c r="R30413" s="1288"/>
    </row>
    <row r="30414" spans="18:18" s="2" customFormat="1" ht="12.75" x14ac:dyDescent="0.2">
      <c r="R30414" s="1288"/>
    </row>
    <row r="30415" spans="18:18" s="2" customFormat="1" ht="12.75" x14ac:dyDescent="0.2">
      <c r="R30415" s="1288"/>
    </row>
    <row r="30416" spans="18:18" s="2" customFormat="1" ht="12.75" x14ac:dyDescent="0.2">
      <c r="R30416" s="1288"/>
    </row>
    <row r="30417" spans="18:18" s="2" customFormat="1" ht="12.75" x14ac:dyDescent="0.2">
      <c r="R30417" s="1288"/>
    </row>
    <row r="30418" spans="18:18" s="2" customFormat="1" ht="12.75" x14ac:dyDescent="0.2">
      <c r="R30418" s="1288"/>
    </row>
    <row r="30419" spans="18:18" s="2" customFormat="1" ht="12.75" x14ac:dyDescent="0.2">
      <c r="R30419" s="1288"/>
    </row>
    <row r="30420" spans="18:18" s="2" customFormat="1" ht="12.75" x14ac:dyDescent="0.2">
      <c r="R30420" s="1288"/>
    </row>
    <row r="30421" spans="18:18" s="2" customFormat="1" ht="12.75" x14ac:dyDescent="0.2">
      <c r="R30421" s="1288"/>
    </row>
    <row r="30422" spans="18:18" s="2" customFormat="1" ht="12.75" x14ac:dyDescent="0.2">
      <c r="R30422" s="1288"/>
    </row>
    <row r="30423" spans="18:18" s="2" customFormat="1" ht="12.75" x14ac:dyDescent="0.2">
      <c r="R30423" s="1288"/>
    </row>
    <row r="30424" spans="18:18" s="2" customFormat="1" ht="12.75" x14ac:dyDescent="0.2">
      <c r="R30424" s="1288"/>
    </row>
    <row r="30425" spans="18:18" s="2" customFormat="1" ht="12.75" x14ac:dyDescent="0.2">
      <c r="R30425" s="1288"/>
    </row>
    <row r="30426" spans="18:18" s="2" customFormat="1" ht="12.75" x14ac:dyDescent="0.2">
      <c r="R30426" s="1288"/>
    </row>
    <row r="30427" spans="18:18" s="2" customFormat="1" ht="12.75" x14ac:dyDescent="0.2">
      <c r="R30427" s="1288"/>
    </row>
    <row r="30428" spans="18:18" s="2" customFormat="1" ht="12.75" x14ac:dyDescent="0.2">
      <c r="R30428" s="1288"/>
    </row>
    <row r="30429" spans="18:18" s="2" customFormat="1" ht="12.75" x14ac:dyDescent="0.2">
      <c r="R30429" s="1288"/>
    </row>
    <row r="30430" spans="18:18" s="2" customFormat="1" ht="12.75" x14ac:dyDescent="0.2">
      <c r="R30430" s="1288"/>
    </row>
    <row r="30431" spans="18:18" s="2" customFormat="1" ht="12.75" x14ac:dyDescent="0.2">
      <c r="R30431" s="1288"/>
    </row>
    <row r="30432" spans="18:18" s="2" customFormat="1" ht="12.75" x14ac:dyDescent="0.2">
      <c r="R30432" s="1288"/>
    </row>
    <row r="30433" spans="18:18" s="2" customFormat="1" ht="12.75" x14ac:dyDescent="0.2">
      <c r="R30433" s="1288"/>
    </row>
    <row r="30434" spans="18:18" s="2" customFormat="1" ht="12.75" x14ac:dyDescent="0.2">
      <c r="R30434" s="1288"/>
    </row>
    <row r="30435" spans="18:18" s="2" customFormat="1" ht="12.75" x14ac:dyDescent="0.2">
      <c r="R30435" s="1288"/>
    </row>
    <row r="30436" spans="18:18" s="2" customFormat="1" ht="12.75" x14ac:dyDescent="0.2">
      <c r="R30436" s="1288"/>
    </row>
    <row r="30437" spans="18:18" s="2" customFormat="1" ht="12.75" x14ac:dyDescent="0.2">
      <c r="R30437" s="1288"/>
    </row>
    <row r="30438" spans="18:18" s="2" customFormat="1" ht="12.75" x14ac:dyDescent="0.2">
      <c r="R30438" s="1288"/>
    </row>
    <row r="30439" spans="18:18" s="2" customFormat="1" ht="12.75" x14ac:dyDescent="0.2">
      <c r="R30439" s="1288"/>
    </row>
    <row r="30440" spans="18:18" s="2" customFormat="1" ht="12.75" x14ac:dyDescent="0.2">
      <c r="R30440" s="1288"/>
    </row>
    <row r="30441" spans="18:18" s="2" customFormat="1" ht="12.75" x14ac:dyDescent="0.2">
      <c r="R30441" s="1288"/>
    </row>
    <row r="30442" spans="18:18" s="2" customFormat="1" ht="12.75" x14ac:dyDescent="0.2">
      <c r="R30442" s="1288"/>
    </row>
    <row r="30443" spans="18:18" s="2" customFormat="1" ht="12.75" x14ac:dyDescent="0.2">
      <c r="R30443" s="1288"/>
    </row>
    <row r="30444" spans="18:18" s="2" customFormat="1" ht="12.75" x14ac:dyDescent="0.2">
      <c r="R30444" s="1288"/>
    </row>
    <row r="30445" spans="18:18" s="2" customFormat="1" ht="12.75" x14ac:dyDescent="0.2">
      <c r="R30445" s="1288"/>
    </row>
    <row r="30446" spans="18:18" s="2" customFormat="1" ht="12.75" x14ac:dyDescent="0.2">
      <c r="R30446" s="1288"/>
    </row>
    <row r="30447" spans="18:18" s="2" customFormat="1" ht="12.75" x14ac:dyDescent="0.2">
      <c r="R30447" s="1288"/>
    </row>
    <row r="30448" spans="18:18" s="2" customFormat="1" ht="12.75" x14ac:dyDescent="0.2">
      <c r="R30448" s="1288"/>
    </row>
    <row r="30449" spans="18:18" s="2" customFormat="1" ht="12.75" x14ac:dyDescent="0.2">
      <c r="R30449" s="1288"/>
    </row>
    <row r="30450" spans="18:18" s="2" customFormat="1" ht="12.75" x14ac:dyDescent="0.2">
      <c r="R30450" s="1288"/>
    </row>
    <row r="30451" spans="18:18" s="2" customFormat="1" ht="12.75" x14ac:dyDescent="0.2">
      <c r="R30451" s="1288"/>
    </row>
    <row r="30452" spans="18:18" s="2" customFormat="1" ht="12.75" x14ac:dyDescent="0.2">
      <c r="R30452" s="1288"/>
    </row>
    <row r="30453" spans="18:18" s="2" customFormat="1" ht="12.75" x14ac:dyDescent="0.2">
      <c r="R30453" s="1288"/>
    </row>
    <row r="30454" spans="18:18" s="2" customFormat="1" ht="12.75" x14ac:dyDescent="0.2">
      <c r="R30454" s="1288"/>
    </row>
    <row r="30455" spans="18:18" s="2" customFormat="1" ht="12.75" x14ac:dyDescent="0.2">
      <c r="R30455" s="1288"/>
    </row>
    <row r="30456" spans="18:18" s="2" customFormat="1" ht="12.75" x14ac:dyDescent="0.2">
      <c r="R30456" s="1288"/>
    </row>
    <row r="30457" spans="18:18" s="2" customFormat="1" ht="12.75" x14ac:dyDescent="0.2">
      <c r="R30457" s="1288"/>
    </row>
    <row r="30458" spans="18:18" s="2" customFormat="1" ht="12.75" x14ac:dyDescent="0.2">
      <c r="R30458" s="1288"/>
    </row>
    <row r="30459" spans="18:18" s="2" customFormat="1" ht="12.75" x14ac:dyDescent="0.2">
      <c r="R30459" s="1288"/>
    </row>
    <row r="30460" spans="18:18" s="2" customFormat="1" ht="12.75" x14ac:dyDescent="0.2">
      <c r="R30460" s="1288"/>
    </row>
    <row r="30461" spans="18:18" s="2" customFormat="1" ht="12.75" x14ac:dyDescent="0.2">
      <c r="R30461" s="1288"/>
    </row>
    <row r="30462" spans="18:18" s="2" customFormat="1" ht="12.75" x14ac:dyDescent="0.2">
      <c r="R30462" s="1288"/>
    </row>
    <row r="30463" spans="18:18" s="2" customFormat="1" ht="12.75" x14ac:dyDescent="0.2">
      <c r="R30463" s="1288"/>
    </row>
    <row r="30464" spans="18:18" s="2" customFormat="1" ht="12.75" x14ac:dyDescent="0.2">
      <c r="R30464" s="1288"/>
    </row>
    <row r="30465" spans="18:18" s="2" customFormat="1" ht="12.75" x14ac:dyDescent="0.2">
      <c r="R30465" s="1288"/>
    </row>
    <row r="30466" spans="18:18" s="2" customFormat="1" ht="12.75" x14ac:dyDescent="0.2">
      <c r="R30466" s="1288"/>
    </row>
    <row r="30467" spans="18:18" s="2" customFormat="1" ht="12.75" x14ac:dyDescent="0.2">
      <c r="R30467" s="1288"/>
    </row>
    <row r="30468" spans="18:18" s="2" customFormat="1" ht="12.75" x14ac:dyDescent="0.2">
      <c r="R30468" s="1288"/>
    </row>
    <row r="30469" spans="18:18" s="2" customFormat="1" ht="12.75" x14ac:dyDescent="0.2">
      <c r="R30469" s="1288"/>
    </row>
    <row r="30470" spans="18:18" s="2" customFormat="1" ht="12.75" x14ac:dyDescent="0.2">
      <c r="R30470" s="1288"/>
    </row>
    <row r="30471" spans="18:18" s="2" customFormat="1" ht="12.75" x14ac:dyDescent="0.2">
      <c r="R30471" s="1288"/>
    </row>
    <row r="30472" spans="18:18" s="2" customFormat="1" ht="12.75" x14ac:dyDescent="0.2">
      <c r="R30472" s="1288"/>
    </row>
    <row r="30473" spans="18:18" s="2" customFormat="1" ht="12.75" x14ac:dyDescent="0.2">
      <c r="R30473" s="1288"/>
    </row>
    <row r="30474" spans="18:18" s="2" customFormat="1" ht="12.75" x14ac:dyDescent="0.2">
      <c r="R30474" s="1288"/>
    </row>
    <row r="30475" spans="18:18" s="2" customFormat="1" ht="12.75" x14ac:dyDescent="0.2">
      <c r="R30475" s="1288"/>
    </row>
    <row r="30476" spans="18:18" s="2" customFormat="1" ht="12.75" x14ac:dyDescent="0.2">
      <c r="R30476" s="1288"/>
    </row>
    <row r="30477" spans="18:18" s="2" customFormat="1" ht="12.75" x14ac:dyDescent="0.2">
      <c r="R30477" s="1288"/>
    </row>
    <row r="30478" spans="18:18" s="2" customFormat="1" ht="12.75" x14ac:dyDescent="0.2">
      <c r="R30478" s="1288"/>
    </row>
    <row r="30479" spans="18:18" s="2" customFormat="1" ht="12.75" x14ac:dyDescent="0.2">
      <c r="R30479" s="1288"/>
    </row>
    <row r="30480" spans="18:18" s="2" customFormat="1" ht="12.75" x14ac:dyDescent="0.2">
      <c r="R30480" s="1288"/>
    </row>
    <row r="30481" spans="18:18" s="2" customFormat="1" ht="12.75" x14ac:dyDescent="0.2">
      <c r="R30481" s="1288"/>
    </row>
    <row r="30482" spans="18:18" s="2" customFormat="1" ht="12.75" x14ac:dyDescent="0.2">
      <c r="R30482" s="1288"/>
    </row>
    <row r="30483" spans="18:18" s="2" customFormat="1" ht="12.75" x14ac:dyDescent="0.2">
      <c r="R30483" s="1288"/>
    </row>
    <row r="30484" spans="18:18" s="2" customFormat="1" ht="12.75" x14ac:dyDescent="0.2">
      <c r="R30484" s="1288"/>
    </row>
    <row r="30485" spans="18:18" s="2" customFormat="1" ht="12.75" x14ac:dyDescent="0.2">
      <c r="R30485" s="1288"/>
    </row>
    <row r="30486" spans="18:18" s="2" customFormat="1" ht="12.75" x14ac:dyDescent="0.2">
      <c r="R30486" s="1288"/>
    </row>
    <row r="30487" spans="18:18" s="2" customFormat="1" ht="12.75" x14ac:dyDescent="0.2">
      <c r="R30487" s="1288"/>
    </row>
    <row r="30488" spans="18:18" s="2" customFormat="1" ht="12.75" x14ac:dyDescent="0.2">
      <c r="R30488" s="1288"/>
    </row>
    <row r="30489" spans="18:18" s="2" customFormat="1" ht="12.75" x14ac:dyDescent="0.2">
      <c r="R30489" s="1288"/>
    </row>
    <row r="30490" spans="18:18" s="2" customFormat="1" ht="12.75" x14ac:dyDescent="0.2">
      <c r="R30490" s="1288"/>
    </row>
    <row r="30491" spans="18:18" s="2" customFormat="1" ht="12.75" x14ac:dyDescent="0.2">
      <c r="R30491" s="1288"/>
    </row>
    <row r="30492" spans="18:18" s="2" customFormat="1" ht="12.75" x14ac:dyDescent="0.2">
      <c r="R30492" s="1288"/>
    </row>
    <row r="30493" spans="18:18" s="2" customFormat="1" ht="12.75" x14ac:dyDescent="0.2">
      <c r="R30493" s="1288"/>
    </row>
    <row r="30494" spans="18:18" s="2" customFormat="1" ht="12.75" x14ac:dyDescent="0.2">
      <c r="R30494" s="1288"/>
    </row>
    <row r="30495" spans="18:18" s="2" customFormat="1" ht="12.75" x14ac:dyDescent="0.2">
      <c r="R30495" s="1288"/>
    </row>
    <row r="30496" spans="18:18" s="2" customFormat="1" ht="12.75" x14ac:dyDescent="0.2">
      <c r="R30496" s="1288"/>
    </row>
    <row r="30497" spans="18:18" s="2" customFormat="1" ht="12.75" x14ac:dyDescent="0.2">
      <c r="R30497" s="1288"/>
    </row>
    <row r="30498" spans="18:18" s="2" customFormat="1" ht="12.75" x14ac:dyDescent="0.2">
      <c r="R30498" s="1288"/>
    </row>
    <row r="30499" spans="18:18" s="2" customFormat="1" ht="12.75" x14ac:dyDescent="0.2">
      <c r="R30499" s="1288"/>
    </row>
    <row r="30500" spans="18:18" s="2" customFormat="1" ht="12.75" x14ac:dyDescent="0.2">
      <c r="R30500" s="1288"/>
    </row>
    <row r="30501" spans="18:18" s="2" customFormat="1" ht="12.75" x14ac:dyDescent="0.2">
      <c r="R30501" s="1288"/>
    </row>
    <row r="30502" spans="18:18" s="2" customFormat="1" ht="12.75" x14ac:dyDescent="0.2">
      <c r="R30502" s="1288"/>
    </row>
    <row r="30503" spans="18:18" s="2" customFormat="1" ht="12.75" x14ac:dyDescent="0.2">
      <c r="R30503" s="1288"/>
    </row>
    <row r="30504" spans="18:18" s="2" customFormat="1" ht="12.75" x14ac:dyDescent="0.2">
      <c r="R30504" s="1288"/>
    </row>
    <row r="30505" spans="18:18" s="2" customFormat="1" ht="12.75" x14ac:dyDescent="0.2">
      <c r="R30505" s="1288"/>
    </row>
    <row r="30506" spans="18:18" s="2" customFormat="1" ht="12.75" x14ac:dyDescent="0.2">
      <c r="R30506" s="1288"/>
    </row>
    <row r="30507" spans="18:18" s="2" customFormat="1" ht="12.75" x14ac:dyDescent="0.2">
      <c r="R30507" s="1288"/>
    </row>
    <row r="30508" spans="18:18" s="2" customFormat="1" ht="12.75" x14ac:dyDescent="0.2">
      <c r="R30508" s="1288"/>
    </row>
    <row r="30509" spans="18:18" s="2" customFormat="1" ht="12.75" x14ac:dyDescent="0.2">
      <c r="R30509" s="1288"/>
    </row>
    <row r="30510" spans="18:18" s="2" customFormat="1" ht="12.75" x14ac:dyDescent="0.2">
      <c r="R30510" s="1288"/>
    </row>
    <row r="30511" spans="18:18" s="2" customFormat="1" ht="12.75" x14ac:dyDescent="0.2">
      <c r="R30511" s="1288"/>
    </row>
    <row r="30512" spans="18:18" s="2" customFormat="1" ht="12.75" x14ac:dyDescent="0.2">
      <c r="R30512" s="1288"/>
    </row>
    <row r="30513" spans="18:18" s="2" customFormat="1" ht="12.75" x14ac:dyDescent="0.2">
      <c r="R30513" s="1288"/>
    </row>
    <row r="30514" spans="18:18" s="2" customFormat="1" ht="12.75" x14ac:dyDescent="0.2">
      <c r="R30514" s="1288"/>
    </row>
    <row r="30515" spans="18:18" s="2" customFormat="1" ht="12.75" x14ac:dyDescent="0.2">
      <c r="R30515" s="1288"/>
    </row>
    <row r="30516" spans="18:18" s="2" customFormat="1" ht="12.75" x14ac:dyDescent="0.2">
      <c r="R30516" s="1288"/>
    </row>
    <row r="30517" spans="18:18" s="2" customFormat="1" ht="12.75" x14ac:dyDescent="0.2">
      <c r="R30517" s="1288"/>
    </row>
    <row r="30518" spans="18:18" s="2" customFormat="1" ht="12.75" x14ac:dyDescent="0.2">
      <c r="R30518" s="1288"/>
    </row>
    <row r="30519" spans="18:18" s="2" customFormat="1" ht="12.75" x14ac:dyDescent="0.2">
      <c r="R30519" s="1288"/>
    </row>
    <row r="30520" spans="18:18" s="2" customFormat="1" ht="12.75" x14ac:dyDescent="0.2">
      <c r="R30520" s="1288"/>
    </row>
    <row r="30521" spans="18:18" s="2" customFormat="1" ht="12.75" x14ac:dyDescent="0.2">
      <c r="R30521" s="1288"/>
    </row>
    <row r="30522" spans="18:18" s="2" customFormat="1" ht="12.75" x14ac:dyDescent="0.2">
      <c r="R30522" s="1288"/>
    </row>
    <row r="30523" spans="18:18" s="2" customFormat="1" ht="12.75" x14ac:dyDescent="0.2">
      <c r="R30523" s="1288"/>
    </row>
    <row r="30524" spans="18:18" s="2" customFormat="1" ht="12.75" x14ac:dyDescent="0.2">
      <c r="R30524" s="1288"/>
    </row>
    <row r="30525" spans="18:18" s="2" customFormat="1" ht="12.75" x14ac:dyDescent="0.2">
      <c r="R30525" s="1288"/>
    </row>
    <row r="30526" spans="18:18" s="2" customFormat="1" ht="12.75" x14ac:dyDescent="0.2">
      <c r="R30526" s="1288"/>
    </row>
    <row r="30527" spans="18:18" s="2" customFormat="1" ht="12.75" x14ac:dyDescent="0.2">
      <c r="R30527" s="1288"/>
    </row>
    <row r="30528" spans="18:18" s="2" customFormat="1" ht="12.75" x14ac:dyDescent="0.2">
      <c r="R30528" s="1288"/>
    </row>
    <row r="30529" spans="18:18" s="2" customFormat="1" ht="12.75" x14ac:dyDescent="0.2">
      <c r="R30529" s="1288"/>
    </row>
    <row r="30530" spans="18:18" s="2" customFormat="1" ht="12.75" x14ac:dyDescent="0.2">
      <c r="R30530" s="1288"/>
    </row>
    <row r="30531" spans="18:18" s="2" customFormat="1" ht="12.75" x14ac:dyDescent="0.2">
      <c r="R30531" s="1288"/>
    </row>
    <row r="30532" spans="18:18" s="2" customFormat="1" ht="12.75" x14ac:dyDescent="0.2">
      <c r="R30532" s="1288"/>
    </row>
    <row r="30533" spans="18:18" s="2" customFormat="1" ht="12.75" x14ac:dyDescent="0.2">
      <c r="R30533" s="1288"/>
    </row>
    <row r="30534" spans="18:18" s="2" customFormat="1" ht="12.75" x14ac:dyDescent="0.2">
      <c r="R30534" s="1288"/>
    </row>
    <row r="30535" spans="18:18" s="2" customFormat="1" ht="12.75" x14ac:dyDescent="0.2">
      <c r="R30535" s="1288"/>
    </row>
    <row r="30536" spans="18:18" s="2" customFormat="1" ht="12.75" x14ac:dyDescent="0.2">
      <c r="R30536" s="1288"/>
    </row>
    <row r="30537" spans="18:18" s="2" customFormat="1" ht="12.75" x14ac:dyDescent="0.2">
      <c r="R30537" s="1288"/>
    </row>
    <row r="30538" spans="18:18" s="2" customFormat="1" ht="12.75" x14ac:dyDescent="0.2">
      <c r="R30538" s="1288"/>
    </row>
    <row r="30539" spans="18:18" s="2" customFormat="1" ht="12.75" x14ac:dyDescent="0.2">
      <c r="R30539" s="1288"/>
    </row>
    <row r="30540" spans="18:18" s="2" customFormat="1" ht="12.75" x14ac:dyDescent="0.2">
      <c r="R30540" s="1288"/>
    </row>
    <row r="30541" spans="18:18" s="2" customFormat="1" ht="12.75" x14ac:dyDescent="0.2">
      <c r="R30541" s="1288"/>
    </row>
    <row r="30542" spans="18:18" s="2" customFormat="1" ht="12.75" x14ac:dyDescent="0.2">
      <c r="R30542" s="1288"/>
    </row>
    <row r="30543" spans="18:18" s="2" customFormat="1" ht="12.75" x14ac:dyDescent="0.2">
      <c r="R30543" s="1288"/>
    </row>
    <row r="30544" spans="18:18" s="2" customFormat="1" ht="12.75" x14ac:dyDescent="0.2">
      <c r="R30544" s="1288"/>
    </row>
    <row r="30545" spans="18:18" s="2" customFormat="1" ht="12.75" x14ac:dyDescent="0.2">
      <c r="R30545" s="1288"/>
    </row>
    <row r="30546" spans="18:18" s="2" customFormat="1" ht="12.75" x14ac:dyDescent="0.2">
      <c r="R30546" s="1288"/>
    </row>
    <row r="30547" spans="18:18" s="2" customFormat="1" ht="12.75" x14ac:dyDescent="0.2">
      <c r="R30547" s="1288"/>
    </row>
    <row r="30548" spans="18:18" s="2" customFormat="1" ht="12.75" x14ac:dyDescent="0.2">
      <c r="R30548" s="1288"/>
    </row>
    <row r="30549" spans="18:18" s="2" customFormat="1" ht="12.75" x14ac:dyDescent="0.2">
      <c r="R30549" s="1288"/>
    </row>
    <row r="30550" spans="18:18" s="2" customFormat="1" ht="12.75" x14ac:dyDescent="0.2">
      <c r="R30550" s="1288"/>
    </row>
    <row r="30551" spans="18:18" s="2" customFormat="1" ht="12.75" x14ac:dyDescent="0.2">
      <c r="R30551" s="1288"/>
    </row>
    <row r="30552" spans="18:18" s="2" customFormat="1" ht="12.75" x14ac:dyDescent="0.2">
      <c r="R30552" s="1288"/>
    </row>
    <row r="30553" spans="18:18" s="2" customFormat="1" ht="12.75" x14ac:dyDescent="0.2">
      <c r="R30553" s="1288"/>
    </row>
    <row r="30554" spans="18:18" s="2" customFormat="1" ht="12.75" x14ac:dyDescent="0.2">
      <c r="R30554" s="1288"/>
    </row>
    <row r="30555" spans="18:18" s="2" customFormat="1" ht="12.75" x14ac:dyDescent="0.2">
      <c r="R30555" s="1288"/>
    </row>
    <row r="30556" spans="18:18" s="2" customFormat="1" ht="12.75" x14ac:dyDescent="0.2">
      <c r="R30556" s="1288"/>
    </row>
    <row r="30557" spans="18:18" s="2" customFormat="1" ht="12.75" x14ac:dyDescent="0.2">
      <c r="R30557" s="1288"/>
    </row>
    <row r="30558" spans="18:18" s="2" customFormat="1" ht="12.75" x14ac:dyDescent="0.2">
      <c r="R30558" s="1288"/>
    </row>
    <row r="30559" spans="18:18" s="2" customFormat="1" ht="12.75" x14ac:dyDescent="0.2">
      <c r="R30559" s="1288"/>
    </row>
    <row r="30560" spans="18:18" s="2" customFormat="1" ht="12.75" x14ac:dyDescent="0.2">
      <c r="R30560" s="1288"/>
    </row>
    <row r="30561" spans="18:18" s="2" customFormat="1" ht="12.75" x14ac:dyDescent="0.2">
      <c r="R30561" s="1288"/>
    </row>
    <row r="30562" spans="18:18" s="2" customFormat="1" ht="12.75" x14ac:dyDescent="0.2">
      <c r="R30562" s="1288"/>
    </row>
    <row r="30563" spans="18:18" s="2" customFormat="1" ht="12.75" x14ac:dyDescent="0.2">
      <c r="R30563" s="1288"/>
    </row>
    <row r="30564" spans="18:18" s="2" customFormat="1" ht="12.75" x14ac:dyDescent="0.2">
      <c r="R30564" s="1288"/>
    </row>
    <row r="30565" spans="18:18" s="2" customFormat="1" ht="12.75" x14ac:dyDescent="0.2">
      <c r="R30565" s="1288"/>
    </row>
    <row r="30566" spans="18:18" s="2" customFormat="1" ht="12.75" x14ac:dyDescent="0.2">
      <c r="R30566" s="1288"/>
    </row>
    <row r="30567" spans="18:18" s="2" customFormat="1" ht="12.75" x14ac:dyDescent="0.2">
      <c r="R30567" s="1288"/>
    </row>
    <row r="30568" spans="18:18" s="2" customFormat="1" ht="12.75" x14ac:dyDescent="0.2">
      <c r="R30568" s="1288"/>
    </row>
    <row r="30569" spans="18:18" s="2" customFormat="1" ht="12.75" x14ac:dyDescent="0.2">
      <c r="R30569" s="1288"/>
    </row>
    <row r="30570" spans="18:18" s="2" customFormat="1" ht="12.75" x14ac:dyDescent="0.2">
      <c r="R30570" s="1288"/>
    </row>
    <row r="30571" spans="18:18" s="2" customFormat="1" ht="12.75" x14ac:dyDescent="0.2">
      <c r="R30571" s="1288"/>
    </row>
    <row r="30572" spans="18:18" s="2" customFormat="1" ht="12.75" x14ac:dyDescent="0.2">
      <c r="R30572" s="1288"/>
    </row>
    <row r="30573" spans="18:18" s="2" customFormat="1" ht="12.75" x14ac:dyDescent="0.2">
      <c r="R30573" s="1288"/>
    </row>
    <row r="30574" spans="18:18" s="2" customFormat="1" ht="12.75" x14ac:dyDescent="0.2">
      <c r="R30574" s="1288"/>
    </row>
    <row r="30575" spans="18:18" s="2" customFormat="1" ht="12.75" x14ac:dyDescent="0.2">
      <c r="R30575" s="1288"/>
    </row>
    <row r="30576" spans="18:18" s="2" customFormat="1" ht="12.75" x14ac:dyDescent="0.2">
      <c r="R30576" s="1288"/>
    </row>
    <row r="30577" spans="18:18" s="2" customFormat="1" ht="12.75" x14ac:dyDescent="0.2">
      <c r="R30577" s="1288"/>
    </row>
    <row r="30578" spans="18:18" s="2" customFormat="1" ht="12.75" x14ac:dyDescent="0.2">
      <c r="R30578" s="1288"/>
    </row>
    <row r="30579" spans="18:18" s="2" customFormat="1" ht="12.75" x14ac:dyDescent="0.2">
      <c r="R30579" s="1288"/>
    </row>
    <row r="30580" spans="18:18" s="2" customFormat="1" ht="12.75" x14ac:dyDescent="0.2">
      <c r="R30580" s="1288"/>
    </row>
    <row r="30581" spans="18:18" s="2" customFormat="1" ht="12.75" x14ac:dyDescent="0.2">
      <c r="R30581" s="1288"/>
    </row>
    <row r="30582" spans="18:18" s="2" customFormat="1" ht="12.75" x14ac:dyDescent="0.2">
      <c r="R30582" s="1288"/>
    </row>
    <row r="30583" spans="18:18" s="2" customFormat="1" ht="12.75" x14ac:dyDescent="0.2">
      <c r="R30583" s="1288"/>
    </row>
    <row r="30584" spans="18:18" s="2" customFormat="1" ht="12.75" x14ac:dyDescent="0.2">
      <c r="R30584" s="1288"/>
    </row>
    <row r="30585" spans="18:18" s="2" customFormat="1" ht="12.75" x14ac:dyDescent="0.2">
      <c r="R30585" s="1288"/>
    </row>
    <row r="30586" spans="18:18" s="2" customFormat="1" ht="12.75" x14ac:dyDescent="0.2">
      <c r="R30586" s="1288"/>
    </row>
    <row r="30587" spans="18:18" s="2" customFormat="1" ht="12.75" x14ac:dyDescent="0.2">
      <c r="R30587" s="1288"/>
    </row>
    <row r="30588" spans="18:18" s="2" customFormat="1" ht="12.75" x14ac:dyDescent="0.2">
      <c r="R30588" s="1288"/>
    </row>
    <row r="30589" spans="18:18" s="2" customFormat="1" ht="12.75" x14ac:dyDescent="0.2">
      <c r="R30589" s="1288"/>
    </row>
    <row r="30590" spans="18:18" s="2" customFormat="1" ht="12.75" x14ac:dyDescent="0.2">
      <c r="R30590" s="1288"/>
    </row>
    <row r="30591" spans="18:18" s="2" customFormat="1" ht="12.75" x14ac:dyDescent="0.2">
      <c r="R30591" s="1288"/>
    </row>
    <row r="30592" spans="18:18" s="2" customFormat="1" ht="12.75" x14ac:dyDescent="0.2">
      <c r="R30592" s="1288"/>
    </row>
    <row r="30593" spans="18:18" s="2" customFormat="1" ht="12.75" x14ac:dyDescent="0.2">
      <c r="R30593" s="1288"/>
    </row>
    <row r="30594" spans="18:18" s="2" customFormat="1" ht="12.75" x14ac:dyDescent="0.2">
      <c r="R30594" s="1288"/>
    </row>
    <row r="30595" spans="18:18" s="2" customFormat="1" ht="12.75" x14ac:dyDescent="0.2">
      <c r="R30595" s="1288"/>
    </row>
    <row r="30596" spans="18:18" s="2" customFormat="1" ht="12.75" x14ac:dyDescent="0.2">
      <c r="R30596" s="1288"/>
    </row>
    <row r="30597" spans="18:18" s="2" customFormat="1" ht="12.75" x14ac:dyDescent="0.2">
      <c r="R30597" s="1288"/>
    </row>
    <row r="30598" spans="18:18" s="2" customFormat="1" ht="12.75" x14ac:dyDescent="0.2">
      <c r="R30598" s="1288"/>
    </row>
    <row r="30599" spans="18:18" s="2" customFormat="1" ht="12.75" x14ac:dyDescent="0.2">
      <c r="R30599" s="1288"/>
    </row>
    <row r="30600" spans="18:18" s="2" customFormat="1" ht="12.75" x14ac:dyDescent="0.2">
      <c r="R30600" s="1288"/>
    </row>
    <row r="30601" spans="18:18" s="2" customFormat="1" ht="12.75" x14ac:dyDescent="0.2">
      <c r="R30601" s="1288"/>
    </row>
    <row r="30602" spans="18:18" s="2" customFormat="1" ht="12.75" x14ac:dyDescent="0.2">
      <c r="R30602" s="1288"/>
    </row>
    <row r="30603" spans="18:18" s="2" customFormat="1" ht="12.75" x14ac:dyDescent="0.2">
      <c r="R30603" s="1288"/>
    </row>
    <row r="30604" spans="18:18" s="2" customFormat="1" ht="12.75" x14ac:dyDescent="0.2">
      <c r="R30604" s="1288"/>
    </row>
    <row r="30605" spans="18:18" s="2" customFormat="1" ht="12.75" x14ac:dyDescent="0.2">
      <c r="R30605" s="1288"/>
    </row>
    <row r="30606" spans="18:18" s="2" customFormat="1" ht="12.75" x14ac:dyDescent="0.2">
      <c r="R30606" s="1288"/>
    </row>
    <row r="30607" spans="18:18" s="2" customFormat="1" ht="12.75" x14ac:dyDescent="0.2">
      <c r="R30607" s="1288"/>
    </row>
    <row r="30608" spans="18:18" s="2" customFormat="1" ht="12.75" x14ac:dyDescent="0.2">
      <c r="R30608" s="1288"/>
    </row>
    <row r="30609" spans="18:18" s="2" customFormat="1" ht="12.75" x14ac:dyDescent="0.2">
      <c r="R30609" s="1288"/>
    </row>
    <row r="30610" spans="18:18" s="2" customFormat="1" ht="12.75" x14ac:dyDescent="0.2">
      <c r="R30610" s="1288"/>
    </row>
    <row r="30611" spans="18:18" s="2" customFormat="1" ht="12.75" x14ac:dyDescent="0.2">
      <c r="R30611" s="1288"/>
    </row>
    <row r="30612" spans="18:18" s="2" customFormat="1" ht="12.75" x14ac:dyDescent="0.2">
      <c r="R30612" s="1288"/>
    </row>
    <row r="30613" spans="18:18" s="2" customFormat="1" ht="12.75" x14ac:dyDescent="0.2">
      <c r="R30613" s="1288"/>
    </row>
    <row r="30614" spans="18:18" s="2" customFormat="1" ht="12.75" x14ac:dyDescent="0.2">
      <c r="R30614" s="1288"/>
    </row>
    <row r="30615" spans="18:18" s="2" customFormat="1" ht="12.75" x14ac:dyDescent="0.2">
      <c r="R30615" s="1288"/>
    </row>
    <row r="30616" spans="18:18" s="2" customFormat="1" ht="12.75" x14ac:dyDescent="0.2">
      <c r="R30616" s="1288"/>
    </row>
    <row r="30617" spans="18:18" s="2" customFormat="1" ht="12.75" x14ac:dyDescent="0.2">
      <c r="R30617" s="1288"/>
    </row>
    <row r="30618" spans="18:18" s="2" customFormat="1" ht="12.75" x14ac:dyDescent="0.2">
      <c r="R30618" s="1288"/>
    </row>
    <row r="30619" spans="18:18" s="2" customFormat="1" ht="12.75" x14ac:dyDescent="0.2">
      <c r="R30619" s="1288"/>
    </row>
    <row r="30620" spans="18:18" s="2" customFormat="1" ht="12.75" x14ac:dyDescent="0.2">
      <c r="R30620" s="1288"/>
    </row>
    <row r="30621" spans="18:18" s="2" customFormat="1" ht="12.75" x14ac:dyDescent="0.2">
      <c r="R30621" s="1288"/>
    </row>
    <row r="30622" spans="18:18" s="2" customFormat="1" ht="12.75" x14ac:dyDescent="0.2">
      <c r="R30622" s="1288"/>
    </row>
    <row r="30623" spans="18:18" s="2" customFormat="1" ht="12.75" x14ac:dyDescent="0.2">
      <c r="R30623" s="1288"/>
    </row>
    <row r="30624" spans="18:18" s="2" customFormat="1" ht="12.75" x14ac:dyDescent="0.2">
      <c r="R30624" s="1288"/>
    </row>
    <row r="30625" spans="18:18" s="2" customFormat="1" ht="12.75" x14ac:dyDescent="0.2">
      <c r="R30625" s="1288"/>
    </row>
    <row r="30626" spans="18:18" s="2" customFormat="1" ht="12.75" x14ac:dyDescent="0.2">
      <c r="R30626" s="1288"/>
    </row>
    <row r="30627" spans="18:18" s="2" customFormat="1" ht="12.75" x14ac:dyDescent="0.2">
      <c r="R30627" s="1288"/>
    </row>
    <row r="30628" spans="18:18" s="2" customFormat="1" ht="12.75" x14ac:dyDescent="0.2">
      <c r="R30628" s="1288"/>
    </row>
    <row r="30629" spans="18:18" s="2" customFormat="1" ht="12.75" x14ac:dyDescent="0.2">
      <c r="R30629" s="1288"/>
    </row>
    <row r="30630" spans="18:18" s="2" customFormat="1" ht="12.75" x14ac:dyDescent="0.2">
      <c r="R30630" s="1288"/>
    </row>
    <row r="30631" spans="18:18" s="2" customFormat="1" ht="12.75" x14ac:dyDescent="0.2">
      <c r="R30631" s="1288"/>
    </row>
    <row r="30632" spans="18:18" s="2" customFormat="1" ht="12.75" x14ac:dyDescent="0.2">
      <c r="R30632" s="1288"/>
    </row>
    <row r="30633" spans="18:18" s="2" customFormat="1" ht="12.75" x14ac:dyDescent="0.2">
      <c r="R30633" s="1288"/>
    </row>
    <row r="30634" spans="18:18" s="2" customFormat="1" ht="12.75" x14ac:dyDescent="0.2">
      <c r="R30634" s="1288"/>
    </row>
    <row r="30635" spans="18:18" s="2" customFormat="1" ht="12.75" x14ac:dyDescent="0.2">
      <c r="R30635" s="1288"/>
    </row>
    <row r="30636" spans="18:18" s="2" customFormat="1" ht="12.75" x14ac:dyDescent="0.2">
      <c r="R30636" s="1288"/>
    </row>
    <row r="30637" spans="18:18" s="2" customFormat="1" ht="12.75" x14ac:dyDescent="0.2">
      <c r="R30637" s="1288"/>
    </row>
    <row r="30638" spans="18:18" s="2" customFormat="1" ht="12.75" x14ac:dyDescent="0.2">
      <c r="R30638" s="1288"/>
    </row>
    <row r="30639" spans="18:18" s="2" customFormat="1" ht="12.75" x14ac:dyDescent="0.2">
      <c r="R30639" s="1288"/>
    </row>
    <row r="30640" spans="18:18" s="2" customFormat="1" ht="12.75" x14ac:dyDescent="0.2">
      <c r="R30640" s="1288"/>
    </row>
    <row r="30641" spans="18:18" s="2" customFormat="1" ht="12.75" x14ac:dyDescent="0.2">
      <c r="R30641" s="1288"/>
    </row>
    <row r="30642" spans="18:18" s="2" customFormat="1" ht="12.75" x14ac:dyDescent="0.2">
      <c r="R30642" s="1288"/>
    </row>
    <row r="30643" spans="18:18" s="2" customFormat="1" ht="12.75" x14ac:dyDescent="0.2">
      <c r="R30643" s="1288"/>
    </row>
    <row r="30644" spans="18:18" s="2" customFormat="1" ht="12.75" x14ac:dyDescent="0.2">
      <c r="R30644" s="1288"/>
    </row>
    <row r="30645" spans="18:18" s="2" customFormat="1" ht="12.75" x14ac:dyDescent="0.2">
      <c r="R30645" s="1288"/>
    </row>
    <row r="30646" spans="18:18" s="2" customFormat="1" ht="12.75" x14ac:dyDescent="0.2">
      <c r="R30646" s="1288"/>
    </row>
    <row r="30647" spans="18:18" s="2" customFormat="1" ht="12.75" x14ac:dyDescent="0.2">
      <c r="R30647" s="1288"/>
    </row>
    <row r="30648" spans="18:18" s="2" customFormat="1" ht="12.75" x14ac:dyDescent="0.2">
      <c r="R30648" s="1288"/>
    </row>
    <row r="30649" spans="18:18" s="2" customFormat="1" ht="12.75" x14ac:dyDescent="0.2">
      <c r="R30649" s="1288"/>
    </row>
    <row r="30650" spans="18:18" s="2" customFormat="1" ht="12.75" x14ac:dyDescent="0.2">
      <c r="R30650" s="1288"/>
    </row>
    <row r="30651" spans="18:18" s="2" customFormat="1" ht="12.75" x14ac:dyDescent="0.2">
      <c r="R30651" s="1288"/>
    </row>
    <row r="30652" spans="18:18" s="2" customFormat="1" ht="12.75" x14ac:dyDescent="0.2">
      <c r="R30652" s="1288"/>
    </row>
    <row r="30653" spans="18:18" s="2" customFormat="1" ht="12.75" x14ac:dyDescent="0.2">
      <c r="R30653" s="1288"/>
    </row>
    <row r="30654" spans="18:18" s="2" customFormat="1" ht="12.75" x14ac:dyDescent="0.2">
      <c r="R30654" s="1288"/>
    </row>
    <row r="30655" spans="18:18" s="2" customFormat="1" ht="12.75" x14ac:dyDescent="0.2">
      <c r="R30655" s="1288"/>
    </row>
    <row r="30656" spans="18:18" s="2" customFormat="1" ht="12.75" x14ac:dyDescent="0.2">
      <c r="R30656" s="1288"/>
    </row>
    <row r="30657" spans="18:18" s="2" customFormat="1" ht="12.75" x14ac:dyDescent="0.2">
      <c r="R30657" s="1288"/>
    </row>
    <row r="30658" spans="18:18" s="2" customFormat="1" ht="12.75" x14ac:dyDescent="0.2">
      <c r="R30658" s="1288"/>
    </row>
    <row r="30659" spans="18:18" s="2" customFormat="1" ht="12.75" x14ac:dyDescent="0.2">
      <c r="R30659" s="1288"/>
    </row>
    <row r="30660" spans="18:18" s="2" customFormat="1" ht="12.75" x14ac:dyDescent="0.2">
      <c r="R30660" s="1288"/>
    </row>
    <row r="30661" spans="18:18" s="2" customFormat="1" ht="12.75" x14ac:dyDescent="0.2">
      <c r="R30661" s="1288"/>
    </row>
    <row r="30662" spans="18:18" s="2" customFormat="1" ht="12.75" x14ac:dyDescent="0.2">
      <c r="R30662" s="1288"/>
    </row>
    <row r="30663" spans="18:18" s="2" customFormat="1" ht="12.75" x14ac:dyDescent="0.2">
      <c r="R30663" s="1288"/>
    </row>
    <row r="30664" spans="18:18" s="2" customFormat="1" ht="12.75" x14ac:dyDescent="0.2">
      <c r="R30664" s="1288"/>
    </row>
    <row r="30665" spans="18:18" s="2" customFormat="1" ht="12.75" x14ac:dyDescent="0.2">
      <c r="R30665" s="1288"/>
    </row>
    <row r="30666" spans="18:18" s="2" customFormat="1" ht="12.75" x14ac:dyDescent="0.2">
      <c r="R30666" s="1288"/>
    </row>
    <row r="30667" spans="18:18" s="2" customFormat="1" ht="12.75" x14ac:dyDescent="0.2">
      <c r="R30667" s="1288"/>
    </row>
    <row r="30668" spans="18:18" s="2" customFormat="1" ht="12.75" x14ac:dyDescent="0.2">
      <c r="R30668" s="1288"/>
    </row>
    <row r="30669" spans="18:18" s="2" customFormat="1" ht="12.75" x14ac:dyDescent="0.2">
      <c r="R30669" s="1288"/>
    </row>
    <row r="30670" spans="18:18" s="2" customFormat="1" ht="12.75" x14ac:dyDescent="0.2">
      <c r="R30670" s="1288"/>
    </row>
    <row r="30671" spans="18:18" s="2" customFormat="1" ht="12.75" x14ac:dyDescent="0.2">
      <c r="R30671" s="1288"/>
    </row>
    <row r="30672" spans="18:18" s="2" customFormat="1" ht="12.75" x14ac:dyDescent="0.2">
      <c r="R30672" s="1288"/>
    </row>
    <row r="30673" spans="18:18" s="2" customFormat="1" ht="12.75" x14ac:dyDescent="0.2">
      <c r="R30673" s="1288"/>
    </row>
    <row r="30674" spans="18:18" s="2" customFormat="1" ht="12.75" x14ac:dyDescent="0.2">
      <c r="R30674" s="1288"/>
    </row>
    <row r="30675" spans="18:18" s="2" customFormat="1" ht="12.75" x14ac:dyDescent="0.2">
      <c r="R30675" s="1288"/>
    </row>
    <row r="30676" spans="18:18" s="2" customFormat="1" ht="12.75" x14ac:dyDescent="0.2">
      <c r="R30676" s="1288"/>
    </row>
    <row r="30677" spans="18:18" s="2" customFormat="1" ht="12.75" x14ac:dyDescent="0.2">
      <c r="R30677" s="1288"/>
    </row>
    <row r="30678" spans="18:18" s="2" customFormat="1" ht="12.75" x14ac:dyDescent="0.2">
      <c r="R30678" s="1288"/>
    </row>
    <row r="30679" spans="18:18" s="2" customFormat="1" ht="12.75" x14ac:dyDescent="0.2">
      <c r="R30679" s="1288"/>
    </row>
    <row r="30680" spans="18:18" s="2" customFormat="1" ht="12.75" x14ac:dyDescent="0.2">
      <c r="R30680" s="1288"/>
    </row>
    <row r="30681" spans="18:18" s="2" customFormat="1" ht="12.75" x14ac:dyDescent="0.2">
      <c r="R30681" s="1288"/>
    </row>
    <row r="30682" spans="18:18" s="2" customFormat="1" ht="12.75" x14ac:dyDescent="0.2">
      <c r="R30682" s="1288"/>
    </row>
    <row r="30683" spans="18:18" s="2" customFormat="1" ht="12.75" x14ac:dyDescent="0.2">
      <c r="R30683" s="1288"/>
    </row>
    <row r="30684" spans="18:18" s="2" customFormat="1" ht="12.75" x14ac:dyDescent="0.2">
      <c r="R30684" s="1288"/>
    </row>
    <row r="30685" spans="18:18" s="2" customFormat="1" ht="12.75" x14ac:dyDescent="0.2">
      <c r="R30685" s="1288"/>
    </row>
    <row r="30686" spans="18:18" s="2" customFormat="1" ht="12.75" x14ac:dyDescent="0.2">
      <c r="R30686" s="1288"/>
    </row>
    <row r="30687" spans="18:18" s="2" customFormat="1" ht="12.75" x14ac:dyDescent="0.2">
      <c r="R30687" s="1288"/>
    </row>
    <row r="30688" spans="18:18" s="2" customFormat="1" ht="12.75" x14ac:dyDescent="0.2">
      <c r="R30688" s="1288"/>
    </row>
    <row r="30689" spans="18:18" s="2" customFormat="1" ht="12.75" x14ac:dyDescent="0.2">
      <c r="R30689" s="1288"/>
    </row>
    <row r="30690" spans="18:18" s="2" customFormat="1" ht="12.75" x14ac:dyDescent="0.2">
      <c r="R30690" s="1288"/>
    </row>
    <row r="30691" spans="18:18" s="2" customFormat="1" ht="12.75" x14ac:dyDescent="0.2">
      <c r="R30691" s="1288"/>
    </row>
    <row r="30692" spans="18:18" s="2" customFormat="1" ht="12.75" x14ac:dyDescent="0.2">
      <c r="R30692" s="1288"/>
    </row>
    <row r="30693" spans="18:18" s="2" customFormat="1" ht="12.75" x14ac:dyDescent="0.2">
      <c r="R30693" s="1288"/>
    </row>
    <row r="30694" spans="18:18" s="2" customFormat="1" ht="12.75" x14ac:dyDescent="0.2">
      <c r="R30694" s="1288"/>
    </row>
    <row r="30695" spans="18:18" s="2" customFormat="1" ht="12.75" x14ac:dyDescent="0.2">
      <c r="R30695" s="1288"/>
    </row>
    <row r="30696" spans="18:18" s="2" customFormat="1" ht="12.75" x14ac:dyDescent="0.2">
      <c r="R30696" s="1288"/>
    </row>
    <row r="30697" spans="18:18" s="2" customFormat="1" ht="12.75" x14ac:dyDescent="0.2">
      <c r="R30697" s="1288"/>
    </row>
    <row r="30698" spans="18:18" s="2" customFormat="1" ht="12.75" x14ac:dyDescent="0.2">
      <c r="R30698" s="1288"/>
    </row>
    <row r="30699" spans="18:18" s="2" customFormat="1" ht="12.75" x14ac:dyDescent="0.2">
      <c r="R30699" s="1288"/>
    </row>
    <row r="30700" spans="18:18" s="2" customFormat="1" ht="12.75" x14ac:dyDescent="0.2">
      <c r="R30700" s="1288"/>
    </row>
    <row r="30701" spans="18:18" s="2" customFormat="1" ht="12.75" x14ac:dyDescent="0.2">
      <c r="R30701" s="1288"/>
    </row>
    <row r="30702" spans="18:18" s="2" customFormat="1" ht="12.75" x14ac:dyDescent="0.2">
      <c r="R30702" s="1288"/>
    </row>
    <row r="30703" spans="18:18" s="2" customFormat="1" ht="12.75" x14ac:dyDescent="0.2">
      <c r="R30703" s="1288"/>
    </row>
    <row r="30704" spans="18:18" s="2" customFormat="1" ht="12.75" x14ac:dyDescent="0.2">
      <c r="R30704" s="1288"/>
    </row>
    <row r="30705" spans="18:18" s="2" customFormat="1" ht="12.75" x14ac:dyDescent="0.2">
      <c r="R30705" s="1288"/>
    </row>
    <row r="30706" spans="18:18" s="2" customFormat="1" ht="12.75" x14ac:dyDescent="0.2">
      <c r="R30706" s="1288"/>
    </row>
    <row r="30707" spans="18:18" s="2" customFormat="1" ht="12.75" x14ac:dyDescent="0.2">
      <c r="R30707" s="1288"/>
    </row>
    <row r="30708" spans="18:18" s="2" customFormat="1" ht="12.75" x14ac:dyDescent="0.2">
      <c r="R30708" s="1288"/>
    </row>
    <row r="30709" spans="18:18" s="2" customFormat="1" ht="12.75" x14ac:dyDescent="0.2">
      <c r="R30709" s="1288"/>
    </row>
    <row r="30710" spans="18:18" s="2" customFormat="1" ht="12.75" x14ac:dyDescent="0.2">
      <c r="R30710" s="1288"/>
    </row>
    <row r="30711" spans="18:18" s="2" customFormat="1" ht="12.75" x14ac:dyDescent="0.2">
      <c r="R30711" s="1288"/>
    </row>
    <row r="30712" spans="18:18" s="2" customFormat="1" ht="12.75" x14ac:dyDescent="0.2">
      <c r="R30712" s="1288"/>
    </row>
    <row r="30713" spans="18:18" s="2" customFormat="1" ht="12.75" x14ac:dyDescent="0.2">
      <c r="R30713" s="1288"/>
    </row>
    <row r="30714" spans="18:18" s="2" customFormat="1" ht="12.75" x14ac:dyDescent="0.2">
      <c r="R30714" s="1288"/>
    </row>
    <row r="30715" spans="18:18" s="2" customFormat="1" ht="12.75" x14ac:dyDescent="0.2">
      <c r="R30715" s="1288"/>
    </row>
    <row r="30716" spans="18:18" s="2" customFormat="1" ht="12.75" x14ac:dyDescent="0.2">
      <c r="R30716" s="1288"/>
    </row>
    <row r="30717" spans="18:18" s="2" customFormat="1" ht="12.75" x14ac:dyDescent="0.2">
      <c r="R30717" s="1288"/>
    </row>
    <row r="30718" spans="18:18" s="2" customFormat="1" ht="12.75" x14ac:dyDescent="0.2">
      <c r="R30718" s="1288"/>
    </row>
    <row r="30719" spans="18:18" s="2" customFormat="1" ht="12.75" x14ac:dyDescent="0.2">
      <c r="R30719" s="1288"/>
    </row>
    <row r="30720" spans="18:18" s="2" customFormat="1" ht="12.75" x14ac:dyDescent="0.2">
      <c r="R30720" s="1288"/>
    </row>
    <row r="30721" spans="18:18" s="2" customFormat="1" ht="12.75" x14ac:dyDescent="0.2">
      <c r="R30721" s="1288"/>
    </row>
    <row r="30722" spans="18:18" s="2" customFormat="1" ht="12.75" x14ac:dyDescent="0.2">
      <c r="R30722" s="1288"/>
    </row>
    <row r="30723" spans="18:18" s="2" customFormat="1" ht="12.75" x14ac:dyDescent="0.2">
      <c r="R30723" s="1288"/>
    </row>
    <row r="30724" spans="18:18" s="2" customFormat="1" ht="12.75" x14ac:dyDescent="0.2">
      <c r="R30724" s="1288"/>
    </row>
    <row r="30725" spans="18:18" s="2" customFormat="1" ht="12.75" x14ac:dyDescent="0.2">
      <c r="R30725" s="1288"/>
    </row>
    <row r="30726" spans="18:18" s="2" customFormat="1" ht="12.75" x14ac:dyDescent="0.2">
      <c r="R30726" s="1288"/>
    </row>
    <row r="30727" spans="18:18" s="2" customFormat="1" ht="12.75" x14ac:dyDescent="0.2">
      <c r="R30727" s="1288"/>
    </row>
    <row r="30728" spans="18:18" s="2" customFormat="1" ht="12.75" x14ac:dyDescent="0.2">
      <c r="R30728" s="1288"/>
    </row>
    <row r="30729" spans="18:18" s="2" customFormat="1" ht="12.75" x14ac:dyDescent="0.2">
      <c r="R30729" s="1288"/>
    </row>
    <row r="30730" spans="18:18" s="2" customFormat="1" ht="12.75" x14ac:dyDescent="0.2">
      <c r="R30730" s="1288"/>
    </row>
    <row r="30731" spans="18:18" s="2" customFormat="1" ht="12.75" x14ac:dyDescent="0.2">
      <c r="R30731" s="1288"/>
    </row>
    <row r="30732" spans="18:18" s="2" customFormat="1" ht="12.75" x14ac:dyDescent="0.2">
      <c r="R30732" s="1288"/>
    </row>
    <row r="30733" spans="18:18" s="2" customFormat="1" ht="12.75" x14ac:dyDescent="0.2">
      <c r="R30733" s="1288"/>
    </row>
    <row r="30734" spans="18:18" s="2" customFormat="1" ht="12.75" x14ac:dyDescent="0.2">
      <c r="R30734" s="1288"/>
    </row>
    <row r="30735" spans="18:18" s="2" customFormat="1" ht="12.75" x14ac:dyDescent="0.2">
      <c r="R30735" s="1288"/>
    </row>
    <row r="30736" spans="18:18" s="2" customFormat="1" ht="12.75" x14ac:dyDescent="0.2">
      <c r="R30736" s="1288"/>
    </row>
    <row r="30737" spans="18:18" s="2" customFormat="1" ht="12.75" x14ac:dyDescent="0.2">
      <c r="R30737" s="1288"/>
    </row>
    <row r="30738" spans="18:18" s="2" customFormat="1" ht="12.75" x14ac:dyDescent="0.2">
      <c r="R30738" s="1288"/>
    </row>
    <row r="30739" spans="18:18" s="2" customFormat="1" ht="12.75" x14ac:dyDescent="0.2">
      <c r="R30739" s="1288"/>
    </row>
    <row r="30740" spans="18:18" s="2" customFormat="1" ht="12.75" x14ac:dyDescent="0.2">
      <c r="R30740" s="1288"/>
    </row>
    <row r="30741" spans="18:18" s="2" customFormat="1" ht="12.75" x14ac:dyDescent="0.2">
      <c r="R30741" s="1288"/>
    </row>
    <row r="30742" spans="18:18" s="2" customFormat="1" ht="12.75" x14ac:dyDescent="0.2">
      <c r="R30742" s="1288"/>
    </row>
    <row r="30743" spans="18:18" s="2" customFormat="1" ht="12.75" x14ac:dyDescent="0.2">
      <c r="R30743" s="1288"/>
    </row>
    <row r="30744" spans="18:18" s="2" customFormat="1" ht="12.75" x14ac:dyDescent="0.2">
      <c r="R30744" s="1288"/>
    </row>
    <row r="30745" spans="18:18" s="2" customFormat="1" ht="12.75" x14ac:dyDescent="0.2">
      <c r="R30745" s="1288"/>
    </row>
    <row r="30746" spans="18:18" s="2" customFormat="1" ht="12.75" x14ac:dyDescent="0.2">
      <c r="R30746" s="1288"/>
    </row>
    <row r="30747" spans="18:18" s="2" customFormat="1" ht="12.75" x14ac:dyDescent="0.2">
      <c r="R30747" s="1288"/>
    </row>
    <row r="30748" spans="18:18" s="2" customFormat="1" ht="12.75" x14ac:dyDescent="0.2">
      <c r="R30748" s="1288"/>
    </row>
    <row r="30749" spans="18:18" s="2" customFormat="1" ht="12.75" x14ac:dyDescent="0.2">
      <c r="R30749" s="1288"/>
    </row>
    <row r="30750" spans="18:18" s="2" customFormat="1" ht="12.75" x14ac:dyDescent="0.2">
      <c r="R30750" s="1288"/>
    </row>
    <row r="30751" spans="18:18" s="2" customFormat="1" ht="12.75" x14ac:dyDescent="0.2">
      <c r="R30751" s="1288"/>
    </row>
    <row r="30752" spans="18:18" s="2" customFormat="1" ht="12.75" x14ac:dyDescent="0.2">
      <c r="R30752" s="1288"/>
    </row>
    <row r="30753" spans="18:18" s="2" customFormat="1" ht="12.75" x14ac:dyDescent="0.2">
      <c r="R30753" s="1288"/>
    </row>
    <row r="30754" spans="18:18" s="2" customFormat="1" ht="12.75" x14ac:dyDescent="0.2">
      <c r="R30754" s="1288"/>
    </row>
    <row r="30755" spans="18:18" s="2" customFormat="1" ht="12.75" x14ac:dyDescent="0.2">
      <c r="R30755" s="1288"/>
    </row>
    <row r="30756" spans="18:18" s="2" customFormat="1" ht="12.75" x14ac:dyDescent="0.2">
      <c r="R30756" s="1288"/>
    </row>
    <row r="30757" spans="18:18" s="2" customFormat="1" ht="12.75" x14ac:dyDescent="0.2">
      <c r="R30757" s="1288"/>
    </row>
    <row r="30758" spans="18:18" s="2" customFormat="1" ht="12.75" x14ac:dyDescent="0.2">
      <c r="R30758" s="1288"/>
    </row>
    <row r="30759" spans="18:18" s="2" customFormat="1" ht="12.75" x14ac:dyDescent="0.2">
      <c r="R30759" s="1288"/>
    </row>
    <row r="30760" spans="18:18" s="2" customFormat="1" ht="12.75" x14ac:dyDescent="0.2">
      <c r="R30760" s="1288"/>
    </row>
    <row r="30761" spans="18:18" s="2" customFormat="1" ht="12.75" x14ac:dyDescent="0.2">
      <c r="R30761" s="1288"/>
    </row>
    <row r="30762" spans="18:18" s="2" customFormat="1" ht="12.75" x14ac:dyDescent="0.2">
      <c r="R30762" s="1288"/>
    </row>
    <row r="30763" spans="18:18" s="2" customFormat="1" ht="12.75" x14ac:dyDescent="0.2">
      <c r="R30763" s="1288"/>
    </row>
    <row r="30764" spans="18:18" s="2" customFormat="1" ht="12.75" x14ac:dyDescent="0.2">
      <c r="R30764" s="1288"/>
    </row>
    <row r="30765" spans="18:18" s="2" customFormat="1" ht="12.75" x14ac:dyDescent="0.2">
      <c r="R30765" s="1288"/>
    </row>
    <row r="30766" spans="18:18" s="2" customFormat="1" ht="12.75" x14ac:dyDescent="0.2">
      <c r="R30766" s="1288"/>
    </row>
    <row r="30767" spans="18:18" s="2" customFormat="1" ht="12.75" x14ac:dyDescent="0.2">
      <c r="R30767" s="1288"/>
    </row>
    <row r="30768" spans="18:18" s="2" customFormat="1" ht="12.75" x14ac:dyDescent="0.2">
      <c r="R30768" s="1288"/>
    </row>
    <row r="30769" spans="18:18" s="2" customFormat="1" ht="12.75" x14ac:dyDescent="0.2">
      <c r="R30769" s="1288"/>
    </row>
    <row r="30770" spans="18:18" s="2" customFormat="1" ht="12.75" x14ac:dyDescent="0.2">
      <c r="R30770" s="1288"/>
    </row>
    <row r="30771" spans="18:18" s="2" customFormat="1" ht="12.75" x14ac:dyDescent="0.2">
      <c r="R30771" s="1288"/>
    </row>
    <row r="30772" spans="18:18" s="2" customFormat="1" ht="12.75" x14ac:dyDescent="0.2">
      <c r="R30772" s="1288"/>
    </row>
    <row r="30773" spans="18:18" s="2" customFormat="1" ht="12.75" x14ac:dyDescent="0.2">
      <c r="R30773" s="1288"/>
    </row>
    <row r="30774" spans="18:18" s="2" customFormat="1" ht="12.75" x14ac:dyDescent="0.2">
      <c r="R30774" s="1288"/>
    </row>
    <row r="30775" spans="18:18" s="2" customFormat="1" ht="12.75" x14ac:dyDescent="0.2">
      <c r="R30775" s="1288"/>
    </row>
    <row r="30776" spans="18:18" s="2" customFormat="1" ht="12.75" x14ac:dyDescent="0.2">
      <c r="R30776" s="1288"/>
    </row>
    <row r="30777" spans="18:18" s="2" customFormat="1" ht="12.75" x14ac:dyDescent="0.2">
      <c r="R30777" s="1288"/>
    </row>
    <row r="30778" spans="18:18" s="2" customFormat="1" ht="12.75" x14ac:dyDescent="0.2">
      <c r="R30778" s="1288"/>
    </row>
    <row r="30779" spans="18:18" s="2" customFormat="1" ht="12.75" x14ac:dyDescent="0.2">
      <c r="R30779" s="1288"/>
    </row>
    <row r="30780" spans="18:18" s="2" customFormat="1" ht="12.75" x14ac:dyDescent="0.2">
      <c r="R30780" s="1288"/>
    </row>
    <row r="30781" spans="18:18" s="2" customFormat="1" ht="12.75" x14ac:dyDescent="0.2">
      <c r="R30781" s="1288"/>
    </row>
    <row r="30782" spans="18:18" s="2" customFormat="1" ht="12.75" x14ac:dyDescent="0.2">
      <c r="R30782" s="1288"/>
    </row>
    <row r="30783" spans="18:18" s="2" customFormat="1" ht="12.75" x14ac:dyDescent="0.2">
      <c r="R30783" s="1288"/>
    </row>
    <row r="30784" spans="18:18" s="2" customFormat="1" ht="12.75" x14ac:dyDescent="0.2">
      <c r="R30784" s="1288"/>
    </row>
    <row r="30785" spans="18:18" s="2" customFormat="1" ht="12.75" x14ac:dyDescent="0.2">
      <c r="R30785" s="1288"/>
    </row>
    <row r="30786" spans="18:18" s="2" customFormat="1" ht="12.75" x14ac:dyDescent="0.2">
      <c r="R30786" s="1288"/>
    </row>
    <row r="30787" spans="18:18" s="2" customFormat="1" ht="12.75" x14ac:dyDescent="0.2">
      <c r="R30787" s="1288"/>
    </row>
    <row r="30788" spans="18:18" s="2" customFormat="1" ht="12.75" x14ac:dyDescent="0.2">
      <c r="R30788" s="1288"/>
    </row>
    <row r="30789" spans="18:18" s="2" customFormat="1" ht="12.75" x14ac:dyDescent="0.2">
      <c r="R30789" s="1288"/>
    </row>
    <row r="30790" spans="18:18" s="2" customFormat="1" ht="12.75" x14ac:dyDescent="0.2">
      <c r="R30790" s="1288"/>
    </row>
    <row r="30791" spans="18:18" s="2" customFormat="1" ht="12.75" x14ac:dyDescent="0.2">
      <c r="R30791" s="1288"/>
    </row>
    <row r="30792" spans="18:18" s="2" customFormat="1" ht="12.75" x14ac:dyDescent="0.2">
      <c r="R30792" s="1288"/>
    </row>
    <row r="30793" spans="18:18" s="2" customFormat="1" ht="12.75" x14ac:dyDescent="0.2">
      <c r="R30793" s="1288"/>
    </row>
    <row r="30794" spans="18:18" s="2" customFormat="1" ht="12.75" x14ac:dyDescent="0.2">
      <c r="R30794" s="1288"/>
    </row>
    <row r="30795" spans="18:18" s="2" customFormat="1" ht="12.75" x14ac:dyDescent="0.2">
      <c r="R30795" s="1288"/>
    </row>
    <row r="30796" spans="18:18" s="2" customFormat="1" ht="12.75" x14ac:dyDescent="0.2">
      <c r="R30796" s="1288"/>
    </row>
    <row r="30797" spans="18:18" s="2" customFormat="1" ht="12.75" x14ac:dyDescent="0.2">
      <c r="R30797" s="1288"/>
    </row>
    <row r="30798" spans="18:18" s="2" customFormat="1" ht="12.75" x14ac:dyDescent="0.2">
      <c r="R30798" s="1288"/>
    </row>
    <row r="30799" spans="18:18" s="2" customFormat="1" ht="12.75" x14ac:dyDescent="0.2">
      <c r="R30799" s="1288"/>
    </row>
    <row r="30800" spans="18:18" s="2" customFormat="1" ht="12.75" x14ac:dyDescent="0.2">
      <c r="R30800" s="1288"/>
    </row>
    <row r="30801" spans="18:18" s="2" customFormat="1" ht="12.75" x14ac:dyDescent="0.2">
      <c r="R30801" s="1288"/>
    </row>
    <row r="30802" spans="18:18" s="2" customFormat="1" ht="12.75" x14ac:dyDescent="0.2">
      <c r="R30802" s="1288"/>
    </row>
    <row r="30803" spans="18:18" s="2" customFormat="1" ht="12.75" x14ac:dyDescent="0.2">
      <c r="R30803" s="1288"/>
    </row>
    <row r="30804" spans="18:18" s="2" customFormat="1" ht="12.75" x14ac:dyDescent="0.2">
      <c r="R30804" s="1288"/>
    </row>
    <row r="30805" spans="18:18" s="2" customFormat="1" ht="12.75" x14ac:dyDescent="0.2">
      <c r="R30805" s="1288"/>
    </row>
    <row r="30806" spans="18:18" s="2" customFormat="1" ht="12.75" x14ac:dyDescent="0.2">
      <c r="R30806" s="1288"/>
    </row>
    <row r="30807" spans="18:18" s="2" customFormat="1" ht="12.75" x14ac:dyDescent="0.2">
      <c r="R30807" s="1288"/>
    </row>
    <row r="30808" spans="18:18" s="2" customFormat="1" ht="12.75" x14ac:dyDescent="0.2">
      <c r="R30808" s="1288"/>
    </row>
    <row r="30809" spans="18:18" s="2" customFormat="1" ht="12.75" x14ac:dyDescent="0.2">
      <c r="R30809" s="1288"/>
    </row>
    <row r="30810" spans="18:18" s="2" customFormat="1" ht="12.75" x14ac:dyDescent="0.2">
      <c r="R30810" s="1288"/>
    </row>
    <row r="30811" spans="18:18" s="2" customFormat="1" ht="12.75" x14ac:dyDescent="0.2">
      <c r="R30811" s="1288"/>
    </row>
    <row r="30812" spans="18:18" s="2" customFormat="1" ht="12.75" x14ac:dyDescent="0.2">
      <c r="R30812" s="1288"/>
    </row>
    <row r="30813" spans="18:18" s="2" customFormat="1" ht="12.75" x14ac:dyDescent="0.2">
      <c r="R30813" s="1288"/>
    </row>
    <row r="30814" spans="18:18" s="2" customFormat="1" ht="12.75" x14ac:dyDescent="0.2">
      <c r="R30814" s="1288"/>
    </row>
    <row r="30815" spans="18:18" s="2" customFormat="1" ht="12.75" x14ac:dyDescent="0.2">
      <c r="R30815" s="1288"/>
    </row>
    <row r="30816" spans="18:18" s="2" customFormat="1" ht="12.75" x14ac:dyDescent="0.2">
      <c r="R30816" s="1288"/>
    </row>
    <row r="30817" spans="18:18" s="2" customFormat="1" ht="12.75" x14ac:dyDescent="0.2">
      <c r="R30817" s="1288"/>
    </row>
    <row r="30818" spans="18:18" s="2" customFormat="1" ht="12.75" x14ac:dyDescent="0.2">
      <c r="R30818" s="1288"/>
    </row>
    <row r="30819" spans="18:18" s="2" customFormat="1" ht="12.75" x14ac:dyDescent="0.2">
      <c r="R30819" s="1288"/>
    </row>
    <row r="30820" spans="18:18" s="2" customFormat="1" ht="12.75" x14ac:dyDescent="0.2">
      <c r="R30820" s="1288"/>
    </row>
    <row r="30821" spans="18:18" s="2" customFormat="1" ht="12.75" x14ac:dyDescent="0.2">
      <c r="R30821" s="1288"/>
    </row>
    <row r="30822" spans="18:18" s="2" customFormat="1" ht="12.75" x14ac:dyDescent="0.2">
      <c r="R30822" s="1288"/>
    </row>
    <row r="30823" spans="18:18" s="2" customFormat="1" ht="12.75" x14ac:dyDescent="0.2">
      <c r="R30823" s="1288"/>
    </row>
    <row r="30824" spans="18:18" s="2" customFormat="1" ht="12.75" x14ac:dyDescent="0.2">
      <c r="R30824" s="1288"/>
    </row>
    <row r="30825" spans="18:18" s="2" customFormat="1" ht="12.75" x14ac:dyDescent="0.2">
      <c r="R30825" s="1288"/>
    </row>
    <row r="30826" spans="18:18" s="2" customFormat="1" ht="12.75" x14ac:dyDescent="0.2">
      <c r="R30826" s="1288"/>
    </row>
    <row r="30827" spans="18:18" s="2" customFormat="1" ht="12.75" x14ac:dyDescent="0.2">
      <c r="R30827" s="1288"/>
    </row>
    <row r="30828" spans="18:18" s="2" customFormat="1" ht="12.75" x14ac:dyDescent="0.2">
      <c r="R30828" s="1288"/>
    </row>
    <row r="30829" spans="18:18" s="2" customFormat="1" ht="12.75" x14ac:dyDescent="0.2">
      <c r="R30829" s="1288"/>
    </row>
    <row r="30830" spans="18:18" s="2" customFormat="1" ht="12.75" x14ac:dyDescent="0.2">
      <c r="R30830" s="1288"/>
    </row>
    <row r="30831" spans="18:18" s="2" customFormat="1" ht="12.75" x14ac:dyDescent="0.2">
      <c r="R30831" s="1288"/>
    </row>
    <row r="30832" spans="18:18" s="2" customFormat="1" ht="12.75" x14ac:dyDescent="0.2">
      <c r="R30832" s="1288"/>
    </row>
    <row r="30833" spans="18:18" s="2" customFormat="1" ht="12.75" x14ac:dyDescent="0.2">
      <c r="R30833" s="1288"/>
    </row>
    <row r="30834" spans="18:18" s="2" customFormat="1" ht="12.75" x14ac:dyDescent="0.2">
      <c r="R30834" s="1288"/>
    </row>
    <row r="30835" spans="18:18" s="2" customFormat="1" ht="12.75" x14ac:dyDescent="0.2">
      <c r="R30835" s="1288"/>
    </row>
    <row r="30836" spans="18:18" s="2" customFormat="1" ht="12.75" x14ac:dyDescent="0.2">
      <c r="R30836" s="1288"/>
    </row>
    <row r="30837" spans="18:18" s="2" customFormat="1" ht="12.75" x14ac:dyDescent="0.2">
      <c r="R30837" s="1288"/>
    </row>
    <row r="30838" spans="18:18" s="2" customFormat="1" ht="12.75" x14ac:dyDescent="0.2">
      <c r="R30838" s="1288"/>
    </row>
    <row r="30839" spans="18:18" s="2" customFormat="1" ht="12.75" x14ac:dyDescent="0.2">
      <c r="R30839" s="1288"/>
    </row>
    <row r="30840" spans="18:18" s="2" customFormat="1" ht="12.75" x14ac:dyDescent="0.2">
      <c r="R30840" s="1288"/>
    </row>
    <row r="30841" spans="18:18" s="2" customFormat="1" ht="12.75" x14ac:dyDescent="0.2">
      <c r="R30841" s="1288"/>
    </row>
    <row r="30842" spans="18:18" s="2" customFormat="1" ht="12.75" x14ac:dyDescent="0.2">
      <c r="R30842" s="1288"/>
    </row>
    <row r="30843" spans="18:18" s="2" customFormat="1" ht="12.75" x14ac:dyDescent="0.2">
      <c r="R30843" s="1288"/>
    </row>
    <row r="30844" spans="18:18" s="2" customFormat="1" ht="12.75" x14ac:dyDescent="0.2">
      <c r="R30844" s="1288"/>
    </row>
    <row r="30845" spans="18:18" s="2" customFormat="1" ht="12.75" x14ac:dyDescent="0.2">
      <c r="R30845" s="1288"/>
    </row>
    <row r="30846" spans="18:18" s="2" customFormat="1" ht="12.75" x14ac:dyDescent="0.2">
      <c r="R30846" s="1288"/>
    </row>
    <row r="30847" spans="18:18" s="2" customFormat="1" ht="12.75" x14ac:dyDescent="0.2">
      <c r="R30847" s="1288"/>
    </row>
    <row r="30848" spans="18:18" s="2" customFormat="1" ht="12.75" x14ac:dyDescent="0.2">
      <c r="R30848" s="1288"/>
    </row>
    <row r="30849" spans="18:18" s="2" customFormat="1" ht="12.75" x14ac:dyDescent="0.2">
      <c r="R30849" s="1288"/>
    </row>
    <row r="30850" spans="18:18" s="2" customFormat="1" ht="12.75" x14ac:dyDescent="0.2">
      <c r="R30850" s="1288"/>
    </row>
    <row r="30851" spans="18:18" s="2" customFormat="1" ht="12.75" x14ac:dyDescent="0.2">
      <c r="R30851" s="1288"/>
    </row>
    <row r="30852" spans="18:18" s="2" customFormat="1" ht="12.75" x14ac:dyDescent="0.2">
      <c r="R30852" s="1288"/>
    </row>
    <row r="30853" spans="18:18" s="2" customFormat="1" ht="12.75" x14ac:dyDescent="0.2">
      <c r="R30853" s="1288"/>
    </row>
    <row r="30854" spans="18:18" s="2" customFormat="1" ht="12.75" x14ac:dyDescent="0.2">
      <c r="R30854" s="1288"/>
    </row>
    <row r="30855" spans="18:18" s="2" customFormat="1" ht="12.75" x14ac:dyDescent="0.2">
      <c r="R30855" s="1288"/>
    </row>
    <row r="30856" spans="18:18" s="2" customFormat="1" ht="12.75" x14ac:dyDescent="0.2">
      <c r="R30856" s="1288"/>
    </row>
    <row r="30857" spans="18:18" s="2" customFormat="1" ht="12.75" x14ac:dyDescent="0.2">
      <c r="R30857" s="1288"/>
    </row>
    <row r="30858" spans="18:18" s="2" customFormat="1" ht="12.75" x14ac:dyDescent="0.2">
      <c r="R30858" s="1288"/>
    </row>
    <row r="30859" spans="18:18" s="2" customFormat="1" ht="12.75" x14ac:dyDescent="0.2">
      <c r="R30859" s="1288"/>
    </row>
    <row r="30860" spans="18:18" s="2" customFormat="1" ht="12.75" x14ac:dyDescent="0.2">
      <c r="R30860" s="1288"/>
    </row>
    <row r="30861" spans="18:18" s="2" customFormat="1" ht="12.75" x14ac:dyDescent="0.2">
      <c r="R30861" s="1288"/>
    </row>
    <row r="30862" spans="18:18" s="2" customFormat="1" ht="12.75" x14ac:dyDescent="0.2">
      <c r="R30862" s="1288"/>
    </row>
    <row r="30863" spans="18:18" s="2" customFormat="1" ht="12.75" x14ac:dyDescent="0.2">
      <c r="R30863" s="1288"/>
    </row>
    <row r="30864" spans="18:18" s="2" customFormat="1" ht="12.75" x14ac:dyDescent="0.2">
      <c r="R30864" s="1288"/>
    </row>
    <row r="30865" spans="18:18" s="2" customFormat="1" ht="12.75" x14ac:dyDescent="0.2">
      <c r="R30865" s="1288"/>
    </row>
    <row r="30866" spans="18:18" s="2" customFormat="1" ht="12.75" x14ac:dyDescent="0.2">
      <c r="R30866" s="1288"/>
    </row>
    <row r="30867" spans="18:18" s="2" customFormat="1" ht="12.75" x14ac:dyDescent="0.2">
      <c r="R30867" s="1288"/>
    </row>
    <row r="30868" spans="18:18" s="2" customFormat="1" ht="12.75" x14ac:dyDescent="0.2">
      <c r="R30868" s="1288"/>
    </row>
    <row r="30869" spans="18:18" s="2" customFormat="1" ht="12.75" x14ac:dyDescent="0.2">
      <c r="R30869" s="1288"/>
    </row>
    <row r="30870" spans="18:18" s="2" customFormat="1" ht="12.75" x14ac:dyDescent="0.2">
      <c r="R30870" s="1288"/>
    </row>
    <row r="30871" spans="18:18" s="2" customFormat="1" ht="12.75" x14ac:dyDescent="0.2">
      <c r="R30871" s="1288"/>
    </row>
    <row r="30872" spans="18:18" s="2" customFormat="1" ht="12.75" x14ac:dyDescent="0.2">
      <c r="R30872" s="1288"/>
    </row>
    <row r="30873" spans="18:18" s="2" customFormat="1" ht="12.75" x14ac:dyDescent="0.2">
      <c r="R30873" s="1288"/>
    </row>
    <row r="30874" spans="18:18" s="2" customFormat="1" ht="12.75" x14ac:dyDescent="0.2">
      <c r="R30874" s="1288"/>
    </row>
    <row r="30875" spans="18:18" s="2" customFormat="1" ht="12.75" x14ac:dyDescent="0.2">
      <c r="R30875" s="1288"/>
    </row>
    <row r="30876" spans="18:18" s="2" customFormat="1" ht="12.75" x14ac:dyDescent="0.2">
      <c r="R30876" s="1288"/>
    </row>
    <row r="30877" spans="18:18" s="2" customFormat="1" ht="12.75" x14ac:dyDescent="0.2">
      <c r="R30877" s="1288"/>
    </row>
    <row r="30878" spans="18:18" s="2" customFormat="1" ht="12.75" x14ac:dyDescent="0.2">
      <c r="R30878" s="1288"/>
    </row>
    <row r="30879" spans="18:18" s="2" customFormat="1" ht="12.75" x14ac:dyDescent="0.2">
      <c r="R30879" s="1288"/>
    </row>
    <row r="30880" spans="18:18" s="2" customFormat="1" ht="12.75" x14ac:dyDescent="0.2">
      <c r="R30880" s="1288"/>
    </row>
    <row r="30881" spans="18:18" s="2" customFormat="1" ht="12.75" x14ac:dyDescent="0.2">
      <c r="R30881" s="1288"/>
    </row>
    <row r="30882" spans="18:18" s="2" customFormat="1" ht="12.75" x14ac:dyDescent="0.2">
      <c r="R30882" s="1288"/>
    </row>
    <row r="30883" spans="18:18" s="2" customFormat="1" ht="12.75" x14ac:dyDescent="0.2">
      <c r="R30883" s="1288"/>
    </row>
    <row r="30884" spans="18:18" s="2" customFormat="1" ht="12.75" x14ac:dyDescent="0.2">
      <c r="R30884" s="1288"/>
    </row>
    <row r="30885" spans="18:18" s="2" customFormat="1" ht="12.75" x14ac:dyDescent="0.2">
      <c r="R30885" s="1288"/>
    </row>
    <row r="30886" spans="18:18" s="2" customFormat="1" ht="12.75" x14ac:dyDescent="0.2">
      <c r="R30886" s="1288"/>
    </row>
    <row r="30887" spans="18:18" s="2" customFormat="1" ht="12.75" x14ac:dyDescent="0.2">
      <c r="R30887" s="1288"/>
    </row>
    <row r="30888" spans="18:18" s="2" customFormat="1" ht="12.75" x14ac:dyDescent="0.2">
      <c r="R30888" s="1288"/>
    </row>
    <row r="30889" spans="18:18" s="2" customFormat="1" ht="12.75" x14ac:dyDescent="0.2">
      <c r="R30889" s="1288"/>
    </row>
    <row r="30890" spans="18:18" s="2" customFormat="1" ht="12.75" x14ac:dyDescent="0.2">
      <c r="R30890" s="1288"/>
    </row>
    <row r="30891" spans="18:18" s="2" customFormat="1" ht="12.75" x14ac:dyDescent="0.2">
      <c r="R30891" s="1288"/>
    </row>
    <row r="30892" spans="18:18" s="2" customFormat="1" ht="12.75" x14ac:dyDescent="0.2">
      <c r="R30892" s="1288"/>
    </row>
    <row r="30893" spans="18:18" s="2" customFormat="1" ht="12.75" x14ac:dyDescent="0.2">
      <c r="R30893" s="1288"/>
    </row>
    <row r="30894" spans="18:18" s="2" customFormat="1" ht="12.75" x14ac:dyDescent="0.2">
      <c r="R30894" s="1288"/>
    </row>
    <row r="30895" spans="18:18" s="2" customFormat="1" ht="12.75" x14ac:dyDescent="0.2">
      <c r="R30895" s="1288"/>
    </row>
    <row r="30896" spans="18:18" s="2" customFormat="1" ht="12.75" x14ac:dyDescent="0.2">
      <c r="R30896" s="1288"/>
    </row>
    <row r="30897" spans="18:18" s="2" customFormat="1" ht="12.75" x14ac:dyDescent="0.2">
      <c r="R30897" s="1288"/>
    </row>
    <row r="30898" spans="18:18" s="2" customFormat="1" ht="12.75" x14ac:dyDescent="0.2">
      <c r="R30898" s="1288"/>
    </row>
    <row r="30899" spans="18:18" s="2" customFormat="1" ht="12.75" x14ac:dyDescent="0.2">
      <c r="R30899" s="1288"/>
    </row>
    <row r="30900" spans="18:18" s="2" customFormat="1" ht="12.75" x14ac:dyDescent="0.2">
      <c r="R30900" s="1288"/>
    </row>
    <row r="30901" spans="18:18" s="2" customFormat="1" ht="12.75" x14ac:dyDescent="0.2">
      <c r="R30901" s="1288"/>
    </row>
    <row r="30902" spans="18:18" s="2" customFormat="1" ht="12.75" x14ac:dyDescent="0.2">
      <c r="R30902" s="1288"/>
    </row>
    <row r="30903" spans="18:18" s="2" customFormat="1" ht="12.75" x14ac:dyDescent="0.2">
      <c r="R30903" s="1288"/>
    </row>
    <row r="30904" spans="18:18" s="2" customFormat="1" ht="12.75" x14ac:dyDescent="0.2">
      <c r="R30904" s="1288"/>
    </row>
    <row r="30905" spans="18:18" s="2" customFormat="1" ht="12.75" x14ac:dyDescent="0.2">
      <c r="R30905" s="1288"/>
    </row>
    <row r="30906" spans="18:18" s="2" customFormat="1" ht="12.75" x14ac:dyDescent="0.2">
      <c r="R30906" s="1288"/>
    </row>
    <row r="30907" spans="18:18" s="2" customFormat="1" ht="12.75" x14ac:dyDescent="0.2">
      <c r="R30907" s="1288"/>
    </row>
    <row r="30908" spans="18:18" s="2" customFormat="1" ht="12.75" x14ac:dyDescent="0.2">
      <c r="R30908" s="1288"/>
    </row>
    <row r="30909" spans="18:18" s="2" customFormat="1" ht="12.75" x14ac:dyDescent="0.2">
      <c r="R30909" s="1288"/>
    </row>
    <row r="30910" spans="18:18" s="2" customFormat="1" ht="12.75" x14ac:dyDescent="0.2">
      <c r="R30910" s="1288"/>
    </row>
    <row r="30911" spans="18:18" s="2" customFormat="1" ht="12.75" x14ac:dyDescent="0.2">
      <c r="R30911" s="1288"/>
    </row>
    <row r="30912" spans="18:18" s="2" customFormat="1" ht="12.75" x14ac:dyDescent="0.2">
      <c r="R30912" s="1288"/>
    </row>
    <row r="30913" spans="18:18" s="2" customFormat="1" ht="12.75" x14ac:dyDescent="0.2">
      <c r="R30913" s="1288"/>
    </row>
    <row r="30914" spans="18:18" s="2" customFormat="1" ht="12.75" x14ac:dyDescent="0.2">
      <c r="R30914" s="1288"/>
    </row>
    <row r="30915" spans="18:18" s="2" customFormat="1" ht="12.75" x14ac:dyDescent="0.2">
      <c r="R30915" s="1288"/>
    </row>
    <row r="30916" spans="18:18" s="2" customFormat="1" ht="12.75" x14ac:dyDescent="0.2">
      <c r="R30916" s="1288"/>
    </row>
    <row r="30917" spans="18:18" s="2" customFormat="1" ht="12.75" x14ac:dyDescent="0.2">
      <c r="R30917" s="1288"/>
    </row>
    <row r="30918" spans="18:18" s="2" customFormat="1" ht="12.75" x14ac:dyDescent="0.2">
      <c r="R30918" s="1288"/>
    </row>
    <row r="30919" spans="18:18" s="2" customFormat="1" ht="12.75" x14ac:dyDescent="0.2">
      <c r="R30919" s="1288"/>
    </row>
    <row r="30920" spans="18:18" s="2" customFormat="1" ht="12.75" x14ac:dyDescent="0.2">
      <c r="R30920" s="1288"/>
    </row>
    <row r="30921" spans="18:18" s="2" customFormat="1" ht="12.75" x14ac:dyDescent="0.2">
      <c r="R30921" s="1288"/>
    </row>
    <row r="30922" spans="18:18" s="2" customFormat="1" ht="12.75" x14ac:dyDescent="0.2">
      <c r="R30922" s="1288"/>
    </row>
    <row r="30923" spans="18:18" s="2" customFormat="1" ht="12.75" x14ac:dyDescent="0.2">
      <c r="R30923" s="1288"/>
    </row>
    <row r="30924" spans="18:18" s="2" customFormat="1" ht="12.75" x14ac:dyDescent="0.2">
      <c r="R30924" s="1288"/>
    </row>
    <row r="30925" spans="18:18" s="2" customFormat="1" ht="12.75" x14ac:dyDescent="0.2">
      <c r="R30925" s="1288"/>
    </row>
    <row r="30926" spans="18:18" s="2" customFormat="1" ht="12.75" x14ac:dyDescent="0.2">
      <c r="R30926" s="1288"/>
    </row>
    <row r="30927" spans="18:18" s="2" customFormat="1" ht="12.75" x14ac:dyDescent="0.2">
      <c r="R30927" s="1288"/>
    </row>
    <row r="30928" spans="18:18" s="2" customFormat="1" ht="12.75" x14ac:dyDescent="0.2">
      <c r="R30928" s="1288"/>
    </row>
    <row r="30929" spans="18:18" s="2" customFormat="1" ht="12.75" x14ac:dyDescent="0.2">
      <c r="R30929" s="1288"/>
    </row>
    <row r="30930" spans="18:18" s="2" customFormat="1" ht="12.75" x14ac:dyDescent="0.2">
      <c r="R30930" s="1288"/>
    </row>
    <row r="30931" spans="18:18" s="2" customFormat="1" ht="12.75" x14ac:dyDescent="0.2">
      <c r="R30931" s="1288"/>
    </row>
    <row r="30932" spans="18:18" s="2" customFormat="1" ht="12.75" x14ac:dyDescent="0.2">
      <c r="R30932" s="1288"/>
    </row>
    <row r="30933" spans="18:18" s="2" customFormat="1" ht="12.75" x14ac:dyDescent="0.2">
      <c r="R30933" s="1288"/>
    </row>
    <row r="30934" spans="18:18" s="2" customFormat="1" ht="12.75" x14ac:dyDescent="0.2">
      <c r="R30934" s="1288"/>
    </row>
    <row r="30935" spans="18:18" s="2" customFormat="1" ht="12.75" x14ac:dyDescent="0.2">
      <c r="R30935" s="1288"/>
    </row>
    <row r="30936" spans="18:18" s="2" customFormat="1" ht="12.75" x14ac:dyDescent="0.2">
      <c r="R30936" s="1288"/>
    </row>
    <row r="30937" spans="18:18" s="2" customFormat="1" ht="12.75" x14ac:dyDescent="0.2">
      <c r="R30937" s="1288"/>
    </row>
    <row r="30938" spans="18:18" s="2" customFormat="1" ht="12.75" x14ac:dyDescent="0.2">
      <c r="R30938" s="1288"/>
    </row>
    <row r="30939" spans="18:18" s="2" customFormat="1" ht="12.75" x14ac:dyDescent="0.2">
      <c r="R30939" s="1288"/>
    </row>
    <row r="30940" spans="18:18" s="2" customFormat="1" ht="12.75" x14ac:dyDescent="0.2">
      <c r="R30940" s="1288"/>
    </row>
    <row r="30941" spans="18:18" s="2" customFormat="1" ht="12.75" x14ac:dyDescent="0.2">
      <c r="R30941" s="1288"/>
    </row>
    <row r="30942" spans="18:18" s="2" customFormat="1" ht="12.75" x14ac:dyDescent="0.2">
      <c r="R30942" s="1288"/>
    </row>
    <row r="30943" spans="18:18" s="2" customFormat="1" ht="12.75" x14ac:dyDescent="0.2">
      <c r="R30943" s="1288"/>
    </row>
    <row r="30944" spans="18:18" s="2" customFormat="1" ht="12.75" x14ac:dyDescent="0.2">
      <c r="R30944" s="1288"/>
    </row>
    <row r="30945" spans="18:18" s="2" customFormat="1" ht="12.75" x14ac:dyDescent="0.2">
      <c r="R30945" s="1288"/>
    </row>
    <row r="30946" spans="18:18" s="2" customFormat="1" ht="12.75" x14ac:dyDescent="0.2">
      <c r="R30946" s="1288"/>
    </row>
    <row r="30947" spans="18:18" s="2" customFormat="1" ht="12.75" x14ac:dyDescent="0.2">
      <c r="R30947" s="1288"/>
    </row>
    <row r="30948" spans="18:18" s="2" customFormat="1" ht="12.75" x14ac:dyDescent="0.2">
      <c r="R30948" s="1288"/>
    </row>
    <row r="30949" spans="18:18" s="2" customFormat="1" ht="12.75" x14ac:dyDescent="0.2">
      <c r="R30949" s="1288"/>
    </row>
    <row r="30950" spans="18:18" s="2" customFormat="1" ht="12.75" x14ac:dyDescent="0.2">
      <c r="R30950" s="1288"/>
    </row>
    <row r="30951" spans="18:18" s="2" customFormat="1" ht="12.75" x14ac:dyDescent="0.2">
      <c r="R30951" s="1288"/>
    </row>
    <row r="30952" spans="18:18" s="2" customFormat="1" ht="12.75" x14ac:dyDescent="0.2">
      <c r="R30952" s="1288"/>
    </row>
    <row r="30953" spans="18:18" s="2" customFormat="1" ht="12.75" x14ac:dyDescent="0.2">
      <c r="R30953" s="1288"/>
    </row>
    <row r="30954" spans="18:18" s="2" customFormat="1" ht="12.75" x14ac:dyDescent="0.2">
      <c r="R30954" s="1288"/>
    </row>
    <row r="30955" spans="18:18" s="2" customFormat="1" ht="12.75" x14ac:dyDescent="0.2">
      <c r="R30955" s="1288"/>
    </row>
    <row r="30956" spans="18:18" s="2" customFormat="1" ht="12.75" x14ac:dyDescent="0.2">
      <c r="R30956" s="1288"/>
    </row>
    <row r="30957" spans="18:18" s="2" customFormat="1" ht="12.75" x14ac:dyDescent="0.2">
      <c r="R30957" s="1288"/>
    </row>
    <row r="30958" spans="18:18" s="2" customFormat="1" ht="12.75" x14ac:dyDescent="0.2">
      <c r="R30958" s="1288"/>
    </row>
    <row r="30959" spans="18:18" s="2" customFormat="1" ht="12.75" x14ac:dyDescent="0.2">
      <c r="R30959" s="1288"/>
    </row>
    <row r="30960" spans="18:18" s="2" customFormat="1" ht="12.75" x14ac:dyDescent="0.2">
      <c r="R30960" s="1288"/>
    </row>
    <row r="30961" spans="18:18" s="2" customFormat="1" ht="12.75" x14ac:dyDescent="0.2">
      <c r="R30961" s="1288"/>
    </row>
    <row r="30962" spans="18:18" s="2" customFormat="1" ht="12.75" x14ac:dyDescent="0.2">
      <c r="R30962" s="1288"/>
    </row>
    <row r="30963" spans="18:18" s="2" customFormat="1" ht="12.75" x14ac:dyDescent="0.2">
      <c r="R30963" s="1288"/>
    </row>
    <row r="30964" spans="18:18" s="2" customFormat="1" ht="12.75" x14ac:dyDescent="0.2">
      <c r="R30964" s="1288"/>
    </row>
    <row r="30965" spans="18:18" s="2" customFormat="1" ht="12.75" x14ac:dyDescent="0.2">
      <c r="R30965" s="1288"/>
    </row>
    <row r="30966" spans="18:18" s="2" customFormat="1" ht="12.75" x14ac:dyDescent="0.2">
      <c r="R30966" s="1288"/>
    </row>
    <row r="30967" spans="18:18" s="2" customFormat="1" ht="12.75" x14ac:dyDescent="0.2">
      <c r="R30967" s="1288"/>
    </row>
    <row r="30968" spans="18:18" s="2" customFormat="1" ht="12.75" x14ac:dyDescent="0.2">
      <c r="R30968" s="1288"/>
    </row>
    <row r="30969" spans="18:18" s="2" customFormat="1" ht="12.75" x14ac:dyDescent="0.2">
      <c r="R30969" s="1288"/>
    </row>
    <row r="30970" spans="18:18" s="2" customFormat="1" ht="12.75" x14ac:dyDescent="0.2">
      <c r="R30970" s="1288"/>
    </row>
    <row r="30971" spans="18:18" s="2" customFormat="1" ht="12.75" x14ac:dyDescent="0.2">
      <c r="R30971" s="1288"/>
    </row>
    <row r="30972" spans="18:18" s="2" customFormat="1" ht="12.75" x14ac:dyDescent="0.2">
      <c r="R30972" s="1288"/>
    </row>
    <row r="30973" spans="18:18" s="2" customFormat="1" ht="12.75" x14ac:dyDescent="0.2">
      <c r="R30973" s="1288"/>
    </row>
    <row r="30974" spans="18:18" s="2" customFormat="1" ht="12.75" x14ac:dyDescent="0.2">
      <c r="R30974" s="1288"/>
    </row>
    <row r="30975" spans="18:18" s="2" customFormat="1" ht="12.75" x14ac:dyDescent="0.2">
      <c r="R30975" s="1288"/>
    </row>
    <row r="30976" spans="18:18" s="2" customFormat="1" ht="12.75" x14ac:dyDescent="0.2">
      <c r="R30976" s="1288"/>
    </row>
    <row r="30977" spans="18:18" s="2" customFormat="1" ht="12.75" x14ac:dyDescent="0.2">
      <c r="R30977" s="1288"/>
    </row>
    <row r="30978" spans="18:18" s="2" customFormat="1" ht="12.75" x14ac:dyDescent="0.2">
      <c r="R30978" s="1288"/>
    </row>
    <row r="30979" spans="18:18" s="2" customFormat="1" ht="12.75" x14ac:dyDescent="0.2">
      <c r="R30979" s="1288"/>
    </row>
    <row r="30980" spans="18:18" s="2" customFormat="1" ht="12.75" x14ac:dyDescent="0.2">
      <c r="R30980" s="1288"/>
    </row>
    <row r="30981" spans="18:18" s="2" customFormat="1" ht="12.75" x14ac:dyDescent="0.2">
      <c r="R30981" s="1288"/>
    </row>
    <row r="30982" spans="18:18" s="2" customFormat="1" ht="12.75" x14ac:dyDescent="0.2">
      <c r="R30982" s="1288"/>
    </row>
    <row r="30983" spans="18:18" s="2" customFormat="1" ht="12.75" x14ac:dyDescent="0.2">
      <c r="R30983" s="1288"/>
    </row>
    <row r="30984" spans="18:18" s="2" customFormat="1" ht="12.75" x14ac:dyDescent="0.2">
      <c r="R30984" s="1288"/>
    </row>
    <row r="30985" spans="18:18" s="2" customFormat="1" ht="12.75" x14ac:dyDescent="0.2">
      <c r="R30985" s="1288"/>
    </row>
    <row r="30986" spans="18:18" s="2" customFormat="1" ht="12.75" x14ac:dyDescent="0.2">
      <c r="R30986" s="1288"/>
    </row>
    <row r="30987" spans="18:18" s="2" customFormat="1" ht="12.75" x14ac:dyDescent="0.2">
      <c r="R30987" s="1288"/>
    </row>
    <row r="30988" spans="18:18" s="2" customFormat="1" ht="12.75" x14ac:dyDescent="0.2">
      <c r="R30988" s="1288"/>
    </row>
    <row r="30989" spans="18:18" s="2" customFormat="1" ht="12.75" x14ac:dyDescent="0.2">
      <c r="R30989" s="1288"/>
    </row>
    <row r="30990" spans="18:18" s="2" customFormat="1" ht="12.75" x14ac:dyDescent="0.2">
      <c r="R30990" s="1288"/>
    </row>
    <row r="30991" spans="18:18" s="2" customFormat="1" ht="12.75" x14ac:dyDescent="0.2">
      <c r="R30991" s="1288"/>
    </row>
    <row r="30992" spans="18:18" s="2" customFormat="1" ht="12.75" x14ac:dyDescent="0.2">
      <c r="R30992" s="1288"/>
    </row>
    <row r="30993" spans="18:18" s="2" customFormat="1" ht="12.75" x14ac:dyDescent="0.2">
      <c r="R30993" s="1288"/>
    </row>
    <row r="30994" spans="18:18" s="2" customFormat="1" ht="12.75" x14ac:dyDescent="0.2">
      <c r="R30994" s="1288"/>
    </row>
    <row r="30995" spans="18:18" s="2" customFormat="1" ht="12.75" x14ac:dyDescent="0.2">
      <c r="R30995" s="1288"/>
    </row>
    <row r="30996" spans="18:18" s="2" customFormat="1" ht="12.75" x14ac:dyDescent="0.2">
      <c r="R30996" s="1288"/>
    </row>
    <row r="30997" spans="18:18" s="2" customFormat="1" ht="12.75" x14ac:dyDescent="0.2">
      <c r="R30997" s="1288"/>
    </row>
    <row r="30998" spans="18:18" s="2" customFormat="1" ht="12.75" x14ac:dyDescent="0.2">
      <c r="R30998" s="1288"/>
    </row>
    <row r="30999" spans="18:18" s="2" customFormat="1" ht="12.75" x14ac:dyDescent="0.2">
      <c r="R30999" s="1288"/>
    </row>
    <row r="31000" spans="18:18" s="2" customFormat="1" ht="12.75" x14ac:dyDescent="0.2">
      <c r="R31000" s="1288"/>
    </row>
    <row r="31001" spans="18:18" s="2" customFormat="1" ht="12.75" x14ac:dyDescent="0.2">
      <c r="R31001" s="1288"/>
    </row>
    <row r="31002" spans="18:18" s="2" customFormat="1" ht="12.75" x14ac:dyDescent="0.2">
      <c r="R31002" s="1288"/>
    </row>
    <row r="31003" spans="18:18" s="2" customFormat="1" ht="12.75" x14ac:dyDescent="0.2">
      <c r="R31003" s="1288"/>
    </row>
    <row r="31004" spans="18:18" s="2" customFormat="1" ht="12.75" x14ac:dyDescent="0.2">
      <c r="R31004" s="1288"/>
    </row>
    <row r="31005" spans="18:18" s="2" customFormat="1" ht="12.75" x14ac:dyDescent="0.2">
      <c r="R31005" s="1288"/>
    </row>
    <row r="31006" spans="18:18" s="2" customFormat="1" ht="12.75" x14ac:dyDescent="0.2">
      <c r="R31006" s="1288"/>
    </row>
    <row r="31007" spans="18:18" s="2" customFormat="1" ht="12.75" x14ac:dyDescent="0.2">
      <c r="R31007" s="1288"/>
    </row>
    <row r="31008" spans="18:18" s="2" customFormat="1" ht="12.75" x14ac:dyDescent="0.2">
      <c r="R31008" s="1288"/>
    </row>
    <row r="31009" spans="18:18" s="2" customFormat="1" ht="12.75" x14ac:dyDescent="0.2">
      <c r="R31009" s="1288"/>
    </row>
    <row r="31010" spans="18:18" s="2" customFormat="1" ht="12.75" x14ac:dyDescent="0.2">
      <c r="R31010" s="1288"/>
    </row>
    <row r="31011" spans="18:18" s="2" customFormat="1" ht="12.75" x14ac:dyDescent="0.2">
      <c r="R31011" s="1288"/>
    </row>
    <row r="31012" spans="18:18" s="2" customFormat="1" ht="12.75" x14ac:dyDescent="0.2">
      <c r="R31012" s="1288"/>
    </row>
    <row r="31013" spans="18:18" s="2" customFormat="1" ht="12.75" x14ac:dyDescent="0.2">
      <c r="R31013" s="1288"/>
    </row>
    <row r="31014" spans="18:18" s="2" customFormat="1" ht="12.75" x14ac:dyDescent="0.2">
      <c r="R31014" s="1288"/>
    </row>
    <row r="31015" spans="18:18" s="2" customFormat="1" ht="12.75" x14ac:dyDescent="0.2">
      <c r="R31015" s="1288"/>
    </row>
    <row r="31016" spans="18:18" s="2" customFormat="1" ht="12.75" x14ac:dyDescent="0.2">
      <c r="R31016" s="1288"/>
    </row>
    <row r="31017" spans="18:18" s="2" customFormat="1" ht="12.75" x14ac:dyDescent="0.2">
      <c r="R31017" s="1288"/>
    </row>
    <row r="31018" spans="18:18" s="2" customFormat="1" ht="12.75" x14ac:dyDescent="0.2">
      <c r="R31018" s="1288"/>
    </row>
    <row r="31019" spans="18:18" s="2" customFormat="1" ht="12.75" x14ac:dyDescent="0.2">
      <c r="R31019" s="1288"/>
    </row>
    <row r="31020" spans="18:18" s="2" customFormat="1" ht="12.75" x14ac:dyDescent="0.2">
      <c r="R31020" s="1288"/>
    </row>
    <row r="31021" spans="18:18" s="2" customFormat="1" ht="12.75" x14ac:dyDescent="0.2">
      <c r="R31021" s="1288"/>
    </row>
    <row r="31022" spans="18:18" s="2" customFormat="1" ht="12.75" x14ac:dyDescent="0.2">
      <c r="R31022" s="1288"/>
    </row>
    <row r="31023" spans="18:18" s="2" customFormat="1" ht="12.75" x14ac:dyDescent="0.2">
      <c r="R31023" s="1288"/>
    </row>
    <row r="31024" spans="18:18" s="2" customFormat="1" ht="12.75" x14ac:dyDescent="0.2">
      <c r="R31024" s="1288"/>
    </row>
    <row r="31025" spans="18:18" s="2" customFormat="1" ht="12.75" x14ac:dyDescent="0.2">
      <c r="R31025" s="1288"/>
    </row>
    <row r="31026" spans="18:18" s="2" customFormat="1" ht="12.75" x14ac:dyDescent="0.2">
      <c r="R31026" s="1288"/>
    </row>
    <row r="31027" spans="18:18" s="2" customFormat="1" ht="12.75" x14ac:dyDescent="0.2">
      <c r="R31027" s="1288"/>
    </row>
    <row r="31028" spans="18:18" s="2" customFormat="1" ht="12.75" x14ac:dyDescent="0.2">
      <c r="R31028" s="1288"/>
    </row>
    <row r="31029" spans="18:18" s="2" customFormat="1" ht="12.75" x14ac:dyDescent="0.2">
      <c r="R31029" s="1288"/>
    </row>
    <row r="31030" spans="18:18" s="2" customFormat="1" ht="12.75" x14ac:dyDescent="0.2">
      <c r="R31030" s="1288"/>
    </row>
    <row r="31031" spans="18:18" s="2" customFormat="1" ht="12.75" x14ac:dyDescent="0.2">
      <c r="R31031" s="1288"/>
    </row>
    <row r="31032" spans="18:18" s="2" customFormat="1" ht="12.75" x14ac:dyDescent="0.2">
      <c r="R31032" s="1288"/>
    </row>
    <row r="31033" spans="18:18" s="2" customFormat="1" ht="12.75" x14ac:dyDescent="0.2">
      <c r="R31033" s="1288"/>
    </row>
    <row r="31034" spans="18:18" s="2" customFormat="1" ht="12.75" x14ac:dyDescent="0.2">
      <c r="R31034" s="1288"/>
    </row>
    <row r="31035" spans="18:18" s="2" customFormat="1" ht="12.75" x14ac:dyDescent="0.2">
      <c r="R31035" s="1288"/>
    </row>
    <row r="31036" spans="18:18" s="2" customFormat="1" ht="12.75" x14ac:dyDescent="0.2">
      <c r="R31036" s="1288"/>
    </row>
    <row r="31037" spans="18:18" s="2" customFormat="1" ht="12.75" x14ac:dyDescent="0.2">
      <c r="R31037" s="1288"/>
    </row>
    <row r="31038" spans="18:18" s="2" customFormat="1" ht="12.75" x14ac:dyDescent="0.2">
      <c r="R31038" s="1288"/>
    </row>
    <row r="31039" spans="18:18" s="2" customFormat="1" ht="12.75" x14ac:dyDescent="0.2">
      <c r="R31039" s="1288"/>
    </row>
    <row r="31040" spans="18:18" s="2" customFormat="1" ht="12.75" x14ac:dyDescent="0.2">
      <c r="R31040" s="1288"/>
    </row>
    <row r="31041" spans="18:18" s="2" customFormat="1" ht="12.75" x14ac:dyDescent="0.2">
      <c r="R31041" s="1288"/>
    </row>
    <row r="31042" spans="18:18" s="2" customFormat="1" ht="12.75" x14ac:dyDescent="0.2">
      <c r="R31042" s="1288"/>
    </row>
    <row r="31043" spans="18:18" s="2" customFormat="1" ht="12.75" x14ac:dyDescent="0.2">
      <c r="R31043" s="1288"/>
    </row>
    <row r="31044" spans="18:18" s="2" customFormat="1" ht="12.75" x14ac:dyDescent="0.2">
      <c r="R31044" s="1288"/>
    </row>
    <row r="31045" spans="18:18" s="2" customFormat="1" ht="12.75" x14ac:dyDescent="0.2">
      <c r="R31045" s="1288"/>
    </row>
    <row r="31046" spans="18:18" s="2" customFormat="1" ht="12.75" x14ac:dyDescent="0.2">
      <c r="R31046" s="1288"/>
    </row>
    <row r="31047" spans="18:18" s="2" customFormat="1" ht="12.75" x14ac:dyDescent="0.2">
      <c r="R31047" s="1288"/>
    </row>
    <row r="31048" spans="18:18" s="2" customFormat="1" ht="12.75" x14ac:dyDescent="0.2">
      <c r="R31048" s="1288"/>
    </row>
    <row r="31049" spans="18:18" s="2" customFormat="1" ht="12.75" x14ac:dyDescent="0.2">
      <c r="R31049" s="1288"/>
    </row>
    <row r="31050" spans="18:18" s="2" customFormat="1" ht="12.75" x14ac:dyDescent="0.2">
      <c r="R31050" s="1288"/>
    </row>
    <row r="31051" spans="18:18" s="2" customFormat="1" ht="12.75" x14ac:dyDescent="0.2">
      <c r="R31051" s="1288"/>
    </row>
    <row r="31052" spans="18:18" s="2" customFormat="1" ht="12.75" x14ac:dyDescent="0.2">
      <c r="R31052" s="1288"/>
    </row>
    <row r="31053" spans="18:18" s="2" customFormat="1" ht="12.75" x14ac:dyDescent="0.2">
      <c r="R31053" s="1288"/>
    </row>
    <row r="31054" spans="18:18" s="2" customFormat="1" ht="12.75" x14ac:dyDescent="0.2">
      <c r="R31054" s="1288"/>
    </row>
    <row r="31055" spans="18:18" s="2" customFormat="1" ht="12.75" x14ac:dyDescent="0.2">
      <c r="R31055" s="1288"/>
    </row>
    <row r="31056" spans="18:18" s="2" customFormat="1" ht="12.75" x14ac:dyDescent="0.2">
      <c r="R31056" s="1288"/>
    </row>
    <row r="31057" spans="18:18" s="2" customFormat="1" ht="12.75" x14ac:dyDescent="0.2">
      <c r="R31057" s="1288"/>
    </row>
    <row r="31058" spans="18:18" s="2" customFormat="1" ht="12.75" x14ac:dyDescent="0.2">
      <c r="R31058" s="1288"/>
    </row>
    <row r="31059" spans="18:18" s="2" customFormat="1" ht="12.75" x14ac:dyDescent="0.2">
      <c r="R31059" s="1288"/>
    </row>
    <row r="31060" spans="18:18" s="2" customFormat="1" ht="12.75" x14ac:dyDescent="0.2">
      <c r="R31060" s="1288"/>
    </row>
    <row r="31061" spans="18:18" s="2" customFormat="1" ht="12.75" x14ac:dyDescent="0.2">
      <c r="R31061" s="1288"/>
    </row>
    <row r="31062" spans="18:18" s="2" customFormat="1" ht="12.75" x14ac:dyDescent="0.2">
      <c r="R31062" s="1288"/>
    </row>
    <row r="31063" spans="18:18" s="2" customFormat="1" ht="12.75" x14ac:dyDescent="0.2">
      <c r="R31063" s="1288"/>
    </row>
    <row r="31064" spans="18:18" s="2" customFormat="1" ht="12.75" x14ac:dyDescent="0.2">
      <c r="R31064" s="1288"/>
    </row>
    <row r="31065" spans="18:18" s="2" customFormat="1" ht="12.75" x14ac:dyDescent="0.2">
      <c r="R31065" s="1288"/>
    </row>
    <row r="31066" spans="18:18" s="2" customFormat="1" ht="12.75" x14ac:dyDescent="0.2">
      <c r="R31066" s="1288"/>
    </row>
    <row r="31067" spans="18:18" s="2" customFormat="1" ht="12.75" x14ac:dyDescent="0.2">
      <c r="R31067" s="1288"/>
    </row>
    <row r="31068" spans="18:18" s="2" customFormat="1" ht="12.75" x14ac:dyDescent="0.2">
      <c r="R31068" s="1288"/>
    </row>
    <row r="31069" spans="18:18" s="2" customFormat="1" ht="12.75" x14ac:dyDescent="0.2">
      <c r="R31069" s="1288"/>
    </row>
    <row r="31070" spans="18:18" s="2" customFormat="1" ht="12.75" x14ac:dyDescent="0.2">
      <c r="R31070" s="1288"/>
    </row>
    <row r="31071" spans="18:18" s="2" customFormat="1" ht="12.75" x14ac:dyDescent="0.2">
      <c r="R31071" s="1288"/>
    </row>
    <row r="31072" spans="18:18" s="2" customFormat="1" ht="12.75" x14ac:dyDescent="0.2">
      <c r="R31072" s="1288"/>
    </row>
    <row r="31073" spans="18:18" s="2" customFormat="1" ht="12.75" x14ac:dyDescent="0.2">
      <c r="R31073" s="1288"/>
    </row>
    <row r="31074" spans="18:18" s="2" customFormat="1" ht="12.75" x14ac:dyDescent="0.2">
      <c r="R31074" s="1288"/>
    </row>
    <row r="31075" spans="18:18" s="2" customFormat="1" ht="12.75" x14ac:dyDescent="0.2">
      <c r="R31075" s="1288"/>
    </row>
    <row r="31076" spans="18:18" s="2" customFormat="1" ht="12.75" x14ac:dyDescent="0.2">
      <c r="R31076" s="1288"/>
    </row>
    <row r="31077" spans="18:18" s="2" customFormat="1" ht="12.75" x14ac:dyDescent="0.2">
      <c r="R31077" s="1288"/>
    </row>
    <row r="31078" spans="18:18" s="2" customFormat="1" ht="12.75" x14ac:dyDescent="0.2">
      <c r="R31078" s="1288"/>
    </row>
    <row r="31079" spans="18:18" s="2" customFormat="1" ht="12.75" x14ac:dyDescent="0.2">
      <c r="R31079" s="1288"/>
    </row>
    <row r="31080" spans="18:18" s="2" customFormat="1" ht="12.75" x14ac:dyDescent="0.2">
      <c r="R31080" s="1288"/>
    </row>
    <row r="31081" spans="18:18" s="2" customFormat="1" ht="12.75" x14ac:dyDescent="0.2">
      <c r="R31081" s="1288"/>
    </row>
    <row r="31082" spans="18:18" s="2" customFormat="1" ht="12.75" x14ac:dyDescent="0.2">
      <c r="R31082" s="1288"/>
    </row>
    <row r="31083" spans="18:18" s="2" customFormat="1" ht="12.75" x14ac:dyDescent="0.2">
      <c r="R31083" s="1288"/>
    </row>
    <row r="31084" spans="18:18" s="2" customFormat="1" ht="12.75" x14ac:dyDescent="0.2">
      <c r="R31084" s="1288"/>
    </row>
    <row r="31085" spans="18:18" s="2" customFormat="1" ht="12.75" x14ac:dyDescent="0.2">
      <c r="R31085" s="1288"/>
    </row>
    <row r="31086" spans="18:18" s="2" customFormat="1" ht="12.75" x14ac:dyDescent="0.2">
      <c r="R31086" s="1288"/>
    </row>
    <row r="31087" spans="18:18" s="2" customFormat="1" ht="12.75" x14ac:dyDescent="0.2">
      <c r="R31087" s="1288"/>
    </row>
    <row r="31088" spans="18:18" s="2" customFormat="1" ht="12.75" x14ac:dyDescent="0.2">
      <c r="R31088" s="1288"/>
    </row>
    <row r="31089" spans="18:18" s="2" customFormat="1" ht="12.75" x14ac:dyDescent="0.2">
      <c r="R31089" s="1288"/>
    </row>
    <row r="31090" spans="18:18" s="2" customFormat="1" ht="12.75" x14ac:dyDescent="0.2">
      <c r="R31090" s="1288"/>
    </row>
    <row r="31091" spans="18:18" s="2" customFormat="1" ht="12.75" x14ac:dyDescent="0.2">
      <c r="R31091" s="1288"/>
    </row>
    <row r="31092" spans="18:18" s="2" customFormat="1" ht="12.75" x14ac:dyDescent="0.2">
      <c r="R31092" s="1288"/>
    </row>
    <row r="31093" spans="18:18" s="2" customFormat="1" ht="12.75" x14ac:dyDescent="0.2">
      <c r="R31093" s="1288"/>
    </row>
    <row r="31094" spans="18:18" s="2" customFormat="1" ht="12.75" x14ac:dyDescent="0.2">
      <c r="R31094" s="1288"/>
    </row>
    <row r="31095" spans="18:18" s="2" customFormat="1" ht="12.75" x14ac:dyDescent="0.2">
      <c r="R31095" s="1288"/>
    </row>
    <row r="31096" spans="18:18" s="2" customFormat="1" ht="12.75" x14ac:dyDescent="0.2">
      <c r="R31096" s="1288"/>
    </row>
    <row r="31097" spans="18:18" s="2" customFormat="1" ht="12.75" x14ac:dyDescent="0.2">
      <c r="R31097" s="1288"/>
    </row>
    <row r="31098" spans="18:18" s="2" customFormat="1" ht="12.75" x14ac:dyDescent="0.2">
      <c r="R31098" s="1288"/>
    </row>
    <row r="31099" spans="18:18" s="2" customFormat="1" ht="12.75" x14ac:dyDescent="0.2">
      <c r="R31099" s="1288"/>
    </row>
    <row r="31100" spans="18:18" s="2" customFormat="1" ht="12.75" x14ac:dyDescent="0.2">
      <c r="R31100" s="1288"/>
    </row>
    <row r="31101" spans="18:18" s="2" customFormat="1" ht="12.75" x14ac:dyDescent="0.2">
      <c r="R31101" s="1288"/>
    </row>
    <row r="31102" spans="18:18" s="2" customFormat="1" ht="12.75" x14ac:dyDescent="0.2">
      <c r="R31102" s="1288"/>
    </row>
    <row r="31103" spans="18:18" s="2" customFormat="1" ht="12.75" x14ac:dyDescent="0.2">
      <c r="R31103" s="1288"/>
    </row>
    <row r="31104" spans="18:18" s="2" customFormat="1" ht="12.75" x14ac:dyDescent="0.2">
      <c r="R31104" s="1288"/>
    </row>
    <row r="31105" spans="18:18" s="2" customFormat="1" ht="12.75" x14ac:dyDescent="0.2">
      <c r="R31105" s="1288"/>
    </row>
    <row r="31106" spans="18:18" s="2" customFormat="1" ht="12.75" x14ac:dyDescent="0.2">
      <c r="R31106" s="1288"/>
    </row>
    <row r="31107" spans="18:18" s="2" customFormat="1" ht="12.75" x14ac:dyDescent="0.2">
      <c r="R31107" s="1288"/>
    </row>
    <row r="31108" spans="18:18" s="2" customFormat="1" ht="12.75" x14ac:dyDescent="0.2">
      <c r="R31108" s="1288"/>
    </row>
    <row r="31109" spans="18:18" s="2" customFormat="1" ht="12.75" x14ac:dyDescent="0.2">
      <c r="R31109" s="1288"/>
    </row>
    <row r="31110" spans="18:18" s="2" customFormat="1" ht="12.75" x14ac:dyDescent="0.2">
      <c r="R31110" s="1288"/>
    </row>
    <row r="31111" spans="18:18" s="2" customFormat="1" ht="12.75" x14ac:dyDescent="0.2">
      <c r="R31111" s="1288"/>
    </row>
    <row r="31112" spans="18:18" s="2" customFormat="1" ht="12.75" x14ac:dyDescent="0.2">
      <c r="R31112" s="1288"/>
    </row>
    <row r="31113" spans="18:18" s="2" customFormat="1" ht="12.75" x14ac:dyDescent="0.2">
      <c r="R31113" s="1288"/>
    </row>
    <row r="31114" spans="18:18" s="2" customFormat="1" ht="12.75" x14ac:dyDescent="0.2">
      <c r="R31114" s="1288"/>
    </row>
    <row r="31115" spans="18:18" s="2" customFormat="1" ht="12.75" x14ac:dyDescent="0.2">
      <c r="R31115" s="1288"/>
    </row>
    <row r="31116" spans="18:18" s="2" customFormat="1" ht="12.75" x14ac:dyDescent="0.2">
      <c r="R31116" s="1288"/>
    </row>
    <row r="31117" spans="18:18" s="2" customFormat="1" ht="12.75" x14ac:dyDescent="0.2">
      <c r="R31117" s="1288"/>
    </row>
    <row r="31118" spans="18:18" s="2" customFormat="1" ht="12.75" x14ac:dyDescent="0.2">
      <c r="R31118" s="1288"/>
    </row>
    <row r="31119" spans="18:18" s="2" customFormat="1" ht="12.75" x14ac:dyDescent="0.2">
      <c r="R31119" s="1288"/>
    </row>
    <row r="31120" spans="18:18" s="2" customFormat="1" ht="12.75" x14ac:dyDescent="0.2">
      <c r="R31120" s="1288"/>
    </row>
    <row r="31121" spans="18:18" s="2" customFormat="1" ht="12.75" x14ac:dyDescent="0.2">
      <c r="R31121" s="1288"/>
    </row>
    <row r="31122" spans="18:18" s="2" customFormat="1" ht="12.75" x14ac:dyDescent="0.2">
      <c r="R31122" s="1288"/>
    </row>
    <row r="31123" spans="18:18" s="2" customFormat="1" ht="12.75" x14ac:dyDescent="0.2">
      <c r="R31123" s="1288"/>
    </row>
    <row r="31124" spans="18:18" s="2" customFormat="1" ht="12.75" x14ac:dyDescent="0.2">
      <c r="R31124" s="1288"/>
    </row>
    <row r="31125" spans="18:18" s="2" customFormat="1" ht="12.75" x14ac:dyDescent="0.2">
      <c r="R31125" s="1288"/>
    </row>
    <row r="31126" spans="18:18" s="2" customFormat="1" ht="12.75" x14ac:dyDescent="0.2">
      <c r="R31126" s="1288"/>
    </row>
    <row r="31127" spans="18:18" s="2" customFormat="1" ht="12.75" x14ac:dyDescent="0.2">
      <c r="R31127" s="1288"/>
    </row>
    <row r="31128" spans="18:18" s="2" customFormat="1" ht="12.75" x14ac:dyDescent="0.2">
      <c r="R31128" s="1288"/>
    </row>
    <row r="31129" spans="18:18" s="2" customFormat="1" ht="12.75" x14ac:dyDescent="0.2">
      <c r="R31129" s="1288"/>
    </row>
    <row r="31130" spans="18:18" s="2" customFormat="1" ht="12.75" x14ac:dyDescent="0.2">
      <c r="R31130" s="1288"/>
    </row>
    <row r="31131" spans="18:18" s="2" customFormat="1" ht="12.75" x14ac:dyDescent="0.2">
      <c r="R31131" s="1288"/>
    </row>
    <row r="31132" spans="18:18" s="2" customFormat="1" ht="12.75" x14ac:dyDescent="0.2">
      <c r="R31132" s="1288"/>
    </row>
    <row r="31133" spans="18:18" s="2" customFormat="1" ht="12.75" x14ac:dyDescent="0.2">
      <c r="R31133" s="1288"/>
    </row>
    <row r="31134" spans="18:18" s="2" customFormat="1" ht="12.75" x14ac:dyDescent="0.2">
      <c r="R31134" s="1288"/>
    </row>
    <row r="31135" spans="18:18" s="2" customFormat="1" ht="12.75" x14ac:dyDescent="0.2">
      <c r="R31135" s="1288"/>
    </row>
    <row r="31136" spans="18:18" s="2" customFormat="1" ht="12.75" x14ac:dyDescent="0.2">
      <c r="R31136" s="1288"/>
    </row>
    <row r="31137" spans="18:18" s="2" customFormat="1" ht="12.75" x14ac:dyDescent="0.2">
      <c r="R31137" s="1288"/>
    </row>
    <row r="31138" spans="18:18" s="2" customFormat="1" ht="12.75" x14ac:dyDescent="0.2">
      <c r="R31138" s="1288"/>
    </row>
    <row r="31139" spans="18:18" s="2" customFormat="1" ht="12.75" x14ac:dyDescent="0.2">
      <c r="R31139" s="1288"/>
    </row>
    <row r="31140" spans="18:18" s="2" customFormat="1" ht="12.75" x14ac:dyDescent="0.2">
      <c r="R31140" s="1288"/>
    </row>
    <row r="31141" spans="18:18" s="2" customFormat="1" ht="12.75" x14ac:dyDescent="0.2">
      <c r="R31141" s="1288"/>
    </row>
    <row r="31142" spans="18:18" s="2" customFormat="1" ht="12.75" x14ac:dyDescent="0.2">
      <c r="R31142" s="1288"/>
    </row>
    <row r="31143" spans="18:18" s="2" customFormat="1" ht="12.75" x14ac:dyDescent="0.2">
      <c r="R31143" s="1288"/>
    </row>
    <row r="31144" spans="18:18" s="2" customFormat="1" ht="12.75" x14ac:dyDescent="0.2">
      <c r="R31144" s="1288"/>
    </row>
    <row r="31145" spans="18:18" s="2" customFormat="1" ht="12.75" x14ac:dyDescent="0.2">
      <c r="R31145" s="1288"/>
    </row>
    <row r="31146" spans="18:18" s="2" customFormat="1" ht="12.75" x14ac:dyDescent="0.2">
      <c r="R31146" s="1288"/>
    </row>
    <row r="31147" spans="18:18" s="2" customFormat="1" ht="12.75" x14ac:dyDescent="0.2">
      <c r="R31147" s="1288"/>
    </row>
    <row r="31148" spans="18:18" s="2" customFormat="1" ht="12.75" x14ac:dyDescent="0.2">
      <c r="R31148" s="1288"/>
    </row>
    <row r="31149" spans="18:18" s="2" customFormat="1" ht="12.75" x14ac:dyDescent="0.2">
      <c r="R31149" s="1288"/>
    </row>
    <row r="31150" spans="18:18" s="2" customFormat="1" ht="12.75" x14ac:dyDescent="0.2">
      <c r="R31150" s="1288"/>
    </row>
    <row r="31151" spans="18:18" s="2" customFormat="1" ht="12.75" x14ac:dyDescent="0.2">
      <c r="R31151" s="1288"/>
    </row>
    <row r="31152" spans="18:18" s="2" customFormat="1" ht="12.75" x14ac:dyDescent="0.2">
      <c r="R31152" s="1288"/>
    </row>
    <row r="31153" spans="18:18" s="2" customFormat="1" ht="12.75" x14ac:dyDescent="0.2">
      <c r="R31153" s="1288"/>
    </row>
    <row r="31154" spans="18:18" s="2" customFormat="1" ht="12.75" x14ac:dyDescent="0.2">
      <c r="R31154" s="1288"/>
    </row>
    <row r="31155" spans="18:18" s="2" customFormat="1" ht="12.75" x14ac:dyDescent="0.2">
      <c r="R31155" s="1288"/>
    </row>
    <row r="31156" spans="18:18" s="2" customFormat="1" ht="12.75" x14ac:dyDescent="0.2">
      <c r="R31156" s="1288"/>
    </row>
    <row r="31157" spans="18:18" s="2" customFormat="1" ht="12.75" x14ac:dyDescent="0.2">
      <c r="R31157" s="1288"/>
    </row>
    <row r="31158" spans="18:18" s="2" customFormat="1" ht="12.75" x14ac:dyDescent="0.2">
      <c r="R31158" s="1288"/>
    </row>
    <row r="31159" spans="18:18" s="2" customFormat="1" ht="12.75" x14ac:dyDescent="0.2">
      <c r="R31159" s="1288"/>
    </row>
    <row r="31160" spans="18:18" s="2" customFormat="1" ht="12.75" x14ac:dyDescent="0.2">
      <c r="R31160" s="1288"/>
    </row>
    <row r="31161" spans="18:18" s="2" customFormat="1" ht="12.75" x14ac:dyDescent="0.2">
      <c r="R31161" s="1288"/>
    </row>
    <row r="31162" spans="18:18" s="2" customFormat="1" ht="12.75" x14ac:dyDescent="0.2">
      <c r="R31162" s="1288"/>
    </row>
    <row r="31163" spans="18:18" s="2" customFormat="1" ht="12.75" x14ac:dyDescent="0.2">
      <c r="R31163" s="1288"/>
    </row>
    <row r="31164" spans="18:18" s="2" customFormat="1" ht="12.75" x14ac:dyDescent="0.2">
      <c r="R31164" s="1288"/>
    </row>
    <row r="31165" spans="18:18" s="2" customFormat="1" ht="12.75" x14ac:dyDescent="0.2">
      <c r="R31165" s="1288"/>
    </row>
    <row r="31166" spans="18:18" s="2" customFormat="1" ht="12.75" x14ac:dyDescent="0.2">
      <c r="R31166" s="1288"/>
    </row>
    <row r="31167" spans="18:18" s="2" customFormat="1" ht="12.75" x14ac:dyDescent="0.2">
      <c r="R31167" s="1288"/>
    </row>
    <row r="31168" spans="18:18" s="2" customFormat="1" ht="12.75" x14ac:dyDescent="0.2">
      <c r="R31168" s="1288"/>
    </row>
    <row r="31169" spans="18:18" s="2" customFormat="1" ht="12.75" x14ac:dyDescent="0.2">
      <c r="R31169" s="1288"/>
    </row>
    <row r="31170" spans="18:18" s="2" customFormat="1" ht="12.75" x14ac:dyDescent="0.2">
      <c r="R31170" s="1288"/>
    </row>
    <row r="31171" spans="18:18" s="2" customFormat="1" ht="12.75" x14ac:dyDescent="0.2">
      <c r="R31171" s="1288"/>
    </row>
    <row r="31172" spans="18:18" s="2" customFormat="1" ht="12.75" x14ac:dyDescent="0.2">
      <c r="R31172" s="1288"/>
    </row>
    <row r="31173" spans="18:18" s="2" customFormat="1" ht="12.75" x14ac:dyDescent="0.2">
      <c r="R31173" s="1288"/>
    </row>
    <row r="31174" spans="18:18" s="2" customFormat="1" ht="12.75" x14ac:dyDescent="0.2">
      <c r="R31174" s="1288"/>
    </row>
    <row r="31175" spans="18:18" s="2" customFormat="1" ht="12.75" x14ac:dyDescent="0.2">
      <c r="R31175" s="1288"/>
    </row>
    <row r="31176" spans="18:18" s="2" customFormat="1" ht="12.75" x14ac:dyDescent="0.2">
      <c r="R31176" s="1288"/>
    </row>
    <row r="31177" spans="18:18" s="2" customFormat="1" ht="12.75" x14ac:dyDescent="0.2">
      <c r="R31177" s="1288"/>
    </row>
    <row r="31178" spans="18:18" s="2" customFormat="1" ht="12.75" x14ac:dyDescent="0.2">
      <c r="R31178" s="1288"/>
    </row>
    <row r="31179" spans="18:18" s="2" customFormat="1" ht="12.75" x14ac:dyDescent="0.2">
      <c r="R31179" s="1288"/>
    </row>
    <row r="31180" spans="18:18" s="2" customFormat="1" ht="12.75" x14ac:dyDescent="0.2">
      <c r="R31180" s="1288"/>
    </row>
    <row r="31181" spans="18:18" s="2" customFormat="1" ht="12.75" x14ac:dyDescent="0.2">
      <c r="R31181" s="1288"/>
    </row>
    <row r="31182" spans="18:18" s="2" customFormat="1" ht="12.75" x14ac:dyDescent="0.2">
      <c r="R31182" s="1288"/>
    </row>
    <row r="31183" spans="18:18" s="2" customFormat="1" ht="12.75" x14ac:dyDescent="0.2">
      <c r="R31183" s="1288"/>
    </row>
    <row r="31184" spans="18:18" s="2" customFormat="1" ht="12.75" x14ac:dyDescent="0.2">
      <c r="R31184" s="1288"/>
    </row>
    <row r="31185" spans="18:18" s="2" customFormat="1" ht="12.75" x14ac:dyDescent="0.2">
      <c r="R31185" s="1288"/>
    </row>
    <row r="31186" spans="18:18" s="2" customFormat="1" ht="12.75" x14ac:dyDescent="0.2">
      <c r="R31186" s="1288"/>
    </row>
    <row r="31187" spans="18:18" s="2" customFormat="1" ht="12.75" x14ac:dyDescent="0.2">
      <c r="R31187" s="1288"/>
    </row>
    <row r="31188" spans="18:18" s="2" customFormat="1" ht="12.75" x14ac:dyDescent="0.2">
      <c r="R31188" s="1288"/>
    </row>
    <row r="31189" spans="18:18" s="2" customFormat="1" ht="12.75" x14ac:dyDescent="0.2">
      <c r="R31189" s="1288"/>
    </row>
    <row r="31190" spans="18:18" s="2" customFormat="1" ht="12.75" x14ac:dyDescent="0.2">
      <c r="R31190" s="1288"/>
    </row>
    <row r="31191" spans="18:18" s="2" customFormat="1" ht="12.75" x14ac:dyDescent="0.2">
      <c r="R31191" s="1288"/>
    </row>
    <row r="31192" spans="18:18" s="2" customFormat="1" ht="12.75" x14ac:dyDescent="0.2">
      <c r="R31192" s="1288"/>
    </row>
    <row r="31193" spans="18:18" s="2" customFormat="1" ht="12.75" x14ac:dyDescent="0.2">
      <c r="R31193" s="1288"/>
    </row>
    <row r="31194" spans="18:18" s="2" customFormat="1" ht="12.75" x14ac:dyDescent="0.2">
      <c r="R31194" s="1288"/>
    </row>
    <row r="31195" spans="18:18" s="2" customFormat="1" ht="12.75" x14ac:dyDescent="0.2">
      <c r="R31195" s="1288"/>
    </row>
    <row r="31196" spans="18:18" s="2" customFormat="1" ht="12.75" x14ac:dyDescent="0.2">
      <c r="R31196" s="1288"/>
    </row>
    <row r="31197" spans="18:18" s="2" customFormat="1" ht="12.75" x14ac:dyDescent="0.2">
      <c r="R31197" s="1288"/>
    </row>
    <row r="31198" spans="18:18" s="2" customFormat="1" ht="12.75" x14ac:dyDescent="0.2">
      <c r="R31198" s="1288"/>
    </row>
    <row r="31199" spans="18:18" s="2" customFormat="1" ht="12.75" x14ac:dyDescent="0.2">
      <c r="R31199" s="1288"/>
    </row>
    <row r="31200" spans="18:18" s="2" customFormat="1" ht="12.75" x14ac:dyDescent="0.2">
      <c r="R31200" s="1288"/>
    </row>
    <row r="31201" spans="18:18" s="2" customFormat="1" ht="12.75" x14ac:dyDescent="0.2">
      <c r="R31201" s="1288"/>
    </row>
    <row r="31202" spans="18:18" s="2" customFormat="1" ht="12.75" x14ac:dyDescent="0.2">
      <c r="R31202" s="1288"/>
    </row>
    <row r="31203" spans="18:18" s="2" customFormat="1" ht="12.75" x14ac:dyDescent="0.2">
      <c r="R31203" s="1288"/>
    </row>
    <row r="31204" spans="18:18" s="2" customFormat="1" ht="12.75" x14ac:dyDescent="0.2">
      <c r="R31204" s="1288"/>
    </row>
    <row r="31205" spans="18:18" s="2" customFormat="1" ht="12.75" x14ac:dyDescent="0.2">
      <c r="R31205" s="1288"/>
    </row>
    <row r="31206" spans="18:18" s="2" customFormat="1" ht="12.75" x14ac:dyDescent="0.2">
      <c r="R31206" s="1288"/>
    </row>
    <row r="31207" spans="18:18" s="2" customFormat="1" ht="12.75" x14ac:dyDescent="0.2">
      <c r="R31207" s="1288"/>
    </row>
    <row r="31208" spans="18:18" s="2" customFormat="1" ht="12.75" x14ac:dyDescent="0.2">
      <c r="R31208" s="1288"/>
    </row>
    <row r="31209" spans="18:18" s="2" customFormat="1" ht="12.75" x14ac:dyDescent="0.2">
      <c r="R31209" s="1288"/>
    </row>
    <row r="31210" spans="18:18" s="2" customFormat="1" ht="12.75" x14ac:dyDescent="0.2">
      <c r="R31210" s="1288"/>
    </row>
    <row r="31211" spans="18:18" s="2" customFormat="1" ht="12.75" x14ac:dyDescent="0.2">
      <c r="R31211" s="1288"/>
    </row>
    <row r="31212" spans="18:18" s="2" customFormat="1" ht="12.75" x14ac:dyDescent="0.2">
      <c r="R31212" s="1288"/>
    </row>
    <row r="31213" spans="18:18" s="2" customFormat="1" ht="12.75" x14ac:dyDescent="0.2">
      <c r="R31213" s="1288"/>
    </row>
    <row r="31214" spans="18:18" s="2" customFormat="1" ht="12.75" x14ac:dyDescent="0.2">
      <c r="R31214" s="1288"/>
    </row>
    <row r="31215" spans="18:18" s="2" customFormat="1" ht="12.75" x14ac:dyDescent="0.2">
      <c r="R31215" s="1288"/>
    </row>
    <row r="31216" spans="18:18" s="2" customFormat="1" ht="12.75" x14ac:dyDescent="0.2">
      <c r="R31216" s="1288"/>
    </row>
    <row r="31217" spans="18:18" s="2" customFormat="1" ht="12.75" x14ac:dyDescent="0.2">
      <c r="R31217" s="1288"/>
    </row>
    <row r="31218" spans="18:18" s="2" customFormat="1" ht="12.75" x14ac:dyDescent="0.2">
      <c r="R31218" s="1288"/>
    </row>
    <row r="31219" spans="18:18" s="2" customFormat="1" ht="12.75" x14ac:dyDescent="0.2">
      <c r="R31219" s="1288"/>
    </row>
    <row r="31220" spans="18:18" s="2" customFormat="1" ht="12.75" x14ac:dyDescent="0.2">
      <c r="R31220" s="1288"/>
    </row>
    <row r="31221" spans="18:18" s="2" customFormat="1" ht="12.75" x14ac:dyDescent="0.2">
      <c r="R31221" s="1288"/>
    </row>
    <row r="31222" spans="18:18" s="2" customFormat="1" ht="12.75" x14ac:dyDescent="0.2">
      <c r="R31222" s="1288"/>
    </row>
    <row r="31223" spans="18:18" s="2" customFormat="1" ht="12.75" x14ac:dyDescent="0.2">
      <c r="R31223" s="1288"/>
    </row>
    <row r="31224" spans="18:18" s="2" customFormat="1" ht="12.75" x14ac:dyDescent="0.2">
      <c r="R31224" s="1288"/>
    </row>
    <row r="31225" spans="18:18" s="2" customFormat="1" ht="12.75" x14ac:dyDescent="0.2">
      <c r="R31225" s="1288"/>
    </row>
    <row r="31226" spans="18:18" s="2" customFormat="1" ht="12.75" x14ac:dyDescent="0.2">
      <c r="R31226" s="1288"/>
    </row>
    <row r="31227" spans="18:18" s="2" customFormat="1" ht="12.75" x14ac:dyDescent="0.2">
      <c r="R31227" s="1288"/>
    </row>
    <row r="31228" spans="18:18" s="2" customFormat="1" ht="12.75" x14ac:dyDescent="0.2">
      <c r="R31228" s="1288"/>
    </row>
    <row r="31229" spans="18:18" s="2" customFormat="1" ht="12.75" x14ac:dyDescent="0.2">
      <c r="R31229" s="1288"/>
    </row>
    <row r="31230" spans="18:18" s="2" customFormat="1" ht="12.75" x14ac:dyDescent="0.2">
      <c r="R31230" s="1288"/>
    </row>
    <row r="31231" spans="18:18" s="2" customFormat="1" ht="12.75" x14ac:dyDescent="0.2">
      <c r="R31231" s="1288"/>
    </row>
    <row r="31232" spans="18:18" s="2" customFormat="1" ht="12.75" x14ac:dyDescent="0.2">
      <c r="R31232" s="1288"/>
    </row>
    <row r="31233" spans="18:18" s="2" customFormat="1" ht="12.75" x14ac:dyDescent="0.2">
      <c r="R31233" s="1288"/>
    </row>
    <row r="31234" spans="18:18" s="2" customFormat="1" ht="12.75" x14ac:dyDescent="0.2">
      <c r="R31234" s="1288"/>
    </row>
    <row r="31235" spans="18:18" s="2" customFormat="1" ht="12.75" x14ac:dyDescent="0.2">
      <c r="R31235" s="1288"/>
    </row>
    <row r="31236" spans="18:18" s="2" customFormat="1" ht="12.75" x14ac:dyDescent="0.2">
      <c r="R31236" s="1288"/>
    </row>
    <row r="31237" spans="18:18" s="2" customFormat="1" ht="12.75" x14ac:dyDescent="0.2">
      <c r="R31237" s="1288"/>
    </row>
    <row r="31238" spans="18:18" s="2" customFormat="1" ht="12.75" x14ac:dyDescent="0.2">
      <c r="R31238" s="1288"/>
    </row>
    <row r="31239" spans="18:18" s="2" customFormat="1" ht="12.75" x14ac:dyDescent="0.2">
      <c r="R31239" s="1288"/>
    </row>
    <row r="31240" spans="18:18" s="2" customFormat="1" ht="12.75" x14ac:dyDescent="0.2">
      <c r="R31240" s="1288"/>
    </row>
    <row r="31241" spans="18:18" s="2" customFormat="1" ht="12.75" x14ac:dyDescent="0.2">
      <c r="R31241" s="1288"/>
    </row>
    <row r="31242" spans="18:18" s="2" customFormat="1" ht="12.75" x14ac:dyDescent="0.2">
      <c r="R31242" s="1288"/>
    </row>
    <row r="31243" spans="18:18" s="2" customFormat="1" ht="12.75" x14ac:dyDescent="0.2">
      <c r="R31243" s="1288"/>
    </row>
    <row r="31244" spans="18:18" s="2" customFormat="1" ht="12.75" x14ac:dyDescent="0.2">
      <c r="R31244" s="1288"/>
    </row>
    <row r="31245" spans="18:18" s="2" customFormat="1" ht="12.75" x14ac:dyDescent="0.2">
      <c r="R31245" s="1288"/>
    </row>
    <row r="31246" spans="18:18" s="2" customFormat="1" ht="12.75" x14ac:dyDescent="0.2">
      <c r="R31246" s="1288"/>
    </row>
    <row r="31247" spans="18:18" s="2" customFormat="1" ht="12.75" x14ac:dyDescent="0.2">
      <c r="R31247" s="1288"/>
    </row>
    <row r="31248" spans="18:18" s="2" customFormat="1" ht="12.75" x14ac:dyDescent="0.2">
      <c r="R31248" s="1288"/>
    </row>
    <row r="31249" spans="18:18" s="2" customFormat="1" ht="12.75" x14ac:dyDescent="0.2">
      <c r="R31249" s="1288"/>
    </row>
    <row r="31250" spans="18:18" s="2" customFormat="1" ht="12.75" x14ac:dyDescent="0.2">
      <c r="R31250" s="1288"/>
    </row>
    <row r="31251" spans="18:18" s="2" customFormat="1" ht="12.75" x14ac:dyDescent="0.2">
      <c r="R31251" s="1288"/>
    </row>
    <row r="31252" spans="18:18" s="2" customFormat="1" ht="12.75" x14ac:dyDescent="0.2">
      <c r="R31252" s="1288"/>
    </row>
    <row r="31253" spans="18:18" s="2" customFormat="1" ht="12.75" x14ac:dyDescent="0.2">
      <c r="R31253" s="1288"/>
    </row>
    <row r="31254" spans="18:18" s="2" customFormat="1" ht="12.75" x14ac:dyDescent="0.2">
      <c r="R31254" s="1288"/>
    </row>
    <row r="31255" spans="18:18" s="2" customFormat="1" ht="12.75" x14ac:dyDescent="0.2">
      <c r="R31255" s="1288"/>
    </row>
    <row r="31256" spans="18:18" s="2" customFormat="1" ht="12.75" x14ac:dyDescent="0.2">
      <c r="R31256" s="1288"/>
    </row>
    <row r="31257" spans="18:18" s="2" customFormat="1" ht="12.75" x14ac:dyDescent="0.2">
      <c r="R31257" s="1288"/>
    </row>
    <row r="31258" spans="18:18" s="2" customFormat="1" ht="12.75" x14ac:dyDescent="0.2">
      <c r="R31258" s="1288"/>
    </row>
    <row r="31259" spans="18:18" s="2" customFormat="1" ht="12.75" x14ac:dyDescent="0.2">
      <c r="R31259" s="1288"/>
    </row>
    <row r="31260" spans="18:18" s="2" customFormat="1" ht="12.75" x14ac:dyDescent="0.2">
      <c r="R31260" s="1288"/>
    </row>
    <row r="31261" spans="18:18" s="2" customFormat="1" ht="12.75" x14ac:dyDescent="0.2">
      <c r="R31261" s="1288"/>
    </row>
    <row r="31262" spans="18:18" s="2" customFormat="1" ht="12.75" x14ac:dyDescent="0.2">
      <c r="R31262" s="1288"/>
    </row>
    <row r="31263" spans="18:18" s="2" customFormat="1" ht="12.75" x14ac:dyDescent="0.2">
      <c r="R31263" s="1288"/>
    </row>
    <row r="31264" spans="18:18" s="2" customFormat="1" ht="12.75" x14ac:dyDescent="0.2">
      <c r="R31264" s="1288"/>
    </row>
    <row r="31265" spans="18:18" s="2" customFormat="1" ht="12.75" x14ac:dyDescent="0.2">
      <c r="R31265" s="1288"/>
    </row>
    <row r="31266" spans="18:18" s="2" customFormat="1" ht="12.75" x14ac:dyDescent="0.2">
      <c r="R31266" s="1288"/>
    </row>
    <row r="31267" spans="18:18" s="2" customFormat="1" ht="12.75" x14ac:dyDescent="0.2">
      <c r="R31267" s="1288"/>
    </row>
    <row r="31268" spans="18:18" s="2" customFormat="1" ht="12.75" x14ac:dyDescent="0.2">
      <c r="R31268" s="1288"/>
    </row>
    <row r="31269" spans="18:18" s="2" customFormat="1" ht="12.75" x14ac:dyDescent="0.2">
      <c r="R31269" s="1288"/>
    </row>
    <row r="31270" spans="18:18" s="2" customFormat="1" ht="12.75" x14ac:dyDescent="0.2">
      <c r="R31270" s="1288"/>
    </row>
    <row r="31271" spans="18:18" s="2" customFormat="1" ht="12.75" x14ac:dyDescent="0.2">
      <c r="R31271" s="1288"/>
    </row>
    <row r="31272" spans="18:18" s="2" customFormat="1" ht="12.75" x14ac:dyDescent="0.2">
      <c r="R31272" s="1288"/>
    </row>
    <row r="31273" spans="18:18" s="2" customFormat="1" ht="12.75" x14ac:dyDescent="0.2">
      <c r="R31273" s="1288"/>
    </row>
    <row r="31274" spans="18:18" s="2" customFormat="1" ht="12.75" x14ac:dyDescent="0.2">
      <c r="R31274" s="1288"/>
    </row>
    <row r="31275" spans="18:18" s="2" customFormat="1" ht="12.75" x14ac:dyDescent="0.2">
      <c r="R31275" s="1288"/>
    </row>
    <row r="31276" spans="18:18" s="2" customFormat="1" ht="12.75" x14ac:dyDescent="0.2">
      <c r="R31276" s="1288"/>
    </row>
    <row r="31277" spans="18:18" s="2" customFormat="1" ht="12.75" x14ac:dyDescent="0.2">
      <c r="R31277" s="1288"/>
    </row>
    <row r="31278" spans="18:18" s="2" customFormat="1" ht="12.75" x14ac:dyDescent="0.2">
      <c r="R31278" s="1288"/>
    </row>
    <row r="31279" spans="18:18" s="2" customFormat="1" ht="12.75" x14ac:dyDescent="0.2">
      <c r="R31279" s="1288"/>
    </row>
    <row r="31280" spans="18:18" s="2" customFormat="1" ht="12.75" x14ac:dyDescent="0.2">
      <c r="R31280" s="1288"/>
    </row>
    <row r="31281" spans="18:18" s="2" customFormat="1" ht="12.75" x14ac:dyDescent="0.2">
      <c r="R31281" s="1288"/>
    </row>
    <row r="31282" spans="18:18" s="2" customFormat="1" ht="12.75" x14ac:dyDescent="0.2">
      <c r="R31282" s="1288"/>
    </row>
    <row r="31283" spans="18:18" s="2" customFormat="1" ht="12.75" x14ac:dyDescent="0.2">
      <c r="R31283" s="1288"/>
    </row>
    <row r="31284" spans="18:18" s="2" customFormat="1" ht="12.75" x14ac:dyDescent="0.2">
      <c r="R31284" s="1288"/>
    </row>
    <row r="31285" spans="18:18" s="2" customFormat="1" ht="12.75" x14ac:dyDescent="0.2">
      <c r="R31285" s="1288"/>
    </row>
    <row r="31286" spans="18:18" s="2" customFormat="1" ht="12.75" x14ac:dyDescent="0.2">
      <c r="R31286" s="1288"/>
    </row>
    <row r="31287" spans="18:18" s="2" customFormat="1" ht="12.75" x14ac:dyDescent="0.2">
      <c r="R31287" s="1288"/>
    </row>
    <row r="31288" spans="18:18" s="2" customFormat="1" ht="12.75" x14ac:dyDescent="0.2">
      <c r="R31288" s="1288"/>
    </row>
    <row r="31289" spans="18:18" s="2" customFormat="1" ht="12.75" x14ac:dyDescent="0.2">
      <c r="R31289" s="1288"/>
    </row>
    <row r="31290" spans="18:18" s="2" customFormat="1" ht="12.75" x14ac:dyDescent="0.2">
      <c r="R31290" s="1288"/>
    </row>
    <row r="31291" spans="18:18" s="2" customFormat="1" ht="12.75" x14ac:dyDescent="0.2">
      <c r="R31291" s="1288"/>
    </row>
    <row r="31292" spans="18:18" s="2" customFormat="1" ht="12.75" x14ac:dyDescent="0.2">
      <c r="R31292" s="1288"/>
    </row>
    <row r="31293" spans="18:18" s="2" customFormat="1" ht="12.75" x14ac:dyDescent="0.2">
      <c r="R31293" s="1288"/>
    </row>
    <row r="31294" spans="18:18" s="2" customFormat="1" ht="12.75" x14ac:dyDescent="0.2">
      <c r="R31294" s="1288"/>
    </row>
    <row r="31295" spans="18:18" s="2" customFormat="1" ht="12.75" x14ac:dyDescent="0.2">
      <c r="R31295" s="1288"/>
    </row>
    <row r="31296" spans="18:18" s="2" customFormat="1" ht="12.75" x14ac:dyDescent="0.2">
      <c r="R31296" s="1288"/>
    </row>
    <row r="31297" spans="18:18" s="2" customFormat="1" ht="12.75" x14ac:dyDescent="0.2">
      <c r="R31297" s="1288"/>
    </row>
    <row r="31298" spans="18:18" s="2" customFormat="1" ht="12.75" x14ac:dyDescent="0.2">
      <c r="R31298" s="1288"/>
    </row>
    <row r="31299" spans="18:18" s="2" customFormat="1" ht="12.75" x14ac:dyDescent="0.2">
      <c r="R31299" s="1288"/>
    </row>
    <row r="31300" spans="18:18" s="2" customFormat="1" ht="12.75" x14ac:dyDescent="0.2">
      <c r="R31300" s="1288"/>
    </row>
    <row r="31301" spans="18:18" s="2" customFormat="1" ht="12.75" x14ac:dyDescent="0.2">
      <c r="R31301" s="1288"/>
    </row>
    <row r="31302" spans="18:18" s="2" customFormat="1" ht="12.75" x14ac:dyDescent="0.2">
      <c r="R31302" s="1288"/>
    </row>
    <row r="31303" spans="18:18" s="2" customFormat="1" ht="12.75" x14ac:dyDescent="0.2">
      <c r="R31303" s="1288"/>
    </row>
    <row r="31304" spans="18:18" s="2" customFormat="1" ht="12.75" x14ac:dyDescent="0.2">
      <c r="R31304" s="1288"/>
    </row>
    <row r="31305" spans="18:18" s="2" customFormat="1" ht="12.75" x14ac:dyDescent="0.2">
      <c r="R31305" s="1288"/>
    </row>
    <row r="31306" spans="18:18" s="2" customFormat="1" ht="12.75" x14ac:dyDescent="0.2">
      <c r="R31306" s="1288"/>
    </row>
    <row r="31307" spans="18:18" s="2" customFormat="1" ht="12.75" x14ac:dyDescent="0.2">
      <c r="R31307" s="1288"/>
    </row>
    <row r="31308" spans="18:18" s="2" customFormat="1" ht="12.75" x14ac:dyDescent="0.2">
      <c r="R31308" s="1288"/>
    </row>
    <row r="31309" spans="18:18" s="2" customFormat="1" ht="12.75" x14ac:dyDescent="0.2">
      <c r="R31309" s="1288"/>
    </row>
    <row r="31310" spans="18:18" s="2" customFormat="1" ht="12.75" x14ac:dyDescent="0.2">
      <c r="R31310" s="1288"/>
    </row>
    <row r="31311" spans="18:18" s="2" customFormat="1" ht="12.75" x14ac:dyDescent="0.2">
      <c r="R31311" s="1288"/>
    </row>
    <row r="31312" spans="18:18" s="2" customFormat="1" ht="12.75" x14ac:dyDescent="0.2">
      <c r="R31312" s="1288"/>
    </row>
    <row r="31313" spans="18:18" s="2" customFormat="1" ht="12.75" x14ac:dyDescent="0.2">
      <c r="R31313" s="1288"/>
    </row>
    <row r="31314" spans="18:18" s="2" customFormat="1" ht="12.75" x14ac:dyDescent="0.2">
      <c r="R31314" s="1288"/>
    </row>
    <row r="31315" spans="18:18" s="2" customFormat="1" ht="12.75" x14ac:dyDescent="0.2">
      <c r="R31315" s="1288"/>
    </row>
    <row r="31316" spans="18:18" s="2" customFormat="1" ht="12.75" x14ac:dyDescent="0.2">
      <c r="R31316" s="1288"/>
    </row>
    <row r="31317" spans="18:18" s="2" customFormat="1" ht="12.75" x14ac:dyDescent="0.2">
      <c r="R31317" s="1288"/>
    </row>
    <row r="31318" spans="18:18" s="2" customFormat="1" ht="12.75" x14ac:dyDescent="0.2">
      <c r="R31318" s="1288"/>
    </row>
    <row r="31319" spans="18:18" s="2" customFormat="1" ht="12.75" x14ac:dyDescent="0.2">
      <c r="R31319" s="1288"/>
    </row>
    <row r="31320" spans="18:18" s="2" customFormat="1" ht="12.75" x14ac:dyDescent="0.2">
      <c r="R31320" s="1288"/>
    </row>
    <row r="31321" spans="18:18" s="2" customFormat="1" ht="12.75" x14ac:dyDescent="0.2">
      <c r="R31321" s="1288"/>
    </row>
    <row r="31322" spans="18:18" s="2" customFormat="1" ht="12.75" x14ac:dyDescent="0.2">
      <c r="R31322" s="1288"/>
    </row>
    <row r="31323" spans="18:18" s="2" customFormat="1" ht="12.75" x14ac:dyDescent="0.2">
      <c r="R31323" s="1288"/>
    </row>
    <row r="31324" spans="18:18" s="2" customFormat="1" ht="12.75" x14ac:dyDescent="0.2">
      <c r="R31324" s="1288"/>
    </row>
    <row r="31325" spans="18:18" s="2" customFormat="1" ht="12.75" x14ac:dyDescent="0.2">
      <c r="R31325" s="1288"/>
    </row>
    <row r="31326" spans="18:18" s="2" customFormat="1" ht="12.75" x14ac:dyDescent="0.2">
      <c r="R31326" s="1288"/>
    </row>
    <row r="31327" spans="18:18" s="2" customFormat="1" ht="12.75" x14ac:dyDescent="0.2">
      <c r="R31327" s="1288"/>
    </row>
    <row r="31328" spans="18:18" s="2" customFormat="1" ht="12.75" x14ac:dyDescent="0.2">
      <c r="R31328" s="1288"/>
    </row>
    <row r="31329" spans="18:18" s="2" customFormat="1" ht="12.75" x14ac:dyDescent="0.2">
      <c r="R31329" s="1288"/>
    </row>
    <row r="31330" spans="18:18" s="2" customFormat="1" ht="12.75" x14ac:dyDescent="0.2">
      <c r="R31330" s="1288"/>
    </row>
    <row r="31331" spans="18:18" s="2" customFormat="1" ht="12.75" x14ac:dyDescent="0.2">
      <c r="R31331" s="1288"/>
    </row>
    <row r="31332" spans="18:18" s="2" customFormat="1" ht="12.75" x14ac:dyDescent="0.2">
      <c r="R31332" s="1288"/>
    </row>
    <row r="31333" spans="18:18" s="2" customFormat="1" ht="12.75" x14ac:dyDescent="0.2">
      <c r="R31333" s="1288"/>
    </row>
    <row r="31334" spans="18:18" s="2" customFormat="1" ht="12.75" x14ac:dyDescent="0.2">
      <c r="R31334" s="1288"/>
    </row>
    <row r="31335" spans="18:18" s="2" customFormat="1" ht="12.75" x14ac:dyDescent="0.2">
      <c r="R31335" s="1288"/>
    </row>
    <row r="31336" spans="18:18" s="2" customFormat="1" ht="12.75" x14ac:dyDescent="0.2">
      <c r="R31336" s="1288"/>
    </row>
    <row r="31337" spans="18:18" s="2" customFormat="1" ht="12.75" x14ac:dyDescent="0.2">
      <c r="R31337" s="1288"/>
    </row>
    <row r="31338" spans="18:18" s="2" customFormat="1" ht="12.75" x14ac:dyDescent="0.2">
      <c r="R31338" s="1288"/>
    </row>
    <row r="31339" spans="18:18" s="2" customFormat="1" ht="12.75" x14ac:dyDescent="0.2">
      <c r="R31339" s="1288"/>
    </row>
    <row r="31340" spans="18:18" s="2" customFormat="1" ht="12.75" x14ac:dyDescent="0.2">
      <c r="R31340" s="1288"/>
    </row>
    <row r="31341" spans="18:18" s="2" customFormat="1" ht="12.75" x14ac:dyDescent="0.2">
      <c r="R31341" s="1288"/>
    </row>
    <row r="31342" spans="18:18" s="2" customFormat="1" ht="12.75" x14ac:dyDescent="0.2">
      <c r="R31342" s="1288"/>
    </row>
    <row r="31343" spans="18:18" s="2" customFormat="1" ht="12.75" x14ac:dyDescent="0.2">
      <c r="R31343" s="1288"/>
    </row>
    <row r="31344" spans="18:18" s="2" customFormat="1" ht="12.75" x14ac:dyDescent="0.2">
      <c r="R31344" s="1288"/>
    </row>
    <row r="31345" spans="18:18" s="2" customFormat="1" ht="12.75" x14ac:dyDescent="0.2">
      <c r="R31345" s="1288"/>
    </row>
    <row r="31346" spans="18:18" s="2" customFormat="1" ht="12.75" x14ac:dyDescent="0.2">
      <c r="R31346" s="1288"/>
    </row>
    <row r="31347" spans="18:18" s="2" customFormat="1" ht="12.75" x14ac:dyDescent="0.2">
      <c r="R31347" s="1288"/>
    </row>
    <row r="31348" spans="18:18" s="2" customFormat="1" ht="12.75" x14ac:dyDescent="0.2">
      <c r="R31348" s="1288"/>
    </row>
    <row r="31349" spans="18:18" s="2" customFormat="1" ht="12.75" x14ac:dyDescent="0.2">
      <c r="R31349" s="1288"/>
    </row>
    <row r="31350" spans="18:18" s="2" customFormat="1" ht="12.75" x14ac:dyDescent="0.2">
      <c r="R31350" s="1288"/>
    </row>
    <row r="31351" spans="18:18" s="2" customFormat="1" ht="12.75" x14ac:dyDescent="0.2">
      <c r="R31351" s="1288"/>
    </row>
    <row r="31352" spans="18:18" s="2" customFormat="1" ht="12.75" x14ac:dyDescent="0.2">
      <c r="R31352" s="1288"/>
    </row>
    <row r="31353" spans="18:18" s="2" customFormat="1" ht="12.75" x14ac:dyDescent="0.2">
      <c r="R31353" s="1288"/>
    </row>
    <row r="31354" spans="18:18" s="2" customFormat="1" ht="12.75" x14ac:dyDescent="0.2">
      <c r="R31354" s="1288"/>
    </row>
    <row r="31355" spans="18:18" s="2" customFormat="1" ht="12.75" x14ac:dyDescent="0.2">
      <c r="R31355" s="1288"/>
    </row>
    <row r="31356" spans="18:18" s="2" customFormat="1" ht="12.75" x14ac:dyDescent="0.2">
      <c r="R31356" s="1288"/>
    </row>
    <row r="31357" spans="18:18" s="2" customFormat="1" ht="12.75" x14ac:dyDescent="0.2">
      <c r="R31357" s="1288"/>
    </row>
    <row r="31358" spans="18:18" s="2" customFormat="1" ht="12.75" x14ac:dyDescent="0.2">
      <c r="R31358" s="1288"/>
    </row>
    <row r="31359" spans="18:18" s="2" customFormat="1" ht="12.75" x14ac:dyDescent="0.2">
      <c r="R31359" s="1288"/>
    </row>
    <row r="31360" spans="18:18" s="2" customFormat="1" ht="12.75" x14ac:dyDescent="0.2">
      <c r="R31360" s="1288"/>
    </row>
    <row r="31361" spans="18:18" s="2" customFormat="1" ht="12.75" x14ac:dyDescent="0.2">
      <c r="R31361" s="1288"/>
    </row>
    <row r="31362" spans="18:18" s="2" customFormat="1" ht="12.75" x14ac:dyDescent="0.2">
      <c r="R31362" s="1288"/>
    </row>
    <row r="31363" spans="18:18" s="2" customFormat="1" ht="12.75" x14ac:dyDescent="0.2">
      <c r="R31363" s="1288"/>
    </row>
    <row r="31364" spans="18:18" s="2" customFormat="1" ht="12.75" x14ac:dyDescent="0.2">
      <c r="R31364" s="1288"/>
    </row>
    <row r="31365" spans="18:18" s="2" customFormat="1" ht="12.75" x14ac:dyDescent="0.2">
      <c r="R31365" s="1288"/>
    </row>
    <row r="31366" spans="18:18" s="2" customFormat="1" ht="12.75" x14ac:dyDescent="0.2">
      <c r="R31366" s="1288"/>
    </row>
    <row r="31367" spans="18:18" s="2" customFormat="1" ht="12.75" x14ac:dyDescent="0.2">
      <c r="R31367" s="1288"/>
    </row>
    <row r="31368" spans="18:18" s="2" customFormat="1" ht="12.75" x14ac:dyDescent="0.2">
      <c r="R31368" s="1288"/>
    </row>
    <row r="31369" spans="18:18" s="2" customFormat="1" ht="12.75" x14ac:dyDescent="0.2">
      <c r="R31369" s="1288"/>
    </row>
    <row r="31370" spans="18:18" s="2" customFormat="1" ht="12.75" x14ac:dyDescent="0.2">
      <c r="R31370" s="1288"/>
    </row>
    <row r="31371" spans="18:18" s="2" customFormat="1" ht="12.75" x14ac:dyDescent="0.2">
      <c r="R31371" s="1288"/>
    </row>
    <row r="31372" spans="18:18" s="2" customFormat="1" ht="12.75" x14ac:dyDescent="0.2">
      <c r="R31372" s="1288"/>
    </row>
    <row r="31373" spans="18:18" s="2" customFormat="1" ht="12.75" x14ac:dyDescent="0.2">
      <c r="R31373" s="1288"/>
    </row>
    <row r="31374" spans="18:18" s="2" customFormat="1" ht="12.75" x14ac:dyDescent="0.2">
      <c r="R31374" s="1288"/>
    </row>
    <row r="31375" spans="18:18" s="2" customFormat="1" ht="12.75" x14ac:dyDescent="0.2">
      <c r="R31375" s="1288"/>
    </row>
    <row r="31376" spans="18:18" s="2" customFormat="1" ht="12.75" x14ac:dyDescent="0.2">
      <c r="R31376" s="1288"/>
    </row>
    <row r="31377" spans="18:18" s="2" customFormat="1" ht="12.75" x14ac:dyDescent="0.2">
      <c r="R31377" s="1288"/>
    </row>
    <row r="31378" spans="18:18" s="2" customFormat="1" ht="12.75" x14ac:dyDescent="0.2">
      <c r="R31378" s="1288"/>
    </row>
    <row r="31379" spans="18:18" s="2" customFormat="1" ht="12.75" x14ac:dyDescent="0.2">
      <c r="R31379" s="1288"/>
    </row>
    <row r="31380" spans="18:18" s="2" customFormat="1" ht="12.75" x14ac:dyDescent="0.2">
      <c r="R31380" s="1288"/>
    </row>
    <row r="31381" spans="18:18" s="2" customFormat="1" ht="12.75" x14ac:dyDescent="0.2">
      <c r="R31381" s="1288"/>
    </row>
    <row r="31382" spans="18:18" s="2" customFormat="1" ht="12.75" x14ac:dyDescent="0.2">
      <c r="R31382" s="1288"/>
    </row>
    <row r="31383" spans="18:18" s="2" customFormat="1" ht="12.75" x14ac:dyDescent="0.2">
      <c r="R31383" s="1288"/>
    </row>
    <row r="31384" spans="18:18" s="2" customFormat="1" ht="12.75" x14ac:dyDescent="0.2">
      <c r="R31384" s="1288"/>
    </row>
    <row r="31385" spans="18:18" s="2" customFormat="1" ht="12.75" x14ac:dyDescent="0.2">
      <c r="R31385" s="1288"/>
    </row>
    <row r="31386" spans="18:18" s="2" customFormat="1" ht="12.75" x14ac:dyDescent="0.2">
      <c r="R31386" s="1288"/>
    </row>
    <row r="31387" spans="18:18" s="2" customFormat="1" ht="12.75" x14ac:dyDescent="0.2">
      <c r="R31387" s="1288"/>
    </row>
    <row r="31388" spans="18:18" s="2" customFormat="1" ht="12.75" x14ac:dyDescent="0.2">
      <c r="R31388" s="1288"/>
    </row>
    <row r="31389" spans="18:18" s="2" customFormat="1" ht="12.75" x14ac:dyDescent="0.2">
      <c r="R31389" s="1288"/>
    </row>
    <row r="31390" spans="18:18" s="2" customFormat="1" ht="12.75" x14ac:dyDescent="0.2">
      <c r="R31390" s="1288"/>
    </row>
    <row r="31391" spans="18:18" s="2" customFormat="1" ht="12.75" x14ac:dyDescent="0.2">
      <c r="R31391" s="1288"/>
    </row>
    <row r="31392" spans="18:18" s="2" customFormat="1" ht="12.75" x14ac:dyDescent="0.2">
      <c r="R31392" s="1288"/>
    </row>
    <row r="31393" spans="18:18" s="2" customFormat="1" ht="12.75" x14ac:dyDescent="0.2">
      <c r="R31393" s="1288"/>
    </row>
    <row r="31394" spans="18:18" s="2" customFormat="1" ht="12.75" x14ac:dyDescent="0.2">
      <c r="R31394" s="1288"/>
    </row>
    <row r="31395" spans="18:18" s="2" customFormat="1" ht="12.75" x14ac:dyDescent="0.2">
      <c r="R31395" s="1288"/>
    </row>
    <row r="31396" spans="18:18" s="2" customFormat="1" ht="12.75" x14ac:dyDescent="0.2">
      <c r="R31396" s="1288"/>
    </row>
    <row r="31397" spans="18:18" s="2" customFormat="1" ht="12.75" x14ac:dyDescent="0.2">
      <c r="R31397" s="1288"/>
    </row>
    <row r="31398" spans="18:18" s="2" customFormat="1" ht="12.75" x14ac:dyDescent="0.2">
      <c r="R31398" s="1288"/>
    </row>
    <row r="31399" spans="18:18" s="2" customFormat="1" ht="12.75" x14ac:dyDescent="0.2">
      <c r="R31399" s="1288"/>
    </row>
    <row r="31400" spans="18:18" s="2" customFormat="1" ht="12.75" x14ac:dyDescent="0.2">
      <c r="R31400" s="1288"/>
    </row>
    <row r="31401" spans="18:18" s="2" customFormat="1" ht="12.75" x14ac:dyDescent="0.2">
      <c r="R31401" s="1288"/>
    </row>
    <row r="31402" spans="18:18" s="2" customFormat="1" ht="12.75" x14ac:dyDescent="0.2">
      <c r="R31402" s="1288"/>
    </row>
    <row r="31403" spans="18:18" s="2" customFormat="1" ht="12.75" x14ac:dyDescent="0.2">
      <c r="R31403" s="1288"/>
    </row>
    <row r="31404" spans="18:18" s="2" customFormat="1" ht="12.75" x14ac:dyDescent="0.2">
      <c r="R31404" s="1288"/>
    </row>
    <row r="31405" spans="18:18" s="2" customFormat="1" ht="12.75" x14ac:dyDescent="0.2">
      <c r="R31405" s="1288"/>
    </row>
    <row r="31406" spans="18:18" s="2" customFormat="1" ht="12.75" x14ac:dyDescent="0.2">
      <c r="R31406" s="1288"/>
    </row>
    <row r="31407" spans="18:18" s="2" customFormat="1" ht="12.75" x14ac:dyDescent="0.2">
      <c r="R31407" s="1288"/>
    </row>
    <row r="31408" spans="18:18" s="2" customFormat="1" ht="12.75" x14ac:dyDescent="0.2">
      <c r="R31408" s="1288"/>
    </row>
    <row r="31409" spans="18:18" s="2" customFormat="1" ht="12.75" x14ac:dyDescent="0.2">
      <c r="R31409" s="1288"/>
    </row>
    <row r="31410" spans="18:18" s="2" customFormat="1" ht="12.75" x14ac:dyDescent="0.2">
      <c r="R31410" s="1288"/>
    </row>
    <row r="31411" spans="18:18" s="2" customFormat="1" ht="12.75" x14ac:dyDescent="0.2">
      <c r="R31411" s="1288"/>
    </row>
    <row r="31412" spans="18:18" s="2" customFormat="1" ht="12.75" x14ac:dyDescent="0.2">
      <c r="R31412" s="1288"/>
    </row>
    <row r="31413" spans="18:18" s="2" customFormat="1" ht="12.75" x14ac:dyDescent="0.2">
      <c r="R31413" s="1288"/>
    </row>
    <row r="31414" spans="18:18" s="2" customFormat="1" ht="12.75" x14ac:dyDescent="0.2">
      <c r="R31414" s="1288"/>
    </row>
    <row r="31415" spans="18:18" s="2" customFormat="1" ht="12.75" x14ac:dyDescent="0.2">
      <c r="R31415" s="1288"/>
    </row>
    <row r="31416" spans="18:18" s="2" customFormat="1" ht="12.75" x14ac:dyDescent="0.2">
      <c r="R31416" s="1288"/>
    </row>
    <row r="31417" spans="18:18" s="2" customFormat="1" ht="12.75" x14ac:dyDescent="0.2">
      <c r="R31417" s="1288"/>
    </row>
    <row r="31418" spans="18:18" s="2" customFormat="1" ht="12.75" x14ac:dyDescent="0.2">
      <c r="R31418" s="1288"/>
    </row>
    <row r="31419" spans="18:18" s="2" customFormat="1" ht="12.75" x14ac:dyDescent="0.2">
      <c r="R31419" s="1288"/>
    </row>
    <row r="31420" spans="18:18" s="2" customFormat="1" ht="12.75" x14ac:dyDescent="0.2">
      <c r="R31420" s="1288"/>
    </row>
    <row r="31421" spans="18:18" s="2" customFormat="1" ht="12.75" x14ac:dyDescent="0.2">
      <c r="R31421" s="1288"/>
    </row>
    <row r="31422" spans="18:18" s="2" customFormat="1" ht="12.75" x14ac:dyDescent="0.2">
      <c r="R31422" s="1288"/>
    </row>
    <row r="31423" spans="18:18" s="2" customFormat="1" ht="12.75" x14ac:dyDescent="0.2">
      <c r="R31423" s="1288"/>
    </row>
    <row r="31424" spans="18:18" s="2" customFormat="1" ht="12.75" x14ac:dyDescent="0.2">
      <c r="R31424" s="1288"/>
    </row>
    <row r="31425" spans="18:18" s="2" customFormat="1" ht="12.75" x14ac:dyDescent="0.2">
      <c r="R31425" s="1288"/>
    </row>
    <row r="31426" spans="18:18" s="2" customFormat="1" ht="12.75" x14ac:dyDescent="0.2">
      <c r="R31426" s="1288"/>
    </row>
    <row r="31427" spans="18:18" s="2" customFormat="1" ht="12.75" x14ac:dyDescent="0.2">
      <c r="R31427" s="1288"/>
    </row>
    <row r="31428" spans="18:18" s="2" customFormat="1" ht="12.75" x14ac:dyDescent="0.2">
      <c r="R31428" s="1288"/>
    </row>
    <row r="31429" spans="18:18" s="2" customFormat="1" ht="12.75" x14ac:dyDescent="0.2">
      <c r="R31429" s="1288"/>
    </row>
    <row r="31430" spans="18:18" s="2" customFormat="1" ht="12.75" x14ac:dyDescent="0.2">
      <c r="R31430" s="1288"/>
    </row>
    <row r="31431" spans="18:18" s="2" customFormat="1" ht="12.75" x14ac:dyDescent="0.2">
      <c r="R31431" s="1288"/>
    </row>
    <row r="31432" spans="18:18" s="2" customFormat="1" ht="12.75" x14ac:dyDescent="0.2">
      <c r="R31432" s="1288"/>
    </row>
    <row r="31433" spans="18:18" s="2" customFormat="1" ht="12.75" x14ac:dyDescent="0.2">
      <c r="R31433" s="1288"/>
    </row>
    <row r="31434" spans="18:18" s="2" customFormat="1" ht="12.75" x14ac:dyDescent="0.2">
      <c r="R31434" s="1288"/>
    </row>
    <row r="31435" spans="18:18" s="2" customFormat="1" ht="12.75" x14ac:dyDescent="0.2">
      <c r="R31435" s="1288"/>
    </row>
    <row r="31436" spans="18:18" s="2" customFormat="1" ht="12.75" x14ac:dyDescent="0.2">
      <c r="R31436" s="1288"/>
    </row>
    <row r="31437" spans="18:18" s="2" customFormat="1" ht="12.75" x14ac:dyDescent="0.2">
      <c r="R31437" s="1288"/>
    </row>
    <row r="31438" spans="18:18" s="2" customFormat="1" ht="12.75" x14ac:dyDescent="0.2">
      <c r="R31438" s="1288"/>
    </row>
    <row r="31439" spans="18:18" s="2" customFormat="1" ht="12.75" x14ac:dyDescent="0.2">
      <c r="R31439" s="1288"/>
    </row>
    <row r="31440" spans="18:18" s="2" customFormat="1" ht="12.75" x14ac:dyDescent="0.2">
      <c r="R31440" s="1288"/>
    </row>
    <row r="31441" spans="18:18" s="2" customFormat="1" ht="12.75" x14ac:dyDescent="0.2">
      <c r="R31441" s="1288"/>
    </row>
    <row r="31442" spans="18:18" s="2" customFormat="1" ht="12.75" x14ac:dyDescent="0.2">
      <c r="R31442" s="1288"/>
    </row>
    <row r="31443" spans="18:18" s="2" customFormat="1" ht="12.75" x14ac:dyDescent="0.2">
      <c r="R31443" s="1288"/>
    </row>
    <row r="31444" spans="18:18" s="2" customFormat="1" ht="12.75" x14ac:dyDescent="0.2">
      <c r="R31444" s="1288"/>
    </row>
    <row r="31445" spans="18:18" s="2" customFormat="1" ht="12.75" x14ac:dyDescent="0.2">
      <c r="R31445" s="1288"/>
    </row>
    <row r="31446" spans="18:18" s="2" customFormat="1" ht="12.75" x14ac:dyDescent="0.2">
      <c r="R31446" s="1288"/>
    </row>
    <row r="31447" spans="18:18" s="2" customFormat="1" ht="12.75" x14ac:dyDescent="0.2">
      <c r="R31447" s="1288"/>
    </row>
    <row r="31448" spans="18:18" s="2" customFormat="1" ht="12.75" x14ac:dyDescent="0.2">
      <c r="R31448" s="1288"/>
    </row>
    <row r="31449" spans="18:18" s="2" customFormat="1" ht="12.75" x14ac:dyDescent="0.2">
      <c r="R31449" s="1288"/>
    </row>
    <row r="31450" spans="18:18" s="2" customFormat="1" ht="12.75" x14ac:dyDescent="0.2">
      <c r="R31450" s="1288"/>
    </row>
    <row r="31451" spans="18:18" s="2" customFormat="1" ht="12.75" x14ac:dyDescent="0.2">
      <c r="R31451" s="1288"/>
    </row>
    <row r="31452" spans="18:18" s="2" customFormat="1" ht="12.75" x14ac:dyDescent="0.2">
      <c r="R31452" s="1288"/>
    </row>
    <row r="31453" spans="18:18" s="2" customFormat="1" ht="12.75" x14ac:dyDescent="0.2">
      <c r="R31453" s="1288"/>
    </row>
    <row r="31454" spans="18:18" s="2" customFormat="1" ht="12.75" x14ac:dyDescent="0.2">
      <c r="R31454" s="1288"/>
    </row>
    <row r="31455" spans="18:18" s="2" customFormat="1" ht="12.75" x14ac:dyDescent="0.2">
      <c r="R31455" s="1288"/>
    </row>
    <row r="31456" spans="18:18" s="2" customFormat="1" ht="12.75" x14ac:dyDescent="0.2">
      <c r="R31456" s="1288"/>
    </row>
    <row r="31457" spans="18:18" s="2" customFormat="1" ht="12.75" x14ac:dyDescent="0.2">
      <c r="R31457" s="1288"/>
    </row>
    <row r="31458" spans="18:18" s="2" customFormat="1" ht="12.75" x14ac:dyDescent="0.2">
      <c r="R31458" s="1288"/>
    </row>
    <row r="31459" spans="18:18" s="2" customFormat="1" ht="12.75" x14ac:dyDescent="0.2">
      <c r="R31459" s="1288"/>
    </row>
    <row r="31460" spans="18:18" s="2" customFormat="1" ht="12.75" x14ac:dyDescent="0.2">
      <c r="R31460" s="1288"/>
    </row>
    <row r="31461" spans="18:18" s="2" customFormat="1" ht="12.75" x14ac:dyDescent="0.2">
      <c r="R31461" s="1288"/>
    </row>
    <row r="31462" spans="18:18" s="2" customFormat="1" ht="12.75" x14ac:dyDescent="0.2">
      <c r="R31462" s="1288"/>
    </row>
    <row r="31463" spans="18:18" s="2" customFormat="1" ht="12.75" x14ac:dyDescent="0.2">
      <c r="R31463" s="1288"/>
    </row>
    <row r="31464" spans="18:18" s="2" customFormat="1" ht="12.75" x14ac:dyDescent="0.2">
      <c r="R31464" s="1288"/>
    </row>
    <row r="31465" spans="18:18" s="2" customFormat="1" ht="12.75" x14ac:dyDescent="0.2">
      <c r="R31465" s="1288"/>
    </row>
    <row r="31466" spans="18:18" s="2" customFormat="1" ht="12.75" x14ac:dyDescent="0.2">
      <c r="R31466" s="1288"/>
    </row>
    <row r="31467" spans="18:18" s="2" customFormat="1" ht="12.75" x14ac:dyDescent="0.2">
      <c r="R31467" s="1288"/>
    </row>
    <row r="31468" spans="18:18" s="2" customFormat="1" ht="12.75" x14ac:dyDescent="0.2">
      <c r="R31468" s="1288"/>
    </row>
    <row r="31469" spans="18:18" s="2" customFormat="1" ht="12.75" x14ac:dyDescent="0.2">
      <c r="R31469" s="1288"/>
    </row>
    <row r="31470" spans="18:18" s="2" customFormat="1" ht="12.75" x14ac:dyDescent="0.2">
      <c r="R31470" s="1288"/>
    </row>
    <row r="31471" spans="18:18" s="2" customFormat="1" ht="12.75" x14ac:dyDescent="0.2">
      <c r="R31471" s="1288"/>
    </row>
    <row r="31472" spans="18:18" s="2" customFormat="1" ht="12.75" x14ac:dyDescent="0.2">
      <c r="R31472" s="1288"/>
    </row>
    <row r="31473" spans="18:18" s="2" customFormat="1" ht="12.75" x14ac:dyDescent="0.2">
      <c r="R31473" s="1288"/>
    </row>
    <row r="31474" spans="18:18" s="2" customFormat="1" ht="12.75" x14ac:dyDescent="0.2">
      <c r="R31474" s="1288"/>
    </row>
    <row r="31475" spans="18:18" s="2" customFormat="1" ht="12.75" x14ac:dyDescent="0.2">
      <c r="R31475" s="1288"/>
    </row>
    <row r="31476" spans="18:18" s="2" customFormat="1" ht="12.75" x14ac:dyDescent="0.2">
      <c r="R31476" s="1288"/>
    </row>
    <row r="31477" spans="18:18" s="2" customFormat="1" ht="12.75" x14ac:dyDescent="0.2">
      <c r="R31477" s="1288"/>
    </row>
    <row r="31478" spans="18:18" s="2" customFormat="1" ht="12.75" x14ac:dyDescent="0.2">
      <c r="R31478" s="1288"/>
    </row>
    <row r="31479" spans="18:18" s="2" customFormat="1" ht="12.75" x14ac:dyDescent="0.2">
      <c r="R31479" s="1288"/>
    </row>
    <row r="31480" spans="18:18" s="2" customFormat="1" ht="12.75" x14ac:dyDescent="0.2">
      <c r="R31480" s="1288"/>
    </row>
    <row r="31481" spans="18:18" s="2" customFormat="1" ht="12.75" x14ac:dyDescent="0.2">
      <c r="R31481" s="1288"/>
    </row>
    <row r="31482" spans="18:18" s="2" customFormat="1" ht="12.75" x14ac:dyDescent="0.2">
      <c r="R31482" s="1288"/>
    </row>
    <row r="31483" spans="18:18" s="2" customFormat="1" ht="12.75" x14ac:dyDescent="0.2">
      <c r="R31483" s="1288"/>
    </row>
    <row r="31484" spans="18:18" s="2" customFormat="1" ht="12.75" x14ac:dyDescent="0.2">
      <c r="R31484" s="1288"/>
    </row>
    <row r="31485" spans="18:18" s="2" customFormat="1" ht="12.75" x14ac:dyDescent="0.2">
      <c r="R31485" s="1288"/>
    </row>
    <row r="31486" spans="18:18" s="2" customFormat="1" ht="12.75" x14ac:dyDescent="0.2">
      <c r="R31486" s="1288"/>
    </row>
    <row r="31487" spans="18:18" s="2" customFormat="1" ht="12.75" x14ac:dyDescent="0.2">
      <c r="R31487" s="1288"/>
    </row>
    <row r="31488" spans="18:18" s="2" customFormat="1" ht="12.75" x14ac:dyDescent="0.2">
      <c r="R31488" s="1288"/>
    </row>
    <row r="31489" spans="18:18" s="2" customFormat="1" ht="12.75" x14ac:dyDescent="0.2">
      <c r="R31489" s="1288"/>
    </row>
    <row r="31490" spans="18:18" s="2" customFormat="1" ht="12.75" x14ac:dyDescent="0.2">
      <c r="R31490" s="1288"/>
    </row>
    <row r="31491" spans="18:18" s="2" customFormat="1" ht="12.75" x14ac:dyDescent="0.2">
      <c r="R31491" s="1288"/>
    </row>
    <row r="31492" spans="18:18" s="2" customFormat="1" ht="12.75" x14ac:dyDescent="0.2">
      <c r="R31492" s="1288"/>
    </row>
    <row r="31493" spans="18:18" s="2" customFormat="1" ht="12.75" x14ac:dyDescent="0.2">
      <c r="R31493" s="1288"/>
    </row>
    <row r="31494" spans="18:18" s="2" customFormat="1" ht="12.75" x14ac:dyDescent="0.2">
      <c r="R31494" s="1288"/>
    </row>
    <row r="31495" spans="18:18" s="2" customFormat="1" ht="12.75" x14ac:dyDescent="0.2">
      <c r="R31495" s="1288"/>
    </row>
    <row r="31496" spans="18:18" s="2" customFormat="1" ht="12.75" x14ac:dyDescent="0.2">
      <c r="R31496" s="1288"/>
    </row>
    <row r="31497" spans="18:18" s="2" customFormat="1" ht="12.75" x14ac:dyDescent="0.2">
      <c r="R31497" s="1288"/>
    </row>
    <row r="31498" spans="18:18" s="2" customFormat="1" ht="12.75" x14ac:dyDescent="0.2">
      <c r="R31498" s="1288"/>
    </row>
    <row r="31499" spans="18:18" s="2" customFormat="1" ht="12.75" x14ac:dyDescent="0.2">
      <c r="R31499" s="1288"/>
    </row>
    <row r="31500" spans="18:18" s="2" customFormat="1" ht="12.75" x14ac:dyDescent="0.2">
      <c r="R31500" s="1288"/>
    </row>
    <row r="31501" spans="18:18" s="2" customFormat="1" ht="12.75" x14ac:dyDescent="0.2">
      <c r="R31501" s="1288"/>
    </row>
    <row r="31502" spans="18:18" s="2" customFormat="1" ht="12.75" x14ac:dyDescent="0.2">
      <c r="R31502" s="1288"/>
    </row>
    <row r="31503" spans="18:18" s="2" customFormat="1" ht="12.75" x14ac:dyDescent="0.2">
      <c r="R31503" s="1288"/>
    </row>
    <row r="31504" spans="18:18" s="2" customFormat="1" ht="12.75" x14ac:dyDescent="0.2">
      <c r="R31504" s="1288"/>
    </row>
    <row r="31505" spans="18:18" s="2" customFormat="1" ht="12.75" x14ac:dyDescent="0.2">
      <c r="R31505" s="1288"/>
    </row>
    <row r="31506" spans="18:18" s="2" customFormat="1" ht="12.75" x14ac:dyDescent="0.2">
      <c r="R31506" s="1288"/>
    </row>
    <row r="31507" spans="18:18" s="2" customFormat="1" ht="12.75" x14ac:dyDescent="0.2">
      <c r="R31507" s="1288"/>
    </row>
    <row r="31508" spans="18:18" s="2" customFormat="1" ht="12.75" x14ac:dyDescent="0.2">
      <c r="R31508" s="1288"/>
    </row>
    <row r="31509" spans="18:18" s="2" customFormat="1" ht="12.75" x14ac:dyDescent="0.2">
      <c r="R31509" s="1288"/>
    </row>
    <row r="31510" spans="18:18" s="2" customFormat="1" ht="12.75" x14ac:dyDescent="0.2">
      <c r="R31510" s="1288"/>
    </row>
    <row r="31511" spans="18:18" s="2" customFormat="1" ht="12.75" x14ac:dyDescent="0.2">
      <c r="R31511" s="1288"/>
    </row>
    <row r="31512" spans="18:18" s="2" customFormat="1" ht="12.75" x14ac:dyDescent="0.2">
      <c r="R31512" s="1288"/>
    </row>
    <row r="31513" spans="18:18" s="2" customFormat="1" ht="12.75" x14ac:dyDescent="0.2">
      <c r="R31513" s="1288"/>
    </row>
    <row r="31514" spans="18:18" s="2" customFormat="1" ht="12.75" x14ac:dyDescent="0.2">
      <c r="R31514" s="1288"/>
    </row>
    <row r="31515" spans="18:18" s="2" customFormat="1" ht="12.75" x14ac:dyDescent="0.2">
      <c r="R31515" s="1288"/>
    </row>
    <row r="31516" spans="18:18" s="2" customFormat="1" ht="12.75" x14ac:dyDescent="0.2">
      <c r="R31516" s="1288"/>
    </row>
    <row r="31517" spans="18:18" s="2" customFormat="1" ht="12.75" x14ac:dyDescent="0.2">
      <c r="R31517" s="1288"/>
    </row>
    <row r="31518" spans="18:18" s="2" customFormat="1" ht="12.75" x14ac:dyDescent="0.2">
      <c r="R31518" s="1288"/>
    </row>
    <row r="31519" spans="18:18" s="2" customFormat="1" ht="12.75" x14ac:dyDescent="0.2">
      <c r="R31519" s="1288"/>
    </row>
    <row r="31520" spans="18:18" s="2" customFormat="1" ht="12.75" x14ac:dyDescent="0.2">
      <c r="R31520" s="1288"/>
    </row>
    <row r="31521" spans="18:18" s="2" customFormat="1" ht="12.75" x14ac:dyDescent="0.2">
      <c r="R31521" s="1288"/>
    </row>
    <row r="31522" spans="18:18" s="2" customFormat="1" ht="12.75" x14ac:dyDescent="0.2">
      <c r="R31522" s="1288"/>
    </row>
    <row r="31523" spans="18:18" s="2" customFormat="1" ht="12.75" x14ac:dyDescent="0.2">
      <c r="R31523" s="1288"/>
    </row>
    <row r="31524" spans="18:18" s="2" customFormat="1" ht="12.75" x14ac:dyDescent="0.2">
      <c r="R31524" s="1288"/>
    </row>
    <row r="31525" spans="18:18" s="2" customFormat="1" ht="12.75" x14ac:dyDescent="0.2">
      <c r="R31525" s="1288"/>
    </row>
    <row r="31526" spans="18:18" s="2" customFormat="1" ht="12.75" x14ac:dyDescent="0.2">
      <c r="R31526" s="1288"/>
    </row>
    <row r="31527" spans="18:18" s="2" customFormat="1" ht="12.75" x14ac:dyDescent="0.2">
      <c r="R31527" s="1288"/>
    </row>
    <row r="31528" spans="18:18" s="2" customFormat="1" ht="12.75" x14ac:dyDescent="0.2">
      <c r="R31528" s="1288"/>
    </row>
    <row r="31529" spans="18:18" s="2" customFormat="1" ht="12.75" x14ac:dyDescent="0.2">
      <c r="R31529" s="1288"/>
    </row>
    <row r="31530" spans="18:18" s="2" customFormat="1" ht="12.75" x14ac:dyDescent="0.2">
      <c r="R31530" s="1288"/>
    </row>
    <row r="31531" spans="18:18" s="2" customFormat="1" ht="12.75" x14ac:dyDescent="0.2">
      <c r="R31531" s="1288"/>
    </row>
    <row r="31532" spans="18:18" s="2" customFormat="1" ht="12.75" x14ac:dyDescent="0.2">
      <c r="R31532" s="1288"/>
    </row>
    <row r="31533" spans="18:18" s="2" customFormat="1" ht="12.75" x14ac:dyDescent="0.2">
      <c r="R31533" s="1288"/>
    </row>
    <row r="31534" spans="18:18" s="2" customFormat="1" ht="12.75" x14ac:dyDescent="0.2">
      <c r="R31534" s="1288"/>
    </row>
    <row r="31535" spans="18:18" s="2" customFormat="1" ht="12.75" x14ac:dyDescent="0.2">
      <c r="R31535" s="1288"/>
    </row>
    <row r="31536" spans="18:18" s="2" customFormat="1" ht="12.75" x14ac:dyDescent="0.2">
      <c r="R31536" s="1288"/>
    </row>
    <row r="31537" spans="18:18" s="2" customFormat="1" ht="12.75" x14ac:dyDescent="0.2">
      <c r="R31537" s="1288"/>
    </row>
    <row r="31538" spans="18:18" s="2" customFormat="1" ht="12.75" x14ac:dyDescent="0.2">
      <c r="R31538" s="1288"/>
    </row>
    <row r="31539" spans="18:18" s="2" customFormat="1" ht="12.75" x14ac:dyDescent="0.2">
      <c r="R31539" s="1288"/>
    </row>
    <row r="31540" spans="18:18" s="2" customFormat="1" ht="12.75" x14ac:dyDescent="0.2">
      <c r="R31540" s="1288"/>
    </row>
    <row r="31541" spans="18:18" s="2" customFormat="1" ht="12.75" x14ac:dyDescent="0.2">
      <c r="R31541" s="1288"/>
    </row>
    <row r="31542" spans="18:18" s="2" customFormat="1" ht="12.75" x14ac:dyDescent="0.2">
      <c r="R31542" s="1288"/>
    </row>
    <row r="31543" spans="18:18" s="2" customFormat="1" ht="12.75" x14ac:dyDescent="0.2">
      <c r="R31543" s="1288"/>
    </row>
    <row r="31544" spans="18:18" s="2" customFormat="1" ht="12.75" x14ac:dyDescent="0.2">
      <c r="R31544" s="1288"/>
    </row>
    <row r="31545" spans="18:18" s="2" customFormat="1" ht="12.75" x14ac:dyDescent="0.2">
      <c r="R31545" s="1288"/>
    </row>
    <row r="31546" spans="18:18" s="2" customFormat="1" ht="12.75" x14ac:dyDescent="0.2">
      <c r="R31546" s="1288"/>
    </row>
    <row r="31547" spans="18:18" s="2" customFormat="1" ht="12.75" x14ac:dyDescent="0.2">
      <c r="R31547" s="1288"/>
    </row>
    <row r="31548" spans="18:18" s="2" customFormat="1" ht="12.75" x14ac:dyDescent="0.2">
      <c r="R31548" s="1288"/>
    </row>
    <row r="31549" spans="18:18" s="2" customFormat="1" ht="12.75" x14ac:dyDescent="0.2">
      <c r="R31549" s="1288"/>
    </row>
    <row r="31550" spans="18:18" s="2" customFormat="1" ht="12.75" x14ac:dyDescent="0.2">
      <c r="R31550" s="1288"/>
    </row>
    <row r="31551" spans="18:18" s="2" customFormat="1" ht="12.75" x14ac:dyDescent="0.2">
      <c r="R31551" s="1288"/>
    </row>
    <row r="31552" spans="18:18" s="2" customFormat="1" ht="12.75" x14ac:dyDescent="0.2">
      <c r="R31552" s="1288"/>
    </row>
    <row r="31553" spans="18:18" s="2" customFormat="1" ht="12.75" x14ac:dyDescent="0.2">
      <c r="R31553" s="1288"/>
    </row>
    <row r="31554" spans="18:18" s="2" customFormat="1" ht="12.75" x14ac:dyDescent="0.2">
      <c r="R31554" s="1288"/>
    </row>
    <row r="31555" spans="18:18" s="2" customFormat="1" ht="12.75" x14ac:dyDescent="0.2">
      <c r="R31555" s="1288"/>
    </row>
    <row r="31556" spans="18:18" s="2" customFormat="1" ht="12.75" x14ac:dyDescent="0.2">
      <c r="R31556" s="1288"/>
    </row>
    <row r="31557" spans="18:18" s="2" customFormat="1" ht="12.75" x14ac:dyDescent="0.2">
      <c r="R31557" s="1288"/>
    </row>
    <row r="31558" spans="18:18" s="2" customFormat="1" ht="12.75" x14ac:dyDescent="0.2">
      <c r="R31558" s="1288"/>
    </row>
    <row r="31559" spans="18:18" s="2" customFormat="1" ht="12.75" x14ac:dyDescent="0.2">
      <c r="R31559" s="1288"/>
    </row>
    <row r="31560" spans="18:18" s="2" customFormat="1" ht="12.75" x14ac:dyDescent="0.2">
      <c r="R31560" s="1288"/>
    </row>
    <row r="31561" spans="18:18" s="2" customFormat="1" ht="12.75" x14ac:dyDescent="0.2">
      <c r="R31561" s="1288"/>
    </row>
    <row r="31562" spans="18:18" s="2" customFormat="1" ht="12.75" x14ac:dyDescent="0.2">
      <c r="R31562" s="1288"/>
    </row>
    <row r="31563" spans="18:18" s="2" customFormat="1" ht="12.75" x14ac:dyDescent="0.2">
      <c r="R31563" s="1288"/>
    </row>
    <row r="31564" spans="18:18" s="2" customFormat="1" ht="12.75" x14ac:dyDescent="0.2">
      <c r="R31564" s="1288"/>
    </row>
    <row r="31565" spans="18:18" s="2" customFormat="1" ht="12.75" x14ac:dyDescent="0.2">
      <c r="R31565" s="1288"/>
    </row>
    <row r="31566" spans="18:18" s="2" customFormat="1" ht="12.75" x14ac:dyDescent="0.2">
      <c r="R31566" s="1288"/>
    </row>
    <row r="31567" spans="18:18" s="2" customFormat="1" ht="12.75" x14ac:dyDescent="0.2">
      <c r="R31567" s="1288"/>
    </row>
    <row r="31568" spans="18:18" s="2" customFormat="1" ht="12.75" x14ac:dyDescent="0.2">
      <c r="R31568" s="1288"/>
    </row>
    <row r="31569" spans="18:18" s="2" customFormat="1" ht="12.75" x14ac:dyDescent="0.2">
      <c r="R31569" s="1288"/>
    </row>
    <row r="31570" spans="18:18" s="2" customFormat="1" ht="12.75" x14ac:dyDescent="0.2">
      <c r="R31570" s="1288"/>
    </row>
    <row r="31571" spans="18:18" s="2" customFormat="1" ht="12.75" x14ac:dyDescent="0.2">
      <c r="R31571" s="1288"/>
    </row>
    <row r="31572" spans="18:18" s="2" customFormat="1" ht="12.75" x14ac:dyDescent="0.2">
      <c r="R31572" s="1288"/>
    </row>
    <row r="31573" spans="18:18" s="2" customFormat="1" ht="12.75" x14ac:dyDescent="0.2">
      <c r="R31573" s="1288"/>
    </row>
    <row r="31574" spans="18:18" s="2" customFormat="1" ht="12.75" x14ac:dyDescent="0.2">
      <c r="R31574" s="1288"/>
    </row>
    <row r="31575" spans="18:18" s="2" customFormat="1" ht="12.75" x14ac:dyDescent="0.2">
      <c r="R31575" s="1288"/>
    </row>
    <row r="31576" spans="18:18" s="2" customFormat="1" ht="12.75" x14ac:dyDescent="0.2">
      <c r="R31576" s="1288"/>
    </row>
    <row r="31577" spans="18:18" s="2" customFormat="1" ht="12.75" x14ac:dyDescent="0.2">
      <c r="R31577" s="1288"/>
    </row>
    <row r="31578" spans="18:18" s="2" customFormat="1" ht="12.75" x14ac:dyDescent="0.2">
      <c r="R31578" s="1288"/>
    </row>
    <row r="31579" spans="18:18" s="2" customFormat="1" ht="12.75" x14ac:dyDescent="0.2">
      <c r="R31579" s="1288"/>
    </row>
    <row r="31580" spans="18:18" s="2" customFormat="1" ht="12.75" x14ac:dyDescent="0.2">
      <c r="R31580" s="1288"/>
    </row>
    <row r="31581" spans="18:18" s="2" customFormat="1" ht="12.75" x14ac:dyDescent="0.2">
      <c r="R31581" s="1288"/>
    </row>
    <row r="31582" spans="18:18" s="2" customFormat="1" ht="12.75" x14ac:dyDescent="0.2">
      <c r="R31582" s="1288"/>
    </row>
    <row r="31583" spans="18:18" s="2" customFormat="1" ht="12.75" x14ac:dyDescent="0.2">
      <c r="R31583" s="1288"/>
    </row>
    <row r="31584" spans="18:18" s="2" customFormat="1" ht="12.75" x14ac:dyDescent="0.2">
      <c r="R31584" s="1288"/>
    </row>
    <row r="31585" spans="18:18" s="2" customFormat="1" ht="12.75" x14ac:dyDescent="0.2">
      <c r="R31585" s="1288"/>
    </row>
    <row r="31586" spans="18:18" s="2" customFormat="1" ht="12.75" x14ac:dyDescent="0.2">
      <c r="R31586" s="1288"/>
    </row>
    <row r="31587" spans="18:18" s="2" customFormat="1" ht="12.75" x14ac:dyDescent="0.2">
      <c r="R31587" s="1288"/>
    </row>
    <row r="31588" spans="18:18" s="2" customFormat="1" ht="12.75" x14ac:dyDescent="0.2">
      <c r="R31588" s="1288"/>
    </row>
    <row r="31589" spans="18:18" s="2" customFormat="1" ht="12.75" x14ac:dyDescent="0.2">
      <c r="R31589" s="1288"/>
    </row>
    <row r="31590" spans="18:18" s="2" customFormat="1" ht="12.75" x14ac:dyDescent="0.2">
      <c r="R31590" s="1288"/>
    </row>
    <row r="31591" spans="18:18" s="2" customFormat="1" ht="12.75" x14ac:dyDescent="0.2">
      <c r="R31591" s="1288"/>
    </row>
    <row r="31592" spans="18:18" s="2" customFormat="1" ht="12.75" x14ac:dyDescent="0.2">
      <c r="R31592" s="1288"/>
    </row>
    <row r="31593" spans="18:18" s="2" customFormat="1" ht="12.75" x14ac:dyDescent="0.2">
      <c r="R31593" s="1288"/>
    </row>
    <row r="31594" spans="18:18" s="2" customFormat="1" ht="12.75" x14ac:dyDescent="0.2">
      <c r="R31594" s="1288"/>
    </row>
    <row r="31595" spans="18:18" s="2" customFormat="1" ht="12.75" x14ac:dyDescent="0.2">
      <c r="R31595" s="1288"/>
    </row>
    <row r="31596" spans="18:18" s="2" customFormat="1" ht="12.75" x14ac:dyDescent="0.2">
      <c r="R31596" s="1288"/>
    </row>
    <row r="31597" spans="18:18" s="2" customFormat="1" ht="12.75" x14ac:dyDescent="0.2">
      <c r="R31597" s="1288"/>
    </row>
    <row r="31598" spans="18:18" s="2" customFormat="1" ht="12.75" x14ac:dyDescent="0.2">
      <c r="R31598" s="1288"/>
    </row>
    <row r="31599" spans="18:18" s="2" customFormat="1" ht="12.75" x14ac:dyDescent="0.2">
      <c r="R31599" s="1288"/>
    </row>
    <row r="31600" spans="18:18" s="2" customFormat="1" ht="12.75" x14ac:dyDescent="0.2">
      <c r="R31600" s="1288"/>
    </row>
    <row r="31601" spans="18:18" s="2" customFormat="1" ht="12.75" x14ac:dyDescent="0.2">
      <c r="R31601" s="1288"/>
    </row>
    <row r="31602" spans="18:18" s="2" customFormat="1" ht="12.75" x14ac:dyDescent="0.2">
      <c r="R31602" s="1288"/>
    </row>
    <row r="31603" spans="18:18" s="2" customFormat="1" ht="12.75" x14ac:dyDescent="0.2">
      <c r="R31603" s="1288"/>
    </row>
    <row r="31604" spans="18:18" s="2" customFormat="1" ht="12.75" x14ac:dyDescent="0.2">
      <c r="R31604" s="1288"/>
    </row>
    <row r="31605" spans="18:18" s="2" customFormat="1" ht="12.75" x14ac:dyDescent="0.2">
      <c r="R31605" s="1288"/>
    </row>
    <row r="31606" spans="18:18" s="2" customFormat="1" ht="12.75" x14ac:dyDescent="0.2">
      <c r="R31606" s="1288"/>
    </row>
    <row r="31607" spans="18:18" s="2" customFormat="1" ht="12.75" x14ac:dyDescent="0.2">
      <c r="R31607" s="1288"/>
    </row>
    <row r="31608" spans="18:18" s="2" customFormat="1" ht="12.75" x14ac:dyDescent="0.2">
      <c r="R31608" s="1288"/>
    </row>
    <row r="31609" spans="18:18" s="2" customFormat="1" ht="12.75" x14ac:dyDescent="0.2">
      <c r="R31609" s="1288"/>
    </row>
    <row r="31610" spans="18:18" s="2" customFormat="1" ht="12.75" x14ac:dyDescent="0.2">
      <c r="R31610" s="1288"/>
    </row>
    <row r="31611" spans="18:18" s="2" customFormat="1" ht="12.75" x14ac:dyDescent="0.2">
      <c r="R31611" s="1288"/>
    </row>
    <row r="31612" spans="18:18" s="2" customFormat="1" ht="12.75" x14ac:dyDescent="0.2">
      <c r="R31612" s="1288"/>
    </row>
    <row r="31613" spans="18:18" s="2" customFormat="1" ht="12.75" x14ac:dyDescent="0.2">
      <c r="R31613" s="1288"/>
    </row>
    <row r="31614" spans="18:18" s="2" customFormat="1" ht="12.75" x14ac:dyDescent="0.2">
      <c r="R31614" s="1288"/>
    </row>
    <row r="31615" spans="18:18" s="2" customFormat="1" ht="12.75" x14ac:dyDescent="0.2">
      <c r="R31615" s="1288"/>
    </row>
    <row r="31616" spans="18:18" s="2" customFormat="1" ht="12.75" x14ac:dyDescent="0.2">
      <c r="R31616" s="1288"/>
    </row>
    <row r="31617" spans="18:18" s="2" customFormat="1" ht="12.75" x14ac:dyDescent="0.2">
      <c r="R31617" s="1288"/>
    </row>
    <row r="31618" spans="18:18" s="2" customFormat="1" ht="12.75" x14ac:dyDescent="0.2">
      <c r="R31618" s="1288"/>
    </row>
    <row r="31619" spans="18:18" s="2" customFormat="1" ht="12.75" x14ac:dyDescent="0.2">
      <c r="R31619" s="1288"/>
    </row>
    <row r="31620" spans="18:18" s="2" customFormat="1" ht="12.75" x14ac:dyDescent="0.2">
      <c r="R31620" s="1288"/>
    </row>
    <row r="31621" spans="18:18" s="2" customFormat="1" ht="12.75" x14ac:dyDescent="0.2">
      <c r="R31621" s="1288"/>
    </row>
    <row r="31622" spans="18:18" s="2" customFormat="1" ht="12.75" x14ac:dyDescent="0.2">
      <c r="R31622" s="1288"/>
    </row>
    <row r="31623" spans="18:18" s="2" customFormat="1" ht="12.75" x14ac:dyDescent="0.2">
      <c r="R31623" s="1288"/>
    </row>
    <row r="31624" spans="18:18" s="2" customFormat="1" ht="12.75" x14ac:dyDescent="0.2">
      <c r="R31624" s="1288"/>
    </row>
    <row r="31625" spans="18:18" s="2" customFormat="1" ht="12.75" x14ac:dyDescent="0.2">
      <c r="R31625" s="1288"/>
    </row>
    <row r="31626" spans="18:18" s="2" customFormat="1" ht="12.75" x14ac:dyDescent="0.2">
      <c r="R31626" s="1288"/>
    </row>
    <row r="31627" spans="18:18" s="2" customFormat="1" ht="12.75" x14ac:dyDescent="0.2">
      <c r="R31627" s="1288"/>
    </row>
    <row r="31628" spans="18:18" s="2" customFormat="1" ht="12.75" x14ac:dyDescent="0.2">
      <c r="R31628" s="1288"/>
    </row>
    <row r="31629" spans="18:18" s="2" customFormat="1" ht="12.75" x14ac:dyDescent="0.2">
      <c r="R31629" s="1288"/>
    </row>
    <row r="31630" spans="18:18" s="2" customFormat="1" ht="12.75" x14ac:dyDescent="0.2">
      <c r="R31630" s="1288"/>
    </row>
    <row r="31631" spans="18:18" s="2" customFormat="1" ht="12.75" x14ac:dyDescent="0.2">
      <c r="R31631" s="1288"/>
    </row>
    <row r="31632" spans="18:18" s="2" customFormat="1" ht="12.75" x14ac:dyDescent="0.2">
      <c r="R31632" s="1288"/>
    </row>
    <row r="31633" spans="18:18" s="2" customFormat="1" ht="12.75" x14ac:dyDescent="0.2">
      <c r="R31633" s="1288"/>
    </row>
    <row r="31634" spans="18:18" s="2" customFormat="1" ht="12.75" x14ac:dyDescent="0.2">
      <c r="R31634" s="1288"/>
    </row>
    <row r="31635" spans="18:18" s="2" customFormat="1" ht="12.75" x14ac:dyDescent="0.2">
      <c r="R31635" s="1288"/>
    </row>
    <row r="31636" spans="18:18" s="2" customFormat="1" ht="12.75" x14ac:dyDescent="0.2">
      <c r="R31636" s="1288"/>
    </row>
    <row r="31637" spans="18:18" s="2" customFormat="1" ht="12.75" x14ac:dyDescent="0.2">
      <c r="R31637" s="1288"/>
    </row>
    <row r="31638" spans="18:18" s="2" customFormat="1" ht="12.75" x14ac:dyDescent="0.2">
      <c r="R31638" s="1288"/>
    </row>
    <row r="31639" spans="18:18" s="2" customFormat="1" ht="12.75" x14ac:dyDescent="0.2">
      <c r="R31639" s="1288"/>
    </row>
    <row r="31640" spans="18:18" s="2" customFormat="1" ht="12.75" x14ac:dyDescent="0.2">
      <c r="R31640" s="1288"/>
    </row>
    <row r="31641" spans="18:18" s="2" customFormat="1" ht="12.75" x14ac:dyDescent="0.2">
      <c r="R31641" s="1288"/>
    </row>
    <row r="31642" spans="18:18" s="2" customFormat="1" ht="12.75" x14ac:dyDescent="0.2">
      <c r="R31642" s="1288"/>
    </row>
    <row r="31643" spans="18:18" s="2" customFormat="1" ht="12.75" x14ac:dyDescent="0.2">
      <c r="R31643" s="1288"/>
    </row>
    <row r="31644" spans="18:18" s="2" customFormat="1" ht="12.75" x14ac:dyDescent="0.2">
      <c r="R31644" s="1288"/>
    </row>
    <row r="31645" spans="18:18" s="2" customFormat="1" ht="12.75" x14ac:dyDescent="0.2">
      <c r="R31645" s="1288"/>
    </row>
    <row r="31646" spans="18:18" s="2" customFormat="1" ht="12.75" x14ac:dyDescent="0.2">
      <c r="R31646" s="1288"/>
    </row>
    <row r="31647" spans="18:18" s="2" customFormat="1" ht="12.75" x14ac:dyDescent="0.2">
      <c r="R31647" s="1288"/>
    </row>
    <row r="31648" spans="18:18" s="2" customFormat="1" ht="12.75" x14ac:dyDescent="0.2">
      <c r="R31648" s="1288"/>
    </row>
    <row r="31649" spans="18:18" s="2" customFormat="1" ht="12.75" x14ac:dyDescent="0.2">
      <c r="R31649" s="1288"/>
    </row>
    <row r="31650" spans="18:18" s="2" customFormat="1" ht="12.75" x14ac:dyDescent="0.2">
      <c r="R31650" s="1288"/>
    </row>
    <row r="31651" spans="18:18" s="2" customFormat="1" ht="12.75" x14ac:dyDescent="0.2">
      <c r="R31651" s="1288"/>
    </row>
    <row r="31652" spans="18:18" s="2" customFormat="1" ht="12.75" x14ac:dyDescent="0.2">
      <c r="R31652" s="1288"/>
    </row>
    <row r="31653" spans="18:18" s="2" customFormat="1" ht="12.75" x14ac:dyDescent="0.2">
      <c r="R31653" s="1288"/>
    </row>
    <row r="31654" spans="18:18" s="2" customFormat="1" ht="12.75" x14ac:dyDescent="0.2">
      <c r="R31654" s="1288"/>
    </row>
    <row r="31655" spans="18:18" s="2" customFormat="1" ht="12.75" x14ac:dyDescent="0.2">
      <c r="R31655" s="1288"/>
    </row>
    <row r="31656" spans="18:18" s="2" customFormat="1" ht="12.75" x14ac:dyDescent="0.2">
      <c r="R31656" s="1288"/>
    </row>
    <row r="31657" spans="18:18" s="2" customFormat="1" ht="12.75" x14ac:dyDescent="0.2">
      <c r="R31657" s="1288"/>
    </row>
    <row r="31658" spans="18:18" s="2" customFormat="1" ht="12.75" x14ac:dyDescent="0.2">
      <c r="R31658" s="1288"/>
    </row>
    <row r="31659" spans="18:18" s="2" customFormat="1" ht="12.75" x14ac:dyDescent="0.2">
      <c r="R31659" s="1288"/>
    </row>
    <row r="31660" spans="18:18" s="2" customFormat="1" ht="12.75" x14ac:dyDescent="0.2">
      <c r="R31660" s="1288"/>
    </row>
    <row r="31661" spans="18:18" s="2" customFormat="1" ht="12.75" x14ac:dyDescent="0.2">
      <c r="R31661" s="1288"/>
    </row>
    <row r="31662" spans="18:18" s="2" customFormat="1" ht="12.75" x14ac:dyDescent="0.2">
      <c r="R31662" s="1288"/>
    </row>
    <row r="31663" spans="18:18" s="2" customFormat="1" ht="12.75" x14ac:dyDescent="0.2">
      <c r="R31663" s="1288"/>
    </row>
    <row r="31664" spans="18:18" s="2" customFormat="1" ht="12.75" x14ac:dyDescent="0.2">
      <c r="R31664" s="1288"/>
    </row>
    <row r="31665" spans="18:18" s="2" customFormat="1" ht="12.75" x14ac:dyDescent="0.2">
      <c r="R31665" s="1288"/>
    </row>
    <row r="31666" spans="18:18" s="2" customFormat="1" ht="12.75" x14ac:dyDescent="0.2">
      <c r="R31666" s="1288"/>
    </row>
    <row r="31667" spans="18:18" s="2" customFormat="1" ht="12.75" x14ac:dyDescent="0.2">
      <c r="R31667" s="1288"/>
    </row>
    <row r="31668" spans="18:18" s="2" customFormat="1" ht="12.75" x14ac:dyDescent="0.2">
      <c r="R31668" s="1288"/>
    </row>
    <row r="31669" spans="18:18" s="2" customFormat="1" ht="12.75" x14ac:dyDescent="0.2">
      <c r="R31669" s="1288"/>
    </row>
    <row r="31670" spans="18:18" s="2" customFormat="1" ht="12.75" x14ac:dyDescent="0.2">
      <c r="R31670" s="1288"/>
    </row>
    <row r="31671" spans="18:18" s="2" customFormat="1" ht="12.75" x14ac:dyDescent="0.2">
      <c r="R31671" s="1288"/>
    </row>
    <row r="31672" spans="18:18" s="2" customFormat="1" ht="12.75" x14ac:dyDescent="0.2">
      <c r="R31672" s="1288"/>
    </row>
    <row r="31673" spans="18:18" s="2" customFormat="1" ht="12.75" x14ac:dyDescent="0.2">
      <c r="R31673" s="1288"/>
    </row>
    <row r="31674" spans="18:18" s="2" customFormat="1" ht="12.75" x14ac:dyDescent="0.2">
      <c r="R31674" s="1288"/>
    </row>
    <row r="31675" spans="18:18" s="2" customFormat="1" ht="12.75" x14ac:dyDescent="0.2">
      <c r="R31675" s="1288"/>
    </row>
    <row r="31676" spans="18:18" s="2" customFormat="1" ht="12.75" x14ac:dyDescent="0.2">
      <c r="R31676" s="1288"/>
    </row>
    <row r="31677" spans="18:18" s="2" customFormat="1" ht="12.75" x14ac:dyDescent="0.2">
      <c r="R31677" s="1288"/>
    </row>
    <row r="31678" spans="18:18" s="2" customFormat="1" ht="12.75" x14ac:dyDescent="0.2">
      <c r="R31678" s="1288"/>
    </row>
    <row r="31679" spans="18:18" s="2" customFormat="1" ht="12.75" x14ac:dyDescent="0.2">
      <c r="R31679" s="1288"/>
    </row>
    <row r="31680" spans="18:18" s="2" customFormat="1" ht="12.75" x14ac:dyDescent="0.2">
      <c r="R31680" s="1288"/>
    </row>
    <row r="31681" spans="18:18" s="2" customFormat="1" ht="12.75" x14ac:dyDescent="0.2">
      <c r="R31681" s="1288"/>
    </row>
    <row r="31682" spans="18:18" s="2" customFormat="1" ht="12.75" x14ac:dyDescent="0.2">
      <c r="R31682" s="1288"/>
    </row>
    <row r="31683" spans="18:18" s="2" customFormat="1" ht="12.75" x14ac:dyDescent="0.2">
      <c r="R31683" s="1288"/>
    </row>
    <row r="31684" spans="18:18" s="2" customFormat="1" ht="12.75" x14ac:dyDescent="0.2">
      <c r="R31684" s="1288"/>
    </row>
    <row r="31685" spans="18:18" s="2" customFormat="1" ht="12.75" x14ac:dyDescent="0.2">
      <c r="R31685" s="1288"/>
    </row>
    <row r="31686" spans="18:18" s="2" customFormat="1" ht="12.75" x14ac:dyDescent="0.2">
      <c r="R31686" s="1288"/>
    </row>
    <row r="31687" spans="18:18" s="2" customFormat="1" ht="12.75" x14ac:dyDescent="0.2">
      <c r="R31687" s="1288"/>
    </row>
    <row r="31688" spans="18:18" s="2" customFormat="1" ht="12.75" x14ac:dyDescent="0.2">
      <c r="R31688" s="1288"/>
    </row>
    <row r="31689" spans="18:18" s="2" customFormat="1" ht="12.75" x14ac:dyDescent="0.2">
      <c r="R31689" s="1288"/>
    </row>
    <row r="31690" spans="18:18" s="2" customFormat="1" ht="12.75" x14ac:dyDescent="0.2">
      <c r="R31690" s="1288"/>
    </row>
    <row r="31691" spans="18:18" s="2" customFormat="1" ht="12.75" x14ac:dyDescent="0.2">
      <c r="R31691" s="1288"/>
    </row>
    <row r="31692" spans="18:18" s="2" customFormat="1" ht="12.75" x14ac:dyDescent="0.2">
      <c r="R31692" s="1288"/>
    </row>
    <row r="31693" spans="18:18" s="2" customFormat="1" ht="12.75" x14ac:dyDescent="0.2">
      <c r="R31693" s="1288"/>
    </row>
    <row r="31694" spans="18:18" s="2" customFormat="1" ht="12.75" x14ac:dyDescent="0.2">
      <c r="R31694" s="1288"/>
    </row>
    <row r="31695" spans="18:18" s="2" customFormat="1" ht="12.75" x14ac:dyDescent="0.2">
      <c r="R31695" s="1288"/>
    </row>
    <row r="31696" spans="18:18" s="2" customFormat="1" ht="12.75" x14ac:dyDescent="0.2">
      <c r="R31696" s="1288"/>
    </row>
    <row r="31697" spans="18:18" s="2" customFormat="1" ht="12.75" x14ac:dyDescent="0.2">
      <c r="R31697" s="1288"/>
    </row>
    <row r="31698" spans="18:18" s="2" customFormat="1" ht="12.75" x14ac:dyDescent="0.2">
      <c r="R31698" s="1288"/>
    </row>
    <row r="31699" spans="18:18" s="2" customFormat="1" ht="12.75" x14ac:dyDescent="0.2">
      <c r="R31699" s="1288"/>
    </row>
    <row r="31700" spans="18:18" s="2" customFormat="1" ht="12.75" x14ac:dyDescent="0.2">
      <c r="R31700" s="1288"/>
    </row>
    <row r="31701" spans="18:18" s="2" customFormat="1" ht="12.75" x14ac:dyDescent="0.2">
      <c r="R31701" s="1288"/>
    </row>
    <row r="31702" spans="18:18" s="2" customFormat="1" ht="12.75" x14ac:dyDescent="0.2">
      <c r="R31702" s="1288"/>
    </row>
    <row r="31703" spans="18:18" s="2" customFormat="1" ht="12.75" x14ac:dyDescent="0.2">
      <c r="R31703" s="1288"/>
    </row>
    <row r="31704" spans="18:18" s="2" customFormat="1" ht="12.75" x14ac:dyDescent="0.2">
      <c r="R31704" s="1288"/>
    </row>
    <row r="31705" spans="18:18" s="2" customFormat="1" ht="12.75" x14ac:dyDescent="0.2">
      <c r="R31705" s="1288"/>
    </row>
    <row r="31706" spans="18:18" s="2" customFormat="1" ht="12.75" x14ac:dyDescent="0.2">
      <c r="R31706" s="1288"/>
    </row>
    <row r="31707" spans="18:18" s="2" customFormat="1" ht="12.75" x14ac:dyDescent="0.2">
      <c r="R31707" s="1288"/>
    </row>
    <row r="31708" spans="18:18" s="2" customFormat="1" ht="12.75" x14ac:dyDescent="0.2">
      <c r="R31708" s="1288"/>
    </row>
    <row r="31709" spans="18:18" s="2" customFormat="1" ht="12.75" x14ac:dyDescent="0.2">
      <c r="R31709" s="1288"/>
    </row>
    <row r="31710" spans="18:18" s="2" customFormat="1" ht="12.75" x14ac:dyDescent="0.2">
      <c r="R31710" s="1288"/>
    </row>
    <row r="31711" spans="18:18" s="2" customFormat="1" ht="12.75" x14ac:dyDescent="0.2">
      <c r="R31711" s="1288"/>
    </row>
    <row r="31712" spans="18:18" s="2" customFormat="1" ht="12.75" x14ac:dyDescent="0.2">
      <c r="R31712" s="1288"/>
    </row>
    <row r="31713" spans="18:18" s="2" customFormat="1" ht="12.75" x14ac:dyDescent="0.2">
      <c r="R31713" s="1288"/>
    </row>
    <row r="31714" spans="18:18" s="2" customFormat="1" ht="12.75" x14ac:dyDescent="0.2">
      <c r="R31714" s="1288"/>
    </row>
    <row r="31715" spans="18:18" s="2" customFormat="1" ht="12.75" x14ac:dyDescent="0.2">
      <c r="R31715" s="1288"/>
    </row>
    <row r="31716" spans="18:18" s="2" customFormat="1" ht="12.75" x14ac:dyDescent="0.2">
      <c r="R31716" s="1288"/>
    </row>
    <row r="31717" spans="18:18" s="2" customFormat="1" ht="12.75" x14ac:dyDescent="0.2">
      <c r="R31717" s="1288"/>
    </row>
    <row r="31718" spans="18:18" s="2" customFormat="1" ht="12.75" x14ac:dyDescent="0.2">
      <c r="R31718" s="1288"/>
    </row>
    <row r="31719" spans="18:18" s="2" customFormat="1" ht="12.75" x14ac:dyDescent="0.2">
      <c r="R31719" s="1288"/>
    </row>
    <row r="31720" spans="18:18" s="2" customFormat="1" ht="12.75" x14ac:dyDescent="0.2">
      <c r="R31720" s="1288"/>
    </row>
    <row r="31721" spans="18:18" s="2" customFormat="1" ht="12.75" x14ac:dyDescent="0.2">
      <c r="R31721" s="1288"/>
    </row>
    <row r="31722" spans="18:18" s="2" customFormat="1" ht="12.75" x14ac:dyDescent="0.2">
      <c r="R31722" s="1288"/>
    </row>
    <row r="31723" spans="18:18" s="2" customFormat="1" ht="12.75" x14ac:dyDescent="0.2">
      <c r="R31723" s="1288"/>
    </row>
    <row r="31724" spans="18:18" s="2" customFormat="1" ht="12.75" x14ac:dyDescent="0.2">
      <c r="R31724" s="1288"/>
    </row>
    <row r="31725" spans="18:18" s="2" customFormat="1" ht="12.75" x14ac:dyDescent="0.2">
      <c r="R31725" s="1288"/>
    </row>
    <row r="31726" spans="18:18" s="2" customFormat="1" ht="12.75" x14ac:dyDescent="0.2">
      <c r="R31726" s="1288"/>
    </row>
    <row r="31727" spans="18:18" s="2" customFormat="1" ht="12.75" x14ac:dyDescent="0.2">
      <c r="R31727" s="1288"/>
    </row>
    <row r="31728" spans="18:18" s="2" customFormat="1" ht="12.75" x14ac:dyDescent="0.2">
      <c r="R31728" s="1288"/>
    </row>
    <row r="31729" spans="18:18" s="2" customFormat="1" ht="12.75" x14ac:dyDescent="0.2">
      <c r="R31729" s="1288"/>
    </row>
    <row r="31730" spans="18:18" s="2" customFormat="1" ht="12.75" x14ac:dyDescent="0.2">
      <c r="R31730" s="1288"/>
    </row>
    <row r="31731" spans="18:18" s="2" customFormat="1" ht="12.75" x14ac:dyDescent="0.2">
      <c r="R31731" s="1288"/>
    </row>
    <row r="31732" spans="18:18" s="2" customFormat="1" ht="12.75" x14ac:dyDescent="0.2">
      <c r="R31732" s="1288"/>
    </row>
    <row r="31733" spans="18:18" s="2" customFormat="1" ht="12.75" x14ac:dyDescent="0.2">
      <c r="R31733" s="1288"/>
    </row>
    <row r="31734" spans="18:18" s="2" customFormat="1" ht="12.75" x14ac:dyDescent="0.2">
      <c r="R31734" s="1288"/>
    </row>
    <row r="31735" spans="18:18" s="2" customFormat="1" ht="12.75" x14ac:dyDescent="0.2">
      <c r="R31735" s="1288"/>
    </row>
    <row r="31736" spans="18:18" s="2" customFormat="1" ht="12.75" x14ac:dyDescent="0.2">
      <c r="R31736" s="1288"/>
    </row>
    <row r="31737" spans="18:18" s="2" customFormat="1" ht="12.75" x14ac:dyDescent="0.2">
      <c r="R31737" s="1288"/>
    </row>
    <row r="31738" spans="18:18" s="2" customFormat="1" ht="12.75" x14ac:dyDescent="0.2">
      <c r="R31738" s="1288"/>
    </row>
    <row r="31739" spans="18:18" s="2" customFormat="1" ht="12.75" x14ac:dyDescent="0.2">
      <c r="R31739" s="1288"/>
    </row>
    <row r="31740" spans="18:18" s="2" customFormat="1" ht="12.75" x14ac:dyDescent="0.2">
      <c r="R31740" s="1288"/>
    </row>
    <row r="31741" spans="18:18" s="2" customFormat="1" ht="12.75" x14ac:dyDescent="0.2">
      <c r="R31741" s="1288"/>
    </row>
    <row r="31742" spans="18:18" s="2" customFormat="1" ht="12.75" x14ac:dyDescent="0.2">
      <c r="R31742" s="1288"/>
    </row>
    <row r="31743" spans="18:18" s="2" customFormat="1" ht="12.75" x14ac:dyDescent="0.2">
      <c r="R31743" s="1288"/>
    </row>
    <row r="31744" spans="18:18" s="2" customFormat="1" ht="12.75" x14ac:dyDescent="0.2">
      <c r="R31744" s="1288"/>
    </row>
    <row r="31745" spans="18:18" s="2" customFormat="1" ht="12.75" x14ac:dyDescent="0.2">
      <c r="R31745" s="1288"/>
    </row>
    <row r="31746" spans="18:18" s="2" customFormat="1" ht="12.75" x14ac:dyDescent="0.2">
      <c r="R31746" s="1288"/>
    </row>
    <row r="31747" spans="18:18" s="2" customFormat="1" ht="12.75" x14ac:dyDescent="0.2">
      <c r="R31747" s="1288"/>
    </row>
    <row r="31748" spans="18:18" s="2" customFormat="1" ht="12.75" x14ac:dyDescent="0.2">
      <c r="R31748" s="1288"/>
    </row>
    <row r="31749" spans="18:18" s="2" customFormat="1" ht="12.75" x14ac:dyDescent="0.2">
      <c r="R31749" s="1288"/>
    </row>
    <row r="31750" spans="18:18" s="2" customFormat="1" ht="12.75" x14ac:dyDescent="0.2">
      <c r="R31750" s="1288"/>
    </row>
    <row r="31751" spans="18:18" s="2" customFormat="1" ht="12.75" x14ac:dyDescent="0.2">
      <c r="R31751" s="1288"/>
    </row>
    <row r="31752" spans="18:18" s="2" customFormat="1" ht="12.75" x14ac:dyDescent="0.2">
      <c r="R31752" s="1288"/>
    </row>
    <row r="31753" spans="18:18" s="2" customFormat="1" ht="12.75" x14ac:dyDescent="0.2">
      <c r="R31753" s="1288"/>
    </row>
    <row r="31754" spans="18:18" s="2" customFormat="1" ht="12.75" x14ac:dyDescent="0.2">
      <c r="R31754" s="1288"/>
    </row>
    <row r="31755" spans="18:18" s="2" customFormat="1" ht="12.75" x14ac:dyDescent="0.2">
      <c r="R31755" s="1288"/>
    </row>
    <row r="31756" spans="18:18" s="2" customFormat="1" ht="12.75" x14ac:dyDescent="0.2">
      <c r="R31756" s="1288"/>
    </row>
    <row r="31757" spans="18:18" s="2" customFormat="1" ht="12.75" x14ac:dyDescent="0.2">
      <c r="R31757" s="1288"/>
    </row>
    <row r="31758" spans="18:18" s="2" customFormat="1" ht="12.75" x14ac:dyDescent="0.2">
      <c r="R31758" s="1288"/>
    </row>
    <row r="31759" spans="18:18" s="2" customFormat="1" ht="12.75" x14ac:dyDescent="0.2">
      <c r="R31759" s="1288"/>
    </row>
    <row r="31760" spans="18:18" s="2" customFormat="1" ht="12.75" x14ac:dyDescent="0.2">
      <c r="R31760" s="1288"/>
    </row>
    <row r="31761" spans="18:18" s="2" customFormat="1" ht="12.75" x14ac:dyDescent="0.2">
      <c r="R31761" s="1288"/>
    </row>
    <row r="31762" spans="18:18" s="2" customFormat="1" ht="12.75" x14ac:dyDescent="0.2">
      <c r="R31762" s="1288"/>
    </row>
    <row r="31763" spans="18:18" s="2" customFormat="1" ht="12.75" x14ac:dyDescent="0.2">
      <c r="R31763" s="1288"/>
    </row>
    <row r="31764" spans="18:18" s="2" customFormat="1" ht="12.75" x14ac:dyDescent="0.2">
      <c r="R31764" s="1288"/>
    </row>
    <row r="31765" spans="18:18" s="2" customFormat="1" ht="12.75" x14ac:dyDescent="0.2">
      <c r="R31765" s="1288"/>
    </row>
    <row r="31766" spans="18:18" s="2" customFormat="1" ht="12.75" x14ac:dyDescent="0.2">
      <c r="R31766" s="1288"/>
    </row>
    <row r="31767" spans="18:18" s="2" customFormat="1" ht="12.75" x14ac:dyDescent="0.2">
      <c r="R31767" s="1288"/>
    </row>
    <row r="31768" spans="18:18" s="2" customFormat="1" ht="12.75" x14ac:dyDescent="0.2">
      <c r="R31768" s="1288"/>
    </row>
    <row r="31769" spans="18:18" s="2" customFormat="1" ht="12.75" x14ac:dyDescent="0.2">
      <c r="R31769" s="1288"/>
    </row>
    <row r="31770" spans="18:18" s="2" customFormat="1" ht="12.75" x14ac:dyDescent="0.2">
      <c r="R31770" s="1288"/>
    </row>
    <row r="31771" spans="18:18" s="2" customFormat="1" ht="12.75" x14ac:dyDescent="0.2">
      <c r="R31771" s="1288"/>
    </row>
    <row r="31772" spans="18:18" s="2" customFormat="1" ht="12.75" x14ac:dyDescent="0.2">
      <c r="R31772" s="1288"/>
    </row>
    <row r="31773" spans="18:18" s="2" customFormat="1" ht="12.75" x14ac:dyDescent="0.2">
      <c r="R31773" s="1288"/>
    </row>
    <row r="31774" spans="18:18" s="2" customFormat="1" ht="12.75" x14ac:dyDescent="0.2">
      <c r="R31774" s="1288"/>
    </row>
    <row r="31775" spans="18:18" s="2" customFormat="1" ht="12.75" x14ac:dyDescent="0.2">
      <c r="R31775" s="1288"/>
    </row>
    <row r="31776" spans="18:18" s="2" customFormat="1" ht="12.75" x14ac:dyDescent="0.2">
      <c r="R31776" s="1288"/>
    </row>
    <row r="31777" spans="18:18" s="2" customFormat="1" ht="12.75" x14ac:dyDescent="0.2">
      <c r="R31777" s="1288"/>
    </row>
    <row r="31778" spans="18:18" s="2" customFormat="1" ht="12.75" x14ac:dyDescent="0.2">
      <c r="R31778" s="1288"/>
    </row>
    <row r="31779" spans="18:18" s="2" customFormat="1" ht="12.75" x14ac:dyDescent="0.2">
      <c r="R31779" s="1288"/>
    </row>
    <row r="31780" spans="18:18" s="2" customFormat="1" ht="12.75" x14ac:dyDescent="0.2">
      <c r="R31780" s="1288"/>
    </row>
    <row r="31781" spans="18:18" s="2" customFormat="1" ht="12.75" x14ac:dyDescent="0.2">
      <c r="R31781" s="1288"/>
    </row>
    <row r="31782" spans="18:18" s="2" customFormat="1" ht="12.75" x14ac:dyDescent="0.2">
      <c r="R31782" s="1288"/>
    </row>
    <row r="31783" spans="18:18" s="2" customFormat="1" ht="12.75" x14ac:dyDescent="0.2">
      <c r="R31783" s="1288"/>
    </row>
    <row r="31784" spans="18:18" s="2" customFormat="1" ht="12.75" x14ac:dyDescent="0.2">
      <c r="R31784" s="1288"/>
    </row>
    <row r="31785" spans="18:18" s="2" customFormat="1" ht="12.75" x14ac:dyDescent="0.2">
      <c r="R31785" s="1288"/>
    </row>
    <row r="31786" spans="18:18" s="2" customFormat="1" ht="12.75" x14ac:dyDescent="0.2">
      <c r="R31786" s="1288"/>
    </row>
    <row r="31787" spans="18:18" s="2" customFormat="1" ht="12.75" x14ac:dyDescent="0.2">
      <c r="R31787" s="1288"/>
    </row>
    <row r="31788" spans="18:18" s="2" customFormat="1" ht="12.75" x14ac:dyDescent="0.2">
      <c r="R31788" s="1288"/>
    </row>
    <row r="31789" spans="18:18" s="2" customFormat="1" ht="12.75" x14ac:dyDescent="0.2">
      <c r="R31789" s="1288"/>
    </row>
    <row r="31790" spans="18:18" s="2" customFormat="1" ht="12.75" x14ac:dyDescent="0.2">
      <c r="R31790" s="1288"/>
    </row>
    <row r="31791" spans="18:18" s="2" customFormat="1" ht="12.75" x14ac:dyDescent="0.2">
      <c r="R31791" s="1288"/>
    </row>
    <row r="31792" spans="18:18" s="2" customFormat="1" ht="12.75" x14ac:dyDescent="0.2">
      <c r="R31792" s="1288"/>
    </row>
    <row r="31793" spans="18:18" s="2" customFormat="1" ht="12.75" x14ac:dyDescent="0.2">
      <c r="R31793" s="1288"/>
    </row>
    <row r="31794" spans="18:18" s="2" customFormat="1" ht="12.75" x14ac:dyDescent="0.2">
      <c r="R31794" s="1288"/>
    </row>
    <row r="31795" spans="18:18" s="2" customFormat="1" ht="12.75" x14ac:dyDescent="0.2">
      <c r="R31795" s="1288"/>
    </row>
    <row r="31796" spans="18:18" s="2" customFormat="1" ht="12.75" x14ac:dyDescent="0.2">
      <c r="R31796" s="1288"/>
    </row>
    <row r="31797" spans="18:18" s="2" customFormat="1" ht="12.75" x14ac:dyDescent="0.2">
      <c r="R31797" s="1288"/>
    </row>
    <row r="31798" spans="18:18" s="2" customFormat="1" ht="12.75" x14ac:dyDescent="0.2">
      <c r="R31798" s="1288"/>
    </row>
    <row r="31799" spans="18:18" s="2" customFormat="1" ht="12.75" x14ac:dyDescent="0.2">
      <c r="R31799" s="1288"/>
    </row>
    <row r="31800" spans="18:18" s="2" customFormat="1" ht="12.75" x14ac:dyDescent="0.2">
      <c r="R31800" s="1288"/>
    </row>
    <row r="31801" spans="18:18" s="2" customFormat="1" ht="12.75" x14ac:dyDescent="0.2">
      <c r="R31801" s="1288"/>
    </row>
    <row r="31802" spans="18:18" s="2" customFormat="1" ht="12.75" x14ac:dyDescent="0.2">
      <c r="R31802" s="1288"/>
    </row>
    <row r="31803" spans="18:18" s="2" customFormat="1" ht="12.75" x14ac:dyDescent="0.2">
      <c r="R31803" s="1288"/>
    </row>
    <row r="31804" spans="18:18" s="2" customFormat="1" ht="12.75" x14ac:dyDescent="0.2">
      <c r="R31804" s="1288"/>
    </row>
    <row r="31805" spans="18:18" s="2" customFormat="1" ht="12.75" x14ac:dyDescent="0.2">
      <c r="R31805" s="1288"/>
    </row>
    <row r="31806" spans="18:18" s="2" customFormat="1" ht="12.75" x14ac:dyDescent="0.2">
      <c r="R31806" s="1288"/>
    </row>
    <row r="31807" spans="18:18" s="2" customFormat="1" ht="12.75" x14ac:dyDescent="0.2">
      <c r="R31807" s="1288"/>
    </row>
    <row r="31808" spans="18:18" s="2" customFormat="1" ht="12.75" x14ac:dyDescent="0.2">
      <c r="R31808" s="1288"/>
    </row>
    <row r="31809" spans="18:18" s="2" customFormat="1" ht="12.75" x14ac:dyDescent="0.2">
      <c r="R31809" s="1288"/>
    </row>
    <row r="31810" spans="18:18" s="2" customFormat="1" ht="12.75" x14ac:dyDescent="0.2">
      <c r="R31810" s="1288"/>
    </row>
    <row r="31811" spans="18:18" s="2" customFormat="1" ht="12.75" x14ac:dyDescent="0.2">
      <c r="R31811" s="1288"/>
    </row>
    <row r="31812" spans="18:18" s="2" customFormat="1" ht="12.75" x14ac:dyDescent="0.2">
      <c r="R31812" s="1288"/>
    </row>
    <row r="31813" spans="18:18" s="2" customFormat="1" ht="12.75" x14ac:dyDescent="0.2">
      <c r="R31813" s="1288"/>
    </row>
    <row r="31814" spans="18:18" s="2" customFormat="1" ht="12.75" x14ac:dyDescent="0.2">
      <c r="R31814" s="1288"/>
    </row>
    <row r="31815" spans="18:18" s="2" customFormat="1" ht="12.75" x14ac:dyDescent="0.2">
      <c r="R31815" s="1288"/>
    </row>
    <row r="31816" spans="18:18" s="2" customFormat="1" ht="12.75" x14ac:dyDescent="0.2">
      <c r="R31816" s="1288"/>
    </row>
    <row r="31817" spans="18:18" s="2" customFormat="1" ht="12.75" x14ac:dyDescent="0.2">
      <c r="R31817" s="1288"/>
    </row>
    <row r="31818" spans="18:18" s="2" customFormat="1" ht="12.75" x14ac:dyDescent="0.2">
      <c r="R31818" s="1288"/>
    </row>
    <row r="31819" spans="18:18" s="2" customFormat="1" ht="12.75" x14ac:dyDescent="0.2">
      <c r="R31819" s="1288"/>
    </row>
    <row r="31820" spans="18:18" s="2" customFormat="1" ht="12.75" x14ac:dyDescent="0.2">
      <c r="R31820" s="1288"/>
    </row>
    <row r="31821" spans="18:18" s="2" customFormat="1" ht="12.75" x14ac:dyDescent="0.2">
      <c r="R31821" s="1288"/>
    </row>
    <row r="31822" spans="18:18" s="2" customFormat="1" ht="12.75" x14ac:dyDescent="0.2">
      <c r="R31822" s="1288"/>
    </row>
    <row r="31823" spans="18:18" s="2" customFormat="1" ht="12.75" x14ac:dyDescent="0.2">
      <c r="R31823" s="1288"/>
    </row>
    <row r="31824" spans="18:18" s="2" customFormat="1" ht="12.75" x14ac:dyDescent="0.2">
      <c r="R31824" s="1288"/>
    </row>
    <row r="31825" spans="18:18" s="2" customFormat="1" ht="12.75" x14ac:dyDescent="0.2">
      <c r="R31825" s="1288"/>
    </row>
    <row r="31826" spans="18:18" s="2" customFormat="1" ht="12.75" x14ac:dyDescent="0.2">
      <c r="R31826" s="1288"/>
    </row>
    <row r="31827" spans="18:18" s="2" customFormat="1" ht="12.75" x14ac:dyDescent="0.2">
      <c r="R31827" s="1288"/>
    </row>
    <row r="31828" spans="18:18" s="2" customFormat="1" ht="12.75" x14ac:dyDescent="0.2">
      <c r="R31828" s="1288"/>
    </row>
    <row r="31829" spans="18:18" s="2" customFormat="1" ht="12.75" x14ac:dyDescent="0.2">
      <c r="R31829" s="1288"/>
    </row>
    <row r="31830" spans="18:18" s="2" customFormat="1" ht="12.75" x14ac:dyDescent="0.2">
      <c r="R31830" s="1288"/>
    </row>
    <row r="31831" spans="18:18" s="2" customFormat="1" ht="12.75" x14ac:dyDescent="0.2">
      <c r="R31831" s="1288"/>
    </row>
    <row r="31832" spans="18:18" s="2" customFormat="1" ht="12.75" x14ac:dyDescent="0.2">
      <c r="R31832" s="1288"/>
    </row>
    <row r="31833" spans="18:18" s="2" customFormat="1" ht="12.75" x14ac:dyDescent="0.2">
      <c r="R31833" s="1288"/>
    </row>
    <row r="31834" spans="18:18" s="2" customFormat="1" ht="12.75" x14ac:dyDescent="0.2">
      <c r="R31834" s="1288"/>
    </row>
    <row r="31835" spans="18:18" s="2" customFormat="1" ht="12.75" x14ac:dyDescent="0.2">
      <c r="R31835" s="1288"/>
    </row>
    <row r="31836" spans="18:18" s="2" customFormat="1" ht="12.75" x14ac:dyDescent="0.2">
      <c r="R31836" s="1288"/>
    </row>
    <row r="31837" spans="18:18" s="2" customFormat="1" ht="12.75" x14ac:dyDescent="0.2">
      <c r="R31837" s="1288"/>
    </row>
    <row r="31838" spans="18:18" s="2" customFormat="1" ht="12.75" x14ac:dyDescent="0.2">
      <c r="R31838" s="1288"/>
    </row>
    <row r="31839" spans="18:18" s="2" customFormat="1" ht="12.75" x14ac:dyDescent="0.2">
      <c r="R31839" s="1288"/>
    </row>
    <row r="31840" spans="18:18" s="2" customFormat="1" ht="12.75" x14ac:dyDescent="0.2">
      <c r="R31840" s="1288"/>
    </row>
    <row r="31841" spans="18:18" s="2" customFormat="1" ht="12.75" x14ac:dyDescent="0.2">
      <c r="R31841" s="1288"/>
    </row>
    <row r="31842" spans="18:18" s="2" customFormat="1" ht="12.75" x14ac:dyDescent="0.2">
      <c r="R31842" s="1288"/>
    </row>
    <row r="31843" spans="18:18" s="2" customFormat="1" ht="12.75" x14ac:dyDescent="0.2">
      <c r="R31843" s="1288"/>
    </row>
    <row r="31844" spans="18:18" s="2" customFormat="1" ht="12.75" x14ac:dyDescent="0.2">
      <c r="R31844" s="1288"/>
    </row>
    <row r="31845" spans="18:18" s="2" customFormat="1" ht="12.75" x14ac:dyDescent="0.2">
      <c r="R31845" s="1288"/>
    </row>
    <row r="31846" spans="18:18" s="2" customFormat="1" ht="12.75" x14ac:dyDescent="0.2">
      <c r="R31846" s="1288"/>
    </row>
    <row r="31847" spans="18:18" s="2" customFormat="1" ht="12.75" x14ac:dyDescent="0.2">
      <c r="R31847" s="1288"/>
    </row>
    <row r="31848" spans="18:18" s="2" customFormat="1" ht="12.75" x14ac:dyDescent="0.2">
      <c r="R31848" s="1288"/>
    </row>
    <row r="31849" spans="18:18" s="2" customFormat="1" ht="12.75" x14ac:dyDescent="0.2">
      <c r="R31849" s="1288"/>
    </row>
    <row r="31850" spans="18:18" s="2" customFormat="1" ht="12.75" x14ac:dyDescent="0.2">
      <c r="R31850" s="1288"/>
    </row>
    <row r="31851" spans="18:18" s="2" customFormat="1" ht="12.75" x14ac:dyDescent="0.2">
      <c r="R31851" s="1288"/>
    </row>
    <row r="31852" spans="18:18" s="2" customFormat="1" ht="12.75" x14ac:dyDescent="0.2">
      <c r="R31852" s="1288"/>
    </row>
    <row r="31853" spans="18:18" s="2" customFormat="1" ht="12.75" x14ac:dyDescent="0.2">
      <c r="R31853" s="1288"/>
    </row>
    <row r="31854" spans="18:18" s="2" customFormat="1" ht="12.75" x14ac:dyDescent="0.2">
      <c r="R31854" s="1288"/>
    </row>
    <row r="31855" spans="18:18" s="2" customFormat="1" ht="12.75" x14ac:dyDescent="0.2">
      <c r="R31855" s="1288"/>
    </row>
    <row r="31856" spans="18:18" s="2" customFormat="1" ht="12.75" x14ac:dyDescent="0.2">
      <c r="R31856" s="1288"/>
    </row>
    <row r="31857" spans="18:18" s="2" customFormat="1" ht="12.75" x14ac:dyDescent="0.2">
      <c r="R31857" s="1288"/>
    </row>
    <row r="31858" spans="18:18" s="2" customFormat="1" ht="12.75" x14ac:dyDescent="0.2">
      <c r="R31858" s="1288"/>
    </row>
    <row r="31859" spans="18:18" s="2" customFormat="1" ht="12.75" x14ac:dyDescent="0.2">
      <c r="R31859" s="1288"/>
    </row>
    <row r="31860" spans="18:18" s="2" customFormat="1" ht="12.75" x14ac:dyDescent="0.2">
      <c r="R31860" s="1288"/>
    </row>
    <row r="31861" spans="18:18" s="2" customFormat="1" ht="12.75" x14ac:dyDescent="0.2">
      <c r="R31861" s="1288"/>
    </row>
    <row r="31862" spans="18:18" s="2" customFormat="1" ht="12.75" x14ac:dyDescent="0.2">
      <c r="R31862" s="1288"/>
    </row>
    <row r="31863" spans="18:18" s="2" customFormat="1" ht="12.75" x14ac:dyDescent="0.2">
      <c r="R31863" s="1288"/>
    </row>
    <row r="31864" spans="18:18" s="2" customFormat="1" ht="12.75" x14ac:dyDescent="0.2">
      <c r="R31864" s="1288"/>
    </row>
    <row r="31865" spans="18:18" s="2" customFormat="1" ht="12.75" x14ac:dyDescent="0.2">
      <c r="R31865" s="1288"/>
    </row>
    <row r="31866" spans="18:18" s="2" customFormat="1" ht="12.75" x14ac:dyDescent="0.2">
      <c r="R31866" s="1288"/>
    </row>
    <row r="31867" spans="18:18" s="2" customFormat="1" ht="12.75" x14ac:dyDescent="0.2">
      <c r="R31867" s="1288"/>
    </row>
    <row r="31868" spans="18:18" s="2" customFormat="1" ht="12.75" x14ac:dyDescent="0.2">
      <c r="R31868" s="1288"/>
    </row>
    <row r="31869" spans="18:18" s="2" customFormat="1" ht="12.75" x14ac:dyDescent="0.2">
      <c r="R31869" s="1288"/>
    </row>
    <row r="31870" spans="18:18" s="2" customFormat="1" ht="12.75" x14ac:dyDescent="0.2">
      <c r="R31870" s="1288"/>
    </row>
    <row r="31871" spans="18:18" s="2" customFormat="1" ht="12.75" x14ac:dyDescent="0.2">
      <c r="R31871" s="1288"/>
    </row>
    <row r="31872" spans="18:18" s="2" customFormat="1" ht="12.75" x14ac:dyDescent="0.2">
      <c r="R31872" s="1288"/>
    </row>
    <row r="31873" spans="18:18" s="2" customFormat="1" ht="12.75" x14ac:dyDescent="0.2">
      <c r="R31873" s="1288"/>
    </row>
    <row r="31874" spans="18:18" s="2" customFormat="1" ht="12.75" x14ac:dyDescent="0.2">
      <c r="R31874" s="1288"/>
    </row>
    <row r="31875" spans="18:18" s="2" customFormat="1" ht="12.75" x14ac:dyDescent="0.2">
      <c r="R31875" s="1288"/>
    </row>
    <row r="31876" spans="18:18" s="2" customFormat="1" ht="12.75" x14ac:dyDescent="0.2">
      <c r="R31876" s="1288"/>
    </row>
    <row r="31877" spans="18:18" s="2" customFormat="1" ht="12.75" x14ac:dyDescent="0.2">
      <c r="R31877" s="1288"/>
    </row>
    <row r="31878" spans="18:18" s="2" customFormat="1" ht="12.75" x14ac:dyDescent="0.2">
      <c r="R31878" s="1288"/>
    </row>
    <row r="31879" spans="18:18" s="2" customFormat="1" ht="12.75" x14ac:dyDescent="0.2">
      <c r="R31879" s="1288"/>
    </row>
    <row r="31880" spans="18:18" s="2" customFormat="1" ht="12.75" x14ac:dyDescent="0.2">
      <c r="R31880" s="1288"/>
    </row>
    <row r="31881" spans="18:18" s="2" customFormat="1" ht="12.75" x14ac:dyDescent="0.2">
      <c r="R31881" s="1288"/>
    </row>
    <row r="31882" spans="18:18" s="2" customFormat="1" ht="12.75" x14ac:dyDescent="0.2">
      <c r="R31882" s="1288"/>
    </row>
    <row r="31883" spans="18:18" s="2" customFormat="1" ht="12.75" x14ac:dyDescent="0.2">
      <c r="R31883" s="1288"/>
    </row>
    <row r="31884" spans="18:18" s="2" customFormat="1" ht="12.75" x14ac:dyDescent="0.2">
      <c r="R31884" s="1288"/>
    </row>
    <row r="31885" spans="18:18" s="2" customFormat="1" ht="12.75" x14ac:dyDescent="0.2">
      <c r="R31885" s="1288"/>
    </row>
    <row r="31886" spans="18:18" s="2" customFormat="1" ht="12.75" x14ac:dyDescent="0.2">
      <c r="R31886" s="1288"/>
    </row>
    <row r="31887" spans="18:18" s="2" customFormat="1" ht="12.75" x14ac:dyDescent="0.2">
      <c r="R31887" s="1288"/>
    </row>
    <row r="31888" spans="18:18" s="2" customFormat="1" ht="12.75" x14ac:dyDescent="0.2">
      <c r="R31888" s="1288"/>
    </row>
    <row r="31889" spans="18:18" s="2" customFormat="1" ht="12.75" x14ac:dyDescent="0.2">
      <c r="R31889" s="1288"/>
    </row>
    <row r="31890" spans="18:18" s="2" customFormat="1" ht="12.75" x14ac:dyDescent="0.2">
      <c r="R31890" s="1288"/>
    </row>
    <row r="31891" spans="18:18" s="2" customFormat="1" ht="12.75" x14ac:dyDescent="0.2">
      <c r="R31891" s="1288"/>
    </row>
    <row r="31892" spans="18:18" s="2" customFormat="1" ht="12.75" x14ac:dyDescent="0.2">
      <c r="R31892" s="1288"/>
    </row>
    <row r="31893" spans="18:18" s="2" customFormat="1" ht="12.75" x14ac:dyDescent="0.2">
      <c r="R31893" s="1288"/>
    </row>
    <row r="31894" spans="18:18" s="2" customFormat="1" ht="12.75" x14ac:dyDescent="0.2">
      <c r="R31894" s="1288"/>
    </row>
    <row r="31895" spans="18:18" s="2" customFormat="1" ht="12.75" x14ac:dyDescent="0.2">
      <c r="R31895" s="1288"/>
    </row>
    <row r="31896" spans="18:18" s="2" customFormat="1" ht="12.75" x14ac:dyDescent="0.2">
      <c r="R31896" s="1288"/>
    </row>
    <row r="31897" spans="18:18" s="2" customFormat="1" ht="12.75" x14ac:dyDescent="0.2">
      <c r="R31897" s="1288"/>
    </row>
    <row r="31898" spans="18:18" s="2" customFormat="1" ht="12.75" x14ac:dyDescent="0.2">
      <c r="R31898" s="1288"/>
    </row>
    <row r="31899" spans="18:18" s="2" customFormat="1" ht="12.75" x14ac:dyDescent="0.2">
      <c r="R31899" s="1288"/>
    </row>
    <row r="31900" spans="18:18" s="2" customFormat="1" ht="12.75" x14ac:dyDescent="0.2">
      <c r="R31900" s="1288"/>
    </row>
    <row r="31901" spans="18:18" s="2" customFormat="1" ht="12.75" x14ac:dyDescent="0.2">
      <c r="R31901" s="1288"/>
    </row>
    <row r="31902" spans="18:18" s="2" customFormat="1" ht="12.75" x14ac:dyDescent="0.2">
      <c r="R31902" s="1288"/>
    </row>
    <row r="31903" spans="18:18" s="2" customFormat="1" ht="12.75" x14ac:dyDescent="0.2">
      <c r="R31903" s="1288"/>
    </row>
    <row r="31904" spans="18:18" s="2" customFormat="1" ht="12.75" x14ac:dyDescent="0.2">
      <c r="R31904" s="1288"/>
    </row>
    <row r="31905" spans="18:18" s="2" customFormat="1" ht="12.75" x14ac:dyDescent="0.2">
      <c r="R31905" s="1288"/>
    </row>
    <row r="31906" spans="18:18" s="2" customFormat="1" ht="12.75" x14ac:dyDescent="0.2">
      <c r="R31906" s="1288"/>
    </row>
    <row r="31907" spans="18:18" s="2" customFormat="1" ht="12.75" x14ac:dyDescent="0.2">
      <c r="R31907" s="1288"/>
    </row>
    <row r="31908" spans="18:18" s="2" customFormat="1" ht="12.75" x14ac:dyDescent="0.2">
      <c r="R31908" s="1288"/>
    </row>
    <row r="31909" spans="18:18" s="2" customFormat="1" ht="12.75" x14ac:dyDescent="0.2">
      <c r="R31909" s="1288"/>
    </row>
    <row r="31910" spans="18:18" s="2" customFormat="1" ht="12.75" x14ac:dyDescent="0.2">
      <c r="R31910" s="1288"/>
    </row>
    <row r="31911" spans="18:18" s="2" customFormat="1" ht="12.75" x14ac:dyDescent="0.2">
      <c r="R31911" s="1288"/>
    </row>
    <row r="31912" spans="18:18" s="2" customFormat="1" ht="12.75" x14ac:dyDescent="0.2">
      <c r="R31912" s="1288"/>
    </row>
    <row r="31913" spans="18:18" s="2" customFormat="1" ht="12.75" x14ac:dyDescent="0.2">
      <c r="R31913" s="1288"/>
    </row>
    <row r="31914" spans="18:18" s="2" customFormat="1" ht="12.75" x14ac:dyDescent="0.2">
      <c r="R31914" s="1288"/>
    </row>
    <row r="31915" spans="18:18" s="2" customFormat="1" ht="12.75" x14ac:dyDescent="0.2">
      <c r="R31915" s="1288"/>
    </row>
    <row r="31916" spans="18:18" s="2" customFormat="1" ht="12.75" x14ac:dyDescent="0.2">
      <c r="R31916" s="1288"/>
    </row>
    <row r="31917" spans="18:18" s="2" customFormat="1" ht="12.75" x14ac:dyDescent="0.2">
      <c r="R31917" s="1288"/>
    </row>
    <row r="31918" spans="18:18" s="2" customFormat="1" ht="12.75" x14ac:dyDescent="0.2">
      <c r="R31918" s="1288"/>
    </row>
    <row r="31919" spans="18:18" s="2" customFormat="1" ht="12.75" x14ac:dyDescent="0.2">
      <c r="R31919" s="1288"/>
    </row>
    <row r="31920" spans="18:18" s="2" customFormat="1" ht="12.75" x14ac:dyDescent="0.2">
      <c r="R31920" s="1288"/>
    </row>
    <row r="31921" spans="18:18" s="2" customFormat="1" ht="12.75" x14ac:dyDescent="0.2">
      <c r="R31921" s="1288"/>
    </row>
    <row r="31922" spans="18:18" s="2" customFormat="1" ht="12.75" x14ac:dyDescent="0.2">
      <c r="R31922" s="1288"/>
    </row>
    <row r="31923" spans="18:18" s="2" customFormat="1" ht="12.75" x14ac:dyDescent="0.2">
      <c r="R31923" s="1288"/>
    </row>
    <row r="31924" spans="18:18" s="2" customFormat="1" ht="12.75" x14ac:dyDescent="0.2">
      <c r="R31924" s="1288"/>
    </row>
    <row r="31925" spans="18:18" s="2" customFormat="1" ht="12.75" x14ac:dyDescent="0.2">
      <c r="R31925" s="1288"/>
    </row>
    <row r="31926" spans="18:18" s="2" customFormat="1" ht="12.75" x14ac:dyDescent="0.2">
      <c r="R31926" s="1288"/>
    </row>
    <row r="31927" spans="18:18" s="2" customFormat="1" ht="12.75" x14ac:dyDescent="0.2">
      <c r="R31927" s="1288"/>
    </row>
    <row r="31928" spans="18:18" s="2" customFormat="1" ht="12.75" x14ac:dyDescent="0.2">
      <c r="R31928" s="1288"/>
    </row>
    <row r="31929" spans="18:18" s="2" customFormat="1" ht="12.75" x14ac:dyDescent="0.2">
      <c r="R31929" s="1288"/>
    </row>
    <row r="31930" spans="18:18" s="2" customFormat="1" ht="12.75" x14ac:dyDescent="0.2">
      <c r="R31930" s="1288"/>
    </row>
    <row r="31931" spans="18:18" s="2" customFormat="1" ht="12.75" x14ac:dyDescent="0.2">
      <c r="R31931" s="1288"/>
    </row>
    <row r="31932" spans="18:18" s="2" customFormat="1" ht="12.75" x14ac:dyDescent="0.2">
      <c r="R31932" s="1288"/>
    </row>
    <row r="31933" spans="18:18" s="2" customFormat="1" ht="12.75" x14ac:dyDescent="0.2">
      <c r="R31933" s="1288"/>
    </row>
    <row r="31934" spans="18:18" s="2" customFormat="1" ht="12.75" x14ac:dyDescent="0.2">
      <c r="R31934" s="1288"/>
    </row>
    <row r="31935" spans="18:18" s="2" customFormat="1" ht="12.75" x14ac:dyDescent="0.2">
      <c r="R31935" s="1288"/>
    </row>
    <row r="31936" spans="18:18" s="2" customFormat="1" ht="12.75" x14ac:dyDescent="0.2">
      <c r="R31936" s="1288"/>
    </row>
    <row r="31937" spans="18:18" s="2" customFormat="1" ht="12.75" x14ac:dyDescent="0.2">
      <c r="R31937" s="1288"/>
    </row>
    <row r="31938" spans="18:18" s="2" customFormat="1" ht="12.75" x14ac:dyDescent="0.2">
      <c r="R31938" s="1288"/>
    </row>
    <row r="31939" spans="18:18" s="2" customFormat="1" ht="12.75" x14ac:dyDescent="0.2">
      <c r="R31939" s="1288"/>
    </row>
    <row r="31940" spans="18:18" s="2" customFormat="1" ht="12.75" x14ac:dyDescent="0.2">
      <c r="R31940" s="1288"/>
    </row>
    <row r="31941" spans="18:18" s="2" customFormat="1" ht="12.75" x14ac:dyDescent="0.2">
      <c r="R31941" s="1288"/>
    </row>
    <row r="31942" spans="18:18" s="2" customFormat="1" ht="12.75" x14ac:dyDescent="0.2">
      <c r="R31942" s="1288"/>
    </row>
    <row r="31943" spans="18:18" s="2" customFormat="1" ht="12.75" x14ac:dyDescent="0.2">
      <c r="R31943" s="1288"/>
    </row>
    <row r="31944" spans="18:18" s="2" customFormat="1" ht="12.75" x14ac:dyDescent="0.2">
      <c r="R31944" s="1288"/>
    </row>
    <row r="31945" spans="18:18" s="2" customFormat="1" ht="12.75" x14ac:dyDescent="0.2">
      <c r="R31945" s="1288"/>
    </row>
    <row r="31946" spans="18:18" s="2" customFormat="1" ht="12.75" x14ac:dyDescent="0.2">
      <c r="R31946" s="1288"/>
    </row>
    <row r="31947" spans="18:18" s="2" customFormat="1" ht="12.75" x14ac:dyDescent="0.2">
      <c r="R31947" s="1288"/>
    </row>
    <row r="31948" spans="18:18" s="2" customFormat="1" ht="12.75" x14ac:dyDescent="0.2">
      <c r="R31948" s="1288"/>
    </row>
    <row r="31949" spans="18:18" s="2" customFormat="1" ht="12.75" x14ac:dyDescent="0.2">
      <c r="R31949" s="1288"/>
    </row>
    <row r="31950" spans="18:18" s="2" customFormat="1" ht="12.75" x14ac:dyDescent="0.2">
      <c r="R31950" s="1288"/>
    </row>
    <row r="31951" spans="18:18" s="2" customFormat="1" ht="12.75" x14ac:dyDescent="0.2">
      <c r="R31951" s="1288"/>
    </row>
    <row r="31952" spans="18:18" s="2" customFormat="1" ht="12.75" x14ac:dyDescent="0.2">
      <c r="R31952" s="1288"/>
    </row>
    <row r="31953" spans="18:18" s="2" customFormat="1" ht="12.75" x14ac:dyDescent="0.2">
      <c r="R31953" s="1288"/>
    </row>
    <row r="31954" spans="18:18" s="2" customFormat="1" ht="12.75" x14ac:dyDescent="0.2">
      <c r="R31954" s="1288"/>
    </row>
    <row r="31955" spans="18:18" s="2" customFormat="1" ht="12.75" x14ac:dyDescent="0.2">
      <c r="R31955" s="1288"/>
    </row>
    <row r="31956" spans="18:18" s="2" customFormat="1" ht="12.75" x14ac:dyDescent="0.2">
      <c r="R31956" s="1288"/>
    </row>
    <row r="31957" spans="18:18" s="2" customFormat="1" ht="12.75" x14ac:dyDescent="0.2">
      <c r="R31957" s="1288"/>
    </row>
    <row r="31958" spans="18:18" s="2" customFormat="1" ht="12.75" x14ac:dyDescent="0.2">
      <c r="R31958" s="1288"/>
    </row>
    <row r="31959" spans="18:18" s="2" customFormat="1" ht="12.75" x14ac:dyDescent="0.2">
      <c r="R31959" s="1288"/>
    </row>
    <row r="31960" spans="18:18" s="2" customFormat="1" ht="12.75" x14ac:dyDescent="0.2">
      <c r="R31960" s="1288"/>
    </row>
    <row r="31961" spans="18:18" s="2" customFormat="1" ht="12.75" x14ac:dyDescent="0.2">
      <c r="R31961" s="1288"/>
    </row>
    <row r="31962" spans="18:18" s="2" customFormat="1" ht="12.75" x14ac:dyDescent="0.2">
      <c r="R31962" s="1288"/>
    </row>
    <row r="31963" spans="18:18" s="2" customFormat="1" ht="12.75" x14ac:dyDescent="0.2">
      <c r="R31963" s="1288"/>
    </row>
    <row r="31964" spans="18:18" s="2" customFormat="1" ht="12.75" x14ac:dyDescent="0.2">
      <c r="R31964" s="1288"/>
    </row>
    <row r="31965" spans="18:18" s="2" customFormat="1" ht="12.75" x14ac:dyDescent="0.2">
      <c r="R31965" s="1288"/>
    </row>
    <row r="31966" spans="18:18" s="2" customFormat="1" ht="12.75" x14ac:dyDescent="0.2">
      <c r="R31966" s="1288"/>
    </row>
    <row r="31967" spans="18:18" s="2" customFormat="1" ht="12.75" x14ac:dyDescent="0.2">
      <c r="R31967" s="1288"/>
    </row>
    <row r="31968" spans="18:18" s="2" customFormat="1" ht="12.75" x14ac:dyDescent="0.2">
      <c r="R31968" s="1288"/>
    </row>
    <row r="31969" spans="18:18" s="2" customFormat="1" ht="12.75" x14ac:dyDescent="0.2">
      <c r="R31969" s="1288"/>
    </row>
    <row r="31970" spans="18:18" s="2" customFormat="1" ht="12.75" x14ac:dyDescent="0.2">
      <c r="R31970" s="1288"/>
    </row>
    <row r="31971" spans="18:18" s="2" customFormat="1" ht="12.75" x14ac:dyDescent="0.2">
      <c r="R31971" s="1288"/>
    </row>
    <row r="31972" spans="18:18" s="2" customFormat="1" ht="12.75" x14ac:dyDescent="0.2">
      <c r="R31972" s="1288"/>
    </row>
    <row r="31973" spans="18:18" s="2" customFormat="1" ht="12.75" x14ac:dyDescent="0.2">
      <c r="R31973" s="1288"/>
    </row>
    <row r="31974" spans="18:18" s="2" customFormat="1" ht="12.75" x14ac:dyDescent="0.2">
      <c r="R31974" s="1288"/>
    </row>
    <row r="31975" spans="18:18" s="2" customFormat="1" ht="12.75" x14ac:dyDescent="0.2">
      <c r="R31975" s="1288"/>
    </row>
    <row r="31976" spans="18:18" s="2" customFormat="1" ht="12.75" x14ac:dyDescent="0.2">
      <c r="R31976" s="1288"/>
    </row>
    <row r="31977" spans="18:18" s="2" customFormat="1" ht="12.75" x14ac:dyDescent="0.2">
      <c r="R31977" s="1288"/>
    </row>
    <row r="31978" spans="18:18" s="2" customFormat="1" ht="12.75" x14ac:dyDescent="0.2">
      <c r="R31978" s="1288"/>
    </row>
    <row r="31979" spans="18:18" s="2" customFormat="1" ht="12.75" x14ac:dyDescent="0.2">
      <c r="R31979" s="1288"/>
    </row>
    <row r="31980" spans="18:18" s="2" customFormat="1" ht="12.75" x14ac:dyDescent="0.2">
      <c r="R31980" s="1288"/>
    </row>
    <row r="31981" spans="18:18" s="2" customFormat="1" ht="12.75" x14ac:dyDescent="0.2">
      <c r="R31981" s="1288"/>
    </row>
    <row r="31982" spans="18:18" s="2" customFormat="1" ht="12.75" x14ac:dyDescent="0.2">
      <c r="R31982" s="1288"/>
    </row>
    <row r="31983" spans="18:18" s="2" customFormat="1" ht="12.75" x14ac:dyDescent="0.2">
      <c r="R31983" s="1288"/>
    </row>
    <row r="31984" spans="18:18" s="2" customFormat="1" ht="12.75" x14ac:dyDescent="0.2">
      <c r="R31984" s="1288"/>
    </row>
    <row r="31985" spans="18:18" s="2" customFormat="1" ht="12.75" x14ac:dyDescent="0.2">
      <c r="R31985" s="1288"/>
    </row>
    <row r="31986" spans="18:18" s="2" customFormat="1" ht="12.75" x14ac:dyDescent="0.2">
      <c r="R31986" s="1288"/>
    </row>
    <row r="31987" spans="18:18" s="2" customFormat="1" ht="12.75" x14ac:dyDescent="0.2">
      <c r="R31987" s="1288"/>
    </row>
    <row r="31988" spans="18:18" s="2" customFormat="1" ht="12.75" x14ac:dyDescent="0.2">
      <c r="R31988" s="1288"/>
    </row>
    <row r="31989" spans="18:18" s="2" customFormat="1" ht="12.75" x14ac:dyDescent="0.2">
      <c r="R31989" s="1288"/>
    </row>
    <row r="31990" spans="18:18" s="2" customFormat="1" ht="12.75" x14ac:dyDescent="0.2">
      <c r="R31990" s="1288"/>
    </row>
    <row r="31991" spans="18:18" s="2" customFormat="1" ht="12.75" x14ac:dyDescent="0.2">
      <c r="R31991" s="1288"/>
    </row>
    <row r="31992" spans="18:18" s="2" customFormat="1" ht="12.75" x14ac:dyDescent="0.2">
      <c r="R31992" s="1288"/>
    </row>
    <row r="31993" spans="18:18" s="2" customFormat="1" ht="12.75" x14ac:dyDescent="0.2">
      <c r="R31993" s="1288"/>
    </row>
    <row r="31994" spans="18:18" s="2" customFormat="1" ht="12.75" x14ac:dyDescent="0.2">
      <c r="R31994" s="1288"/>
    </row>
    <row r="31995" spans="18:18" s="2" customFormat="1" ht="12.75" x14ac:dyDescent="0.2">
      <c r="R31995" s="1288"/>
    </row>
    <row r="31996" spans="18:18" s="2" customFormat="1" ht="12.75" x14ac:dyDescent="0.2">
      <c r="R31996" s="1288"/>
    </row>
    <row r="31997" spans="18:18" s="2" customFormat="1" ht="12.75" x14ac:dyDescent="0.2">
      <c r="R31997" s="1288"/>
    </row>
    <row r="31998" spans="18:18" s="2" customFormat="1" ht="12.75" x14ac:dyDescent="0.2">
      <c r="R31998" s="1288"/>
    </row>
    <row r="31999" spans="18:18" s="2" customFormat="1" ht="12.75" x14ac:dyDescent="0.2">
      <c r="R31999" s="1288"/>
    </row>
    <row r="32000" spans="18:18" s="2" customFormat="1" ht="12.75" x14ac:dyDescent="0.2">
      <c r="R32000" s="1288"/>
    </row>
    <row r="32001" spans="18:18" s="2" customFormat="1" ht="12.75" x14ac:dyDescent="0.2">
      <c r="R32001" s="1288"/>
    </row>
    <row r="32002" spans="18:18" s="2" customFormat="1" ht="12.75" x14ac:dyDescent="0.2">
      <c r="R32002" s="1288"/>
    </row>
    <row r="32003" spans="18:18" s="2" customFormat="1" ht="12.75" x14ac:dyDescent="0.2">
      <c r="R32003" s="1288"/>
    </row>
    <row r="32004" spans="18:18" s="2" customFormat="1" ht="12.75" x14ac:dyDescent="0.2">
      <c r="R32004" s="1288"/>
    </row>
    <row r="32005" spans="18:18" s="2" customFormat="1" ht="12.75" x14ac:dyDescent="0.2">
      <c r="R32005" s="1288"/>
    </row>
    <row r="32006" spans="18:18" s="2" customFormat="1" ht="12.75" x14ac:dyDescent="0.2">
      <c r="R32006" s="1288"/>
    </row>
    <row r="32007" spans="18:18" s="2" customFormat="1" ht="12.75" x14ac:dyDescent="0.2">
      <c r="R32007" s="1288"/>
    </row>
    <row r="32008" spans="18:18" s="2" customFormat="1" ht="12.75" x14ac:dyDescent="0.2">
      <c r="R32008" s="1288"/>
    </row>
    <row r="32009" spans="18:18" s="2" customFormat="1" ht="12.75" x14ac:dyDescent="0.2">
      <c r="R32009" s="1288"/>
    </row>
    <row r="32010" spans="18:18" s="2" customFormat="1" ht="12.75" x14ac:dyDescent="0.2">
      <c r="R32010" s="1288"/>
    </row>
    <row r="32011" spans="18:18" s="2" customFormat="1" ht="12.75" x14ac:dyDescent="0.2">
      <c r="R32011" s="1288"/>
    </row>
    <row r="32012" spans="18:18" s="2" customFormat="1" ht="12.75" x14ac:dyDescent="0.2">
      <c r="R32012" s="1288"/>
    </row>
    <row r="32013" spans="18:18" s="2" customFormat="1" ht="12.75" x14ac:dyDescent="0.2">
      <c r="R32013" s="1288"/>
    </row>
    <row r="32014" spans="18:18" s="2" customFormat="1" ht="12.75" x14ac:dyDescent="0.2">
      <c r="R32014" s="1288"/>
    </row>
    <row r="32015" spans="18:18" s="2" customFormat="1" ht="12.75" x14ac:dyDescent="0.2">
      <c r="R32015" s="1288"/>
    </row>
    <row r="32016" spans="18:18" s="2" customFormat="1" ht="12.75" x14ac:dyDescent="0.2">
      <c r="R32016" s="1288"/>
    </row>
    <row r="32017" spans="18:18" s="2" customFormat="1" ht="12.75" x14ac:dyDescent="0.2">
      <c r="R32017" s="1288"/>
    </row>
    <row r="32018" spans="18:18" s="2" customFormat="1" ht="12.75" x14ac:dyDescent="0.2">
      <c r="R32018" s="1288"/>
    </row>
    <row r="32019" spans="18:18" s="2" customFormat="1" ht="12.75" x14ac:dyDescent="0.2">
      <c r="R32019" s="1288"/>
    </row>
    <row r="32020" spans="18:18" s="2" customFormat="1" ht="12.75" x14ac:dyDescent="0.2">
      <c r="R32020" s="1288"/>
    </row>
    <row r="32021" spans="18:18" s="2" customFormat="1" ht="12.75" x14ac:dyDescent="0.2">
      <c r="R32021" s="1288"/>
    </row>
    <row r="32022" spans="18:18" s="2" customFormat="1" ht="12.75" x14ac:dyDescent="0.2">
      <c r="R32022" s="1288"/>
    </row>
    <row r="32023" spans="18:18" s="2" customFormat="1" ht="12.75" x14ac:dyDescent="0.2">
      <c r="R32023" s="1288"/>
    </row>
    <row r="32024" spans="18:18" s="2" customFormat="1" ht="12.75" x14ac:dyDescent="0.2">
      <c r="R32024" s="1288"/>
    </row>
    <row r="32025" spans="18:18" s="2" customFormat="1" ht="12.75" x14ac:dyDescent="0.2">
      <c r="R32025" s="1288"/>
    </row>
    <row r="32026" spans="18:18" s="2" customFormat="1" ht="12.75" x14ac:dyDescent="0.2">
      <c r="R32026" s="1288"/>
    </row>
    <row r="32027" spans="18:18" s="2" customFormat="1" ht="12.75" x14ac:dyDescent="0.2">
      <c r="R32027" s="1288"/>
    </row>
    <row r="32028" spans="18:18" s="2" customFormat="1" ht="12.75" x14ac:dyDescent="0.2">
      <c r="R32028" s="1288"/>
    </row>
    <row r="32029" spans="18:18" s="2" customFormat="1" ht="12.75" x14ac:dyDescent="0.2">
      <c r="R32029" s="1288"/>
    </row>
    <row r="32030" spans="18:18" s="2" customFormat="1" ht="12.75" x14ac:dyDescent="0.2">
      <c r="R32030" s="1288"/>
    </row>
    <row r="32031" spans="18:18" s="2" customFormat="1" ht="12.75" x14ac:dyDescent="0.2">
      <c r="R32031" s="1288"/>
    </row>
    <row r="32032" spans="18:18" s="2" customFormat="1" ht="12.75" x14ac:dyDescent="0.2">
      <c r="R32032" s="1288"/>
    </row>
    <row r="32033" spans="18:18" s="2" customFormat="1" ht="12.75" x14ac:dyDescent="0.2">
      <c r="R32033" s="1288"/>
    </row>
    <row r="32034" spans="18:18" s="2" customFormat="1" ht="12.75" x14ac:dyDescent="0.2">
      <c r="R32034" s="1288"/>
    </row>
    <row r="32035" spans="18:18" s="2" customFormat="1" ht="12.75" x14ac:dyDescent="0.2">
      <c r="R32035" s="1288"/>
    </row>
    <row r="32036" spans="18:18" s="2" customFormat="1" ht="12.75" x14ac:dyDescent="0.2">
      <c r="R32036" s="1288"/>
    </row>
    <row r="32037" spans="18:18" s="2" customFormat="1" ht="12.75" x14ac:dyDescent="0.2">
      <c r="R32037" s="1288"/>
    </row>
    <row r="32038" spans="18:18" s="2" customFormat="1" ht="12.75" x14ac:dyDescent="0.2">
      <c r="R32038" s="1288"/>
    </row>
    <row r="32039" spans="18:18" s="2" customFormat="1" ht="12.75" x14ac:dyDescent="0.2">
      <c r="R32039" s="1288"/>
    </row>
    <row r="32040" spans="18:18" s="2" customFormat="1" ht="12.75" x14ac:dyDescent="0.2">
      <c r="R32040" s="1288"/>
    </row>
    <row r="32041" spans="18:18" s="2" customFormat="1" ht="12.75" x14ac:dyDescent="0.2">
      <c r="R32041" s="1288"/>
    </row>
    <row r="32042" spans="18:18" s="2" customFormat="1" ht="12.75" x14ac:dyDescent="0.2">
      <c r="R32042" s="1288"/>
    </row>
    <row r="32043" spans="18:18" s="2" customFormat="1" ht="12.75" x14ac:dyDescent="0.2">
      <c r="R32043" s="1288"/>
    </row>
    <row r="32044" spans="18:18" s="2" customFormat="1" ht="12.75" x14ac:dyDescent="0.2">
      <c r="R32044" s="1288"/>
    </row>
    <row r="32045" spans="18:18" s="2" customFormat="1" ht="12.75" x14ac:dyDescent="0.2">
      <c r="R32045" s="1288"/>
    </row>
    <row r="32046" spans="18:18" s="2" customFormat="1" ht="12.75" x14ac:dyDescent="0.2">
      <c r="R32046" s="1288"/>
    </row>
    <row r="32047" spans="18:18" s="2" customFormat="1" ht="12.75" x14ac:dyDescent="0.2">
      <c r="R32047" s="1288"/>
    </row>
    <row r="32048" spans="18:18" s="2" customFormat="1" ht="12.75" x14ac:dyDescent="0.2">
      <c r="R32048" s="1288"/>
    </row>
    <row r="32049" spans="18:18" s="2" customFormat="1" ht="12.75" x14ac:dyDescent="0.2">
      <c r="R32049" s="1288"/>
    </row>
    <row r="32050" spans="18:18" s="2" customFormat="1" ht="12.75" x14ac:dyDescent="0.2">
      <c r="R32050" s="1288"/>
    </row>
    <row r="32051" spans="18:18" s="2" customFormat="1" ht="12.75" x14ac:dyDescent="0.2">
      <c r="R32051" s="1288"/>
    </row>
    <row r="32052" spans="18:18" s="2" customFormat="1" ht="12.75" x14ac:dyDescent="0.2">
      <c r="R32052" s="1288"/>
    </row>
    <row r="32053" spans="18:18" s="2" customFormat="1" ht="12.75" x14ac:dyDescent="0.2">
      <c r="R32053" s="1288"/>
    </row>
    <row r="32054" spans="18:18" s="2" customFormat="1" ht="12.75" x14ac:dyDescent="0.2">
      <c r="R32054" s="1288"/>
    </row>
    <row r="32055" spans="18:18" s="2" customFormat="1" ht="12.75" x14ac:dyDescent="0.2">
      <c r="R32055" s="1288"/>
    </row>
    <row r="32056" spans="18:18" s="2" customFormat="1" ht="12.75" x14ac:dyDescent="0.2">
      <c r="R32056" s="1288"/>
    </row>
    <row r="32057" spans="18:18" s="2" customFormat="1" ht="12.75" x14ac:dyDescent="0.2">
      <c r="R32057" s="1288"/>
    </row>
    <row r="32058" spans="18:18" s="2" customFormat="1" ht="12.75" x14ac:dyDescent="0.2">
      <c r="R32058" s="1288"/>
    </row>
    <row r="32059" spans="18:18" s="2" customFormat="1" ht="12.75" x14ac:dyDescent="0.2">
      <c r="R32059" s="1288"/>
    </row>
    <row r="32060" spans="18:18" s="2" customFormat="1" ht="12.75" x14ac:dyDescent="0.2">
      <c r="R32060" s="1288"/>
    </row>
    <row r="32061" spans="18:18" s="2" customFormat="1" ht="12.75" x14ac:dyDescent="0.2">
      <c r="R32061" s="1288"/>
    </row>
    <row r="32062" spans="18:18" s="2" customFormat="1" ht="12.75" x14ac:dyDescent="0.2">
      <c r="R32062" s="1288"/>
    </row>
    <row r="32063" spans="18:18" s="2" customFormat="1" ht="12.75" x14ac:dyDescent="0.2">
      <c r="R32063" s="1288"/>
    </row>
    <row r="32064" spans="18:18" s="2" customFormat="1" ht="12.75" x14ac:dyDescent="0.2">
      <c r="R32064" s="1288"/>
    </row>
    <row r="32065" spans="18:18" s="2" customFormat="1" ht="12.75" x14ac:dyDescent="0.2">
      <c r="R32065" s="1288"/>
    </row>
    <row r="32066" spans="18:18" s="2" customFormat="1" ht="12.75" x14ac:dyDescent="0.2">
      <c r="R32066" s="1288"/>
    </row>
    <row r="32067" spans="18:18" s="2" customFormat="1" ht="12.75" x14ac:dyDescent="0.2">
      <c r="R32067" s="1288"/>
    </row>
    <row r="32068" spans="18:18" s="2" customFormat="1" ht="12.75" x14ac:dyDescent="0.2">
      <c r="R32068" s="1288"/>
    </row>
    <row r="32069" spans="18:18" s="2" customFormat="1" ht="12.75" x14ac:dyDescent="0.2">
      <c r="R32069" s="1288"/>
    </row>
    <row r="32070" spans="18:18" s="2" customFormat="1" ht="12.75" x14ac:dyDescent="0.2">
      <c r="R32070" s="1288"/>
    </row>
    <row r="32071" spans="18:18" s="2" customFormat="1" ht="12.75" x14ac:dyDescent="0.2">
      <c r="R32071" s="1288"/>
    </row>
    <row r="32072" spans="18:18" s="2" customFormat="1" ht="12.75" x14ac:dyDescent="0.2">
      <c r="R32072" s="1288"/>
    </row>
    <row r="32073" spans="18:18" s="2" customFormat="1" ht="12.75" x14ac:dyDescent="0.2">
      <c r="R32073" s="1288"/>
    </row>
    <row r="32074" spans="18:18" s="2" customFormat="1" ht="12.75" x14ac:dyDescent="0.2">
      <c r="R32074" s="1288"/>
    </row>
    <row r="32075" spans="18:18" s="2" customFormat="1" ht="12.75" x14ac:dyDescent="0.2">
      <c r="R32075" s="1288"/>
    </row>
    <row r="32076" spans="18:18" s="2" customFormat="1" ht="12.75" x14ac:dyDescent="0.2">
      <c r="R32076" s="1288"/>
    </row>
    <row r="32077" spans="18:18" s="2" customFormat="1" ht="12.75" x14ac:dyDescent="0.2">
      <c r="R32077" s="1288"/>
    </row>
    <row r="32078" spans="18:18" s="2" customFormat="1" ht="12.75" x14ac:dyDescent="0.2">
      <c r="R32078" s="1288"/>
    </row>
    <row r="32079" spans="18:18" s="2" customFormat="1" ht="12.75" x14ac:dyDescent="0.2">
      <c r="R32079" s="1288"/>
    </row>
    <row r="32080" spans="18:18" s="2" customFormat="1" ht="12.75" x14ac:dyDescent="0.2">
      <c r="R32080" s="1288"/>
    </row>
    <row r="32081" spans="18:18" s="2" customFormat="1" ht="12.75" x14ac:dyDescent="0.2">
      <c r="R32081" s="1288"/>
    </row>
    <row r="32082" spans="18:18" s="2" customFormat="1" ht="12.75" x14ac:dyDescent="0.2">
      <c r="R32082" s="1288"/>
    </row>
    <row r="32083" spans="18:18" s="2" customFormat="1" ht="12.75" x14ac:dyDescent="0.2">
      <c r="R32083" s="1288"/>
    </row>
    <row r="32084" spans="18:18" s="2" customFormat="1" ht="12.75" x14ac:dyDescent="0.2">
      <c r="R32084" s="1288"/>
    </row>
    <row r="32085" spans="18:18" s="2" customFormat="1" ht="12.75" x14ac:dyDescent="0.2">
      <c r="R32085" s="1288"/>
    </row>
    <row r="32086" spans="18:18" s="2" customFormat="1" ht="12.75" x14ac:dyDescent="0.2">
      <c r="R32086" s="1288"/>
    </row>
    <row r="32087" spans="18:18" s="2" customFormat="1" ht="12.75" x14ac:dyDescent="0.2">
      <c r="R32087" s="1288"/>
    </row>
    <row r="32088" spans="18:18" s="2" customFormat="1" ht="12.75" x14ac:dyDescent="0.2">
      <c r="R32088" s="1288"/>
    </row>
    <row r="32089" spans="18:18" s="2" customFormat="1" ht="12.75" x14ac:dyDescent="0.2">
      <c r="R32089" s="1288"/>
    </row>
    <row r="32090" spans="18:18" s="2" customFormat="1" ht="12.75" x14ac:dyDescent="0.2">
      <c r="R32090" s="1288"/>
    </row>
    <row r="32091" spans="18:18" s="2" customFormat="1" ht="12.75" x14ac:dyDescent="0.2">
      <c r="R32091" s="1288"/>
    </row>
    <row r="32092" spans="18:18" s="2" customFormat="1" ht="12.75" x14ac:dyDescent="0.2">
      <c r="R32092" s="1288"/>
    </row>
    <row r="32093" spans="18:18" s="2" customFormat="1" ht="12.75" x14ac:dyDescent="0.2">
      <c r="R32093" s="1288"/>
    </row>
    <row r="32094" spans="18:18" s="2" customFormat="1" ht="12.75" x14ac:dyDescent="0.2">
      <c r="R32094" s="1288"/>
    </row>
    <row r="32095" spans="18:18" s="2" customFormat="1" ht="12.75" x14ac:dyDescent="0.2">
      <c r="R32095" s="1288"/>
    </row>
    <row r="32096" spans="18:18" s="2" customFormat="1" ht="12.75" x14ac:dyDescent="0.2">
      <c r="R32096" s="1288"/>
    </row>
    <row r="32097" spans="18:18" s="2" customFormat="1" ht="12.75" x14ac:dyDescent="0.2">
      <c r="R32097" s="1288"/>
    </row>
    <row r="32098" spans="18:18" s="2" customFormat="1" ht="12.75" x14ac:dyDescent="0.2">
      <c r="R32098" s="1288"/>
    </row>
    <row r="32099" spans="18:18" s="2" customFormat="1" ht="12.75" x14ac:dyDescent="0.2">
      <c r="R32099" s="1288"/>
    </row>
    <row r="32100" spans="18:18" s="2" customFormat="1" ht="12.75" x14ac:dyDescent="0.2">
      <c r="R32100" s="1288"/>
    </row>
    <row r="32101" spans="18:18" s="2" customFormat="1" ht="12.75" x14ac:dyDescent="0.2">
      <c r="R32101" s="1288"/>
    </row>
    <row r="32102" spans="18:18" s="2" customFormat="1" ht="12.75" x14ac:dyDescent="0.2">
      <c r="R32102" s="1288"/>
    </row>
    <row r="32103" spans="18:18" s="2" customFormat="1" ht="12.75" x14ac:dyDescent="0.2">
      <c r="R32103" s="1288"/>
    </row>
    <row r="32104" spans="18:18" s="2" customFormat="1" ht="12.75" x14ac:dyDescent="0.2">
      <c r="R32104" s="1288"/>
    </row>
    <row r="32105" spans="18:18" s="2" customFormat="1" ht="12.75" x14ac:dyDescent="0.2">
      <c r="R32105" s="1288"/>
    </row>
    <row r="32106" spans="18:18" s="2" customFormat="1" ht="12.75" x14ac:dyDescent="0.2">
      <c r="R32106" s="1288"/>
    </row>
    <row r="32107" spans="18:18" s="2" customFormat="1" ht="12.75" x14ac:dyDescent="0.2">
      <c r="R32107" s="1288"/>
    </row>
    <row r="32108" spans="18:18" s="2" customFormat="1" ht="12.75" x14ac:dyDescent="0.2">
      <c r="R32108" s="1288"/>
    </row>
    <row r="32109" spans="18:18" s="2" customFormat="1" ht="12.75" x14ac:dyDescent="0.2">
      <c r="R32109" s="1288"/>
    </row>
    <row r="32110" spans="18:18" s="2" customFormat="1" ht="12.75" x14ac:dyDescent="0.2">
      <c r="R32110" s="1288"/>
    </row>
    <row r="32111" spans="18:18" s="2" customFormat="1" ht="12.75" x14ac:dyDescent="0.2">
      <c r="R32111" s="1288"/>
    </row>
    <row r="32112" spans="18:18" s="2" customFormat="1" ht="12.75" x14ac:dyDescent="0.2">
      <c r="R32112" s="1288"/>
    </row>
    <row r="32113" spans="18:18" s="2" customFormat="1" ht="12.75" x14ac:dyDescent="0.2">
      <c r="R32113" s="1288"/>
    </row>
    <row r="32114" spans="18:18" s="2" customFormat="1" ht="12.75" x14ac:dyDescent="0.2">
      <c r="R32114" s="1288"/>
    </row>
    <row r="32115" spans="18:18" s="2" customFormat="1" ht="12.75" x14ac:dyDescent="0.2">
      <c r="R32115" s="1288"/>
    </row>
    <row r="32116" spans="18:18" s="2" customFormat="1" ht="12.75" x14ac:dyDescent="0.2">
      <c r="R32116" s="1288"/>
    </row>
    <row r="32117" spans="18:18" s="2" customFormat="1" ht="12.75" x14ac:dyDescent="0.2">
      <c r="R32117" s="1288"/>
    </row>
    <row r="32118" spans="18:18" s="2" customFormat="1" ht="12.75" x14ac:dyDescent="0.2">
      <c r="R32118" s="1288"/>
    </row>
    <row r="32119" spans="18:18" s="2" customFormat="1" ht="12.75" x14ac:dyDescent="0.2">
      <c r="R32119" s="1288"/>
    </row>
    <row r="32120" spans="18:18" s="2" customFormat="1" ht="12.75" x14ac:dyDescent="0.2">
      <c r="R32120" s="1288"/>
    </row>
    <row r="32121" spans="18:18" s="2" customFormat="1" ht="12.75" x14ac:dyDescent="0.2">
      <c r="R32121" s="1288"/>
    </row>
    <row r="32122" spans="18:18" s="2" customFormat="1" ht="12.75" x14ac:dyDescent="0.2">
      <c r="R32122" s="1288"/>
    </row>
    <row r="32123" spans="18:18" s="2" customFormat="1" ht="12.75" x14ac:dyDescent="0.2">
      <c r="R32123" s="1288"/>
    </row>
    <row r="32124" spans="18:18" s="2" customFormat="1" ht="12.75" x14ac:dyDescent="0.2">
      <c r="R32124" s="1288"/>
    </row>
    <row r="32125" spans="18:18" s="2" customFormat="1" ht="12.75" x14ac:dyDescent="0.2">
      <c r="R32125" s="1288"/>
    </row>
    <row r="32126" spans="18:18" s="2" customFormat="1" ht="12.75" x14ac:dyDescent="0.2">
      <c r="R32126" s="1288"/>
    </row>
    <row r="32127" spans="18:18" s="2" customFormat="1" ht="12.75" x14ac:dyDescent="0.2">
      <c r="R32127" s="1288"/>
    </row>
    <row r="32128" spans="18:18" s="2" customFormat="1" ht="12.75" x14ac:dyDescent="0.2">
      <c r="R32128" s="1288"/>
    </row>
    <row r="32129" spans="18:18" s="2" customFormat="1" ht="12.75" x14ac:dyDescent="0.2">
      <c r="R32129" s="1288"/>
    </row>
    <row r="32130" spans="18:18" s="2" customFormat="1" ht="12.75" x14ac:dyDescent="0.2">
      <c r="R32130" s="1288"/>
    </row>
    <row r="32131" spans="18:18" s="2" customFormat="1" ht="12.75" x14ac:dyDescent="0.2">
      <c r="R32131" s="1288"/>
    </row>
    <row r="32132" spans="18:18" s="2" customFormat="1" ht="12.75" x14ac:dyDescent="0.2">
      <c r="R32132" s="1288"/>
    </row>
    <row r="32133" spans="18:18" s="2" customFormat="1" ht="12.75" x14ac:dyDescent="0.2">
      <c r="R32133" s="1288"/>
    </row>
    <row r="32134" spans="18:18" s="2" customFormat="1" ht="12.75" x14ac:dyDescent="0.2">
      <c r="R32134" s="1288"/>
    </row>
    <row r="32135" spans="18:18" s="2" customFormat="1" ht="12.75" x14ac:dyDescent="0.2">
      <c r="R32135" s="1288"/>
    </row>
    <row r="32136" spans="18:18" s="2" customFormat="1" ht="12.75" x14ac:dyDescent="0.2">
      <c r="R32136" s="1288"/>
    </row>
    <row r="32137" spans="18:18" s="2" customFormat="1" ht="12.75" x14ac:dyDescent="0.2">
      <c r="R32137" s="1288"/>
    </row>
    <row r="32138" spans="18:18" s="2" customFormat="1" ht="12.75" x14ac:dyDescent="0.2">
      <c r="R32138" s="1288"/>
    </row>
    <row r="32139" spans="18:18" s="2" customFormat="1" ht="12.75" x14ac:dyDescent="0.2">
      <c r="R32139" s="1288"/>
    </row>
    <row r="32140" spans="18:18" s="2" customFormat="1" ht="12.75" x14ac:dyDescent="0.2">
      <c r="R32140" s="1288"/>
    </row>
    <row r="32141" spans="18:18" s="2" customFormat="1" ht="12.75" x14ac:dyDescent="0.2">
      <c r="R32141" s="1288"/>
    </row>
    <row r="32142" spans="18:18" s="2" customFormat="1" ht="12.75" x14ac:dyDescent="0.2">
      <c r="R32142" s="1288"/>
    </row>
    <row r="32143" spans="18:18" s="2" customFormat="1" ht="12.75" x14ac:dyDescent="0.2">
      <c r="R32143" s="1288"/>
    </row>
    <row r="32144" spans="18:18" s="2" customFormat="1" ht="12.75" x14ac:dyDescent="0.2">
      <c r="R32144" s="1288"/>
    </row>
    <row r="32145" spans="18:18" s="2" customFormat="1" ht="12.75" x14ac:dyDescent="0.2">
      <c r="R32145" s="1288"/>
    </row>
    <row r="32146" spans="18:18" s="2" customFormat="1" ht="12.75" x14ac:dyDescent="0.2">
      <c r="R32146" s="1288"/>
    </row>
    <row r="32147" spans="18:18" s="2" customFormat="1" ht="12.75" x14ac:dyDescent="0.2">
      <c r="R32147" s="1288"/>
    </row>
    <row r="32148" spans="18:18" s="2" customFormat="1" ht="12.75" x14ac:dyDescent="0.2">
      <c r="R32148" s="1288"/>
    </row>
    <row r="32149" spans="18:18" s="2" customFormat="1" ht="12.75" x14ac:dyDescent="0.2">
      <c r="R32149" s="1288"/>
    </row>
    <row r="32150" spans="18:18" s="2" customFormat="1" ht="12.75" x14ac:dyDescent="0.2">
      <c r="R32150" s="1288"/>
    </row>
    <row r="32151" spans="18:18" s="2" customFormat="1" ht="12.75" x14ac:dyDescent="0.2">
      <c r="R32151" s="1288"/>
    </row>
    <row r="32152" spans="18:18" s="2" customFormat="1" ht="12.75" x14ac:dyDescent="0.2">
      <c r="R32152" s="1288"/>
    </row>
    <row r="32153" spans="18:18" s="2" customFormat="1" ht="12.75" x14ac:dyDescent="0.2">
      <c r="R32153" s="1288"/>
    </row>
    <row r="32154" spans="18:18" s="2" customFormat="1" ht="12.75" x14ac:dyDescent="0.2">
      <c r="R32154" s="1288"/>
    </row>
    <row r="32155" spans="18:18" s="2" customFormat="1" ht="12.75" x14ac:dyDescent="0.2">
      <c r="R32155" s="1288"/>
    </row>
    <row r="32156" spans="18:18" s="2" customFormat="1" ht="12.75" x14ac:dyDescent="0.2">
      <c r="R32156" s="1288"/>
    </row>
    <row r="32157" spans="18:18" s="2" customFormat="1" ht="12.75" x14ac:dyDescent="0.2">
      <c r="R32157" s="1288"/>
    </row>
    <row r="32158" spans="18:18" s="2" customFormat="1" ht="12.75" x14ac:dyDescent="0.2">
      <c r="R32158" s="1288"/>
    </row>
    <row r="32159" spans="18:18" s="2" customFormat="1" ht="12.75" x14ac:dyDescent="0.2">
      <c r="R32159" s="1288"/>
    </row>
    <row r="32160" spans="18:18" s="2" customFormat="1" ht="12.75" x14ac:dyDescent="0.2">
      <c r="R32160" s="1288"/>
    </row>
    <row r="32161" spans="18:18" s="2" customFormat="1" ht="12.75" x14ac:dyDescent="0.2">
      <c r="R32161" s="1288"/>
    </row>
    <row r="32162" spans="18:18" s="2" customFormat="1" ht="12.75" x14ac:dyDescent="0.2">
      <c r="R32162" s="1288"/>
    </row>
    <row r="32163" spans="18:18" s="2" customFormat="1" ht="12.75" x14ac:dyDescent="0.2">
      <c r="R32163" s="1288"/>
    </row>
    <row r="32164" spans="18:18" s="2" customFormat="1" ht="12.75" x14ac:dyDescent="0.2">
      <c r="R32164" s="1288"/>
    </row>
    <row r="32165" spans="18:18" s="2" customFormat="1" ht="12.75" x14ac:dyDescent="0.2">
      <c r="R32165" s="1288"/>
    </row>
    <row r="32166" spans="18:18" s="2" customFormat="1" ht="12.75" x14ac:dyDescent="0.2">
      <c r="R32166" s="1288"/>
    </row>
    <row r="32167" spans="18:18" s="2" customFormat="1" ht="12.75" x14ac:dyDescent="0.2">
      <c r="R32167" s="1288"/>
    </row>
    <row r="32168" spans="18:18" s="2" customFormat="1" ht="12.75" x14ac:dyDescent="0.2">
      <c r="R32168" s="1288"/>
    </row>
    <row r="32169" spans="18:18" s="2" customFormat="1" ht="12.75" x14ac:dyDescent="0.2">
      <c r="R32169" s="1288"/>
    </row>
    <row r="32170" spans="18:18" s="2" customFormat="1" ht="12.75" x14ac:dyDescent="0.2">
      <c r="R32170" s="1288"/>
    </row>
    <row r="32171" spans="18:18" s="2" customFormat="1" ht="12.75" x14ac:dyDescent="0.2">
      <c r="R32171" s="1288"/>
    </row>
    <row r="32172" spans="18:18" s="2" customFormat="1" ht="12.75" x14ac:dyDescent="0.2">
      <c r="R32172" s="1288"/>
    </row>
    <row r="32173" spans="18:18" s="2" customFormat="1" ht="12.75" x14ac:dyDescent="0.2">
      <c r="R32173" s="1288"/>
    </row>
    <row r="32174" spans="18:18" s="2" customFormat="1" ht="12.75" x14ac:dyDescent="0.2">
      <c r="R32174" s="1288"/>
    </row>
    <row r="32175" spans="18:18" s="2" customFormat="1" ht="12.75" x14ac:dyDescent="0.2">
      <c r="R32175" s="1288"/>
    </row>
    <row r="32176" spans="18:18" s="2" customFormat="1" ht="12.75" x14ac:dyDescent="0.2">
      <c r="R32176" s="1288"/>
    </row>
    <row r="32177" spans="18:18" s="2" customFormat="1" ht="12.75" x14ac:dyDescent="0.2">
      <c r="R32177" s="1288"/>
    </row>
    <row r="32178" spans="18:18" s="2" customFormat="1" ht="12.75" x14ac:dyDescent="0.2">
      <c r="R32178" s="1288"/>
    </row>
    <row r="32179" spans="18:18" s="2" customFormat="1" ht="12.75" x14ac:dyDescent="0.2">
      <c r="R32179" s="1288"/>
    </row>
    <row r="32180" spans="18:18" s="2" customFormat="1" ht="12.75" x14ac:dyDescent="0.2">
      <c r="R32180" s="1288"/>
    </row>
    <row r="32181" spans="18:18" s="2" customFormat="1" ht="12.75" x14ac:dyDescent="0.2">
      <c r="R32181" s="1288"/>
    </row>
    <row r="32182" spans="18:18" s="2" customFormat="1" ht="12.75" x14ac:dyDescent="0.2">
      <c r="R32182" s="1288"/>
    </row>
    <row r="32183" spans="18:18" s="2" customFormat="1" ht="12.75" x14ac:dyDescent="0.2">
      <c r="R32183" s="1288"/>
    </row>
    <row r="32184" spans="18:18" s="2" customFormat="1" ht="12.75" x14ac:dyDescent="0.2">
      <c r="R32184" s="1288"/>
    </row>
    <row r="32185" spans="18:18" s="2" customFormat="1" ht="12.75" x14ac:dyDescent="0.2">
      <c r="R32185" s="1288"/>
    </row>
    <row r="32186" spans="18:18" s="2" customFormat="1" ht="12.75" x14ac:dyDescent="0.2">
      <c r="R32186" s="1288"/>
    </row>
    <row r="32187" spans="18:18" s="2" customFormat="1" ht="12.75" x14ac:dyDescent="0.2">
      <c r="R32187" s="1288"/>
    </row>
    <row r="32188" spans="18:18" s="2" customFormat="1" ht="12.75" x14ac:dyDescent="0.2">
      <c r="R32188" s="1288"/>
    </row>
    <row r="32189" spans="18:18" s="2" customFormat="1" ht="12.75" x14ac:dyDescent="0.2">
      <c r="R32189" s="1288"/>
    </row>
    <row r="32190" spans="18:18" s="2" customFormat="1" ht="12.75" x14ac:dyDescent="0.2">
      <c r="R32190" s="1288"/>
    </row>
    <row r="32191" spans="18:18" s="2" customFormat="1" ht="12.75" x14ac:dyDescent="0.2">
      <c r="R32191" s="1288"/>
    </row>
    <row r="32192" spans="18:18" s="2" customFormat="1" ht="12.75" x14ac:dyDescent="0.2">
      <c r="R32192" s="1288"/>
    </row>
    <row r="32193" spans="18:18" s="2" customFormat="1" ht="12.75" x14ac:dyDescent="0.2">
      <c r="R32193" s="1288"/>
    </row>
    <row r="32194" spans="18:18" s="2" customFormat="1" ht="12.75" x14ac:dyDescent="0.2">
      <c r="R32194" s="1288"/>
    </row>
    <row r="32195" spans="18:18" s="2" customFormat="1" ht="12.75" x14ac:dyDescent="0.2">
      <c r="R32195" s="1288"/>
    </row>
    <row r="32196" spans="18:18" s="2" customFormat="1" ht="12.75" x14ac:dyDescent="0.2">
      <c r="R32196" s="1288"/>
    </row>
    <row r="32197" spans="18:18" s="2" customFormat="1" ht="12.75" x14ac:dyDescent="0.2">
      <c r="R32197" s="1288"/>
    </row>
    <row r="32198" spans="18:18" s="2" customFormat="1" ht="12.75" x14ac:dyDescent="0.2">
      <c r="R32198" s="1288"/>
    </row>
    <row r="32199" spans="18:18" s="2" customFormat="1" ht="12.75" x14ac:dyDescent="0.2">
      <c r="R32199" s="1288"/>
    </row>
    <row r="32200" spans="18:18" s="2" customFormat="1" ht="12.75" x14ac:dyDescent="0.2">
      <c r="R32200" s="1288"/>
    </row>
    <row r="32201" spans="18:18" s="2" customFormat="1" ht="12.75" x14ac:dyDescent="0.2">
      <c r="R32201" s="1288"/>
    </row>
    <row r="32202" spans="18:18" s="2" customFormat="1" ht="12.75" x14ac:dyDescent="0.2">
      <c r="R32202" s="1288"/>
    </row>
    <row r="32203" spans="18:18" s="2" customFormat="1" ht="12.75" x14ac:dyDescent="0.2">
      <c r="R32203" s="1288"/>
    </row>
    <row r="32204" spans="18:18" s="2" customFormat="1" ht="12.75" x14ac:dyDescent="0.2">
      <c r="R32204" s="1288"/>
    </row>
    <row r="32205" spans="18:18" s="2" customFormat="1" ht="12.75" x14ac:dyDescent="0.2">
      <c r="R32205" s="1288"/>
    </row>
    <row r="32206" spans="18:18" s="2" customFormat="1" ht="12.75" x14ac:dyDescent="0.2">
      <c r="R32206" s="1288"/>
    </row>
    <row r="32207" spans="18:18" s="2" customFormat="1" ht="12.75" x14ac:dyDescent="0.2">
      <c r="R32207" s="1288"/>
    </row>
    <row r="32208" spans="18:18" s="2" customFormat="1" ht="12.75" x14ac:dyDescent="0.2">
      <c r="R32208" s="1288"/>
    </row>
    <row r="32209" spans="18:18" s="2" customFormat="1" ht="12.75" x14ac:dyDescent="0.2">
      <c r="R32209" s="1288"/>
    </row>
    <row r="32210" spans="18:18" s="2" customFormat="1" ht="12.75" x14ac:dyDescent="0.2">
      <c r="R32210" s="1288"/>
    </row>
    <row r="32211" spans="18:18" s="2" customFormat="1" ht="12.75" x14ac:dyDescent="0.2">
      <c r="R32211" s="1288"/>
    </row>
    <row r="32212" spans="18:18" s="2" customFormat="1" ht="12.75" x14ac:dyDescent="0.2">
      <c r="R32212" s="1288"/>
    </row>
    <row r="32213" spans="18:18" s="2" customFormat="1" ht="12.75" x14ac:dyDescent="0.2">
      <c r="R32213" s="1288"/>
    </row>
    <row r="32214" spans="18:18" s="2" customFormat="1" ht="12.75" x14ac:dyDescent="0.2">
      <c r="R32214" s="1288"/>
    </row>
    <row r="32215" spans="18:18" s="2" customFormat="1" ht="12.75" x14ac:dyDescent="0.2">
      <c r="R32215" s="1288"/>
    </row>
    <row r="32216" spans="18:18" s="2" customFormat="1" ht="12.75" x14ac:dyDescent="0.2">
      <c r="R32216" s="1288"/>
    </row>
    <row r="32217" spans="18:18" s="2" customFormat="1" ht="12.75" x14ac:dyDescent="0.2">
      <c r="R32217" s="1288"/>
    </row>
    <row r="32218" spans="18:18" s="2" customFormat="1" ht="12.75" x14ac:dyDescent="0.2">
      <c r="R32218" s="1288"/>
    </row>
    <row r="32219" spans="18:18" s="2" customFormat="1" ht="12.75" x14ac:dyDescent="0.2">
      <c r="R32219" s="1288"/>
    </row>
    <row r="32220" spans="18:18" s="2" customFormat="1" ht="12.75" x14ac:dyDescent="0.2">
      <c r="R32220" s="1288"/>
    </row>
    <row r="32221" spans="18:18" s="2" customFormat="1" ht="12.75" x14ac:dyDescent="0.2">
      <c r="R32221" s="1288"/>
    </row>
    <row r="32222" spans="18:18" s="2" customFormat="1" ht="12.75" x14ac:dyDescent="0.2">
      <c r="R32222" s="1288"/>
    </row>
    <row r="32223" spans="18:18" s="2" customFormat="1" ht="12.75" x14ac:dyDescent="0.2">
      <c r="R32223" s="1288"/>
    </row>
    <row r="32224" spans="18:18" s="2" customFormat="1" ht="12.75" x14ac:dyDescent="0.2">
      <c r="R32224" s="1288"/>
    </row>
    <row r="32225" spans="18:18" s="2" customFormat="1" ht="12.75" x14ac:dyDescent="0.2">
      <c r="R32225" s="1288"/>
    </row>
    <row r="32226" spans="18:18" s="2" customFormat="1" ht="12.75" x14ac:dyDescent="0.2">
      <c r="R32226" s="1288"/>
    </row>
    <row r="32227" spans="18:18" s="2" customFormat="1" ht="12.75" x14ac:dyDescent="0.2">
      <c r="R32227" s="1288"/>
    </row>
    <row r="32228" spans="18:18" s="2" customFormat="1" ht="12.75" x14ac:dyDescent="0.2">
      <c r="R32228" s="1288"/>
    </row>
    <row r="32229" spans="18:18" s="2" customFormat="1" ht="12.75" x14ac:dyDescent="0.2">
      <c r="R32229" s="1288"/>
    </row>
    <row r="32230" spans="18:18" s="2" customFormat="1" ht="12.75" x14ac:dyDescent="0.2">
      <c r="R32230" s="1288"/>
    </row>
    <row r="32231" spans="18:18" s="2" customFormat="1" ht="12.75" x14ac:dyDescent="0.2">
      <c r="R32231" s="1288"/>
    </row>
    <row r="32232" spans="18:18" s="2" customFormat="1" ht="12.75" x14ac:dyDescent="0.2">
      <c r="R32232" s="1288"/>
    </row>
    <row r="32233" spans="18:18" s="2" customFormat="1" ht="12.75" x14ac:dyDescent="0.2">
      <c r="R32233" s="1288"/>
    </row>
    <row r="32234" spans="18:18" s="2" customFormat="1" ht="12.75" x14ac:dyDescent="0.2">
      <c r="R32234" s="1288"/>
    </row>
    <row r="32235" spans="18:18" s="2" customFormat="1" ht="12.75" x14ac:dyDescent="0.2">
      <c r="R32235" s="1288"/>
    </row>
    <row r="32236" spans="18:18" s="2" customFormat="1" ht="12.75" x14ac:dyDescent="0.2">
      <c r="R32236" s="1288"/>
    </row>
    <row r="32237" spans="18:18" s="2" customFormat="1" ht="12.75" x14ac:dyDescent="0.2">
      <c r="R32237" s="1288"/>
    </row>
    <row r="32238" spans="18:18" s="2" customFormat="1" ht="12.75" x14ac:dyDescent="0.2">
      <c r="R32238" s="1288"/>
    </row>
    <row r="32239" spans="18:18" s="2" customFormat="1" ht="12.75" x14ac:dyDescent="0.2">
      <c r="R32239" s="1288"/>
    </row>
    <row r="32240" spans="18:18" s="2" customFormat="1" ht="12.75" x14ac:dyDescent="0.2">
      <c r="R32240" s="1288"/>
    </row>
    <row r="32241" spans="18:18" s="2" customFormat="1" ht="12.75" x14ac:dyDescent="0.2">
      <c r="R32241" s="1288"/>
    </row>
    <row r="32242" spans="18:18" s="2" customFormat="1" ht="12.75" x14ac:dyDescent="0.2">
      <c r="R32242" s="1288"/>
    </row>
    <row r="32243" spans="18:18" s="2" customFormat="1" ht="12.75" x14ac:dyDescent="0.2">
      <c r="R32243" s="1288"/>
    </row>
    <row r="32244" spans="18:18" s="2" customFormat="1" ht="12.75" x14ac:dyDescent="0.2">
      <c r="R32244" s="1288"/>
    </row>
    <row r="32245" spans="18:18" s="2" customFormat="1" ht="12.75" x14ac:dyDescent="0.2">
      <c r="R32245" s="1288"/>
    </row>
    <row r="32246" spans="18:18" s="2" customFormat="1" ht="12.75" x14ac:dyDescent="0.2">
      <c r="R32246" s="1288"/>
    </row>
    <row r="32247" spans="18:18" s="2" customFormat="1" ht="12.75" x14ac:dyDescent="0.2">
      <c r="R32247" s="1288"/>
    </row>
    <row r="32248" spans="18:18" s="2" customFormat="1" ht="12.75" x14ac:dyDescent="0.2">
      <c r="R32248" s="1288"/>
    </row>
    <row r="32249" spans="18:18" s="2" customFormat="1" ht="12.75" x14ac:dyDescent="0.2">
      <c r="R32249" s="1288"/>
    </row>
    <row r="32250" spans="18:18" s="2" customFormat="1" ht="12.75" x14ac:dyDescent="0.2">
      <c r="R32250" s="1288"/>
    </row>
    <row r="32251" spans="18:18" s="2" customFormat="1" ht="12.75" x14ac:dyDescent="0.2">
      <c r="R32251" s="1288"/>
    </row>
    <row r="32252" spans="18:18" s="2" customFormat="1" ht="12.75" x14ac:dyDescent="0.2">
      <c r="R32252" s="1288"/>
    </row>
    <row r="32253" spans="18:18" s="2" customFormat="1" ht="12.75" x14ac:dyDescent="0.2">
      <c r="R32253" s="1288"/>
    </row>
    <row r="32254" spans="18:18" s="2" customFormat="1" ht="12.75" x14ac:dyDescent="0.2">
      <c r="R32254" s="1288"/>
    </row>
    <row r="32255" spans="18:18" s="2" customFormat="1" ht="12.75" x14ac:dyDescent="0.2">
      <c r="R32255" s="1288"/>
    </row>
    <row r="32256" spans="18:18" s="2" customFormat="1" ht="12.75" x14ac:dyDescent="0.2">
      <c r="R32256" s="1288"/>
    </row>
    <row r="32257" spans="18:18" s="2" customFormat="1" ht="12.75" x14ac:dyDescent="0.2">
      <c r="R32257" s="1288"/>
    </row>
    <row r="32258" spans="18:18" s="2" customFormat="1" ht="12.75" x14ac:dyDescent="0.2">
      <c r="R32258" s="1288"/>
    </row>
    <row r="32259" spans="18:18" s="2" customFormat="1" ht="12.75" x14ac:dyDescent="0.2">
      <c r="R32259" s="1288"/>
    </row>
    <row r="32260" spans="18:18" s="2" customFormat="1" ht="12.75" x14ac:dyDescent="0.2">
      <c r="R32260" s="1288"/>
    </row>
    <row r="32261" spans="18:18" s="2" customFormat="1" ht="12.75" x14ac:dyDescent="0.2">
      <c r="R32261" s="1288"/>
    </row>
    <row r="32262" spans="18:18" s="2" customFormat="1" ht="12.75" x14ac:dyDescent="0.2">
      <c r="R32262" s="1288"/>
    </row>
    <row r="32263" spans="18:18" s="2" customFormat="1" ht="12.75" x14ac:dyDescent="0.2">
      <c r="R32263" s="1288"/>
    </row>
    <row r="32264" spans="18:18" s="2" customFormat="1" ht="12.75" x14ac:dyDescent="0.2">
      <c r="R32264" s="1288"/>
    </row>
    <row r="32265" spans="18:18" s="2" customFormat="1" ht="12.75" x14ac:dyDescent="0.2">
      <c r="R32265" s="1288"/>
    </row>
    <row r="32266" spans="18:18" s="2" customFormat="1" ht="12.75" x14ac:dyDescent="0.2">
      <c r="R32266" s="1288"/>
    </row>
    <row r="32267" spans="18:18" s="2" customFormat="1" ht="12.75" x14ac:dyDescent="0.2">
      <c r="R32267" s="1288"/>
    </row>
    <row r="32268" spans="18:18" s="2" customFormat="1" ht="12.75" x14ac:dyDescent="0.2">
      <c r="R32268" s="1288"/>
    </row>
    <row r="32269" spans="18:18" s="2" customFormat="1" ht="12.75" x14ac:dyDescent="0.2">
      <c r="R32269" s="1288"/>
    </row>
    <row r="32270" spans="18:18" s="2" customFormat="1" ht="12.75" x14ac:dyDescent="0.2">
      <c r="R32270" s="1288"/>
    </row>
    <row r="32271" spans="18:18" s="2" customFormat="1" ht="12.75" x14ac:dyDescent="0.2">
      <c r="R32271" s="1288"/>
    </row>
    <row r="32272" spans="18:18" s="2" customFormat="1" ht="12.75" x14ac:dyDescent="0.2">
      <c r="R32272" s="1288"/>
    </row>
    <row r="32273" spans="18:18" s="2" customFormat="1" ht="12.75" x14ac:dyDescent="0.2">
      <c r="R32273" s="1288"/>
    </row>
    <row r="32274" spans="18:18" s="2" customFormat="1" ht="12.75" x14ac:dyDescent="0.2">
      <c r="R32274" s="1288"/>
    </row>
    <row r="32275" spans="18:18" s="2" customFormat="1" ht="12.75" x14ac:dyDescent="0.2">
      <c r="R32275" s="1288"/>
    </row>
    <row r="32276" spans="18:18" s="2" customFormat="1" ht="12.75" x14ac:dyDescent="0.2">
      <c r="R32276" s="1288"/>
    </row>
    <row r="32277" spans="18:18" s="2" customFormat="1" ht="12.75" x14ac:dyDescent="0.2">
      <c r="R32277" s="1288"/>
    </row>
    <row r="32278" spans="18:18" s="2" customFormat="1" ht="12.75" x14ac:dyDescent="0.2">
      <c r="R32278" s="1288"/>
    </row>
    <row r="32279" spans="18:18" s="2" customFormat="1" ht="12.75" x14ac:dyDescent="0.2">
      <c r="R32279" s="1288"/>
    </row>
    <row r="32280" spans="18:18" s="2" customFormat="1" ht="12.75" x14ac:dyDescent="0.2">
      <c r="R32280" s="1288"/>
    </row>
    <row r="32281" spans="18:18" s="2" customFormat="1" ht="12.75" x14ac:dyDescent="0.2">
      <c r="R32281" s="1288"/>
    </row>
    <row r="32282" spans="18:18" s="2" customFormat="1" ht="12.75" x14ac:dyDescent="0.2">
      <c r="R32282" s="1288"/>
    </row>
    <row r="32283" spans="18:18" s="2" customFormat="1" ht="12.75" x14ac:dyDescent="0.2">
      <c r="R32283" s="1288"/>
    </row>
    <row r="32284" spans="18:18" s="2" customFormat="1" ht="12.75" x14ac:dyDescent="0.2">
      <c r="R32284" s="1288"/>
    </row>
    <row r="32285" spans="18:18" s="2" customFormat="1" ht="12.75" x14ac:dyDescent="0.2">
      <c r="R32285" s="1288"/>
    </row>
    <row r="32286" spans="18:18" s="2" customFormat="1" ht="12.75" x14ac:dyDescent="0.2">
      <c r="R32286" s="1288"/>
    </row>
    <row r="32287" spans="18:18" s="2" customFormat="1" ht="12.75" x14ac:dyDescent="0.2">
      <c r="R32287" s="1288"/>
    </row>
    <row r="32288" spans="18:18" s="2" customFormat="1" ht="12.75" x14ac:dyDescent="0.2">
      <c r="R32288" s="1288"/>
    </row>
    <row r="32289" spans="18:18" s="2" customFormat="1" ht="12.75" x14ac:dyDescent="0.2">
      <c r="R32289" s="1288"/>
    </row>
    <row r="32290" spans="18:18" s="2" customFormat="1" ht="12.75" x14ac:dyDescent="0.2">
      <c r="R32290" s="1288"/>
    </row>
    <row r="32291" spans="18:18" s="2" customFormat="1" ht="12.75" x14ac:dyDescent="0.2">
      <c r="R32291" s="1288"/>
    </row>
    <row r="32292" spans="18:18" s="2" customFormat="1" ht="12.75" x14ac:dyDescent="0.2">
      <c r="R32292" s="1288"/>
    </row>
    <row r="32293" spans="18:18" s="2" customFormat="1" ht="12.75" x14ac:dyDescent="0.2">
      <c r="R32293" s="1288"/>
    </row>
    <row r="32294" spans="18:18" s="2" customFormat="1" ht="12.75" x14ac:dyDescent="0.2">
      <c r="R32294" s="1288"/>
    </row>
    <row r="32295" spans="18:18" s="2" customFormat="1" ht="12.75" x14ac:dyDescent="0.2">
      <c r="R32295" s="1288"/>
    </row>
    <row r="32296" spans="18:18" s="2" customFormat="1" ht="12.75" x14ac:dyDescent="0.2">
      <c r="R32296" s="1288"/>
    </row>
    <row r="32297" spans="18:18" s="2" customFormat="1" ht="12.75" x14ac:dyDescent="0.2">
      <c r="R32297" s="1288"/>
    </row>
    <row r="32298" spans="18:18" s="2" customFormat="1" ht="12.75" x14ac:dyDescent="0.2">
      <c r="R32298" s="1288"/>
    </row>
    <row r="32299" spans="18:18" s="2" customFormat="1" ht="12.75" x14ac:dyDescent="0.2">
      <c r="R32299" s="1288"/>
    </row>
    <row r="32300" spans="18:18" s="2" customFormat="1" ht="12.75" x14ac:dyDescent="0.2">
      <c r="R32300" s="1288"/>
    </row>
    <row r="32301" spans="18:18" s="2" customFormat="1" ht="12.75" x14ac:dyDescent="0.2">
      <c r="R32301" s="1288"/>
    </row>
    <row r="32302" spans="18:18" s="2" customFormat="1" ht="12.75" x14ac:dyDescent="0.2">
      <c r="R32302" s="1288"/>
    </row>
    <row r="32303" spans="18:18" s="2" customFormat="1" ht="12.75" x14ac:dyDescent="0.2">
      <c r="R32303" s="1288"/>
    </row>
    <row r="32304" spans="18:18" s="2" customFormat="1" ht="12.75" x14ac:dyDescent="0.2">
      <c r="R32304" s="1288"/>
    </row>
    <row r="32305" spans="18:18" s="2" customFormat="1" ht="12.75" x14ac:dyDescent="0.2">
      <c r="R32305" s="1288"/>
    </row>
    <row r="32306" spans="18:18" s="2" customFormat="1" ht="12.75" x14ac:dyDescent="0.2">
      <c r="R32306" s="1288"/>
    </row>
    <row r="32307" spans="18:18" s="2" customFormat="1" ht="12.75" x14ac:dyDescent="0.2">
      <c r="R32307" s="1288"/>
    </row>
    <row r="32308" spans="18:18" s="2" customFormat="1" ht="12.75" x14ac:dyDescent="0.2">
      <c r="R32308" s="1288"/>
    </row>
    <row r="32309" spans="18:18" s="2" customFormat="1" ht="12.75" x14ac:dyDescent="0.2">
      <c r="R32309" s="1288"/>
    </row>
    <row r="32310" spans="18:18" s="2" customFormat="1" ht="12.75" x14ac:dyDescent="0.2">
      <c r="R32310" s="1288"/>
    </row>
    <row r="32311" spans="18:18" s="2" customFormat="1" ht="12.75" x14ac:dyDescent="0.2">
      <c r="R32311" s="1288"/>
    </row>
    <row r="32312" spans="18:18" s="2" customFormat="1" ht="12.75" x14ac:dyDescent="0.2">
      <c r="R32312" s="1288"/>
    </row>
    <row r="32313" spans="18:18" s="2" customFormat="1" ht="12.75" x14ac:dyDescent="0.2">
      <c r="R32313" s="1288"/>
    </row>
    <row r="32314" spans="18:18" s="2" customFormat="1" ht="12.75" x14ac:dyDescent="0.2">
      <c r="R32314" s="1288"/>
    </row>
    <row r="32315" spans="18:18" s="2" customFormat="1" ht="12.75" x14ac:dyDescent="0.2">
      <c r="R32315" s="1288"/>
    </row>
    <row r="32316" spans="18:18" s="2" customFormat="1" ht="12.75" x14ac:dyDescent="0.2">
      <c r="R32316" s="1288"/>
    </row>
    <row r="32317" spans="18:18" s="2" customFormat="1" ht="12.75" x14ac:dyDescent="0.2">
      <c r="R32317" s="1288"/>
    </row>
    <row r="32318" spans="18:18" s="2" customFormat="1" ht="12.75" x14ac:dyDescent="0.2">
      <c r="R32318" s="1288"/>
    </row>
    <row r="32319" spans="18:18" s="2" customFormat="1" ht="12.75" x14ac:dyDescent="0.2">
      <c r="R32319" s="1288"/>
    </row>
    <row r="32320" spans="18:18" s="2" customFormat="1" ht="12.75" x14ac:dyDescent="0.2">
      <c r="R32320" s="1288"/>
    </row>
    <row r="32321" spans="18:18" s="2" customFormat="1" ht="12.75" x14ac:dyDescent="0.2">
      <c r="R32321" s="1288"/>
    </row>
    <row r="32322" spans="18:18" s="2" customFormat="1" ht="12.75" x14ac:dyDescent="0.2">
      <c r="R32322" s="1288"/>
    </row>
    <row r="32323" spans="18:18" s="2" customFormat="1" ht="12.75" x14ac:dyDescent="0.2">
      <c r="R32323" s="1288"/>
    </row>
    <row r="32324" spans="18:18" s="2" customFormat="1" ht="12.75" x14ac:dyDescent="0.2">
      <c r="R32324" s="1288"/>
    </row>
    <row r="32325" spans="18:18" s="2" customFormat="1" ht="12.75" x14ac:dyDescent="0.2">
      <c r="R32325" s="1288"/>
    </row>
    <row r="32326" spans="18:18" s="2" customFormat="1" ht="12.75" x14ac:dyDescent="0.2">
      <c r="R32326" s="1288"/>
    </row>
    <row r="32327" spans="18:18" s="2" customFormat="1" ht="12.75" x14ac:dyDescent="0.2">
      <c r="R32327" s="1288"/>
    </row>
    <row r="32328" spans="18:18" s="2" customFormat="1" ht="12.75" x14ac:dyDescent="0.2">
      <c r="R32328" s="1288"/>
    </row>
    <row r="32329" spans="18:18" s="2" customFormat="1" ht="12.75" x14ac:dyDescent="0.2">
      <c r="R32329" s="1288"/>
    </row>
    <row r="32330" spans="18:18" s="2" customFormat="1" ht="12.75" x14ac:dyDescent="0.2">
      <c r="R32330" s="1288"/>
    </row>
    <row r="32331" spans="18:18" s="2" customFormat="1" ht="12.75" x14ac:dyDescent="0.2">
      <c r="R32331" s="1288"/>
    </row>
    <row r="32332" spans="18:18" s="2" customFormat="1" ht="12.75" x14ac:dyDescent="0.2">
      <c r="R32332" s="1288"/>
    </row>
    <row r="32333" spans="18:18" s="2" customFormat="1" ht="12.75" x14ac:dyDescent="0.2">
      <c r="R32333" s="1288"/>
    </row>
    <row r="32334" spans="18:18" s="2" customFormat="1" ht="12.75" x14ac:dyDescent="0.2">
      <c r="R32334" s="1288"/>
    </row>
    <row r="32335" spans="18:18" s="2" customFormat="1" ht="12.75" x14ac:dyDescent="0.2">
      <c r="R32335" s="1288"/>
    </row>
    <row r="32336" spans="18:18" s="2" customFormat="1" ht="12.75" x14ac:dyDescent="0.2">
      <c r="R32336" s="1288"/>
    </row>
    <row r="32337" spans="18:18" s="2" customFormat="1" ht="12.75" x14ac:dyDescent="0.2">
      <c r="R32337" s="1288"/>
    </row>
    <row r="32338" spans="18:18" s="2" customFormat="1" ht="12.75" x14ac:dyDescent="0.2">
      <c r="R32338" s="1288"/>
    </row>
    <row r="32339" spans="18:18" s="2" customFormat="1" ht="12.75" x14ac:dyDescent="0.2">
      <c r="R32339" s="1288"/>
    </row>
    <row r="32340" spans="18:18" s="2" customFormat="1" ht="12.75" x14ac:dyDescent="0.2">
      <c r="R32340" s="1288"/>
    </row>
    <row r="32341" spans="18:18" s="2" customFormat="1" ht="12.75" x14ac:dyDescent="0.2">
      <c r="R32341" s="1288"/>
    </row>
    <row r="32342" spans="18:18" s="2" customFormat="1" ht="12.75" x14ac:dyDescent="0.2">
      <c r="R32342" s="1288"/>
    </row>
    <row r="32343" spans="18:18" s="2" customFormat="1" ht="12.75" x14ac:dyDescent="0.2">
      <c r="R32343" s="1288"/>
    </row>
    <row r="32344" spans="18:18" s="2" customFormat="1" ht="12.75" x14ac:dyDescent="0.2">
      <c r="R32344" s="1288"/>
    </row>
    <row r="32345" spans="18:18" s="2" customFormat="1" ht="12.75" x14ac:dyDescent="0.2">
      <c r="R32345" s="1288"/>
    </row>
    <row r="32346" spans="18:18" s="2" customFormat="1" ht="12.75" x14ac:dyDescent="0.2">
      <c r="R32346" s="1288"/>
    </row>
    <row r="32347" spans="18:18" s="2" customFormat="1" ht="12.75" x14ac:dyDescent="0.2">
      <c r="R32347" s="1288"/>
    </row>
    <row r="32348" spans="18:18" s="2" customFormat="1" ht="12.75" x14ac:dyDescent="0.2">
      <c r="R32348" s="1288"/>
    </row>
    <row r="32349" spans="18:18" s="2" customFormat="1" ht="12.75" x14ac:dyDescent="0.2">
      <c r="R32349" s="1288"/>
    </row>
    <row r="32350" spans="18:18" s="2" customFormat="1" ht="12.75" x14ac:dyDescent="0.2">
      <c r="R32350" s="1288"/>
    </row>
    <row r="32351" spans="18:18" s="2" customFormat="1" ht="12.75" x14ac:dyDescent="0.2">
      <c r="R32351" s="1288"/>
    </row>
    <row r="32352" spans="18:18" s="2" customFormat="1" ht="12.75" x14ac:dyDescent="0.2">
      <c r="R32352" s="1288"/>
    </row>
    <row r="32353" spans="18:18" s="2" customFormat="1" ht="12.75" x14ac:dyDescent="0.2">
      <c r="R32353" s="1288"/>
    </row>
    <row r="32354" spans="18:18" s="2" customFormat="1" ht="12.75" x14ac:dyDescent="0.2">
      <c r="R32354" s="1288"/>
    </row>
    <row r="32355" spans="18:18" s="2" customFormat="1" ht="12.75" x14ac:dyDescent="0.2">
      <c r="R32355" s="1288"/>
    </row>
    <row r="32356" spans="18:18" s="2" customFormat="1" ht="12.75" x14ac:dyDescent="0.2">
      <c r="R32356" s="1288"/>
    </row>
    <row r="32357" spans="18:18" s="2" customFormat="1" ht="12.75" x14ac:dyDescent="0.2">
      <c r="R32357" s="1288"/>
    </row>
    <row r="32358" spans="18:18" s="2" customFormat="1" ht="12.75" x14ac:dyDescent="0.2">
      <c r="R32358" s="1288"/>
    </row>
    <row r="32359" spans="18:18" s="2" customFormat="1" ht="12.75" x14ac:dyDescent="0.2">
      <c r="R32359" s="1288"/>
    </row>
    <row r="32360" spans="18:18" s="2" customFormat="1" ht="12.75" x14ac:dyDescent="0.2">
      <c r="R32360" s="1288"/>
    </row>
    <row r="32361" spans="18:18" s="2" customFormat="1" ht="12.75" x14ac:dyDescent="0.2">
      <c r="R32361" s="1288"/>
    </row>
    <row r="32362" spans="18:18" s="2" customFormat="1" ht="12.75" x14ac:dyDescent="0.2">
      <c r="R32362" s="1288"/>
    </row>
    <row r="32363" spans="18:18" s="2" customFormat="1" ht="12.75" x14ac:dyDescent="0.2">
      <c r="R32363" s="1288"/>
    </row>
    <row r="32364" spans="18:18" s="2" customFormat="1" ht="12.75" x14ac:dyDescent="0.2">
      <c r="R32364" s="1288"/>
    </row>
    <row r="32365" spans="18:18" s="2" customFormat="1" ht="12.75" x14ac:dyDescent="0.2">
      <c r="R32365" s="1288"/>
    </row>
    <row r="32366" spans="18:18" s="2" customFormat="1" ht="12.75" x14ac:dyDescent="0.2">
      <c r="R32366" s="1288"/>
    </row>
    <row r="32367" spans="18:18" s="2" customFormat="1" ht="12.75" x14ac:dyDescent="0.2">
      <c r="R32367" s="1288"/>
    </row>
    <row r="32368" spans="18:18" s="2" customFormat="1" ht="12.75" x14ac:dyDescent="0.2">
      <c r="R32368" s="1288"/>
    </row>
    <row r="32369" spans="18:18" s="2" customFormat="1" ht="12.75" x14ac:dyDescent="0.2">
      <c r="R32369" s="1288"/>
    </row>
    <row r="32370" spans="18:18" s="2" customFormat="1" ht="12.75" x14ac:dyDescent="0.2">
      <c r="R32370" s="1288"/>
    </row>
    <row r="32371" spans="18:18" s="2" customFormat="1" ht="12.75" x14ac:dyDescent="0.2">
      <c r="R32371" s="1288"/>
    </row>
    <row r="32372" spans="18:18" s="2" customFormat="1" ht="12.75" x14ac:dyDescent="0.2">
      <c r="R32372" s="1288"/>
    </row>
    <row r="32373" spans="18:18" s="2" customFormat="1" ht="12.75" x14ac:dyDescent="0.2">
      <c r="R32373" s="1288"/>
    </row>
    <row r="32374" spans="18:18" s="2" customFormat="1" ht="12.75" x14ac:dyDescent="0.2">
      <c r="R32374" s="1288"/>
    </row>
    <row r="32375" spans="18:18" s="2" customFormat="1" ht="12.75" x14ac:dyDescent="0.2">
      <c r="R32375" s="1288"/>
    </row>
    <row r="32376" spans="18:18" s="2" customFormat="1" ht="12.75" x14ac:dyDescent="0.2">
      <c r="R32376" s="1288"/>
    </row>
    <row r="32377" spans="18:18" s="2" customFormat="1" ht="12.75" x14ac:dyDescent="0.2">
      <c r="R32377" s="1288"/>
    </row>
    <row r="32378" spans="18:18" s="2" customFormat="1" ht="12.75" x14ac:dyDescent="0.2">
      <c r="R32378" s="1288"/>
    </row>
    <row r="32379" spans="18:18" s="2" customFormat="1" ht="12.75" x14ac:dyDescent="0.2">
      <c r="R32379" s="1288"/>
    </row>
    <row r="32380" spans="18:18" s="2" customFormat="1" ht="12.75" x14ac:dyDescent="0.2">
      <c r="R32380" s="1288"/>
    </row>
    <row r="32381" spans="18:18" s="2" customFormat="1" ht="12.75" x14ac:dyDescent="0.2">
      <c r="R32381" s="1288"/>
    </row>
    <row r="32382" spans="18:18" s="2" customFormat="1" ht="12.75" x14ac:dyDescent="0.2">
      <c r="R32382" s="1288"/>
    </row>
    <row r="32383" spans="18:18" s="2" customFormat="1" ht="12.75" x14ac:dyDescent="0.2">
      <c r="R32383" s="1288"/>
    </row>
    <row r="32384" spans="18:18" s="2" customFormat="1" ht="12.75" x14ac:dyDescent="0.2">
      <c r="R32384" s="1288"/>
    </row>
    <row r="32385" spans="18:18" s="2" customFormat="1" ht="12.75" x14ac:dyDescent="0.2">
      <c r="R32385" s="1288"/>
    </row>
    <row r="32386" spans="18:18" s="2" customFormat="1" ht="12.75" x14ac:dyDescent="0.2">
      <c r="R32386" s="1288"/>
    </row>
    <row r="32387" spans="18:18" s="2" customFormat="1" ht="12.75" x14ac:dyDescent="0.2">
      <c r="R32387" s="1288"/>
    </row>
    <row r="32388" spans="18:18" s="2" customFormat="1" ht="12.75" x14ac:dyDescent="0.2">
      <c r="R32388" s="1288"/>
    </row>
    <row r="32389" spans="18:18" s="2" customFormat="1" ht="12.75" x14ac:dyDescent="0.2">
      <c r="R32389" s="1288"/>
    </row>
    <row r="32390" spans="18:18" s="2" customFormat="1" ht="12.75" x14ac:dyDescent="0.2">
      <c r="R32390" s="1288"/>
    </row>
    <row r="32391" spans="18:18" s="2" customFormat="1" ht="12.75" x14ac:dyDescent="0.2">
      <c r="R32391" s="1288"/>
    </row>
    <row r="32392" spans="18:18" s="2" customFormat="1" ht="12.75" x14ac:dyDescent="0.2">
      <c r="R32392" s="1288"/>
    </row>
    <row r="32393" spans="18:18" s="2" customFormat="1" ht="12.75" x14ac:dyDescent="0.2">
      <c r="R32393" s="1288"/>
    </row>
    <row r="32394" spans="18:18" s="2" customFormat="1" ht="12.75" x14ac:dyDescent="0.2">
      <c r="R32394" s="1288"/>
    </row>
    <row r="32395" spans="18:18" s="2" customFormat="1" ht="12.75" x14ac:dyDescent="0.2">
      <c r="R32395" s="1288"/>
    </row>
    <row r="32396" spans="18:18" s="2" customFormat="1" ht="12.75" x14ac:dyDescent="0.2">
      <c r="R32396" s="1288"/>
    </row>
    <row r="32397" spans="18:18" s="2" customFormat="1" ht="12.75" x14ac:dyDescent="0.2">
      <c r="R32397" s="1288"/>
    </row>
    <row r="32398" spans="18:18" s="2" customFormat="1" ht="12.75" x14ac:dyDescent="0.2">
      <c r="R32398" s="1288"/>
    </row>
    <row r="32399" spans="18:18" s="2" customFormat="1" ht="12.75" x14ac:dyDescent="0.2">
      <c r="R32399" s="1288"/>
    </row>
    <row r="32400" spans="18:18" s="2" customFormat="1" ht="12.75" x14ac:dyDescent="0.2">
      <c r="R32400" s="1288"/>
    </row>
    <row r="32401" spans="18:18" s="2" customFormat="1" ht="12.75" x14ac:dyDescent="0.2">
      <c r="R32401" s="1288"/>
    </row>
    <row r="32402" spans="18:18" s="2" customFormat="1" ht="12.75" x14ac:dyDescent="0.2">
      <c r="R32402" s="1288"/>
    </row>
    <row r="32403" spans="18:18" s="2" customFormat="1" ht="12.75" x14ac:dyDescent="0.2">
      <c r="R32403" s="1288"/>
    </row>
    <row r="32404" spans="18:18" s="2" customFormat="1" ht="12.75" x14ac:dyDescent="0.2">
      <c r="R32404" s="1288"/>
    </row>
    <row r="32405" spans="18:18" s="2" customFormat="1" ht="12.75" x14ac:dyDescent="0.2">
      <c r="R32405" s="1288"/>
    </row>
    <row r="32406" spans="18:18" s="2" customFormat="1" ht="12.75" x14ac:dyDescent="0.2">
      <c r="R32406" s="1288"/>
    </row>
    <row r="32407" spans="18:18" s="2" customFormat="1" ht="12.75" x14ac:dyDescent="0.2">
      <c r="R32407" s="1288"/>
    </row>
    <row r="32408" spans="18:18" s="2" customFormat="1" ht="12.75" x14ac:dyDescent="0.2">
      <c r="R32408" s="1288"/>
    </row>
    <row r="32409" spans="18:18" s="2" customFormat="1" ht="12.75" x14ac:dyDescent="0.2">
      <c r="R32409" s="1288"/>
    </row>
    <row r="32410" spans="18:18" s="2" customFormat="1" ht="12.75" x14ac:dyDescent="0.2">
      <c r="R32410" s="1288"/>
    </row>
    <row r="32411" spans="18:18" s="2" customFormat="1" ht="12.75" x14ac:dyDescent="0.2">
      <c r="R32411" s="1288"/>
    </row>
    <row r="32412" spans="18:18" s="2" customFormat="1" ht="12.75" x14ac:dyDescent="0.2">
      <c r="R32412" s="1288"/>
    </row>
    <row r="32413" spans="18:18" s="2" customFormat="1" ht="12.75" x14ac:dyDescent="0.2">
      <c r="R32413" s="1288"/>
    </row>
    <row r="32414" spans="18:18" s="2" customFormat="1" ht="12.75" x14ac:dyDescent="0.2">
      <c r="R32414" s="1288"/>
    </row>
    <row r="32415" spans="18:18" s="2" customFormat="1" ht="12.75" x14ac:dyDescent="0.2">
      <c r="R32415" s="1288"/>
    </row>
    <row r="32416" spans="18:18" s="2" customFormat="1" ht="12.75" x14ac:dyDescent="0.2">
      <c r="R32416" s="1288"/>
    </row>
    <row r="32417" spans="18:18" s="2" customFormat="1" ht="12.75" x14ac:dyDescent="0.2">
      <c r="R32417" s="1288"/>
    </row>
    <row r="32418" spans="18:18" s="2" customFormat="1" ht="12.75" x14ac:dyDescent="0.2">
      <c r="R32418" s="1288"/>
    </row>
    <row r="32419" spans="18:18" s="2" customFormat="1" ht="12.75" x14ac:dyDescent="0.2">
      <c r="R32419" s="1288"/>
    </row>
    <row r="32420" spans="18:18" s="2" customFormat="1" ht="12.75" x14ac:dyDescent="0.2">
      <c r="R32420" s="1288"/>
    </row>
    <row r="32421" spans="18:18" s="2" customFormat="1" ht="12.75" x14ac:dyDescent="0.2">
      <c r="R32421" s="1288"/>
    </row>
    <row r="32422" spans="18:18" s="2" customFormat="1" ht="12.75" x14ac:dyDescent="0.2">
      <c r="R32422" s="1288"/>
    </row>
    <row r="32423" spans="18:18" s="2" customFormat="1" ht="12.75" x14ac:dyDescent="0.2">
      <c r="R32423" s="1288"/>
    </row>
    <row r="32424" spans="18:18" s="2" customFormat="1" ht="12.75" x14ac:dyDescent="0.2">
      <c r="R32424" s="1288"/>
    </row>
    <row r="32425" spans="18:18" s="2" customFormat="1" ht="12.75" x14ac:dyDescent="0.2">
      <c r="R32425" s="1288"/>
    </row>
    <row r="32426" spans="18:18" s="2" customFormat="1" ht="12.75" x14ac:dyDescent="0.2">
      <c r="R32426" s="1288"/>
    </row>
    <row r="32427" spans="18:18" s="2" customFormat="1" ht="12.75" x14ac:dyDescent="0.2">
      <c r="R32427" s="1288"/>
    </row>
    <row r="32428" spans="18:18" s="2" customFormat="1" ht="12.75" x14ac:dyDescent="0.2">
      <c r="R32428" s="1288"/>
    </row>
    <row r="32429" spans="18:18" s="2" customFormat="1" ht="12.75" x14ac:dyDescent="0.2">
      <c r="R32429" s="1288"/>
    </row>
    <row r="32430" spans="18:18" s="2" customFormat="1" ht="12.75" x14ac:dyDescent="0.2">
      <c r="R32430" s="1288"/>
    </row>
    <row r="32431" spans="18:18" s="2" customFormat="1" ht="12.75" x14ac:dyDescent="0.2">
      <c r="R32431" s="1288"/>
    </row>
    <row r="32432" spans="18:18" s="2" customFormat="1" ht="12.75" x14ac:dyDescent="0.2">
      <c r="R32432" s="1288"/>
    </row>
    <row r="32433" spans="18:18" s="2" customFormat="1" ht="12.75" x14ac:dyDescent="0.2">
      <c r="R32433" s="1288"/>
    </row>
    <row r="32434" spans="18:18" s="2" customFormat="1" ht="12.75" x14ac:dyDescent="0.2">
      <c r="R32434" s="1288"/>
    </row>
    <row r="32435" spans="18:18" s="2" customFormat="1" ht="12.75" x14ac:dyDescent="0.2">
      <c r="R32435" s="1288"/>
    </row>
    <row r="32436" spans="18:18" s="2" customFormat="1" ht="12.75" x14ac:dyDescent="0.2">
      <c r="R32436" s="1288"/>
    </row>
    <row r="32437" spans="18:18" s="2" customFormat="1" ht="12.75" x14ac:dyDescent="0.2">
      <c r="R32437" s="1288"/>
    </row>
    <row r="32438" spans="18:18" s="2" customFormat="1" ht="12.75" x14ac:dyDescent="0.2">
      <c r="R32438" s="1288"/>
    </row>
    <row r="32439" spans="18:18" s="2" customFormat="1" ht="12.75" x14ac:dyDescent="0.2">
      <c r="R32439" s="1288"/>
    </row>
    <row r="32440" spans="18:18" s="2" customFormat="1" ht="12.75" x14ac:dyDescent="0.2">
      <c r="R32440" s="1288"/>
    </row>
    <row r="32441" spans="18:18" s="2" customFormat="1" ht="12.75" x14ac:dyDescent="0.2">
      <c r="R32441" s="1288"/>
    </row>
    <row r="32442" spans="18:18" s="2" customFormat="1" ht="12.75" x14ac:dyDescent="0.2">
      <c r="R32442" s="1288"/>
    </row>
    <row r="32443" spans="18:18" s="2" customFormat="1" ht="12.75" x14ac:dyDescent="0.2">
      <c r="R32443" s="1288"/>
    </row>
    <row r="32444" spans="18:18" s="2" customFormat="1" ht="12.75" x14ac:dyDescent="0.2">
      <c r="R32444" s="1288"/>
    </row>
    <row r="32445" spans="18:18" s="2" customFormat="1" ht="12.75" x14ac:dyDescent="0.2">
      <c r="R32445" s="1288"/>
    </row>
    <row r="32446" spans="18:18" s="2" customFormat="1" ht="12.75" x14ac:dyDescent="0.2">
      <c r="R32446" s="1288"/>
    </row>
    <row r="32447" spans="18:18" s="2" customFormat="1" ht="12.75" x14ac:dyDescent="0.2">
      <c r="R32447" s="1288"/>
    </row>
    <row r="32448" spans="18:18" s="2" customFormat="1" ht="12.75" x14ac:dyDescent="0.2">
      <c r="R32448" s="1288"/>
    </row>
    <row r="32449" spans="18:18" s="2" customFormat="1" ht="12.75" x14ac:dyDescent="0.2">
      <c r="R32449" s="1288"/>
    </row>
    <row r="32450" spans="18:18" s="2" customFormat="1" ht="12.75" x14ac:dyDescent="0.2">
      <c r="R32450" s="1288"/>
    </row>
    <row r="32451" spans="18:18" s="2" customFormat="1" ht="12.75" x14ac:dyDescent="0.2">
      <c r="R32451" s="1288"/>
    </row>
    <row r="32452" spans="18:18" s="2" customFormat="1" ht="12.75" x14ac:dyDescent="0.2">
      <c r="R32452" s="1288"/>
    </row>
    <row r="32453" spans="18:18" s="2" customFormat="1" ht="12.75" x14ac:dyDescent="0.2">
      <c r="R32453" s="1288"/>
    </row>
    <row r="32454" spans="18:18" s="2" customFormat="1" ht="12.75" x14ac:dyDescent="0.2">
      <c r="R32454" s="1288"/>
    </row>
    <row r="32455" spans="18:18" s="2" customFormat="1" ht="12.75" x14ac:dyDescent="0.2">
      <c r="R32455" s="1288"/>
    </row>
    <row r="32456" spans="18:18" s="2" customFormat="1" ht="12.75" x14ac:dyDescent="0.2">
      <c r="R32456" s="1288"/>
    </row>
    <row r="32457" spans="18:18" s="2" customFormat="1" ht="12.75" x14ac:dyDescent="0.2">
      <c r="R32457" s="1288"/>
    </row>
    <row r="32458" spans="18:18" s="2" customFormat="1" ht="12.75" x14ac:dyDescent="0.2">
      <c r="R32458" s="1288"/>
    </row>
    <row r="32459" spans="18:18" s="2" customFormat="1" ht="12.75" x14ac:dyDescent="0.2">
      <c r="R32459" s="1288"/>
    </row>
    <row r="32460" spans="18:18" s="2" customFormat="1" ht="12.75" x14ac:dyDescent="0.2">
      <c r="R32460" s="1288"/>
    </row>
    <row r="32461" spans="18:18" s="2" customFormat="1" ht="12.75" x14ac:dyDescent="0.2">
      <c r="R32461" s="1288"/>
    </row>
    <row r="32462" spans="18:18" s="2" customFormat="1" ht="12.75" x14ac:dyDescent="0.2">
      <c r="R32462" s="1288"/>
    </row>
    <row r="32463" spans="18:18" s="2" customFormat="1" ht="12.75" x14ac:dyDescent="0.2">
      <c r="R32463" s="1288"/>
    </row>
    <row r="32464" spans="18:18" s="2" customFormat="1" ht="12.75" x14ac:dyDescent="0.2">
      <c r="R32464" s="1288"/>
    </row>
    <row r="32465" spans="18:18" s="2" customFormat="1" ht="12.75" x14ac:dyDescent="0.2">
      <c r="R32465" s="1288"/>
    </row>
    <row r="32466" spans="18:18" s="2" customFormat="1" ht="12.75" x14ac:dyDescent="0.2">
      <c r="R32466" s="1288"/>
    </row>
    <row r="32467" spans="18:18" s="2" customFormat="1" ht="12.75" x14ac:dyDescent="0.2">
      <c r="R32467" s="1288"/>
    </row>
    <row r="32468" spans="18:18" s="2" customFormat="1" ht="12.75" x14ac:dyDescent="0.2">
      <c r="R32468" s="1288"/>
    </row>
    <row r="32469" spans="18:18" s="2" customFormat="1" ht="12.75" x14ac:dyDescent="0.2">
      <c r="R32469" s="1288"/>
    </row>
    <row r="32470" spans="18:18" s="2" customFormat="1" ht="12.75" x14ac:dyDescent="0.2">
      <c r="R32470" s="1288"/>
    </row>
    <row r="32471" spans="18:18" s="2" customFormat="1" ht="12.75" x14ac:dyDescent="0.2">
      <c r="R32471" s="1288"/>
    </row>
    <row r="32472" spans="18:18" s="2" customFormat="1" ht="12.75" x14ac:dyDescent="0.2">
      <c r="R32472" s="1288"/>
    </row>
    <row r="32473" spans="18:18" s="2" customFormat="1" ht="12.75" x14ac:dyDescent="0.2">
      <c r="R32473" s="1288"/>
    </row>
    <row r="32474" spans="18:18" s="2" customFormat="1" ht="12.75" x14ac:dyDescent="0.2">
      <c r="R32474" s="1288"/>
    </row>
    <row r="32475" spans="18:18" s="2" customFormat="1" ht="12.75" x14ac:dyDescent="0.2">
      <c r="R32475" s="1288"/>
    </row>
    <row r="32476" spans="18:18" s="2" customFormat="1" ht="12.75" x14ac:dyDescent="0.2">
      <c r="R32476" s="1288"/>
    </row>
    <row r="32477" spans="18:18" s="2" customFormat="1" ht="12.75" x14ac:dyDescent="0.2">
      <c r="R32477" s="1288"/>
    </row>
    <row r="32478" spans="18:18" s="2" customFormat="1" ht="12.75" x14ac:dyDescent="0.2">
      <c r="R32478" s="1288"/>
    </row>
    <row r="32479" spans="18:18" s="2" customFormat="1" ht="12.75" x14ac:dyDescent="0.2">
      <c r="R32479" s="1288"/>
    </row>
    <row r="32480" spans="18:18" s="2" customFormat="1" ht="12.75" x14ac:dyDescent="0.2">
      <c r="R32480" s="1288"/>
    </row>
    <row r="32481" spans="18:18" s="2" customFormat="1" ht="12.75" x14ac:dyDescent="0.2">
      <c r="R32481" s="1288"/>
    </row>
    <row r="32482" spans="18:18" s="2" customFormat="1" ht="12.75" x14ac:dyDescent="0.2">
      <c r="R32482" s="1288"/>
    </row>
    <row r="32483" spans="18:18" s="2" customFormat="1" ht="12.75" x14ac:dyDescent="0.2">
      <c r="R32483" s="1288"/>
    </row>
    <row r="32484" spans="18:18" s="2" customFormat="1" ht="12.75" x14ac:dyDescent="0.2">
      <c r="R32484" s="1288"/>
    </row>
    <row r="32485" spans="18:18" s="2" customFormat="1" ht="12.75" x14ac:dyDescent="0.2">
      <c r="R32485" s="1288"/>
    </row>
    <row r="32486" spans="18:18" s="2" customFormat="1" ht="12.75" x14ac:dyDescent="0.2">
      <c r="R32486" s="1288"/>
    </row>
    <row r="32487" spans="18:18" s="2" customFormat="1" ht="12.75" x14ac:dyDescent="0.2">
      <c r="R32487" s="1288"/>
    </row>
    <row r="32488" spans="18:18" s="2" customFormat="1" ht="12.75" x14ac:dyDescent="0.2">
      <c r="R32488" s="1288"/>
    </row>
    <row r="32489" spans="18:18" s="2" customFormat="1" ht="12.75" x14ac:dyDescent="0.2">
      <c r="R32489" s="1288"/>
    </row>
    <row r="32490" spans="18:18" s="2" customFormat="1" ht="12.75" x14ac:dyDescent="0.2">
      <c r="R32490" s="1288"/>
    </row>
    <row r="32491" spans="18:18" s="2" customFormat="1" ht="12.75" x14ac:dyDescent="0.2">
      <c r="R32491" s="1288"/>
    </row>
    <row r="32492" spans="18:18" s="2" customFormat="1" ht="12.75" x14ac:dyDescent="0.2">
      <c r="R32492" s="1288"/>
    </row>
    <row r="32493" spans="18:18" s="2" customFormat="1" ht="12.75" x14ac:dyDescent="0.2">
      <c r="R32493" s="1288"/>
    </row>
    <row r="32494" spans="18:18" s="2" customFormat="1" ht="12.75" x14ac:dyDescent="0.2">
      <c r="R32494" s="1288"/>
    </row>
    <row r="32495" spans="18:18" s="2" customFormat="1" ht="12.75" x14ac:dyDescent="0.2">
      <c r="R32495" s="1288"/>
    </row>
    <row r="32496" spans="18:18" s="2" customFormat="1" ht="12.75" x14ac:dyDescent="0.2">
      <c r="R32496" s="1288"/>
    </row>
    <row r="32497" spans="18:18" s="2" customFormat="1" ht="12.75" x14ac:dyDescent="0.2">
      <c r="R32497" s="1288"/>
    </row>
    <row r="32498" spans="18:18" s="2" customFormat="1" ht="12.75" x14ac:dyDescent="0.2">
      <c r="R32498" s="1288"/>
    </row>
    <row r="32499" spans="18:18" s="2" customFormat="1" ht="12.75" x14ac:dyDescent="0.2">
      <c r="R32499" s="1288"/>
    </row>
    <row r="32500" spans="18:18" s="2" customFormat="1" ht="12.75" x14ac:dyDescent="0.2">
      <c r="R32500" s="1288"/>
    </row>
    <row r="32501" spans="18:18" s="2" customFormat="1" ht="12.75" x14ac:dyDescent="0.2">
      <c r="R32501" s="1288"/>
    </row>
    <row r="32502" spans="18:18" s="2" customFormat="1" ht="12.75" x14ac:dyDescent="0.2">
      <c r="R32502" s="1288"/>
    </row>
    <row r="32503" spans="18:18" s="2" customFormat="1" ht="12.75" x14ac:dyDescent="0.2">
      <c r="R32503" s="1288"/>
    </row>
    <row r="32504" spans="18:18" s="2" customFormat="1" ht="12.75" x14ac:dyDescent="0.2">
      <c r="R32504" s="1288"/>
    </row>
    <row r="32505" spans="18:18" s="2" customFormat="1" ht="12.75" x14ac:dyDescent="0.2">
      <c r="R32505" s="1288"/>
    </row>
    <row r="32506" spans="18:18" s="2" customFormat="1" ht="12.75" x14ac:dyDescent="0.2">
      <c r="R32506" s="1288"/>
    </row>
    <row r="32507" spans="18:18" s="2" customFormat="1" ht="12.75" x14ac:dyDescent="0.2">
      <c r="R32507" s="1288"/>
    </row>
    <row r="32508" spans="18:18" s="2" customFormat="1" ht="12.75" x14ac:dyDescent="0.2">
      <c r="R32508" s="1288"/>
    </row>
    <row r="32509" spans="18:18" s="2" customFormat="1" ht="12.75" x14ac:dyDescent="0.2">
      <c r="R32509" s="1288"/>
    </row>
    <row r="32510" spans="18:18" s="2" customFormat="1" ht="12.75" x14ac:dyDescent="0.2">
      <c r="R32510" s="1288"/>
    </row>
    <row r="32511" spans="18:18" s="2" customFormat="1" ht="12.75" x14ac:dyDescent="0.2">
      <c r="R32511" s="1288"/>
    </row>
    <row r="32512" spans="18:18" s="2" customFormat="1" ht="12.75" x14ac:dyDescent="0.2">
      <c r="R32512" s="1288"/>
    </row>
    <row r="32513" spans="18:18" s="2" customFormat="1" ht="12.75" x14ac:dyDescent="0.2">
      <c r="R32513" s="1288"/>
    </row>
    <row r="32514" spans="18:18" s="2" customFormat="1" ht="12.75" x14ac:dyDescent="0.2">
      <c r="R32514" s="1288"/>
    </row>
    <row r="32515" spans="18:18" s="2" customFormat="1" ht="12.75" x14ac:dyDescent="0.2">
      <c r="R32515" s="1288"/>
    </row>
    <row r="32516" spans="18:18" s="2" customFormat="1" ht="12.75" x14ac:dyDescent="0.2">
      <c r="R32516" s="1288"/>
    </row>
    <row r="32517" spans="18:18" s="2" customFormat="1" ht="12.75" x14ac:dyDescent="0.2">
      <c r="R32517" s="1288"/>
    </row>
    <row r="32518" spans="18:18" s="2" customFormat="1" ht="12.75" x14ac:dyDescent="0.2">
      <c r="R32518" s="1288"/>
    </row>
    <row r="32519" spans="18:18" s="2" customFormat="1" ht="12.75" x14ac:dyDescent="0.2">
      <c r="R32519" s="1288"/>
    </row>
    <row r="32520" spans="18:18" s="2" customFormat="1" ht="12.75" x14ac:dyDescent="0.2">
      <c r="R32520" s="1288"/>
    </row>
    <row r="32521" spans="18:18" s="2" customFormat="1" ht="12.75" x14ac:dyDescent="0.2">
      <c r="R32521" s="1288"/>
    </row>
    <row r="32522" spans="18:18" s="2" customFormat="1" ht="12.75" x14ac:dyDescent="0.2">
      <c r="R32522" s="1288"/>
    </row>
    <row r="32523" spans="18:18" s="2" customFormat="1" ht="12.75" x14ac:dyDescent="0.2">
      <c r="R32523" s="1288"/>
    </row>
    <row r="32524" spans="18:18" s="2" customFormat="1" ht="12.75" x14ac:dyDescent="0.2">
      <c r="R32524" s="1288"/>
    </row>
    <row r="32525" spans="18:18" s="2" customFormat="1" ht="12.75" x14ac:dyDescent="0.2">
      <c r="R32525" s="1288"/>
    </row>
    <row r="32526" spans="18:18" s="2" customFormat="1" ht="12.75" x14ac:dyDescent="0.2">
      <c r="R32526" s="1288"/>
    </row>
    <row r="32527" spans="18:18" s="2" customFormat="1" ht="12.75" x14ac:dyDescent="0.2">
      <c r="R32527" s="1288"/>
    </row>
    <row r="32528" spans="18:18" s="2" customFormat="1" ht="12.75" x14ac:dyDescent="0.2">
      <c r="R32528" s="1288"/>
    </row>
    <row r="32529" spans="18:18" s="2" customFormat="1" ht="12.75" x14ac:dyDescent="0.2">
      <c r="R32529" s="1288"/>
    </row>
    <row r="32530" spans="18:18" s="2" customFormat="1" ht="12.75" x14ac:dyDescent="0.2">
      <c r="R32530" s="1288"/>
    </row>
    <row r="32531" spans="18:18" s="2" customFormat="1" ht="12.75" x14ac:dyDescent="0.2">
      <c r="R32531" s="1288"/>
    </row>
    <row r="32532" spans="18:18" s="2" customFormat="1" ht="12.75" x14ac:dyDescent="0.2">
      <c r="R32532" s="1288"/>
    </row>
    <row r="32533" spans="18:18" s="2" customFormat="1" ht="12.75" x14ac:dyDescent="0.2">
      <c r="R32533" s="1288"/>
    </row>
    <row r="32534" spans="18:18" s="2" customFormat="1" ht="12.75" x14ac:dyDescent="0.2">
      <c r="R32534" s="1288"/>
    </row>
    <row r="32535" spans="18:18" s="2" customFormat="1" ht="12.75" x14ac:dyDescent="0.2">
      <c r="R32535" s="1288"/>
    </row>
    <row r="32536" spans="18:18" s="2" customFormat="1" ht="12.75" x14ac:dyDescent="0.2">
      <c r="R32536" s="1288"/>
    </row>
    <row r="32537" spans="18:18" s="2" customFormat="1" ht="12.75" x14ac:dyDescent="0.2">
      <c r="R32537" s="1288"/>
    </row>
    <row r="32538" spans="18:18" s="2" customFormat="1" ht="12.75" x14ac:dyDescent="0.2">
      <c r="R32538" s="1288"/>
    </row>
    <row r="32539" spans="18:18" s="2" customFormat="1" ht="12.75" x14ac:dyDescent="0.2">
      <c r="R32539" s="1288"/>
    </row>
    <row r="32540" spans="18:18" s="2" customFormat="1" ht="12.75" x14ac:dyDescent="0.2">
      <c r="R32540" s="1288"/>
    </row>
    <row r="32541" spans="18:18" s="2" customFormat="1" ht="12.75" x14ac:dyDescent="0.2">
      <c r="R32541" s="1288"/>
    </row>
    <row r="32542" spans="18:18" s="2" customFormat="1" ht="12.75" x14ac:dyDescent="0.2">
      <c r="R32542" s="1288"/>
    </row>
    <row r="32543" spans="18:18" s="2" customFormat="1" ht="12.75" x14ac:dyDescent="0.2">
      <c r="R32543" s="1288"/>
    </row>
    <row r="32544" spans="18:18" s="2" customFormat="1" ht="12.75" x14ac:dyDescent="0.2">
      <c r="R32544" s="1288"/>
    </row>
    <row r="32545" spans="18:18" s="2" customFormat="1" ht="12.75" x14ac:dyDescent="0.2">
      <c r="R32545" s="1288"/>
    </row>
    <row r="32546" spans="18:18" s="2" customFormat="1" ht="12.75" x14ac:dyDescent="0.2">
      <c r="R32546" s="1288"/>
    </row>
    <row r="32547" spans="18:18" s="2" customFormat="1" ht="12.75" x14ac:dyDescent="0.2">
      <c r="R32547" s="1288"/>
    </row>
    <row r="32548" spans="18:18" s="2" customFormat="1" ht="12.75" x14ac:dyDescent="0.2">
      <c r="R32548" s="1288"/>
    </row>
    <row r="32549" spans="18:18" s="2" customFormat="1" ht="12.75" x14ac:dyDescent="0.2">
      <c r="R32549" s="1288"/>
    </row>
    <row r="32550" spans="18:18" s="2" customFormat="1" ht="12.75" x14ac:dyDescent="0.2">
      <c r="R32550" s="1288"/>
    </row>
    <row r="32551" spans="18:18" s="2" customFormat="1" ht="12.75" x14ac:dyDescent="0.2">
      <c r="R32551" s="1288"/>
    </row>
    <row r="32552" spans="18:18" s="2" customFormat="1" ht="12.75" x14ac:dyDescent="0.2">
      <c r="R32552" s="1288"/>
    </row>
    <row r="32553" spans="18:18" s="2" customFormat="1" ht="12.75" x14ac:dyDescent="0.2">
      <c r="R32553" s="1288"/>
    </row>
    <row r="32554" spans="18:18" s="2" customFormat="1" ht="12.75" x14ac:dyDescent="0.2">
      <c r="R32554" s="1288"/>
    </row>
    <row r="32555" spans="18:18" s="2" customFormat="1" ht="12.75" x14ac:dyDescent="0.2">
      <c r="R32555" s="1288"/>
    </row>
    <row r="32556" spans="18:18" s="2" customFormat="1" ht="12.75" x14ac:dyDescent="0.2">
      <c r="R32556" s="1288"/>
    </row>
    <row r="32557" spans="18:18" s="2" customFormat="1" ht="12.75" x14ac:dyDescent="0.2">
      <c r="R32557" s="1288"/>
    </row>
    <row r="32558" spans="18:18" s="2" customFormat="1" ht="12.75" x14ac:dyDescent="0.2">
      <c r="R32558" s="1288"/>
    </row>
    <row r="32559" spans="18:18" s="2" customFormat="1" ht="12.75" x14ac:dyDescent="0.2">
      <c r="R32559" s="1288"/>
    </row>
    <row r="32560" spans="18:18" s="2" customFormat="1" ht="12.75" x14ac:dyDescent="0.2">
      <c r="R32560" s="1288"/>
    </row>
    <row r="32561" spans="18:18" s="2" customFormat="1" ht="12.75" x14ac:dyDescent="0.2">
      <c r="R32561" s="1288"/>
    </row>
    <row r="32562" spans="18:18" s="2" customFormat="1" ht="12.75" x14ac:dyDescent="0.2">
      <c r="R32562" s="1288"/>
    </row>
    <row r="32563" spans="18:18" s="2" customFormat="1" ht="12.75" x14ac:dyDescent="0.2">
      <c r="R32563" s="1288"/>
    </row>
    <row r="32564" spans="18:18" s="2" customFormat="1" ht="12.75" x14ac:dyDescent="0.2">
      <c r="R32564" s="1288"/>
    </row>
    <row r="32565" spans="18:18" s="2" customFormat="1" ht="12.75" x14ac:dyDescent="0.2">
      <c r="R32565" s="1288"/>
    </row>
    <row r="32566" spans="18:18" s="2" customFormat="1" ht="12.75" x14ac:dyDescent="0.2">
      <c r="R32566" s="1288"/>
    </row>
    <row r="32567" spans="18:18" s="2" customFormat="1" ht="12.75" x14ac:dyDescent="0.2">
      <c r="R32567" s="1288"/>
    </row>
    <row r="32568" spans="18:18" s="2" customFormat="1" ht="12.75" x14ac:dyDescent="0.2">
      <c r="R32568" s="1288"/>
    </row>
    <row r="32569" spans="18:18" s="2" customFormat="1" ht="12.75" x14ac:dyDescent="0.2">
      <c r="R32569" s="1288"/>
    </row>
    <row r="32570" spans="18:18" s="2" customFormat="1" ht="12.75" x14ac:dyDescent="0.2">
      <c r="R32570" s="1288"/>
    </row>
    <row r="32571" spans="18:18" s="2" customFormat="1" ht="12.75" x14ac:dyDescent="0.2">
      <c r="R32571" s="1288"/>
    </row>
    <row r="32572" spans="18:18" s="2" customFormat="1" ht="12.75" x14ac:dyDescent="0.2">
      <c r="R32572" s="1288"/>
    </row>
    <row r="32573" spans="18:18" s="2" customFormat="1" ht="12.75" x14ac:dyDescent="0.2">
      <c r="R32573" s="1288"/>
    </row>
    <row r="32574" spans="18:18" s="2" customFormat="1" ht="12.75" x14ac:dyDescent="0.2">
      <c r="R32574" s="1288"/>
    </row>
    <row r="32575" spans="18:18" s="2" customFormat="1" ht="12.75" x14ac:dyDescent="0.2">
      <c r="R32575" s="1288"/>
    </row>
    <row r="32576" spans="18:18" s="2" customFormat="1" ht="12.75" x14ac:dyDescent="0.2">
      <c r="R32576" s="1288"/>
    </row>
    <row r="32577" spans="18:18" s="2" customFormat="1" ht="12.75" x14ac:dyDescent="0.2">
      <c r="R32577" s="1288"/>
    </row>
    <row r="32578" spans="18:18" s="2" customFormat="1" ht="12.75" x14ac:dyDescent="0.2">
      <c r="R32578" s="1288"/>
    </row>
    <row r="32579" spans="18:18" s="2" customFormat="1" ht="12.75" x14ac:dyDescent="0.2">
      <c r="R32579" s="1288"/>
    </row>
    <row r="32580" spans="18:18" s="2" customFormat="1" ht="12.75" x14ac:dyDescent="0.2">
      <c r="R32580" s="1288"/>
    </row>
    <row r="32581" spans="18:18" s="2" customFormat="1" ht="12.75" x14ac:dyDescent="0.2">
      <c r="R32581" s="1288"/>
    </row>
    <row r="32582" spans="18:18" s="2" customFormat="1" ht="12.75" x14ac:dyDescent="0.2">
      <c r="R32582" s="1288"/>
    </row>
    <row r="32583" spans="18:18" s="2" customFormat="1" ht="12.75" x14ac:dyDescent="0.2">
      <c r="R32583" s="1288"/>
    </row>
    <row r="32584" spans="18:18" s="2" customFormat="1" ht="12.75" x14ac:dyDescent="0.2">
      <c r="R32584" s="1288"/>
    </row>
    <row r="32585" spans="18:18" s="2" customFormat="1" ht="12.75" x14ac:dyDescent="0.2">
      <c r="R32585" s="1288"/>
    </row>
    <row r="32586" spans="18:18" s="2" customFormat="1" ht="12.75" x14ac:dyDescent="0.2">
      <c r="R32586" s="1288"/>
    </row>
    <row r="32587" spans="18:18" s="2" customFormat="1" ht="12.75" x14ac:dyDescent="0.2">
      <c r="R32587" s="1288"/>
    </row>
    <row r="32588" spans="18:18" s="2" customFormat="1" ht="12.75" x14ac:dyDescent="0.2">
      <c r="R32588" s="1288"/>
    </row>
    <row r="32589" spans="18:18" s="2" customFormat="1" ht="12.75" x14ac:dyDescent="0.2">
      <c r="R32589" s="1288"/>
    </row>
    <row r="32590" spans="18:18" s="2" customFormat="1" ht="12.75" x14ac:dyDescent="0.2">
      <c r="R32590" s="1288"/>
    </row>
    <row r="32591" spans="18:18" s="2" customFormat="1" ht="12.75" x14ac:dyDescent="0.2">
      <c r="R32591" s="1288"/>
    </row>
    <row r="32592" spans="18:18" s="2" customFormat="1" ht="12.75" x14ac:dyDescent="0.2">
      <c r="R32592" s="1288"/>
    </row>
    <row r="32593" spans="18:18" s="2" customFormat="1" ht="12.75" x14ac:dyDescent="0.2">
      <c r="R32593" s="1288"/>
    </row>
    <row r="32594" spans="18:18" s="2" customFormat="1" ht="12.75" x14ac:dyDescent="0.2">
      <c r="R32594" s="1288"/>
    </row>
    <row r="32595" spans="18:18" s="2" customFormat="1" ht="12.75" x14ac:dyDescent="0.2">
      <c r="R32595" s="1288"/>
    </row>
    <row r="32596" spans="18:18" s="2" customFormat="1" ht="12.75" x14ac:dyDescent="0.2">
      <c r="R32596" s="1288"/>
    </row>
    <row r="32597" spans="18:18" s="2" customFormat="1" ht="12.75" x14ac:dyDescent="0.2">
      <c r="R32597" s="1288"/>
    </row>
    <row r="32598" spans="18:18" s="2" customFormat="1" ht="12.75" x14ac:dyDescent="0.2">
      <c r="R32598" s="1288"/>
    </row>
    <row r="32599" spans="18:18" s="2" customFormat="1" ht="12.75" x14ac:dyDescent="0.2">
      <c r="R32599" s="1288"/>
    </row>
    <row r="32600" spans="18:18" s="2" customFormat="1" ht="12.75" x14ac:dyDescent="0.2">
      <c r="R32600" s="1288"/>
    </row>
    <row r="32601" spans="18:18" s="2" customFormat="1" ht="12.75" x14ac:dyDescent="0.2">
      <c r="R32601" s="1288"/>
    </row>
    <row r="32602" spans="18:18" s="2" customFormat="1" ht="12.75" x14ac:dyDescent="0.2">
      <c r="R32602" s="1288"/>
    </row>
    <row r="32603" spans="18:18" s="2" customFormat="1" ht="12.75" x14ac:dyDescent="0.2">
      <c r="R32603" s="1288"/>
    </row>
    <row r="32604" spans="18:18" s="2" customFormat="1" ht="12.75" x14ac:dyDescent="0.2">
      <c r="R32604" s="1288"/>
    </row>
    <row r="32605" spans="18:18" s="2" customFormat="1" ht="12.75" x14ac:dyDescent="0.2">
      <c r="R32605" s="1288"/>
    </row>
    <row r="32606" spans="18:18" s="2" customFormat="1" ht="12.75" x14ac:dyDescent="0.2">
      <c r="R32606" s="1288"/>
    </row>
    <row r="32607" spans="18:18" s="2" customFormat="1" ht="12.75" x14ac:dyDescent="0.2">
      <c r="R32607" s="1288"/>
    </row>
    <row r="32608" spans="18:18" s="2" customFormat="1" ht="12.75" x14ac:dyDescent="0.2">
      <c r="R32608" s="1288"/>
    </row>
    <row r="32609" spans="18:18" s="2" customFormat="1" ht="12.75" x14ac:dyDescent="0.2">
      <c r="R32609" s="1288"/>
    </row>
    <row r="32610" spans="18:18" s="2" customFormat="1" ht="12.75" x14ac:dyDescent="0.2">
      <c r="R32610" s="1288"/>
    </row>
    <row r="32611" spans="18:18" s="2" customFormat="1" ht="12.75" x14ac:dyDescent="0.2">
      <c r="R32611" s="1288"/>
    </row>
    <row r="32612" spans="18:18" s="2" customFormat="1" ht="12.75" x14ac:dyDescent="0.2">
      <c r="R32612" s="1288"/>
    </row>
    <row r="32613" spans="18:18" s="2" customFormat="1" ht="12.75" x14ac:dyDescent="0.2">
      <c r="R32613" s="1288"/>
    </row>
    <row r="32614" spans="18:18" s="2" customFormat="1" ht="12.75" x14ac:dyDescent="0.2">
      <c r="R32614" s="1288"/>
    </row>
    <row r="32615" spans="18:18" s="2" customFormat="1" ht="12.75" x14ac:dyDescent="0.2">
      <c r="R32615" s="1288"/>
    </row>
    <row r="32616" spans="18:18" s="2" customFormat="1" ht="12.75" x14ac:dyDescent="0.2">
      <c r="R32616" s="1288"/>
    </row>
    <row r="32617" spans="18:18" s="2" customFormat="1" ht="12.75" x14ac:dyDescent="0.2">
      <c r="R32617" s="1288"/>
    </row>
    <row r="32618" spans="18:18" s="2" customFormat="1" ht="12.75" x14ac:dyDescent="0.2">
      <c r="R32618" s="1288"/>
    </row>
    <row r="32619" spans="18:18" s="2" customFormat="1" ht="12.75" x14ac:dyDescent="0.2">
      <c r="R32619" s="1288"/>
    </row>
    <row r="32620" spans="18:18" s="2" customFormat="1" ht="12.75" x14ac:dyDescent="0.2">
      <c r="R32620" s="1288"/>
    </row>
    <row r="32621" spans="18:18" s="2" customFormat="1" ht="12.75" x14ac:dyDescent="0.2">
      <c r="R32621" s="1288"/>
    </row>
    <row r="32622" spans="18:18" s="2" customFormat="1" ht="12.75" x14ac:dyDescent="0.2">
      <c r="R32622" s="1288"/>
    </row>
    <row r="32623" spans="18:18" s="2" customFormat="1" ht="12.75" x14ac:dyDescent="0.2">
      <c r="R32623" s="1288"/>
    </row>
    <row r="32624" spans="18:18" s="2" customFormat="1" ht="12.75" x14ac:dyDescent="0.2">
      <c r="R32624" s="1288"/>
    </row>
    <row r="32625" spans="18:18" s="2" customFormat="1" ht="12.75" x14ac:dyDescent="0.2">
      <c r="R32625" s="1288"/>
    </row>
    <row r="32626" spans="18:18" s="2" customFormat="1" ht="12.75" x14ac:dyDescent="0.2">
      <c r="R32626" s="1288"/>
    </row>
    <row r="32627" spans="18:18" s="2" customFormat="1" ht="12.75" x14ac:dyDescent="0.2">
      <c r="R32627" s="1288"/>
    </row>
    <row r="32628" spans="18:18" s="2" customFormat="1" ht="12.75" x14ac:dyDescent="0.2">
      <c r="R32628" s="1288"/>
    </row>
    <row r="32629" spans="18:18" s="2" customFormat="1" ht="12.75" x14ac:dyDescent="0.2">
      <c r="R32629" s="1288"/>
    </row>
    <row r="32630" spans="18:18" s="2" customFormat="1" ht="12.75" x14ac:dyDescent="0.2">
      <c r="R32630" s="1288"/>
    </row>
    <row r="32631" spans="18:18" s="2" customFormat="1" ht="12.75" x14ac:dyDescent="0.2">
      <c r="R32631" s="1288"/>
    </row>
    <row r="32632" spans="18:18" s="2" customFormat="1" ht="12.75" x14ac:dyDescent="0.2">
      <c r="R32632" s="1288"/>
    </row>
    <row r="32633" spans="18:18" s="2" customFormat="1" ht="12.75" x14ac:dyDescent="0.2">
      <c r="R32633" s="1288"/>
    </row>
    <row r="32634" spans="18:18" s="2" customFormat="1" ht="12.75" x14ac:dyDescent="0.2">
      <c r="R32634" s="1288"/>
    </row>
    <row r="32635" spans="18:18" s="2" customFormat="1" ht="12.75" x14ac:dyDescent="0.2">
      <c r="R32635" s="1288"/>
    </row>
    <row r="32636" spans="18:18" s="2" customFormat="1" ht="12.75" x14ac:dyDescent="0.2">
      <c r="R32636" s="1288"/>
    </row>
    <row r="32637" spans="18:18" s="2" customFormat="1" ht="12.75" x14ac:dyDescent="0.2">
      <c r="R32637" s="1288"/>
    </row>
    <row r="32638" spans="18:18" s="2" customFormat="1" ht="12.75" x14ac:dyDescent="0.2">
      <c r="R32638" s="1288"/>
    </row>
    <row r="32639" spans="18:18" s="2" customFormat="1" ht="12.75" x14ac:dyDescent="0.2">
      <c r="R32639" s="1288"/>
    </row>
    <row r="32640" spans="18:18" s="2" customFormat="1" ht="12.75" x14ac:dyDescent="0.2">
      <c r="R32640" s="1288"/>
    </row>
    <row r="32641" spans="18:18" s="2" customFormat="1" ht="12.75" x14ac:dyDescent="0.2">
      <c r="R32641" s="1288"/>
    </row>
    <row r="32642" spans="18:18" s="2" customFormat="1" ht="12.75" x14ac:dyDescent="0.2">
      <c r="R32642" s="1288"/>
    </row>
    <row r="32643" spans="18:18" s="2" customFormat="1" ht="12.75" x14ac:dyDescent="0.2">
      <c r="R32643" s="1288"/>
    </row>
    <row r="32644" spans="18:18" s="2" customFormat="1" ht="12.75" x14ac:dyDescent="0.2">
      <c r="R32644" s="1288"/>
    </row>
    <row r="32645" spans="18:18" s="2" customFormat="1" ht="12.75" x14ac:dyDescent="0.2">
      <c r="R32645" s="1288"/>
    </row>
    <row r="32646" spans="18:18" s="2" customFormat="1" ht="12.75" x14ac:dyDescent="0.2">
      <c r="R32646" s="1288"/>
    </row>
    <row r="32647" spans="18:18" s="2" customFormat="1" ht="12.75" x14ac:dyDescent="0.2">
      <c r="R32647" s="1288"/>
    </row>
    <row r="32648" spans="18:18" s="2" customFormat="1" ht="12.75" x14ac:dyDescent="0.2">
      <c r="R32648" s="1288"/>
    </row>
    <row r="32649" spans="18:18" s="2" customFormat="1" ht="12.75" x14ac:dyDescent="0.2">
      <c r="R32649" s="1288"/>
    </row>
    <row r="32650" spans="18:18" s="2" customFormat="1" ht="12.75" x14ac:dyDescent="0.2">
      <c r="R32650" s="1288"/>
    </row>
    <row r="32651" spans="18:18" s="2" customFormat="1" ht="12.75" x14ac:dyDescent="0.2">
      <c r="R32651" s="1288"/>
    </row>
    <row r="32652" spans="18:18" s="2" customFormat="1" ht="12.75" x14ac:dyDescent="0.2">
      <c r="R32652" s="1288"/>
    </row>
    <row r="32653" spans="18:18" s="2" customFormat="1" ht="12.75" x14ac:dyDescent="0.2">
      <c r="R32653" s="1288"/>
    </row>
    <row r="32654" spans="18:18" s="2" customFormat="1" ht="12.75" x14ac:dyDescent="0.2">
      <c r="R32654" s="1288"/>
    </row>
    <row r="32655" spans="18:18" s="2" customFormat="1" ht="12.75" x14ac:dyDescent="0.2">
      <c r="R32655" s="1288"/>
    </row>
    <row r="32656" spans="18:18" s="2" customFormat="1" ht="12.75" x14ac:dyDescent="0.2">
      <c r="R32656" s="1288"/>
    </row>
    <row r="32657" spans="18:18" s="2" customFormat="1" ht="12.75" x14ac:dyDescent="0.2">
      <c r="R32657" s="1288"/>
    </row>
    <row r="32658" spans="18:18" s="2" customFormat="1" ht="12.75" x14ac:dyDescent="0.2">
      <c r="R32658" s="1288"/>
    </row>
    <row r="32659" spans="18:18" s="2" customFormat="1" ht="12.75" x14ac:dyDescent="0.2">
      <c r="R32659" s="1288"/>
    </row>
    <row r="32660" spans="18:18" s="2" customFormat="1" ht="12.75" x14ac:dyDescent="0.2">
      <c r="R32660" s="1288"/>
    </row>
    <row r="32661" spans="18:18" s="2" customFormat="1" ht="12.75" x14ac:dyDescent="0.2">
      <c r="R32661" s="1288"/>
    </row>
    <row r="32662" spans="18:18" s="2" customFormat="1" ht="12.75" x14ac:dyDescent="0.2">
      <c r="R32662" s="1288"/>
    </row>
    <row r="32663" spans="18:18" s="2" customFormat="1" ht="12.75" x14ac:dyDescent="0.2">
      <c r="R32663" s="1288"/>
    </row>
    <row r="32664" spans="18:18" s="2" customFormat="1" ht="12.75" x14ac:dyDescent="0.2">
      <c r="R32664" s="1288"/>
    </row>
    <row r="32665" spans="18:18" s="2" customFormat="1" ht="12.75" x14ac:dyDescent="0.2">
      <c r="R32665" s="1288"/>
    </row>
    <row r="32666" spans="18:18" s="2" customFormat="1" ht="12.75" x14ac:dyDescent="0.2">
      <c r="R32666" s="1288"/>
    </row>
    <row r="32667" spans="18:18" s="2" customFormat="1" ht="12.75" x14ac:dyDescent="0.2">
      <c r="R32667" s="1288"/>
    </row>
    <row r="32668" spans="18:18" s="2" customFormat="1" ht="12.75" x14ac:dyDescent="0.2">
      <c r="R32668" s="1288"/>
    </row>
    <row r="32669" spans="18:18" s="2" customFormat="1" ht="12.75" x14ac:dyDescent="0.2">
      <c r="R32669" s="1288"/>
    </row>
    <row r="32670" spans="18:18" s="2" customFormat="1" ht="12.75" x14ac:dyDescent="0.2">
      <c r="R32670" s="1288"/>
    </row>
    <row r="32671" spans="18:18" s="2" customFormat="1" ht="12.75" x14ac:dyDescent="0.2">
      <c r="R32671" s="1288"/>
    </row>
    <row r="32672" spans="18:18" s="2" customFormat="1" ht="12.75" x14ac:dyDescent="0.2">
      <c r="R32672" s="1288"/>
    </row>
    <row r="32673" spans="18:18" s="2" customFormat="1" ht="12.75" x14ac:dyDescent="0.2">
      <c r="R32673" s="1288"/>
    </row>
    <row r="32674" spans="18:18" s="2" customFormat="1" ht="12.75" x14ac:dyDescent="0.2">
      <c r="R32674" s="1288"/>
    </row>
    <row r="32675" spans="18:18" s="2" customFormat="1" ht="12.75" x14ac:dyDescent="0.2">
      <c r="R32675" s="1288"/>
    </row>
    <row r="32676" spans="18:18" s="2" customFormat="1" ht="12.75" x14ac:dyDescent="0.2">
      <c r="R32676" s="1288"/>
    </row>
    <row r="32677" spans="18:18" s="2" customFormat="1" ht="12.75" x14ac:dyDescent="0.2">
      <c r="R32677" s="1288"/>
    </row>
    <row r="32678" spans="18:18" s="2" customFormat="1" ht="12.75" x14ac:dyDescent="0.2">
      <c r="R32678" s="1288"/>
    </row>
    <row r="32679" spans="18:18" s="2" customFormat="1" ht="12.75" x14ac:dyDescent="0.2">
      <c r="R32679" s="1288"/>
    </row>
    <row r="32680" spans="18:18" s="2" customFormat="1" ht="12.75" x14ac:dyDescent="0.2">
      <c r="R32680" s="1288"/>
    </row>
    <row r="32681" spans="18:18" s="2" customFormat="1" ht="12.75" x14ac:dyDescent="0.2">
      <c r="R32681" s="1288"/>
    </row>
    <row r="32682" spans="18:18" s="2" customFormat="1" ht="12.75" x14ac:dyDescent="0.2">
      <c r="R32682" s="1288"/>
    </row>
    <row r="32683" spans="18:18" s="2" customFormat="1" ht="12.75" x14ac:dyDescent="0.2">
      <c r="R32683" s="1288"/>
    </row>
    <row r="32684" spans="18:18" s="2" customFormat="1" ht="12.75" x14ac:dyDescent="0.2">
      <c r="R32684" s="1288"/>
    </row>
    <row r="32685" spans="18:18" s="2" customFormat="1" ht="12.75" x14ac:dyDescent="0.2">
      <c r="R32685" s="1288"/>
    </row>
    <row r="32686" spans="18:18" s="2" customFormat="1" ht="12.75" x14ac:dyDescent="0.2">
      <c r="R32686" s="1288"/>
    </row>
    <row r="32687" spans="18:18" s="2" customFormat="1" ht="12.75" x14ac:dyDescent="0.2">
      <c r="R32687" s="1288"/>
    </row>
    <row r="32688" spans="18:18" s="2" customFormat="1" ht="12.75" x14ac:dyDescent="0.2">
      <c r="R32688" s="1288"/>
    </row>
    <row r="32689" spans="18:18" s="2" customFormat="1" ht="12.75" x14ac:dyDescent="0.2">
      <c r="R32689" s="1288"/>
    </row>
    <row r="32690" spans="18:18" s="2" customFormat="1" ht="12.75" x14ac:dyDescent="0.2">
      <c r="R32690" s="1288"/>
    </row>
    <row r="32691" spans="18:18" s="2" customFormat="1" ht="12.75" x14ac:dyDescent="0.2">
      <c r="R32691" s="1288"/>
    </row>
    <row r="32692" spans="18:18" s="2" customFormat="1" ht="12.75" x14ac:dyDescent="0.2">
      <c r="R32692" s="1288"/>
    </row>
    <row r="32693" spans="18:18" s="2" customFormat="1" ht="12.75" x14ac:dyDescent="0.2">
      <c r="R32693" s="1288"/>
    </row>
    <row r="32694" spans="18:18" s="2" customFormat="1" ht="12.75" x14ac:dyDescent="0.2">
      <c r="R32694" s="1288"/>
    </row>
    <row r="32695" spans="18:18" s="2" customFormat="1" ht="12.75" x14ac:dyDescent="0.2">
      <c r="R32695" s="1288"/>
    </row>
    <row r="32696" spans="18:18" s="2" customFormat="1" ht="12.75" x14ac:dyDescent="0.2">
      <c r="R32696" s="1288"/>
    </row>
    <row r="32697" spans="18:18" s="2" customFormat="1" ht="12.75" x14ac:dyDescent="0.2">
      <c r="R32697" s="1288"/>
    </row>
    <row r="32698" spans="18:18" s="2" customFormat="1" ht="12.75" x14ac:dyDescent="0.2">
      <c r="R32698" s="1288"/>
    </row>
    <row r="32699" spans="18:18" s="2" customFormat="1" ht="12.75" x14ac:dyDescent="0.2">
      <c r="R32699" s="1288"/>
    </row>
    <row r="32700" spans="18:18" s="2" customFormat="1" ht="12.75" x14ac:dyDescent="0.2">
      <c r="R32700" s="1288"/>
    </row>
    <row r="32701" spans="18:18" s="2" customFormat="1" ht="12.75" x14ac:dyDescent="0.2">
      <c r="R32701" s="1288"/>
    </row>
    <row r="32702" spans="18:18" s="2" customFormat="1" ht="12.75" x14ac:dyDescent="0.2">
      <c r="R32702" s="1288"/>
    </row>
    <row r="32703" spans="18:18" s="2" customFormat="1" ht="12.75" x14ac:dyDescent="0.2">
      <c r="R32703" s="1288"/>
    </row>
    <row r="32704" spans="18:18" s="2" customFormat="1" ht="12.75" x14ac:dyDescent="0.2">
      <c r="R32704" s="1288"/>
    </row>
    <row r="32705" spans="18:18" s="2" customFormat="1" ht="12.75" x14ac:dyDescent="0.2">
      <c r="R32705" s="1288"/>
    </row>
    <row r="32706" spans="18:18" s="2" customFormat="1" ht="12.75" x14ac:dyDescent="0.2">
      <c r="R32706" s="1288"/>
    </row>
    <row r="32707" spans="18:18" s="2" customFormat="1" ht="12.75" x14ac:dyDescent="0.2">
      <c r="R32707" s="1288"/>
    </row>
    <row r="32708" spans="18:18" s="2" customFormat="1" ht="12.75" x14ac:dyDescent="0.2">
      <c r="R32708" s="1288"/>
    </row>
    <row r="32709" spans="18:18" s="2" customFormat="1" ht="12.75" x14ac:dyDescent="0.2">
      <c r="R32709" s="1288"/>
    </row>
    <row r="32710" spans="18:18" s="2" customFormat="1" ht="12.75" x14ac:dyDescent="0.2">
      <c r="R32710" s="1288"/>
    </row>
    <row r="32711" spans="18:18" s="2" customFormat="1" ht="12.75" x14ac:dyDescent="0.2">
      <c r="R32711" s="1288"/>
    </row>
    <row r="32712" spans="18:18" s="2" customFormat="1" ht="12.75" x14ac:dyDescent="0.2">
      <c r="R32712" s="1288"/>
    </row>
    <row r="32713" spans="18:18" s="2" customFormat="1" ht="12.75" x14ac:dyDescent="0.2">
      <c r="R32713" s="1288"/>
    </row>
    <row r="32714" spans="18:18" s="2" customFormat="1" ht="12.75" x14ac:dyDescent="0.2">
      <c r="R32714" s="1288"/>
    </row>
    <row r="32715" spans="18:18" s="2" customFormat="1" ht="12.75" x14ac:dyDescent="0.2">
      <c r="R32715" s="1288"/>
    </row>
    <row r="32716" spans="18:18" s="2" customFormat="1" ht="12.75" x14ac:dyDescent="0.2">
      <c r="R32716" s="1288"/>
    </row>
    <row r="32717" spans="18:18" s="2" customFormat="1" ht="12.75" x14ac:dyDescent="0.2">
      <c r="R32717" s="1288"/>
    </row>
    <row r="32718" spans="18:18" s="2" customFormat="1" ht="12.75" x14ac:dyDescent="0.2">
      <c r="R32718" s="1288"/>
    </row>
    <row r="32719" spans="18:18" s="2" customFormat="1" ht="12.75" x14ac:dyDescent="0.2">
      <c r="R32719" s="1288"/>
    </row>
    <row r="32720" spans="18:18" s="2" customFormat="1" ht="12.75" x14ac:dyDescent="0.2">
      <c r="R32720" s="1288"/>
    </row>
    <row r="32721" spans="18:18" s="2" customFormat="1" ht="12.75" x14ac:dyDescent="0.2">
      <c r="R32721" s="1288"/>
    </row>
    <row r="32722" spans="18:18" s="2" customFormat="1" ht="12.75" x14ac:dyDescent="0.2">
      <c r="R32722" s="1288"/>
    </row>
    <row r="32723" spans="18:18" s="2" customFormat="1" ht="12.75" x14ac:dyDescent="0.2">
      <c r="R32723" s="1288"/>
    </row>
    <row r="32724" spans="18:18" s="2" customFormat="1" ht="12.75" x14ac:dyDescent="0.2">
      <c r="R32724" s="1288"/>
    </row>
    <row r="32725" spans="18:18" s="2" customFormat="1" ht="12.75" x14ac:dyDescent="0.2">
      <c r="R32725" s="1288"/>
    </row>
    <row r="32726" spans="18:18" s="2" customFormat="1" ht="12.75" x14ac:dyDescent="0.2">
      <c r="R32726" s="1288"/>
    </row>
    <row r="32727" spans="18:18" s="2" customFormat="1" ht="12.75" x14ac:dyDescent="0.2">
      <c r="R32727" s="1288"/>
    </row>
    <row r="32728" spans="18:18" s="2" customFormat="1" ht="12.75" x14ac:dyDescent="0.2">
      <c r="R32728" s="1288"/>
    </row>
    <row r="32729" spans="18:18" s="2" customFormat="1" ht="12.75" x14ac:dyDescent="0.2">
      <c r="R32729" s="1288"/>
    </row>
    <row r="32730" spans="18:18" s="2" customFormat="1" ht="12.75" x14ac:dyDescent="0.2">
      <c r="R32730" s="1288"/>
    </row>
    <row r="32731" spans="18:18" s="2" customFormat="1" ht="12.75" x14ac:dyDescent="0.2">
      <c r="R32731" s="1288"/>
    </row>
    <row r="32732" spans="18:18" s="2" customFormat="1" ht="12.75" x14ac:dyDescent="0.2">
      <c r="R32732" s="1288"/>
    </row>
    <row r="32733" spans="18:18" s="2" customFormat="1" ht="12.75" x14ac:dyDescent="0.2">
      <c r="R32733" s="1288"/>
    </row>
    <row r="32734" spans="18:18" s="2" customFormat="1" ht="12.75" x14ac:dyDescent="0.2">
      <c r="R32734" s="1288"/>
    </row>
    <row r="32735" spans="18:18" s="2" customFormat="1" ht="12.75" x14ac:dyDescent="0.2">
      <c r="R32735" s="1288"/>
    </row>
    <row r="32736" spans="18:18" s="2" customFormat="1" ht="12.75" x14ac:dyDescent="0.2">
      <c r="R32736" s="1288"/>
    </row>
    <row r="32737" spans="18:18" s="2" customFormat="1" ht="12.75" x14ac:dyDescent="0.2">
      <c r="R32737" s="1288"/>
    </row>
    <row r="32738" spans="18:18" s="2" customFormat="1" ht="12.75" x14ac:dyDescent="0.2">
      <c r="R32738" s="1288"/>
    </row>
    <row r="32739" spans="18:18" s="2" customFormat="1" ht="12.75" x14ac:dyDescent="0.2">
      <c r="R32739" s="1288"/>
    </row>
    <row r="32740" spans="18:18" s="2" customFormat="1" ht="12.75" x14ac:dyDescent="0.2">
      <c r="R32740" s="1288"/>
    </row>
    <row r="32741" spans="18:18" s="2" customFormat="1" ht="12.75" x14ac:dyDescent="0.2">
      <c r="R32741" s="1288"/>
    </row>
    <row r="32742" spans="18:18" s="2" customFormat="1" ht="12.75" x14ac:dyDescent="0.2">
      <c r="R32742" s="1288"/>
    </row>
    <row r="32743" spans="18:18" s="2" customFormat="1" ht="12.75" x14ac:dyDescent="0.2">
      <c r="R32743" s="1288"/>
    </row>
    <row r="32744" spans="18:18" s="2" customFormat="1" ht="12.75" x14ac:dyDescent="0.2">
      <c r="R32744" s="1288"/>
    </row>
    <row r="32745" spans="18:18" s="2" customFormat="1" ht="12.75" x14ac:dyDescent="0.2">
      <c r="R32745" s="1288"/>
    </row>
    <row r="32746" spans="18:18" s="2" customFormat="1" ht="12.75" x14ac:dyDescent="0.2">
      <c r="R32746" s="1288"/>
    </row>
    <row r="32747" spans="18:18" s="2" customFormat="1" ht="12.75" x14ac:dyDescent="0.2">
      <c r="R32747" s="1288"/>
    </row>
    <row r="32748" spans="18:18" s="2" customFormat="1" ht="12.75" x14ac:dyDescent="0.2">
      <c r="R32748" s="1288"/>
    </row>
    <row r="32749" spans="18:18" s="2" customFormat="1" ht="12.75" x14ac:dyDescent="0.2">
      <c r="R32749" s="1288"/>
    </row>
    <row r="32750" spans="18:18" s="2" customFormat="1" ht="12.75" x14ac:dyDescent="0.2">
      <c r="R32750" s="1288"/>
    </row>
    <row r="32751" spans="18:18" s="2" customFormat="1" ht="12.75" x14ac:dyDescent="0.2">
      <c r="R32751" s="1288"/>
    </row>
    <row r="32752" spans="18:18" s="2" customFormat="1" ht="12.75" x14ac:dyDescent="0.2">
      <c r="R32752" s="1288"/>
    </row>
    <row r="32753" spans="18:18" s="2" customFormat="1" ht="12.75" x14ac:dyDescent="0.2">
      <c r="R32753" s="1288"/>
    </row>
    <row r="32754" spans="18:18" s="2" customFormat="1" ht="12.75" x14ac:dyDescent="0.2">
      <c r="R32754" s="1288"/>
    </row>
    <row r="32755" spans="18:18" s="2" customFormat="1" ht="12.75" x14ac:dyDescent="0.2">
      <c r="R32755" s="1288"/>
    </row>
    <row r="32756" spans="18:18" s="2" customFormat="1" ht="12.75" x14ac:dyDescent="0.2">
      <c r="R32756" s="1288"/>
    </row>
    <row r="32757" spans="18:18" s="2" customFormat="1" ht="12.75" x14ac:dyDescent="0.2">
      <c r="R32757" s="1288"/>
    </row>
    <row r="32758" spans="18:18" s="2" customFormat="1" ht="12.75" x14ac:dyDescent="0.2">
      <c r="R32758" s="1288"/>
    </row>
    <row r="32759" spans="18:18" s="2" customFormat="1" ht="12.75" x14ac:dyDescent="0.2">
      <c r="R32759" s="1288"/>
    </row>
    <row r="32760" spans="18:18" s="2" customFormat="1" ht="12.75" x14ac:dyDescent="0.2">
      <c r="R32760" s="1288"/>
    </row>
    <row r="32761" spans="18:18" s="2" customFormat="1" ht="12.75" x14ac:dyDescent="0.2">
      <c r="R32761" s="1288"/>
    </row>
    <row r="32762" spans="18:18" s="2" customFormat="1" ht="12.75" x14ac:dyDescent="0.2">
      <c r="R32762" s="1288"/>
    </row>
    <row r="32763" spans="18:18" s="2" customFormat="1" ht="12.75" x14ac:dyDescent="0.2">
      <c r="R32763" s="1288"/>
    </row>
    <row r="32764" spans="18:18" s="2" customFormat="1" ht="12.75" x14ac:dyDescent="0.2">
      <c r="R32764" s="1288"/>
    </row>
    <row r="32765" spans="18:18" s="2" customFormat="1" ht="12.75" x14ac:dyDescent="0.2">
      <c r="R32765" s="1288"/>
    </row>
    <row r="32766" spans="18:18" s="2" customFormat="1" ht="12.75" x14ac:dyDescent="0.2">
      <c r="R32766" s="1288"/>
    </row>
    <row r="32767" spans="18:18" s="2" customFormat="1" ht="12.75" x14ac:dyDescent="0.2">
      <c r="R32767" s="1288"/>
    </row>
    <row r="32768" spans="18:18" s="2" customFormat="1" ht="12.75" x14ac:dyDescent="0.2">
      <c r="R32768" s="1288"/>
    </row>
    <row r="32769" spans="18:18" s="2" customFormat="1" ht="12.75" x14ac:dyDescent="0.2">
      <c r="R32769" s="1288"/>
    </row>
    <row r="32770" spans="18:18" s="2" customFormat="1" ht="12.75" x14ac:dyDescent="0.2">
      <c r="R32770" s="1288"/>
    </row>
    <row r="32771" spans="18:18" s="2" customFormat="1" ht="12.75" x14ac:dyDescent="0.2">
      <c r="R32771" s="1288"/>
    </row>
    <row r="32772" spans="18:18" s="2" customFormat="1" ht="12.75" x14ac:dyDescent="0.2">
      <c r="R32772" s="1288"/>
    </row>
    <row r="32773" spans="18:18" s="2" customFormat="1" ht="12.75" x14ac:dyDescent="0.2">
      <c r="R32773" s="1288"/>
    </row>
    <row r="32774" spans="18:18" s="2" customFormat="1" ht="12.75" x14ac:dyDescent="0.2">
      <c r="R32774" s="1288"/>
    </row>
    <row r="32775" spans="18:18" s="2" customFormat="1" ht="12.75" x14ac:dyDescent="0.2">
      <c r="R32775" s="1288"/>
    </row>
    <row r="32776" spans="18:18" s="2" customFormat="1" ht="12.75" x14ac:dyDescent="0.2">
      <c r="R32776" s="1288"/>
    </row>
    <row r="32777" spans="18:18" s="2" customFormat="1" ht="12.75" x14ac:dyDescent="0.2">
      <c r="R32777" s="1288"/>
    </row>
    <row r="32778" spans="18:18" s="2" customFormat="1" ht="12.75" x14ac:dyDescent="0.2">
      <c r="R32778" s="1288"/>
    </row>
    <row r="32779" spans="18:18" s="2" customFormat="1" ht="12.75" x14ac:dyDescent="0.2">
      <c r="R32779" s="1288"/>
    </row>
    <row r="32780" spans="18:18" s="2" customFormat="1" ht="12.75" x14ac:dyDescent="0.2">
      <c r="R32780" s="1288"/>
    </row>
    <row r="32781" spans="18:18" s="2" customFormat="1" ht="12.75" x14ac:dyDescent="0.2">
      <c r="R32781" s="1288"/>
    </row>
    <row r="32782" spans="18:18" s="2" customFormat="1" ht="12.75" x14ac:dyDescent="0.2">
      <c r="R32782" s="1288"/>
    </row>
    <row r="32783" spans="18:18" s="2" customFormat="1" ht="12.75" x14ac:dyDescent="0.2">
      <c r="R32783" s="1288"/>
    </row>
    <row r="32784" spans="18:18" s="2" customFormat="1" ht="12.75" x14ac:dyDescent="0.2">
      <c r="R32784" s="1288"/>
    </row>
    <row r="32785" spans="18:18" s="2" customFormat="1" ht="12.75" x14ac:dyDescent="0.2">
      <c r="R32785" s="1288"/>
    </row>
    <row r="32786" spans="18:18" s="2" customFormat="1" ht="12.75" x14ac:dyDescent="0.2">
      <c r="R32786" s="1288"/>
    </row>
    <row r="32787" spans="18:18" s="2" customFormat="1" ht="12.75" x14ac:dyDescent="0.2">
      <c r="R32787" s="1288"/>
    </row>
    <row r="32788" spans="18:18" s="2" customFormat="1" ht="12.75" x14ac:dyDescent="0.2">
      <c r="R32788" s="1288"/>
    </row>
    <row r="32789" spans="18:18" s="2" customFormat="1" ht="12.75" x14ac:dyDescent="0.2">
      <c r="R32789" s="1288"/>
    </row>
    <row r="32790" spans="18:18" s="2" customFormat="1" ht="12.75" x14ac:dyDescent="0.2">
      <c r="R32790" s="1288"/>
    </row>
    <row r="32791" spans="18:18" s="2" customFormat="1" ht="12.75" x14ac:dyDescent="0.2">
      <c r="R32791" s="1288"/>
    </row>
    <row r="32792" spans="18:18" s="2" customFormat="1" ht="12.75" x14ac:dyDescent="0.2">
      <c r="R32792" s="1288"/>
    </row>
    <row r="32793" spans="18:18" s="2" customFormat="1" ht="12.75" x14ac:dyDescent="0.2">
      <c r="R32793" s="1288"/>
    </row>
    <row r="32794" spans="18:18" s="2" customFormat="1" ht="12.75" x14ac:dyDescent="0.2">
      <c r="R32794" s="1288"/>
    </row>
    <row r="32795" spans="18:18" s="2" customFormat="1" ht="12.75" x14ac:dyDescent="0.2">
      <c r="R32795" s="1288"/>
    </row>
    <row r="32796" spans="18:18" s="2" customFormat="1" ht="12.75" x14ac:dyDescent="0.2">
      <c r="R32796" s="1288"/>
    </row>
    <row r="32797" spans="18:18" s="2" customFormat="1" ht="12.75" x14ac:dyDescent="0.2">
      <c r="R32797" s="1288"/>
    </row>
    <row r="32798" spans="18:18" s="2" customFormat="1" ht="12.75" x14ac:dyDescent="0.2">
      <c r="R32798" s="1288"/>
    </row>
    <row r="32799" spans="18:18" s="2" customFormat="1" ht="12.75" x14ac:dyDescent="0.2">
      <c r="R32799" s="1288"/>
    </row>
    <row r="32800" spans="18:18" s="2" customFormat="1" ht="12.75" x14ac:dyDescent="0.2">
      <c r="R32800" s="1288"/>
    </row>
    <row r="32801" spans="18:18" s="2" customFormat="1" ht="12.75" x14ac:dyDescent="0.2">
      <c r="R32801" s="1288"/>
    </row>
    <row r="32802" spans="18:18" s="2" customFormat="1" ht="12.75" x14ac:dyDescent="0.2">
      <c r="R32802" s="1288"/>
    </row>
    <row r="32803" spans="18:18" s="2" customFormat="1" ht="12.75" x14ac:dyDescent="0.2">
      <c r="R32803" s="1288"/>
    </row>
    <row r="32804" spans="18:18" s="2" customFormat="1" ht="12.75" x14ac:dyDescent="0.2">
      <c r="R32804" s="1288"/>
    </row>
    <row r="32805" spans="18:18" s="2" customFormat="1" ht="12.75" x14ac:dyDescent="0.2">
      <c r="R32805" s="1288"/>
    </row>
    <row r="32806" spans="18:18" s="2" customFormat="1" ht="12.75" x14ac:dyDescent="0.2">
      <c r="R32806" s="1288"/>
    </row>
    <row r="32807" spans="18:18" s="2" customFormat="1" ht="12.75" x14ac:dyDescent="0.2">
      <c r="R32807" s="1288"/>
    </row>
    <row r="32808" spans="18:18" s="2" customFormat="1" ht="12.75" x14ac:dyDescent="0.2">
      <c r="R32808" s="1288"/>
    </row>
    <row r="32809" spans="18:18" s="2" customFormat="1" ht="12.75" x14ac:dyDescent="0.2">
      <c r="R32809" s="1288"/>
    </row>
    <row r="32810" spans="18:18" s="2" customFormat="1" ht="12.75" x14ac:dyDescent="0.2">
      <c r="R32810" s="1288"/>
    </row>
    <row r="32811" spans="18:18" s="2" customFormat="1" ht="12.75" x14ac:dyDescent="0.2">
      <c r="R32811" s="1288"/>
    </row>
    <row r="32812" spans="18:18" s="2" customFormat="1" ht="12.75" x14ac:dyDescent="0.2">
      <c r="R32812" s="1288"/>
    </row>
    <row r="32813" spans="18:18" s="2" customFormat="1" ht="12.75" x14ac:dyDescent="0.2">
      <c r="R32813" s="1288"/>
    </row>
    <row r="32814" spans="18:18" s="2" customFormat="1" ht="12.75" x14ac:dyDescent="0.2">
      <c r="R32814" s="1288"/>
    </row>
    <row r="32815" spans="18:18" s="2" customFormat="1" ht="12.75" x14ac:dyDescent="0.2">
      <c r="R32815" s="1288"/>
    </row>
    <row r="32816" spans="18:18" s="2" customFormat="1" ht="12.75" x14ac:dyDescent="0.2">
      <c r="R32816" s="1288"/>
    </row>
    <row r="32817" spans="18:18" s="2" customFormat="1" ht="12.75" x14ac:dyDescent="0.2">
      <c r="R32817" s="1288"/>
    </row>
    <row r="32818" spans="18:18" s="2" customFormat="1" ht="12.75" x14ac:dyDescent="0.2">
      <c r="R32818" s="1288"/>
    </row>
    <row r="32819" spans="18:18" s="2" customFormat="1" ht="12.75" x14ac:dyDescent="0.2">
      <c r="R32819" s="1288"/>
    </row>
    <row r="32820" spans="18:18" s="2" customFormat="1" ht="12.75" x14ac:dyDescent="0.2">
      <c r="R32820" s="1288"/>
    </row>
    <row r="32821" spans="18:18" s="2" customFormat="1" ht="12.75" x14ac:dyDescent="0.2">
      <c r="R32821" s="1288"/>
    </row>
    <row r="32822" spans="18:18" s="2" customFormat="1" ht="12.75" x14ac:dyDescent="0.2">
      <c r="R32822" s="1288"/>
    </row>
    <row r="32823" spans="18:18" s="2" customFormat="1" ht="12.75" x14ac:dyDescent="0.2">
      <c r="R32823" s="1288"/>
    </row>
    <row r="32824" spans="18:18" s="2" customFormat="1" ht="12.75" x14ac:dyDescent="0.2">
      <c r="R32824" s="1288"/>
    </row>
    <row r="32825" spans="18:18" s="2" customFormat="1" ht="12.75" x14ac:dyDescent="0.2">
      <c r="R32825" s="1288"/>
    </row>
    <row r="32826" spans="18:18" s="2" customFormat="1" ht="12.75" x14ac:dyDescent="0.2">
      <c r="R32826" s="1288"/>
    </row>
    <row r="32827" spans="18:18" s="2" customFormat="1" ht="12.75" x14ac:dyDescent="0.2">
      <c r="R32827" s="1288"/>
    </row>
    <row r="32828" spans="18:18" s="2" customFormat="1" ht="12.75" x14ac:dyDescent="0.2">
      <c r="R32828" s="1288"/>
    </row>
    <row r="32829" spans="18:18" s="2" customFormat="1" ht="12.75" x14ac:dyDescent="0.2">
      <c r="R32829" s="1288"/>
    </row>
    <row r="32830" spans="18:18" s="2" customFormat="1" ht="12.75" x14ac:dyDescent="0.2">
      <c r="R32830" s="1288"/>
    </row>
    <row r="32831" spans="18:18" s="2" customFormat="1" ht="12.75" x14ac:dyDescent="0.2">
      <c r="R32831" s="1288"/>
    </row>
    <row r="32832" spans="18:18" s="2" customFormat="1" ht="12.75" x14ac:dyDescent="0.2">
      <c r="R32832" s="1288"/>
    </row>
    <row r="32833" spans="18:18" s="2" customFormat="1" ht="12.75" x14ac:dyDescent="0.2">
      <c r="R32833" s="1288"/>
    </row>
    <row r="32834" spans="18:18" s="2" customFormat="1" ht="12.75" x14ac:dyDescent="0.2">
      <c r="R32834" s="1288"/>
    </row>
    <row r="32835" spans="18:18" s="2" customFormat="1" ht="12.75" x14ac:dyDescent="0.2">
      <c r="R32835" s="1288"/>
    </row>
    <row r="32836" spans="18:18" s="2" customFormat="1" ht="12.75" x14ac:dyDescent="0.2">
      <c r="R32836" s="1288"/>
    </row>
    <row r="32837" spans="18:18" s="2" customFormat="1" ht="12.75" x14ac:dyDescent="0.2">
      <c r="R32837" s="1288"/>
    </row>
    <row r="32838" spans="18:18" s="2" customFormat="1" ht="12.75" x14ac:dyDescent="0.2">
      <c r="R32838" s="1288"/>
    </row>
    <row r="32839" spans="18:18" s="2" customFormat="1" ht="12.75" x14ac:dyDescent="0.2">
      <c r="R32839" s="1288"/>
    </row>
    <row r="32840" spans="18:18" s="2" customFormat="1" ht="12.75" x14ac:dyDescent="0.2">
      <c r="R32840" s="1288"/>
    </row>
    <row r="32841" spans="18:18" s="2" customFormat="1" ht="12.75" x14ac:dyDescent="0.2">
      <c r="R32841" s="1288"/>
    </row>
    <row r="32842" spans="18:18" s="2" customFormat="1" ht="12.75" x14ac:dyDescent="0.2">
      <c r="R32842" s="1288"/>
    </row>
    <row r="32843" spans="18:18" s="2" customFormat="1" ht="12.75" x14ac:dyDescent="0.2">
      <c r="R32843" s="1288"/>
    </row>
    <row r="32844" spans="18:18" s="2" customFormat="1" ht="12.75" x14ac:dyDescent="0.2">
      <c r="R32844" s="1288"/>
    </row>
    <row r="32845" spans="18:18" s="2" customFormat="1" ht="12.75" x14ac:dyDescent="0.2">
      <c r="R32845" s="1288"/>
    </row>
    <row r="32846" spans="18:18" s="2" customFormat="1" ht="12.75" x14ac:dyDescent="0.2">
      <c r="R32846" s="1288"/>
    </row>
    <row r="32847" spans="18:18" s="2" customFormat="1" ht="12.75" x14ac:dyDescent="0.2">
      <c r="R32847" s="1288"/>
    </row>
    <row r="32848" spans="18:18" s="2" customFormat="1" ht="12.75" x14ac:dyDescent="0.2">
      <c r="R32848" s="1288"/>
    </row>
    <row r="32849" spans="18:18" s="2" customFormat="1" ht="12.75" x14ac:dyDescent="0.2">
      <c r="R32849" s="1288"/>
    </row>
    <row r="32850" spans="18:18" s="2" customFormat="1" ht="12.75" x14ac:dyDescent="0.2">
      <c r="R32850" s="1288"/>
    </row>
    <row r="32851" spans="18:18" s="2" customFormat="1" ht="12.75" x14ac:dyDescent="0.2">
      <c r="R32851" s="1288"/>
    </row>
    <row r="32852" spans="18:18" s="2" customFormat="1" ht="12.75" x14ac:dyDescent="0.2">
      <c r="R32852" s="1288"/>
    </row>
    <row r="32853" spans="18:18" s="2" customFormat="1" ht="12.75" x14ac:dyDescent="0.2">
      <c r="R32853" s="1288"/>
    </row>
    <row r="32854" spans="18:18" s="2" customFormat="1" ht="12.75" x14ac:dyDescent="0.2">
      <c r="R32854" s="1288"/>
    </row>
    <row r="32855" spans="18:18" s="2" customFormat="1" ht="12.75" x14ac:dyDescent="0.2">
      <c r="R32855" s="1288"/>
    </row>
    <row r="32856" spans="18:18" s="2" customFormat="1" ht="12.75" x14ac:dyDescent="0.2">
      <c r="R32856" s="1288"/>
    </row>
    <row r="32857" spans="18:18" s="2" customFormat="1" ht="12.75" x14ac:dyDescent="0.2">
      <c r="R32857" s="1288"/>
    </row>
    <row r="32858" spans="18:18" s="2" customFormat="1" ht="12.75" x14ac:dyDescent="0.2">
      <c r="R32858" s="1288"/>
    </row>
    <row r="32859" spans="18:18" s="2" customFormat="1" ht="12.75" x14ac:dyDescent="0.2">
      <c r="R32859" s="1288"/>
    </row>
    <row r="32860" spans="18:18" s="2" customFormat="1" ht="12.75" x14ac:dyDescent="0.2">
      <c r="R32860" s="1288"/>
    </row>
    <row r="32861" spans="18:18" s="2" customFormat="1" ht="12.75" x14ac:dyDescent="0.2">
      <c r="R32861" s="1288"/>
    </row>
    <row r="32862" spans="18:18" s="2" customFormat="1" ht="12.75" x14ac:dyDescent="0.2">
      <c r="R32862" s="1288"/>
    </row>
    <row r="32863" spans="18:18" s="2" customFormat="1" ht="12.75" x14ac:dyDescent="0.2">
      <c r="R32863" s="1288"/>
    </row>
    <row r="32864" spans="18:18" s="2" customFormat="1" ht="12.75" x14ac:dyDescent="0.2">
      <c r="R32864" s="1288"/>
    </row>
    <row r="32865" spans="18:18" s="2" customFormat="1" ht="12.75" x14ac:dyDescent="0.2">
      <c r="R32865" s="1288"/>
    </row>
    <row r="32866" spans="18:18" s="2" customFormat="1" ht="12.75" x14ac:dyDescent="0.2">
      <c r="R32866" s="1288"/>
    </row>
    <row r="32867" spans="18:18" s="2" customFormat="1" ht="12.75" x14ac:dyDescent="0.2">
      <c r="R32867" s="1288"/>
    </row>
    <row r="32868" spans="18:18" s="2" customFormat="1" ht="12.75" x14ac:dyDescent="0.2">
      <c r="R32868" s="1288"/>
    </row>
    <row r="32869" spans="18:18" s="2" customFormat="1" ht="12.75" x14ac:dyDescent="0.2">
      <c r="R32869" s="1288"/>
    </row>
    <row r="32870" spans="18:18" s="2" customFormat="1" ht="12.75" x14ac:dyDescent="0.2">
      <c r="R32870" s="1288"/>
    </row>
    <row r="32871" spans="18:18" s="2" customFormat="1" ht="12.75" x14ac:dyDescent="0.2">
      <c r="R32871" s="1288"/>
    </row>
    <row r="32872" spans="18:18" s="2" customFormat="1" ht="12.75" x14ac:dyDescent="0.2">
      <c r="R32872" s="1288"/>
    </row>
    <row r="32873" spans="18:18" s="2" customFormat="1" ht="12.75" x14ac:dyDescent="0.2">
      <c r="R32873" s="1288"/>
    </row>
    <row r="32874" spans="18:18" s="2" customFormat="1" ht="12.75" x14ac:dyDescent="0.2">
      <c r="R32874" s="1288"/>
    </row>
    <row r="32875" spans="18:18" s="2" customFormat="1" ht="12.75" x14ac:dyDescent="0.2">
      <c r="R32875" s="1288"/>
    </row>
    <row r="32876" spans="18:18" s="2" customFormat="1" ht="12.75" x14ac:dyDescent="0.2">
      <c r="R32876" s="1288"/>
    </row>
    <row r="32877" spans="18:18" s="2" customFormat="1" ht="12.75" x14ac:dyDescent="0.2">
      <c r="R32877" s="1288"/>
    </row>
    <row r="32878" spans="18:18" s="2" customFormat="1" ht="12.75" x14ac:dyDescent="0.2">
      <c r="R32878" s="1288"/>
    </row>
    <row r="32879" spans="18:18" s="2" customFormat="1" ht="12.75" x14ac:dyDescent="0.2">
      <c r="R32879" s="1288"/>
    </row>
    <row r="32880" spans="18:18" s="2" customFormat="1" ht="12.75" x14ac:dyDescent="0.2">
      <c r="R32880" s="1288"/>
    </row>
    <row r="32881" spans="18:18" s="2" customFormat="1" ht="12.75" x14ac:dyDescent="0.2">
      <c r="R32881" s="1288"/>
    </row>
    <row r="32882" spans="18:18" s="2" customFormat="1" ht="12.75" x14ac:dyDescent="0.2">
      <c r="R32882" s="1288"/>
    </row>
    <row r="32883" spans="18:18" s="2" customFormat="1" ht="12.75" x14ac:dyDescent="0.2">
      <c r="R32883" s="1288"/>
    </row>
    <row r="32884" spans="18:18" s="2" customFormat="1" ht="12.75" x14ac:dyDescent="0.2">
      <c r="R32884" s="1288"/>
    </row>
    <row r="32885" spans="18:18" s="2" customFormat="1" ht="12.75" x14ac:dyDescent="0.2">
      <c r="R32885" s="1288"/>
    </row>
    <row r="32886" spans="18:18" s="2" customFormat="1" ht="12.75" x14ac:dyDescent="0.2">
      <c r="R32886" s="1288"/>
    </row>
    <row r="32887" spans="18:18" s="2" customFormat="1" ht="12.75" x14ac:dyDescent="0.2">
      <c r="R32887" s="1288"/>
    </row>
    <row r="32888" spans="18:18" s="2" customFormat="1" ht="12.75" x14ac:dyDescent="0.2">
      <c r="R32888" s="1288"/>
    </row>
    <row r="32889" spans="18:18" s="2" customFormat="1" ht="12.75" x14ac:dyDescent="0.2">
      <c r="R32889" s="1288"/>
    </row>
    <row r="32890" spans="18:18" s="2" customFormat="1" ht="12.75" x14ac:dyDescent="0.2">
      <c r="R32890" s="1288"/>
    </row>
    <row r="32891" spans="18:18" s="2" customFormat="1" ht="12.75" x14ac:dyDescent="0.2">
      <c r="R32891" s="1288"/>
    </row>
    <row r="32892" spans="18:18" s="2" customFormat="1" ht="12.75" x14ac:dyDescent="0.2">
      <c r="R32892" s="1288"/>
    </row>
    <row r="32893" spans="18:18" s="2" customFormat="1" ht="12.75" x14ac:dyDescent="0.2">
      <c r="R32893" s="1288"/>
    </row>
    <row r="32894" spans="18:18" s="2" customFormat="1" ht="12.75" x14ac:dyDescent="0.2">
      <c r="R32894" s="1288"/>
    </row>
    <row r="32895" spans="18:18" s="2" customFormat="1" ht="12.75" x14ac:dyDescent="0.2">
      <c r="R32895" s="1288"/>
    </row>
    <row r="32896" spans="18:18" s="2" customFormat="1" ht="12.75" x14ac:dyDescent="0.2">
      <c r="R32896" s="1288"/>
    </row>
    <row r="32897" spans="18:18" s="2" customFormat="1" ht="12.75" x14ac:dyDescent="0.2">
      <c r="R32897" s="1288"/>
    </row>
    <row r="32898" spans="18:18" s="2" customFormat="1" ht="12.75" x14ac:dyDescent="0.2">
      <c r="R32898" s="1288"/>
    </row>
    <row r="32899" spans="18:18" s="2" customFormat="1" ht="12.75" x14ac:dyDescent="0.2">
      <c r="R32899" s="1288"/>
    </row>
    <row r="32900" spans="18:18" s="2" customFormat="1" ht="12.75" x14ac:dyDescent="0.2">
      <c r="R32900" s="1288"/>
    </row>
    <row r="32901" spans="18:18" s="2" customFormat="1" ht="12.75" x14ac:dyDescent="0.2">
      <c r="R32901" s="1288"/>
    </row>
    <row r="32902" spans="18:18" s="2" customFormat="1" ht="12.75" x14ac:dyDescent="0.2">
      <c r="R32902" s="1288"/>
    </row>
    <row r="32903" spans="18:18" s="2" customFormat="1" ht="12.75" x14ac:dyDescent="0.2">
      <c r="R32903" s="1288"/>
    </row>
    <row r="32904" spans="18:18" s="2" customFormat="1" ht="12.75" x14ac:dyDescent="0.2">
      <c r="R32904" s="1288"/>
    </row>
    <row r="32905" spans="18:18" s="2" customFormat="1" ht="12.75" x14ac:dyDescent="0.2">
      <c r="R32905" s="1288"/>
    </row>
    <row r="32906" spans="18:18" s="2" customFormat="1" ht="12.75" x14ac:dyDescent="0.2">
      <c r="R32906" s="1288"/>
    </row>
    <row r="32907" spans="18:18" s="2" customFormat="1" ht="12.75" x14ac:dyDescent="0.2">
      <c r="R32907" s="1288"/>
    </row>
    <row r="32908" spans="18:18" s="2" customFormat="1" ht="12.75" x14ac:dyDescent="0.2">
      <c r="R32908" s="1288"/>
    </row>
    <row r="32909" spans="18:18" s="2" customFormat="1" ht="12.75" x14ac:dyDescent="0.2">
      <c r="R32909" s="1288"/>
    </row>
    <row r="32910" spans="18:18" s="2" customFormat="1" ht="12.75" x14ac:dyDescent="0.2">
      <c r="R32910" s="1288"/>
    </row>
    <row r="32911" spans="18:18" s="2" customFormat="1" ht="12.75" x14ac:dyDescent="0.2">
      <c r="R32911" s="1288"/>
    </row>
    <row r="32912" spans="18:18" s="2" customFormat="1" ht="12.75" x14ac:dyDescent="0.2">
      <c r="R32912" s="1288"/>
    </row>
    <row r="32913" spans="18:18" s="2" customFormat="1" ht="12.75" x14ac:dyDescent="0.2">
      <c r="R32913" s="1288"/>
    </row>
    <row r="32914" spans="18:18" s="2" customFormat="1" ht="12.75" x14ac:dyDescent="0.2">
      <c r="R32914" s="1288"/>
    </row>
    <row r="32915" spans="18:18" s="2" customFormat="1" ht="12.75" x14ac:dyDescent="0.2">
      <c r="R32915" s="1288"/>
    </row>
    <row r="32916" spans="18:18" s="2" customFormat="1" ht="12.75" x14ac:dyDescent="0.2">
      <c r="R32916" s="1288"/>
    </row>
    <row r="32917" spans="18:18" s="2" customFormat="1" ht="12.75" x14ac:dyDescent="0.2">
      <c r="R32917" s="1288"/>
    </row>
    <row r="32918" spans="18:18" s="2" customFormat="1" ht="12.75" x14ac:dyDescent="0.2">
      <c r="R32918" s="1288"/>
    </row>
    <row r="32919" spans="18:18" s="2" customFormat="1" ht="12.75" x14ac:dyDescent="0.2">
      <c r="R32919" s="1288"/>
    </row>
    <row r="32920" spans="18:18" s="2" customFormat="1" ht="12.75" x14ac:dyDescent="0.2">
      <c r="R32920" s="1288"/>
    </row>
    <row r="32921" spans="18:18" s="2" customFormat="1" ht="12.75" x14ac:dyDescent="0.2">
      <c r="R32921" s="1288"/>
    </row>
    <row r="32922" spans="18:18" s="2" customFormat="1" ht="12.75" x14ac:dyDescent="0.2">
      <c r="R32922" s="1288"/>
    </row>
    <row r="32923" spans="18:18" s="2" customFormat="1" ht="12.75" x14ac:dyDescent="0.2">
      <c r="R32923" s="1288"/>
    </row>
    <row r="32924" spans="18:18" s="2" customFormat="1" ht="12.75" x14ac:dyDescent="0.2">
      <c r="R32924" s="1288"/>
    </row>
    <row r="32925" spans="18:18" s="2" customFormat="1" ht="12.75" x14ac:dyDescent="0.2">
      <c r="R32925" s="1288"/>
    </row>
    <row r="32926" spans="18:18" s="2" customFormat="1" ht="12.75" x14ac:dyDescent="0.2">
      <c r="R32926" s="1288"/>
    </row>
    <row r="32927" spans="18:18" s="2" customFormat="1" ht="12.75" x14ac:dyDescent="0.2">
      <c r="R32927" s="1288"/>
    </row>
    <row r="32928" spans="18:18" s="2" customFormat="1" ht="12.75" x14ac:dyDescent="0.2">
      <c r="R32928" s="1288"/>
    </row>
    <row r="32929" spans="18:18" s="2" customFormat="1" ht="12.75" x14ac:dyDescent="0.2">
      <c r="R32929" s="1288"/>
    </row>
    <row r="32930" spans="18:18" s="2" customFormat="1" ht="12.75" x14ac:dyDescent="0.2">
      <c r="R32930" s="1288"/>
    </row>
    <row r="32931" spans="18:18" s="2" customFormat="1" ht="12.75" x14ac:dyDescent="0.2">
      <c r="R32931" s="1288"/>
    </row>
    <row r="32932" spans="18:18" s="2" customFormat="1" ht="12.75" x14ac:dyDescent="0.2">
      <c r="R32932" s="1288"/>
    </row>
    <row r="32933" spans="18:18" s="2" customFormat="1" ht="12.75" x14ac:dyDescent="0.2">
      <c r="R32933" s="1288"/>
    </row>
    <row r="32934" spans="18:18" s="2" customFormat="1" ht="12.75" x14ac:dyDescent="0.2">
      <c r="R32934" s="1288"/>
    </row>
    <row r="32935" spans="18:18" s="2" customFormat="1" ht="12.75" x14ac:dyDescent="0.2">
      <c r="R32935" s="1288"/>
    </row>
    <row r="32936" spans="18:18" s="2" customFormat="1" ht="12.75" x14ac:dyDescent="0.2">
      <c r="R32936" s="1288"/>
    </row>
    <row r="32937" spans="18:18" s="2" customFormat="1" ht="12.75" x14ac:dyDescent="0.2">
      <c r="R32937" s="1288"/>
    </row>
    <row r="32938" spans="18:18" s="2" customFormat="1" ht="12.75" x14ac:dyDescent="0.2">
      <c r="R32938" s="1288"/>
    </row>
    <row r="32939" spans="18:18" s="2" customFormat="1" ht="12.75" x14ac:dyDescent="0.2">
      <c r="R32939" s="1288"/>
    </row>
    <row r="32940" spans="18:18" s="2" customFormat="1" ht="12.75" x14ac:dyDescent="0.2">
      <c r="R32940" s="1288"/>
    </row>
    <row r="32941" spans="18:18" s="2" customFormat="1" ht="12.75" x14ac:dyDescent="0.2">
      <c r="R32941" s="1288"/>
    </row>
    <row r="32942" spans="18:18" s="2" customFormat="1" ht="12.75" x14ac:dyDescent="0.2">
      <c r="R32942" s="1288"/>
    </row>
    <row r="32943" spans="18:18" s="2" customFormat="1" ht="12.75" x14ac:dyDescent="0.2">
      <c r="R32943" s="1288"/>
    </row>
    <row r="32944" spans="18:18" s="2" customFormat="1" ht="12.75" x14ac:dyDescent="0.2">
      <c r="R32944" s="1288"/>
    </row>
    <row r="32945" spans="18:18" s="2" customFormat="1" ht="12.75" x14ac:dyDescent="0.2">
      <c r="R32945" s="1288"/>
    </row>
    <row r="32946" spans="18:18" s="2" customFormat="1" ht="12.75" x14ac:dyDescent="0.2">
      <c r="R32946" s="1288"/>
    </row>
    <row r="32947" spans="18:18" s="2" customFormat="1" ht="12.75" x14ac:dyDescent="0.2">
      <c r="R32947" s="1288"/>
    </row>
    <row r="32948" spans="18:18" s="2" customFormat="1" ht="12.75" x14ac:dyDescent="0.2">
      <c r="R32948" s="1288"/>
    </row>
    <row r="32949" spans="18:18" s="2" customFormat="1" ht="12.75" x14ac:dyDescent="0.2">
      <c r="R32949" s="1288"/>
    </row>
    <row r="32950" spans="18:18" s="2" customFormat="1" ht="12.75" x14ac:dyDescent="0.2">
      <c r="R32950" s="1288"/>
    </row>
    <row r="32951" spans="18:18" s="2" customFormat="1" ht="12.75" x14ac:dyDescent="0.2">
      <c r="R32951" s="1288"/>
    </row>
    <row r="32952" spans="18:18" s="2" customFormat="1" ht="12.75" x14ac:dyDescent="0.2">
      <c r="R32952" s="1288"/>
    </row>
    <row r="32953" spans="18:18" s="2" customFormat="1" ht="12.75" x14ac:dyDescent="0.2">
      <c r="R32953" s="1288"/>
    </row>
    <row r="32954" spans="18:18" s="2" customFormat="1" ht="12.75" x14ac:dyDescent="0.2">
      <c r="R32954" s="1288"/>
    </row>
    <row r="32955" spans="18:18" s="2" customFormat="1" ht="12.75" x14ac:dyDescent="0.2">
      <c r="R32955" s="1288"/>
    </row>
    <row r="32956" spans="18:18" s="2" customFormat="1" ht="12.75" x14ac:dyDescent="0.2">
      <c r="R32956" s="1288"/>
    </row>
    <row r="32957" spans="18:18" s="2" customFormat="1" ht="12.75" x14ac:dyDescent="0.2">
      <c r="R32957" s="1288"/>
    </row>
    <row r="32958" spans="18:18" s="2" customFormat="1" ht="12.75" x14ac:dyDescent="0.2">
      <c r="R32958" s="1288"/>
    </row>
    <row r="32959" spans="18:18" s="2" customFormat="1" ht="12.75" x14ac:dyDescent="0.2">
      <c r="R32959" s="1288"/>
    </row>
    <row r="32960" spans="18:18" s="2" customFormat="1" ht="12.75" x14ac:dyDescent="0.2">
      <c r="R32960" s="1288"/>
    </row>
    <row r="32961" spans="18:18" s="2" customFormat="1" ht="12.75" x14ac:dyDescent="0.2">
      <c r="R32961" s="1288"/>
    </row>
    <row r="32962" spans="18:18" s="2" customFormat="1" ht="12.75" x14ac:dyDescent="0.2">
      <c r="R32962" s="1288"/>
    </row>
    <row r="32963" spans="18:18" s="2" customFormat="1" ht="12.75" x14ac:dyDescent="0.2">
      <c r="R32963" s="1288"/>
    </row>
    <row r="32964" spans="18:18" s="2" customFormat="1" ht="12.75" x14ac:dyDescent="0.2">
      <c r="R32964" s="1288"/>
    </row>
    <row r="32965" spans="18:18" s="2" customFormat="1" ht="12.75" x14ac:dyDescent="0.2">
      <c r="R32965" s="1288"/>
    </row>
    <row r="32966" spans="18:18" s="2" customFormat="1" ht="12.75" x14ac:dyDescent="0.2">
      <c r="R32966" s="1288"/>
    </row>
    <row r="32967" spans="18:18" s="2" customFormat="1" ht="12.75" x14ac:dyDescent="0.2">
      <c r="R32967" s="1288"/>
    </row>
    <row r="32968" spans="18:18" s="2" customFormat="1" ht="12.75" x14ac:dyDescent="0.2">
      <c r="R32968" s="1288"/>
    </row>
    <row r="32969" spans="18:18" s="2" customFormat="1" ht="12.75" x14ac:dyDescent="0.2">
      <c r="R32969" s="1288"/>
    </row>
    <row r="32970" spans="18:18" s="2" customFormat="1" ht="12.75" x14ac:dyDescent="0.2">
      <c r="R32970" s="1288"/>
    </row>
    <row r="32971" spans="18:18" s="2" customFormat="1" ht="12.75" x14ac:dyDescent="0.2">
      <c r="R32971" s="1288"/>
    </row>
    <row r="32972" spans="18:18" s="2" customFormat="1" ht="12.75" x14ac:dyDescent="0.2">
      <c r="R32972" s="1288"/>
    </row>
    <row r="32973" spans="18:18" s="2" customFormat="1" ht="12.75" x14ac:dyDescent="0.2">
      <c r="R32973" s="1288"/>
    </row>
    <row r="32974" spans="18:18" s="2" customFormat="1" ht="12.75" x14ac:dyDescent="0.2">
      <c r="R32974" s="1288"/>
    </row>
    <row r="32975" spans="18:18" s="2" customFormat="1" ht="12.75" x14ac:dyDescent="0.2">
      <c r="R32975" s="1288"/>
    </row>
    <row r="32976" spans="18:18" s="2" customFormat="1" ht="12.75" x14ac:dyDescent="0.2">
      <c r="R32976" s="1288"/>
    </row>
    <row r="32977" spans="18:18" s="2" customFormat="1" ht="12.75" x14ac:dyDescent="0.2">
      <c r="R32977" s="1288"/>
    </row>
    <row r="32978" spans="18:18" s="2" customFormat="1" ht="12.75" x14ac:dyDescent="0.2">
      <c r="R32978" s="1288"/>
    </row>
    <row r="32979" spans="18:18" s="2" customFormat="1" ht="12.75" x14ac:dyDescent="0.2">
      <c r="R32979" s="1288"/>
    </row>
    <row r="32980" spans="18:18" s="2" customFormat="1" ht="12.75" x14ac:dyDescent="0.2">
      <c r="R32980" s="1288"/>
    </row>
    <row r="32981" spans="18:18" s="2" customFormat="1" ht="12.75" x14ac:dyDescent="0.2">
      <c r="R32981" s="1288"/>
    </row>
    <row r="32982" spans="18:18" s="2" customFormat="1" ht="12.75" x14ac:dyDescent="0.2">
      <c r="R32982" s="1288"/>
    </row>
    <row r="32983" spans="18:18" s="2" customFormat="1" ht="12.75" x14ac:dyDescent="0.2">
      <c r="R32983" s="1288"/>
    </row>
    <row r="32984" spans="18:18" s="2" customFormat="1" ht="12.75" x14ac:dyDescent="0.2">
      <c r="R32984" s="1288"/>
    </row>
    <row r="32985" spans="18:18" s="2" customFormat="1" ht="12.75" x14ac:dyDescent="0.2">
      <c r="R32985" s="1288"/>
    </row>
    <row r="32986" spans="18:18" s="2" customFormat="1" ht="12.75" x14ac:dyDescent="0.2">
      <c r="R32986" s="1288"/>
    </row>
    <row r="32987" spans="18:18" s="2" customFormat="1" ht="12.75" x14ac:dyDescent="0.2">
      <c r="R32987" s="1288"/>
    </row>
    <row r="32988" spans="18:18" s="2" customFormat="1" ht="12.75" x14ac:dyDescent="0.2">
      <c r="R32988" s="1288"/>
    </row>
    <row r="32989" spans="18:18" s="2" customFormat="1" ht="12.75" x14ac:dyDescent="0.2">
      <c r="R32989" s="1288"/>
    </row>
    <row r="32990" spans="18:18" s="2" customFormat="1" ht="12.75" x14ac:dyDescent="0.2">
      <c r="R32990" s="1288"/>
    </row>
    <row r="32991" spans="18:18" s="2" customFormat="1" ht="12.75" x14ac:dyDescent="0.2">
      <c r="R32991" s="1288"/>
    </row>
    <row r="32992" spans="18:18" s="2" customFormat="1" ht="12.75" x14ac:dyDescent="0.2">
      <c r="R32992" s="1288"/>
    </row>
    <row r="32993" spans="18:18" s="2" customFormat="1" ht="12.75" x14ac:dyDescent="0.2">
      <c r="R32993" s="1288"/>
    </row>
    <row r="32994" spans="18:18" s="2" customFormat="1" ht="12.75" x14ac:dyDescent="0.2">
      <c r="R32994" s="1288"/>
    </row>
    <row r="32995" spans="18:18" s="2" customFormat="1" ht="12.75" x14ac:dyDescent="0.2">
      <c r="R32995" s="1288"/>
    </row>
    <row r="32996" spans="18:18" s="2" customFormat="1" ht="12.75" x14ac:dyDescent="0.2">
      <c r="R32996" s="1288"/>
    </row>
    <row r="32997" spans="18:18" s="2" customFormat="1" ht="12.75" x14ac:dyDescent="0.2">
      <c r="R32997" s="1288"/>
    </row>
    <row r="32998" spans="18:18" s="2" customFormat="1" ht="12.75" x14ac:dyDescent="0.2">
      <c r="R32998" s="1288"/>
    </row>
    <row r="32999" spans="18:18" s="2" customFormat="1" ht="12.75" x14ac:dyDescent="0.2">
      <c r="R32999" s="1288"/>
    </row>
    <row r="33000" spans="18:18" s="2" customFormat="1" ht="12.75" x14ac:dyDescent="0.2">
      <c r="R33000" s="1288"/>
    </row>
    <row r="33001" spans="18:18" s="2" customFormat="1" ht="12.75" x14ac:dyDescent="0.2">
      <c r="R33001" s="1288"/>
    </row>
    <row r="33002" spans="18:18" s="2" customFormat="1" ht="12.75" x14ac:dyDescent="0.2">
      <c r="R33002" s="1288"/>
    </row>
    <row r="33003" spans="18:18" s="2" customFormat="1" ht="12.75" x14ac:dyDescent="0.2">
      <c r="R33003" s="1288"/>
    </row>
    <row r="33004" spans="18:18" s="2" customFormat="1" ht="12.75" x14ac:dyDescent="0.2">
      <c r="R33004" s="1288"/>
    </row>
    <row r="33005" spans="18:18" s="2" customFormat="1" ht="12.75" x14ac:dyDescent="0.2">
      <c r="R33005" s="1288"/>
    </row>
    <row r="33006" spans="18:18" s="2" customFormat="1" ht="12.75" x14ac:dyDescent="0.2">
      <c r="R33006" s="1288"/>
    </row>
    <row r="33007" spans="18:18" s="2" customFormat="1" ht="12.75" x14ac:dyDescent="0.2">
      <c r="R33007" s="1288"/>
    </row>
    <row r="33008" spans="18:18" s="2" customFormat="1" ht="12.75" x14ac:dyDescent="0.2">
      <c r="R33008" s="1288"/>
    </row>
    <row r="33009" spans="18:18" s="2" customFormat="1" ht="12.75" x14ac:dyDescent="0.2">
      <c r="R33009" s="1288"/>
    </row>
    <row r="33010" spans="18:18" s="2" customFormat="1" ht="12.75" x14ac:dyDescent="0.2">
      <c r="R33010" s="1288"/>
    </row>
    <row r="33011" spans="18:18" s="2" customFormat="1" ht="12.75" x14ac:dyDescent="0.2">
      <c r="R33011" s="1288"/>
    </row>
    <row r="33012" spans="18:18" s="2" customFormat="1" ht="12.75" x14ac:dyDescent="0.2">
      <c r="R33012" s="1288"/>
    </row>
    <row r="33013" spans="18:18" s="2" customFormat="1" ht="12.75" x14ac:dyDescent="0.2">
      <c r="R33013" s="1288"/>
    </row>
    <row r="33014" spans="18:18" s="2" customFormat="1" ht="12.75" x14ac:dyDescent="0.2">
      <c r="R33014" s="1288"/>
    </row>
    <row r="33015" spans="18:18" s="2" customFormat="1" ht="12.75" x14ac:dyDescent="0.2">
      <c r="R33015" s="1288"/>
    </row>
    <row r="33016" spans="18:18" s="2" customFormat="1" ht="12.75" x14ac:dyDescent="0.2">
      <c r="R33016" s="1288"/>
    </row>
    <row r="33017" spans="18:18" s="2" customFormat="1" ht="12.75" x14ac:dyDescent="0.2">
      <c r="R33017" s="1288"/>
    </row>
    <row r="33018" spans="18:18" s="2" customFormat="1" ht="12.75" x14ac:dyDescent="0.2">
      <c r="R33018" s="1288"/>
    </row>
    <row r="33019" spans="18:18" s="2" customFormat="1" ht="12.75" x14ac:dyDescent="0.2">
      <c r="R33019" s="1288"/>
    </row>
    <row r="33020" spans="18:18" s="2" customFormat="1" ht="12.75" x14ac:dyDescent="0.2">
      <c r="R33020" s="1288"/>
    </row>
    <row r="33021" spans="18:18" s="2" customFormat="1" ht="12.75" x14ac:dyDescent="0.2">
      <c r="R33021" s="1288"/>
    </row>
    <row r="33022" spans="18:18" s="2" customFormat="1" ht="12.75" x14ac:dyDescent="0.2">
      <c r="R33022" s="1288"/>
    </row>
    <row r="33023" spans="18:18" s="2" customFormat="1" ht="12.75" x14ac:dyDescent="0.2">
      <c r="R33023" s="1288"/>
    </row>
    <row r="33024" spans="18:18" s="2" customFormat="1" ht="12.75" x14ac:dyDescent="0.2">
      <c r="R33024" s="1288"/>
    </row>
    <row r="33025" spans="18:18" s="2" customFormat="1" ht="12.75" x14ac:dyDescent="0.2">
      <c r="R33025" s="1288"/>
    </row>
    <row r="33026" spans="18:18" s="2" customFormat="1" ht="12.75" x14ac:dyDescent="0.2">
      <c r="R33026" s="1288"/>
    </row>
    <row r="33027" spans="18:18" s="2" customFormat="1" ht="12.75" x14ac:dyDescent="0.2">
      <c r="R33027" s="1288"/>
    </row>
    <row r="33028" spans="18:18" s="2" customFormat="1" ht="12.75" x14ac:dyDescent="0.2">
      <c r="R33028" s="1288"/>
    </row>
    <row r="33029" spans="18:18" s="2" customFormat="1" ht="12.75" x14ac:dyDescent="0.2">
      <c r="R33029" s="1288"/>
    </row>
    <row r="33030" spans="18:18" s="2" customFormat="1" ht="12.75" x14ac:dyDescent="0.2">
      <c r="R33030" s="1288"/>
    </row>
    <row r="33031" spans="18:18" s="2" customFormat="1" ht="12.75" x14ac:dyDescent="0.2">
      <c r="R33031" s="1288"/>
    </row>
    <row r="33032" spans="18:18" s="2" customFormat="1" ht="12.75" x14ac:dyDescent="0.2">
      <c r="R33032" s="1288"/>
    </row>
    <row r="33033" spans="18:18" s="2" customFormat="1" ht="12.75" x14ac:dyDescent="0.2">
      <c r="R33033" s="1288"/>
    </row>
    <row r="33034" spans="18:18" s="2" customFormat="1" ht="12.75" x14ac:dyDescent="0.2">
      <c r="R33034" s="1288"/>
    </row>
    <row r="33035" spans="18:18" s="2" customFormat="1" ht="12.75" x14ac:dyDescent="0.2">
      <c r="R33035" s="1288"/>
    </row>
    <row r="33036" spans="18:18" s="2" customFormat="1" ht="12.75" x14ac:dyDescent="0.2">
      <c r="R33036" s="1288"/>
    </row>
    <row r="33037" spans="18:18" s="2" customFormat="1" ht="12.75" x14ac:dyDescent="0.2">
      <c r="R33037" s="1288"/>
    </row>
    <row r="33038" spans="18:18" s="2" customFormat="1" ht="12.75" x14ac:dyDescent="0.2">
      <c r="R33038" s="1288"/>
    </row>
    <row r="33039" spans="18:18" s="2" customFormat="1" ht="12.75" x14ac:dyDescent="0.2">
      <c r="R33039" s="1288"/>
    </row>
    <row r="33040" spans="18:18" s="2" customFormat="1" ht="12.75" x14ac:dyDescent="0.2">
      <c r="R33040" s="1288"/>
    </row>
    <row r="33041" spans="18:18" s="2" customFormat="1" ht="12.75" x14ac:dyDescent="0.2">
      <c r="R33041" s="1288"/>
    </row>
    <row r="33042" spans="18:18" s="2" customFormat="1" ht="12.75" x14ac:dyDescent="0.2">
      <c r="R33042" s="1288"/>
    </row>
    <row r="33043" spans="18:18" s="2" customFormat="1" ht="12.75" x14ac:dyDescent="0.2">
      <c r="R33043" s="1288"/>
    </row>
    <row r="33044" spans="18:18" s="2" customFormat="1" ht="12.75" x14ac:dyDescent="0.2">
      <c r="R33044" s="1288"/>
    </row>
    <row r="33045" spans="18:18" s="2" customFormat="1" ht="12.75" x14ac:dyDescent="0.2">
      <c r="R33045" s="1288"/>
    </row>
    <row r="33046" spans="18:18" s="2" customFormat="1" ht="12.75" x14ac:dyDescent="0.2">
      <c r="R33046" s="1288"/>
    </row>
    <row r="33047" spans="18:18" s="2" customFormat="1" ht="12.75" x14ac:dyDescent="0.2">
      <c r="R33047" s="1288"/>
    </row>
    <row r="33048" spans="18:18" s="2" customFormat="1" ht="12.75" x14ac:dyDescent="0.2">
      <c r="R33048" s="1288"/>
    </row>
    <row r="33049" spans="18:18" s="2" customFormat="1" ht="12.75" x14ac:dyDescent="0.2">
      <c r="R33049" s="1288"/>
    </row>
    <row r="33050" spans="18:18" s="2" customFormat="1" ht="12.75" x14ac:dyDescent="0.2">
      <c r="R33050" s="1288"/>
    </row>
    <row r="33051" spans="18:18" s="2" customFormat="1" ht="12.75" x14ac:dyDescent="0.2">
      <c r="R33051" s="1288"/>
    </row>
    <row r="33052" spans="18:18" s="2" customFormat="1" ht="12.75" x14ac:dyDescent="0.2">
      <c r="R33052" s="1288"/>
    </row>
    <row r="33053" spans="18:18" s="2" customFormat="1" ht="12.75" x14ac:dyDescent="0.2">
      <c r="R33053" s="1288"/>
    </row>
    <row r="33054" spans="18:18" s="2" customFormat="1" ht="12.75" x14ac:dyDescent="0.2">
      <c r="R33054" s="1288"/>
    </row>
    <row r="33055" spans="18:18" s="2" customFormat="1" ht="12.75" x14ac:dyDescent="0.2">
      <c r="R33055" s="1288"/>
    </row>
    <row r="33056" spans="18:18" s="2" customFormat="1" ht="12.75" x14ac:dyDescent="0.2">
      <c r="R33056" s="1288"/>
    </row>
    <row r="33057" spans="18:18" s="2" customFormat="1" ht="12.75" x14ac:dyDescent="0.2">
      <c r="R33057" s="1288"/>
    </row>
    <row r="33058" spans="18:18" s="2" customFormat="1" ht="12.75" x14ac:dyDescent="0.2">
      <c r="R33058" s="1288"/>
    </row>
    <row r="33059" spans="18:18" s="2" customFormat="1" ht="12.75" x14ac:dyDescent="0.2">
      <c r="R33059" s="1288"/>
    </row>
    <row r="33060" spans="18:18" s="2" customFormat="1" ht="12.75" x14ac:dyDescent="0.2">
      <c r="R33060" s="1288"/>
    </row>
    <row r="33061" spans="18:18" s="2" customFormat="1" ht="12.75" x14ac:dyDescent="0.2">
      <c r="R33061" s="1288"/>
    </row>
    <row r="33062" spans="18:18" s="2" customFormat="1" ht="12.75" x14ac:dyDescent="0.2">
      <c r="R33062" s="1288"/>
    </row>
    <row r="33063" spans="18:18" s="2" customFormat="1" ht="12.75" x14ac:dyDescent="0.2">
      <c r="R33063" s="1288"/>
    </row>
    <row r="33064" spans="18:18" s="2" customFormat="1" ht="12.75" x14ac:dyDescent="0.2">
      <c r="R33064" s="1288"/>
    </row>
    <row r="33065" spans="18:18" s="2" customFormat="1" ht="12.75" x14ac:dyDescent="0.2">
      <c r="R33065" s="1288"/>
    </row>
    <row r="33066" spans="18:18" s="2" customFormat="1" ht="12.75" x14ac:dyDescent="0.2">
      <c r="R33066" s="1288"/>
    </row>
    <row r="33067" spans="18:18" s="2" customFormat="1" ht="12.75" x14ac:dyDescent="0.2">
      <c r="R33067" s="1288"/>
    </row>
    <row r="33068" spans="18:18" s="2" customFormat="1" ht="12.75" x14ac:dyDescent="0.2">
      <c r="R33068" s="1288"/>
    </row>
    <row r="33069" spans="18:18" s="2" customFormat="1" ht="12.75" x14ac:dyDescent="0.2">
      <c r="R33069" s="1288"/>
    </row>
    <row r="33070" spans="18:18" s="2" customFormat="1" ht="12.75" x14ac:dyDescent="0.2">
      <c r="R33070" s="1288"/>
    </row>
    <row r="33071" spans="18:18" s="2" customFormat="1" ht="12.75" x14ac:dyDescent="0.2">
      <c r="R33071" s="1288"/>
    </row>
    <row r="33072" spans="18:18" s="2" customFormat="1" ht="12.75" x14ac:dyDescent="0.2">
      <c r="R33072" s="1288"/>
    </row>
    <row r="33073" spans="18:18" s="2" customFormat="1" ht="12.75" x14ac:dyDescent="0.2">
      <c r="R33073" s="1288"/>
    </row>
    <row r="33074" spans="18:18" s="2" customFormat="1" ht="12.75" x14ac:dyDescent="0.2">
      <c r="R33074" s="1288"/>
    </row>
    <row r="33075" spans="18:18" s="2" customFormat="1" ht="12.75" x14ac:dyDescent="0.2">
      <c r="R33075" s="1288"/>
    </row>
    <row r="33076" spans="18:18" s="2" customFormat="1" ht="12.75" x14ac:dyDescent="0.2">
      <c r="R33076" s="1288"/>
    </row>
    <row r="33077" spans="18:18" s="2" customFormat="1" ht="12.75" x14ac:dyDescent="0.2">
      <c r="R33077" s="1288"/>
    </row>
    <row r="33078" spans="18:18" s="2" customFormat="1" ht="12.75" x14ac:dyDescent="0.2">
      <c r="R33078" s="1288"/>
    </row>
    <row r="33079" spans="18:18" s="2" customFormat="1" ht="12.75" x14ac:dyDescent="0.2">
      <c r="R33079" s="1288"/>
    </row>
    <row r="33080" spans="18:18" s="2" customFormat="1" ht="12.75" x14ac:dyDescent="0.2">
      <c r="R33080" s="1288"/>
    </row>
    <row r="33081" spans="18:18" s="2" customFormat="1" ht="12.75" x14ac:dyDescent="0.2">
      <c r="R33081" s="1288"/>
    </row>
    <row r="33082" spans="18:18" s="2" customFormat="1" ht="12.75" x14ac:dyDescent="0.2">
      <c r="R33082" s="1288"/>
    </row>
    <row r="33083" spans="18:18" s="2" customFormat="1" ht="12.75" x14ac:dyDescent="0.2">
      <c r="R33083" s="1288"/>
    </row>
    <row r="33084" spans="18:18" s="2" customFormat="1" ht="12.75" x14ac:dyDescent="0.2">
      <c r="R33084" s="1288"/>
    </row>
    <row r="33085" spans="18:18" s="2" customFormat="1" ht="12.75" x14ac:dyDescent="0.2">
      <c r="R33085" s="1288"/>
    </row>
    <row r="33086" spans="18:18" s="2" customFormat="1" ht="12.75" x14ac:dyDescent="0.2">
      <c r="R33086" s="1288"/>
    </row>
    <row r="33087" spans="18:18" s="2" customFormat="1" ht="12.75" x14ac:dyDescent="0.2">
      <c r="R33087" s="1288"/>
    </row>
    <row r="33088" spans="18:18" s="2" customFormat="1" ht="12.75" x14ac:dyDescent="0.2">
      <c r="R33088" s="1288"/>
    </row>
    <row r="33089" spans="18:18" s="2" customFormat="1" ht="12.75" x14ac:dyDescent="0.2">
      <c r="R33089" s="1288"/>
    </row>
    <row r="33090" spans="18:18" s="2" customFormat="1" ht="12.75" x14ac:dyDescent="0.2">
      <c r="R33090" s="1288"/>
    </row>
    <row r="33091" spans="18:18" s="2" customFormat="1" ht="12.75" x14ac:dyDescent="0.2">
      <c r="R33091" s="1288"/>
    </row>
    <row r="33092" spans="18:18" s="2" customFormat="1" ht="12.75" x14ac:dyDescent="0.2">
      <c r="R33092" s="1288"/>
    </row>
    <row r="33093" spans="18:18" s="2" customFormat="1" ht="12.75" x14ac:dyDescent="0.2">
      <c r="R33093" s="1288"/>
    </row>
    <row r="33094" spans="18:18" s="2" customFormat="1" ht="12.75" x14ac:dyDescent="0.2">
      <c r="R33094" s="1288"/>
    </row>
    <row r="33095" spans="18:18" s="2" customFormat="1" ht="12.75" x14ac:dyDescent="0.2">
      <c r="R33095" s="1288"/>
    </row>
    <row r="33096" spans="18:18" s="2" customFormat="1" ht="12.75" x14ac:dyDescent="0.2">
      <c r="R33096" s="1288"/>
    </row>
    <row r="33097" spans="18:18" s="2" customFormat="1" ht="12.75" x14ac:dyDescent="0.2">
      <c r="R33097" s="1288"/>
    </row>
    <row r="33098" spans="18:18" s="2" customFormat="1" ht="12.75" x14ac:dyDescent="0.2">
      <c r="R33098" s="1288"/>
    </row>
    <row r="33099" spans="18:18" s="2" customFormat="1" ht="12.75" x14ac:dyDescent="0.2">
      <c r="R33099" s="1288"/>
    </row>
    <row r="33100" spans="18:18" s="2" customFormat="1" ht="12.75" x14ac:dyDescent="0.2">
      <c r="R33100" s="1288"/>
    </row>
    <row r="33101" spans="18:18" s="2" customFormat="1" ht="12.75" x14ac:dyDescent="0.2">
      <c r="R33101" s="1288"/>
    </row>
    <row r="33102" spans="18:18" s="2" customFormat="1" ht="12.75" x14ac:dyDescent="0.2">
      <c r="R33102" s="1288"/>
    </row>
    <row r="33103" spans="18:18" s="2" customFormat="1" ht="12.75" x14ac:dyDescent="0.2">
      <c r="R33103" s="1288"/>
    </row>
    <row r="33104" spans="18:18" s="2" customFormat="1" ht="12.75" x14ac:dyDescent="0.2">
      <c r="R33104" s="1288"/>
    </row>
    <row r="33105" spans="18:18" s="2" customFormat="1" ht="12.75" x14ac:dyDescent="0.2">
      <c r="R33105" s="1288"/>
    </row>
    <row r="33106" spans="18:18" s="2" customFormat="1" ht="12.75" x14ac:dyDescent="0.2">
      <c r="R33106" s="1288"/>
    </row>
    <row r="33107" spans="18:18" s="2" customFormat="1" ht="12.75" x14ac:dyDescent="0.2">
      <c r="R33107" s="1288"/>
    </row>
    <row r="33108" spans="18:18" s="2" customFormat="1" ht="12.75" x14ac:dyDescent="0.2">
      <c r="R33108" s="1288"/>
    </row>
    <row r="33109" spans="18:18" s="2" customFormat="1" ht="12.75" x14ac:dyDescent="0.2">
      <c r="R33109" s="1288"/>
    </row>
    <row r="33110" spans="18:18" s="2" customFormat="1" ht="12.75" x14ac:dyDescent="0.2">
      <c r="R33110" s="1288"/>
    </row>
    <row r="33111" spans="18:18" s="2" customFormat="1" ht="12.75" x14ac:dyDescent="0.2">
      <c r="R33111" s="1288"/>
    </row>
    <row r="33112" spans="18:18" s="2" customFormat="1" ht="12.75" x14ac:dyDescent="0.2">
      <c r="R33112" s="1288"/>
    </row>
    <row r="33113" spans="18:18" s="2" customFormat="1" ht="12.75" x14ac:dyDescent="0.2">
      <c r="R33113" s="1288"/>
    </row>
    <row r="33114" spans="18:18" s="2" customFormat="1" ht="12.75" x14ac:dyDescent="0.2">
      <c r="R33114" s="1288"/>
    </row>
    <row r="33115" spans="18:18" s="2" customFormat="1" ht="12.75" x14ac:dyDescent="0.2">
      <c r="R33115" s="1288"/>
    </row>
    <row r="33116" spans="18:18" s="2" customFormat="1" ht="12.75" x14ac:dyDescent="0.2">
      <c r="R33116" s="1288"/>
    </row>
    <row r="33117" spans="18:18" s="2" customFormat="1" ht="12.75" x14ac:dyDescent="0.2">
      <c r="R33117" s="1288"/>
    </row>
    <row r="33118" spans="18:18" s="2" customFormat="1" ht="12.75" x14ac:dyDescent="0.2">
      <c r="R33118" s="1288"/>
    </row>
    <row r="33119" spans="18:18" s="2" customFormat="1" ht="12.75" x14ac:dyDescent="0.2">
      <c r="R33119" s="1288"/>
    </row>
    <row r="33120" spans="18:18" s="2" customFormat="1" ht="12.75" x14ac:dyDescent="0.2">
      <c r="R33120" s="1288"/>
    </row>
    <row r="33121" spans="18:18" s="2" customFormat="1" ht="12.75" x14ac:dyDescent="0.2">
      <c r="R33121" s="1288"/>
    </row>
    <row r="33122" spans="18:18" s="2" customFormat="1" ht="12.75" x14ac:dyDescent="0.2">
      <c r="R33122" s="1288"/>
    </row>
    <row r="33123" spans="18:18" s="2" customFormat="1" ht="12.75" x14ac:dyDescent="0.2">
      <c r="R33123" s="1288"/>
    </row>
    <row r="33124" spans="18:18" s="2" customFormat="1" ht="12.75" x14ac:dyDescent="0.2">
      <c r="R33124" s="1288"/>
    </row>
    <row r="33125" spans="18:18" s="2" customFormat="1" ht="12.75" x14ac:dyDescent="0.2">
      <c r="R33125" s="1288"/>
    </row>
    <row r="33126" spans="18:18" s="2" customFormat="1" ht="12.75" x14ac:dyDescent="0.2">
      <c r="R33126" s="1288"/>
    </row>
    <row r="33127" spans="18:18" s="2" customFormat="1" ht="12.75" x14ac:dyDescent="0.2">
      <c r="R33127" s="1288"/>
    </row>
    <row r="33128" spans="18:18" s="2" customFormat="1" ht="12.75" x14ac:dyDescent="0.2">
      <c r="R33128" s="1288"/>
    </row>
    <row r="33129" spans="18:18" s="2" customFormat="1" ht="12.75" x14ac:dyDescent="0.2">
      <c r="R33129" s="1288"/>
    </row>
    <row r="33130" spans="18:18" s="2" customFormat="1" ht="12.75" x14ac:dyDescent="0.2">
      <c r="R33130" s="1288"/>
    </row>
    <row r="33131" spans="18:18" s="2" customFormat="1" ht="12.75" x14ac:dyDescent="0.2">
      <c r="R33131" s="1288"/>
    </row>
    <row r="33132" spans="18:18" s="2" customFormat="1" ht="12.75" x14ac:dyDescent="0.2">
      <c r="R33132" s="1288"/>
    </row>
    <row r="33133" spans="18:18" s="2" customFormat="1" ht="12.75" x14ac:dyDescent="0.2">
      <c r="R33133" s="1288"/>
    </row>
    <row r="33134" spans="18:18" s="2" customFormat="1" ht="12.75" x14ac:dyDescent="0.2">
      <c r="R33134" s="1288"/>
    </row>
    <row r="33135" spans="18:18" s="2" customFormat="1" ht="12.75" x14ac:dyDescent="0.2">
      <c r="R33135" s="1288"/>
    </row>
    <row r="33136" spans="18:18" s="2" customFormat="1" ht="12.75" x14ac:dyDescent="0.2">
      <c r="R33136" s="1288"/>
    </row>
    <row r="33137" spans="18:18" s="2" customFormat="1" ht="12.75" x14ac:dyDescent="0.2">
      <c r="R33137" s="1288"/>
    </row>
    <row r="33138" spans="18:18" s="2" customFormat="1" ht="12.75" x14ac:dyDescent="0.2">
      <c r="R33138" s="1288"/>
    </row>
    <row r="33139" spans="18:18" s="2" customFormat="1" ht="12.75" x14ac:dyDescent="0.2">
      <c r="R33139" s="1288"/>
    </row>
    <row r="33140" spans="18:18" s="2" customFormat="1" ht="12.75" x14ac:dyDescent="0.2">
      <c r="R33140" s="1288"/>
    </row>
    <row r="33141" spans="18:18" s="2" customFormat="1" ht="12.75" x14ac:dyDescent="0.2">
      <c r="R33141" s="1288"/>
    </row>
    <row r="33142" spans="18:18" s="2" customFormat="1" ht="12.75" x14ac:dyDescent="0.2">
      <c r="R33142" s="1288"/>
    </row>
    <row r="33143" spans="18:18" s="2" customFormat="1" ht="12.75" x14ac:dyDescent="0.2">
      <c r="R33143" s="1288"/>
    </row>
    <row r="33144" spans="18:18" s="2" customFormat="1" ht="12.75" x14ac:dyDescent="0.2">
      <c r="R33144" s="1288"/>
    </row>
    <row r="33145" spans="18:18" s="2" customFormat="1" ht="12.75" x14ac:dyDescent="0.2">
      <c r="R33145" s="1288"/>
    </row>
    <row r="33146" spans="18:18" s="2" customFormat="1" ht="12.75" x14ac:dyDescent="0.2">
      <c r="R33146" s="1288"/>
    </row>
    <row r="33147" spans="18:18" s="2" customFormat="1" ht="12.75" x14ac:dyDescent="0.2">
      <c r="R33147" s="1288"/>
    </row>
    <row r="33148" spans="18:18" s="2" customFormat="1" ht="12.75" x14ac:dyDescent="0.2">
      <c r="R33148" s="1288"/>
    </row>
    <row r="33149" spans="18:18" s="2" customFormat="1" ht="12.75" x14ac:dyDescent="0.2">
      <c r="R33149" s="1288"/>
    </row>
    <row r="33150" spans="18:18" s="2" customFormat="1" ht="12.75" x14ac:dyDescent="0.2">
      <c r="R33150" s="1288"/>
    </row>
    <row r="33151" spans="18:18" s="2" customFormat="1" ht="12.75" x14ac:dyDescent="0.2">
      <c r="R33151" s="1288"/>
    </row>
    <row r="33152" spans="18:18" s="2" customFormat="1" ht="12.75" x14ac:dyDescent="0.2">
      <c r="R33152" s="1288"/>
    </row>
    <row r="33153" spans="18:18" s="2" customFormat="1" ht="12.75" x14ac:dyDescent="0.2">
      <c r="R33153" s="1288"/>
    </row>
    <row r="33154" spans="18:18" s="2" customFormat="1" ht="12.75" x14ac:dyDescent="0.2">
      <c r="R33154" s="1288"/>
    </row>
    <row r="33155" spans="18:18" s="2" customFormat="1" ht="12.75" x14ac:dyDescent="0.2">
      <c r="R33155" s="1288"/>
    </row>
    <row r="33156" spans="18:18" s="2" customFormat="1" ht="12.75" x14ac:dyDescent="0.2">
      <c r="R33156" s="1288"/>
    </row>
    <row r="33157" spans="18:18" s="2" customFormat="1" ht="12.75" x14ac:dyDescent="0.2">
      <c r="R33157" s="1288"/>
    </row>
    <row r="33158" spans="18:18" s="2" customFormat="1" ht="12.75" x14ac:dyDescent="0.2">
      <c r="R33158" s="1288"/>
    </row>
    <row r="33159" spans="18:18" s="2" customFormat="1" ht="12.75" x14ac:dyDescent="0.2">
      <c r="R33159" s="1288"/>
    </row>
    <row r="33160" spans="18:18" s="2" customFormat="1" ht="12.75" x14ac:dyDescent="0.2">
      <c r="R33160" s="1288"/>
    </row>
    <row r="33161" spans="18:18" s="2" customFormat="1" ht="12.75" x14ac:dyDescent="0.2">
      <c r="R33161" s="1288"/>
    </row>
    <row r="33162" spans="18:18" s="2" customFormat="1" ht="12.75" x14ac:dyDescent="0.2">
      <c r="R33162" s="1288"/>
    </row>
    <row r="33163" spans="18:18" s="2" customFormat="1" ht="12.75" x14ac:dyDescent="0.2">
      <c r="R33163" s="1288"/>
    </row>
    <row r="33164" spans="18:18" s="2" customFormat="1" ht="12.75" x14ac:dyDescent="0.2">
      <c r="R33164" s="1288"/>
    </row>
    <row r="33165" spans="18:18" s="2" customFormat="1" ht="12.75" x14ac:dyDescent="0.2">
      <c r="R33165" s="1288"/>
    </row>
    <row r="33166" spans="18:18" s="2" customFormat="1" ht="12.75" x14ac:dyDescent="0.2">
      <c r="R33166" s="1288"/>
    </row>
    <row r="33167" spans="18:18" s="2" customFormat="1" ht="12.75" x14ac:dyDescent="0.2">
      <c r="R33167" s="1288"/>
    </row>
    <row r="33168" spans="18:18" s="2" customFormat="1" ht="12.75" x14ac:dyDescent="0.2">
      <c r="R33168" s="1288"/>
    </row>
    <row r="33169" spans="18:18" s="2" customFormat="1" ht="12.75" x14ac:dyDescent="0.2">
      <c r="R33169" s="1288"/>
    </row>
    <row r="33170" spans="18:18" s="2" customFormat="1" ht="12.75" x14ac:dyDescent="0.2">
      <c r="R33170" s="1288"/>
    </row>
    <row r="33171" spans="18:18" s="2" customFormat="1" ht="12.75" x14ac:dyDescent="0.2">
      <c r="R33171" s="1288"/>
    </row>
    <row r="33172" spans="18:18" s="2" customFormat="1" ht="12.75" x14ac:dyDescent="0.2">
      <c r="R33172" s="1288"/>
    </row>
    <row r="33173" spans="18:18" s="2" customFormat="1" ht="12.75" x14ac:dyDescent="0.2">
      <c r="R33173" s="1288"/>
    </row>
    <row r="33174" spans="18:18" s="2" customFormat="1" ht="12.75" x14ac:dyDescent="0.2">
      <c r="R33174" s="1288"/>
    </row>
    <row r="33175" spans="18:18" s="2" customFormat="1" ht="12.75" x14ac:dyDescent="0.2">
      <c r="R33175" s="1288"/>
    </row>
    <row r="33176" spans="18:18" s="2" customFormat="1" ht="12.75" x14ac:dyDescent="0.2">
      <c r="R33176" s="1288"/>
    </row>
    <row r="33177" spans="18:18" s="2" customFormat="1" ht="12.75" x14ac:dyDescent="0.2">
      <c r="R33177" s="1288"/>
    </row>
    <row r="33178" spans="18:18" s="2" customFormat="1" ht="12.75" x14ac:dyDescent="0.2">
      <c r="R33178" s="1288"/>
    </row>
    <row r="33179" spans="18:18" s="2" customFormat="1" ht="12.75" x14ac:dyDescent="0.2">
      <c r="R33179" s="1288"/>
    </row>
    <row r="33180" spans="18:18" s="2" customFormat="1" ht="12.75" x14ac:dyDescent="0.2">
      <c r="R33180" s="1288"/>
    </row>
    <row r="33181" spans="18:18" s="2" customFormat="1" ht="12.75" x14ac:dyDescent="0.2">
      <c r="R33181" s="1288"/>
    </row>
    <row r="33182" spans="18:18" s="2" customFormat="1" ht="12.75" x14ac:dyDescent="0.2">
      <c r="R33182" s="1288"/>
    </row>
    <row r="33183" spans="18:18" s="2" customFormat="1" ht="12.75" x14ac:dyDescent="0.2">
      <c r="R33183" s="1288"/>
    </row>
    <row r="33184" spans="18:18" s="2" customFormat="1" ht="12.75" x14ac:dyDescent="0.2">
      <c r="R33184" s="1288"/>
    </row>
    <row r="33185" spans="18:18" s="2" customFormat="1" ht="12.75" x14ac:dyDescent="0.2">
      <c r="R33185" s="1288"/>
    </row>
    <row r="33186" spans="18:18" s="2" customFormat="1" ht="12.75" x14ac:dyDescent="0.2">
      <c r="R33186" s="1288"/>
    </row>
    <row r="33187" spans="18:18" s="2" customFormat="1" ht="12.75" x14ac:dyDescent="0.2">
      <c r="R33187" s="1288"/>
    </row>
    <row r="33188" spans="18:18" s="2" customFormat="1" ht="12.75" x14ac:dyDescent="0.2">
      <c r="R33188" s="1288"/>
    </row>
    <row r="33189" spans="18:18" s="2" customFormat="1" ht="12.75" x14ac:dyDescent="0.2">
      <c r="R33189" s="1288"/>
    </row>
    <row r="33190" spans="18:18" s="2" customFormat="1" ht="12.75" x14ac:dyDescent="0.2">
      <c r="R33190" s="1288"/>
    </row>
    <row r="33191" spans="18:18" s="2" customFormat="1" ht="12.75" x14ac:dyDescent="0.2">
      <c r="R33191" s="1288"/>
    </row>
    <row r="33192" spans="18:18" s="2" customFormat="1" ht="12.75" x14ac:dyDescent="0.2">
      <c r="R33192" s="1288"/>
    </row>
    <row r="33193" spans="18:18" s="2" customFormat="1" ht="12.75" x14ac:dyDescent="0.2">
      <c r="R33193" s="1288"/>
    </row>
    <row r="33194" spans="18:18" s="2" customFormat="1" ht="12.75" x14ac:dyDescent="0.2">
      <c r="R33194" s="1288"/>
    </row>
    <row r="33195" spans="18:18" s="2" customFormat="1" ht="12.75" x14ac:dyDescent="0.2">
      <c r="R33195" s="1288"/>
    </row>
    <row r="33196" spans="18:18" s="2" customFormat="1" ht="12.75" x14ac:dyDescent="0.2">
      <c r="R33196" s="1288"/>
    </row>
    <row r="33197" spans="18:18" s="2" customFormat="1" ht="12.75" x14ac:dyDescent="0.2">
      <c r="R33197" s="1288"/>
    </row>
    <row r="33198" spans="18:18" s="2" customFormat="1" ht="12.75" x14ac:dyDescent="0.2">
      <c r="R33198" s="1288"/>
    </row>
    <row r="33199" spans="18:18" s="2" customFormat="1" ht="12.75" x14ac:dyDescent="0.2">
      <c r="R33199" s="1288"/>
    </row>
    <row r="33200" spans="18:18" s="2" customFormat="1" ht="12.75" x14ac:dyDescent="0.2">
      <c r="R33200" s="1288"/>
    </row>
    <row r="33201" spans="18:18" s="2" customFormat="1" ht="12.75" x14ac:dyDescent="0.2">
      <c r="R33201" s="1288"/>
    </row>
    <row r="33202" spans="18:18" s="2" customFormat="1" ht="12.75" x14ac:dyDescent="0.2">
      <c r="R33202" s="1288"/>
    </row>
    <row r="33203" spans="18:18" s="2" customFormat="1" ht="12.75" x14ac:dyDescent="0.2">
      <c r="R33203" s="1288"/>
    </row>
    <row r="33204" spans="18:18" s="2" customFormat="1" ht="12.75" x14ac:dyDescent="0.2">
      <c r="R33204" s="1288"/>
    </row>
    <row r="33205" spans="18:18" s="2" customFormat="1" ht="12.75" x14ac:dyDescent="0.2">
      <c r="R33205" s="1288"/>
    </row>
    <row r="33206" spans="18:18" s="2" customFormat="1" ht="12.75" x14ac:dyDescent="0.2">
      <c r="R33206" s="1288"/>
    </row>
    <row r="33207" spans="18:18" s="2" customFormat="1" ht="12.75" x14ac:dyDescent="0.2">
      <c r="R33207" s="1288"/>
    </row>
    <row r="33208" spans="18:18" s="2" customFormat="1" ht="12.75" x14ac:dyDescent="0.2">
      <c r="R33208" s="1288"/>
    </row>
    <row r="33209" spans="18:18" s="2" customFormat="1" ht="12.75" x14ac:dyDescent="0.2">
      <c r="R33209" s="1288"/>
    </row>
    <row r="33210" spans="18:18" s="2" customFormat="1" ht="12.75" x14ac:dyDescent="0.2">
      <c r="R33210" s="1288"/>
    </row>
    <row r="33211" spans="18:18" s="2" customFormat="1" ht="12.75" x14ac:dyDescent="0.2">
      <c r="R33211" s="1288"/>
    </row>
    <row r="33212" spans="18:18" s="2" customFormat="1" ht="12.75" x14ac:dyDescent="0.2">
      <c r="R33212" s="1288"/>
    </row>
    <row r="33213" spans="18:18" s="2" customFormat="1" ht="12.75" x14ac:dyDescent="0.2">
      <c r="R33213" s="1288"/>
    </row>
    <row r="33214" spans="18:18" s="2" customFormat="1" ht="12.75" x14ac:dyDescent="0.2">
      <c r="R33214" s="1288"/>
    </row>
    <row r="33215" spans="18:18" s="2" customFormat="1" ht="12.75" x14ac:dyDescent="0.2">
      <c r="R33215" s="1288"/>
    </row>
    <row r="33216" spans="18:18" s="2" customFormat="1" ht="12.75" x14ac:dyDescent="0.2">
      <c r="R33216" s="1288"/>
    </row>
    <row r="33217" spans="18:18" s="2" customFormat="1" ht="12.75" x14ac:dyDescent="0.2">
      <c r="R33217" s="1288"/>
    </row>
    <row r="33218" spans="18:18" s="2" customFormat="1" ht="12.75" x14ac:dyDescent="0.2">
      <c r="R33218" s="1288"/>
    </row>
    <row r="33219" spans="18:18" s="2" customFormat="1" ht="12.75" x14ac:dyDescent="0.2">
      <c r="R33219" s="1288"/>
    </row>
    <row r="33220" spans="18:18" s="2" customFormat="1" ht="12.75" x14ac:dyDescent="0.2">
      <c r="R33220" s="1288"/>
    </row>
    <row r="33221" spans="18:18" s="2" customFormat="1" ht="12.75" x14ac:dyDescent="0.2">
      <c r="R33221" s="1288"/>
    </row>
    <row r="33222" spans="18:18" s="2" customFormat="1" ht="12.75" x14ac:dyDescent="0.2">
      <c r="R33222" s="1288"/>
    </row>
    <row r="33223" spans="18:18" s="2" customFormat="1" ht="12.75" x14ac:dyDescent="0.2">
      <c r="R33223" s="1288"/>
    </row>
    <row r="33224" spans="18:18" s="2" customFormat="1" ht="12.75" x14ac:dyDescent="0.2">
      <c r="R33224" s="1288"/>
    </row>
    <row r="33225" spans="18:18" s="2" customFormat="1" ht="12.75" x14ac:dyDescent="0.2">
      <c r="R33225" s="1288"/>
    </row>
    <row r="33226" spans="18:18" s="2" customFormat="1" ht="12.75" x14ac:dyDescent="0.2">
      <c r="R33226" s="1288"/>
    </row>
    <row r="33227" spans="18:18" s="2" customFormat="1" ht="12.75" x14ac:dyDescent="0.2">
      <c r="R33227" s="1288"/>
    </row>
    <row r="33228" spans="18:18" s="2" customFormat="1" ht="12.75" x14ac:dyDescent="0.2">
      <c r="R33228" s="1288"/>
    </row>
    <row r="33229" spans="18:18" s="2" customFormat="1" ht="12.75" x14ac:dyDescent="0.2">
      <c r="R33229" s="1288"/>
    </row>
    <row r="33230" spans="18:18" s="2" customFormat="1" ht="12.75" x14ac:dyDescent="0.2">
      <c r="R33230" s="1288"/>
    </row>
    <row r="33231" spans="18:18" s="2" customFormat="1" ht="12.75" x14ac:dyDescent="0.2">
      <c r="R33231" s="1288"/>
    </row>
    <row r="33232" spans="18:18" s="2" customFormat="1" ht="12.75" x14ac:dyDescent="0.2">
      <c r="R33232" s="1288"/>
    </row>
    <row r="33233" spans="18:18" s="2" customFormat="1" ht="12.75" x14ac:dyDescent="0.2">
      <c r="R33233" s="1288"/>
    </row>
    <row r="33234" spans="18:18" s="2" customFormat="1" ht="12.75" x14ac:dyDescent="0.2">
      <c r="R33234" s="1288"/>
    </row>
    <row r="33235" spans="18:18" s="2" customFormat="1" ht="12.75" x14ac:dyDescent="0.2">
      <c r="R33235" s="1288"/>
    </row>
    <row r="33236" spans="18:18" s="2" customFormat="1" ht="12.75" x14ac:dyDescent="0.2">
      <c r="R33236" s="1288"/>
    </row>
    <row r="33237" spans="18:18" s="2" customFormat="1" ht="12.75" x14ac:dyDescent="0.2">
      <c r="R33237" s="1288"/>
    </row>
    <row r="33238" spans="18:18" s="2" customFormat="1" ht="12.75" x14ac:dyDescent="0.2">
      <c r="R33238" s="1288"/>
    </row>
    <row r="33239" spans="18:18" s="2" customFormat="1" ht="12.75" x14ac:dyDescent="0.2">
      <c r="R33239" s="1288"/>
    </row>
    <row r="33240" spans="18:18" s="2" customFormat="1" ht="12.75" x14ac:dyDescent="0.2">
      <c r="R33240" s="1288"/>
    </row>
    <row r="33241" spans="18:18" s="2" customFormat="1" ht="12.75" x14ac:dyDescent="0.2">
      <c r="R33241" s="1288"/>
    </row>
    <row r="33242" spans="18:18" s="2" customFormat="1" ht="12.75" x14ac:dyDescent="0.2">
      <c r="R33242" s="1288"/>
    </row>
    <row r="33243" spans="18:18" s="2" customFormat="1" ht="12.75" x14ac:dyDescent="0.2">
      <c r="R33243" s="1288"/>
    </row>
    <row r="33244" spans="18:18" s="2" customFormat="1" ht="12.75" x14ac:dyDescent="0.2">
      <c r="R33244" s="1288"/>
    </row>
    <row r="33245" spans="18:18" s="2" customFormat="1" ht="12.75" x14ac:dyDescent="0.2">
      <c r="R33245" s="1288"/>
    </row>
    <row r="33246" spans="18:18" s="2" customFormat="1" ht="12.75" x14ac:dyDescent="0.2">
      <c r="R33246" s="1288"/>
    </row>
    <row r="33247" spans="18:18" s="2" customFormat="1" ht="12.75" x14ac:dyDescent="0.2">
      <c r="R33247" s="1288"/>
    </row>
    <row r="33248" spans="18:18" s="2" customFormat="1" ht="12.75" x14ac:dyDescent="0.2">
      <c r="R33248" s="1288"/>
    </row>
    <row r="33249" spans="18:18" s="2" customFormat="1" ht="12.75" x14ac:dyDescent="0.2">
      <c r="R33249" s="1288"/>
    </row>
    <row r="33250" spans="18:18" s="2" customFormat="1" ht="12.75" x14ac:dyDescent="0.2">
      <c r="R33250" s="1288"/>
    </row>
    <row r="33251" spans="18:18" s="2" customFormat="1" ht="12.75" x14ac:dyDescent="0.2">
      <c r="R33251" s="1288"/>
    </row>
    <row r="33252" spans="18:18" s="2" customFormat="1" ht="12.75" x14ac:dyDescent="0.2">
      <c r="R33252" s="1288"/>
    </row>
    <row r="33253" spans="18:18" s="2" customFormat="1" ht="12.75" x14ac:dyDescent="0.2">
      <c r="R33253" s="1288"/>
    </row>
    <row r="33254" spans="18:18" s="2" customFormat="1" ht="12.75" x14ac:dyDescent="0.2">
      <c r="R33254" s="1288"/>
    </row>
    <row r="33255" spans="18:18" s="2" customFormat="1" ht="12.75" x14ac:dyDescent="0.2">
      <c r="R33255" s="1288"/>
    </row>
    <row r="33256" spans="18:18" s="2" customFormat="1" ht="12.75" x14ac:dyDescent="0.2">
      <c r="R33256" s="1288"/>
    </row>
    <row r="33257" spans="18:18" s="2" customFormat="1" ht="12.75" x14ac:dyDescent="0.2">
      <c r="R33257" s="1288"/>
    </row>
    <row r="33258" spans="18:18" s="2" customFormat="1" ht="12.75" x14ac:dyDescent="0.2">
      <c r="R33258" s="1288"/>
    </row>
    <row r="33259" spans="18:18" s="2" customFormat="1" ht="12.75" x14ac:dyDescent="0.2">
      <c r="R33259" s="1288"/>
    </row>
    <row r="33260" spans="18:18" s="2" customFormat="1" ht="12.75" x14ac:dyDescent="0.2">
      <c r="R33260" s="1288"/>
    </row>
    <row r="33261" spans="18:18" s="2" customFormat="1" ht="12.75" x14ac:dyDescent="0.2">
      <c r="R33261" s="1288"/>
    </row>
    <row r="33262" spans="18:18" s="2" customFormat="1" ht="12.75" x14ac:dyDescent="0.2">
      <c r="R33262" s="1288"/>
    </row>
    <row r="33263" spans="18:18" s="2" customFormat="1" ht="12.75" x14ac:dyDescent="0.2">
      <c r="R33263" s="1288"/>
    </row>
    <row r="33264" spans="18:18" s="2" customFormat="1" ht="12.75" x14ac:dyDescent="0.2">
      <c r="R33264" s="1288"/>
    </row>
    <row r="33265" spans="18:18" s="2" customFormat="1" ht="12.75" x14ac:dyDescent="0.2">
      <c r="R33265" s="1288"/>
    </row>
    <row r="33266" spans="18:18" s="2" customFormat="1" ht="12.75" x14ac:dyDescent="0.2">
      <c r="R33266" s="1288"/>
    </row>
    <row r="33267" spans="18:18" s="2" customFormat="1" ht="12.75" x14ac:dyDescent="0.2">
      <c r="R33267" s="1288"/>
    </row>
    <row r="33268" spans="18:18" s="2" customFormat="1" ht="12.75" x14ac:dyDescent="0.2">
      <c r="R33268" s="1288"/>
    </row>
    <row r="33269" spans="18:18" s="2" customFormat="1" ht="12.75" x14ac:dyDescent="0.2">
      <c r="R33269" s="1288"/>
    </row>
    <row r="33270" spans="18:18" s="2" customFormat="1" ht="12.75" x14ac:dyDescent="0.2">
      <c r="R33270" s="1288"/>
    </row>
    <row r="33271" spans="18:18" s="2" customFormat="1" ht="12.75" x14ac:dyDescent="0.2">
      <c r="R33271" s="1288"/>
    </row>
    <row r="33272" spans="18:18" s="2" customFormat="1" ht="12.75" x14ac:dyDescent="0.2">
      <c r="R33272" s="1288"/>
    </row>
    <row r="33273" spans="18:18" s="2" customFormat="1" ht="12.75" x14ac:dyDescent="0.2">
      <c r="R33273" s="1288"/>
    </row>
    <row r="33274" spans="18:18" s="2" customFormat="1" ht="12.75" x14ac:dyDescent="0.2">
      <c r="R33274" s="1288"/>
    </row>
    <row r="33275" spans="18:18" s="2" customFormat="1" ht="12.75" x14ac:dyDescent="0.2">
      <c r="R33275" s="1288"/>
    </row>
    <row r="33276" spans="18:18" s="2" customFormat="1" ht="12.75" x14ac:dyDescent="0.2">
      <c r="R33276" s="1288"/>
    </row>
    <row r="33277" spans="18:18" s="2" customFormat="1" ht="12.75" x14ac:dyDescent="0.2">
      <c r="R33277" s="1288"/>
    </row>
    <row r="33278" spans="18:18" s="2" customFormat="1" ht="12.75" x14ac:dyDescent="0.2">
      <c r="R33278" s="1288"/>
    </row>
    <row r="33279" spans="18:18" s="2" customFormat="1" ht="12.75" x14ac:dyDescent="0.2">
      <c r="R33279" s="1288"/>
    </row>
    <row r="33280" spans="18:18" s="2" customFormat="1" ht="12.75" x14ac:dyDescent="0.2">
      <c r="R33280" s="1288"/>
    </row>
    <row r="33281" spans="18:18" s="2" customFormat="1" ht="12.75" x14ac:dyDescent="0.2">
      <c r="R33281" s="1288"/>
    </row>
    <row r="33282" spans="18:18" s="2" customFormat="1" ht="12.75" x14ac:dyDescent="0.2">
      <c r="R33282" s="1288"/>
    </row>
    <row r="33283" spans="18:18" s="2" customFormat="1" ht="12.75" x14ac:dyDescent="0.2">
      <c r="R33283" s="1288"/>
    </row>
    <row r="33284" spans="18:18" s="2" customFormat="1" ht="12.75" x14ac:dyDescent="0.2">
      <c r="R33284" s="1288"/>
    </row>
    <row r="33285" spans="18:18" s="2" customFormat="1" ht="12.75" x14ac:dyDescent="0.2">
      <c r="R33285" s="1288"/>
    </row>
    <row r="33286" spans="18:18" s="2" customFormat="1" ht="12.75" x14ac:dyDescent="0.2">
      <c r="R33286" s="1288"/>
    </row>
    <row r="33287" spans="18:18" s="2" customFormat="1" ht="12.75" x14ac:dyDescent="0.2">
      <c r="R33287" s="1288"/>
    </row>
    <row r="33288" spans="18:18" s="2" customFormat="1" ht="12.75" x14ac:dyDescent="0.2">
      <c r="R33288" s="1288"/>
    </row>
    <row r="33289" spans="18:18" s="2" customFormat="1" ht="12.75" x14ac:dyDescent="0.2">
      <c r="R33289" s="1288"/>
    </row>
    <row r="33290" spans="18:18" s="2" customFormat="1" ht="12.75" x14ac:dyDescent="0.2">
      <c r="R33290" s="1288"/>
    </row>
    <row r="33291" spans="18:18" s="2" customFormat="1" ht="12.75" x14ac:dyDescent="0.2">
      <c r="R33291" s="1288"/>
    </row>
    <row r="33292" spans="18:18" s="2" customFormat="1" ht="12.75" x14ac:dyDescent="0.2">
      <c r="R33292" s="1288"/>
    </row>
    <row r="33293" spans="18:18" s="2" customFormat="1" ht="12.75" x14ac:dyDescent="0.2">
      <c r="R33293" s="1288"/>
    </row>
    <row r="33294" spans="18:18" s="2" customFormat="1" ht="12.75" x14ac:dyDescent="0.2">
      <c r="R33294" s="1288"/>
    </row>
    <row r="33295" spans="18:18" s="2" customFormat="1" ht="12.75" x14ac:dyDescent="0.2">
      <c r="R33295" s="1288"/>
    </row>
    <row r="33296" spans="18:18" s="2" customFormat="1" ht="12.75" x14ac:dyDescent="0.2">
      <c r="R33296" s="1288"/>
    </row>
    <row r="33297" spans="18:18" s="2" customFormat="1" ht="12.75" x14ac:dyDescent="0.2">
      <c r="R33297" s="1288"/>
    </row>
    <row r="33298" spans="18:18" s="2" customFormat="1" ht="12.75" x14ac:dyDescent="0.2">
      <c r="R33298" s="1288"/>
    </row>
    <row r="33299" spans="18:18" s="2" customFormat="1" ht="12.75" x14ac:dyDescent="0.2">
      <c r="R33299" s="1288"/>
    </row>
    <row r="33300" spans="18:18" s="2" customFormat="1" ht="12.75" x14ac:dyDescent="0.2">
      <c r="R33300" s="1288"/>
    </row>
    <row r="33301" spans="18:18" s="2" customFormat="1" ht="12.75" x14ac:dyDescent="0.2">
      <c r="R33301" s="1288"/>
    </row>
    <row r="33302" spans="18:18" s="2" customFormat="1" ht="12.75" x14ac:dyDescent="0.2">
      <c r="R33302" s="1288"/>
    </row>
    <row r="33303" spans="18:18" s="2" customFormat="1" ht="12.75" x14ac:dyDescent="0.2">
      <c r="R33303" s="1288"/>
    </row>
    <row r="33304" spans="18:18" s="2" customFormat="1" ht="12.75" x14ac:dyDescent="0.2">
      <c r="R33304" s="1288"/>
    </row>
    <row r="33305" spans="18:18" s="2" customFormat="1" ht="12.75" x14ac:dyDescent="0.2">
      <c r="R33305" s="1288"/>
    </row>
    <row r="33306" spans="18:18" s="2" customFormat="1" ht="12.75" x14ac:dyDescent="0.2">
      <c r="R33306" s="1288"/>
    </row>
    <row r="33307" spans="18:18" s="2" customFormat="1" ht="12.75" x14ac:dyDescent="0.2">
      <c r="R33307" s="1288"/>
    </row>
    <row r="33308" spans="18:18" s="2" customFormat="1" ht="12.75" x14ac:dyDescent="0.2">
      <c r="R33308" s="1288"/>
    </row>
    <row r="33309" spans="18:18" s="2" customFormat="1" ht="12.75" x14ac:dyDescent="0.2">
      <c r="R33309" s="1288"/>
    </row>
    <row r="33310" spans="18:18" s="2" customFormat="1" ht="12.75" x14ac:dyDescent="0.2">
      <c r="R33310" s="1288"/>
    </row>
    <row r="33311" spans="18:18" s="2" customFormat="1" ht="12.75" x14ac:dyDescent="0.2">
      <c r="R33311" s="1288"/>
    </row>
    <row r="33312" spans="18:18" s="2" customFormat="1" ht="12.75" x14ac:dyDescent="0.2">
      <c r="R33312" s="1288"/>
    </row>
    <row r="33313" spans="18:18" s="2" customFormat="1" ht="12.75" x14ac:dyDescent="0.2">
      <c r="R33313" s="1288"/>
    </row>
    <row r="33314" spans="18:18" s="2" customFormat="1" ht="12.75" x14ac:dyDescent="0.2">
      <c r="R33314" s="1288"/>
    </row>
    <row r="33315" spans="18:18" s="2" customFormat="1" ht="12.75" x14ac:dyDescent="0.2">
      <c r="R33315" s="1288"/>
    </row>
    <row r="33316" spans="18:18" s="2" customFormat="1" ht="12.75" x14ac:dyDescent="0.2">
      <c r="R33316" s="1288"/>
    </row>
    <row r="33317" spans="18:18" s="2" customFormat="1" ht="12.75" x14ac:dyDescent="0.2">
      <c r="R33317" s="1288"/>
    </row>
    <row r="33318" spans="18:18" s="2" customFormat="1" ht="12.75" x14ac:dyDescent="0.2">
      <c r="R33318" s="1288"/>
    </row>
    <row r="33319" spans="18:18" s="2" customFormat="1" ht="12.75" x14ac:dyDescent="0.2">
      <c r="R33319" s="1288"/>
    </row>
    <row r="33320" spans="18:18" s="2" customFormat="1" ht="12.75" x14ac:dyDescent="0.2">
      <c r="R33320" s="1288"/>
    </row>
    <row r="33321" spans="18:18" s="2" customFormat="1" ht="12.75" x14ac:dyDescent="0.2">
      <c r="R33321" s="1288"/>
    </row>
    <row r="33322" spans="18:18" s="2" customFormat="1" ht="12.75" x14ac:dyDescent="0.2">
      <c r="R33322" s="1288"/>
    </row>
    <row r="33323" spans="18:18" s="2" customFormat="1" ht="12.75" x14ac:dyDescent="0.2">
      <c r="R33323" s="1288"/>
    </row>
    <row r="33324" spans="18:18" s="2" customFormat="1" ht="12.75" x14ac:dyDescent="0.2">
      <c r="R33324" s="1288"/>
    </row>
    <row r="33325" spans="18:18" s="2" customFormat="1" ht="12.75" x14ac:dyDescent="0.2">
      <c r="R33325" s="1288"/>
    </row>
    <row r="33326" spans="18:18" s="2" customFormat="1" ht="12.75" x14ac:dyDescent="0.2">
      <c r="R33326" s="1288"/>
    </row>
    <row r="33327" spans="18:18" s="2" customFormat="1" ht="12.75" x14ac:dyDescent="0.2">
      <c r="R33327" s="1288"/>
    </row>
    <row r="33328" spans="18:18" s="2" customFormat="1" ht="12.75" x14ac:dyDescent="0.2">
      <c r="R33328" s="1288"/>
    </row>
    <row r="33329" spans="18:18" s="2" customFormat="1" ht="12.75" x14ac:dyDescent="0.2">
      <c r="R33329" s="1288"/>
    </row>
    <row r="33330" spans="18:18" s="2" customFormat="1" ht="12.75" x14ac:dyDescent="0.2">
      <c r="R33330" s="1288"/>
    </row>
    <row r="33331" spans="18:18" s="2" customFormat="1" ht="12.75" x14ac:dyDescent="0.2">
      <c r="R33331" s="1288"/>
    </row>
    <row r="33332" spans="18:18" s="2" customFormat="1" ht="12.75" x14ac:dyDescent="0.2">
      <c r="R33332" s="1288"/>
    </row>
    <row r="33333" spans="18:18" s="2" customFormat="1" ht="12.75" x14ac:dyDescent="0.2">
      <c r="R33333" s="1288"/>
    </row>
    <row r="33334" spans="18:18" s="2" customFormat="1" ht="12.75" x14ac:dyDescent="0.2">
      <c r="R33334" s="1288"/>
    </row>
    <row r="33335" spans="18:18" s="2" customFormat="1" ht="12.75" x14ac:dyDescent="0.2">
      <c r="R33335" s="1288"/>
    </row>
    <row r="33336" spans="18:18" s="2" customFormat="1" ht="12.75" x14ac:dyDescent="0.2">
      <c r="R33336" s="1288"/>
    </row>
    <row r="33337" spans="18:18" s="2" customFormat="1" ht="12.75" x14ac:dyDescent="0.2">
      <c r="R33337" s="1288"/>
    </row>
    <row r="33338" spans="18:18" s="2" customFormat="1" ht="12.75" x14ac:dyDescent="0.2">
      <c r="R33338" s="1288"/>
    </row>
    <row r="33339" spans="18:18" s="2" customFormat="1" ht="12.75" x14ac:dyDescent="0.2">
      <c r="R33339" s="1288"/>
    </row>
    <row r="33340" spans="18:18" s="2" customFormat="1" ht="12.75" x14ac:dyDescent="0.2">
      <c r="R33340" s="1288"/>
    </row>
    <row r="33341" spans="18:18" s="2" customFormat="1" ht="12.75" x14ac:dyDescent="0.2">
      <c r="R33341" s="1288"/>
    </row>
    <row r="33342" spans="18:18" s="2" customFormat="1" ht="12.75" x14ac:dyDescent="0.2">
      <c r="R33342" s="1288"/>
    </row>
    <row r="33343" spans="18:18" s="2" customFormat="1" ht="12.75" x14ac:dyDescent="0.2">
      <c r="R33343" s="1288"/>
    </row>
    <row r="33344" spans="18:18" s="2" customFormat="1" ht="12.75" x14ac:dyDescent="0.2">
      <c r="R33344" s="1288"/>
    </row>
    <row r="33345" spans="18:18" s="2" customFormat="1" ht="12.75" x14ac:dyDescent="0.2">
      <c r="R33345" s="1288"/>
    </row>
    <row r="33346" spans="18:18" s="2" customFormat="1" ht="12.75" x14ac:dyDescent="0.2">
      <c r="R33346" s="1288"/>
    </row>
    <row r="33347" spans="18:18" s="2" customFormat="1" ht="12.75" x14ac:dyDescent="0.2">
      <c r="R33347" s="1288"/>
    </row>
    <row r="33348" spans="18:18" s="2" customFormat="1" ht="12.75" x14ac:dyDescent="0.2">
      <c r="R33348" s="1288"/>
    </row>
    <row r="33349" spans="18:18" s="2" customFormat="1" ht="12.75" x14ac:dyDescent="0.2">
      <c r="R33349" s="1288"/>
    </row>
    <row r="33350" spans="18:18" s="2" customFormat="1" ht="12.75" x14ac:dyDescent="0.2">
      <c r="R33350" s="1288"/>
    </row>
    <row r="33351" spans="18:18" s="2" customFormat="1" ht="12.75" x14ac:dyDescent="0.2">
      <c r="R33351" s="1288"/>
    </row>
    <row r="33352" spans="18:18" s="2" customFormat="1" ht="12.75" x14ac:dyDescent="0.2">
      <c r="R33352" s="1288"/>
    </row>
    <row r="33353" spans="18:18" s="2" customFormat="1" ht="12.75" x14ac:dyDescent="0.2">
      <c r="R33353" s="1288"/>
    </row>
    <row r="33354" spans="18:18" s="2" customFormat="1" ht="12.75" x14ac:dyDescent="0.2">
      <c r="R33354" s="1288"/>
    </row>
    <row r="33355" spans="18:18" s="2" customFormat="1" ht="12.75" x14ac:dyDescent="0.2">
      <c r="R33355" s="1288"/>
    </row>
    <row r="33356" spans="18:18" s="2" customFormat="1" ht="12.75" x14ac:dyDescent="0.2">
      <c r="R33356" s="1288"/>
    </row>
    <row r="33357" spans="18:18" s="2" customFormat="1" ht="12.75" x14ac:dyDescent="0.2">
      <c r="R33357" s="1288"/>
    </row>
    <row r="33358" spans="18:18" s="2" customFormat="1" ht="12.75" x14ac:dyDescent="0.2">
      <c r="R33358" s="1288"/>
    </row>
    <row r="33359" spans="18:18" s="2" customFormat="1" ht="12.75" x14ac:dyDescent="0.2">
      <c r="R33359" s="1288"/>
    </row>
    <row r="33360" spans="18:18" s="2" customFormat="1" ht="12.75" x14ac:dyDescent="0.2">
      <c r="R33360" s="1288"/>
    </row>
    <row r="33361" spans="18:18" s="2" customFormat="1" ht="12.75" x14ac:dyDescent="0.2">
      <c r="R33361" s="1288"/>
    </row>
    <row r="33362" spans="18:18" s="2" customFormat="1" ht="12.75" x14ac:dyDescent="0.2">
      <c r="R33362" s="1288"/>
    </row>
    <row r="33363" spans="18:18" s="2" customFormat="1" ht="12.75" x14ac:dyDescent="0.2">
      <c r="R33363" s="1288"/>
    </row>
    <row r="33364" spans="18:18" s="2" customFormat="1" ht="12.75" x14ac:dyDescent="0.2">
      <c r="R33364" s="1288"/>
    </row>
    <row r="33365" spans="18:18" s="2" customFormat="1" ht="12.75" x14ac:dyDescent="0.2">
      <c r="R33365" s="1288"/>
    </row>
    <row r="33366" spans="18:18" s="2" customFormat="1" ht="12.75" x14ac:dyDescent="0.2">
      <c r="R33366" s="1288"/>
    </row>
    <row r="33367" spans="18:18" s="2" customFormat="1" ht="12.75" x14ac:dyDescent="0.2">
      <c r="R33367" s="1288"/>
    </row>
    <row r="33368" spans="18:18" s="2" customFormat="1" ht="12.75" x14ac:dyDescent="0.2">
      <c r="R33368" s="1288"/>
    </row>
    <row r="33369" spans="18:18" s="2" customFormat="1" ht="12.75" x14ac:dyDescent="0.2">
      <c r="R33369" s="1288"/>
    </row>
    <row r="33370" spans="18:18" s="2" customFormat="1" ht="12.75" x14ac:dyDescent="0.2">
      <c r="R33370" s="1288"/>
    </row>
    <row r="33371" spans="18:18" s="2" customFormat="1" ht="12.75" x14ac:dyDescent="0.2">
      <c r="R33371" s="1288"/>
    </row>
    <row r="33372" spans="18:18" s="2" customFormat="1" ht="12.75" x14ac:dyDescent="0.2">
      <c r="R33372" s="1288"/>
    </row>
    <row r="33373" spans="18:18" s="2" customFormat="1" ht="12.75" x14ac:dyDescent="0.2">
      <c r="R33373" s="1288"/>
    </row>
    <row r="33374" spans="18:18" s="2" customFormat="1" ht="12.75" x14ac:dyDescent="0.2">
      <c r="R33374" s="1288"/>
    </row>
    <row r="33375" spans="18:18" s="2" customFormat="1" ht="12.75" x14ac:dyDescent="0.2">
      <c r="R33375" s="1288"/>
    </row>
    <row r="33376" spans="18:18" s="2" customFormat="1" ht="12.75" x14ac:dyDescent="0.2">
      <c r="R33376" s="1288"/>
    </row>
    <row r="33377" spans="18:18" s="2" customFormat="1" ht="12.75" x14ac:dyDescent="0.2">
      <c r="R33377" s="1288"/>
    </row>
    <row r="33378" spans="18:18" s="2" customFormat="1" ht="12.75" x14ac:dyDescent="0.2">
      <c r="R33378" s="1288"/>
    </row>
    <row r="33379" spans="18:18" s="2" customFormat="1" ht="12.75" x14ac:dyDescent="0.2">
      <c r="R33379" s="1288"/>
    </row>
    <row r="33380" spans="18:18" s="2" customFormat="1" ht="12.75" x14ac:dyDescent="0.2">
      <c r="R33380" s="1288"/>
    </row>
    <row r="33381" spans="18:18" s="2" customFormat="1" ht="12.75" x14ac:dyDescent="0.2">
      <c r="R33381" s="1288"/>
    </row>
    <row r="33382" spans="18:18" s="2" customFormat="1" ht="12.75" x14ac:dyDescent="0.2">
      <c r="R33382" s="1288"/>
    </row>
    <row r="33383" spans="18:18" s="2" customFormat="1" ht="12.75" x14ac:dyDescent="0.2">
      <c r="R33383" s="1288"/>
    </row>
    <row r="33384" spans="18:18" s="2" customFormat="1" ht="12.75" x14ac:dyDescent="0.2">
      <c r="R33384" s="1288"/>
    </row>
    <row r="33385" spans="18:18" s="2" customFormat="1" ht="12.75" x14ac:dyDescent="0.2">
      <c r="R33385" s="1288"/>
    </row>
    <row r="33386" spans="18:18" s="2" customFormat="1" ht="12.75" x14ac:dyDescent="0.2">
      <c r="R33386" s="1288"/>
    </row>
    <row r="33387" spans="18:18" s="2" customFormat="1" ht="12.75" x14ac:dyDescent="0.2">
      <c r="R33387" s="1288"/>
    </row>
    <row r="33388" spans="18:18" s="2" customFormat="1" ht="12.75" x14ac:dyDescent="0.2">
      <c r="R33388" s="1288"/>
    </row>
    <row r="33389" spans="18:18" s="2" customFormat="1" ht="12.75" x14ac:dyDescent="0.2">
      <c r="R33389" s="1288"/>
    </row>
    <row r="33390" spans="18:18" s="2" customFormat="1" ht="12.75" x14ac:dyDescent="0.2">
      <c r="R33390" s="1288"/>
    </row>
    <row r="33391" spans="18:18" s="2" customFormat="1" ht="12.75" x14ac:dyDescent="0.2">
      <c r="R33391" s="1288"/>
    </row>
    <row r="33392" spans="18:18" s="2" customFormat="1" ht="12.75" x14ac:dyDescent="0.2">
      <c r="R33392" s="1288"/>
    </row>
    <row r="33393" spans="18:18" s="2" customFormat="1" ht="12.75" x14ac:dyDescent="0.2">
      <c r="R33393" s="1288"/>
    </row>
    <row r="33394" spans="18:18" s="2" customFormat="1" ht="12.75" x14ac:dyDescent="0.2">
      <c r="R33394" s="1288"/>
    </row>
    <row r="33395" spans="18:18" s="2" customFormat="1" ht="12.75" x14ac:dyDescent="0.2">
      <c r="R33395" s="1288"/>
    </row>
    <row r="33396" spans="18:18" s="2" customFormat="1" ht="12.75" x14ac:dyDescent="0.2">
      <c r="R33396" s="1288"/>
    </row>
    <row r="33397" spans="18:18" s="2" customFormat="1" ht="12.75" x14ac:dyDescent="0.2">
      <c r="R33397" s="1288"/>
    </row>
    <row r="33398" spans="18:18" s="2" customFormat="1" ht="12.75" x14ac:dyDescent="0.2">
      <c r="R33398" s="1288"/>
    </row>
    <row r="33399" spans="18:18" s="2" customFormat="1" ht="12.75" x14ac:dyDescent="0.2">
      <c r="R33399" s="1288"/>
    </row>
    <row r="33400" spans="18:18" s="2" customFormat="1" ht="12.75" x14ac:dyDescent="0.2">
      <c r="R33400" s="1288"/>
    </row>
    <row r="33401" spans="18:18" s="2" customFormat="1" ht="12.75" x14ac:dyDescent="0.2">
      <c r="R33401" s="1288"/>
    </row>
    <row r="33402" spans="18:18" s="2" customFormat="1" ht="12.75" x14ac:dyDescent="0.2">
      <c r="R33402" s="1288"/>
    </row>
    <row r="33403" spans="18:18" s="2" customFormat="1" ht="12.75" x14ac:dyDescent="0.2">
      <c r="R33403" s="1288"/>
    </row>
    <row r="33404" spans="18:18" s="2" customFormat="1" ht="12.75" x14ac:dyDescent="0.2">
      <c r="R33404" s="1288"/>
    </row>
    <row r="33405" spans="18:18" s="2" customFormat="1" ht="12.75" x14ac:dyDescent="0.2">
      <c r="R33405" s="1288"/>
    </row>
    <row r="33406" spans="18:18" s="2" customFormat="1" ht="12.75" x14ac:dyDescent="0.2">
      <c r="R33406" s="1288"/>
    </row>
    <row r="33407" spans="18:18" s="2" customFormat="1" ht="12.75" x14ac:dyDescent="0.2">
      <c r="R33407" s="1288"/>
    </row>
    <row r="33408" spans="18:18" s="2" customFormat="1" ht="12.75" x14ac:dyDescent="0.2">
      <c r="R33408" s="1288"/>
    </row>
    <row r="33409" spans="18:18" s="2" customFormat="1" ht="12.75" x14ac:dyDescent="0.2">
      <c r="R33409" s="1288"/>
    </row>
    <row r="33410" spans="18:18" s="2" customFormat="1" ht="12.75" x14ac:dyDescent="0.2">
      <c r="R33410" s="1288"/>
    </row>
    <row r="33411" spans="18:18" s="2" customFormat="1" ht="12.75" x14ac:dyDescent="0.2">
      <c r="R33411" s="1288"/>
    </row>
    <row r="33412" spans="18:18" s="2" customFormat="1" ht="12.75" x14ac:dyDescent="0.2">
      <c r="R33412" s="1288"/>
    </row>
    <row r="33413" spans="18:18" s="2" customFormat="1" ht="12.75" x14ac:dyDescent="0.2">
      <c r="R33413" s="1288"/>
    </row>
    <row r="33414" spans="18:18" s="2" customFormat="1" ht="12.75" x14ac:dyDescent="0.2">
      <c r="R33414" s="1288"/>
    </row>
    <row r="33415" spans="18:18" s="2" customFormat="1" ht="12.75" x14ac:dyDescent="0.2">
      <c r="R33415" s="1288"/>
    </row>
    <row r="33416" spans="18:18" s="2" customFormat="1" ht="12.75" x14ac:dyDescent="0.2">
      <c r="R33416" s="1288"/>
    </row>
    <row r="33417" spans="18:18" s="2" customFormat="1" ht="12.75" x14ac:dyDescent="0.2">
      <c r="R33417" s="1288"/>
    </row>
    <row r="33418" spans="18:18" s="2" customFormat="1" ht="12.75" x14ac:dyDescent="0.2">
      <c r="R33418" s="1288"/>
    </row>
    <row r="33419" spans="18:18" s="2" customFormat="1" ht="12.75" x14ac:dyDescent="0.2">
      <c r="R33419" s="1288"/>
    </row>
    <row r="33420" spans="18:18" s="2" customFormat="1" ht="12.75" x14ac:dyDescent="0.2">
      <c r="R33420" s="1288"/>
    </row>
    <row r="33421" spans="18:18" s="2" customFormat="1" ht="12.75" x14ac:dyDescent="0.2">
      <c r="R33421" s="1288"/>
    </row>
    <row r="33422" spans="18:18" s="2" customFormat="1" ht="12.75" x14ac:dyDescent="0.2">
      <c r="R33422" s="1288"/>
    </row>
    <row r="33423" spans="18:18" s="2" customFormat="1" ht="12.75" x14ac:dyDescent="0.2">
      <c r="R33423" s="1288"/>
    </row>
    <row r="33424" spans="18:18" s="2" customFormat="1" ht="12.75" x14ac:dyDescent="0.2">
      <c r="R33424" s="1288"/>
    </row>
    <row r="33425" spans="18:18" s="2" customFormat="1" ht="12.75" x14ac:dyDescent="0.2">
      <c r="R33425" s="1288"/>
    </row>
    <row r="33426" spans="18:18" s="2" customFormat="1" ht="12.75" x14ac:dyDescent="0.2">
      <c r="R33426" s="1288"/>
    </row>
    <row r="33427" spans="18:18" s="2" customFormat="1" ht="12.75" x14ac:dyDescent="0.2">
      <c r="R33427" s="1288"/>
    </row>
    <row r="33428" spans="18:18" s="2" customFormat="1" ht="12.75" x14ac:dyDescent="0.2">
      <c r="R33428" s="1288"/>
    </row>
    <row r="33429" spans="18:18" s="2" customFormat="1" ht="12.75" x14ac:dyDescent="0.2">
      <c r="R33429" s="1288"/>
    </row>
    <row r="33430" spans="18:18" s="2" customFormat="1" ht="12.75" x14ac:dyDescent="0.2">
      <c r="R33430" s="1288"/>
    </row>
    <row r="33431" spans="18:18" s="2" customFormat="1" ht="12.75" x14ac:dyDescent="0.2">
      <c r="R33431" s="1288"/>
    </row>
    <row r="33432" spans="18:18" s="2" customFormat="1" ht="12.75" x14ac:dyDescent="0.2">
      <c r="R33432" s="1288"/>
    </row>
    <row r="33433" spans="18:18" s="2" customFormat="1" ht="12.75" x14ac:dyDescent="0.2">
      <c r="R33433" s="1288"/>
    </row>
    <row r="33434" spans="18:18" s="2" customFormat="1" ht="12.75" x14ac:dyDescent="0.2">
      <c r="R33434" s="1288"/>
    </row>
    <row r="33435" spans="18:18" s="2" customFormat="1" ht="12.75" x14ac:dyDescent="0.2">
      <c r="R33435" s="1288"/>
    </row>
    <row r="33436" spans="18:18" s="2" customFormat="1" ht="12.75" x14ac:dyDescent="0.2">
      <c r="R33436" s="1288"/>
    </row>
    <row r="33437" spans="18:18" s="2" customFormat="1" ht="12.75" x14ac:dyDescent="0.2">
      <c r="R33437" s="1288"/>
    </row>
    <row r="33438" spans="18:18" s="2" customFormat="1" ht="12.75" x14ac:dyDescent="0.2">
      <c r="R33438" s="1288"/>
    </row>
    <row r="33439" spans="18:18" s="2" customFormat="1" ht="12.75" x14ac:dyDescent="0.2">
      <c r="R33439" s="1288"/>
    </row>
    <row r="33440" spans="18:18" s="2" customFormat="1" ht="12.75" x14ac:dyDescent="0.2">
      <c r="R33440" s="1288"/>
    </row>
    <row r="33441" spans="18:18" s="2" customFormat="1" ht="12.75" x14ac:dyDescent="0.2">
      <c r="R33441" s="1288"/>
    </row>
    <row r="33442" spans="18:18" s="2" customFormat="1" ht="12.75" x14ac:dyDescent="0.2">
      <c r="R33442" s="1288"/>
    </row>
    <row r="33443" spans="18:18" s="2" customFormat="1" ht="12.75" x14ac:dyDescent="0.2">
      <c r="R33443" s="1288"/>
    </row>
    <row r="33444" spans="18:18" s="2" customFormat="1" ht="12.75" x14ac:dyDescent="0.2">
      <c r="R33444" s="1288"/>
    </row>
    <row r="33445" spans="18:18" s="2" customFormat="1" ht="12.75" x14ac:dyDescent="0.2">
      <c r="R33445" s="1288"/>
    </row>
    <row r="33446" spans="18:18" s="2" customFormat="1" ht="12.75" x14ac:dyDescent="0.2">
      <c r="R33446" s="1288"/>
    </row>
    <row r="33447" spans="18:18" s="2" customFormat="1" ht="12.75" x14ac:dyDescent="0.2">
      <c r="R33447" s="1288"/>
    </row>
    <row r="33448" spans="18:18" s="2" customFormat="1" ht="12.75" x14ac:dyDescent="0.2">
      <c r="R33448" s="1288"/>
    </row>
    <row r="33449" spans="18:18" s="2" customFormat="1" ht="12.75" x14ac:dyDescent="0.2">
      <c r="R33449" s="1288"/>
    </row>
    <row r="33450" spans="18:18" s="2" customFormat="1" ht="12.75" x14ac:dyDescent="0.2">
      <c r="R33450" s="1288"/>
    </row>
    <row r="33451" spans="18:18" s="2" customFormat="1" ht="12.75" x14ac:dyDescent="0.2">
      <c r="R33451" s="1288"/>
    </row>
    <row r="33452" spans="18:18" s="2" customFormat="1" ht="12.75" x14ac:dyDescent="0.2">
      <c r="R33452" s="1288"/>
    </row>
    <row r="33453" spans="18:18" s="2" customFormat="1" ht="12.75" x14ac:dyDescent="0.2">
      <c r="R33453" s="1288"/>
    </row>
    <row r="33454" spans="18:18" s="2" customFormat="1" ht="12.75" x14ac:dyDescent="0.2">
      <c r="R33454" s="1288"/>
    </row>
    <row r="33455" spans="18:18" s="2" customFormat="1" ht="12.75" x14ac:dyDescent="0.2">
      <c r="R33455" s="1288"/>
    </row>
    <row r="33456" spans="18:18" s="2" customFormat="1" ht="12.75" x14ac:dyDescent="0.2">
      <c r="R33456" s="1288"/>
    </row>
    <row r="33457" spans="18:18" s="2" customFormat="1" ht="12.75" x14ac:dyDescent="0.2">
      <c r="R33457" s="1288"/>
    </row>
    <row r="33458" spans="18:18" s="2" customFormat="1" ht="12.75" x14ac:dyDescent="0.2">
      <c r="R33458" s="1288"/>
    </row>
    <row r="33459" spans="18:18" s="2" customFormat="1" ht="12.75" x14ac:dyDescent="0.2">
      <c r="R33459" s="1288"/>
    </row>
    <row r="33460" spans="18:18" s="2" customFormat="1" ht="12.75" x14ac:dyDescent="0.2">
      <c r="R33460" s="1288"/>
    </row>
    <row r="33461" spans="18:18" s="2" customFormat="1" ht="12.75" x14ac:dyDescent="0.2">
      <c r="R33461" s="1288"/>
    </row>
    <row r="33462" spans="18:18" s="2" customFormat="1" ht="12.75" x14ac:dyDescent="0.2">
      <c r="R33462" s="1288"/>
    </row>
    <row r="33463" spans="18:18" s="2" customFormat="1" ht="12.75" x14ac:dyDescent="0.2">
      <c r="R33463" s="1288"/>
    </row>
    <row r="33464" spans="18:18" s="2" customFormat="1" ht="12.75" x14ac:dyDescent="0.2">
      <c r="R33464" s="1288"/>
    </row>
    <row r="33465" spans="18:18" s="2" customFormat="1" ht="12.75" x14ac:dyDescent="0.2">
      <c r="R33465" s="1288"/>
    </row>
    <row r="33466" spans="18:18" s="2" customFormat="1" ht="12.75" x14ac:dyDescent="0.2">
      <c r="R33466" s="1288"/>
    </row>
    <row r="33467" spans="18:18" s="2" customFormat="1" ht="12.75" x14ac:dyDescent="0.2">
      <c r="R33467" s="1288"/>
    </row>
    <row r="33468" spans="18:18" s="2" customFormat="1" ht="12.75" x14ac:dyDescent="0.2">
      <c r="R33468" s="1288"/>
    </row>
    <row r="33469" spans="18:18" s="2" customFormat="1" ht="12.75" x14ac:dyDescent="0.2">
      <c r="R33469" s="1288"/>
    </row>
    <row r="33470" spans="18:18" s="2" customFormat="1" ht="12.75" x14ac:dyDescent="0.2">
      <c r="R33470" s="1288"/>
    </row>
    <row r="33471" spans="18:18" s="2" customFormat="1" ht="12.75" x14ac:dyDescent="0.2">
      <c r="R33471" s="1288"/>
    </row>
    <row r="33472" spans="18:18" s="2" customFormat="1" ht="12.75" x14ac:dyDescent="0.2">
      <c r="R33472" s="1288"/>
    </row>
    <row r="33473" spans="18:18" s="2" customFormat="1" ht="12.75" x14ac:dyDescent="0.2">
      <c r="R33473" s="1288"/>
    </row>
    <row r="33474" spans="18:18" s="2" customFormat="1" ht="12.75" x14ac:dyDescent="0.2">
      <c r="R33474" s="1288"/>
    </row>
    <row r="33475" spans="18:18" s="2" customFormat="1" ht="12.75" x14ac:dyDescent="0.2">
      <c r="R33475" s="1288"/>
    </row>
    <row r="33476" spans="18:18" s="2" customFormat="1" ht="12.75" x14ac:dyDescent="0.2">
      <c r="R33476" s="1288"/>
    </row>
    <row r="33477" spans="18:18" s="2" customFormat="1" ht="12.75" x14ac:dyDescent="0.2">
      <c r="R33477" s="1288"/>
    </row>
    <row r="33478" spans="18:18" s="2" customFormat="1" ht="12.75" x14ac:dyDescent="0.2">
      <c r="R33478" s="1288"/>
    </row>
    <row r="33479" spans="18:18" s="2" customFormat="1" ht="12.75" x14ac:dyDescent="0.2">
      <c r="R33479" s="1288"/>
    </row>
    <row r="33480" spans="18:18" s="2" customFormat="1" ht="12.75" x14ac:dyDescent="0.2">
      <c r="R33480" s="1288"/>
    </row>
    <row r="33481" spans="18:18" s="2" customFormat="1" ht="12.75" x14ac:dyDescent="0.2">
      <c r="R33481" s="1288"/>
    </row>
    <row r="33482" spans="18:18" s="2" customFormat="1" ht="12.75" x14ac:dyDescent="0.2">
      <c r="R33482" s="1288"/>
    </row>
    <row r="33483" spans="18:18" s="2" customFormat="1" ht="12.75" x14ac:dyDescent="0.2">
      <c r="R33483" s="1288"/>
    </row>
    <row r="33484" spans="18:18" s="2" customFormat="1" ht="12.75" x14ac:dyDescent="0.2">
      <c r="R33484" s="1288"/>
    </row>
    <row r="33485" spans="18:18" s="2" customFormat="1" ht="12.75" x14ac:dyDescent="0.2">
      <c r="R33485" s="1288"/>
    </row>
    <row r="33486" spans="18:18" s="2" customFormat="1" ht="12.75" x14ac:dyDescent="0.2">
      <c r="R33486" s="1288"/>
    </row>
    <row r="33487" spans="18:18" s="2" customFormat="1" ht="12.75" x14ac:dyDescent="0.2">
      <c r="R33487" s="1288"/>
    </row>
    <row r="33488" spans="18:18" s="2" customFormat="1" ht="12.75" x14ac:dyDescent="0.2">
      <c r="R33488" s="1288"/>
    </row>
    <row r="33489" spans="18:18" s="2" customFormat="1" ht="12.75" x14ac:dyDescent="0.2">
      <c r="R33489" s="1288"/>
    </row>
    <row r="33490" spans="18:18" s="2" customFormat="1" ht="12.75" x14ac:dyDescent="0.2">
      <c r="R33490" s="1288"/>
    </row>
    <row r="33491" spans="18:18" s="2" customFormat="1" ht="12.75" x14ac:dyDescent="0.2">
      <c r="R33491" s="1288"/>
    </row>
    <row r="33492" spans="18:18" s="2" customFormat="1" ht="12.75" x14ac:dyDescent="0.2">
      <c r="R33492" s="1288"/>
    </row>
    <row r="33493" spans="18:18" s="2" customFormat="1" ht="12.75" x14ac:dyDescent="0.2">
      <c r="R33493" s="1288"/>
    </row>
    <row r="33494" spans="18:18" s="2" customFormat="1" ht="12.75" x14ac:dyDescent="0.2">
      <c r="R33494" s="1288"/>
    </row>
    <row r="33495" spans="18:18" s="2" customFormat="1" ht="12.75" x14ac:dyDescent="0.2">
      <c r="R33495" s="1288"/>
    </row>
    <row r="33496" spans="18:18" s="2" customFormat="1" ht="12.75" x14ac:dyDescent="0.2">
      <c r="R33496" s="1288"/>
    </row>
    <row r="33497" spans="18:18" s="2" customFormat="1" ht="12.75" x14ac:dyDescent="0.2">
      <c r="R33497" s="1288"/>
    </row>
    <row r="33498" spans="18:18" s="2" customFormat="1" ht="12.75" x14ac:dyDescent="0.2">
      <c r="R33498" s="1288"/>
    </row>
    <row r="33499" spans="18:18" s="2" customFormat="1" ht="12.75" x14ac:dyDescent="0.2">
      <c r="R33499" s="1288"/>
    </row>
    <row r="33500" spans="18:18" s="2" customFormat="1" ht="12.75" x14ac:dyDescent="0.2">
      <c r="R33500" s="1288"/>
    </row>
    <row r="33501" spans="18:18" s="2" customFormat="1" ht="12.75" x14ac:dyDescent="0.2">
      <c r="R33501" s="1288"/>
    </row>
    <row r="33502" spans="18:18" s="2" customFormat="1" ht="12.75" x14ac:dyDescent="0.2">
      <c r="R33502" s="1288"/>
    </row>
    <row r="33503" spans="18:18" s="2" customFormat="1" ht="12.75" x14ac:dyDescent="0.2">
      <c r="R33503" s="1288"/>
    </row>
    <row r="33504" spans="18:18" s="2" customFormat="1" ht="12.75" x14ac:dyDescent="0.2">
      <c r="R33504" s="1288"/>
    </row>
    <row r="33505" spans="18:18" s="2" customFormat="1" ht="12.75" x14ac:dyDescent="0.2">
      <c r="R33505" s="1288"/>
    </row>
    <row r="33506" spans="18:18" s="2" customFormat="1" ht="12.75" x14ac:dyDescent="0.2">
      <c r="R33506" s="1288"/>
    </row>
    <row r="33507" spans="18:18" s="2" customFormat="1" ht="12.75" x14ac:dyDescent="0.2">
      <c r="R33507" s="1288"/>
    </row>
    <row r="33508" spans="18:18" s="2" customFormat="1" ht="12.75" x14ac:dyDescent="0.2">
      <c r="R33508" s="1288"/>
    </row>
    <row r="33509" spans="18:18" s="2" customFormat="1" ht="12.75" x14ac:dyDescent="0.2">
      <c r="R33509" s="1288"/>
    </row>
    <row r="33510" spans="18:18" s="2" customFormat="1" ht="12.75" x14ac:dyDescent="0.2">
      <c r="R33510" s="1288"/>
    </row>
    <row r="33511" spans="18:18" s="2" customFormat="1" ht="12.75" x14ac:dyDescent="0.2">
      <c r="R33511" s="1288"/>
    </row>
    <row r="33512" spans="18:18" s="2" customFormat="1" ht="12.75" x14ac:dyDescent="0.2">
      <c r="R33512" s="1288"/>
    </row>
    <row r="33513" spans="18:18" s="2" customFormat="1" ht="12.75" x14ac:dyDescent="0.2">
      <c r="R33513" s="1288"/>
    </row>
    <row r="33514" spans="18:18" s="2" customFormat="1" ht="12.75" x14ac:dyDescent="0.2">
      <c r="R33514" s="1288"/>
    </row>
    <row r="33515" spans="18:18" s="2" customFormat="1" ht="12.75" x14ac:dyDescent="0.2">
      <c r="R33515" s="1288"/>
    </row>
    <row r="33516" spans="18:18" s="2" customFormat="1" ht="12.75" x14ac:dyDescent="0.2">
      <c r="R33516" s="1288"/>
    </row>
    <row r="33517" spans="18:18" s="2" customFormat="1" ht="12.75" x14ac:dyDescent="0.2">
      <c r="R33517" s="1288"/>
    </row>
    <row r="33518" spans="18:18" s="2" customFormat="1" ht="12.75" x14ac:dyDescent="0.2">
      <c r="R33518" s="1288"/>
    </row>
    <row r="33519" spans="18:18" s="2" customFormat="1" ht="12.75" x14ac:dyDescent="0.2">
      <c r="R33519" s="1288"/>
    </row>
    <row r="33520" spans="18:18" s="2" customFormat="1" ht="12.75" x14ac:dyDescent="0.2">
      <c r="R33520" s="1288"/>
    </row>
    <row r="33521" spans="18:18" s="2" customFormat="1" ht="12.75" x14ac:dyDescent="0.2">
      <c r="R33521" s="1288"/>
    </row>
    <row r="33522" spans="18:18" s="2" customFormat="1" ht="12.75" x14ac:dyDescent="0.2">
      <c r="R33522" s="1288"/>
    </row>
    <row r="33523" spans="18:18" s="2" customFormat="1" ht="12.75" x14ac:dyDescent="0.2">
      <c r="R33523" s="1288"/>
    </row>
    <row r="33524" spans="18:18" s="2" customFormat="1" ht="12.75" x14ac:dyDescent="0.2">
      <c r="R33524" s="1288"/>
    </row>
    <row r="33525" spans="18:18" s="2" customFormat="1" ht="12.75" x14ac:dyDescent="0.2">
      <c r="R33525" s="1288"/>
    </row>
    <row r="33526" spans="18:18" s="2" customFormat="1" ht="12.75" x14ac:dyDescent="0.2">
      <c r="R33526" s="1288"/>
    </row>
    <row r="33527" spans="18:18" s="2" customFormat="1" ht="12.75" x14ac:dyDescent="0.2">
      <c r="R33527" s="1288"/>
    </row>
    <row r="33528" spans="18:18" s="2" customFormat="1" ht="12.75" x14ac:dyDescent="0.2">
      <c r="R33528" s="1288"/>
    </row>
    <row r="33529" spans="18:18" s="2" customFormat="1" ht="12.75" x14ac:dyDescent="0.2">
      <c r="R33529" s="1288"/>
    </row>
    <row r="33530" spans="18:18" s="2" customFormat="1" ht="12.75" x14ac:dyDescent="0.2">
      <c r="R33530" s="1288"/>
    </row>
    <row r="33531" spans="18:18" s="2" customFormat="1" ht="12.75" x14ac:dyDescent="0.2">
      <c r="R33531" s="1288"/>
    </row>
    <row r="33532" spans="18:18" s="2" customFormat="1" ht="12.75" x14ac:dyDescent="0.2">
      <c r="R33532" s="1288"/>
    </row>
    <row r="33533" spans="18:18" s="2" customFormat="1" ht="12.75" x14ac:dyDescent="0.2">
      <c r="R33533" s="1288"/>
    </row>
    <row r="33534" spans="18:18" s="2" customFormat="1" ht="12.75" x14ac:dyDescent="0.2">
      <c r="R33534" s="1288"/>
    </row>
    <row r="33535" spans="18:18" s="2" customFormat="1" ht="12.75" x14ac:dyDescent="0.2">
      <c r="R33535" s="1288"/>
    </row>
    <row r="33536" spans="18:18" s="2" customFormat="1" ht="12.75" x14ac:dyDescent="0.2">
      <c r="R33536" s="1288"/>
    </row>
    <row r="33537" spans="18:18" s="2" customFormat="1" ht="12.75" x14ac:dyDescent="0.2">
      <c r="R33537" s="1288"/>
    </row>
    <row r="33538" spans="18:18" s="2" customFormat="1" ht="12.75" x14ac:dyDescent="0.2">
      <c r="R33538" s="1288"/>
    </row>
    <row r="33539" spans="18:18" s="2" customFormat="1" ht="12.75" x14ac:dyDescent="0.2">
      <c r="R33539" s="1288"/>
    </row>
    <row r="33540" spans="18:18" s="2" customFormat="1" ht="12.75" x14ac:dyDescent="0.2">
      <c r="R33540" s="1288"/>
    </row>
    <row r="33541" spans="18:18" s="2" customFormat="1" ht="12.75" x14ac:dyDescent="0.2">
      <c r="R33541" s="1288"/>
    </row>
    <row r="33542" spans="18:18" s="2" customFormat="1" ht="12.75" x14ac:dyDescent="0.2">
      <c r="R33542" s="1288"/>
    </row>
    <row r="33543" spans="18:18" s="2" customFormat="1" ht="12.75" x14ac:dyDescent="0.2">
      <c r="R33543" s="1288"/>
    </row>
    <row r="33544" spans="18:18" s="2" customFormat="1" ht="12.75" x14ac:dyDescent="0.2">
      <c r="R33544" s="1288"/>
    </row>
    <row r="33545" spans="18:18" s="2" customFormat="1" ht="12.75" x14ac:dyDescent="0.2">
      <c r="R33545" s="1288"/>
    </row>
    <row r="33546" spans="18:18" s="2" customFormat="1" ht="12.75" x14ac:dyDescent="0.2">
      <c r="R33546" s="1288"/>
    </row>
    <row r="33547" spans="18:18" s="2" customFormat="1" ht="12.75" x14ac:dyDescent="0.2">
      <c r="R33547" s="1288"/>
    </row>
    <row r="33548" spans="18:18" s="2" customFormat="1" ht="12.75" x14ac:dyDescent="0.2">
      <c r="R33548" s="1288"/>
    </row>
    <row r="33549" spans="18:18" s="2" customFormat="1" ht="12.75" x14ac:dyDescent="0.2">
      <c r="R33549" s="1288"/>
    </row>
    <row r="33550" spans="18:18" s="2" customFormat="1" ht="12.75" x14ac:dyDescent="0.2">
      <c r="R33550" s="1288"/>
    </row>
    <row r="33551" spans="18:18" s="2" customFormat="1" ht="12.75" x14ac:dyDescent="0.2">
      <c r="R33551" s="1288"/>
    </row>
    <row r="33552" spans="18:18" s="2" customFormat="1" ht="12.75" x14ac:dyDescent="0.2">
      <c r="R33552" s="1288"/>
    </row>
    <row r="33553" spans="18:18" s="2" customFormat="1" ht="12.75" x14ac:dyDescent="0.2">
      <c r="R33553" s="1288"/>
    </row>
    <row r="33554" spans="18:18" s="2" customFormat="1" ht="12.75" x14ac:dyDescent="0.2">
      <c r="R33554" s="1288"/>
    </row>
    <row r="33555" spans="18:18" s="2" customFormat="1" ht="12.75" x14ac:dyDescent="0.2">
      <c r="R33555" s="1288"/>
    </row>
    <row r="33556" spans="18:18" s="2" customFormat="1" ht="12.75" x14ac:dyDescent="0.2">
      <c r="R33556" s="1288"/>
    </row>
    <row r="33557" spans="18:18" s="2" customFormat="1" ht="12.75" x14ac:dyDescent="0.2">
      <c r="R33557" s="1288"/>
    </row>
    <row r="33558" spans="18:18" s="2" customFormat="1" ht="12.75" x14ac:dyDescent="0.2">
      <c r="R33558" s="1288"/>
    </row>
    <row r="33559" spans="18:18" s="2" customFormat="1" ht="12.75" x14ac:dyDescent="0.2">
      <c r="R33559" s="1288"/>
    </row>
    <row r="33560" spans="18:18" s="2" customFormat="1" ht="12.75" x14ac:dyDescent="0.2">
      <c r="R33560" s="1288"/>
    </row>
    <row r="33561" spans="18:18" s="2" customFormat="1" ht="12.75" x14ac:dyDescent="0.2">
      <c r="R33561" s="1288"/>
    </row>
    <row r="33562" spans="18:18" s="2" customFormat="1" ht="12.75" x14ac:dyDescent="0.2">
      <c r="R33562" s="1288"/>
    </row>
    <row r="33563" spans="18:18" s="2" customFormat="1" ht="12.75" x14ac:dyDescent="0.2">
      <c r="R33563" s="1288"/>
    </row>
    <row r="33564" spans="18:18" s="2" customFormat="1" ht="12.75" x14ac:dyDescent="0.2">
      <c r="R33564" s="1288"/>
    </row>
    <row r="33565" spans="18:18" s="2" customFormat="1" ht="12.75" x14ac:dyDescent="0.2">
      <c r="R33565" s="1288"/>
    </row>
    <row r="33566" spans="18:18" s="2" customFormat="1" ht="12.75" x14ac:dyDescent="0.2">
      <c r="R33566" s="1288"/>
    </row>
    <row r="33567" spans="18:18" s="2" customFormat="1" ht="12.75" x14ac:dyDescent="0.2">
      <c r="R33567" s="1288"/>
    </row>
    <row r="33568" spans="18:18" s="2" customFormat="1" ht="12.75" x14ac:dyDescent="0.2">
      <c r="R33568" s="1288"/>
    </row>
    <row r="33569" spans="18:18" s="2" customFormat="1" ht="12.75" x14ac:dyDescent="0.2">
      <c r="R33569" s="1288"/>
    </row>
    <row r="33570" spans="18:18" s="2" customFormat="1" ht="12.75" x14ac:dyDescent="0.2">
      <c r="R33570" s="1288"/>
    </row>
    <row r="33571" spans="18:18" s="2" customFormat="1" ht="12.75" x14ac:dyDescent="0.2">
      <c r="R33571" s="1288"/>
    </row>
    <row r="33572" spans="18:18" s="2" customFormat="1" ht="12.75" x14ac:dyDescent="0.2">
      <c r="R33572" s="1288"/>
    </row>
    <row r="33573" spans="18:18" s="2" customFormat="1" ht="12.75" x14ac:dyDescent="0.2">
      <c r="R33573" s="1288"/>
    </row>
    <row r="33574" spans="18:18" s="2" customFormat="1" ht="12.75" x14ac:dyDescent="0.2">
      <c r="R33574" s="1288"/>
    </row>
    <row r="33575" spans="18:18" s="2" customFormat="1" ht="12.75" x14ac:dyDescent="0.2">
      <c r="R33575" s="1288"/>
    </row>
    <row r="33576" spans="18:18" s="2" customFormat="1" ht="12.75" x14ac:dyDescent="0.2">
      <c r="R33576" s="1288"/>
    </row>
    <row r="33577" spans="18:18" s="2" customFormat="1" ht="12.75" x14ac:dyDescent="0.2">
      <c r="R33577" s="1288"/>
    </row>
    <row r="33578" spans="18:18" s="2" customFormat="1" ht="12.75" x14ac:dyDescent="0.2">
      <c r="R33578" s="1288"/>
    </row>
    <row r="33579" spans="18:18" s="2" customFormat="1" ht="12.75" x14ac:dyDescent="0.2">
      <c r="R33579" s="1288"/>
    </row>
    <row r="33580" spans="18:18" s="2" customFormat="1" ht="12.75" x14ac:dyDescent="0.2">
      <c r="R33580" s="1288"/>
    </row>
    <row r="33581" spans="18:18" s="2" customFormat="1" ht="12.75" x14ac:dyDescent="0.2">
      <c r="R33581" s="1288"/>
    </row>
    <row r="33582" spans="18:18" s="2" customFormat="1" ht="12.75" x14ac:dyDescent="0.2">
      <c r="R33582" s="1288"/>
    </row>
    <row r="33583" spans="18:18" s="2" customFormat="1" ht="12.75" x14ac:dyDescent="0.2">
      <c r="R33583" s="1288"/>
    </row>
    <row r="33584" spans="18:18" s="2" customFormat="1" ht="12.75" x14ac:dyDescent="0.2">
      <c r="R33584" s="1288"/>
    </row>
    <row r="33585" spans="18:18" s="2" customFormat="1" ht="12.75" x14ac:dyDescent="0.2">
      <c r="R33585" s="1288"/>
    </row>
    <row r="33586" spans="18:18" s="2" customFormat="1" ht="12.75" x14ac:dyDescent="0.2">
      <c r="R33586" s="1288"/>
    </row>
    <row r="33587" spans="18:18" s="2" customFormat="1" ht="12.75" x14ac:dyDescent="0.2">
      <c r="R33587" s="1288"/>
    </row>
    <row r="33588" spans="18:18" s="2" customFormat="1" ht="12.75" x14ac:dyDescent="0.2">
      <c r="R33588" s="1288"/>
    </row>
    <row r="33589" spans="18:18" s="2" customFormat="1" ht="12.75" x14ac:dyDescent="0.2">
      <c r="R33589" s="1288"/>
    </row>
    <row r="33590" spans="18:18" s="2" customFormat="1" ht="12.75" x14ac:dyDescent="0.2">
      <c r="R33590" s="1288"/>
    </row>
    <row r="33591" spans="18:18" s="2" customFormat="1" ht="12.75" x14ac:dyDescent="0.2">
      <c r="R33591" s="1288"/>
    </row>
    <row r="33592" spans="18:18" s="2" customFormat="1" ht="12.75" x14ac:dyDescent="0.2">
      <c r="R33592" s="1288"/>
    </row>
    <row r="33593" spans="18:18" s="2" customFormat="1" ht="12.75" x14ac:dyDescent="0.2">
      <c r="R33593" s="1288"/>
    </row>
    <row r="33594" spans="18:18" s="2" customFormat="1" ht="12.75" x14ac:dyDescent="0.2">
      <c r="R33594" s="1288"/>
    </row>
    <row r="33595" spans="18:18" s="2" customFormat="1" ht="12.75" x14ac:dyDescent="0.2">
      <c r="R33595" s="1288"/>
    </row>
    <row r="33596" spans="18:18" s="2" customFormat="1" ht="12.75" x14ac:dyDescent="0.2">
      <c r="R33596" s="1288"/>
    </row>
    <row r="33597" spans="18:18" s="2" customFormat="1" ht="12.75" x14ac:dyDescent="0.2">
      <c r="R33597" s="1288"/>
    </row>
    <row r="33598" spans="18:18" s="2" customFormat="1" ht="12.75" x14ac:dyDescent="0.2">
      <c r="R33598" s="1288"/>
    </row>
    <row r="33599" spans="18:18" s="2" customFormat="1" ht="12.75" x14ac:dyDescent="0.2">
      <c r="R33599" s="1288"/>
    </row>
    <row r="33600" spans="18:18" s="2" customFormat="1" ht="12.75" x14ac:dyDescent="0.2">
      <c r="R33600" s="1288"/>
    </row>
    <row r="33601" spans="18:18" s="2" customFormat="1" ht="12.75" x14ac:dyDescent="0.2">
      <c r="R33601" s="1288"/>
    </row>
    <row r="33602" spans="18:18" s="2" customFormat="1" ht="12.75" x14ac:dyDescent="0.2">
      <c r="R33602" s="1288"/>
    </row>
    <row r="33603" spans="18:18" s="2" customFormat="1" ht="12.75" x14ac:dyDescent="0.2">
      <c r="R33603" s="1288"/>
    </row>
    <row r="33604" spans="18:18" s="2" customFormat="1" ht="12.75" x14ac:dyDescent="0.2">
      <c r="R33604" s="1288"/>
    </row>
    <row r="33605" spans="18:18" s="2" customFormat="1" ht="12.75" x14ac:dyDescent="0.2">
      <c r="R33605" s="1288"/>
    </row>
    <row r="33606" spans="18:18" s="2" customFormat="1" ht="12.75" x14ac:dyDescent="0.2">
      <c r="R33606" s="1288"/>
    </row>
    <row r="33607" spans="18:18" s="2" customFormat="1" ht="12.75" x14ac:dyDescent="0.2">
      <c r="R33607" s="1288"/>
    </row>
    <row r="33608" spans="18:18" s="2" customFormat="1" ht="12.75" x14ac:dyDescent="0.2">
      <c r="R33608" s="1288"/>
    </row>
    <row r="33609" spans="18:18" s="2" customFormat="1" ht="12.75" x14ac:dyDescent="0.2">
      <c r="R33609" s="1288"/>
    </row>
    <row r="33610" spans="18:18" s="2" customFormat="1" ht="12.75" x14ac:dyDescent="0.2">
      <c r="R33610" s="1288"/>
    </row>
    <row r="33611" spans="18:18" s="2" customFormat="1" ht="12.75" x14ac:dyDescent="0.2">
      <c r="R33611" s="1288"/>
    </row>
    <row r="33612" spans="18:18" s="2" customFormat="1" ht="12.75" x14ac:dyDescent="0.2">
      <c r="R33612" s="1288"/>
    </row>
    <row r="33613" spans="18:18" s="2" customFormat="1" ht="12.75" x14ac:dyDescent="0.2">
      <c r="R33613" s="1288"/>
    </row>
    <row r="33614" spans="18:18" s="2" customFormat="1" ht="12.75" x14ac:dyDescent="0.2">
      <c r="R33614" s="1288"/>
    </row>
    <row r="33615" spans="18:18" s="2" customFormat="1" ht="12.75" x14ac:dyDescent="0.2">
      <c r="R33615" s="1288"/>
    </row>
    <row r="33616" spans="18:18" s="2" customFormat="1" ht="12.75" x14ac:dyDescent="0.2">
      <c r="R33616" s="1288"/>
    </row>
    <row r="33617" spans="18:18" s="2" customFormat="1" ht="12.75" x14ac:dyDescent="0.2">
      <c r="R33617" s="1288"/>
    </row>
    <row r="33618" spans="18:18" s="2" customFormat="1" ht="12.75" x14ac:dyDescent="0.2">
      <c r="R33618" s="1288"/>
    </row>
    <row r="33619" spans="18:18" s="2" customFormat="1" ht="12.75" x14ac:dyDescent="0.2">
      <c r="R33619" s="1288"/>
    </row>
    <row r="33620" spans="18:18" s="2" customFormat="1" ht="12.75" x14ac:dyDescent="0.2">
      <c r="R33620" s="1288"/>
    </row>
    <row r="33621" spans="18:18" s="2" customFormat="1" ht="12.75" x14ac:dyDescent="0.2">
      <c r="R33621" s="1288"/>
    </row>
    <row r="33622" spans="18:18" s="2" customFormat="1" ht="12.75" x14ac:dyDescent="0.2">
      <c r="R33622" s="1288"/>
    </row>
    <row r="33623" spans="18:18" s="2" customFormat="1" ht="12.75" x14ac:dyDescent="0.2">
      <c r="R33623" s="1288"/>
    </row>
    <row r="33624" spans="18:18" s="2" customFormat="1" ht="12.75" x14ac:dyDescent="0.2">
      <c r="R33624" s="1288"/>
    </row>
    <row r="33625" spans="18:18" s="2" customFormat="1" ht="12.75" x14ac:dyDescent="0.2">
      <c r="R33625" s="1288"/>
    </row>
    <row r="33626" spans="18:18" s="2" customFormat="1" ht="12.75" x14ac:dyDescent="0.2">
      <c r="R33626" s="1288"/>
    </row>
    <row r="33627" spans="18:18" s="2" customFormat="1" ht="12.75" x14ac:dyDescent="0.2">
      <c r="R33627" s="1288"/>
    </row>
    <row r="33628" spans="18:18" s="2" customFormat="1" ht="12.75" x14ac:dyDescent="0.2">
      <c r="R33628" s="1288"/>
    </row>
    <row r="33629" spans="18:18" s="2" customFormat="1" ht="12.75" x14ac:dyDescent="0.2">
      <c r="R33629" s="1288"/>
    </row>
    <row r="33630" spans="18:18" s="2" customFormat="1" ht="12.75" x14ac:dyDescent="0.2">
      <c r="R33630" s="1288"/>
    </row>
    <row r="33631" spans="18:18" s="2" customFormat="1" ht="12.75" x14ac:dyDescent="0.2">
      <c r="R33631" s="1288"/>
    </row>
    <row r="33632" spans="18:18" s="2" customFormat="1" ht="12.75" x14ac:dyDescent="0.2">
      <c r="R33632" s="1288"/>
    </row>
    <row r="33633" spans="18:18" s="2" customFormat="1" ht="12.75" x14ac:dyDescent="0.2">
      <c r="R33633" s="1288"/>
    </row>
    <row r="33634" spans="18:18" s="2" customFormat="1" ht="12.75" x14ac:dyDescent="0.2">
      <c r="R33634" s="1288"/>
    </row>
    <row r="33635" spans="18:18" s="2" customFormat="1" ht="12.75" x14ac:dyDescent="0.2">
      <c r="R33635" s="1288"/>
    </row>
    <row r="33636" spans="18:18" s="2" customFormat="1" ht="12.75" x14ac:dyDescent="0.2">
      <c r="R33636" s="1288"/>
    </row>
    <row r="33637" spans="18:18" s="2" customFormat="1" ht="12.75" x14ac:dyDescent="0.2">
      <c r="R33637" s="1288"/>
    </row>
    <row r="33638" spans="18:18" s="2" customFormat="1" ht="12.75" x14ac:dyDescent="0.2">
      <c r="R33638" s="1288"/>
    </row>
    <row r="33639" spans="18:18" s="2" customFormat="1" ht="12.75" x14ac:dyDescent="0.2">
      <c r="R33639" s="1288"/>
    </row>
    <row r="33640" spans="18:18" s="2" customFormat="1" ht="12.75" x14ac:dyDescent="0.2">
      <c r="R33640" s="1288"/>
    </row>
    <row r="33641" spans="18:18" s="2" customFormat="1" ht="12.75" x14ac:dyDescent="0.2">
      <c r="R33641" s="1288"/>
    </row>
    <row r="33642" spans="18:18" s="2" customFormat="1" ht="12.75" x14ac:dyDescent="0.2">
      <c r="R33642" s="1288"/>
    </row>
    <row r="33643" spans="18:18" s="2" customFormat="1" ht="12.75" x14ac:dyDescent="0.2">
      <c r="R33643" s="1288"/>
    </row>
    <row r="33644" spans="18:18" s="2" customFormat="1" ht="12.75" x14ac:dyDescent="0.2">
      <c r="R33644" s="1288"/>
    </row>
    <row r="33645" spans="18:18" s="2" customFormat="1" ht="12.75" x14ac:dyDescent="0.2">
      <c r="R33645" s="1288"/>
    </row>
    <row r="33646" spans="18:18" s="2" customFormat="1" ht="12.75" x14ac:dyDescent="0.2">
      <c r="R33646" s="1288"/>
    </row>
    <row r="33647" spans="18:18" s="2" customFormat="1" ht="12.75" x14ac:dyDescent="0.2">
      <c r="R33647" s="1288"/>
    </row>
    <row r="33648" spans="18:18" s="2" customFormat="1" ht="12.75" x14ac:dyDescent="0.2">
      <c r="R33648" s="1288"/>
    </row>
    <row r="33649" spans="18:18" s="2" customFormat="1" ht="12.75" x14ac:dyDescent="0.2">
      <c r="R33649" s="1288"/>
    </row>
    <row r="33650" spans="18:18" s="2" customFormat="1" ht="12.75" x14ac:dyDescent="0.2">
      <c r="R33650" s="1288"/>
    </row>
    <row r="33651" spans="18:18" s="2" customFormat="1" ht="12.75" x14ac:dyDescent="0.2">
      <c r="R33651" s="1288"/>
    </row>
    <row r="33652" spans="18:18" s="2" customFormat="1" ht="12.75" x14ac:dyDescent="0.2">
      <c r="R33652" s="1288"/>
    </row>
    <row r="33653" spans="18:18" s="2" customFormat="1" ht="12.75" x14ac:dyDescent="0.2">
      <c r="R33653" s="1288"/>
    </row>
    <row r="33654" spans="18:18" s="2" customFormat="1" ht="12.75" x14ac:dyDescent="0.2">
      <c r="R33654" s="1288"/>
    </row>
    <row r="33655" spans="18:18" s="2" customFormat="1" ht="12.75" x14ac:dyDescent="0.2">
      <c r="R33655" s="1288"/>
    </row>
    <row r="33656" spans="18:18" s="2" customFormat="1" ht="12.75" x14ac:dyDescent="0.2">
      <c r="R33656" s="1288"/>
    </row>
    <row r="33657" spans="18:18" s="2" customFormat="1" ht="12.75" x14ac:dyDescent="0.2">
      <c r="R33657" s="1288"/>
    </row>
    <row r="33658" spans="18:18" s="2" customFormat="1" ht="12.75" x14ac:dyDescent="0.2">
      <c r="R33658" s="1288"/>
    </row>
    <row r="33659" spans="18:18" s="2" customFormat="1" ht="12.75" x14ac:dyDescent="0.2">
      <c r="R33659" s="1288"/>
    </row>
    <row r="33660" spans="18:18" s="2" customFormat="1" ht="12.75" x14ac:dyDescent="0.2">
      <c r="R33660" s="1288"/>
    </row>
    <row r="33661" spans="18:18" s="2" customFormat="1" ht="12.75" x14ac:dyDescent="0.2">
      <c r="R33661" s="1288"/>
    </row>
    <row r="33662" spans="18:18" s="2" customFormat="1" ht="12.75" x14ac:dyDescent="0.2">
      <c r="R33662" s="1288"/>
    </row>
    <row r="33663" spans="18:18" s="2" customFormat="1" ht="12.75" x14ac:dyDescent="0.2">
      <c r="R33663" s="1288"/>
    </row>
    <row r="33664" spans="18:18" s="2" customFormat="1" ht="12.75" x14ac:dyDescent="0.2">
      <c r="R33664" s="1288"/>
    </row>
    <row r="33665" spans="18:18" s="2" customFormat="1" ht="12.75" x14ac:dyDescent="0.2">
      <c r="R33665" s="1288"/>
    </row>
    <row r="33666" spans="18:18" s="2" customFormat="1" ht="12.75" x14ac:dyDescent="0.2">
      <c r="R33666" s="1288"/>
    </row>
    <row r="33667" spans="18:18" s="2" customFormat="1" ht="12.75" x14ac:dyDescent="0.2">
      <c r="R33667" s="1288"/>
    </row>
    <row r="33668" spans="18:18" s="2" customFormat="1" ht="12.75" x14ac:dyDescent="0.2">
      <c r="R33668" s="1288"/>
    </row>
    <row r="33669" spans="18:18" s="2" customFormat="1" ht="12.75" x14ac:dyDescent="0.2">
      <c r="R33669" s="1288"/>
    </row>
    <row r="33670" spans="18:18" s="2" customFormat="1" ht="12.75" x14ac:dyDescent="0.2">
      <c r="R33670" s="1288"/>
    </row>
    <row r="33671" spans="18:18" s="2" customFormat="1" ht="12.75" x14ac:dyDescent="0.2">
      <c r="R33671" s="1288"/>
    </row>
    <row r="33672" spans="18:18" s="2" customFormat="1" ht="12.75" x14ac:dyDescent="0.2">
      <c r="R33672" s="1288"/>
    </row>
    <row r="33673" spans="18:18" s="2" customFormat="1" ht="12.75" x14ac:dyDescent="0.2">
      <c r="R33673" s="1288"/>
    </row>
    <row r="33674" spans="18:18" s="2" customFormat="1" ht="12.75" x14ac:dyDescent="0.2">
      <c r="R33674" s="1288"/>
    </row>
    <row r="33675" spans="18:18" s="2" customFormat="1" ht="12.75" x14ac:dyDescent="0.2">
      <c r="R33675" s="1288"/>
    </row>
    <row r="33676" spans="18:18" s="2" customFormat="1" ht="12.75" x14ac:dyDescent="0.2">
      <c r="R33676" s="1288"/>
    </row>
    <row r="33677" spans="18:18" s="2" customFormat="1" ht="12.75" x14ac:dyDescent="0.2">
      <c r="R33677" s="1288"/>
    </row>
    <row r="33678" spans="18:18" s="2" customFormat="1" ht="12.75" x14ac:dyDescent="0.2">
      <c r="R33678" s="1288"/>
    </row>
    <row r="33679" spans="18:18" s="2" customFormat="1" ht="12.75" x14ac:dyDescent="0.2">
      <c r="R33679" s="1288"/>
    </row>
    <row r="33680" spans="18:18" s="2" customFormat="1" ht="12.75" x14ac:dyDescent="0.2">
      <c r="R33680" s="1288"/>
    </row>
    <row r="33681" spans="18:18" s="2" customFormat="1" ht="12.75" x14ac:dyDescent="0.2">
      <c r="R33681" s="1288"/>
    </row>
    <row r="33682" spans="18:18" s="2" customFormat="1" ht="12.75" x14ac:dyDescent="0.2">
      <c r="R33682" s="1288"/>
    </row>
    <row r="33683" spans="18:18" s="2" customFormat="1" ht="12.75" x14ac:dyDescent="0.2">
      <c r="R33683" s="1288"/>
    </row>
    <row r="33684" spans="18:18" s="2" customFormat="1" ht="12.75" x14ac:dyDescent="0.2">
      <c r="R33684" s="1288"/>
    </row>
    <row r="33685" spans="18:18" s="2" customFormat="1" ht="12.75" x14ac:dyDescent="0.2">
      <c r="R33685" s="1288"/>
    </row>
    <row r="33686" spans="18:18" s="2" customFormat="1" ht="12.75" x14ac:dyDescent="0.2">
      <c r="R33686" s="1288"/>
    </row>
    <row r="33687" spans="18:18" s="2" customFormat="1" ht="12.75" x14ac:dyDescent="0.2">
      <c r="R33687" s="1288"/>
    </row>
    <row r="33688" spans="18:18" s="2" customFormat="1" ht="12.75" x14ac:dyDescent="0.2">
      <c r="R33688" s="1288"/>
    </row>
    <row r="33689" spans="18:18" s="2" customFormat="1" ht="12.75" x14ac:dyDescent="0.2">
      <c r="R33689" s="1288"/>
    </row>
    <row r="33690" spans="18:18" s="2" customFormat="1" ht="12.75" x14ac:dyDescent="0.2">
      <c r="R33690" s="1288"/>
    </row>
    <row r="33691" spans="18:18" s="2" customFormat="1" ht="12.75" x14ac:dyDescent="0.2">
      <c r="R33691" s="1288"/>
    </row>
    <row r="33692" spans="18:18" s="2" customFormat="1" ht="12.75" x14ac:dyDescent="0.2">
      <c r="R33692" s="1288"/>
    </row>
    <row r="33693" spans="18:18" s="2" customFormat="1" ht="12.75" x14ac:dyDescent="0.2">
      <c r="R33693" s="1288"/>
    </row>
    <row r="33694" spans="18:18" s="2" customFormat="1" ht="12.75" x14ac:dyDescent="0.2">
      <c r="R33694" s="1288"/>
    </row>
    <row r="33695" spans="18:18" s="2" customFormat="1" ht="12.75" x14ac:dyDescent="0.2">
      <c r="R33695" s="1288"/>
    </row>
    <row r="33696" spans="18:18" s="2" customFormat="1" ht="12.75" x14ac:dyDescent="0.2">
      <c r="R33696" s="1288"/>
    </row>
    <row r="33697" spans="18:18" s="2" customFormat="1" ht="12.75" x14ac:dyDescent="0.2">
      <c r="R33697" s="1288"/>
    </row>
    <row r="33698" spans="18:18" s="2" customFormat="1" ht="12.75" x14ac:dyDescent="0.2">
      <c r="R33698" s="1288"/>
    </row>
    <row r="33699" spans="18:18" s="2" customFormat="1" ht="12.75" x14ac:dyDescent="0.2">
      <c r="R33699" s="1288"/>
    </row>
    <row r="33700" spans="18:18" s="2" customFormat="1" ht="12.75" x14ac:dyDescent="0.2">
      <c r="R33700" s="1288"/>
    </row>
    <row r="33701" spans="18:18" s="2" customFormat="1" ht="12.75" x14ac:dyDescent="0.2">
      <c r="R33701" s="1288"/>
    </row>
    <row r="33702" spans="18:18" s="2" customFormat="1" ht="12.75" x14ac:dyDescent="0.2">
      <c r="R33702" s="1288"/>
    </row>
    <row r="33703" spans="18:18" s="2" customFormat="1" ht="12.75" x14ac:dyDescent="0.2">
      <c r="R33703" s="1288"/>
    </row>
    <row r="33704" spans="18:18" s="2" customFormat="1" ht="12.75" x14ac:dyDescent="0.2">
      <c r="R33704" s="1288"/>
    </row>
    <row r="33705" spans="18:18" s="2" customFormat="1" ht="12.75" x14ac:dyDescent="0.2">
      <c r="R33705" s="1288"/>
    </row>
    <row r="33706" spans="18:18" s="2" customFormat="1" ht="12.75" x14ac:dyDescent="0.2">
      <c r="R33706" s="1288"/>
    </row>
    <row r="33707" spans="18:18" s="2" customFormat="1" ht="12.75" x14ac:dyDescent="0.2">
      <c r="R33707" s="1288"/>
    </row>
    <row r="33708" spans="18:18" s="2" customFormat="1" ht="12.75" x14ac:dyDescent="0.2">
      <c r="R33708" s="1288"/>
    </row>
    <row r="33709" spans="18:18" s="2" customFormat="1" ht="12.75" x14ac:dyDescent="0.2">
      <c r="R33709" s="1288"/>
    </row>
    <row r="33710" spans="18:18" s="2" customFormat="1" ht="12.75" x14ac:dyDescent="0.2">
      <c r="R33710" s="1288"/>
    </row>
    <row r="33711" spans="18:18" s="2" customFormat="1" ht="12.75" x14ac:dyDescent="0.2">
      <c r="R33711" s="1288"/>
    </row>
    <row r="33712" spans="18:18" s="2" customFormat="1" ht="12.75" x14ac:dyDescent="0.2">
      <c r="R33712" s="1288"/>
    </row>
    <row r="33713" spans="18:18" s="2" customFormat="1" ht="12.75" x14ac:dyDescent="0.2">
      <c r="R33713" s="1288"/>
    </row>
    <row r="33714" spans="18:18" s="2" customFormat="1" ht="12.75" x14ac:dyDescent="0.2">
      <c r="R33714" s="1288"/>
    </row>
    <row r="33715" spans="18:18" s="2" customFormat="1" ht="12.75" x14ac:dyDescent="0.2">
      <c r="R33715" s="1288"/>
    </row>
    <row r="33716" spans="18:18" s="2" customFormat="1" ht="12.75" x14ac:dyDescent="0.2">
      <c r="R33716" s="1288"/>
    </row>
    <row r="33717" spans="18:18" s="2" customFormat="1" ht="12.75" x14ac:dyDescent="0.2">
      <c r="R33717" s="1288"/>
    </row>
    <row r="33718" spans="18:18" s="2" customFormat="1" ht="12.75" x14ac:dyDescent="0.2">
      <c r="R33718" s="1288"/>
    </row>
    <row r="33719" spans="18:18" s="2" customFormat="1" ht="12.75" x14ac:dyDescent="0.2">
      <c r="R33719" s="1288"/>
    </row>
    <row r="33720" spans="18:18" s="2" customFormat="1" ht="12.75" x14ac:dyDescent="0.2">
      <c r="R33720" s="1288"/>
    </row>
    <row r="33721" spans="18:18" s="2" customFormat="1" ht="12.75" x14ac:dyDescent="0.2">
      <c r="R33721" s="1288"/>
    </row>
    <row r="33722" spans="18:18" s="2" customFormat="1" ht="12.75" x14ac:dyDescent="0.2">
      <c r="R33722" s="1288"/>
    </row>
    <row r="33723" spans="18:18" s="2" customFormat="1" ht="12.75" x14ac:dyDescent="0.2">
      <c r="R33723" s="1288"/>
    </row>
    <row r="33724" spans="18:18" s="2" customFormat="1" ht="12.75" x14ac:dyDescent="0.2">
      <c r="R33724" s="1288"/>
    </row>
    <row r="33725" spans="18:18" s="2" customFormat="1" ht="12.75" x14ac:dyDescent="0.2">
      <c r="R33725" s="1288"/>
    </row>
    <row r="33726" spans="18:18" s="2" customFormat="1" ht="12.75" x14ac:dyDescent="0.2">
      <c r="R33726" s="1288"/>
    </row>
    <row r="33727" spans="18:18" s="2" customFormat="1" ht="12.75" x14ac:dyDescent="0.2">
      <c r="R33727" s="1288"/>
    </row>
    <row r="33728" spans="18:18" s="2" customFormat="1" ht="12.75" x14ac:dyDescent="0.2">
      <c r="R33728" s="1288"/>
    </row>
    <row r="33729" spans="18:18" s="2" customFormat="1" ht="12.75" x14ac:dyDescent="0.2">
      <c r="R33729" s="1288"/>
    </row>
    <row r="33730" spans="18:18" s="2" customFormat="1" ht="12.75" x14ac:dyDescent="0.2">
      <c r="R33730" s="1288"/>
    </row>
    <row r="33731" spans="18:18" s="2" customFormat="1" ht="12.75" x14ac:dyDescent="0.2">
      <c r="R33731" s="1288"/>
    </row>
    <row r="33732" spans="18:18" s="2" customFormat="1" ht="12.75" x14ac:dyDescent="0.2">
      <c r="R33732" s="1288"/>
    </row>
    <row r="33733" spans="18:18" s="2" customFormat="1" ht="12.75" x14ac:dyDescent="0.2">
      <c r="R33733" s="1288"/>
    </row>
    <row r="33734" spans="18:18" s="2" customFormat="1" ht="12.75" x14ac:dyDescent="0.2">
      <c r="R33734" s="1288"/>
    </row>
    <row r="33735" spans="18:18" s="2" customFormat="1" ht="12.75" x14ac:dyDescent="0.2">
      <c r="R33735" s="1288"/>
    </row>
    <row r="33736" spans="18:18" s="2" customFormat="1" ht="12.75" x14ac:dyDescent="0.2">
      <c r="R33736" s="1288"/>
    </row>
    <row r="33737" spans="18:18" s="2" customFormat="1" ht="12.75" x14ac:dyDescent="0.2">
      <c r="R33737" s="1288"/>
    </row>
    <row r="33738" spans="18:18" s="2" customFormat="1" ht="12.75" x14ac:dyDescent="0.2">
      <c r="R33738" s="1288"/>
    </row>
    <row r="33739" spans="18:18" s="2" customFormat="1" ht="12.75" x14ac:dyDescent="0.2">
      <c r="R33739" s="1288"/>
    </row>
    <row r="33740" spans="18:18" s="2" customFormat="1" ht="12.75" x14ac:dyDescent="0.2">
      <c r="R33740" s="1288"/>
    </row>
    <row r="33741" spans="18:18" s="2" customFormat="1" ht="12.75" x14ac:dyDescent="0.2">
      <c r="R33741" s="1288"/>
    </row>
    <row r="33742" spans="18:18" s="2" customFormat="1" ht="12.75" x14ac:dyDescent="0.2">
      <c r="R33742" s="1288"/>
    </row>
    <row r="33743" spans="18:18" s="2" customFormat="1" ht="12.75" x14ac:dyDescent="0.2">
      <c r="R33743" s="1288"/>
    </row>
    <row r="33744" spans="18:18" s="2" customFormat="1" ht="12.75" x14ac:dyDescent="0.2">
      <c r="R33744" s="1288"/>
    </row>
    <row r="33745" spans="18:18" s="2" customFormat="1" ht="12.75" x14ac:dyDescent="0.2">
      <c r="R33745" s="1288"/>
    </row>
    <row r="33746" spans="18:18" s="2" customFormat="1" ht="12.75" x14ac:dyDescent="0.2">
      <c r="R33746" s="1288"/>
    </row>
    <row r="33747" spans="18:18" s="2" customFormat="1" ht="12.75" x14ac:dyDescent="0.2">
      <c r="R33747" s="1288"/>
    </row>
    <row r="33748" spans="18:18" s="2" customFormat="1" ht="12.75" x14ac:dyDescent="0.2">
      <c r="R33748" s="1288"/>
    </row>
    <row r="33749" spans="18:18" s="2" customFormat="1" ht="12.75" x14ac:dyDescent="0.2">
      <c r="R33749" s="1288"/>
    </row>
    <row r="33750" spans="18:18" s="2" customFormat="1" ht="12.75" x14ac:dyDescent="0.2">
      <c r="R33750" s="1288"/>
    </row>
    <row r="33751" spans="18:18" s="2" customFormat="1" ht="12.75" x14ac:dyDescent="0.2">
      <c r="R33751" s="1288"/>
    </row>
    <row r="33752" spans="18:18" s="2" customFormat="1" ht="12.75" x14ac:dyDescent="0.2">
      <c r="R33752" s="1288"/>
    </row>
    <row r="33753" spans="18:18" s="2" customFormat="1" ht="12.75" x14ac:dyDescent="0.2">
      <c r="R33753" s="1288"/>
    </row>
    <row r="33754" spans="18:18" s="2" customFormat="1" ht="12.75" x14ac:dyDescent="0.2">
      <c r="R33754" s="1288"/>
    </row>
    <row r="33755" spans="18:18" s="2" customFormat="1" ht="12.75" x14ac:dyDescent="0.2">
      <c r="R33755" s="1288"/>
    </row>
    <row r="33756" spans="18:18" s="2" customFormat="1" ht="12.75" x14ac:dyDescent="0.2">
      <c r="R33756" s="1288"/>
    </row>
    <row r="33757" spans="18:18" s="2" customFormat="1" ht="12.75" x14ac:dyDescent="0.2">
      <c r="R33757" s="1288"/>
    </row>
    <row r="33758" spans="18:18" s="2" customFormat="1" ht="12.75" x14ac:dyDescent="0.2">
      <c r="R33758" s="1288"/>
    </row>
    <row r="33759" spans="18:18" s="2" customFormat="1" ht="12.75" x14ac:dyDescent="0.2">
      <c r="R33759" s="1288"/>
    </row>
    <row r="33760" spans="18:18" s="2" customFormat="1" ht="12.75" x14ac:dyDescent="0.2">
      <c r="R33760" s="1288"/>
    </row>
    <row r="33761" spans="18:18" s="2" customFormat="1" ht="12.75" x14ac:dyDescent="0.2">
      <c r="R33761" s="1288"/>
    </row>
    <row r="33762" spans="18:18" s="2" customFormat="1" ht="12.75" x14ac:dyDescent="0.2">
      <c r="R33762" s="1288"/>
    </row>
    <row r="33763" spans="18:18" s="2" customFormat="1" ht="12.75" x14ac:dyDescent="0.2">
      <c r="R33763" s="1288"/>
    </row>
    <row r="33764" spans="18:18" s="2" customFormat="1" ht="12.75" x14ac:dyDescent="0.2">
      <c r="R33764" s="1288"/>
    </row>
    <row r="33765" spans="18:18" s="2" customFormat="1" ht="12.75" x14ac:dyDescent="0.2">
      <c r="R33765" s="1288"/>
    </row>
    <row r="33766" spans="18:18" s="2" customFormat="1" ht="12.75" x14ac:dyDescent="0.2">
      <c r="R33766" s="1288"/>
    </row>
    <row r="33767" spans="18:18" s="2" customFormat="1" ht="12.75" x14ac:dyDescent="0.2">
      <c r="R33767" s="1288"/>
    </row>
    <row r="33768" spans="18:18" s="2" customFormat="1" ht="12.75" x14ac:dyDescent="0.2">
      <c r="R33768" s="1288"/>
    </row>
    <row r="33769" spans="18:18" s="2" customFormat="1" ht="12.75" x14ac:dyDescent="0.2">
      <c r="R33769" s="1288"/>
    </row>
    <row r="33770" spans="18:18" s="2" customFormat="1" ht="12.75" x14ac:dyDescent="0.2">
      <c r="R33770" s="1288"/>
    </row>
    <row r="33771" spans="18:18" s="2" customFormat="1" ht="12.75" x14ac:dyDescent="0.2">
      <c r="R33771" s="1288"/>
    </row>
    <row r="33772" spans="18:18" s="2" customFormat="1" ht="12.75" x14ac:dyDescent="0.2">
      <c r="R33772" s="1288"/>
    </row>
    <row r="33773" spans="18:18" s="2" customFormat="1" ht="12.75" x14ac:dyDescent="0.2">
      <c r="R33773" s="1288"/>
    </row>
    <row r="33774" spans="18:18" s="2" customFormat="1" ht="12.75" x14ac:dyDescent="0.2">
      <c r="R33774" s="1288"/>
    </row>
    <row r="33775" spans="18:18" s="2" customFormat="1" ht="12.75" x14ac:dyDescent="0.2">
      <c r="R33775" s="1288"/>
    </row>
    <row r="33776" spans="18:18" s="2" customFormat="1" ht="12.75" x14ac:dyDescent="0.2">
      <c r="R33776" s="1288"/>
    </row>
    <row r="33777" spans="18:18" s="2" customFormat="1" ht="12.75" x14ac:dyDescent="0.2">
      <c r="R33777" s="1288"/>
    </row>
    <row r="33778" spans="18:18" s="2" customFormat="1" ht="12.75" x14ac:dyDescent="0.2">
      <c r="R33778" s="1288"/>
    </row>
    <row r="33779" spans="18:18" s="2" customFormat="1" ht="12.75" x14ac:dyDescent="0.2">
      <c r="R33779" s="1288"/>
    </row>
    <row r="33780" spans="18:18" s="2" customFormat="1" ht="12.75" x14ac:dyDescent="0.2">
      <c r="R33780" s="1288"/>
    </row>
    <row r="33781" spans="18:18" s="2" customFormat="1" ht="12.75" x14ac:dyDescent="0.2">
      <c r="R33781" s="1288"/>
    </row>
    <row r="33782" spans="18:18" s="2" customFormat="1" ht="12.75" x14ac:dyDescent="0.2">
      <c r="R33782" s="1288"/>
    </row>
    <row r="33783" spans="18:18" s="2" customFormat="1" ht="12.75" x14ac:dyDescent="0.2">
      <c r="R33783" s="1288"/>
    </row>
    <row r="33784" spans="18:18" s="2" customFormat="1" ht="12.75" x14ac:dyDescent="0.2">
      <c r="R33784" s="1288"/>
    </row>
    <row r="33785" spans="18:18" s="2" customFormat="1" ht="12.75" x14ac:dyDescent="0.2">
      <c r="R33785" s="1288"/>
    </row>
    <row r="33786" spans="18:18" s="2" customFormat="1" ht="12.75" x14ac:dyDescent="0.2">
      <c r="R33786" s="1288"/>
    </row>
    <row r="33787" spans="18:18" s="2" customFormat="1" ht="12.75" x14ac:dyDescent="0.2">
      <c r="R33787" s="1288"/>
    </row>
    <row r="33788" spans="18:18" s="2" customFormat="1" ht="12.75" x14ac:dyDescent="0.2">
      <c r="R33788" s="1288"/>
    </row>
    <row r="33789" spans="18:18" s="2" customFormat="1" ht="12.75" x14ac:dyDescent="0.2">
      <c r="R33789" s="1288"/>
    </row>
    <row r="33790" spans="18:18" s="2" customFormat="1" ht="12.75" x14ac:dyDescent="0.2">
      <c r="R33790" s="1288"/>
    </row>
    <row r="33791" spans="18:18" s="2" customFormat="1" ht="12.75" x14ac:dyDescent="0.2">
      <c r="R33791" s="1288"/>
    </row>
    <row r="33792" spans="18:18" s="2" customFormat="1" ht="12.75" x14ac:dyDescent="0.2">
      <c r="R33792" s="1288"/>
    </row>
    <row r="33793" spans="18:18" s="2" customFormat="1" ht="12.75" x14ac:dyDescent="0.2">
      <c r="R33793" s="1288"/>
    </row>
    <row r="33794" spans="18:18" s="2" customFormat="1" ht="12.75" x14ac:dyDescent="0.2">
      <c r="R33794" s="1288"/>
    </row>
    <row r="33795" spans="18:18" s="2" customFormat="1" ht="12.75" x14ac:dyDescent="0.2">
      <c r="R33795" s="1288"/>
    </row>
    <row r="33796" spans="18:18" s="2" customFormat="1" ht="12.75" x14ac:dyDescent="0.2">
      <c r="R33796" s="1288"/>
    </row>
    <row r="33797" spans="18:18" s="2" customFormat="1" ht="12.75" x14ac:dyDescent="0.2">
      <c r="R33797" s="1288"/>
    </row>
    <row r="33798" spans="18:18" s="2" customFormat="1" ht="12.75" x14ac:dyDescent="0.2">
      <c r="R33798" s="1288"/>
    </row>
    <row r="33799" spans="18:18" s="2" customFormat="1" ht="12.75" x14ac:dyDescent="0.2">
      <c r="R33799" s="1288"/>
    </row>
    <row r="33800" spans="18:18" s="2" customFormat="1" ht="12.75" x14ac:dyDescent="0.2">
      <c r="R33800" s="1288"/>
    </row>
    <row r="33801" spans="18:18" s="2" customFormat="1" ht="12.75" x14ac:dyDescent="0.2">
      <c r="R33801" s="1288"/>
    </row>
    <row r="33802" spans="18:18" s="2" customFormat="1" ht="12.75" x14ac:dyDescent="0.2">
      <c r="R33802" s="1288"/>
    </row>
    <row r="33803" spans="18:18" s="2" customFormat="1" ht="12.75" x14ac:dyDescent="0.2">
      <c r="R33803" s="1288"/>
    </row>
    <row r="33804" spans="18:18" s="2" customFormat="1" ht="12.75" x14ac:dyDescent="0.2">
      <c r="R33804" s="1288"/>
    </row>
    <row r="33805" spans="18:18" s="2" customFormat="1" ht="12.75" x14ac:dyDescent="0.2">
      <c r="R33805" s="1288"/>
    </row>
    <row r="33806" spans="18:18" s="2" customFormat="1" ht="12.75" x14ac:dyDescent="0.2">
      <c r="R33806" s="1288"/>
    </row>
    <row r="33807" spans="18:18" s="2" customFormat="1" ht="12.75" x14ac:dyDescent="0.2">
      <c r="R33807" s="1288"/>
    </row>
    <row r="33808" spans="18:18" s="2" customFormat="1" ht="12.75" x14ac:dyDescent="0.2">
      <c r="R33808" s="1288"/>
    </row>
    <row r="33809" spans="18:18" s="2" customFormat="1" ht="12.75" x14ac:dyDescent="0.2">
      <c r="R33809" s="1288"/>
    </row>
    <row r="33810" spans="18:18" s="2" customFormat="1" ht="12.75" x14ac:dyDescent="0.2">
      <c r="R33810" s="1288"/>
    </row>
    <row r="33811" spans="18:18" s="2" customFormat="1" ht="12.75" x14ac:dyDescent="0.2">
      <c r="R33811" s="1288"/>
    </row>
    <row r="33812" spans="18:18" s="2" customFormat="1" ht="12.75" x14ac:dyDescent="0.2">
      <c r="R33812" s="1288"/>
    </row>
    <row r="33813" spans="18:18" s="2" customFormat="1" ht="12.75" x14ac:dyDescent="0.2">
      <c r="R33813" s="1288"/>
    </row>
    <row r="33814" spans="18:18" s="2" customFormat="1" ht="12.75" x14ac:dyDescent="0.2">
      <c r="R33814" s="1288"/>
    </row>
    <row r="33815" spans="18:18" s="2" customFormat="1" ht="12.75" x14ac:dyDescent="0.2">
      <c r="R33815" s="1288"/>
    </row>
    <row r="33816" spans="18:18" s="2" customFormat="1" ht="12.75" x14ac:dyDescent="0.2">
      <c r="R33816" s="1288"/>
    </row>
    <row r="33817" spans="18:18" s="2" customFormat="1" ht="12.75" x14ac:dyDescent="0.2">
      <c r="R33817" s="1288"/>
    </row>
    <row r="33818" spans="18:18" s="2" customFormat="1" ht="12.75" x14ac:dyDescent="0.2">
      <c r="R33818" s="1288"/>
    </row>
    <row r="33819" spans="18:18" s="2" customFormat="1" ht="12.75" x14ac:dyDescent="0.2">
      <c r="R33819" s="1288"/>
    </row>
    <row r="33820" spans="18:18" s="2" customFormat="1" ht="12.75" x14ac:dyDescent="0.2">
      <c r="R33820" s="1288"/>
    </row>
    <row r="33821" spans="18:18" s="2" customFormat="1" ht="12.75" x14ac:dyDescent="0.2">
      <c r="R33821" s="1288"/>
    </row>
    <row r="33822" spans="18:18" s="2" customFormat="1" ht="12.75" x14ac:dyDescent="0.2">
      <c r="R33822" s="1288"/>
    </row>
    <row r="33823" spans="18:18" s="2" customFormat="1" ht="12.75" x14ac:dyDescent="0.2">
      <c r="R33823" s="1288"/>
    </row>
    <row r="33824" spans="18:18" s="2" customFormat="1" ht="12.75" x14ac:dyDescent="0.2">
      <c r="R33824" s="1288"/>
    </row>
    <row r="33825" spans="18:18" s="2" customFormat="1" ht="12.75" x14ac:dyDescent="0.2">
      <c r="R33825" s="1288"/>
    </row>
    <row r="33826" spans="18:18" s="2" customFormat="1" ht="12.75" x14ac:dyDescent="0.2">
      <c r="R33826" s="1288"/>
    </row>
    <row r="33827" spans="18:18" s="2" customFormat="1" ht="12.75" x14ac:dyDescent="0.2">
      <c r="R33827" s="1288"/>
    </row>
    <row r="33828" spans="18:18" s="2" customFormat="1" ht="12.75" x14ac:dyDescent="0.2">
      <c r="R33828" s="1288"/>
    </row>
    <row r="33829" spans="18:18" s="2" customFormat="1" ht="12.75" x14ac:dyDescent="0.2">
      <c r="R33829" s="1288"/>
    </row>
    <row r="33830" spans="18:18" s="2" customFormat="1" ht="12.75" x14ac:dyDescent="0.2">
      <c r="R33830" s="1288"/>
    </row>
    <row r="33831" spans="18:18" s="2" customFormat="1" ht="12.75" x14ac:dyDescent="0.2">
      <c r="R33831" s="1288"/>
    </row>
    <row r="33832" spans="18:18" s="2" customFormat="1" ht="12.75" x14ac:dyDescent="0.2">
      <c r="R33832" s="1288"/>
    </row>
    <row r="33833" spans="18:18" s="2" customFormat="1" ht="12.75" x14ac:dyDescent="0.2">
      <c r="R33833" s="1288"/>
    </row>
    <row r="33834" spans="18:18" s="2" customFormat="1" ht="12.75" x14ac:dyDescent="0.2">
      <c r="R33834" s="1288"/>
    </row>
    <row r="33835" spans="18:18" s="2" customFormat="1" ht="12.75" x14ac:dyDescent="0.2">
      <c r="R33835" s="1288"/>
    </row>
    <row r="33836" spans="18:18" s="2" customFormat="1" ht="12.75" x14ac:dyDescent="0.2">
      <c r="R33836" s="1288"/>
    </row>
    <row r="33837" spans="18:18" s="2" customFormat="1" ht="12.75" x14ac:dyDescent="0.2">
      <c r="R33837" s="1288"/>
    </row>
    <row r="33838" spans="18:18" s="2" customFormat="1" ht="12.75" x14ac:dyDescent="0.2">
      <c r="R33838" s="1288"/>
    </row>
    <row r="33839" spans="18:18" s="2" customFormat="1" ht="12.75" x14ac:dyDescent="0.2">
      <c r="R33839" s="1288"/>
    </row>
    <row r="33840" spans="18:18" s="2" customFormat="1" ht="12.75" x14ac:dyDescent="0.2">
      <c r="R33840" s="1288"/>
    </row>
    <row r="33841" spans="18:18" s="2" customFormat="1" ht="12.75" x14ac:dyDescent="0.2">
      <c r="R33841" s="1288"/>
    </row>
    <row r="33842" spans="18:18" s="2" customFormat="1" ht="12.75" x14ac:dyDescent="0.2">
      <c r="R33842" s="1288"/>
    </row>
    <row r="33843" spans="18:18" s="2" customFormat="1" ht="12.75" x14ac:dyDescent="0.2">
      <c r="R33843" s="1288"/>
    </row>
    <row r="33844" spans="18:18" s="2" customFormat="1" ht="12.75" x14ac:dyDescent="0.2">
      <c r="R33844" s="1288"/>
    </row>
    <row r="33845" spans="18:18" s="2" customFormat="1" ht="12.75" x14ac:dyDescent="0.2">
      <c r="R33845" s="1288"/>
    </row>
    <row r="33846" spans="18:18" s="2" customFormat="1" ht="12.75" x14ac:dyDescent="0.2">
      <c r="R33846" s="1288"/>
    </row>
    <row r="33847" spans="18:18" s="2" customFormat="1" ht="12.75" x14ac:dyDescent="0.2">
      <c r="R33847" s="1288"/>
    </row>
    <row r="33848" spans="18:18" s="2" customFormat="1" ht="12.75" x14ac:dyDescent="0.2">
      <c r="R33848" s="1288"/>
    </row>
    <row r="33849" spans="18:18" s="2" customFormat="1" ht="12.75" x14ac:dyDescent="0.2">
      <c r="R33849" s="1288"/>
    </row>
    <row r="33850" spans="18:18" s="2" customFormat="1" ht="12.75" x14ac:dyDescent="0.2">
      <c r="R33850" s="1288"/>
    </row>
    <row r="33851" spans="18:18" s="2" customFormat="1" ht="12.75" x14ac:dyDescent="0.2">
      <c r="R33851" s="1288"/>
    </row>
    <row r="33852" spans="18:18" s="2" customFormat="1" ht="12.75" x14ac:dyDescent="0.2">
      <c r="R33852" s="1288"/>
    </row>
    <row r="33853" spans="18:18" s="2" customFormat="1" ht="12.75" x14ac:dyDescent="0.2">
      <c r="R33853" s="1288"/>
    </row>
    <row r="33854" spans="18:18" s="2" customFormat="1" ht="12.75" x14ac:dyDescent="0.2">
      <c r="R33854" s="1288"/>
    </row>
    <row r="33855" spans="18:18" s="2" customFormat="1" ht="12.75" x14ac:dyDescent="0.2">
      <c r="R33855" s="1288"/>
    </row>
    <row r="33856" spans="18:18" s="2" customFormat="1" ht="12.75" x14ac:dyDescent="0.2">
      <c r="R33856" s="1288"/>
    </row>
    <row r="33857" spans="18:18" s="2" customFormat="1" ht="12.75" x14ac:dyDescent="0.2">
      <c r="R33857" s="1288"/>
    </row>
    <row r="33858" spans="18:18" s="2" customFormat="1" ht="12.75" x14ac:dyDescent="0.2">
      <c r="R33858" s="1288"/>
    </row>
    <row r="33859" spans="18:18" s="2" customFormat="1" ht="12.75" x14ac:dyDescent="0.2">
      <c r="R33859" s="1288"/>
    </row>
    <row r="33860" spans="18:18" s="2" customFormat="1" ht="12.75" x14ac:dyDescent="0.2">
      <c r="R33860" s="1288"/>
    </row>
    <row r="33861" spans="18:18" s="2" customFormat="1" ht="12.75" x14ac:dyDescent="0.2">
      <c r="R33861" s="1288"/>
    </row>
    <row r="33862" spans="18:18" s="2" customFormat="1" ht="12.75" x14ac:dyDescent="0.2">
      <c r="R33862" s="1288"/>
    </row>
    <row r="33863" spans="18:18" s="2" customFormat="1" ht="12.75" x14ac:dyDescent="0.2">
      <c r="R33863" s="1288"/>
    </row>
    <row r="33864" spans="18:18" s="2" customFormat="1" ht="12.75" x14ac:dyDescent="0.2">
      <c r="R33864" s="1288"/>
    </row>
    <row r="33865" spans="18:18" s="2" customFormat="1" ht="12.75" x14ac:dyDescent="0.2">
      <c r="R33865" s="1288"/>
    </row>
    <row r="33866" spans="18:18" s="2" customFormat="1" ht="12.75" x14ac:dyDescent="0.2">
      <c r="R33866" s="1288"/>
    </row>
    <row r="33867" spans="18:18" s="2" customFormat="1" ht="12.75" x14ac:dyDescent="0.2">
      <c r="R33867" s="1288"/>
    </row>
    <row r="33868" spans="18:18" s="2" customFormat="1" ht="12.75" x14ac:dyDescent="0.2">
      <c r="R33868" s="1288"/>
    </row>
    <row r="33869" spans="18:18" s="2" customFormat="1" ht="12.75" x14ac:dyDescent="0.2">
      <c r="R33869" s="1288"/>
    </row>
    <row r="33870" spans="18:18" s="2" customFormat="1" ht="12.75" x14ac:dyDescent="0.2">
      <c r="R33870" s="1288"/>
    </row>
    <row r="33871" spans="18:18" s="2" customFormat="1" ht="12.75" x14ac:dyDescent="0.2">
      <c r="R33871" s="1288"/>
    </row>
    <row r="33872" spans="18:18" s="2" customFormat="1" ht="12.75" x14ac:dyDescent="0.2">
      <c r="R33872" s="1288"/>
    </row>
    <row r="33873" spans="18:18" s="2" customFormat="1" ht="12.75" x14ac:dyDescent="0.2">
      <c r="R33873" s="1288"/>
    </row>
    <row r="33874" spans="18:18" s="2" customFormat="1" ht="12.75" x14ac:dyDescent="0.2">
      <c r="R33874" s="1288"/>
    </row>
    <row r="33875" spans="18:18" s="2" customFormat="1" ht="12.75" x14ac:dyDescent="0.2">
      <c r="R33875" s="1288"/>
    </row>
    <row r="33876" spans="18:18" s="2" customFormat="1" ht="12.75" x14ac:dyDescent="0.2">
      <c r="R33876" s="1288"/>
    </row>
    <row r="33877" spans="18:18" s="2" customFormat="1" ht="12.75" x14ac:dyDescent="0.2">
      <c r="R33877" s="1288"/>
    </row>
    <row r="33878" spans="18:18" s="2" customFormat="1" ht="12.75" x14ac:dyDescent="0.2">
      <c r="R33878" s="1288"/>
    </row>
    <row r="33879" spans="18:18" s="2" customFormat="1" ht="12.75" x14ac:dyDescent="0.2">
      <c r="R33879" s="1288"/>
    </row>
    <row r="33880" spans="18:18" s="2" customFormat="1" ht="12.75" x14ac:dyDescent="0.2">
      <c r="R33880" s="1288"/>
    </row>
    <row r="33881" spans="18:18" s="2" customFormat="1" ht="12.75" x14ac:dyDescent="0.2">
      <c r="R33881" s="1288"/>
    </row>
    <row r="33882" spans="18:18" s="2" customFormat="1" ht="12.75" x14ac:dyDescent="0.2">
      <c r="R33882" s="1288"/>
    </row>
    <row r="33883" spans="18:18" s="2" customFormat="1" ht="12.75" x14ac:dyDescent="0.2">
      <c r="R33883" s="1288"/>
    </row>
    <row r="33884" spans="18:18" s="2" customFormat="1" ht="12.75" x14ac:dyDescent="0.2">
      <c r="R33884" s="1288"/>
    </row>
    <row r="33885" spans="18:18" s="2" customFormat="1" ht="12.75" x14ac:dyDescent="0.2">
      <c r="R33885" s="1288"/>
    </row>
    <row r="33886" spans="18:18" s="2" customFormat="1" ht="12.75" x14ac:dyDescent="0.2">
      <c r="R33886" s="1288"/>
    </row>
    <row r="33887" spans="18:18" s="2" customFormat="1" ht="12.75" x14ac:dyDescent="0.2">
      <c r="R33887" s="1288"/>
    </row>
    <row r="33888" spans="18:18" s="2" customFormat="1" ht="12.75" x14ac:dyDescent="0.2">
      <c r="R33888" s="1288"/>
    </row>
    <row r="33889" spans="18:18" s="2" customFormat="1" ht="12.75" x14ac:dyDescent="0.2">
      <c r="R33889" s="1288"/>
    </row>
    <row r="33890" spans="18:18" s="2" customFormat="1" ht="12.75" x14ac:dyDescent="0.2">
      <c r="R33890" s="1288"/>
    </row>
    <row r="33891" spans="18:18" s="2" customFormat="1" ht="12.75" x14ac:dyDescent="0.2">
      <c r="R33891" s="1288"/>
    </row>
    <row r="33892" spans="18:18" s="2" customFormat="1" ht="12.75" x14ac:dyDescent="0.2">
      <c r="R33892" s="1288"/>
    </row>
    <row r="33893" spans="18:18" s="2" customFormat="1" ht="12.75" x14ac:dyDescent="0.2">
      <c r="R33893" s="1288"/>
    </row>
    <row r="33894" spans="18:18" s="2" customFormat="1" ht="12.75" x14ac:dyDescent="0.2">
      <c r="R33894" s="1288"/>
    </row>
    <row r="33895" spans="18:18" s="2" customFormat="1" ht="12.75" x14ac:dyDescent="0.2">
      <c r="R33895" s="1288"/>
    </row>
    <row r="33896" spans="18:18" s="2" customFormat="1" ht="12.75" x14ac:dyDescent="0.2">
      <c r="R33896" s="1288"/>
    </row>
    <row r="33897" spans="18:18" s="2" customFormat="1" ht="12.75" x14ac:dyDescent="0.2">
      <c r="R33897" s="1288"/>
    </row>
    <row r="33898" spans="18:18" s="2" customFormat="1" ht="12.75" x14ac:dyDescent="0.2">
      <c r="R33898" s="1288"/>
    </row>
    <row r="33899" spans="18:18" s="2" customFormat="1" ht="12.75" x14ac:dyDescent="0.2">
      <c r="R33899" s="1288"/>
    </row>
    <row r="33900" spans="18:18" s="2" customFormat="1" ht="12.75" x14ac:dyDescent="0.2">
      <c r="R33900" s="1288"/>
    </row>
    <row r="33901" spans="18:18" s="2" customFormat="1" ht="12.75" x14ac:dyDescent="0.2">
      <c r="R33901" s="1288"/>
    </row>
    <row r="33902" spans="18:18" s="2" customFormat="1" ht="12.75" x14ac:dyDescent="0.2">
      <c r="R33902" s="1288"/>
    </row>
    <row r="33903" spans="18:18" s="2" customFormat="1" ht="12.75" x14ac:dyDescent="0.2">
      <c r="R33903" s="1288"/>
    </row>
    <row r="33904" spans="18:18" s="2" customFormat="1" ht="12.75" x14ac:dyDescent="0.2">
      <c r="R33904" s="1288"/>
    </row>
    <row r="33905" spans="18:18" s="2" customFormat="1" ht="12.75" x14ac:dyDescent="0.2">
      <c r="R33905" s="1288"/>
    </row>
    <row r="33906" spans="18:18" s="2" customFormat="1" ht="12.75" x14ac:dyDescent="0.2">
      <c r="R33906" s="1288"/>
    </row>
    <row r="33907" spans="18:18" s="2" customFormat="1" ht="12.75" x14ac:dyDescent="0.2">
      <c r="R33907" s="1288"/>
    </row>
    <row r="33908" spans="18:18" s="2" customFormat="1" ht="12.75" x14ac:dyDescent="0.2">
      <c r="R33908" s="1288"/>
    </row>
    <row r="33909" spans="18:18" s="2" customFormat="1" ht="12.75" x14ac:dyDescent="0.2">
      <c r="R33909" s="1288"/>
    </row>
    <row r="33910" spans="18:18" s="2" customFormat="1" ht="12.75" x14ac:dyDescent="0.2">
      <c r="R33910" s="1288"/>
    </row>
    <row r="33911" spans="18:18" s="2" customFormat="1" ht="12.75" x14ac:dyDescent="0.2">
      <c r="R33911" s="1288"/>
    </row>
    <row r="33912" spans="18:18" s="2" customFormat="1" ht="12.75" x14ac:dyDescent="0.2">
      <c r="R33912" s="1288"/>
    </row>
    <row r="33913" spans="18:18" s="2" customFormat="1" ht="12.75" x14ac:dyDescent="0.2">
      <c r="R33913" s="1288"/>
    </row>
    <row r="33914" spans="18:18" s="2" customFormat="1" ht="12.75" x14ac:dyDescent="0.2">
      <c r="R33914" s="1288"/>
    </row>
    <row r="33915" spans="18:18" s="2" customFormat="1" ht="12.75" x14ac:dyDescent="0.2">
      <c r="R33915" s="1288"/>
    </row>
    <row r="33916" spans="18:18" s="2" customFormat="1" ht="12.75" x14ac:dyDescent="0.2">
      <c r="R33916" s="1288"/>
    </row>
    <row r="33917" spans="18:18" s="2" customFormat="1" ht="12.75" x14ac:dyDescent="0.2">
      <c r="R33917" s="1288"/>
    </row>
    <row r="33918" spans="18:18" s="2" customFormat="1" ht="12.75" x14ac:dyDescent="0.2">
      <c r="R33918" s="1288"/>
    </row>
    <row r="33919" spans="18:18" s="2" customFormat="1" ht="12.75" x14ac:dyDescent="0.2">
      <c r="R33919" s="1288"/>
    </row>
    <row r="33920" spans="18:18" s="2" customFormat="1" ht="12.75" x14ac:dyDescent="0.2">
      <c r="R33920" s="1288"/>
    </row>
    <row r="33921" spans="18:18" s="2" customFormat="1" ht="12.75" x14ac:dyDescent="0.2">
      <c r="R33921" s="1288"/>
    </row>
    <row r="33922" spans="18:18" s="2" customFormat="1" ht="12.75" x14ac:dyDescent="0.2">
      <c r="R33922" s="1288"/>
    </row>
    <row r="33923" spans="18:18" s="2" customFormat="1" ht="12.75" x14ac:dyDescent="0.2">
      <c r="R33923" s="1288"/>
    </row>
    <row r="33924" spans="18:18" s="2" customFormat="1" ht="12.75" x14ac:dyDescent="0.2">
      <c r="R33924" s="1288"/>
    </row>
    <row r="33925" spans="18:18" s="2" customFormat="1" ht="12.75" x14ac:dyDescent="0.2">
      <c r="R33925" s="1288"/>
    </row>
    <row r="33926" spans="18:18" s="2" customFormat="1" ht="12.75" x14ac:dyDescent="0.2">
      <c r="R33926" s="1288"/>
    </row>
    <row r="33927" spans="18:18" s="2" customFormat="1" ht="12.75" x14ac:dyDescent="0.2">
      <c r="R33927" s="1288"/>
    </row>
    <row r="33928" spans="18:18" s="2" customFormat="1" ht="12.75" x14ac:dyDescent="0.2">
      <c r="R33928" s="1288"/>
    </row>
    <row r="33929" spans="18:18" s="2" customFormat="1" ht="12.75" x14ac:dyDescent="0.2">
      <c r="R33929" s="1288"/>
    </row>
    <row r="33930" spans="18:18" s="2" customFormat="1" ht="12.75" x14ac:dyDescent="0.2">
      <c r="R33930" s="1288"/>
    </row>
    <row r="33931" spans="18:18" s="2" customFormat="1" ht="12.75" x14ac:dyDescent="0.2">
      <c r="R33931" s="1288"/>
    </row>
    <row r="33932" spans="18:18" s="2" customFormat="1" ht="12.75" x14ac:dyDescent="0.2">
      <c r="R33932" s="1288"/>
    </row>
    <row r="33933" spans="18:18" s="2" customFormat="1" ht="12.75" x14ac:dyDescent="0.2">
      <c r="R33933" s="1288"/>
    </row>
    <row r="33934" spans="18:18" s="2" customFormat="1" ht="12.75" x14ac:dyDescent="0.2">
      <c r="R33934" s="1288"/>
    </row>
    <row r="33935" spans="18:18" s="2" customFormat="1" ht="12.75" x14ac:dyDescent="0.2">
      <c r="R33935" s="1288"/>
    </row>
    <row r="33936" spans="18:18" s="2" customFormat="1" ht="12.75" x14ac:dyDescent="0.2">
      <c r="R33936" s="1288"/>
    </row>
    <row r="33937" spans="18:18" s="2" customFormat="1" ht="12.75" x14ac:dyDescent="0.2">
      <c r="R33937" s="1288"/>
    </row>
    <row r="33938" spans="18:18" s="2" customFormat="1" ht="12.75" x14ac:dyDescent="0.2">
      <c r="R33938" s="1288"/>
    </row>
    <row r="33939" spans="18:18" s="2" customFormat="1" ht="12.75" x14ac:dyDescent="0.2">
      <c r="R33939" s="1288"/>
    </row>
    <row r="33940" spans="18:18" s="2" customFormat="1" ht="12.75" x14ac:dyDescent="0.2">
      <c r="R33940" s="1288"/>
    </row>
    <row r="33941" spans="18:18" s="2" customFormat="1" ht="12.75" x14ac:dyDescent="0.2">
      <c r="R33941" s="1288"/>
    </row>
    <row r="33942" spans="18:18" s="2" customFormat="1" ht="12.75" x14ac:dyDescent="0.2">
      <c r="R33942" s="1288"/>
    </row>
    <row r="33943" spans="18:18" s="2" customFormat="1" ht="12.75" x14ac:dyDescent="0.2">
      <c r="R33943" s="1288"/>
    </row>
    <row r="33944" spans="18:18" s="2" customFormat="1" ht="12.75" x14ac:dyDescent="0.2">
      <c r="R33944" s="1288"/>
    </row>
    <row r="33945" spans="18:18" s="2" customFormat="1" ht="12.75" x14ac:dyDescent="0.2">
      <c r="R33945" s="1288"/>
    </row>
    <row r="33946" spans="18:18" s="2" customFormat="1" ht="12.75" x14ac:dyDescent="0.2">
      <c r="R33946" s="1288"/>
    </row>
    <row r="33947" spans="18:18" s="2" customFormat="1" ht="12.75" x14ac:dyDescent="0.2">
      <c r="R33947" s="1288"/>
    </row>
    <row r="33948" spans="18:18" s="2" customFormat="1" ht="12.75" x14ac:dyDescent="0.2">
      <c r="R33948" s="1288"/>
    </row>
    <row r="33949" spans="18:18" s="2" customFormat="1" ht="12.75" x14ac:dyDescent="0.2">
      <c r="R33949" s="1288"/>
    </row>
    <row r="33950" spans="18:18" s="2" customFormat="1" ht="12.75" x14ac:dyDescent="0.2">
      <c r="R33950" s="1288"/>
    </row>
    <row r="33951" spans="18:18" s="2" customFormat="1" ht="12.75" x14ac:dyDescent="0.2">
      <c r="R33951" s="1288"/>
    </row>
    <row r="33952" spans="18:18" s="2" customFormat="1" ht="12.75" x14ac:dyDescent="0.2">
      <c r="R33952" s="1288"/>
    </row>
    <row r="33953" spans="18:18" s="2" customFormat="1" ht="12.75" x14ac:dyDescent="0.2">
      <c r="R33953" s="1288"/>
    </row>
    <row r="33954" spans="18:18" s="2" customFormat="1" ht="12.75" x14ac:dyDescent="0.2">
      <c r="R33954" s="1288"/>
    </row>
    <row r="33955" spans="18:18" s="2" customFormat="1" ht="12.75" x14ac:dyDescent="0.2">
      <c r="R33955" s="1288"/>
    </row>
    <row r="33956" spans="18:18" s="2" customFormat="1" ht="12.75" x14ac:dyDescent="0.2">
      <c r="R33956" s="1288"/>
    </row>
    <row r="33957" spans="18:18" s="2" customFormat="1" ht="12.75" x14ac:dyDescent="0.2">
      <c r="R33957" s="1288"/>
    </row>
    <row r="33958" spans="18:18" s="2" customFormat="1" ht="12.75" x14ac:dyDescent="0.2">
      <c r="R33958" s="1288"/>
    </row>
    <row r="33959" spans="18:18" s="2" customFormat="1" ht="12.75" x14ac:dyDescent="0.2">
      <c r="R33959" s="1288"/>
    </row>
    <row r="33960" spans="18:18" s="2" customFormat="1" ht="12.75" x14ac:dyDescent="0.2">
      <c r="R33960" s="1288"/>
    </row>
    <row r="33961" spans="18:18" s="2" customFormat="1" ht="12.75" x14ac:dyDescent="0.2">
      <c r="R33961" s="1288"/>
    </row>
    <row r="33962" spans="18:18" s="2" customFormat="1" ht="12.75" x14ac:dyDescent="0.2">
      <c r="R33962" s="1288"/>
    </row>
    <row r="33963" spans="18:18" s="2" customFormat="1" ht="12.75" x14ac:dyDescent="0.2">
      <c r="R33963" s="1288"/>
    </row>
    <row r="33964" spans="18:18" s="2" customFormat="1" ht="12.75" x14ac:dyDescent="0.2">
      <c r="R33964" s="1288"/>
    </row>
    <row r="33965" spans="18:18" s="2" customFormat="1" ht="12.75" x14ac:dyDescent="0.2">
      <c r="R33965" s="1288"/>
    </row>
    <row r="33966" spans="18:18" s="2" customFormat="1" ht="12.75" x14ac:dyDescent="0.2">
      <c r="R33966" s="1288"/>
    </row>
    <row r="33967" spans="18:18" s="2" customFormat="1" ht="12.75" x14ac:dyDescent="0.2">
      <c r="R33967" s="1288"/>
    </row>
    <row r="33968" spans="18:18" s="2" customFormat="1" ht="12.75" x14ac:dyDescent="0.2">
      <c r="R33968" s="1288"/>
    </row>
    <row r="33969" spans="18:18" s="2" customFormat="1" ht="12.75" x14ac:dyDescent="0.2">
      <c r="R33969" s="1288"/>
    </row>
    <row r="33970" spans="18:18" s="2" customFormat="1" ht="12.75" x14ac:dyDescent="0.2">
      <c r="R33970" s="1288"/>
    </row>
    <row r="33971" spans="18:18" s="2" customFormat="1" ht="12.75" x14ac:dyDescent="0.2">
      <c r="R33971" s="1288"/>
    </row>
    <row r="33972" spans="18:18" s="2" customFormat="1" ht="12.75" x14ac:dyDescent="0.2">
      <c r="R33972" s="1288"/>
    </row>
    <row r="33973" spans="18:18" s="2" customFormat="1" ht="12.75" x14ac:dyDescent="0.2">
      <c r="R33973" s="1288"/>
    </row>
    <row r="33974" spans="18:18" s="2" customFormat="1" ht="12.75" x14ac:dyDescent="0.2">
      <c r="R33974" s="1288"/>
    </row>
    <row r="33975" spans="18:18" s="2" customFormat="1" ht="12.75" x14ac:dyDescent="0.2">
      <c r="R33975" s="1288"/>
    </row>
    <row r="33976" spans="18:18" s="2" customFormat="1" ht="12.75" x14ac:dyDescent="0.2">
      <c r="R33976" s="1288"/>
    </row>
    <row r="33977" spans="18:18" s="2" customFormat="1" ht="12.75" x14ac:dyDescent="0.2">
      <c r="R33977" s="1288"/>
    </row>
    <row r="33978" spans="18:18" s="2" customFormat="1" ht="12.75" x14ac:dyDescent="0.2">
      <c r="R33978" s="1288"/>
    </row>
    <row r="33979" spans="18:18" s="2" customFormat="1" ht="12.75" x14ac:dyDescent="0.2">
      <c r="R33979" s="1288"/>
    </row>
    <row r="33980" spans="18:18" s="2" customFormat="1" ht="12.75" x14ac:dyDescent="0.2">
      <c r="R33980" s="1288"/>
    </row>
    <row r="33981" spans="18:18" s="2" customFormat="1" ht="12.75" x14ac:dyDescent="0.2">
      <c r="R33981" s="1288"/>
    </row>
    <row r="33982" spans="18:18" s="2" customFormat="1" ht="12.75" x14ac:dyDescent="0.2">
      <c r="R33982" s="1288"/>
    </row>
    <row r="33983" spans="18:18" s="2" customFormat="1" ht="12.75" x14ac:dyDescent="0.2">
      <c r="R33983" s="1288"/>
    </row>
    <row r="33984" spans="18:18" s="2" customFormat="1" ht="12.75" x14ac:dyDescent="0.2">
      <c r="R33984" s="1288"/>
    </row>
    <row r="33985" spans="18:18" s="2" customFormat="1" ht="12.75" x14ac:dyDescent="0.2">
      <c r="R33985" s="1288"/>
    </row>
    <row r="33986" spans="18:18" s="2" customFormat="1" ht="12.75" x14ac:dyDescent="0.2">
      <c r="R33986" s="1288"/>
    </row>
    <row r="33987" spans="18:18" s="2" customFormat="1" ht="12.75" x14ac:dyDescent="0.2">
      <c r="R33987" s="1288"/>
    </row>
    <row r="33988" spans="18:18" s="2" customFormat="1" ht="12.75" x14ac:dyDescent="0.2">
      <c r="R33988" s="1288"/>
    </row>
    <row r="33989" spans="18:18" s="2" customFormat="1" ht="12.75" x14ac:dyDescent="0.2">
      <c r="R33989" s="1288"/>
    </row>
    <row r="33990" spans="18:18" s="2" customFormat="1" ht="12.75" x14ac:dyDescent="0.2">
      <c r="R33990" s="1288"/>
    </row>
    <row r="33991" spans="18:18" s="2" customFormat="1" ht="12.75" x14ac:dyDescent="0.2">
      <c r="R33991" s="1288"/>
    </row>
    <row r="33992" spans="18:18" s="2" customFormat="1" ht="12.75" x14ac:dyDescent="0.2">
      <c r="R33992" s="1288"/>
    </row>
    <row r="33993" spans="18:18" s="2" customFormat="1" ht="12.75" x14ac:dyDescent="0.2">
      <c r="R33993" s="1288"/>
    </row>
    <row r="33994" spans="18:18" s="2" customFormat="1" ht="12.75" x14ac:dyDescent="0.2">
      <c r="R33994" s="1288"/>
    </row>
    <row r="33995" spans="18:18" s="2" customFormat="1" ht="12.75" x14ac:dyDescent="0.2">
      <c r="R33995" s="1288"/>
    </row>
    <row r="33996" spans="18:18" s="2" customFormat="1" ht="12.75" x14ac:dyDescent="0.2">
      <c r="R33996" s="1288"/>
    </row>
    <row r="33997" spans="18:18" s="2" customFormat="1" ht="12.75" x14ac:dyDescent="0.2">
      <c r="R33997" s="1288"/>
    </row>
    <row r="33998" spans="18:18" s="2" customFormat="1" ht="12.75" x14ac:dyDescent="0.2">
      <c r="R33998" s="1288"/>
    </row>
    <row r="33999" spans="18:18" s="2" customFormat="1" ht="12.75" x14ac:dyDescent="0.2">
      <c r="R33999" s="1288"/>
    </row>
    <row r="34000" spans="18:18" s="2" customFormat="1" ht="12.75" x14ac:dyDescent="0.2">
      <c r="R34000" s="1288"/>
    </row>
    <row r="34001" spans="18:18" s="2" customFormat="1" ht="12.75" x14ac:dyDescent="0.2">
      <c r="R34001" s="1288"/>
    </row>
    <row r="34002" spans="18:18" s="2" customFormat="1" ht="12.75" x14ac:dyDescent="0.2">
      <c r="R34002" s="1288"/>
    </row>
    <row r="34003" spans="18:18" s="2" customFormat="1" ht="12.75" x14ac:dyDescent="0.2">
      <c r="R34003" s="1288"/>
    </row>
    <row r="34004" spans="18:18" s="2" customFormat="1" ht="12.75" x14ac:dyDescent="0.2">
      <c r="R34004" s="1288"/>
    </row>
    <row r="34005" spans="18:18" s="2" customFormat="1" ht="12.75" x14ac:dyDescent="0.2">
      <c r="R34005" s="1288"/>
    </row>
    <row r="34006" spans="18:18" s="2" customFormat="1" ht="12.75" x14ac:dyDescent="0.2">
      <c r="R34006" s="1288"/>
    </row>
    <row r="34007" spans="18:18" s="2" customFormat="1" ht="12.75" x14ac:dyDescent="0.2">
      <c r="R34007" s="1288"/>
    </row>
    <row r="34008" spans="18:18" s="2" customFormat="1" ht="12.75" x14ac:dyDescent="0.2">
      <c r="R34008" s="1288"/>
    </row>
    <row r="34009" spans="18:18" s="2" customFormat="1" ht="12.75" x14ac:dyDescent="0.2">
      <c r="R34009" s="1288"/>
    </row>
    <row r="34010" spans="18:18" s="2" customFormat="1" ht="12.75" x14ac:dyDescent="0.2">
      <c r="R34010" s="1288"/>
    </row>
    <row r="34011" spans="18:18" s="2" customFormat="1" ht="12.75" x14ac:dyDescent="0.2">
      <c r="R34011" s="1288"/>
    </row>
    <row r="34012" spans="18:18" s="2" customFormat="1" ht="12.75" x14ac:dyDescent="0.2">
      <c r="R34012" s="1288"/>
    </row>
    <row r="34013" spans="18:18" s="2" customFormat="1" ht="12.75" x14ac:dyDescent="0.2">
      <c r="R34013" s="1288"/>
    </row>
    <row r="34014" spans="18:18" s="2" customFormat="1" ht="12.75" x14ac:dyDescent="0.2">
      <c r="R34014" s="1288"/>
    </row>
    <row r="34015" spans="18:18" s="2" customFormat="1" ht="12.75" x14ac:dyDescent="0.2">
      <c r="R34015" s="1288"/>
    </row>
    <row r="34016" spans="18:18" s="2" customFormat="1" ht="12.75" x14ac:dyDescent="0.2">
      <c r="R34016" s="1288"/>
    </row>
    <row r="34017" spans="18:18" s="2" customFormat="1" ht="12.75" x14ac:dyDescent="0.2">
      <c r="R34017" s="1288"/>
    </row>
    <row r="34018" spans="18:18" s="2" customFormat="1" ht="12.75" x14ac:dyDescent="0.2">
      <c r="R34018" s="1288"/>
    </row>
    <row r="34019" spans="18:18" s="2" customFormat="1" ht="12.75" x14ac:dyDescent="0.2">
      <c r="R34019" s="1288"/>
    </row>
    <row r="34020" spans="18:18" s="2" customFormat="1" ht="12.75" x14ac:dyDescent="0.2">
      <c r="R34020" s="1288"/>
    </row>
    <row r="34021" spans="18:18" s="2" customFormat="1" ht="12.75" x14ac:dyDescent="0.2">
      <c r="R34021" s="1288"/>
    </row>
    <row r="34022" spans="18:18" s="2" customFormat="1" ht="12.75" x14ac:dyDescent="0.2">
      <c r="R34022" s="1288"/>
    </row>
    <row r="34023" spans="18:18" s="2" customFormat="1" ht="12.75" x14ac:dyDescent="0.2">
      <c r="R34023" s="1288"/>
    </row>
    <row r="34024" spans="18:18" s="2" customFormat="1" ht="12.75" x14ac:dyDescent="0.2">
      <c r="R34024" s="1288"/>
    </row>
    <row r="34025" spans="18:18" s="2" customFormat="1" ht="12.75" x14ac:dyDescent="0.2">
      <c r="R34025" s="1288"/>
    </row>
    <row r="34026" spans="18:18" s="2" customFormat="1" ht="12.75" x14ac:dyDescent="0.2">
      <c r="R34026" s="1288"/>
    </row>
    <row r="34027" spans="18:18" s="2" customFormat="1" ht="12.75" x14ac:dyDescent="0.2">
      <c r="R34027" s="1288"/>
    </row>
    <row r="34028" spans="18:18" s="2" customFormat="1" ht="12.75" x14ac:dyDescent="0.2">
      <c r="R34028" s="1288"/>
    </row>
    <row r="34029" spans="18:18" s="2" customFormat="1" ht="12.75" x14ac:dyDescent="0.2">
      <c r="R34029" s="1288"/>
    </row>
    <row r="34030" spans="18:18" s="2" customFormat="1" ht="12.75" x14ac:dyDescent="0.2">
      <c r="R34030" s="1288"/>
    </row>
    <row r="34031" spans="18:18" s="2" customFormat="1" ht="12.75" x14ac:dyDescent="0.2">
      <c r="R34031" s="1288"/>
    </row>
    <row r="34032" spans="18:18" s="2" customFormat="1" ht="12.75" x14ac:dyDescent="0.2">
      <c r="R34032" s="1288"/>
    </row>
    <row r="34033" spans="18:18" s="2" customFormat="1" ht="12.75" x14ac:dyDescent="0.2">
      <c r="R34033" s="1288"/>
    </row>
    <row r="34034" spans="18:18" s="2" customFormat="1" ht="12.75" x14ac:dyDescent="0.2">
      <c r="R34034" s="1288"/>
    </row>
    <row r="34035" spans="18:18" s="2" customFormat="1" ht="12.75" x14ac:dyDescent="0.2">
      <c r="R34035" s="1288"/>
    </row>
    <row r="34036" spans="18:18" s="2" customFormat="1" ht="12.75" x14ac:dyDescent="0.2">
      <c r="R34036" s="1288"/>
    </row>
    <row r="34037" spans="18:18" s="2" customFormat="1" ht="12.75" x14ac:dyDescent="0.2">
      <c r="R34037" s="1288"/>
    </row>
    <row r="34038" spans="18:18" s="2" customFormat="1" ht="12.75" x14ac:dyDescent="0.2">
      <c r="R34038" s="1288"/>
    </row>
    <row r="34039" spans="18:18" s="2" customFormat="1" ht="12.75" x14ac:dyDescent="0.2">
      <c r="R34039" s="1288"/>
    </row>
    <row r="34040" spans="18:18" s="2" customFormat="1" ht="12.75" x14ac:dyDescent="0.2">
      <c r="R34040" s="1288"/>
    </row>
    <row r="34041" spans="18:18" s="2" customFormat="1" ht="12.75" x14ac:dyDescent="0.2">
      <c r="R34041" s="1288"/>
    </row>
    <row r="34042" spans="18:18" s="2" customFormat="1" ht="12.75" x14ac:dyDescent="0.2">
      <c r="R34042" s="1288"/>
    </row>
    <row r="34043" spans="18:18" s="2" customFormat="1" ht="12.75" x14ac:dyDescent="0.2">
      <c r="R34043" s="1288"/>
    </row>
    <row r="34044" spans="18:18" s="2" customFormat="1" ht="12.75" x14ac:dyDescent="0.2">
      <c r="R34044" s="1288"/>
    </row>
    <row r="34045" spans="18:18" s="2" customFormat="1" ht="12.75" x14ac:dyDescent="0.2">
      <c r="R34045" s="1288"/>
    </row>
    <row r="34046" spans="18:18" s="2" customFormat="1" ht="12.75" x14ac:dyDescent="0.2">
      <c r="R34046" s="1288"/>
    </row>
    <row r="34047" spans="18:18" s="2" customFormat="1" ht="12.75" x14ac:dyDescent="0.2">
      <c r="R34047" s="1288"/>
    </row>
    <row r="34048" spans="18:18" s="2" customFormat="1" ht="12.75" x14ac:dyDescent="0.2">
      <c r="R34048" s="1288"/>
    </row>
    <row r="34049" spans="18:18" s="2" customFormat="1" ht="12.75" x14ac:dyDescent="0.2">
      <c r="R34049" s="1288"/>
    </row>
    <row r="34050" spans="18:18" s="2" customFormat="1" ht="12.75" x14ac:dyDescent="0.2">
      <c r="R34050" s="1288"/>
    </row>
    <row r="34051" spans="18:18" s="2" customFormat="1" ht="12.75" x14ac:dyDescent="0.2">
      <c r="R34051" s="1288"/>
    </row>
    <row r="34052" spans="18:18" s="2" customFormat="1" ht="12.75" x14ac:dyDescent="0.2">
      <c r="R34052" s="1288"/>
    </row>
    <row r="34053" spans="18:18" s="2" customFormat="1" ht="12.75" x14ac:dyDescent="0.2">
      <c r="R34053" s="1288"/>
    </row>
    <row r="34054" spans="18:18" s="2" customFormat="1" ht="12.75" x14ac:dyDescent="0.2">
      <c r="R34054" s="1288"/>
    </row>
    <row r="34055" spans="18:18" s="2" customFormat="1" ht="12.75" x14ac:dyDescent="0.2">
      <c r="R34055" s="1288"/>
    </row>
    <row r="34056" spans="18:18" s="2" customFormat="1" ht="12.75" x14ac:dyDescent="0.2">
      <c r="R34056" s="1288"/>
    </row>
    <row r="34057" spans="18:18" s="2" customFormat="1" ht="12.75" x14ac:dyDescent="0.2">
      <c r="R34057" s="1288"/>
    </row>
    <row r="34058" spans="18:18" s="2" customFormat="1" ht="12.75" x14ac:dyDescent="0.2">
      <c r="R34058" s="1288"/>
    </row>
    <row r="34059" spans="18:18" s="2" customFormat="1" ht="12.75" x14ac:dyDescent="0.2">
      <c r="R34059" s="1288"/>
    </row>
    <row r="34060" spans="18:18" s="2" customFormat="1" ht="12.75" x14ac:dyDescent="0.2">
      <c r="R34060" s="1288"/>
    </row>
    <row r="34061" spans="18:18" s="2" customFormat="1" ht="12.75" x14ac:dyDescent="0.2">
      <c r="R34061" s="1288"/>
    </row>
    <row r="34062" spans="18:18" s="2" customFormat="1" ht="12.75" x14ac:dyDescent="0.2">
      <c r="R34062" s="1288"/>
    </row>
    <row r="34063" spans="18:18" s="2" customFormat="1" ht="12.75" x14ac:dyDescent="0.2">
      <c r="R34063" s="1288"/>
    </row>
    <row r="34064" spans="18:18" s="2" customFormat="1" ht="12.75" x14ac:dyDescent="0.2">
      <c r="R34064" s="1288"/>
    </row>
    <row r="34065" spans="18:18" s="2" customFormat="1" ht="12.75" x14ac:dyDescent="0.2">
      <c r="R34065" s="1288"/>
    </row>
    <row r="34066" spans="18:18" s="2" customFormat="1" ht="12.75" x14ac:dyDescent="0.2">
      <c r="R34066" s="1288"/>
    </row>
    <row r="34067" spans="18:18" s="2" customFormat="1" ht="12.75" x14ac:dyDescent="0.2">
      <c r="R34067" s="1288"/>
    </row>
    <row r="34068" spans="18:18" s="2" customFormat="1" ht="12.75" x14ac:dyDescent="0.2">
      <c r="R34068" s="1288"/>
    </row>
    <row r="34069" spans="18:18" s="2" customFormat="1" ht="12.75" x14ac:dyDescent="0.2">
      <c r="R34069" s="1288"/>
    </row>
    <row r="34070" spans="18:18" s="2" customFormat="1" ht="12.75" x14ac:dyDescent="0.2">
      <c r="R34070" s="1288"/>
    </row>
    <row r="34071" spans="18:18" s="2" customFormat="1" ht="12.75" x14ac:dyDescent="0.2">
      <c r="R34071" s="1288"/>
    </row>
    <row r="34072" spans="18:18" s="2" customFormat="1" ht="12.75" x14ac:dyDescent="0.2">
      <c r="R34072" s="1288"/>
    </row>
    <row r="34073" spans="18:18" s="2" customFormat="1" ht="12.75" x14ac:dyDescent="0.2">
      <c r="R34073" s="1288"/>
    </row>
    <row r="34074" spans="18:18" s="2" customFormat="1" ht="12.75" x14ac:dyDescent="0.2">
      <c r="R34074" s="1288"/>
    </row>
    <row r="34075" spans="18:18" s="2" customFormat="1" ht="12.75" x14ac:dyDescent="0.2">
      <c r="R34075" s="1288"/>
    </row>
    <row r="34076" spans="18:18" s="2" customFormat="1" ht="12.75" x14ac:dyDescent="0.2">
      <c r="R34076" s="1288"/>
    </row>
    <row r="34077" spans="18:18" s="2" customFormat="1" ht="12.75" x14ac:dyDescent="0.2">
      <c r="R34077" s="1288"/>
    </row>
    <row r="34078" spans="18:18" s="2" customFormat="1" ht="12.75" x14ac:dyDescent="0.2">
      <c r="R34078" s="1288"/>
    </row>
    <row r="34079" spans="18:18" s="2" customFormat="1" ht="12.75" x14ac:dyDescent="0.2">
      <c r="R34079" s="1288"/>
    </row>
    <row r="34080" spans="18:18" s="2" customFormat="1" ht="12.75" x14ac:dyDescent="0.2">
      <c r="R34080" s="1288"/>
    </row>
    <row r="34081" spans="18:18" s="2" customFormat="1" ht="12.75" x14ac:dyDescent="0.2">
      <c r="R34081" s="1288"/>
    </row>
    <row r="34082" spans="18:18" s="2" customFormat="1" ht="12.75" x14ac:dyDescent="0.2">
      <c r="R34082" s="1288"/>
    </row>
    <row r="34083" spans="18:18" s="2" customFormat="1" ht="12.75" x14ac:dyDescent="0.2">
      <c r="R34083" s="1288"/>
    </row>
    <row r="34084" spans="18:18" s="2" customFormat="1" ht="12.75" x14ac:dyDescent="0.2">
      <c r="R34084" s="1288"/>
    </row>
    <row r="34085" spans="18:18" s="2" customFormat="1" ht="12.75" x14ac:dyDescent="0.2">
      <c r="R34085" s="1288"/>
    </row>
    <row r="34086" spans="18:18" s="2" customFormat="1" ht="12.75" x14ac:dyDescent="0.2">
      <c r="R34086" s="1288"/>
    </row>
    <row r="34087" spans="18:18" s="2" customFormat="1" ht="12.75" x14ac:dyDescent="0.2">
      <c r="R34087" s="1288"/>
    </row>
    <row r="34088" spans="18:18" s="2" customFormat="1" ht="12.75" x14ac:dyDescent="0.2">
      <c r="R34088" s="1288"/>
    </row>
    <row r="34089" spans="18:18" s="2" customFormat="1" ht="12.75" x14ac:dyDescent="0.2">
      <c r="R34089" s="1288"/>
    </row>
    <row r="34090" spans="18:18" s="2" customFormat="1" ht="12.75" x14ac:dyDescent="0.2">
      <c r="R34090" s="1288"/>
    </row>
    <row r="34091" spans="18:18" s="2" customFormat="1" ht="12.75" x14ac:dyDescent="0.2">
      <c r="R34091" s="1288"/>
    </row>
    <row r="34092" spans="18:18" s="2" customFormat="1" ht="12.75" x14ac:dyDescent="0.2">
      <c r="R34092" s="1288"/>
    </row>
    <row r="34093" spans="18:18" s="2" customFormat="1" ht="12.75" x14ac:dyDescent="0.2">
      <c r="R34093" s="1288"/>
    </row>
    <row r="34094" spans="18:18" s="2" customFormat="1" ht="12.75" x14ac:dyDescent="0.2">
      <c r="R34094" s="1288"/>
    </row>
    <row r="34095" spans="18:18" s="2" customFormat="1" ht="12.75" x14ac:dyDescent="0.2">
      <c r="R34095" s="1288"/>
    </row>
    <row r="34096" spans="18:18" s="2" customFormat="1" ht="12.75" x14ac:dyDescent="0.2">
      <c r="R34096" s="1288"/>
    </row>
    <row r="34097" spans="18:18" s="2" customFormat="1" ht="12.75" x14ac:dyDescent="0.2">
      <c r="R34097" s="1288"/>
    </row>
    <row r="34098" spans="18:18" s="2" customFormat="1" ht="12.75" x14ac:dyDescent="0.2">
      <c r="R34098" s="1288"/>
    </row>
    <row r="34099" spans="18:18" s="2" customFormat="1" ht="12.75" x14ac:dyDescent="0.2">
      <c r="R34099" s="1288"/>
    </row>
    <row r="34100" spans="18:18" s="2" customFormat="1" ht="12.75" x14ac:dyDescent="0.2">
      <c r="R34100" s="1288"/>
    </row>
    <row r="34101" spans="18:18" s="2" customFormat="1" ht="12.75" x14ac:dyDescent="0.2">
      <c r="R34101" s="1288"/>
    </row>
    <row r="34102" spans="18:18" s="2" customFormat="1" ht="12.75" x14ac:dyDescent="0.2">
      <c r="R34102" s="1288"/>
    </row>
    <row r="34103" spans="18:18" s="2" customFormat="1" ht="12.75" x14ac:dyDescent="0.2">
      <c r="R34103" s="1288"/>
    </row>
    <row r="34104" spans="18:18" s="2" customFormat="1" ht="12.75" x14ac:dyDescent="0.2">
      <c r="R34104" s="1288"/>
    </row>
    <row r="34105" spans="18:18" s="2" customFormat="1" ht="12.75" x14ac:dyDescent="0.2">
      <c r="R34105" s="1288"/>
    </row>
    <row r="34106" spans="18:18" s="2" customFormat="1" ht="12.75" x14ac:dyDescent="0.2">
      <c r="R34106" s="1288"/>
    </row>
    <row r="34107" spans="18:18" s="2" customFormat="1" ht="12.75" x14ac:dyDescent="0.2">
      <c r="R34107" s="1288"/>
    </row>
    <row r="34108" spans="18:18" s="2" customFormat="1" ht="12.75" x14ac:dyDescent="0.2">
      <c r="R34108" s="1288"/>
    </row>
    <row r="34109" spans="18:18" s="2" customFormat="1" ht="12.75" x14ac:dyDescent="0.2">
      <c r="R34109" s="1288"/>
    </row>
    <row r="34110" spans="18:18" s="2" customFormat="1" ht="12.75" x14ac:dyDescent="0.2">
      <c r="R34110" s="1288"/>
    </row>
    <row r="34111" spans="18:18" s="2" customFormat="1" ht="12.75" x14ac:dyDescent="0.2">
      <c r="R34111" s="1288"/>
    </row>
    <row r="34112" spans="18:18" s="2" customFormat="1" ht="12.75" x14ac:dyDescent="0.2">
      <c r="R34112" s="1288"/>
    </row>
    <row r="34113" spans="18:18" s="2" customFormat="1" ht="12.75" x14ac:dyDescent="0.2">
      <c r="R34113" s="1288"/>
    </row>
    <row r="34114" spans="18:18" s="2" customFormat="1" ht="12.75" x14ac:dyDescent="0.2">
      <c r="R34114" s="1288"/>
    </row>
    <row r="34115" spans="18:18" s="2" customFormat="1" ht="12.75" x14ac:dyDescent="0.2">
      <c r="R34115" s="1288"/>
    </row>
    <row r="34116" spans="18:18" s="2" customFormat="1" ht="12.75" x14ac:dyDescent="0.2">
      <c r="R34116" s="1288"/>
    </row>
    <row r="34117" spans="18:18" s="2" customFormat="1" ht="12.75" x14ac:dyDescent="0.2">
      <c r="R34117" s="1288"/>
    </row>
    <row r="34118" spans="18:18" s="2" customFormat="1" ht="12.75" x14ac:dyDescent="0.2">
      <c r="R34118" s="1288"/>
    </row>
    <row r="34119" spans="18:18" s="2" customFormat="1" ht="12.75" x14ac:dyDescent="0.2">
      <c r="R34119" s="1288"/>
    </row>
    <row r="34120" spans="18:18" s="2" customFormat="1" ht="12.75" x14ac:dyDescent="0.2">
      <c r="R34120" s="1288"/>
    </row>
    <row r="34121" spans="18:18" s="2" customFormat="1" ht="12.75" x14ac:dyDescent="0.2">
      <c r="R34121" s="1288"/>
    </row>
    <row r="34122" spans="18:18" s="2" customFormat="1" ht="12.75" x14ac:dyDescent="0.2">
      <c r="R34122" s="1288"/>
    </row>
    <row r="34123" spans="18:18" s="2" customFormat="1" ht="12.75" x14ac:dyDescent="0.2">
      <c r="R34123" s="1288"/>
    </row>
    <row r="34124" spans="18:18" s="2" customFormat="1" ht="12.75" x14ac:dyDescent="0.2">
      <c r="R34124" s="1288"/>
    </row>
    <row r="34125" spans="18:18" s="2" customFormat="1" ht="12.75" x14ac:dyDescent="0.2">
      <c r="R34125" s="1288"/>
    </row>
    <row r="34126" spans="18:18" s="2" customFormat="1" ht="12.75" x14ac:dyDescent="0.2">
      <c r="R34126" s="1288"/>
    </row>
    <row r="34127" spans="18:18" s="2" customFormat="1" ht="12.75" x14ac:dyDescent="0.2">
      <c r="R34127" s="1288"/>
    </row>
    <row r="34128" spans="18:18" s="2" customFormat="1" ht="12.75" x14ac:dyDescent="0.2">
      <c r="R34128" s="1288"/>
    </row>
    <row r="34129" spans="18:18" s="2" customFormat="1" ht="12.75" x14ac:dyDescent="0.2">
      <c r="R34129" s="1288"/>
    </row>
    <row r="34130" spans="18:18" s="2" customFormat="1" ht="12.75" x14ac:dyDescent="0.2">
      <c r="R34130" s="1288"/>
    </row>
    <row r="34131" spans="18:18" s="2" customFormat="1" ht="12.75" x14ac:dyDescent="0.2">
      <c r="R34131" s="1288"/>
    </row>
    <row r="34132" spans="18:18" s="2" customFormat="1" ht="12.75" x14ac:dyDescent="0.2">
      <c r="R34132" s="1288"/>
    </row>
    <row r="34133" spans="18:18" s="2" customFormat="1" ht="12.75" x14ac:dyDescent="0.2">
      <c r="R34133" s="1288"/>
    </row>
    <row r="34134" spans="18:18" s="2" customFormat="1" ht="12.75" x14ac:dyDescent="0.2">
      <c r="R34134" s="1288"/>
    </row>
    <row r="34135" spans="18:18" s="2" customFormat="1" ht="12.75" x14ac:dyDescent="0.2">
      <c r="R34135" s="1288"/>
    </row>
    <row r="34136" spans="18:18" s="2" customFormat="1" ht="12.75" x14ac:dyDescent="0.2">
      <c r="R34136" s="1288"/>
    </row>
    <row r="34137" spans="18:18" s="2" customFormat="1" ht="12.75" x14ac:dyDescent="0.2">
      <c r="R34137" s="1288"/>
    </row>
    <row r="34138" spans="18:18" s="2" customFormat="1" ht="12.75" x14ac:dyDescent="0.2">
      <c r="R34138" s="1288"/>
    </row>
    <row r="34139" spans="18:18" s="2" customFormat="1" ht="12.75" x14ac:dyDescent="0.2">
      <c r="R34139" s="1288"/>
    </row>
    <row r="34140" spans="18:18" s="2" customFormat="1" ht="12.75" x14ac:dyDescent="0.2">
      <c r="R34140" s="1288"/>
    </row>
    <row r="34141" spans="18:18" s="2" customFormat="1" ht="12.75" x14ac:dyDescent="0.2">
      <c r="R34141" s="1288"/>
    </row>
    <row r="34142" spans="18:18" s="2" customFormat="1" ht="12.75" x14ac:dyDescent="0.2">
      <c r="R34142" s="1288"/>
    </row>
    <row r="34143" spans="18:18" s="2" customFormat="1" ht="12.75" x14ac:dyDescent="0.2">
      <c r="R34143" s="1288"/>
    </row>
    <row r="34144" spans="18:18" s="2" customFormat="1" ht="12.75" x14ac:dyDescent="0.2">
      <c r="R34144" s="1288"/>
    </row>
    <row r="34145" spans="18:18" s="2" customFormat="1" ht="12.75" x14ac:dyDescent="0.2">
      <c r="R34145" s="1288"/>
    </row>
    <row r="34146" spans="18:18" s="2" customFormat="1" ht="12.75" x14ac:dyDescent="0.2">
      <c r="R34146" s="1288"/>
    </row>
    <row r="34147" spans="18:18" s="2" customFormat="1" ht="12.75" x14ac:dyDescent="0.2">
      <c r="R34147" s="1288"/>
    </row>
    <row r="34148" spans="18:18" s="2" customFormat="1" ht="12.75" x14ac:dyDescent="0.2">
      <c r="R34148" s="1288"/>
    </row>
    <row r="34149" spans="18:18" s="2" customFormat="1" ht="12.75" x14ac:dyDescent="0.2">
      <c r="R34149" s="1288"/>
    </row>
    <row r="34150" spans="18:18" s="2" customFormat="1" ht="12.75" x14ac:dyDescent="0.2">
      <c r="R34150" s="1288"/>
    </row>
    <row r="34151" spans="18:18" s="2" customFormat="1" ht="12.75" x14ac:dyDescent="0.2">
      <c r="R34151" s="1288"/>
    </row>
    <row r="34152" spans="18:18" s="2" customFormat="1" ht="12.75" x14ac:dyDescent="0.2">
      <c r="R34152" s="1288"/>
    </row>
    <row r="34153" spans="18:18" s="2" customFormat="1" ht="12.75" x14ac:dyDescent="0.2">
      <c r="R34153" s="1288"/>
    </row>
    <row r="34154" spans="18:18" s="2" customFormat="1" ht="12.75" x14ac:dyDescent="0.2">
      <c r="R34154" s="1288"/>
    </row>
    <row r="34155" spans="18:18" s="2" customFormat="1" ht="12.75" x14ac:dyDescent="0.2">
      <c r="R34155" s="1288"/>
    </row>
    <row r="34156" spans="18:18" s="2" customFormat="1" ht="12.75" x14ac:dyDescent="0.2">
      <c r="R34156" s="1288"/>
    </row>
    <row r="34157" spans="18:18" s="2" customFormat="1" ht="12.75" x14ac:dyDescent="0.2">
      <c r="R34157" s="1288"/>
    </row>
    <row r="34158" spans="18:18" s="2" customFormat="1" ht="12.75" x14ac:dyDescent="0.2">
      <c r="R34158" s="1288"/>
    </row>
    <row r="34159" spans="18:18" s="2" customFormat="1" ht="12.75" x14ac:dyDescent="0.2">
      <c r="R34159" s="1288"/>
    </row>
    <row r="34160" spans="18:18" s="2" customFormat="1" ht="12.75" x14ac:dyDescent="0.2">
      <c r="R34160" s="1288"/>
    </row>
    <row r="34161" spans="18:18" s="2" customFormat="1" ht="12.75" x14ac:dyDescent="0.2">
      <c r="R34161" s="1288"/>
    </row>
    <row r="34162" spans="18:18" s="2" customFormat="1" ht="12.75" x14ac:dyDescent="0.2">
      <c r="R34162" s="1288"/>
    </row>
    <row r="34163" spans="18:18" s="2" customFormat="1" ht="12.75" x14ac:dyDescent="0.2">
      <c r="R34163" s="1288"/>
    </row>
    <row r="34164" spans="18:18" s="2" customFormat="1" ht="12.75" x14ac:dyDescent="0.2">
      <c r="R34164" s="1288"/>
    </row>
    <row r="34165" spans="18:18" s="2" customFormat="1" ht="12.75" x14ac:dyDescent="0.2">
      <c r="R34165" s="1288"/>
    </row>
    <row r="34166" spans="18:18" s="2" customFormat="1" ht="12.75" x14ac:dyDescent="0.2">
      <c r="R34166" s="1288"/>
    </row>
    <row r="34167" spans="18:18" s="2" customFormat="1" ht="12.75" x14ac:dyDescent="0.2">
      <c r="R34167" s="1288"/>
    </row>
    <row r="34168" spans="18:18" s="2" customFormat="1" ht="12.75" x14ac:dyDescent="0.2">
      <c r="R34168" s="1288"/>
    </row>
    <row r="34169" spans="18:18" s="2" customFormat="1" ht="12.75" x14ac:dyDescent="0.2">
      <c r="R34169" s="1288"/>
    </row>
    <row r="34170" spans="18:18" s="2" customFormat="1" ht="12.75" x14ac:dyDescent="0.2">
      <c r="R34170" s="1288"/>
    </row>
    <row r="34171" spans="18:18" s="2" customFormat="1" ht="12.75" x14ac:dyDescent="0.2">
      <c r="R34171" s="1288"/>
    </row>
    <row r="34172" spans="18:18" s="2" customFormat="1" ht="12.75" x14ac:dyDescent="0.2">
      <c r="R34172" s="1288"/>
    </row>
    <row r="34173" spans="18:18" s="2" customFormat="1" ht="12.75" x14ac:dyDescent="0.2">
      <c r="R34173" s="1288"/>
    </row>
    <row r="34174" spans="18:18" s="2" customFormat="1" ht="12.75" x14ac:dyDescent="0.2">
      <c r="R34174" s="1288"/>
    </row>
    <row r="34175" spans="18:18" s="2" customFormat="1" ht="12.75" x14ac:dyDescent="0.2">
      <c r="R34175" s="1288"/>
    </row>
    <row r="34176" spans="18:18" s="2" customFormat="1" ht="12.75" x14ac:dyDescent="0.2">
      <c r="R34176" s="1288"/>
    </row>
    <row r="34177" spans="18:18" s="2" customFormat="1" ht="12.75" x14ac:dyDescent="0.2">
      <c r="R34177" s="1288"/>
    </row>
    <row r="34178" spans="18:18" s="2" customFormat="1" ht="12.75" x14ac:dyDescent="0.2">
      <c r="R34178" s="1288"/>
    </row>
    <row r="34179" spans="18:18" s="2" customFormat="1" ht="12.75" x14ac:dyDescent="0.2">
      <c r="R34179" s="1288"/>
    </row>
    <row r="34180" spans="18:18" s="2" customFormat="1" ht="12.75" x14ac:dyDescent="0.2">
      <c r="R34180" s="1288"/>
    </row>
    <row r="34181" spans="18:18" s="2" customFormat="1" ht="12.75" x14ac:dyDescent="0.2">
      <c r="R34181" s="1288"/>
    </row>
    <row r="34182" spans="18:18" s="2" customFormat="1" ht="12.75" x14ac:dyDescent="0.2">
      <c r="R34182" s="1288"/>
    </row>
    <row r="34183" spans="18:18" s="2" customFormat="1" ht="12.75" x14ac:dyDescent="0.2">
      <c r="R34183" s="1288"/>
    </row>
    <row r="34184" spans="18:18" s="2" customFormat="1" ht="12.75" x14ac:dyDescent="0.2">
      <c r="R34184" s="1288"/>
    </row>
    <row r="34185" spans="18:18" s="2" customFormat="1" ht="12.75" x14ac:dyDescent="0.2">
      <c r="R34185" s="1288"/>
    </row>
    <row r="34186" spans="18:18" s="2" customFormat="1" ht="12.75" x14ac:dyDescent="0.2">
      <c r="R34186" s="1288"/>
    </row>
    <row r="34187" spans="18:18" s="2" customFormat="1" ht="12.75" x14ac:dyDescent="0.2">
      <c r="R34187" s="1288"/>
    </row>
    <row r="34188" spans="18:18" s="2" customFormat="1" ht="12.75" x14ac:dyDescent="0.2">
      <c r="R34188" s="1288"/>
    </row>
    <row r="34189" spans="18:18" s="2" customFormat="1" ht="12.75" x14ac:dyDescent="0.2">
      <c r="R34189" s="1288"/>
    </row>
    <row r="34190" spans="18:18" s="2" customFormat="1" ht="12.75" x14ac:dyDescent="0.2">
      <c r="R34190" s="1288"/>
    </row>
    <row r="34191" spans="18:18" s="2" customFormat="1" ht="12.75" x14ac:dyDescent="0.2">
      <c r="R34191" s="1288"/>
    </row>
    <row r="34192" spans="18:18" s="2" customFormat="1" ht="12.75" x14ac:dyDescent="0.2">
      <c r="R34192" s="1288"/>
    </row>
    <row r="34193" spans="18:18" s="2" customFormat="1" ht="12.75" x14ac:dyDescent="0.2">
      <c r="R34193" s="1288"/>
    </row>
    <row r="34194" spans="18:18" s="2" customFormat="1" ht="12.75" x14ac:dyDescent="0.2">
      <c r="R34194" s="1288"/>
    </row>
    <row r="34195" spans="18:18" s="2" customFormat="1" ht="12.75" x14ac:dyDescent="0.2">
      <c r="R34195" s="1288"/>
    </row>
    <row r="34196" spans="18:18" s="2" customFormat="1" ht="12.75" x14ac:dyDescent="0.2">
      <c r="R34196" s="1288"/>
    </row>
    <row r="34197" spans="18:18" s="2" customFormat="1" ht="12.75" x14ac:dyDescent="0.2">
      <c r="R34197" s="1288"/>
    </row>
    <row r="34198" spans="18:18" s="2" customFormat="1" ht="12.75" x14ac:dyDescent="0.2">
      <c r="R34198" s="1288"/>
    </row>
    <row r="34199" spans="18:18" s="2" customFormat="1" ht="12.75" x14ac:dyDescent="0.2">
      <c r="R34199" s="1288"/>
    </row>
    <row r="34200" spans="18:18" s="2" customFormat="1" ht="12.75" x14ac:dyDescent="0.2">
      <c r="R34200" s="1288"/>
    </row>
    <row r="34201" spans="18:18" s="2" customFormat="1" ht="12.75" x14ac:dyDescent="0.2">
      <c r="R34201" s="1288"/>
    </row>
    <row r="34202" spans="18:18" s="2" customFormat="1" ht="12.75" x14ac:dyDescent="0.2">
      <c r="R34202" s="1288"/>
    </row>
    <row r="34203" spans="18:18" s="2" customFormat="1" ht="12.75" x14ac:dyDescent="0.2">
      <c r="R34203" s="1288"/>
    </row>
    <row r="34204" spans="18:18" s="2" customFormat="1" ht="12.75" x14ac:dyDescent="0.2">
      <c r="R34204" s="1288"/>
    </row>
    <row r="34205" spans="18:18" s="2" customFormat="1" ht="12.75" x14ac:dyDescent="0.2">
      <c r="R34205" s="1288"/>
    </row>
    <row r="34206" spans="18:18" s="2" customFormat="1" ht="12.75" x14ac:dyDescent="0.2">
      <c r="R34206" s="1288"/>
    </row>
    <row r="34207" spans="18:18" s="2" customFormat="1" ht="12.75" x14ac:dyDescent="0.2">
      <c r="R34207" s="1288"/>
    </row>
    <row r="34208" spans="18:18" s="2" customFormat="1" ht="12.75" x14ac:dyDescent="0.2">
      <c r="R34208" s="1288"/>
    </row>
    <row r="34209" spans="18:18" s="2" customFormat="1" ht="12.75" x14ac:dyDescent="0.2">
      <c r="R34209" s="1288"/>
    </row>
    <row r="34210" spans="18:18" s="2" customFormat="1" ht="12.75" x14ac:dyDescent="0.2">
      <c r="R34210" s="1288"/>
    </row>
    <row r="34211" spans="18:18" s="2" customFormat="1" ht="12.75" x14ac:dyDescent="0.2">
      <c r="R34211" s="1288"/>
    </row>
    <row r="34212" spans="18:18" s="2" customFormat="1" ht="12.75" x14ac:dyDescent="0.2">
      <c r="R34212" s="1288"/>
    </row>
    <row r="34213" spans="18:18" s="2" customFormat="1" ht="12.75" x14ac:dyDescent="0.2">
      <c r="R34213" s="1288"/>
    </row>
    <row r="34214" spans="18:18" s="2" customFormat="1" ht="12.75" x14ac:dyDescent="0.2">
      <c r="R34214" s="1288"/>
    </row>
    <row r="34215" spans="18:18" s="2" customFormat="1" ht="12.75" x14ac:dyDescent="0.2">
      <c r="R34215" s="1288"/>
    </row>
    <row r="34216" spans="18:18" s="2" customFormat="1" ht="12.75" x14ac:dyDescent="0.2">
      <c r="R34216" s="1288"/>
    </row>
    <row r="34217" spans="18:18" s="2" customFormat="1" ht="12.75" x14ac:dyDescent="0.2">
      <c r="R34217" s="1288"/>
    </row>
    <row r="34218" spans="18:18" s="2" customFormat="1" ht="12.75" x14ac:dyDescent="0.2">
      <c r="R34218" s="1288"/>
    </row>
    <row r="34219" spans="18:18" s="2" customFormat="1" ht="12.75" x14ac:dyDescent="0.2">
      <c r="R34219" s="1288"/>
    </row>
    <row r="34220" spans="18:18" s="2" customFormat="1" ht="12.75" x14ac:dyDescent="0.2">
      <c r="R34220" s="1288"/>
    </row>
    <row r="34221" spans="18:18" s="2" customFormat="1" ht="12.75" x14ac:dyDescent="0.2">
      <c r="R34221" s="1288"/>
    </row>
    <row r="34222" spans="18:18" s="2" customFormat="1" ht="12.75" x14ac:dyDescent="0.2">
      <c r="R34222" s="1288"/>
    </row>
    <row r="34223" spans="18:18" s="2" customFormat="1" ht="12.75" x14ac:dyDescent="0.2">
      <c r="R34223" s="1288"/>
    </row>
    <row r="34224" spans="18:18" s="2" customFormat="1" ht="12.75" x14ac:dyDescent="0.2">
      <c r="R34224" s="1288"/>
    </row>
    <row r="34225" spans="18:18" s="2" customFormat="1" ht="12.75" x14ac:dyDescent="0.2">
      <c r="R34225" s="1288"/>
    </row>
    <row r="34226" spans="18:18" s="2" customFormat="1" ht="12.75" x14ac:dyDescent="0.2">
      <c r="R34226" s="1288"/>
    </row>
    <row r="34227" spans="18:18" s="2" customFormat="1" ht="12.75" x14ac:dyDescent="0.2">
      <c r="R34227" s="1288"/>
    </row>
    <row r="34228" spans="18:18" s="2" customFormat="1" ht="12.75" x14ac:dyDescent="0.2">
      <c r="R34228" s="1288"/>
    </row>
    <row r="34229" spans="18:18" s="2" customFormat="1" ht="12.75" x14ac:dyDescent="0.2">
      <c r="R34229" s="1288"/>
    </row>
    <row r="34230" spans="18:18" s="2" customFormat="1" ht="12.75" x14ac:dyDescent="0.2">
      <c r="R34230" s="1288"/>
    </row>
    <row r="34231" spans="18:18" s="2" customFormat="1" ht="12.75" x14ac:dyDescent="0.2">
      <c r="R34231" s="1288"/>
    </row>
    <row r="34232" spans="18:18" s="2" customFormat="1" ht="12.75" x14ac:dyDescent="0.2">
      <c r="R34232" s="1288"/>
    </row>
    <row r="34233" spans="18:18" s="2" customFormat="1" ht="12.75" x14ac:dyDescent="0.2">
      <c r="R34233" s="1288"/>
    </row>
    <row r="34234" spans="18:18" s="2" customFormat="1" ht="12.75" x14ac:dyDescent="0.2">
      <c r="R34234" s="1288"/>
    </row>
    <row r="34235" spans="18:18" s="2" customFormat="1" ht="12.75" x14ac:dyDescent="0.2">
      <c r="R34235" s="1288"/>
    </row>
    <row r="34236" spans="18:18" s="2" customFormat="1" ht="12.75" x14ac:dyDescent="0.2">
      <c r="R34236" s="1288"/>
    </row>
    <row r="34237" spans="18:18" s="2" customFormat="1" ht="12.75" x14ac:dyDescent="0.2">
      <c r="R34237" s="1288"/>
    </row>
    <row r="34238" spans="18:18" s="2" customFormat="1" ht="12.75" x14ac:dyDescent="0.2">
      <c r="R34238" s="1288"/>
    </row>
    <row r="34239" spans="18:18" s="2" customFormat="1" ht="12.75" x14ac:dyDescent="0.2">
      <c r="R34239" s="1288"/>
    </row>
    <row r="34240" spans="18:18" s="2" customFormat="1" ht="12.75" x14ac:dyDescent="0.2">
      <c r="R34240" s="1288"/>
    </row>
    <row r="34241" spans="18:18" s="2" customFormat="1" ht="12.75" x14ac:dyDescent="0.2">
      <c r="R34241" s="1288"/>
    </row>
    <row r="34242" spans="18:18" s="2" customFormat="1" ht="12.75" x14ac:dyDescent="0.2">
      <c r="R34242" s="1288"/>
    </row>
    <row r="34243" spans="18:18" s="2" customFormat="1" ht="12.75" x14ac:dyDescent="0.2">
      <c r="R34243" s="1288"/>
    </row>
    <row r="34244" spans="18:18" s="2" customFormat="1" ht="12.75" x14ac:dyDescent="0.2">
      <c r="R34244" s="1288"/>
    </row>
    <row r="34245" spans="18:18" s="2" customFormat="1" ht="12.75" x14ac:dyDescent="0.2">
      <c r="R34245" s="1288"/>
    </row>
    <row r="34246" spans="18:18" s="2" customFormat="1" ht="12.75" x14ac:dyDescent="0.2">
      <c r="R34246" s="1288"/>
    </row>
    <row r="34247" spans="18:18" s="2" customFormat="1" ht="12.75" x14ac:dyDescent="0.2">
      <c r="R34247" s="1288"/>
    </row>
    <row r="34248" spans="18:18" s="2" customFormat="1" ht="12.75" x14ac:dyDescent="0.2">
      <c r="R34248" s="1288"/>
    </row>
    <row r="34249" spans="18:18" s="2" customFormat="1" ht="12.75" x14ac:dyDescent="0.2">
      <c r="R34249" s="1288"/>
    </row>
    <row r="34250" spans="18:18" s="2" customFormat="1" ht="12.75" x14ac:dyDescent="0.2">
      <c r="R34250" s="1288"/>
    </row>
    <row r="34251" spans="18:18" s="2" customFormat="1" ht="12.75" x14ac:dyDescent="0.2">
      <c r="R34251" s="1288"/>
    </row>
    <row r="34252" spans="18:18" s="2" customFormat="1" ht="12.75" x14ac:dyDescent="0.2">
      <c r="R34252" s="1288"/>
    </row>
    <row r="34253" spans="18:18" s="2" customFormat="1" ht="12.75" x14ac:dyDescent="0.2">
      <c r="R34253" s="1288"/>
    </row>
    <row r="34254" spans="18:18" s="2" customFormat="1" ht="12.75" x14ac:dyDescent="0.2">
      <c r="R34254" s="1288"/>
    </row>
    <row r="34255" spans="18:18" s="2" customFormat="1" ht="12.75" x14ac:dyDescent="0.2">
      <c r="R34255" s="1288"/>
    </row>
    <row r="34256" spans="18:18" s="2" customFormat="1" ht="12.75" x14ac:dyDescent="0.2">
      <c r="R34256" s="1288"/>
    </row>
    <row r="34257" spans="18:18" s="2" customFormat="1" ht="12.75" x14ac:dyDescent="0.2">
      <c r="R34257" s="1288"/>
    </row>
    <row r="34258" spans="18:18" s="2" customFormat="1" ht="12.75" x14ac:dyDescent="0.2">
      <c r="R34258" s="1288"/>
    </row>
    <row r="34259" spans="18:18" s="2" customFormat="1" ht="12.75" x14ac:dyDescent="0.2">
      <c r="R34259" s="1288"/>
    </row>
    <row r="34260" spans="18:18" s="2" customFormat="1" ht="12.75" x14ac:dyDescent="0.2">
      <c r="R34260" s="1288"/>
    </row>
    <row r="34261" spans="18:18" s="2" customFormat="1" ht="12.75" x14ac:dyDescent="0.2">
      <c r="R34261" s="1288"/>
    </row>
    <row r="34262" spans="18:18" s="2" customFormat="1" ht="12.75" x14ac:dyDescent="0.2">
      <c r="R34262" s="1288"/>
    </row>
    <row r="34263" spans="18:18" s="2" customFormat="1" ht="12.75" x14ac:dyDescent="0.2">
      <c r="R34263" s="1288"/>
    </row>
    <row r="34264" spans="18:18" s="2" customFormat="1" ht="12.75" x14ac:dyDescent="0.2">
      <c r="R34264" s="1288"/>
    </row>
    <row r="34265" spans="18:18" s="2" customFormat="1" ht="12.75" x14ac:dyDescent="0.2">
      <c r="R34265" s="1288"/>
    </row>
    <row r="34266" spans="18:18" s="2" customFormat="1" ht="12.75" x14ac:dyDescent="0.2">
      <c r="R34266" s="1288"/>
    </row>
    <row r="34267" spans="18:18" s="2" customFormat="1" ht="12.75" x14ac:dyDescent="0.2">
      <c r="R34267" s="1288"/>
    </row>
    <row r="34268" spans="18:18" s="2" customFormat="1" ht="12.75" x14ac:dyDescent="0.2">
      <c r="R34268" s="1288"/>
    </row>
    <row r="34269" spans="18:18" s="2" customFormat="1" ht="12.75" x14ac:dyDescent="0.2">
      <c r="R34269" s="1288"/>
    </row>
    <row r="34270" spans="18:18" s="2" customFormat="1" ht="12.75" x14ac:dyDescent="0.2">
      <c r="R34270" s="1288"/>
    </row>
    <row r="34271" spans="18:18" s="2" customFormat="1" ht="12.75" x14ac:dyDescent="0.2">
      <c r="R34271" s="1288"/>
    </row>
    <row r="34272" spans="18:18" s="2" customFormat="1" ht="12.75" x14ac:dyDescent="0.2">
      <c r="R34272" s="1288"/>
    </row>
    <row r="34273" spans="18:18" s="2" customFormat="1" ht="12.75" x14ac:dyDescent="0.2">
      <c r="R34273" s="1288"/>
    </row>
    <row r="34274" spans="18:18" s="2" customFormat="1" ht="12.75" x14ac:dyDescent="0.2">
      <c r="R34274" s="1288"/>
    </row>
    <row r="34275" spans="18:18" s="2" customFormat="1" ht="12.75" x14ac:dyDescent="0.2">
      <c r="R34275" s="1288"/>
    </row>
    <row r="34276" spans="18:18" s="2" customFormat="1" ht="12.75" x14ac:dyDescent="0.2">
      <c r="R34276" s="1288"/>
    </row>
    <row r="34277" spans="18:18" s="2" customFormat="1" ht="12.75" x14ac:dyDescent="0.2">
      <c r="R34277" s="1288"/>
    </row>
    <row r="34278" spans="18:18" s="2" customFormat="1" ht="12.75" x14ac:dyDescent="0.2">
      <c r="R34278" s="1288"/>
    </row>
    <row r="34279" spans="18:18" s="2" customFormat="1" ht="12.75" x14ac:dyDescent="0.2">
      <c r="R34279" s="1288"/>
    </row>
    <row r="34280" spans="18:18" s="2" customFormat="1" ht="12.75" x14ac:dyDescent="0.2">
      <c r="R34280" s="1288"/>
    </row>
    <row r="34281" spans="18:18" s="2" customFormat="1" ht="12.75" x14ac:dyDescent="0.2">
      <c r="R34281" s="1288"/>
    </row>
    <row r="34282" spans="18:18" s="2" customFormat="1" ht="12.75" x14ac:dyDescent="0.2">
      <c r="R34282" s="1288"/>
    </row>
    <row r="34283" spans="18:18" s="2" customFormat="1" ht="12.75" x14ac:dyDescent="0.2">
      <c r="R34283" s="1288"/>
    </row>
    <row r="34284" spans="18:18" s="2" customFormat="1" ht="12.75" x14ac:dyDescent="0.2">
      <c r="R34284" s="1288"/>
    </row>
    <row r="34285" spans="18:18" s="2" customFormat="1" ht="12.75" x14ac:dyDescent="0.2">
      <c r="R34285" s="1288"/>
    </row>
    <row r="34286" spans="18:18" s="2" customFormat="1" ht="12.75" x14ac:dyDescent="0.2">
      <c r="R34286" s="1288"/>
    </row>
    <row r="34287" spans="18:18" s="2" customFormat="1" ht="12.75" x14ac:dyDescent="0.2">
      <c r="R34287" s="1288"/>
    </row>
    <row r="34288" spans="18:18" s="2" customFormat="1" ht="12.75" x14ac:dyDescent="0.2">
      <c r="R34288" s="1288"/>
    </row>
    <row r="34289" spans="18:18" s="2" customFormat="1" ht="12.75" x14ac:dyDescent="0.2">
      <c r="R34289" s="1288"/>
    </row>
    <row r="34290" spans="18:18" s="2" customFormat="1" ht="12.75" x14ac:dyDescent="0.2">
      <c r="R34290" s="1288"/>
    </row>
    <row r="34291" spans="18:18" s="2" customFormat="1" ht="12.75" x14ac:dyDescent="0.2">
      <c r="R34291" s="1288"/>
    </row>
    <row r="34292" spans="18:18" s="2" customFormat="1" ht="12.75" x14ac:dyDescent="0.2">
      <c r="R34292" s="1288"/>
    </row>
    <row r="34293" spans="18:18" s="2" customFormat="1" ht="12.75" x14ac:dyDescent="0.2">
      <c r="R34293" s="1288"/>
    </row>
    <row r="34294" spans="18:18" s="2" customFormat="1" ht="12.75" x14ac:dyDescent="0.2">
      <c r="R34294" s="1288"/>
    </row>
    <row r="34295" spans="18:18" s="2" customFormat="1" ht="12.75" x14ac:dyDescent="0.2">
      <c r="R34295" s="1288"/>
    </row>
    <row r="34296" spans="18:18" s="2" customFormat="1" ht="12.75" x14ac:dyDescent="0.2">
      <c r="R34296" s="1288"/>
    </row>
    <row r="34297" spans="18:18" s="2" customFormat="1" ht="12.75" x14ac:dyDescent="0.2">
      <c r="R34297" s="1288"/>
    </row>
    <row r="34298" spans="18:18" s="2" customFormat="1" ht="12.75" x14ac:dyDescent="0.2">
      <c r="R34298" s="1288"/>
    </row>
    <row r="34299" spans="18:18" s="2" customFormat="1" ht="12.75" x14ac:dyDescent="0.2">
      <c r="R34299" s="1288"/>
    </row>
    <row r="34300" spans="18:18" s="2" customFormat="1" ht="12.75" x14ac:dyDescent="0.2">
      <c r="R34300" s="1288"/>
    </row>
    <row r="34301" spans="18:18" s="2" customFormat="1" ht="12.75" x14ac:dyDescent="0.2">
      <c r="R34301" s="1288"/>
    </row>
    <row r="34302" spans="18:18" s="2" customFormat="1" ht="12.75" x14ac:dyDescent="0.2">
      <c r="R34302" s="1288"/>
    </row>
    <row r="34303" spans="18:18" s="2" customFormat="1" ht="12.75" x14ac:dyDescent="0.2">
      <c r="R34303" s="1288"/>
    </row>
    <row r="34304" spans="18:18" s="2" customFormat="1" ht="12.75" x14ac:dyDescent="0.2">
      <c r="R34304" s="1288"/>
    </row>
    <row r="34305" spans="18:18" s="2" customFormat="1" ht="12.75" x14ac:dyDescent="0.2">
      <c r="R34305" s="1288"/>
    </row>
    <row r="34306" spans="18:18" s="2" customFormat="1" ht="12.75" x14ac:dyDescent="0.2">
      <c r="R34306" s="1288"/>
    </row>
    <row r="34307" spans="18:18" s="2" customFormat="1" ht="12.75" x14ac:dyDescent="0.2">
      <c r="R34307" s="1288"/>
    </row>
    <row r="34308" spans="18:18" s="2" customFormat="1" ht="12.75" x14ac:dyDescent="0.2">
      <c r="R34308" s="1288"/>
    </row>
    <row r="34309" spans="18:18" s="2" customFormat="1" ht="12.75" x14ac:dyDescent="0.2">
      <c r="R34309" s="1288"/>
    </row>
    <row r="34310" spans="18:18" s="2" customFormat="1" ht="12.75" x14ac:dyDescent="0.2">
      <c r="R34310" s="1288"/>
    </row>
    <row r="34311" spans="18:18" s="2" customFormat="1" ht="12.75" x14ac:dyDescent="0.2">
      <c r="R34311" s="1288"/>
    </row>
    <row r="34312" spans="18:18" s="2" customFormat="1" ht="12.75" x14ac:dyDescent="0.2">
      <c r="R34312" s="1288"/>
    </row>
    <row r="34313" spans="18:18" s="2" customFormat="1" ht="12.75" x14ac:dyDescent="0.2">
      <c r="R34313" s="1288"/>
    </row>
    <row r="34314" spans="18:18" s="2" customFormat="1" ht="12.75" x14ac:dyDescent="0.2">
      <c r="R34314" s="1288"/>
    </row>
    <row r="34315" spans="18:18" s="2" customFormat="1" ht="12.75" x14ac:dyDescent="0.2">
      <c r="R34315" s="1288"/>
    </row>
    <row r="34316" spans="18:18" s="2" customFormat="1" ht="12.75" x14ac:dyDescent="0.2">
      <c r="R34316" s="1288"/>
    </row>
    <row r="34317" spans="18:18" s="2" customFormat="1" ht="12.75" x14ac:dyDescent="0.2">
      <c r="R34317" s="1288"/>
    </row>
    <row r="34318" spans="18:18" s="2" customFormat="1" ht="12.75" x14ac:dyDescent="0.2">
      <c r="R34318" s="1288"/>
    </row>
    <row r="34319" spans="18:18" s="2" customFormat="1" ht="12.75" x14ac:dyDescent="0.2">
      <c r="R34319" s="1288"/>
    </row>
    <row r="34320" spans="18:18" s="2" customFormat="1" ht="12.75" x14ac:dyDescent="0.2">
      <c r="R34320" s="1288"/>
    </row>
    <row r="34321" spans="18:18" s="2" customFormat="1" ht="12.75" x14ac:dyDescent="0.2">
      <c r="R34321" s="1288"/>
    </row>
    <row r="34322" spans="18:18" s="2" customFormat="1" ht="12.75" x14ac:dyDescent="0.2">
      <c r="R34322" s="1288"/>
    </row>
    <row r="34323" spans="18:18" s="2" customFormat="1" ht="12.75" x14ac:dyDescent="0.2">
      <c r="R34323" s="1288"/>
    </row>
    <row r="34324" spans="18:18" s="2" customFormat="1" ht="12.75" x14ac:dyDescent="0.2">
      <c r="R34324" s="1288"/>
    </row>
    <row r="34325" spans="18:18" s="2" customFormat="1" ht="12.75" x14ac:dyDescent="0.2">
      <c r="R34325" s="1288"/>
    </row>
    <row r="34326" spans="18:18" s="2" customFormat="1" ht="12.75" x14ac:dyDescent="0.2">
      <c r="R34326" s="1288"/>
    </row>
    <row r="34327" spans="18:18" s="2" customFormat="1" ht="12.75" x14ac:dyDescent="0.2">
      <c r="R34327" s="1288"/>
    </row>
    <row r="34328" spans="18:18" s="2" customFormat="1" ht="12.75" x14ac:dyDescent="0.2">
      <c r="R34328" s="1288"/>
    </row>
    <row r="34329" spans="18:18" s="2" customFormat="1" ht="12.75" x14ac:dyDescent="0.2">
      <c r="R34329" s="1288"/>
    </row>
    <row r="34330" spans="18:18" s="2" customFormat="1" ht="12.75" x14ac:dyDescent="0.2">
      <c r="R34330" s="1288"/>
    </row>
    <row r="34331" spans="18:18" s="2" customFormat="1" ht="12.75" x14ac:dyDescent="0.2">
      <c r="R34331" s="1288"/>
    </row>
    <row r="34332" spans="18:18" s="2" customFormat="1" ht="12.75" x14ac:dyDescent="0.2">
      <c r="R34332" s="1288"/>
    </row>
    <row r="34333" spans="18:18" s="2" customFormat="1" ht="12.75" x14ac:dyDescent="0.2">
      <c r="R34333" s="1288"/>
    </row>
    <row r="34334" spans="18:18" s="2" customFormat="1" ht="12.75" x14ac:dyDescent="0.2">
      <c r="R34334" s="1288"/>
    </row>
    <row r="34335" spans="18:18" s="2" customFormat="1" ht="12.75" x14ac:dyDescent="0.2">
      <c r="R34335" s="1288"/>
    </row>
    <row r="34336" spans="18:18" s="2" customFormat="1" ht="12.75" x14ac:dyDescent="0.2">
      <c r="R34336" s="1288"/>
    </row>
    <row r="34337" spans="18:18" s="2" customFormat="1" ht="12.75" x14ac:dyDescent="0.2">
      <c r="R34337" s="1288"/>
    </row>
    <row r="34338" spans="18:18" s="2" customFormat="1" ht="12.75" x14ac:dyDescent="0.2">
      <c r="R34338" s="1288"/>
    </row>
    <row r="34339" spans="18:18" s="2" customFormat="1" ht="12.75" x14ac:dyDescent="0.2">
      <c r="R34339" s="1288"/>
    </row>
    <row r="34340" spans="18:18" s="2" customFormat="1" ht="12.75" x14ac:dyDescent="0.2">
      <c r="R34340" s="1288"/>
    </row>
    <row r="34341" spans="18:18" s="2" customFormat="1" ht="12.75" x14ac:dyDescent="0.2">
      <c r="R34341" s="1288"/>
    </row>
    <row r="34342" spans="18:18" s="2" customFormat="1" ht="12.75" x14ac:dyDescent="0.2">
      <c r="R34342" s="1288"/>
    </row>
    <row r="34343" spans="18:18" s="2" customFormat="1" ht="12.75" x14ac:dyDescent="0.2">
      <c r="R34343" s="1288"/>
    </row>
    <row r="34344" spans="18:18" s="2" customFormat="1" ht="12.75" x14ac:dyDescent="0.2">
      <c r="R34344" s="1288"/>
    </row>
    <row r="34345" spans="18:18" s="2" customFormat="1" ht="12.75" x14ac:dyDescent="0.2">
      <c r="R34345" s="1288"/>
    </row>
    <row r="34346" spans="18:18" s="2" customFormat="1" ht="12.75" x14ac:dyDescent="0.2">
      <c r="R34346" s="1288"/>
    </row>
    <row r="34347" spans="18:18" s="2" customFormat="1" ht="12.75" x14ac:dyDescent="0.2">
      <c r="R34347" s="1288"/>
    </row>
    <row r="34348" spans="18:18" s="2" customFormat="1" ht="12.75" x14ac:dyDescent="0.2">
      <c r="R34348" s="1288"/>
    </row>
    <row r="34349" spans="18:18" s="2" customFormat="1" ht="12.75" x14ac:dyDescent="0.2">
      <c r="R34349" s="1288"/>
    </row>
    <row r="34350" spans="18:18" s="2" customFormat="1" ht="12.75" x14ac:dyDescent="0.2">
      <c r="R34350" s="1288"/>
    </row>
    <row r="34351" spans="18:18" s="2" customFormat="1" ht="12.75" x14ac:dyDescent="0.2">
      <c r="R34351" s="1288"/>
    </row>
    <row r="34352" spans="18:18" s="2" customFormat="1" ht="12.75" x14ac:dyDescent="0.2">
      <c r="R34352" s="1288"/>
    </row>
    <row r="34353" spans="18:18" s="2" customFormat="1" ht="12.75" x14ac:dyDescent="0.2">
      <c r="R34353" s="1288"/>
    </row>
    <row r="34354" spans="18:18" s="2" customFormat="1" ht="12.75" x14ac:dyDescent="0.2">
      <c r="R34354" s="1288"/>
    </row>
    <row r="34355" spans="18:18" s="2" customFormat="1" ht="12.75" x14ac:dyDescent="0.2">
      <c r="R34355" s="1288"/>
    </row>
    <row r="34356" spans="18:18" s="2" customFormat="1" ht="12.75" x14ac:dyDescent="0.2">
      <c r="R34356" s="1288"/>
    </row>
    <row r="34357" spans="18:18" s="2" customFormat="1" ht="12.75" x14ac:dyDescent="0.2">
      <c r="R34357" s="1288"/>
    </row>
    <row r="34358" spans="18:18" s="2" customFormat="1" ht="12.75" x14ac:dyDescent="0.2">
      <c r="R34358" s="1288"/>
    </row>
    <row r="34359" spans="18:18" s="2" customFormat="1" ht="12.75" x14ac:dyDescent="0.2">
      <c r="R34359" s="1288"/>
    </row>
    <row r="34360" spans="18:18" s="2" customFormat="1" ht="12.75" x14ac:dyDescent="0.2">
      <c r="R34360" s="1288"/>
    </row>
    <row r="34361" spans="18:18" s="2" customFormat="1" ht="12.75" x14ac:dyDescent="0.2">
      <c r="R34361" s="1288"/>
    </row>
    <row r="34362" spans="18:18" s="2" customFormat="1" ht="12.75" x14ac:dyDescent="0.2">
      <c r="R34362" s="1288"/>
    </row>
    <row r="34363" spans="18:18" s="2" customFormat="1" ht="12.75" x14ac:dyDescent="0.2">
      <c r="R34363" s="1288"/>
    </row>
    <row r="34364" spans="18:18" s="2" customFormat="1" ht="12.75" x14ac:dyDescent="0.2">
      <c r="R34364" s="1288"/>
    </row>
    <row r="34365" spans="18:18" s="2" customFormat="1" ht="12.75" x14ac:dyDescent="0.2">
      <c r="R34365" s="1288"/>
    </row>
    <row r="34366" spans="18:18" s="2" customFormat="1" ht="12.75" x14ac:dyDescent="0.2">
      <c r="R34366" s="1288"/>
    </row>
    <row r="34367" spans="18:18" s="2" customFormat="1" ht="12.75" x14ac:dyDescent="0.2">
      <c r="R34367" s="1288"/>
    </row>
    <row r="34368" spans="18:18" s="2" customFormat="1" ht="12.75" x14ac:dyDescent="0.2">
      <c r="R34368" s="1288"/>
    </row>
    <row r="34369" spans="18:18" s="2" customFormat="1" ht="12.75" x14ac:dyDescent="0.2">
      <c r="R34369" s="1288"/>
    </row>
    <row r="34370" spans="18:18" s="2" customFormat="1" ht="12.75" x14ac:dyDescent="0.2">
      <c r="R34370" s="1288"/>
    </row>
    <row r="34371" spans="18:18" s="2" customFormat="1" ht="12.75" x14ac:dyDescent="0.2">
      <c r="R34371" s="1288"/>
    </row>
    <row r="34372" spans="18:18" s="2" customFormat="1" ht="12.75" x14ac:dyDescent="0.2">
      <c r="R34372" s="1288"/>
    </row>
    <row r="34373" spans="18:18" s="2" customFormat="1" ht="12.75" x14ac:dyDescent="0.2">
      <c r="R34373" s="1288"/>
    </row>
    <row r="34374" spans="18:18" s="2" customFormat="1" ht="12.75" x14ac:dyDescent="0.2">
      <c r="R34374" s="1288"/>
    </row>
    <row r="34375" spans="18:18" s="2" customFormat="1" ht="12.75" x14ac:dyDescent="0.2">
      <c r="R34375" s="1288"/>
    </row>
    <row r="34376" spans="18:18" s="2" customFormat="1" ht="12.75" x14ac:dyDescent="0.2">
      <c r="R34376" s="1288"/>
    </row>
    <row r="34377" spans="18:18" s="2" customFormat="1" ht="12.75" x14ac:dyDescent="0.2">
      <c r="R34377" s="1288"/>
    </row>
    <row r="34378" spans="18:18" s="2" customFormat="1" ht="12.75" x14ac:dyDescent="0.2">
      <c r="R34378" s="1288"/>
    </row>
    <row r="34379" spans="18:18" s="2" customFormat="1" ht="12.75" x14ac:dyDescent="0.2">
      <c r="R34379" s="1288"/>
    </row>
    <row r="34380" spans="18:18" s="2" customFormat="1" ht="12.75" x14ac:dyDescent="0.2">
      <c r="R34380" s="1288"/>
    </row>
    <row r="34381" spans="18:18" s="2" customFormat="1" ht="12.75" x14ac:dyDescent="0.2">
      <c r="R34381" s="1288"/>
    </row>
    <row r="34382" spans="18:18" s="2" customFormat="1" ht="12.75" x14ac:dyDescent="0.2">
      <c r="R34382" s="1288"/>
    </row>
    <row r="34383" spans="18:18" s="2" customFormat="1" ht="12.75" x14ac:dyDescent="0.2">
      <c r="R34383" s="1288"/>
    </row>
    <row r="34384" spans="18:18" s="2" customFormat="1" ht="12.75" x14ac:dyDescent="0.2">
      <c r="R34384" s="1288"/>
    </row>
    <row r="34385" spans="18:18" s="2" customFormat="1" ht="12.75" x14ac:dyDescent="0.2">
      <c r="R34385" s="1288"/>
    </row>
    <row r="34386" spans="18:18" s="2" customFormat="1" ht="12.75" x14ac:dyDescent="0.2">
      <c r="R34386" s="1288"/>
    </row>
    <row r="34387" spans="18:18" s="2" customFormat="1" ht="12.75" x14ac:dyDescent="0.2">
      <c r="R34387" s="1288"/>
    </row>
    <row r="34388" spans="18:18" s="2" customFormat="1" ht="12.75" x14ac:dyDescent="0.2">
      <c r="R34388" s="1288"/>
    </row>
    <row r="34389" spans="18:18" s="2" customFormat="1" ht="12.75" x14ac:dyDescent="0.2">
      <c r="R34389" s="1288"/>
    </row>
    <row r="34390" spans="18:18" s="2" customFormat="1" ht="12.75" x14ac:dyDescent="0.2">
      <c r="R34390" s="1288"/>
    </row>
    <row r="34391" spans="18:18" s="2" customFormat="1" ht="12.75" x14ac:dyDescent="0.2">
      <c r="R34391" s="1288"/>
    </row>
    <row r="34392" spans="18:18" s="2" customFormat="1" ht="12.75" x14ac:dyDescent="0.2">
      <c r="R34392" s="1288"/>
    </row>
    <row r="34393" spans="18:18" s="2" customFormat="1" ht="12.75" x14ac:dyDescent="0.2">
      <c r="R34393" s="1288"/>
    </row>
    <row r="34394" spans="18:18" s="2" customFormat="1" ht="12.75" x14ac:dyDescent="0.2">
      <c r="R34394" s="1288"/>
    </row>
    <row r="34395" spans="18:18" s="2" customFormat="1" ht="12.75" x14ac:dyDescent="0.2">
      <c r="R34395" s="1288"/>
    </row>
    <row r="34396" spans="18:18" s="2" customFormat="1" ht="12.75" x14ac:dyDescent="0.2">
      <c r="R34396" s="1288"/>
    </row>
    <row r="34397" spans="18:18" s="2" customFormat="1" ht="12.75" x14ac:dyDescent="0.2">
      <c r="R34397" s="1288"/>
    </row>
    <row r="34398" spans="18:18" s="2" customFormat="1" ht="12.75" x14ac:dyDescent="0.2">
      <c r="R34398" s="1288"/>
    </row>
    <row r="34399" spans="18:18" s="2" customFormat="1" ht="12.75" x14ac:dyDescent="0.2">
      <c r="R34399" s="1288"/>
    </row>
    <row r="34400" spans="18:18" s="2" customFormat="1" ht="12.75" x14ac:dyDescent="0.2">
      <c r="R34400" s="1288"/>
    </row>
    <row r="34401" spans="18:18" s="2" customFormat="1" ht="12.75" x14ac:dyDescent="0.2">
      <c r="R34401" s="1288"/>
    </row>
    <row r="34402" spans="18:18" s="2" customFormat="1" ht="12.75" x14ac:dyDescent="0.2">
      <c r="R34402" s="1288"/>
    </row>
    <row r="34403" spans="18:18" s="2" customFormat="1" ht="12.75" x14ac:dyDescent="0.2">
      <c r="R34403" s="1288"/>
    </row>
    <row r="34404" spans="18:18" s="2" customFormat="1" ht="12.75" x14ac:dyDescent="0.2">
      <c r="R34404" s="1288"/>
    </row>
    <row r="34405" spans="18:18" s="2" customFormat="1" ht="12.75" x14ac:dyDescent="0.2">
      <c r="R34405" s="1288"/>
    </row>
    <row r="34406" spans="18:18" s="2" customFormat="1" ht="12.75" x14ac:dyDescent="0.2">
      <c r="R34406" s="1288"/>
    </row>
    <row r="34407" spans="18:18" s="2" customFormat="1" ht="12.75" x14ac:dyDescent="0.2">
      <c r="R34407" s="1288"/>
    </row>
    <row r="34408" spans="18:18" s="2" customFormat="1" ht="12.75" x14ac:dyDescent="0.2">
      <c r="R34408" s="1288"/>
    </row>
    <row r="34409" spans="18:18" s="2" customFormat="1" ht="12.75" x14ac:dyDescent="0.2">
      <c r="R34409" s="1288"/>
    </row>
    <row r="34410" spans="18:18" s="2" customFormat="1" ht="12.75" x14ac:dyDescent="0.2">
      <c r="R34410" s="1288"/>
    </row>
    <row r="34411" spans="18:18" s="2" customFormat="1" ht="12.75" x14ac:dyDescent="0.2">
      <c r="R34411" s="1288"/>
    </row>
    <row r="34412" spans="18:18" s="2" customFormat="1" ht="12.75" x14ac:dyDescent="0.2">
      <c r="R34412" s="1288"/>
    </row>
    <row r="34413" spans="18:18" s="2" customFormat="1" ht="12.75" x14ac:dyDescent="0.2">
      <c r="R34413" s="1288"/>
    </row>
    <row r="34414" spans="18:18" s="2" customFormat="1" ht="12.75" x14ac:dyDescent="0.2">
      <c r="R34414" s="1288"/>
    </row>
    <row r="34415" spans="18:18" s="2" customFormat="1" ht="12.75" x14ac:dyDescent="0.2">
      <c r="R34415" s="1288"/>
    </row>
    <row r="34416" spans="18:18" s="2" customFormat="1" ht="12.75" x14ac:dyDescent="0.2">
      <c r="R34416" s="1288"/>
    </row>
    <row r="34417" spans="18:18" s="2" customFormat="1" ht="12.75" x14ac:dyDescent="0.2">
      <c r="R34417" s="1288"/>
    </row>
    <row r="34418" spans="18:18" s="2" customFormat="1" ht="12.75" x14ac:dyDescent="0.2">
      <c r="R34418" s="1288"/>
    </row>
    <row r="34419" spans="18:18" s="2" customFormat="1" ht="12.75" x14ac:dyDescent="0.2">
      <c r="R34419" s="1288"/>
    </row>
    <row r="34420" spans="18:18" s="2" customFormat="1" ht="12.75" x14ac:dyDescent="0.2">
      <c r="R34420" s="1288"/>
    </row>
    <row r="34421" spans="18:18" s="2" customFormat="1" ht="12.75" x14ac:dyDescent="0.2">
      <c r="R34421" s="1288"/>
    </row>
    <row r="34422" spans="18:18" s="2" customFormat="1" ht="12.75" x14ac:dyDescent="0.2">
      <c r="R34422" s="1288"/>
    </row>
    <row r="34423" spans="18:18" s="2" customFormat="1" ht="12.75" x14ac:dyDescent="0.2">
      <c r="R34423" s="1288"/>
    </row>
    <row r="34424" spans="18:18" s="2" customFormat="1" ht="12.75" x14ac:dyDescent="0.2">
      <c r="R34424" s="1288"/>
    </row>
    <row r="34425" spans="18:18" s="2" customFormat="1" ht="12.75" x14ac:dyDescent="0.2">
      <c r="R34425" s="1288"/>
    </row>
    <row r="34426" spans="18:18" s="2" customFormat="1" ht="12.75" x14ac:dyDescent="0.2">
      <c r="R34426" s="1288"/>
    </row>
    <row r="34427" spans="18:18" s="2" customFormat="1" ht="12.75" x14ac:dyDescent="0.2">
      <c r="R34427" s="1288"/>
    </row>
    <row r="34428" spans="18:18" s="2" customFormat="1" ht="12.75" x14ac:dyDescent="0.2">
      <c r="R34428" s="1288"/>
    </row>
    <row r="34429" spans="18:18" s="2" customFormat="1" ht="12.75" x14ac:dyDescent="0.2">
      <c r="R34429" s="1288"/>
    </row>
    <row r="34430" spans="18:18" s="2" customFormat="1" ht="12.75" x14ac:dyDescent="0.2">
      <c r="R34430" s="1288"/>
    </row>
    <row r="34431" spans="18:18" s="2" customFormat="1" ht="12.75" x14ac:dyDescent="0.2">
      <c r="R34431" s="1288"/>
    </row>
    <row r="34432" spans="18:18" s="2" customFormat="1" ht="12.75" x14ac:dyDescent="0.2">
      <c r="R34432" s="1288"/>
    </row>
    <row r="34433" spans="18:18" s="2" customFormat="1" ht="12.75" x14ac:dyDescent="0.2">
      <c r="R34433" s="1288"/>
    </row>
    <row r="34434" spans="18:18" s="2" customFormat="1" ht="12.75" x14ac:dyDescent="0.2">
      <c r="R34434" s="1288"/>
    </row>
    <row r="34435" spans="18:18" s="2" customFormat="1" ht="12.75" x14ac:dyDescent="0.2">
      <c r="R34435" s="1288"/>
    </row>
    <row r="34436" spans="18:18" s="2" customFormat="1" ht="12.75" x14ac:dyDescent="0.2">
      <c r="R34436" s="1288"/>
    </row>
    <row r="34437" spans="18:18" s="2" customFormat="1" ht="12.75" x14ac:dyDescent="0.2">
      <c r="R34437" s="1288"/>
    </row>
    <row r="34438" spans="18:18" s="2" customFormat="1" ht="12.75" x14ac:dyDescent="0.2">
      <c r="R34438" s="1288"/>
    </row>
    <row r="34439" spans="18:18" s="2" customFormat="1" ht="12.75" x14ac:dyDescent="0.2">
      <c r="R34439" s="1288"/>
    </row>
    <row r="34440" spans="18:18" s="2" customFormat="1" ht="12.75" x14ac:dyDescent="0.2">
      <c r="R34440" s="1288"/>
    </row>
    <row r="34441" spans="18:18" s="2" customFormat="1" ht="12.75" x14ac:dyDescent="0.2">
      <c r="R34441" s="1288"/>
    </row>
    <row r="34442" spans="18:18" s="2" customFormat="1" ht="12.75" x14ac:dyDescent="0.2">
      <c r="R34442" s="1288"/>
    </row>
    <row r="34443" spans="18:18" s="2" customFormat="1" ht="12.75" x14ac:dyDescent="0.2">
      <c r="R34443" s="1288"/>
    </row>
    <row r="34444" spans="18:18" s="2" customFormat="1" ht="12.75" x14ac:dyDescent="0.2">
      <c r="R34444" s="1288"/>
    </row>
    <row r="34445" spans="18:18" s="2" customFormat="1" ht="12.75" x14ac:dyDescent="0.2">
      <c r="R34445" s="1288"/>
    </row>
    <row r="34446" spans="18:18" s="2" customFormat="1" ht="12.75" x14ac:dyDescent="0.2">
      <c r="R34446" s="1288"/>
    </row>
    <row r="34447" spans="18:18" s="2" customFormat="1" ht="12.75" x14ac:dyDescent="0.2">
      <c r="R34447" s="1288"/>
    </row>
    <row r="34448" spans="18:18" s="2" customFormat="1" ht="12.75" x14ac:dyDescent="0.2">
      <c r="R34448" s="1288"/>
    </row>
    <row r="34449" spans="18:18" s="2" customFormat="1" ht="12.75" x14ac:dyDescent="0.2">
      <c r="R34449" s="1288"/>
    </row>
    <row r="34450" spans="18:18" s="2" customFormat="1" ht="12.75" x14ac:dyDescent="0.2">
      <c r="R34450" s="1288"/>
    </row>
    <row r="34451" spans="18:18" s="2" customFormat="1" ht="12.75" x14ac:dyDescent="0.2">
      <c r="R34451" s="1288"/>
    </row>
    <row r="34452" spans="18:18" s="2" customFormat="1" ht="12.75" x14ac:dyDescent="0.2">
      <c r="R34452" s="1288"/>
    </row>
    <row r="34453" spans="18:18" s="2" customFormat="1" ht="12.75" x14ac:dyDescent="0.2">
      <c r="R34453" s="1288"/>
    </row>
    <row r="34454" spans="18:18" s="2" customFormat="1" ht="12.75" x14ac:dyDescent="0.2">
      <c r="R34454" s="1288"/>
    </row>
    <row r="34455" spans="18:18" s="2" customFormat="1" ht="12.75" x14ac:dyDescent="0.2">
      <c r="R34455" s="1288"/>
    </row>
    <row r="34456" spans="18:18" s="2" customFormat="1" ht="12.75" x14ac:dyDescent="0.2">
      <c r="R34456" s="1288"/>
    </row>
    <row r="34457" spans="18:18" s="2" customFormat="1" ht="12.75" x14ac:dyDescent="0.2">
      <c r="R34457" s="1288"/>
    </row>
    <row r="34458" spans="18:18" s="2" customFormat="1" ht="12.75" x14ac:dyDescent="0.2">
      <c r="R34458" s="1288"/>
    </row>
    <row r="34459" spans="18:18" s="2" customFormat="1" ht="12.75" x14ac:dyDescent="0.2">
      <c r="R34459" s="1288"/>
    </row>
    <row r="34460" spans="18:18" s="2" customFormat="1" ht="12.75" x14ac:dyDescent="0.2">
      <c r="R34460" s="1288"/>
    </row>
    <row r="34461" spans="18:18" s="2" customFormat="1" ht="12.75" x14ac:dyDescent="0.2">
      <c r="R34461" s="1288"/>
    </row>
    <row r="34462" spans="18:18" s="2" customFormat="1" ht="12.75" x14ac:dyDescent="0.2">
      <c r="R34462" s="1288"/>
    </row>
    <row r="34463" spans="18:18" s="2" customFormat="1" ht="12.75" x14ac:dyDescent="0.2">
      <c r="R34463" s="1288"/>
    </row>
    <row r="34464" spans="18:18" s="2" customFormat="1" ht="12.75" x14ac:dyDescent="0.2">
      <c r="R34464" s="1288"/>
    </row>
    <row r="34465" spans="18:18" s="2" customFormat="1" ht="12.75" x14ac:dyDescent="0.2">
      <c r="R34465" s="1288"/>
    </row>
    <row r="34466" spans="18:18" s="2" customFormat="1" ht="12.75" x14ac:dyDescent="0.2">
      <c r="R34466" s="1288"/>
    </row>
    <row r="34467" spans="18:18" s="2" customFormat="1" ht="12.75" x14ac:dyDescent="0.2">
      <c r="R34467" s="1288"/>
    </row>
    <row r="34468" spans="18:18" s="2" customFormat="1" ht="12.75" x14ac:dyDescent="0.2">
      <c r="R34468" s="1288"/>
    </row>
    <row r="34469" spans="18:18" s="2" customFormat="1" ht="12.75" x14ac:dyDescent="0.2">
      <c r="R34469" s="1288"/>
    </row>
    <row r="34470" spans="18:18" s="2" customFormat="1" ht="12.75" x14ac:dyDescent="0.2">
      <c r="R34470" s="1288"/>
    </row>
    <row r="34471" spans="18:18" s="2" customFormat="1" ht="12.75" x14ac:dyDescent="0.2">
      <c r="R34471" s="1288"/>
    </row>
    <row r="34472" spans="18:18" s="2" customFormat="1" ht="12.75" x14ac:dyDescent="0.2">
      <c r="R34472" s="1288"/>
    </row>
    <row r="34473" spans="18:18" s="2" customFormat="1" ht="12.75" x14ac:dyDescent="0.2">
      <c r="R34473" s="1288"/>
    </row>
    <row r="34474" spans="18:18" s="2" customFormat="1" ht="12.75" x14ac:dyDescent="0.2">
      <c r="R34474" s="1288"/>
    </row>
    <row r="34475" spans="18:18" s="2" customFormat="1" ht="12.75" x14ac:dyDescent="0.2">
      <c r="R34475" s="1288"/>
    </row>
    <row r="34476" spans="18:18" s="2" customFormat="1" ht="12.75" x14ac:dyDescent="0.2">
      <c r="R34476" s="1288"/>
    </row>
    <row r="34477" spans="18:18" s="2" customFormat="1" ht="12.75" x14ac:dyDescent="0.2">
      <c r="R34477" s="1288"/>
    </row>
    <row r="34478" spans="18:18" s="2" customFormat="1" ht="12.75" x14ac:dyDescent="0.2">
      <c r="R34478" s="1288"/>
    </row>
    <row r="34479" spans="18:18" s="2" customFormat="1" ht="12.75" x14ac:dyDescent="0.2">
      <c r="R34479" s="1288"/>
    </row>
    <row r="34480" spans="18:18" s="2" customFormat="1" ht="12.75" x14ac:dyDescent="0.2">
      <c r="R34480" s="1288"/>
    </row>
    <row r="34481" spans="18:18" s="2" customFormat="1" ht="12.75" x14ac:dyDescent="0.2">
      <c r="R34481" s="1288"/>
    </row>
    <row r="34482" spans="18:18" s="2" customFormat="1" ht="12.75" x14ac:dyDescent="0.2">
      <c r="R34482" s="1288"/>
    </row>
    <row r="34483" spans="18:18" s="2" customFormat="1" ht="12.75" x14ac:dyDescent="0.2">
      <c r="R34483" s="1288"/>
    </row>
    <row r="34484" spans="18:18" s="2" customFormat="1" ht="12.75" x14ac:dyDescent="0.2">
      <c r="R34484" s="1288"/>
    </row>
    <row r="34485" spans="18:18" s="2" customFormat="1" ht="12.75" x14ac:dyDescent="0.2">
      <c r="R34485" s="1288"/>
    </row>
    <row r="34486" spans="18:18" s="2" customFormat="1" ht="12.75" x14ac:dyDescent="0.2">
      <c r="R34486" s="1288"/>
    </row>
    <row r="34487" spans="18:18" s="2" customFormat="1" ht="12.75" x14ac:dyDescent="0.2">
      <c r="R34487" s="1288"/>
    </row>
    <row r="34488" spans="18:18" s="2" customFormat="1" ht="12.75" x14ac:dyDescent="0.2">
      <c r="R34488" s="1288"/>
    </row>
    <row r="34489" spans="18:18" s="2" customFormat="1" ht="12.75" x14ac:dyDescent="0.2">
      <c r="R34489" s="1288"/>
    </row>
    <row r="34490" spans="18:18" s="2" customFormat="1" ht="12.75" x14ac:dyDescent="0.2">
      <c r="R34490" s="1288"/>
    </row>
    <row r="34491" spans="18:18" s="2" customFormat="1" ht="12.75" x14ac:dyDescent="0.2">
      <c r="R34491" s="1288"/>
    </row>
    <row r="34492" spans="18:18" s="2" customFormat="1" ht="12.75" x14ac:dyDescent="0.2">
      <c r="R34492" s="1288"/>
    </row>
    <row r="34493" spans="18:18" s="2" customFormat="1" ht="12.75" x14ac:dyDescent="0.2">
      <c r="R34493" s="1288"/>
    </row>
    <row r="34494" spans="18:18" s="2" customFormat="1" ht="12.75" x14ac:dyDescent="0.2">
      <c r="R34494" s="1288"/>
    </row>
    <row r="34495" spans="18:18" s="2" customFormat="1" ht="12.75" x14ac:dyDescent="0.2">
      <c r="R34495" s="1288"/>
    </row>
    <row r="34496" spans="18:18" s="2" customFormat="1" ht="12.75" x14ac:dyDescent="0.2">
      <c r="R34496" s="1288"/>
    </row>
    <row r="34497" spans="18:18" s="2" customFormat="1" ht="12.75" x14ac:dyDescent="0.2">
      <c r="R34497" s="1288"/>
    </row>
    <row r="34498" spans="18:18" s="2" customFormat="1" ht="12.75" x14ac:dyDescent="0.2">
      <c r="R34498" s="1288"/>
    </row>
    <row r="34499" spans="18:18" s="2" customFormat="1" ht="12.75" x14ac:dyDescent="0.2">
      <c r="R34499" s="1288"/>
    </row>
    <row r="34500" spans="18:18" s="2" customFormat="1" ht="12.75" x14ac:dyDescent="0.2">
      <c r="R34500" s="1288"/>
    </row>
    <row r="34501" spans="18:18" s="2" customFormat="1" ht="12.75" x14ac:dyDescent="0.2">
      <c r="R34501" s="1288"/>
    </row>
    <row r="34502" spans="18:18" s="2" customFormat="1" ht="12.75" x14ac:dyDescent="0.2">
      <c r="R34502" s="1288"/>
    </row>
    <row r="34503" spans="18:18" s="2" customFormat="1" ht="12.75" x14ac:dyDescent="0.2">
      <c r="R34503" s="1288"/>
    </row>
    <row r="34504" spans="18:18" s="2" customFormat="1" ht="12.75" x14ac:dyDescent="0.2">
      <c r="R34504" s="1288"/>
    </row>
    <row r="34505" spans="18:18" s="2" customFormat="1" ht="12.75" x14ac:dyDescent="0.2">
      <c r="R34505" s="1288"/>
    </row>
    <row r="34506" spans="18:18" s="2" customFormat="1" ht="12.75" x14ac:dyDescent="0.2">
      <c r="R34506" s="1288"/>
    </row>
    <row r="34507" spans="18:18" s="2" customFormat="1" ht="12.75" x14ac:dyDescent="0.2">
      <c r="R34507" s="1288"/>
    </row>
    <row r="34508" spans="18:18" s="2" customFormat="1" ht="12.75" x14ac:dyDescent="0.2">
      <c r="R34508" s="1288"/>
    </row>
    <row r="34509" spans="18:18" s="2" customFormat="1" ht="12.75" x14ac:dyDescent="0.2">
      <c r="R34509" s="1288"/>
    </row>
    <row r="34510" spans="18:18" s="2" customFormat="1" ht="12.75" x14ac:dyDescent="0.2">
      <c r="R34510" s="1288"/>
    </row>
    <row r="34511" spans="18:18" s="2" customFormat="1" ht="12.75" x14ac:dyDescent="0.2">
      <c r="R34511" s="1288"/>
    </row>
    <row r="34512" spans="18:18" s="2" customFormat="1" ht="12.75" x14ac:dyDescent="0.2">
      <c r="R34512" s="1288"/>
    </row>
    <row r="34513" spans="18:18" s="2" customFormat="1" ht="12.75" x14ac:dyDescent="0.2">
      <c r="R34513" s="1288"/>
    </row>
    <row r="34514" spans="18:18" s="2" customFormat="1" ht="12.75" x14ac:dyDescent="0.2">
      <c r="R34514" s="1288"/>
    </row>
    <row r="34515" spans="18:18" s="2" customFormat="1" ht="12.75" x14ac:dyDescent="0.2">
      <c r="R34515" s="1288"/>
    </row>
    <row r="34516" spans="18:18" s="2" customFormat="1" ht="12.75" x14ac:dyDescent="0.2">
      <c r="R34516" s="1288"/>
    </row>
    <row r="34517" spans="18:18" s="2" customFormat="1" ht="12.75" x14ac:dyDescent="0.2">
      <c r="R34517" s="1288"/>
    </row>
    <row r="34518" spans="18:18" s="2" customFormat="1" ht="12.75" x14ac:dyDescent="0.2">
      <c r="R34518" s="1288"/>
    </row>
    <row r="34519" spans="18:18" s="2" customFormat="1" ht="12.75" x14ac:dyDescent="0.2">
      <c r="R34519" s="1288"/>
    </row>
    <row r="34520" spans="18:18" s="2" customFormat="1" ht="12.75" x14ac:dyDescent="0.2">
      <c r="R34520" s="1288"/>
    </row>
    <row r="34521" spans="18:18" s="2" customFormat="1" ht="12.75" x14ac:dyDescent="0.2">
      <c r="R34521" s="1288"/>
    </row>
    <row r="34522" spans="18:18" s="2" customFormat="1" ht="12.75" x14ac:dyDescent="0.2">
      <c r="R34522" s="1288"/>
    </row>
    <row r="34523" spans="18:18" s="2" customFormat="1" ht="12.75" x14ac:dyDescent="0.2">
      <c r="R34523" s="1288"/>
    </row>
    <row r="34524" spans="18:18" s="2" customFormat="1" ht="12.75" x14ac:dyDescent="0.2">
      <c r="R34524" s="1288"/>
    </row>
    <row r="34525" spans="18:18" s="2" customFormat="1" ht="12.75" x14ac:dyDescent="0.2">
      <c r="R34525" s="1288"/>
    </row>
    <row r="34526" spans="18:18" s="2" customFormat="1" ht="12.75" x14ac:dyDescent="0.2">
      <c r="R34526" s="1288"/>
    </row>
    <row r="34527" spans="18:18" s="2" customFormat="1" ht="12.75" x14ac:dyDescent="0.2">
      <c r="R34527" s="1288"/>
    </row>
    <row r="34528" spans="18:18" s="2" customFormat="1" ht="12.75" x14ac:dyDescent="0.2">
      <c r="R34528" s="1288"/>
    </row>
    <row r="34529" spans="18:18" s="2" customFormat="1" ht="12.75" x14ac:dyDescent="0.2">
      <c r="R34529" s="1288"/>
    </row>
    <row r="34530" spans="18:18" s="2" customFormat="1" ht="12.75" x14ac:dyDescent="0.2">
      <c r="R34530" s="1288"/>
    </row>
    <row r="34531" spans="18:18" s="2" customFormat="1" ht="12.75" x14ac:dyDescent="0.2">
      <c r="R34531" s="1288"/>
    </row>
    <row r="34532" spans="18:18" s="2" customFormat="1" ht="12.75" x14ac:dyDescent="0.2">
      <c r="R34532" s="1288"/>
    </row>
    <row r="34533" spans="18:18" s="2" customFormat="1" ht="12.75" x14ac:dyDescent="0.2">
      <c r="R34533" s="1288"/>
    </row>
    <row r="34534" spans="18:18" s="2" customFormat="1" ht="12.75" x14ac:dyDescent="0.2">
      <c r="R34534" s="1288"/>
    </row>
    <row r="34535" spans="18:18" s="2" customFormat="1" ht="12.75" x14ac:dyDescent="0.2">
      <c r="R34535" s="1288"/>
    </row>
    <row r="34536" spans="18:18" s="2" customFormat="1" ht="12.75" x14ac:dyDescent="0.2">
      <c r="R34536" s="1288"/>
    </row>
    <row r="34537" spans="18:18" s="2" customFormat="1" ht="12.75" x14ac:dyDescent="0.2">
      <c r="R34537" s="1288"/>
    </row>
    <row r="34538" spans="18:18" s="2" customFormat="1" ht="12.75" x14ac:dyDescent="0.2">
      <c r="R34538" s="1288"/>
    </row>
    <row r="34539" spans="18:18" s="2" customFormat="1" ht="12.75" x14ac:dyDescent="0.2">
      <c r="R34539" s="1288"/>
    </row>
    <row r="34540" spans="18:18" s="2" customFormat="1" ht="12.75" x14ac:dyDescent="0.2">
      <c r="R34540" s="1288"/>
    </row>
    <row r="34541" spans="18:18" s="2" customFormat="1" ht="12.75" x14ac:dyDescent="0.2">
      <c r="R34541" s="1288"/>
    </row>
    <row r="34542" spans="18:18" s="2" customFormat="1" ht="12.75" x14ac:dyDescent="0.2">
      <c r="R34542" s="1288"/>
    </row>
    <row r="34543" spans="18:18" s="2" customFormat="1" ht="12.75" x14ac:dyDescent="0.2">
      <c r="R34543" s="1288"/>
    </row>
    <row r="34544" spans="18:18" s="2" customFormat="1" ht="12.75" x14ac:dyDescent="0.2">
      <c r="R34544" s="1288"/>
    </row>
    <row r="34545" spans="18:18" s="2" customFormat="1" ht="12.75" x14ac:dyDescent="0.2">
      <c r="R34545" s="1288"/>
    </row>
    <row r="34546" spans="18:18" s="2" customFormat="1" ht="12.75" x14ac:dyDescent="0.2">
      <c r="R34546" s="1288"/>
    </row>
    <row r="34547" spans="18:18" s="2" customFormat="1" ht="12.75" x14ac:dyDescent="0.2">
      <c r="R34547" s="1288"/>
    </row>
    <row r="34548" spans="18:18" s="2" customFormat="1" ht="12.75" x14ac:dyDescent="0.2">
      <c r="R34548" s="1288"/>
    </row>
    <row r="34549" spans="18:18" s="2" customFormat="1" ht="12.75" x14ac:dyDescent="0.2">
      <c r="R34549" s="1288"/>
    </row>
    <row r="34550" spans="18:18" s="2" customFormat="1" ht="12.75" x14ac:dyDescent="0.2">
      <c r="R34550" s="1288"/>
    </row>
    <row r="34551" spans="18:18" s="2" customFormat="1" ht="12.75" x14ac:dyDescent="0.2">
      <c r="R34551" s="1288"/>
    </row>
    <row r="34552" spans="18:18" s="2" customFormat="1" ht="12.75" x14ac:dyDescent="0.2">
      <c r="R34552" s="1288"/>
    </row>
    <row r="34553" spans="18:18" s="2" customFormat="1" ht="12.75" x14ac:dyDescent="0.2">
      <c r="R34553" s="1288"/>
    </row>
    <row r="34554" spans="18:18" s="2" customFormat="1" ht="12.75" x14ac:dyDescent="0.2">
      <c r="R34554" s="1288"/>
    </row>
    <row r="34555" spans="18:18" s="2" customFormat="1" ht="12.75" x14ac:dyDescent="0.2">
      <c r="R34555" s="1288"/>
    </row>
    <row r="34556" spans="18:18" s="2" customFormat="1" ht="12.75" x14ac:dyDescent="0.2">
      <c r="R34556" s="1288"/>
    </row>
    <row r="34557" spans="18:18" s="2" customFormat="1" ht="12.75" x14ac:dyDescent="0.2">
      <c r="R34557" s="1288"/>
    </row>
    <row r="34558" spans="18:18" s="2" customFormat="1" ht="12.75" x14ac:dyDescent="0.2">
      <c r="R34558" s="1288"/>
    </row>
    <row r="34559" spans="18:18" s="2" customFormat="1" ht="12.75" x14ac:dyDescent="0.2">
      <c r="R34559" s="1288"/>
    </row>
    <row r="34560" spans="18:18" s="2" customFormat="1" ht="12.75" x14ac:dyDescent="0.2">
      <c r="R34560" s="1288"/>
    </row>
    <row r="34561" spans="18:18" s="2" customFormat="1" ht="12.75" x14ac:dyDescent="0.2">
      <c r="R34561" s="1288"/>
    </row>
    <row r="34562" spans="18:18" s="2" customFormat="1" ht="12.75" x14ac:dyDescent="0.2">
      <c r="R34562" s="1288"/>
    </row>
    <row r="34563" spans="18:18" s="2" customFormat="1" ht="12.75" x14ac:dyDescent="0.2">
      <c r="R34563" s="1288"/>
    </row>
    <row r="34564" spans="18:18" s="2" customFormat="1" ht="12.75" x14ac:dyDescent="0.2">
      <c r="R34564" s="1288"/>
    </row>
    <row r="34565" spans="18:18" s="2" customFormat="1" ht="12.75" x14ac:dyDescent="0.2">
      <c r="R34565" s="1288"/>
    </row>
    <row r="34566" spans="18:18" s="2" customFormat="1" ht="12.75" x14ac:dyDescent="0.2">
      <c r="R34566" s="1288"/>
    </row>
    <row r="34567" spans="18:18" s="2" customFormat="1" ht="12.75" x14ac:dyDescent="0.2">
      <c r="R34567" s="1288"/>
    </row>
    <row r="34568" spans="18:18" s="2" customFormat="1" ht="12.75" x14ac:dyDescent="0.2">
      <c r="R34568" s="1288"/>
    </row>
    <row r="34569" spans="18:18" s="2" customFormat="1" ht="12.75" x14ac:dyDescent="0.2">
      <c r="R34569" s="1288"/>
    </row>
    <row r="34570" spans="18:18" s="2" customFormat="1" ht="12.75" x14ac:dyDescent="0.2">
      <c r="R34570" s="1288"/>
    </row>
    <row r="34571" spans="18:18" s="2" customFormat="1" ht="12.75" x14ac:dyDescent="0.2">
      <c r="R34571" s="1288"/>
    </row>
    <row r="34572" spans="18:18" s="2" customFormat="1" ht="12.75" x14ac:dyDescent="0.2">
      <c r="R34572" s="1288"/>
    </row>
    <row r="34573" spans="18:18" s="2" customFormat="1" ht="12.75" x14ac:dyDescent="0.2">
      <c r="R34573" s="1288"/>
    </row>
    <row r="34574" spans="18:18" s="2" customFormat="1" ht="12.75" x14ac:dyDescent="0.2">
      <c r="R34574" s="1288"/>
    </row>
    <row r="34575" spans="18:18" s="2" customFormat="1" ht="12.75" x14ac:dyDescent="0.2">
      <c r="R34575" s="1288"/>
    </row>
    <row r="34576" spans="18:18" s="2" customFormat="1" ht="12.75" x14ac:dyDescent="0.2">
      <c r="R34576" s="1288"/>
    </row>
    <row r="34577" spans="18:18" s="2" customFormat="1" ht="12.75" x14ac:dyDescent="0.2">
      <c r="R34577" s="1288"/>
    </row>
    <row r="34578" spans="18:18" s="2" customFormat="1" ht="12.75" x14ac:dyDescent="0.2">
      <c r="R34578" s="1288"/>
    </row>
    <row r="34579" spans="18:18" s="2" customFormat="1" ht="12.75" x14ac:dyDescent="0.2">
      <c r="R34579" s="1288"/>
    </row>
    <row r="34580" spans="18:18" s="2" customFormat="1" ht="12.75" x14ac:dyDescent="0.2">
      <c r="R34580" s="1288"/>
    </row>
    <row r="34581" spans="18:18" s="2" customFormat="1" ht="12.75" x14ac:dyDescent="0.2">
      <c r="R34581" s="1288"/>
    </row>
    <row r="34582" spans="18:18" s="2" customFormat="1" ht="12.75" x14ac:dyDescent="0.2">
      <c r="R34582" s="1288"/>
    </row>
    <row r="34583" spans="18:18" s="2" customFormat="1" ht="12.75" x14ac:dyDescent="0.2">
      <c r="R34583" s="1288"/>
    </row>
    <row r="34584" spans="18:18" s="2" customFormat="1" ht="12.75" x14ac:dyDescent="0.2">
      <c r="R34584" s="1288"/>
    </row>
    <row r="34585" spans="18:18" s="2" customFormat="1" ht="12.75" x14ac:dyDescent="0.2">
      <c r="R34585" s="1288"/>
    </row>
    <row r="34586" spans="18:18" s="2" customFormat="1" ht="12.75" x14ac:dyDescent="0.2">
      <c r="R34586" s="1288"/>
    </row>
    <row r="34587" spans="18:18" s="2" customFormat="1" ht="12.75" x14ac:dyDescent="0.2">
      <c r="R34587" s="1288"/>
    </row>
    <row r="34588" spans="18:18" s="2" customFormat="1" ht="12.75" x14ac:dyDescent="0.2">
      <c r="R34588" s="1288"/>
    </row>
    <row r="34589" spans="18:18" s="2" customFormat="1" ht="12.75" x14ac:dyDescent="0.2">
      <c r="R34589" s="1288"/>
    </row>
    <row r="34590" spans="18:18" s="2" customFormat="1" ht="12.75" x14ac:dyDescent="0.2">
      <c r="R34590" s="1288"/>
    </row>
    <row r="34591" spans="18:18" s="2" customFormat="1" ht="12.75" x14ac:dyDescent="0.2">
      <c r="R34591" s="1288"/>
    </row>
    <row r="34592" spans="18:18" s="2" customFormat="1" ht="12.75" x14ac:dyDescent="0.2">
      <c r="R34592" s="1288"/>
    </row>
    <row r="34593" spans="18:18" s="2" customFormat="1" ht="12.75" x14ac:dyDescent="0.2">
      <c r="R34593" s="1288"/>
    </row>
    <row r="34594" spans="18:18" s="2" customFormat="1" ht="12.75" x14ac:dyDescent="0.2">
      <c r="R34594" s="1288"/>
    </row>
    <row r="34595" spans="18:18" s="2" customFormat="1" ht="12.75" x14ac:dyDescent="0.2">
      <c r="R34595" s="1288"/>
    </row>
    <row r="34596" spans="18:18" s="2" customFormat="1" ht="12.75" x14ac:dyDescent="0.2">
      <c r="R34596" s="1288"/>
    </row>
    <row r="34597" spans="18:18" s="2" customFormat="1" ht="12.75" x14ac:dyDescent="0.2">
      <c r="R34597" s="1288"/>
    </row>
    <row r="34598" spans="18:18" s="2" customFormat="1" ht="12.75" x14ac:dyDescent="0.2">
      <c r="R34598" s="1288"/>
    </row>
    <row r="34599" spans="18:18" s="2" customFormat="1" ht="12.75" x14ac:dyDescent="0.2">
      <c r="R34599" s="1288"/>
    </row>
    <row r="34600" spans="18:18" s="2" customFormat="1" ht="12.75" x14ac:dyDescent="0.2">
      <c r="R34600" s="1288"/>
    </row>
    <row r="34601" spans="18:18" s="2" customFormat="1" ht="12.75" x14ac:dyDescent="0.2">
      <c r="R34601" s="1288"/>
    </row>
    <row r="34602" spans="18:18" s="2" customFormat="1" ht="12.75" x14ac:dyDescent="0.2">
      <c r="R34602" s="1288"/>
    </row>
    <row r="34603" spans="18:18" s="2" customFormat="1" ht="12.75" x14ac:dyDescent="0.2">
      <c r="R34603" s="1288"/>
    </row>
    <row r="34604" spans="18:18" s="2" customFormat="1" ht="12.75" x14ac:dyDescent="0.2">
      <c r="R34604" s="1288"/>
    </row>
    <row r="34605" spans="18:18" s="2" customFormat="1" ht="12.75" x14ac:dyDescent="0.2">
      <c r="R34605" s="1288"/>
    </row>
    <row r="34606" spans="18:18" s="2" customFormat="1" ht="12.75" x14ac:dyDescent="0.2">
      <c r="R34606" s="1288"/>
    </row>
    <row r="34607" spans="18:18" s="2" customFormat="1" ht="12.75" x14ac:dyDescent="0.2">
      <c r="R34607" s="1288"/>
    </row>
    <row r="34608" spans="18:18" s="2" customFormat="1" ht="12.75" x14ac:dyDescent="0.2">
      <c r="R34608" s="1288"/>
    </row>
    <row r="34609" spans="18:18" s="2" customFormat="1" ht="12.75" x14ac:dyDescent="0.2">
      <c r="R34609" s="1288"/>
    </row>
    <row r="34610" spans="18:18" s="2" customFormat="1" ht="12.75" x14ac:dyDescent="0.2">
      <c r="R34610" s="1288"/>
    </row>
    <row r="34611" spans="18:18" s="2" customFormat="1" ht="12.75" x14ac:dyDescent="0.2">
      <c r="R34611" s="1288"/>
    </row>
    <row r="34612" spans="18:18" s="2" customFormat="1" ht="12.75" x14ac:dyDescent="0.2">
      <c r="R34612" s="1288"/>
    </row>
    <row r="34613" spans="18:18" s="2" customFormat="1" ht="12.75" x14ac:dyDescent="0.2">
      <c r="R34613" s="1288"/>
    </row>
    <row r="34614" spans="18:18" s="2" customFormat="1" ht="12.75" x14ac:dyDescent="0.2">
      <c r="R34614" s="1288"/>
    </row>
    <row r="34615" spans="18:18" s="2" customFormat="1" ht="12.75" x14ac:dyDescent="0.2">
      <c r="R34615" s="1288"/>
    </row>
    <row r="34616" spans="18:18" s="2" customFormat="1" ht="12.75" x14ac:dyDescent="0.2">
      <c r="R34616" s="1288"/>
    </row>
    <row r="34617" spans="18:18" s="2" customFormat="1" ht="12.75" x14ac:dyDescent="0.2">
      <c r="R34617" s="1288"/>
    </row>
    <row r="34618" spans="18:18" s="2" customFormat="1" ht="12.75" x14ac:dyDescent="0.2">
      <c r="R34618" s="1288"/>
    </row>
    <row r="34619" spans="18:18" s="2" customFormat="1" ht="12.75" x14ac:dyDescent="0.2">
      <c r="R34619" s="1288"/>
    </row>
    <row r="34620" spans="18:18" s="2" customFormat="1" ht="12.75" x14ac:dyDescent="0.2">
      <c r="R34620" s="1288"/>
    </row>
    <row r="34621" spans="18:18" s="2" customFormat="1" ht="12.75" x14ac:dyDescent="0.2">
      <c r="R34621" s="1288"/>
    </row>
    <row r="34622" spans="18:18" s="2" customFormat="1" ht="12.75" x14ac:dyDescent="0.2">
      <c r="R34622" s="1288"/>
    </row>
    <row r="34623" spans="18:18" s="2" customFormat="1" ht="12.75" x14ac:dyDescent="0.2">
      <c r="R34623" s="1288"/>
    </row>
    <row r="34624" spans="18:18" s="2" customFormat="1" ht="12.75" x14ac:dyDescent="0.2">
      <c r="R34624" s="1288"/>
    </row>
    <row r="34625" spans="18:18" s="2" customFormat="1" ht="12.75" x14ac:dyDescent="0.2">
      <c r="R34625" s="1288"/>
    </row>
    <row r="34626" spans="18:18" s="2" customFormat="1" ht="12.75" x14ac:dyDescent="0.2">
      <c r="R34626" s="1288"/>
    </row>
    <row r="34627" spans="18:18" s="2" customFormat="1" ht="12.75" x14ac:dyDescent="0.2">
      <c r="R34627" s="1288"/>
    </row>
    <row r="34628" spans="18:18" s="2" customFormat="1" ht="12.75" x14ac:dyDescent="0.2">
      <c r="R34628" s="1288"/>
    </row>
    <row r="34629" spans="18:18" s="2" customFormat="1" ht="12.75" x14ac:dyDescent="0.2">
      <c r="R34629" s="1288"/>
    </row>
    <row r="34630" spans="18:18" s="2" customFormat="1" ht="12.75" x14ac:dyDescent="0.2">
      <c r="R34630" s="1288"/>
    </row>
    <row r="34631" spans="18:18" s="2" customFormat="1" ht="12.75" x14ac:dyDescent="0.2">
      <c r="R34631" s="1288"/>
    </row>
    <row r="34632" spans="18:18" s="2" customFormat="1" ht="12.75" x14ac:dyDescent="0.2">
      <c r="R34632" s="1288"/>
    </row>
    <row r="34633" spans="18:18" s="2" customFormat="1" ht="12.75" x14ac:dyDescent="0.2">
      <c r="R34633" s="1288"/>
    </row>
    <row r="34634" spans="18:18" s="2" customFormat="1" ht="12.75" x14ac:dyDescent="0.2">
      <c r="R34634" s="1288"/>
    </row>
    <row r="34635" spans="18:18" s="2" customFormat="1" ht="12.75" x14ac:dyDescent="0.2">
      <c r="R34635" s="1288"/>
    </row>
    <row r="34636" spans="18:18" s="2" customFormat="1" ht="12.75" x14ac:dyDescent="0.2">
      <c r="R34636" s="1288"/>
    </row>
    <row r="34637" spans="18:18" s="2" customFormat="1" ht="12.75" x14ac:dyDescent="0.2">
      <c r="R34637" s="1288"/>
    </row>
    <row r="34638" spans="18:18" s="2" customFormat="1" ht="12.75" x14ac:dyDescent="0.2">
      <c r="R34638" s="1288"/>
    </row>
    <row r="34639" spans="18:18" s="2" customFormat="1" ht="12.75" x14ac:dyDescent="0.2">
      <c r="R34639" s="1288"/>
    </row>
    <row r="34640" spans="18:18" s="2" customFormat="1" ht="12.75" x14ac:dyDescent="0.2">
      <c r="R34640" s="1288"/>
    </row>
    <row r="34641" spans="18:18" s="2" customFormat="1" ht="12.75" x14ac:dyDescent="0.2">
      <c r="R34641" s="1288"/>
    </row>
    <row r="34642" spans="18:18" s="2" customFormat="1" ht="12.75" x14ac:dyDescent="0.2">
      <c r="R34642" s="1288"/>
    </row>
    <row r="34643" spans="18:18" s="2" customFormat="1" ht="12.75" x14ac:dyDescent="0.2">
      <c r="R34643" s="1288"/>
    </row>
    <row r="34644" spans="18:18" s="2" customFormat="1" ht="12.75" x14ac:dyDescent="0.2">
      <c r="R34644" s="1288"/>
    </row>
    <row r="34645" spans="18:18" s="2" customFormat="1" ht="12.75" x14ac:dyDescent="0.2">
      <c r="R34645" s="1288"/>
    </row>
    <row r="34646" spans="18:18" s="2" customFormat="1" ht="12.75" x14ac:dyDescent="0.2">
      <c r="R34646" s="1288"/>
    </row>
    <row r="34647" spans="18:18" s="2" customFormat="1" ht="12.75" x14ac:dyDescent="0.2">
      <c r="R34647" s="1288"/>
    </row>
    <row r="34648" spans="18:18" s="2" customFormat="1" ht="12.75" x14ac:dyDescent="0.2">
      <c r="R34648" s="1288"/>
    </row>
    <row r="34649" spans="18:18" s="2" customFormat="1" ht="12.75" x14ac:dyDescent="0.2">
      <c r="R34649" s="1288"/>
    </row>
    <row r="34650" spans="18:18" s="2" customFormat="1" ht="12.75" x14ac:dyDescent="0.2">
      <c r="R34650" s="1288"/>
    </row>
    <row r="34651" spans="18:18" s="2" customFormat="1" ht="12.75" x14ac:dyDescent="0.2">
      <c r="R34651" s="1288"/>
    </row>
    <row r="34652" spans="18:18" s="2" customFormat="1" ht="12.75" x14ac:dyDescent="0.2">
      <c r="R34652" s="1288"/>
    </row>
    <row r="34653" spans="18:18" s="2" customFormat="1" ht="12.75" x14ac:dyDescent="0.2">
      <c r="R34653" s="1288"/>
    </row>
    <row r="34654" spans="18:18" s="2" customFormat="1" ht="12.75" x14ac:dyDescent="0.2">
      <c r="R34654" s="1288"/>
    </row>
    <row r="34655" spans="18:18" s="2" customFormat="1" ht="12.75" x14ac:dyDescent="0.2">
      <c r="R34655" s="1288"/>
    </row>
    <row r="34656" spans="18:18" s="2" customFormat="1" ht="12.75" x14ac:dyDescent="0.2">
      <c r="R34656" s="1288"/>
    </row>
    <row r="34657" spans="18:18" s="2" customFormat="1" ht="12.75" x14ac:dyDescent="0.2">
      <c r="R34657" s="1288"/>
    </row>
    <row r="34658" spans="18:18" s="2" customFormat="1" ht="12.75" x14ac:dyDescent="0.2">
      <c r="R34658" s="1288"/>
    </row>
    <row r="34659" spans="18:18" s="2" customFormat="1" ht="12.75" x14ac:dyDescent="0.2">
      <c r="R34659" s="1288"/>
    </row>
    <row r="34660" spans="18:18" s="2" customFormat="1" ht="12.75" x14ac:dyDescent="0.2">
      <c r="R34660" s="1288"/>
    </row>
    <row r="34661" spans="18:18" s="2" customFormat="1" ht="12.75" x14ac:dyDescent="0.2">
      <c r="R34661" s="1288"/>
    </row>
    <row r="34662" spans="18:18" s="2" customFormat="1" ht="12.75" x14ac:dyDescent="0.2">
      <c r="R34662" s="1288"/>
    </row>
    <row r="34663" spans="18:18" s="2" customFormat="1" ht="12.75" x14ac:dyDescent="0.2">
      <c r="R34663" s="1288"/>
    </row>
    <row r="34664" spans="18:18" s="2" customFormat="1" ht="12.75" x14ac:dyDescent="0.2">
      <c r="R34664" s="1288"/>
    </row>
    <row r="34665" spans="18:18" s="2" customFormat="1" ht="12.75" x14ac:dyDescent="0.2">
      <c r="R34665" s="1288"/>
    </row>
    <row r="34666" spans="18:18" s="2" customFormat="1" ht="12.75" x14ac:dyDescent="0.2">
      <c r="R34666" s="1288"/>
    </row>
    <row r="34667" spans="18:18" s="2" customFormat="1" ht="12.75" x14ac:dyDescent="0.2">
      <c r="R34667" s="1288"/>
    </row>
    <row r="34668" spans="18:18" s="2" customFormat="1" ht="12.75" x14ac:dyDescent="0.2">
      <c r="R34668" s="1288"/>
    </row>
    <row r="34669" spans="18:18" s="2" customFormat="1" ht="12.75" x14ac:dyDescent="0.2">
      <c r="R34669" s="1288"/>
    </row>
    <row r="34670" spans="18:18" s="2" customFormat="1" ht="12.75" x14ac:dyDescent="0.2">
      <c r="R34670" s="1288"/>
    </row>
    <row r="34671" spans="18:18" s="2" customFormat="1" ht="12.75" x14ac:dyDescent="0.2">
      <c r="R34671" s="1288"/>
    </row>
    <row r="34672" spans="18:18" s="2" customFormat="1" ht="12.75" x14ac:dyDescent="0.2">
      <c r="R34672" s="1288"/>
    </row>
    <row r="34673" spans="18:18" s="2" customFormat="1" ht="12.75" x14ac:dyDescent="0.2">
      <c r="R34673" s="1288"/>
    </row>
    <row r="34674" spans="18:18" s="2" customFormat="1" ht="12.75" x14ac:dyDescent="0.2">
      <c r="R34674" s="1288"/>
    </row>
    <row r="34675" spans="18:18" s="2" customFormat="1" ht="12.75" x14ac:dyDescent="0.2">
      <c r="R34675" s="1288"/>
    </row>
    <row r="34676" spans="18:18" s="2" customFormat="1" ht="12.75" x14ac:dyDescent="0.2">
      <c r="R34676" s="1288"/>
    </row>
    <row r="34677" spans="18:18" s="2" customFormat="1" ht="12.75" x14ac:dyDescent="0.2">
      <c r="R34677" s="1288"/>
    </row>
    <row r="34678" spans="18:18" s="2" customFormat="1" ht="12.75" x14ac:dyDescent="0.2">
      <c r="R34678" s="1288"/>
    </row>
    <row r="34679" spans="18:18" s="2" customFormat="1" ht="12.75" x14ac:dyDescent="0.2">
      <c r="R34679" s="1288"/>
    </row>
    <row r="34680" spans="18:18" s="2" customFormat="1" ht="12.75" x14ac:dyDescent="0.2">
      <c r="R34680" s="1288"/>
    </row>
    <row r="34681" spans="18:18" s="2" customFormat="1" ht="12.75" x14ac:dyDescent="0.2">
      <c r="R34681" s="1288"/>
    </row>
    <row r="34682" spans="18:18" s="2" customFormat="1" ht="12.75" x14ac:dyDescent="0.2">
      <c r="R34682" s="1288"/>
    </row>
    <row r="34683" spans="18:18" s="2" customFormat="1" ht="12.75" x14ac:dyDescent="0.2">
      <c r="R34683" s="1288"/>
    </row>
    <row r="34684" spans="18:18" s="2" customFormat="1" ht="12.75" x14ac:dyDescent="0.2">
      <c r="R34684" s="1288"/>
    </row>
    <row r="34685" spans="18:18" s="2" customFormat="1" ht="12.75" x14ac:dyDescent="0.2">
      <c r="R34685" s="1288"/>
    </row>
    <row r="34686" spans="18:18" s="2" customFormat="1" ht="12.75" x14ac:dyDescent="0.2">
      <c r="R34686" s="1288"/>
    </row>
    <row r="34687" spans="18:18" s="2" customFormat="1" ht="12.75" x14ac:dyDescent="0.2">
      <c r="R34687" s="1288"/>
    </row>
    <row r="34688" spans="18:18" s="2" customFormat="1" ht="12.75" x14ac:dyDescent="0.2">
      <c r="R34688" s="1288"/>
    </row>
    <row r="34689" spans="18:18" s="2" customFormat="1" ht="12.75" x14ac:dyDescent="0.2">
      <c r="R34689" s="1288"/>
    </row>
    <row r="34690" spans="18:18" s="2" customFormat="1" ht="12.75" x14ac:dyDescent="0.2">
      <c r="R34690" s="1288"/>
    </row>
    <row r="34691" spans="18:18" s="2" customFormat="1" ht="12.75" x14ac:dyDescent="0.2">
      <c r="R34691" s="1288"/>
    </row>
    <row r="34692" spans="18:18" s="2" customFormat="1" ht="12.75" x14ac:dyDescent="0.2">
      <c r="R34692" s="1288"/>
    </row>
    <row r="34693" spans="18:18" s="2" customFormat="1" ht="12.75" x14ac:dyDescent="0.2">
      <c r="R34693" s="1288"/>
    </row>
    <row r="34694" spans="18:18" s="2" customFormat="1" ht="12.75" x14ac:dyDescent="0.2">
      <c r="R34694" s="1288"/>
    </row>
    <row r="34695" spans="18:18" s="2" customFormat="1" ht="12.75" x14ac:dyDescent="0.2">
      <c r="R34695" s="1288"/>
    </row>
    <row r="34696" spans="18:18" s="2" customFormat="1" ht="12.75" x14ac:dyDescent="0.2">
      <c r="R34696" s="1288"/>
    </row>
    <row r="34697" spans="18:18" s="2" customFormat="1" ht="12.75" x14ac:dyDescent="0.2">
      <c r="R34697" s="1288"/>
    </row>
    <row r="34698" spans="18:18" s="2" customFormat="1" ht="12.75" x14ac:dyDescent="0.2">
      <c r="R34698" s="1288"/>
    </row>
    <row r="34699" spans="18:18" s="2" customFormat="1" ht="12.75" x14ac:dyDescent="0.2">
      <c r="R34699" s="1288"/>
    </row>
    <row r="34700" spans="18:18" s="2" customFormat="1" ht="12.75" x14ac:dyDescent="0.2">
      <c r="R34700" s="1288"/>
    </row>
    <row r="34701" spans="18:18" s="2" customFormat="1" ht="12.75" x14ac:dyDescent="0.2">
      <c r="R34701" s="1288"/>
    </row>
    <row r="34702" spans="18:18" s="2" customFormat="1" ht="12.75" x14ac:dyDescent="0.2">
      <c r="R34702" s="1288"/>
    </row>
    <row r="34703" spans="18:18" s="2" customFormat="1" ht="12.75" x14ac:dyDescent="0.2">
      <c r="R34703" s="1288"/>
    </row>
    <row r="34704" spans="18:18" s="2" customFormat="1" ht="12.75" x14ac:dyDescent="0.2">
      <c r="R34704" s="1288"/>
    </row>
    <row r="34705" spans="18:18" s="2" customFormat="1" ht="12.75" x14ac:dyDescent="0.2">
      <c r="R34705" s="1288"/>
    </row>
    <row r="34706" spans="18:18" s="2" customFormat="1" ht="12.75" x14ac:dyDescent="0.2">
      <c r="R34706" s="1288"/>
    </row>
    <row r="34707" spans="18:18" s="2" customFormat="1" ht="12.75" x14ac:dyDescent="0.2">
      <c r="R34707" s="1288"/>
    </row>
    <row r="34708" spans="18:18" s="2" customFormat="1" ht="12.75" x14ac:dyDescent="0.2">
      <c r="R34708" s="1288"/>
    </row>
    <row r="34709" spans="18:18" s="2" customFormat="1" ht="12.75" x14ac:dyDescent="0.2">
      <c r="R34709" s="1288"/>
    </row>
    <row r="34710" spans="18:18" s="2" customFormat="1" ht="12.75" x14ac:dyDescent="0.2">
      <c r="R34710" s="1288"/>
    </row>
    <row r="34711" spans="18:18" s="2" customFormat="1" ht="12.75" x14ac:dyDescent="0.2">
      <c r="R34711" s="1288"/>
    </row>
    <row r="34712" spans="18:18" s="2" customFormat="1" ht="12.75" x14ac:dyDescent="0.2">
      <c r="R34712" s="1288"/>
    </row>
    <row r="34713" spans="18:18" s="2" customFormat="1" ht="12.75" x14ac:dyDescent="0.2">
      <c r="R34713" s="1288"/>
    </row>
    <row r="34714" spans="18:18" s="2" customFormat="1" ht="12.75" x14ac:dyDescent="0.2">
      <c r="R34714" s="1288"/>
    </row>
    <row r="34715" spans="18:18" s="2" customFormat="1" ht="12.75" x14ac:dyDescent="0.2">
      <c r="R34715" s="1288"/>
    </row>
    <row r="34716" spans="18:18" s="2" customFormat="1" ht="12.75" x14ac:dyDescent="0.2">
      <c r="R34716" s="1288"/>
    </row>
    <row r="34717" spans="18:18" s="2" customFormat="1" ht="12.75" x14ac:dyDescent="0.2">
      <c r="R34717" s="1288"/>
    </row>
    <row r="34718" spans="18:18" s="2" customFormat="1" ht="12.75" x14ac:dyDescent="0.2">
      <c r="R34718" s="1288"/>
    </row>
    <row r="34719" spans="18:18" s="2" customFormat="1" ht="12.75" x14ac:dyDescent="0.2">
      <c r="R34719" s="1288"/>
    </row>
    <row r="34720" spans="18:18" s="2" customFormat="1" ht="12.75" x14ac:dyDescent="0.2">
      <c r="R34720" s="1288"/>
    </row>
    <row r="34721" spans="18:18" s="2" customFormat="1" ht="12.75" x14ac:dyDescent="0.2">
      <c r="R34721" s="1288"/>
    </row>
    <row r="34722" spans="18:18" s="2" customFormat="1" ht="12.75" x14ac:dyDescent="0.2">
      <c r="R34722" s="1288"/>
    </row>
    <row r="34723" spans="18:18" s="2" customFormat="1" ht="12.75" x14ac:dyDescent="0.2">
      <c r="R34723" s="1288"/>
    </row>
    <row r="34724" spans="18:18" s="2" customFormat="1" ht="12.75" x14ac:dyDescent="0.2">
      <c r="R34724" s="1288"/>
    </row>
    <row r="34725" spans="18:18" s="2" customFormat="1" ht="12.75" x14ac:dyDescent="0.2">
      <c r="R34725" s="1288"/>
    </row>
    <row r="34726" spans="18:18" s="2" customFormat="1" ht="12.75" x14ac:dyDescent="0.2">
      <c r="R34726" s="1288"/>
    </row>
    <row r="34727" spans="18:18" s="2" customFormat="1" ht="12.75" x14ac:dyDescent="0.2">
      <c r="R34727" s="1288"/>
    </row>
    <row r="34728" spans="18:18" s="2" customFormat="1" ht="12.75" x14ac:dyDescent="0.2">
      <c r="R34728" s="1288"/>
    </row>
    <row r="34729" spans="18:18" s="2" customFormat="1" ht="12.75" x14ac:dyDescent="0.2">
      <c r="R34729" s="1288"/>
    </row>
    <row r="34730" spans="18:18" s="2" customFormat="1" ht="12.75" x14ac:dyDescent="0.2">
      <c r="R34730" s="1288"/>
    </row>
    <row r="34731" spans="18:18" s="2" customFormat="1" ht="12.75" x14ac:dyDescent="0.2">
      <c r="R34731" s="1288"/>
    </row>
    <row r="34732" spans="18:18" s="2" customFormat="1" ht="12.75" x14ac:dyDescent="0.2">
      <c r="R34732" s="1288"/>
    </row>
    <row r="34733" spans="18:18" s="2" customFormat="1" ht="12.75" x14ac:dyDescent="0.2">
      <c r="R34733" s="1288"/>
    </row>
    <row r="34734" spans="18:18" s="2" customFormat="1" ht="12.75" x14ac:dyDescent="0.2">
      <c r="R34734" s="1288"/>
    </row>
    <row r="34735" spans="18:18" s="2" customFormat="1" ht="12.75" x14ac:dyDescent="0.2">
      <c r="R34735" s="1288"/>
    </row>
    <row r="34736" spans="18:18" s="2" customFormat="1" ht="12.75" x14ac:dyDescent="0.2">
      <c r="R34736" s="1288"/>
    </row>
    <row r="34737" spans="18:18" s="2" customFormat="1" ht="12.75" x14ac:dyDescent="0.2">
      <c r="R34737" s="1288"/>
    </row>
    <row r="34738" spans="18:18" s="2" customFormat="1" ht="12.75" x14ac:dyDescent="0.2">
      <c r="R34738" s="1288"/>
    </row>
    <row r="34739" spans="18:18" s="2" customFormat="1" ht="12.75" x14ac:dyDescent="0.2">
      <c r="R34739" s="1288"/>
    </row>
    <row r="34740" spans="18:18" s="2" customFormat="1" ht="12.75" x14ac:dyDescent="0.2">
      <c r="R34740" s="1288"/>
    </row>
    <row r="34741" spans="18:18" s="2" customFormat="1" ht="12.75" x14ac:dyDescent="0.2">
      <c r="R34741" s="1288"/>
    </row>
    <row r="34742" spans="18:18" s="2" customFormat="1" ht="12.75" x14ac:dyDescent="0.2">
      <c r="R34742" s="1288"/>
    </row>
    <row r="34743" spans="18:18" s="2" customFormat="1" ht="12.75" x14ac:dyDescent="0.2">
      <c r="R34743" s="1288"/>
    </row>
    <row r="34744" spans="18:18" s="2" customFormat="1" ht="12.75" x14ac:dyDescent="0.2">
      <c r="R34744" s="1288"/>
    </row>
    <row r="34745" spans="18:18" s="2" customFormat="1" ht="12.75" x14ac:dyDescent="0.2">
      <c r="R34745" s="1288"/>
    </row>
    <row r="34746" spans="18:18" s="2" customFormat="1" ht="12.75" x14ac:dyDescent="0.2">
      <c r="R34746" s="1288"/>
    </row>
    <row r="34747" spans="18:18" s="2" customFormat="1" ht="12.75" x14ac:dyDescent="0.2">
      <c r="R34747" s="1288"/>
    </row>
    <row r="34748" spans="18:18" s="2" customFormat="1" ht="12.75" x14ac:dyDescent="0.2">
      <c r="R34748" s="1288"/>
    </row>
    <row r="34749" spans="18:18" s="2" customFormat="1" ht="12.75" x14ac:dyDescent="0.2">
      <c r="R34749" s="1288"/>
    </row>
    <row r="34750" spans="18:18" s="2" customFormat="1" ht="12.75" x14ac:dyDescent="0.2">
      <c r="R34750" s="1288"/>
    </row>
    <row r="34751" spans="18:18" s="2" customFormat="1" ht="12.75" x14ac:dyDescent="0.2">
      <c r="R34751" s="1288"/>
    </row>
    <row r="34752" spans="18:18" s="2" customFormat="1" ht="12.75" x14ac:dyDescent="0.2">
      <c r="R34752" s="1288"/>
    </row>
    <row r="34753" spans="18:18" s="2" customFormat="1" ht="12.75" x14ac:dyDescent="0.2">
      <c r="R34753" s="1288"/>
    </row>
    <row r="34754" spans="18:18" s="2" customFormat="1" ht="12.75" x14ac:dyDescent="0.2">
      <c r="R34754" s="1288"/>
    </row>
    <row r="34755" spans="18:18" s="2" customFormat="1" ht="12.75" x14ac:dyDescent="0.2">
      <c r="R34755" s="1288"/>
    </row>
    <row r="34756" spans="18:18" s="2" customFormat="1" ht="12.75" x14ac:dyDescent="0.2">
      <c r="R34756" s="1288"/>
    </row>
    <row r="34757" spans="18:18" s="2" customFormat="1" ht="12.75" x14ac:dyDescent="0.2">
      <c r="R34757" s="1288"/>
    </row>
    <row r="34758" spans="18:18" s="2" customFormat="1" ht="12.75" x14ac:dyDescent="0.2">
      <c r="R34758" s="1288"/>
    </row>
    <row r="34759" spans="18:18" s="2" customFormat="1" ht="12.75" x14ac:dyDescent="0.2">
      <c r="R34759" s="1288"/>
    </row>
    <row r="34760" spans="18:18" s="2" customFormat="1" ht="12.75" x14ac:dyDescent="0.2">
      <c r="R34760" s="1288"/>
    </row>
    <row r="34761" spans="18:18" s="2" customFormat="1" ht="12.75" x14ac:dyDescent="0.2">
      <c r="R34761" s="1288"/>
    </row>
    <row r="34762" spans="18:18" s="2" customFormat="1" ht="12.75" x14ac:dyDescent="0.2">
      <c r="R34762" s="1288"/>
    </row>
    <row r="34763" spans="18:18" s="2" customFormat="1" ht="12.75" x14ac:dyDescent="0.2">
      <c r="R34763" s="1288"/>
    </row>
    <row r="34764" spans="18:18" s="2" customFormat="1" ht="12.75" x14ac:dyDescent="0.2">
      <c r="R34764" s="1288"/>
    </row>
    <row r="34765" spans="18:18" s="2" customFormat="1" ht="12.75" x14ac:dyDescent="0.2">
      <c r="R34765" s="1288"/>
    </row>
    <row r="34766" spans="18:18" s="2" customFormat="1" ht="12.75" x14ac:dyDescent="0.2">
      <c r="R34766" s="1288"/>
    </row>
    <row r="34767" spans="18:18" s="2" customFormat="1" ht="12.75" x14ac:dyDescent="0.2">
      <c r="R34767" s="1288"/>
    </row>
    <row r="34768" spans="18:18" s="2" customFormat="1" ht="12.75" x14ac:dyDescent="0.2">
      <c r="R34768" s="1288"/>
    </row>
    <row r="34769" spans="18:18" s="2" customFormat="1" ht="12.75" x14ac:dyDescent="0.2">
      <c r="R34769" s="1288"/>
    </row>
    <row r="34770" spans="18:18" s="2" customFormat="1" ht="12.75" x14ac:dyDescent="0.2">
      <c r="R34770" s="1288"/>
    </row>
    <row r="34771" spans="18:18" s="2" customFormat="1" ht="12.75" x14ac:dyDescent="0.2">
      <c r="R34771" s="1288"/>
    </row>
    <row r="34772" spans="18:18" s="2" customFormat="1" ht="12.75" x14ac:dyDescent="0.2">
      <c r="R34772" s="1288"/>
    </row>
    <row r="34773" spans="18:18" s="2" customFormat="1" ht="12.75" x14ac:dyDescent="0.2">
      <c r="R34773" s="1288"/>
    </row>
    <row r="34774" spans="18:18" s="2" customFormat="1" ht="12.75" x14ac:dyDescent="0.2">
      <c r="R34774" s="1288"/>
    </row>
    <row r="34775" spans="18:18" s="2" customFormat="1" ht="12.75" x14ac:dyDescent="0.2">
      <c r="R34775" s="1288"/>
    </row>
    <row r="34776" spans="18:18" s="2" customFormat="1" ht="12.75" x14ac:dyDescent="0.2">
      <c r="R34776" s="1288"/>
    </row>
    <row r="34777" spans="18:18" s="2" customFormat="1" ht="12.75" x14ac:dyDescent="0.2">
      <c r="R34777" s="1288"/>
    </row>
    <row r="34778" spans="18:18" s="2" customFormat="1" ht="12.75" x14ac:dyDescent="0.2">
      <c r="R34778" s="1288"/>
    </row>
    <row r="34779" spans="18:18" s="2" customFormat="1" ht="12.75" x14ac:dyDescent="0.2">
      <c r="R34779" s="1288"/>
    </row>
    <row r="34780" spans="18:18" s="2" customFormat="1" ht="12.75" x14ac:dyDescent="0.2">
      <c r="R34780" s="1288"/>
    </row>
    <row r="34781" spans="18:18" s="2" customFormat="1" ht="12.75" x14ac:dyDescent="0.2">
      <c r="R34781" s="1288"/>
    </row>
    <row r="34782" spans="18:18" s="2" customFormat="1" ht="12.75" x14ac:dyDescent="0.2">
      <c r="R34782" s="1288"/>
    </row>
    <row r="34783" spans="18:18" s="2" customFormat="1" ht="12.75" x14ac:dyDescent="0.2">
      <c r="R34783" s="1288"/>
    </row>
    <row r="34784" spans="18:18" s="2" customFormat="1" ht="12.75" x14ac:dyDescent="0.2">
      <c r="R34784" s="1288"/>
    </row>
    <row r="34785" spans="18:18" s="2" customFormat="1" ht="12.75" x14ac:dyDescent="0.2">
      <c r="R34785" s="1288"/>
    </row>
    <row r="34786" spans="18:18" s="2" customFormat="1" ht="12.75" x14ac:dyDescent="0.2">
      <c r="R34786" s="1288"/>
    </row>
    <row r="34787" spans="18:18" s="2" customFormat="1" ht="12.75" x14ac:dyDescent="0.2">
      <c r="R34787" s="1288"/>
    </row>
    <row r="34788" spans="18:18" s="2" customFormat="1" ht="12.75" x14ac:dyDescent="0.2">
      <c r="R34788" s="1288"/>
    </row>
    <row r="34789" spans="18:18" s="2" customFormat="1" ht="12.75" x14ac:dyDescent="0.2">
      <c r="R34789" s="1288"/>
    </row>
    <row r="34790" spans="18:18" s="2" customFormat="1" ht="12.75" x14ac:dyDescent="0.2">
      <c r="R34790" s="1288"/>
    </row>
    <row r="34791" spans="18:18" s="2" customFormat="1" ht="12.75" x14ac:dyDescent="0.2">
      <c r="R34791" s="1288"/>
    </row>
    <row r="34792" spans="18:18" s="2" customFormat="1" ht="12.75" x14ac:dyDescent="0.2">
      <c r="R34792" s="1288"/>
    </row>
    <row r="34793" spans="18:18" s="2" customFormat="1" ht="12.75" x14ac:dyDescent="0.2">
      <c r="R34793" s="1288"/>
    </row>
    <row r="34794" spans="18:18" s="2" customFormat="1" ht="12.75" x14ac:dyDescent="0.2">
      <c r="R34794" s="1288"/>
    </row>
    <row r="34795" spans="18:18" s="2" customFormat="1" ht="12.75" x14ac:dyDescent="0.2">
      <c r="R34795" s="1288"/>
    </row>
    <row r="34796" spans="18:18" s="2" customFormat="1" ht="12.75" x14ac:dyDescent="0.2">
      <c r="R34796" s="1288"/>
    </row>
    <row r="34797" spans="18:18" s="2" customFormat="1" ht="12.75" x14ac:dyDescent="0.2">
      <c r="R34797" s="1288"/>
    </row>
    <row r="34798" spans="18:18" s="2" customFormat="1" ht="12.75" x14ac:dyDescent="0.2">
      <c r="R34798" s="1288"/>
    </row>
    <row r="34799" spans="18:18" s="2" customFormat="1" ht="12.75" x14ac:dyDescent="0.2">
      <c r="R34799" s="1288"/>
    </row>
    <row r="34800" spans="18:18" s="2" customFormat="1" ht="12.75" x14ac:dyDescent="0.2">
      <c r="R34800" s="1288"/>
    </row>
    <row r="34801" spans="18:18" s="2" customFormat="1" ht="12.75" x14ac:dyDescent="0.2">
      <c r="R34801" s="1288"/>
    </row>
    <row r="34802" spans="18:18" s="2" customFormat="1" ht="12.75" x14ac:dyDescent="0.2">
      <c r="R34802" s="1288"/>
    </row>
    <row r="34803" spans="18:18" s="2" customFormat="1" ht="12.75" x14ac:dyDescent="0.2">
      <c r="R34803" s="1288"/>
    </row>
    <row r="34804" spans="18:18" s="2" customFormat="1" ht="12.75" x14ac:dyDescent="0.2">
      <c r="R34804" s="1288"/>
    </row>
    <row r="34805" spans="18:18" s="2" customFormat="1" ht="12.75" x14ac:dyDescent="0.2">
      <c r="R34805" s="1288"/>
    </row>
    <row r="34806" spans="18:18" s="2" customFormat="1" ht="12.75" x14ac:dyDescent="0.2">
      <c r="R34806" s="1288"/>
    </row>
    <row r="34807" spans="18:18" s="2" customFormat="1" ht="12.75" x14ac:dyDescent="0.2">
      <c r="R34807" s="1288"/>
    </row>
    <row r="34808" spans="18:18" s="2" customFormat="1" ht="12.75" x14ac:dyDescent="0.2">
      <c r="R34808" s="1288"/>
    </row>
    <row r="34809" spans="18:18" s="2" customFormat="1" ht="12.75" x14ac:dyDescent="0.2">
      <c r="R34809" s="1288"/>
    </row>
    <row r="34810" spans="18:18" s="2" customFormat="1" ht="12.75" x14ac:dyDescent="0.2">
      <c r="R34810" s="1288"/>
    </row>
    <row r="34811" spans="18:18" s="2" customFormat="1" ht="12.75" x14ac:dyDescent="0.2">
      <c r="R34811" s="1288"/>
    </row>
    <row r="34812" spans="18:18" s="2" customFormat="1" ht="12.75" x14ac:dyDescent="0.2">
      <c r="R34812" s="1288"/>
    </row>
    <row r="34813" spans="18:18" s="2" customFormat="1" ht="12.75" x14ac:dyDescent="0.2">
      <c r="R34813" s="1288"/>
    </row>
    <row r="34814" spans="18:18" s="2" customFormat="1" ht="12.75" x14ac:dyDescent="0.2">
      <c r="R34814" s="1288"/>
    </row>
    <row r="34815" spans="18:18" s="2" customFormat="1" ht="12.75" x14ac:dyDescent="0.2">
      <c r="R34815" s="1288"/>
    </row>
    <row r="34816" spans="18:18" s="2" customFormat="1" ht="12.75" x14ac:dyDescent="0.2">
      <c r="R34816" s="1288"/>
    </row>
    <row r="34817" spans="18:18" s="2" customFormat="1" ht="12.75" x14ac:dyDescent="0.2">
      <c r="R34817" s="1288"/>
    </row>
    <row r="34818" spans="18:18" s="2" customFormat="1" ht="12.75" x14ac:dyDescent="0.2">
      <c r="R34818" s="1288"/>
    </row>
    <row r="34819" spans="18:18" s="2" customFormat="1" ht="12.75" x14ac:dyDescent="0.2">
      <c r="R34819" s="1288"/>
    </row>
    <row r="34820" spans="18:18" s="2" customFormat="1" ht="12.75" x14ac:dyDescent="0.2">
      <c r="R34820" s="1288"/>
    </row>
    <row r="34821" spans="18:18" s="2" customFormat="1" ht="12.75" x14ac:dyDescent="0.2">
      <c r="R34821" s="1288"/>
    </row>
    <row r="34822" spans="18:18" s="2" customFormat="1" ht="12.75" x14ac:dyDescent="0.2">
      <c r="R34822" s="1288"/>
    </row>
    <row r="34823" spans="18:18" s="2" customFormat="1" ht="12.75" x14ac:dyDescent="0.2">
      <c r="R34823" s="1288"/>
    </row>
    <row r="34824" spans="18:18" s="2" customFormat="1" ht="12.75" x14ac:dyDescent="0.2">
      <c r="R34824" s="1288"/>
    </row>
    <row r="34825" spans="18:18" s="2" customFormat="1" ht="12.75" x14ac:dyDescent="0.2">
      <c r="R34825" s="1288"/>
    </row>
    <row r="34826" spans="18:18" s="2" customFormat="1" ht="12.75" x14ac:dyDescent="0.2">
      <c r="R34826" s="1288"/>
    </row>
    <row r="34827" spans="18:18" s="2" customFormat="1" ht="12.75" x14ac:dyDescent="0.2">
      <c r="R34827" s="1288"/>
    </row>
    <row r="34828" spans="18:18" s="2" customFormat="1" ht="12.75" x14ac:dyDescent="0.2">
      <c r="R34828" s="1288"/>
    </row>
    <row r="34829" spans="18:18" s="2" customFormat="1" ht="12.75" x14ac:dyDescent="0.2">
      <c r="R34829" s="1288"/>
    </row>
    <row r="34830" spans="18:18" s="2" customFormat="1" ht="12.75" x14ac:dyDescent="0.2">
      <c r="R34830" s="1288"/>
    </row>
    <row r="34831" spans="18:18" s="2" customFormat="1" ht="12.75" x14ac:dyDescent="0.2">
      <c r="R34831" s="1288"/>
    </row>
    <row r="34832" spans="18:18" s="2" customFormat="1" ht="12.75" x14ac:dyDescent="0.2">
      <c r="R34832" s="1288"/>
    </row>
    <row r="34833" spans="18:18" s="2" customFormat="1" ht="12.75" x14ac:dyDescent="0.2">
      <c r="R34833" s="1288"/>
    </row>
    <row r="34834" spans="18:18" s="2" customFormat="1" ht="12.75" x14ac:dyDescent="0.2">
      <c r="R34834" s="1288"/>
    </row>
    <row r="34835" spans="18:18" s="2" customFormat="1" ht="12.75" x14ac:dyDescent="0.2">
      <c r="R34835" s="1288"/>
    </row>
    <row r="34836" spans="18:18" s="2" customFormat="1" ht="12.75" x14ac:dyDescent="0.2">
      <c r="R34836" s="1288"/>
    </row>
    <row r="34837" spans="18:18" s="2" customFormat="1" ht="12.75" x14ac:dyDescent="0.2">
      <c r="R34837" s="1288"/>
    </row>
    <row r="34838" spans="18:18" s="2" customFormat="1" ht="12.75" x14ac:dyDescent="0.2">
      <c r="R34838" s="1288"/>
    </row>
    <row r="34839" spans="18:18" s="2" customFormat="1" ht="12.75" x14ac:dyDescent="0.2">
      <c r="R34839" s="1288"/>
    </row>
    <row r="34840" spans="18:18" s="2" customFormat="1" ht="12.75" x14ac:dyDescent="0.2">
      <c r="R34840" s="1288"/>
    </row>
    <row r="34841" spans="18:18" s="2" customFormat="1" ht="12.75" x14ac:dyDescent="0.2">
      <c r="R34841" s="1288"/>
    </row>
    <row r="34842" spans="18:18" s="2" customFormat="1" ht="12.75" x14ac:dyDescent="0.2">
      <c r="R34842" s="1288"/>
    </row>
    <row r="34843" spans="18:18" s="2" customFormat="1" ht="12.75" x14ac:dyDescent="0.2">
      <c r="R34843" s="1288"/>
    </row>
    <row r="34844" spans="18:18" s="2" customFormat="1" ht="12.75" x14ac:dyDescent="0.2">
      <c r="R34844" s="1288"/>
    </row>
    <row r="34845" spans="18:18" s="2" customFormat="1" ht="12.75" x14ac:dyDescent="0.2">
      <c r="R34845" s="1288"/>
    </row>
    <row r="34846" spans="18:18" s="2" customFormat="1" ht="12.75" x14ac:dyDescent="0.2">
      <c r="R34846" s="1288"/>
    </row>
    <row r="34847" spans="18:18" s="2" customFormat="1" ht="12.75" x14ac:dyDescent="0.2">
      <c r="R34847" s="1288"/>
    </row>
    <row r="34848" spans="18:18" s="2" customFormat="1" ht="12.75" x14ac:dyDescent="0.2">
      <c r="R34848" s="1288"/>
    </row>
    <row r="34849" spans="18:18" s="2" customFormat="1" ht="12.75" x14ac:dyDescent="0.2">
      <c r="R34849" s="1288"/>
    </row>
    <row r="34850" spans="18:18" s="2" customFormat="1" ht="12.75" x14ac:dyDescent="0.2">
      <c r="R34850" s="1288"/>
    </row>
    <row r="34851" spans="18:18" s="2" customFormat="1" ht="12.75" x14ac:dyDescent="0.2">
      <c r="R34851" s="1288"/>
    </row>
    <row r="34852" spans="18:18" s="2" customFormat="1" ht="12.75" x14ac:dyDescent="0.2">
      <c r="R34852" s="1288"/>
    </row>
    <row r="34853" spans="18:18" s="2" customFormat="1" ht="12.75" x14ac:dyDescent="0.2">
      <c r="R34853" s="1288"/>
    </row>
    <row r="34854" spans="18:18" s="2" customFormat="1" ht="12.75" x14ac:dyDescent="0.2">
      <c r="R34854" s="1288"/>
    </row>
    <row r="34855" spans="18:18" s="2" customFormat="1" ht="12.75" x14ac:dyDescent="0.2">
      <c r="R34855" s="1288"/>
    </row>
    <row r="34856" spans="18:18" s="2" customFormat="1" ht="12.75" x14ac:dyDescent="0.2">
      <c r="R34856" s="1288"/>
    </row>
    <row r="34857" spans="18:18" s="2" customFormat="1" ht="12.75" x14ac:dyDescent="0.2">
      <c r="R34857" s="1288"/>
    </row>
    <row r="34858" spans="18:18" s="2" customFormat="1" ht="12.75" x14ac:dyDescent="0.2">
      <c r="R34858" s="1288"/>
    </row>
    <row r="34859" spans="18:18" s="2" customFormat="1" ht="12.75" x14ac:dyDescent="0.2">
      <c r="R34859" s="1288"/>
    </row>
    <row r="34860" spans="18:18" s="2" customFormat="1" ht="12.75" x14ac:dyDescent="0.2">
      <c r="R34860" s="1288"/>
    </row>
    <row r="34861" spans="18:18" s="2" customFormat="1" ht="12.75" x14ac:dyDescent="0.2">
      <c r="R34861" s="1288"/>
    </row>
    <row r="34862" spans="18:18" s="2" customFormat="1" ht="12.75" x14ac:dyDescent="0.2">
      <c r="R34862" s="1288"/>
    </row>
    <row r="34863" spans="18:18" s="2" customFormat="1" ht="12.75" x14ac:dyDescent="0.2">
      <c r="R34863" s="1288"/>
    </row>
    <row r="34864" spans="18:18" s="2" customFormat="1" ht="12.75" x14ac:dyDescent="0.2">
      <c r="R34864" s="1288"/>
    </row>
    <row r="34865" spans="18:18" s="2" customFormat="1" ht="12.75" x14ac:dyDescent="0.2">
      <c r="R34865" s="1288"/>
    </row>
    <row r="34866" spans="18:18" s="2" customFormat="1" ht="12.75" x14ac:dyDescent="0.2">
      <c r="R34866" s="1288"/>
    </row>
    <row r="34867" spans="18:18" s="2" customFormat="1" ht="12.75" x14ac:dyDescent="0.2">
      <c r="R34867" s="1288"/>
    </row>
    <row r="34868" spans="18:18" s="2" customFormat="1" ht="12.75" x14ac:dyDescent="0.2">
      <c r="R34868" s="1288"/>
    </row>
    <row r="34869" spans="18:18" s="2" customFormat="1" ht="12.75" x14ac:dyDescent="0.2">
      <c r="R34869" s="1288"/>
    </row>
    <row r="34870" spans="18:18" s="2" customFormat="1" ht="12.75" x14ac:dyDescent="0.2">
      <c r="R34870" s="1288"/>
    </row>
    <row r="34871" spans="18:18" s="2" customFormat="1" ht="12.75" x14ac:dyDescent="0.2">
      <c r="R34871" s="1288"/>
    </row>
    <row r="34872" spans="18:18" s="2" customFormat="1" ht="12.75" x14ac:dyDescent="0.2">
      <c r="R34872" s="1288"/>
    </row>
    <row r="34873" spans="18:18" s="2" customFormat="1" ht="12.75" x14ac:dyDescent="0.2">
      <c r="R34873" s="1288"/>
    </row>
    <row r="34874" spans="18:18" s="2" customFormat="1" ht="12.75" x14ac:dyDescent="0.2">
      <c r="R34874" s="1288"/>
    </row>
    <row r="34875" spans="18:18" s="2" customFormat="1" ht="12.75" x14ac:dyDescent="0.2">
      <c r="R34875" s="1288"/>
    </row>
    <row r="34876" spans="18:18" s="2" customFormat="1" ht="12.75" x14ac:dyDescent="0.2">
      <c r="R34876" s="1288"/>
    </row>
    <row r="34877" spans="18:18" s="2" customFormat="1" ht="12.75" x14ac:dyDescent="0.2">
      <c r="R34877" s="1288"/>
    </row>
    <row r="34878" spans="18:18" s="2" customFormat="1" ht="12.75" x14ac:dyDescent="0.2">
      <c r="R34878" s="1288"/>
    </row>
    <row r="34879" spans="18:18" s="2" customFormat="1" ht="12.75" x14ac:dyDescent="0.2">
      <c r="R34879" s="1288"/>
    </row>
    <row r="34880" spans="18:18" s="2" customFormat="1" ht="12.75" x14ac:dyDescent="0.2">
      <c r="R34880" s="1288"/>
    </row>
    <row r="34881" spans="18:18" s="2" customFormat="1" ht="12.75" x14ac:dyDescent="0.2">
      <c r="R34881" s="1288"/>
    </row>
    <row r="34882" spans="18:18" s="2" customFormat="1" ht="12.75" x14ac:dyDescent="0.2">
      <c r="R34882" s="1288"/>
    </row>
    <row r="34883" spans="18:18" s="2" customFormat="1" ht="12.75" x14ac:dyDescent="0.2">
      <c r="R34883" s="1288"/>
    </row>
    <row r="34884" spans="18:18" s="2" customFormat="1" ht="12.75" x14ac:dyDescent="0.2">
      <c r="R34884" s="1288"/>
    </row>
    <row r="34885" spans="18:18" s="2" customFormat="1" ht="12.75" x14ac:dyDescent="0.2">
      <c r="R34885" s="1288"/>
    </row>
    <row r="34886" spans="18:18" s="2" customFormat="1" ht="12.75" x14ac:dyDescent="0.2">
      <c r="R34886" s="1288"/>
    </row>
    <row r="34887" spans="18:18" s="2" customFormat="1" ht="12.75" x14ac:dyDescent="0.2">
      <c r="R34887" s="1288"/>
    </row>
    <row r="34888" spans="18:18" s="2" customFormat="1" ht="12.75" x14ac:dyDescent="0.2">
      <c r="R34888" s="1288"/>
    </row>
    <row r="34889" spans="18:18" s="2" customFormat="1" ht="12.75" x14ac:dyDescent="0.2">
      <c r="R34889" s="1288"/>
    </row>
    <row r="34890" spans="18:18" s="2" customFormat="1" ht="12.75" x14ac:dyDescent="0.2">
      <c r="R34890" s="1288"/>
    </row>
    <row r="34891" spans="18:18" s="2" customFormat="1" ht="12.75" x14ac:dyDescent="0.2">
      <c r="R34891" s="1288"/>
    </row>
    <row r="34892" spans="18:18" s="2" customFormat="1" ht="12.75" x14ac:dyDescent="0.2">
      <c r="R34892" s="1288"/>
    </row>
    <row r="34893" spans="18:18" s="2" customFormat="1" ht="12.75" x14ac:dyDescent="0.2">
      <c r="R34893" s="1288"/>
    </row>
    <row r="34894" spans="18:18" s="2" customFormat="1" ht="12.75" x14ac:dyDescent="0.2">
      <c r="R34894" s="1288"/>
    </row>
    <row r="34895" spans="18:18" s="2" customFormat="1" ht="12.75" x14ac:dyDescent="0.2">
      <c r="R34895" s="1288"/>
    </row>
    <row r="34896" spans="18:18" s="2" customFormat="1" ht="12.75" x14ac:dyDescent="0.2">
      <c r="R34896" s="1288"/>
    </row>
    <row r="34897" spans="18:18" s="2" customFormat="1" ht="12.75" x14ac:dyDescent="0.2">
      <c r="R34897" s="1288"/>
    </row>
    <row r="34898" spans="18:18" s="2" customFormat="1" ht="12.75" x14ac:dyDescent="0.2">
      <c r="R34898" s="1288"/>
    </row>
    <row r="34899" spans="18:18" s="2" customFormat="1" ht="12.75" x14ac:dyDescent="0.2">
      <c r="R34899" s="1288"/>
    </row>
    <row r="34900" spans="18:18" s="2" customFormat="1" ht="12.75" x14ac:dyDescent="0.2">
      <c r="R34900" s="1288"/>
    </row>
    <row r="34901" spans="18:18" s="2" customFormat="1" ht="12.75" x14ac:dyDescent="0.2">
      <c r="R34901" s="1288"/>
    </row>
    <row r="34902" spans="18:18" s="2" customFormat="1" ht="12.75" x14ac:dyDescent="0.2">
      <c r="R34902" s="1288"/>
    </row>
    <row r="34903" spans="18:18" s="2" customFormat="1" ht="12.75" x14ac:dyDescent="0.2">
      <c r="R34903" s="1288"/>
    </row>
    <row r="34904" spans="18:18" s="2" customFormat="1" ht="12.75" x14ac:dyDescent="0.2">
      <c r="R34904" s="1288"/>
    </row>
    <row r="34905" spans="18:18" s="2" customFormat="1" ht="12.75" x14ac:dyDescent="0.2">
      <c r="R34905" s="1288"/>
    </row>
    <row r="34906" spans="18:18" s="2" customFormat="1" ht="12.75" x14ac:dyDescent="0.2">
      <c r="R34906" s="1288"/>
    </row>
    <row r="34907" spans="18:18" s="2" customFormat="1" ht="12.75" x14ac:dyDescent="0.2">
      <c r="R34907" s="1288"/>
    </row>
    <row r="34908" spans="18:18" s="2" customFormat="1" ht="12.75" x14ac:dyDescent="0.2">
      <c r="R34908" s="1288"/>
    </row>
    <row r="34909" spans="18:18" s="2" customFormat="1" ht="12.75" x14ac:dyDescent="0.2">
      <c r="R34909" s="1288"/>
    </row>
    <row r="34910" spans="18:18" s="2" customFormat="1" ht="12.75" x14ac:dyDescent="0.2">
      <c r="R34910" s="1288"/>
    </row>
    <row r="34911" spans="18:18" s="2" customFormat="1" ht="12.75" x14ac:dyDescent="0.2">
      <c r="R34911" s="1288"/>
    </row>
    <row r="34912" spans="18:18" s="2" customFormat="1" ht="12.75" x14ac:dyDescent="0.2">
      <c r="R34912" s="1288"/>
    </row>
    <row r="34913" spans="18:18" s="2" customFormat="1" ht="12.75" x14ac:dyDescent="0.2">
      <c r="R34913" s="1288"/>
    </row>
    <row r="34914" spans="18:18" s="2" customFormat="1" ht="12.75" x14ac:dyDescent="0.2">
      <c r="R34914" s="1288"/>
    </row>
    <row r="34915" spans="18:18" s="2" customFormat="1" ht="12.75" x14ac:dyDescent="0.2">
      <c r="R34915" s="1288"/>
    </row>
    <row r="34916" spans="18:18" s="2" customFormat="1" ht="12.75" x14ac:dyDescent="0.2">
      <c r="R34916" s="1288"/>
    </row>
    <row r="34917" spans="18:18" s="2" customFormat="1" ht="12.75" x14ac:dyDescent="0.2">
      <c r="R34917" s="1288"/>
    </row>
    <row r="34918" spans="18:18" s="2" customFormat="1" ht="12.75" x14ac:dyDescent="0.2">
      <c r="R34918" s="1288"/>
    </row>
    <row r="34919" spans="18:18" s="2" customFormat="1" ht="12.75" x14ac:dyDescent="0.2">
      <c r="R34919" s="1288"/>
    </row>
    <row r="34920" spans="18:18" s="2" customFormat="1" ht="12.75" x14ac:dyDescent="0.2">
      <c r="R34920" s="1288"/>
    </row>
    <row r="34921" spans="18:18" s="2" customFormat="1" ht="12.75" x14ac:dyDescent="0.2">
      <c r="R34921" s="1288"/>
    </row>
    <row r="34922" spans="18:18" s="2" customFormat="1" ht="12.75" x14ac:dyDescent="0.2">
      <c r="R34922" s="1288"/>
    </row>
    <row r="34923" spans="18:18" s="2" customFormat="1" ht="12.75" x14ac:dyDescent="0.2">
      <c r="R34923" s="1288"/>
    </row>
    <row r="34924" spans="18:18" s="2" customFormat="1" ht="12.75" x14ac:dyDescent="0.2">
      <c r="R34924" s="1288"/>
    </row>
    <row r="34925" spans="18:18" s="2" customFormat="1" ht="12.75" x14ac:dyDescent="0.2">
      <c r="R34925" s="1288"/>
    </row>
    <row r="34926" spans="18:18" s="2" customFormat="1" ht="12.75" x14ac:dyDescent="0.2">
      <c r="R34926" s="1288"/>
    </row>
    <row r="34927" spans="18:18" s="2" customFormat="1" ht="12.75" x14ac:dyDescent="0.2">
      <c r="R34927" s="1288"/>
    </row>
    <row r="34928" spans="18:18" s="2" customFormat="1" ht="12.75" x14ac:dyDescent="0.2">
      <c r="R34928" s="1288"/>
    </row>
    <row r="34929" spans="18:18" s="2" customFormat="1" ht="12.75" x14ac:dyDescent="0.2">
      <c r="R34929" s="1288"/>
    </row>
    <row r="34930" spans="18:18" s="2" customFormat="1" ht="12.75" x14ac:dyDescent="0.2">
      <c r="R34930" s="1288"/>
    </row>
    <row r="34931" spans="18:18" s="2" customFormat="1" ht="12.75" x14ac:dyDescent="0.2">
      <c r="R34931" s="1288"/>
    </row>
    <row r="34932" spans="18:18" s="2" customFormat="1" ht="12.75" x14ac:dyDescent="0.2">
      <c r="R34932" s="1288"/>
    </row>
    <row r="34933" spans="18:18" s="2" customFormat="1" ht="12.75" x14ac:dyDescent="0.2">
      <c r="R34933" s="1288"/>
    </row>
    <row r="34934" spans="18:18" s="2" customFormat="1" ht="12.75" x14ac:dyDescent="0.2">
      <c r="R34934" s="1288"/>
    </row>
    <row r="34935" spans="18:18" s="2" customFormat="1" ht="12.75" x14ac:dyDescent="0.2">
      <c r="R34935" s="1288"/>
    </row>
    <row r="34936" spans="18:18" s="2" customFormat="1" ht="12.75" x14ac:dyDescent="0.2">
      <c r="R34936" s="1288"/>
    </row>
    <row r="34937" spans="18:18" s="2" customFormat="1" ht="12.75" x14ac:dyDescent="0.2">
      <c r="R34937" s="1288"/>
    </row>
    <row r="34938" spans="18:18" s="2" customFormat="1" ht="12.75" x14ac:dyDescent="0.2">
      <c r="R34938" s="1288"/>
    </row>
    <row r="34939" spans="18:18" s="2" customFormat="1" ht="12.75" x14ac:dyDescent="0.2">
      <c r="R34939" s="1288"/>
    </row>
    <row r="34940" spans="18:18" s="2" customFormat="1" ht="12.75" x14ac:dyDescent="0.2">
      <c r="R34940" s="1288"/>
    </row>
    <row r="34941" spans="18:18" s="2" customFormat="1" ht="12.75" x14ac:dyDescent="0.2">
      <c r="R34941" s="1288"/>
    </row>
    <row r="34942" spans="18:18" s="2" customFormat="1" ht="12.75" x14ac:dyDescent="0.2">
      <c r="R34942" s="1288"/>
    </row>
    <row r="34943" spans="18:18" s="2" customFormat="1" ht="12.75" x14ac:dyDescent="0.2">
      <c r="R34943" s="1288"/>
    </row>
    <row r="34944" spans="18:18" s="2" customFormat="1" ht="12.75" x14ac:dyDescent="0.2">
      <c r="R34944" s="1288"/>
    </row>
    <row r="34945" spans="18:18" s="2" customFormat="1" ht="12.75" x14ac:dyDescent="0.2">
      <c r="R34945" s="1288"/>
    </row>
    <row r="34946" spans="18:18" s="2" customFormat="1" ht="12.75" x14ac:dyDescent="0.2">
      <c r="R34946" s="1288"/>
    </row>
    <row r="34947" spans="18:18" s="2" customFormat="1" ht="12.75" x14ac:dyDescent="0.2">
      <c r="R34947" s="1288"/>
    </row>
    <row r="34948" spans="18:18" s="2" customFormat="1" ht="12.75" x14ac:dyDescent="0.2">
      <c r="R34948" s="1288"/>
    </row>
    <row r="34949" spans="18:18" s="2" customFormat="1" ht="12.75" x14ac:dyDescent="0.2">
      <c r="R34949" s="1288"/>
    </row>
    <row r="34950" spans="18:18" s="2" customFormat="1" ht="12.75" x14ac:dyDescent="0.2">
      <c r="R34950" s="1288"/>
    </row>
    <row r="34951" spans="18:18" s="2" customFormat="1" ht="12.75" x14ac:dyDescent="0.2">
      <c r="R34951" s="1288"/>
    </row>
    <row r="34952" spans="18:18" s="2" customFormat="1" ht="12.75" x14ac:dyDescent="0.2">
      <c r="R34952" s="1288"/>
    </row>
    <row r="34953" spans="18:18" s="2" customFormat="1" ht="12.75" x14ac:dyDescent="0.2">
      <c r="R34953" s="1288"/>
    </row>
    <row r="34954" spans="18:18" s="2" customFormat="1" ht="12.75" x14ac:dyDescent="0.2">
      <c r="R34954" s="1288"/>
    </row>
    <row r="34955" spans="18:18" s="2" customFormat="1" ht="12.75" x14ac:dyDescent="0.2">
      <c r="R34955" s="1288"/>
    </row>
    <row r="34956" spans="18:18" s="2" customFormat="1" ht="12.75" x14ac:dyDescent="0.2">
      <c r="R34956" s="1288"/>
    </row>
    <row r="34957" spans="18:18" s="2" customFormat="1" ht="12.75" x14ac:dyDescent="0.2">
      <c r="R34957" s="1288"/>
    </row>
    <row r="34958" spans="18:18" s="2" customFormat="1" ht="12.75" x14ac:dyDescent="0.2">
      <c r="R34958" s="1288"/>
    </row>
    <row r="34959" spans="18:18" s="2" customFormat="1" ht="12.75" x14ac:dyDescent="0.2">
      <c r="R34959" s="1288"/>
    </row>
    <row r="34960" spans="18:18" s="2" customFormat="1" ht="12.75" x14ac:dyDescent="0.2">
      <c r="R34960" s="1288"/>
    </row>
    <row r="34961" spans="18:18" s="2" customFormat="1" ht="12.75" x14ac:dyDescent="0.2">
      <c r="R34961" s="1288"/>
    </row>
    <row r="34962" spans="18:18" s="2" customFormat="1" ht="12.75" x14ac:dyDescent="0.2">
      <c r="R34962" s="1288"/>
    </row>
    <row r="34963" spans="18:18" s="2" customFormat="1" ht="12.75" x14ac:dyDescent="0.2">
      <c r="R34963" s="1288"/>
    </row>
    <row r="34964" spans="18:18" s="2" customFormat="1" ht="12.75" x14ac:dyDescent="0.2">
      <c r="R34964" s="1288"/>
    </row>
    <row r="34965" spans="18:18" s="2" customFormat="1" ht="12.75" x14ac:dyDescent="0.2">
      <c r="R34965" s="1288"/>
    </row>
    <row r="34966" spans="18:18" s="2" customFormat="1" ht="12.75" x14ac:dyDescent="0.2">
      <c r="R34966" s="1288"/>
    </row>
    <row r="34967" spans="18:18" s="2" customFormat="1" ht="12.75" x14ac:dyDescent="0.2">
      <c r="R34967" s="1288"/>
    </row>
    <row r="34968" spans="18:18" s="2" customFormat="1" ht="12.75" x14ac:dyDescent="0.2">
      <c r="R34968" s="1288"/>
    </row>
    <row r="34969" spans="18:18" s="2" customFormat="1" ht="12.75" x14ac:dyDescent="0.2">
      <c r="R34969" s="1288"/>
    </row>
    <row r="34970" spans="18:18" s="2" customFormat="1" ht="12.75" x14ac:dyDescent="0.2">
      <c r="R34970" s="1288"/>
    </row>
    <row r="34971" spans="18:18" s="2" customFormat="1" ht="12.75" x14ac:dyDescent="0.2">
      <c r="R34971" s="1288"/>
    </row>
    <row r="34972" spans="18:18" s="2" customFormat="1" ht="12.75" x14ac:dyDescent="0.2">
      <c r="R34972" s="1288"/>
    </row>
    <row r="34973" spans="18:18" s="2" customFormat="1" ht="12.75" x14ac:dyDescent="0.2">
      <c r="R34973" s="1288"/>
    </row>
    <row r="34974" spans="18:18" s="2" customFormat="1" ht="12.75" x14ac:dyDescent="0.2">
      <c r="R34974" s="1288"/>
    </row>
    <row r="34975" spans="18:18" s="2" customFormat="1" ht="12.75" x14ac:dyDescent="0.2">
      <c r="R34975" s="1288"/>
    </row>
    <row r="34976" spans="18:18" s="2" customFormat="1" ht="12.75" x14ac:dyDescent="0.2">
      <c r="R34976" s="1288"/>
    </row>
    <row r="34977" spans="18:18" s="2" customFormat="1" ht="12.75" x14ac:dyDescent="0.2">
      <c r="R34977" s="1288"/>
    </row>
    <row r="34978" spans="18:18" s="2" customFormat="1" ht="12.75" x14ac:dyDescent="0.2">
      <c r="R34978" s="1288"/>
    </row>
    <row r="34979" spans="18:18" s="2" customFormat="1" ht="12.75" x14ac:dyDescent="0.2">
      <c r="R34979" s="1288"/>
    </row>
    <row r="34980" spans="18:18" s="2" customFormat="1" ht="12.75" x14ac:dyDescent="0.2">
      <c r="R34980" s="1288"/>
    </row>
    <row r="34981" spans="18:18" s="2" customFormat="1" ht="12.75" x14ac:dyDescent="0.2">
      <c r="R34981" s="1288"/>
    </row>
    <row r="34982" spans="18:18" s="2" customFormat="1" ht="12.75" x14ac:dyDescent="0.2">
      <c r="R34982" s="1288"/>
    </row>
    <row r="34983" spans="18:18" s="2" customFormat="1" ht="12.75" x14ac:dyDescent="0.2">
      <c r="R34983" s="1288"/>
    </row>
    <row r="34984" spans="18:18" s="2" customFormat="1" ht="12.75" x14ac:dyDescent="0.2">
      <c r="R34984" s="1288"/>
    </row>
    <row r="34985" spans="18:18" s="2" customFormat="1" ht="12.75" x14ac:dyDescent="0.2">
      <c r="R34985" s="1288"/>
    </row>
    <row r="34986" spans="18:18" s="2" customFormat="1" ht="12.75" x14ac:dyDescent="0.2">
      <c r="R34986" s="1288"/>
    </row>
    <row r="34987" spans="18:18" s="2" customFormat="1" ht="12.75" x14ac:dyDescent="0.2">
      <c r="R34987" s="1288"/>
    </row>
    <row r="34988" spans="18:18" s="2" customFormat="1" ht="12.75" x14ac:dyDescent="0.2">
      <c r="R34988" s="1288"/>
    </row>
    <row r="34989" spans="18:18" s="2" customFormat="1" ht="12.75" x14ac:dyDescent="0.2">
      <c r="R34989" s="1288"/>
    </row>
    <row r="34990" spans="18:18" s="2" customFormat="1" ht="12.75" x14ac:dyDescent="0.2">
      <c r="R34990" s="1288"/>
    </row>
    <row r="34991" spans="18:18" s="2" customFormat="1" ht="12.75" x14ac:dyDescent="0.2">
      <c r="R34991" s="1288"/>
    </row>
    <row r="34992" spans="18:18" s="2" customFormat="1" ht="12.75" x14ac:dyDescent="0.2">
      <c r="R34992" s="1288"/>
    </row>
    <row r="34993" spans="18:18" s="2" customFormat="1" ht="12.75" x14ac:dyDescent="0.2">
      <c r="R34993" s="1288"/>
    </row>
    <row r="34994" spans="18:18" s="2" customFormat="1" ht="12.75" x14ac:dyDescent="0.2">
      <c r="R34994" s="1288"/>
    </row>
    <row r="34995" spans="18:18" s="2" customFormat="1" ht="12.75" x14ac:dyDescent="0.2">
      <c r="R34995" s="1288"/>
    </row>
    <row r="34996" spans="18:18" s="2" customFormat="1" ht="12.75" x14ac:dyDescent="0.2">
      <c r="R34996" s="1288"/>
    </row>
    <row r="34997" spans="18:18" s="2" customFormat="1" ht="12.75" x14ac:dyDescent="0.2">
      <c r="R34997" s="1288"/>
    </row>
    <row r="34998" spans="18:18" s="2" customFormat="1" ht="12.75" x14ac:dyDescent="0.2">
      <c r="R34998" s="1288"/>
    </row>
    <row r="34999" spans="18:18" s="2" customFormat="1" ht="12.75" x14ac:dyDescent="0.2">
      <c r="R34999" s="1288"/>
    </row>
    <row r="35000" spans="18:18" s="2" customFormat="1" ht="12.75" x14ac:dyDescent="0.2">
      <c r="R35000" s="1288"/>
    </row>
    <row r="35001" spans="18:18" s="2" customFormat="1" ht="12.75" x14ac:dyDescent="0.2">
      <c r="R35001" s="1288"/>
    </row>
    <row r="35002" spans="18:18" s="2" customFormat="1" ht="12.75" x14ac:dyDescent="0.2">
      <c r="R35002" s="1288"/>
    </row>
    <row r="35003" spans="18:18" s="2" customFormat="1" ht="12.75" x14ac:dyDescent="0.2">
      <c r="R35003" s="1288"/>
    </row>
    <row r="35004" spans="18:18" s="2" customFormat="1" ht="12.75" x14ac:dyDescent="0.2">
      <c r="R35004" s="1288"/>
    </row>
    <row r="35005" spans="18:18" s="2" customFormat="1" ht="12.75" x14ac:dyDescent="0.2">
      <c r="R35005" s="1288"/>
    </row>
    <row r="35006" spans="18:18" s="2" customFormat="1" ht="12.75" x14ac:dyDescent="0.2">
      <c r="R35006" s="1288"/>
    </row>
    <row r="35007" spans="18:18" s="2" customFormat="1" ht="12.75" x14ac:dyDescent="0.2">
      <c r="R35007" s="1288"/>
    </row>
    <row r="35008" spans="18:18" s="2" customFormat="1" ht="12.75" x14ac:dyDescent="0.2">
      <c r="R35008" s="1288"/>
    </row>
    <row r="35009" spans="18:18" s="2" customFormat="1" ht="12.75" x14ac:dyDescent="0.2">
      <c r="R35009" s="1288"/>
    </row>
    <row r="35010" spans="18:18" s="2" customFormat="1" ht="12.75" x14ac:dyDescent="0.2">
      <c r="R35010" s="1288"/>
    </row>
    <row r="35011" spans="18:18" s="2" customFormat="1" ht="12.75" x14ac:dyDescent="0.2">
      <c r="R35011" s="1288"/>
    </row>
    <row r="35012" spans="18:18" s="2" customFormat="1" ht="12.75" x14ac:dyDescent="0.2">
      <c r="R35012" s="1288"/>
    </row>
    <row r="35013" spans="18:18" s="2" customFormat="1" ht="12.75" x14ac:dyDescent="0.2">
      <c r="R35013" s="1288"/>
    </row>
    <row r="35014" spans="18:18" s="2" customFormat="1" ht="12.75" x14ac:dyDescent="0.2">
      <c r="R35014" s="1288"/>
    </row>
    <row r="35015" spans="18:18" s="2" customFormat="1" ht="12.75" x14ac:dyDescent="0.2">
      <c r="R35015" s="1288"/>
    </row>
    <row r="35016" spans="18:18" s="2" customFormat="1" ht="12.75" x14ac:dyDescent="0.2">
      <c r="R35016" s="1288"/>
    </row>
    <row r="35017" spans="18:18" s="2" customFormat="1" ht="12.75" x14ac:dyDescent="0.2">
      <c r="R35017" s="1288"/>
    </row>
    <row r="35018" spans="18:18" s="2" customFormat="1" ht="12.75" x14ac:dyDescent="0.2">
      <c r="R35018" s="1288"/>
    </row>
    <row r="35019" spans="18:18" s="2" customFormat="1" ht="12.75" x14ac:dyDescent="0.2">
      <c r="R35019" s="1288"/>
    </row>
    <row r="35020" spans="18:18" s="2" customFormat="1" ht="12.75" x14ac:dyDescent="0.2">
      <c r="R35020" s="1288"/>
    </row>
    <row r="35021" spans="18:18" s="2" customFormat="1" ht="12.75" x14ac:dyDescent="0.2">
      <c r="R35021" s="1288"/>
    </row>
    <row r="35022" spans="18:18" s="2" customFormat="1" ht="12.75" x14ac:dyDescent="0.2">
      <c r="R35022" s="1288"/>
    </row>
    <row r="35023" spans="18:18" s="2" customFormat="1" ht="12.75" x14ac:dyDescent="0.2">
      <c r="R35023" s="1288"/>
    </row>
    <row r="35024" spans="18:18" s="2" customFormat="1" ht="12.75" x14ac:dyDescent="0.2">
      <c r="R35024" s="1288"/>
    </row>
    <row r="35025" spans="18:18" s="2" customFormat="1" ht="12.75" x14ac:dyDescent="0.2">
      <c r="R35025" s="1288"/>
    </row>
    <row r="35026" spans="18:18" s="2" customFormat="1" ht="12.75" x14ac:dyDescent="0.2">
      <c r="R35026" s="1288"/>
    </row>
    <row r="35027" spans="18:18" s="2" customFormat="1" ht="12.75" x14ac:dyDescent="0.2">
      <c r="R35027" s="1288"/>
    </row>
    <row r="35028" spans="18:18" s="2" customFormat="1" ht="12.75" x14ac:dyDescent="0.2">
      <c r="R35028" s="1288"/>
    </row>
    <row r="35029" spans="18:18" s="2" customFormat="1" ht="12.75" x14ac:dyDescent="0.2">
      <c r="R35029" s="1288"/>
    </row>
    <row r="35030" spans="18:18" s="2" customFormat="1" ht="12.75" x14ac:dyDescent="0.2">
      <c r="R35030" s="1288"/>
    </row>
    <row r="35031" spans="18:18" s="2" customFormat="1" ht="12.75" x14ac:dyDescent="0.2">
      <c r="R35031" s="1288"/>
    </row>
    <row r="35032" spans="18:18" s="2" customFormat="1" ht="12.75" x14ac:dyDescent="0.2">
      <c r="R35032" s="1288"/>
    </row>
    <row r="35033" spans="18:18" s="2" customFormat="1" ht="12.75" x14ac:dyDescent="0.2">
      <c r="R35033" s="1288"/>
    </row>
    <row r="35034" spans="18:18" s="2" customFormat="1" ht="12.75" x14ac:dyDescent="0.2">
      <c r="R35034" s="1288"/>
    </row>
    <row r="35035" spans="18:18" s="2" customFormat="1" ht="12.75" x14ac:dyDescent="0.2">
      <c r="R35035" s="1288"/>
    </row>
    <row r="35036" spans="18:18" s="2" customFormat="1" ht="12.75" x14ac:dyDescent="0.2">
      <c r="R35036" s="1288"/>
    </row>
    <row r="35037" spans="18:18" s="2" customFormat="1" ht="12.75" x14ac:dyDescent="0.2">
      <c r="R35037" s="1288"/>
    </row>
    <row r="35038" spans="18:18" s="2" customFormat="1" ht="12.75" x14ac:dyDescent="0.2">
      <c r="R35038" s="1288"/>
    </row>
    <row r="35039" spans="18:18" s="2" customFormat="1" ht="12.75" x14ac:dyDescent="0.2">
      <c r="R35039" s="1288"/>
    </row>
    <row r="35040" spans="18:18" s="2" customFormat="1" ht="12.75" x14ac:dyDescent="0.2">
      <c r="R35040" s="1288"/>
    </row>
    <row r="35041" spans="18:18" s="2" customFormat="1" ht="12.75" x14ac:dyDescent="0.2">
      <c r="R35041" s="1288"/>
    </row>
    <row r="35042" spans="18:18" s="2" customFormat="1" ht="12.75" x14ac:dyDescent="0.2">
      <c r="R35042" s="1288"/>
    </row>
    <row r="35043" spans="18:18" s="2" customFormat="1" ht="12.75" x14ac:dyDescent="0.2">
      <c r="R35043" s="1288"/>
    </row>
    <row r="35044" spans="18:18" s="2" customFormat="1" ht="12.75" x14ac:dyDescent="0.2">
      <c r="R35044" s="1288"/>
    </row>
    <row r="35045" spans="18:18" s="2" customFormat="1" ht="12.75" x14ac:dyDescent="0.2">
      <c r="R35045" s="1288"/>
    </row>
    <row r="35046" spans="18:18" s="2" customFormat="1" ht="12.75" x14ac:dyDescent="0.2">
      <c r="R35046" s="1288"/>
    </row>
    <row r="35047" spans="18:18" s="2" customFormat="1" ht="12.75" x14ac:dyDescent="0.2">
      <c r="R35047" s="1288"/>
    </row>
    <row r="35048" spans="18:18" s="2" customFormat="1" ht="12.75" x14ac:dyDescent="0.2">
      <c r="R35048" s="1288"/>
    </row>
    <row r="35049" spans="18:18" s="2" customFormat="1" ht="12.75" x14ac:dyDescent="0.2">
      <c r="R35049" s="1288"/>
    </row>
    <row r="35050" spans="18:18" s="2" customFormat="1" ht="12.75" x14ac:dyDescent="0.2">
      <c r="R35050" s="1288"/>
    </row>
    <row r="35051" spans="18:18" s="2" customFormat="1" ht="12.75" x14ac:dyDescent="0.2">
      <c r="R35051" s="1288"/>
    </row>
    <row r="35052" spans="18:18" s="2" customFormat="1" ht="12.75" x14ac:dyDescent="0.2">
      <c r="R35052" s="1288"/>
    </row>
    <row r="35053" spans="18:18" s="2" customFormat="1" ht="12.75" x14ac:dyDescent="0.2">
      <c r="R35053" s="1288"/>
    </row>
    <row r="35054" spans="18:18" s="2" customFormat="1" ht="12.75" x14ac:dyDescent="0.2">
      <c r="R35054" s="1288"/>
    </row>
    <row r="35055" spans="18:18" s="2" customFormat="1" ht="12.75" x14ac:dyDescent="0.2">
      <c r="R35055" s="1288"/>
    </row>
    <row r="35056" spans="18:18" s="2" customFormat="1" ht="12.75" x14ac:dyDescent="0.2">
      <c r="R35056" s="1288"/>
    </row>
    <row r="35057" spans="18:18" s="2" customFormat="1" ht="12.75" x14ac:dyDescent="0.2">
      <c r="R35057" s="1288"/>
    </row>
    <row r="35058" spans="18:18" s="2" customFormat="1" ht="12.75" x14ac:dyDescent="0.2">
      <c r="R35058" s="1288"/>
    </row>
    <row r="35059" spans="18:18" s="2" customFormat="1" ht="12.75" x14ac:dyDescent="0.2">
      <c r="R35059" s="1288"/>
    </row>
    <row r="35060" spans="18:18" s="2" customFormat="1" ht="12.75" x14ac:dyDescent="0.2">
      <c r="R35060" s="1288"/>
    </row>
    <row r="35061" spans="18:18" s="2" customFormat="1" ht="12.75" x14ac:dyDescent="0.2">
      <c r="R35061" s="1288"/>
    </row>
    <row r="35062" spans="18:18" s="2" customFormat="1" ht="12.75" x14ac:dyDescent="0.2">
      <c r="R35062" s="1288"/>
    </row>
    <row r="35063" spans="18:18" s="2" customFormat="1" ht="12.75" x14ac:dyDescent="0.2">
      <c r="R35063" s="1288"/>
    </row>
    <row r="35064" spans="18:18" s="2" customFormat="1" ht="12.75" x14ac:dyDescent="0.2">
      <c r="R35064" s="1288"/>
    </row>
    <row r="35065" spans="18:18" s="2" customFormat="1" ht="12.75" x14ac:dyDescent="0.2">
      <c r="R35065" s="1288"/>
    </row>
    <row r="35066" spans="18:18" s="2" customFormat="1" ht="12.75" x14ac:dyDescent="0.2">
      <c r="R35066" s="1288"/>
    </row>
    <row r="35067" spans="18:18" s="2" customFormat="1" ht="12.75" x14ac:dyDescent="0.2">
      <c r="R35067" s="1288"/>
    </row>
    <row r="35068" spans="18:18" s="2" customFormat="1" ht="12.75" x14ac:dyDescent="0.2">
      <c r="R35068" s="1288"/>
    </row>
    <row r="35069" spans="18:18" s="2" customFormat="1" ht="12.75" x14ac:dyDescent="0.2">
      <c r="R35069" s="1288"/>
    </row>
    <row r="35070" spans="18:18" s="2" customFormat="1" ht="12.75" x14ac:dyDescent="0.2">
      <c r="R35070" s="1288"/>
    </row>
    <row r="35071" spans="18:18" s="2" customFormat="1" ht="12.75" x14ac:dyDescent="0.2">
      <c r="R35071" s="1288"/>
    </row>
    <row r="35072" spans="18:18" s="2" customFormat="1" ht="12.75" x14ac:dyDescent="0.2">
      <c r="R35072" s="1288"/>
    </row>
    <row r="35073" spans="18:18" s="2" customFormat="1" ht="12.75" x14ac:dyDescent="0.2">
      <c r="R35073" s="1288"/>
    </row>
    <row r="35074" spans="18:18" s="2" customFormat="1" ht="12.75" x14ac:dyDescent="0.2">
      <c r="R35074" s="1288"/>
    </row>
    <row r="35075" spans="18:18" s="2" customFormat="1" ht="12.75" x14ac:dyDescent="0.2">
      <c r="R35075" s="1288"/>
    </row>
    <row r="35076" spans="18:18" s="2" customFormat="1" ht="12.75" x14ac:dyDescent="0.2">
      <c r="R35076" s="1288"/>
    </row>
    <row r="35077" spans="18:18" s="2" customFormat="1" ht="12.75" x14ac:dyDescent="0.2">
      <c r="R35077" s="1288"/>
    </row>
    <row r="35078" spans="18:18" s="2" customFormat="1" ht="12.75" x14ac:dyDescent="0.2">
      <c r="R35078" s="1288"/>
    </row>
    <row r="35079" spans="18:18" s="2" customFormat="1" ht="12.75" x14ac:dyDescent="0.2">
      <c r="R35079" s="1288"/>
    </row>
    <row r="35080" spans="18:18" s="2" customFormat="1" ht="12.75" x14ac:dyDescent="0.2">
      <c r="R35080" s="1288"/>
    </row>
    <row r="35081" spans="18:18" s="2" customFormat="1" ht="12.75" x14ac:dyDescent="0.2">
      <c r="R35081" s="1288"/>
    </row>
    <row r="35082" spans="18:18" s="2" customFormat="1" ht="12.75" x14ac:dyDescent="0.2">
      <c r="R35082" s="1288"/>
    </row>
    <row r="35083" spans="18:18" s="2" customFormat="1" ht="12.75" x14ac:dyDescent="0.2">
      <c r="R35083" s="1288"/>
    </row>
    <row r="35084" spans="18:18" s="2" customFormat="1" ht="12.75" x14ac:dyDescent="0.2">
      <c r="R35084" s="1288"/>
    </row>
    <row r="35085" spans="18:18" s="2" customFormat="1" ht="12.75" x14ac:dyDescent="0.2">
      <c r="R35085" s="1288"/>
    </row>
    <row r="35086" spans="18:18" s="2" customFormat="1" ht="12.75" x14ac:dyDescent="0.2">
      <c r="R35086" s="1288"/>
    </row>
    <row r="35087" spans="18:18" s="2" customFormat="1" ht="12.75" x14ac:dyDescent="0.2">
      <c r="R35087" s="1288"/>
    </row>
    <row r="35088" spans="18:18" s="2" customFormat="1" ht="12.75" x14ac:dyDescent="0.2">
      <c r="R35088" s="1288"/>
    </row>
    <row r="35089" spans="18:18" s="2" customFormat="1" ht="12.75" x14ac:dyDescent="0.2">
      <c r="R35089" s="1288"/>
    </row>
    <row r="35090" spans="18:18" s="2" customFormat="1" ht="12.75" x14ac:dyDescent="0.2">
      <c r="R35090" s="1288"/>
    </row>
    <row r="35091" spans="18:18" s="2" customFormat="1" ht="12.75" x14ac:dyDescent="0.2">
      <c r="R35091" s="1288"/>
    </row>
    <row r="35092" spans="18:18" s="2" customFormat="1" ht="12.75" x14ac:dyDescent="0.2">
      <c r="R35092" s="1288"/>
    </row>
    <row r="35093" spans="18:18" s="2" customFormat="1" ht="12.75" x14ac:dyDescent="0.2">
      <c r="R35093" s="1288"/>
    </row>
    <row r="35094" spans="18:18" s="2" customFormat="1" ht="12.75" x14ac:dyDescent="0.2">
      <c r="R35094" s="1288"/>
    </row>
    <row r="35095" spans="18:18" s="2" customFormat="1" ht="12.75" x14ac:dyDescent="0.2">
      <c r="R35095" s="1288"/>
    </row>
    <row r="35096" spans="18:18" s="2" customFormat="1" ht="12.75" x14ac:dyDescent="0.2">
      <c r="R35096" s="1288"/>
    </row>
    <row r="35097" spans="18:18" s="2" customFormat="1" ht="12.75" x14ac:dyDescent="0.2">
      <c r="R35097" s="1288"/>
    </row>
    <row r="35098" spans="18:18" s="2" customFormat="1" ht="12.75" x14ac:dyDescent="0.2">
      <c r="R35098" s="1288"/>
    </row>
    <row r="35099" spans="18:18" s="2" customFormat="1" ht="12.75" x14ac:dyDescent="0.2">
      <c r="R35099" s="1288"/>
    </row>
    <row r="35100" spans="18:18" s="2" customFormat="1" ht="12.75" x14ac:dyDescent="0.2">
      <c r="R35100" s="1288"/>
    </row>
    <row r="35101" spans="18:18" s="2" customFormat="1" ht="12.75" x14ac:dyDescent="0.2">
      <c r="R35101" s="1288"/>
    </row>
    <row r="35102" spans="18:18" s="2" customFormat="1" ht="12.75" x14ac:dyDescent="0.2">
      <c r="R35102" s="1288"/>
    </row>
    <row r="35103" spans="18:18" s="2" customFormat="1" ht="12.75" x14ac:dyDescent="0.2">
      <c r="R35103" s="1288"/>
    </row>
    <row r="35104" spans="18:18" s="2" customFormat="1" ht="12.75" x14ac:dyDescent="0.2">
      <c r="R35104" s="1288"/>
    </row>
    <row r="35105" spans="18:18" s="2" customFormat="1" ht="12.75" x14ac:dyDescent="0.2">
      <c r="R35105" s="1288"/>
    </row>
    <row r="35106" spans="18:18" s="2" customFormat="1" ht="12.75" x14ac:dyDescent="0.2">
      <c r="R35106" s="1288"/>
    </row>
    <row r="35107" spans="18:18" s="2" customFormat="1" ht="12.75" x14ac:dyDescent="0.2">
      <c r="R35107" s="1288"/>
    </row>
    <row r="35108" spans="18:18" s="2" customFormat="1" ht="12.75" x14ac:dyDescent="0.2">
      <c r="R35108" s="1288"/>
    </row>
    <row r="35109" spans="18:18" s="2" customFormat="1" ht="12.75" x14ac:dyDescent="0.2">
      <c r="R35109" s="1288"/>
    </row>
    <row r="35110" spans="18:18" s="2" customFormat="1" ht="12.75" x14ac:dyDescent="0.2">
      <c r="R35110" s="1288"/>
    </row>
    <row r="35111" spans="18:18" s="2" customFormat="1" ht="12.75" x14ac:dyDescent="0.2">
      <c r="R35111" s="1288"/>
    </row>
    <row r="35112" spans="18:18" s="2" customFormat="1" ht="12.75" x14ac:dyDescent="0.2">
      <c r="R35112" s="1288"/>
    </row>
    <row r="35113" spans="18:18" s="2" customFormat="1" ht="12.75" x14ac:dyDescent="0.2">
      <c r="R35113" s="1288"/>
    </row>
    <row r="35114" spans="18:18" s="2" customFormat="1" ht="12.75" x14ac:dyDescent="0.2">
      <c r="R35114" s="1288"/>
    </row>
    <row r="35115" spans="18:18" s="2" customFormat="1" ht="12.75" x14ac:dyDescent="0.2">
      <c r="R35115" s="1288"/>
    </row>
    <row r="35116" spans="18:18" s="2" customFormat="1" ht="12.75" x14ac:dyDescent="0.2">
      <c r="R35116" s="1288"/>
    </row>
    <row r="35117" spans="18:18" s="2" customFormat="1" ht="12.75" x14ac:dyDescent="0.2">
      <c r="R35117" s="1288"/>
    </row>
    <row r="35118" spans="18:18" s="2" customFormat="1" ht="12.75" x14ac:dyDescent="0.2">
      <c r="R35118" s="1288"/>
    </row>
    <row r="35119" spans="18:18" s="2" customFormat="1" ht="12.75" x14ac:dyDescent="0.2">
      <c r="R35119" s="1288"/>
    </row>
    <row r="35120" spans="18:18" s="2" customFormat="1" ht="12.75" x14ac:dyDescent="0.2">
      <c r="R35120" s="1288"/>
    </row>
    <row r="35121" spans="18:18" s="2" customFormat="1" ht="12.75" x14ac:dyDescent="0.2">
      <c r="R35121" s="1288"/>
    </row>
    <row r="35122" spans="18:18" s="2" customFormat="1" ht="12.75" x14ac:dyDescent="0.2">
      <c r="R35122" s="1288"/>
    </row>
    <row r="35123" spans="18:18" s="2" customFormat="1" ht="12.75" x14ac:dyDescent="0.2">
      <c r="R35123" s="1288"/>
    </row>
    <row r="35124" spans="18:18" s="2" customFormat="1" ht="12.75" x14ac:dyDescent="0.2">
      <c r="R35124" s="1288"/>
    </row>
    <row r="35125" spans="18:18" s="2" customFormat="1" ht="12.75" x14ac:dyDescent="0.2">
      <c r="R35125" s="1288"/>
    </row>
    <row r="35126" spans="18:18" s="2" customFormat="1" ht="12.75" x14ac:dyDescent="0.2">
      <c r="R35126" s="1288"/>
    </row>
    <row r="35127" spans="18:18" s="2" customFormat="1" ht="12.75" x14ac:dyDescent="0.2">
      <c r="R35127" s="1288"/>
    </row>
    <row r="35128" spans="18:18" s="2" customFormat="1" ht="12.75" x14ac:dyDescent="0.2">
      <c r="R35128" s="1288"/>
    </row>
    <row r="35129" spans="18:18" s="2" customFormat="1" ht="12.75" x14ac:dyDescent="0.2">
      <c r="R35129" s="1288"/>
    </row>
    <row r="35130" spans="18:18" s="2" customFormat="1" ht="12.75" x14ac:dyDescent="0.2">
      <c r="R35130" s="1288"/>
    </row>
    <row r="35131" spans="18:18" s="2" customFormat="1" ht="12.75" x14ac:dyDescent="0.2">
      <c r="R35131" s="1288"/>
    </row>
    <row r="35132" spans="18:18" s="2" customFormat="1" ht="12.75" x14ac:dyDescent="0.2">
      <c r="R35132" s="1288"/>
    </row>
    <row r="35133" spans="18:18" s="2" customFormat="1" ht="12.75" x14ac:dyDescent="0.2">
      <c r="R35133" s="1288"/>
    </row>
    <row r="35134" spans="18:18" s="2" customFormat="1" ht="12.75" x14ac:dyDescent="0.2">
      <c r="R35134" s="1288"/>
    </row>
    <row r="35135" spans="18:18" s="2" customFormat="1" ht="12.75" x14ac:dyDescent="0.2">
      <c r="R35135" s="1288"/>
    </row>
    <row r="35136" spans="18:18" s="2" customFormat="1" ht="12.75" x14ac:dyDescent="0.2">
      <c r="R35136" s="1288"/>
    </row>
    <row r="35137" spans="18:18" s="2" customFormat="1" ht="12.75" x14ac:dyDescent="0.2">
      <c r="R35137" s="1288"/>
    </row>
    <row r="35138" spans="18:18" s="2" customFormat="1" ht="12.75" x14ac:dyDescent="0.2">
      <c r="R35138" s="1288"/>
    </row>
    <row r="35139" spans="18:18" s="2" customFormat="1" ht="12.75" x14ac:dyDescent="0.2">
      <c r="R35139" s="1288"/>
    </row>
    <row r="35140" spans="18:18" s="2" customFormat="1" ht="12.75" x14ac:dyDescent="0.2">
      <c r="R35140" s="1288"/>
    </row>
    <row r="35141" spans="18:18" s="2" customFormat="1" ht="12.75" x14ac:dyDescent="0.2">
      <c r="R35141" s="1288"/>
    </row>
    <row r="35142" spans="18:18" s="2" customFormat="1" ht="12.75" x14ac:dyDescent="0.2">
      <c r="R35142" s="1288"/>
    </row>
    <row r="35143" spans="18:18" s="2" customFormat="1" ht="12.75" x14ac:dyDescent="0.2">
      <c r="R35143" s="1288"/>
    </row>
    <row r="35144" spans="18:18" s="2" customFormat="1" ht="12.75" x14ac:dyDescent="0.2">
      <c r="R35144" s="1288"/>
    </row>
    <row r="35145" spans="18:18" s="2" customFormat="1" ht="12.75" x14ac:dyDescent="0.2">
      <c r="R35145" s="1288"/>
    </row>
    <row r="35146" spans="18:18" s="2" customFormat="1" ht="12.75" x14ac:dyDescent="0.2">
      <c r="R35146" s="1288"/>
    </row>
    <row r="35147" spans="18:18" s="2" customFormat="1" ht="12.75" x14ac:dyDescent="0.2">
      <c r="R35147" s="1288"/>
    </row>
    <row r="35148" spans="18:18" s="2" customFormat="1" ht="12.75" x14ac:dyDescent="0.2">
      <c r="R35148" s="1288"/>
    </row>
    <row r="35149" spans="18:18" s="2" customFormat="1" ht="12.75" x14ac:dyDescent="0.2">
      <c r="R35149" s="1288"/>
    </row>
    <row r="35150" spans="18:18" s="2" customFormat="1" ht="12.75" x14ac:dyDescent="0.2">
      <c r="R35150" s="1288"/>
    </row>
    <row r="35151" spans="18:18" s="2" customFormat="1" ht="12.75" x14ac:dyDescent="0.2">
      <c r="R35151" s="1288"/>
    </row>
    <row r="35152" spans="18:18" s="2" customFormat="1" ht="12.75" x14ac:dyDescent="0.2">
      <c r="R35152" s="1288"/>
    </row>
    <row r="35153" spans="18:18" s="2" customFormat="1" ht="12.75" x14ac:dyDescent="0.2">
      <c r="R35153" s="1288"/>
    </row>
    <row r="35154" spans="18:18" s="2" customFormat="1" ht="12.75" x14ac:dyDescent="0.2">
      <c r="R35154" s="1288"/>
    </row>
    <row r="35155" spans="18:18" s="2" customFormat="1" ht="12.75" x14ac:dyDescent="0.2">
      <c r="R35155" s="1288"/>
    </row>
    <row r="35156" spans="18:18" s="2" customFormat="1" ht="12.75" x14ac:dyDescent="0.2">
      <c r="R35156" s="1288"/>
    </row>
    <row r="35157" spans="18:18" s="2" customFormat="1" ht="12.75" x14ac:dyDescent="0.2">
      <c r="R35157" s="1288"/>
    </row>
    <row r="35158" spans="18:18" s="2" customFormat="1" ht="12.75" x14ac:dyDescent="0.2">
      <c r="R35158" s="1288"/>
    </row>
    <row r="35159" spans="18:18" s="2" customFormat="1" ht="12.75" x14ac:dyDescent="0.2">
      <c r="R35159" s="1288"/>
    </row>
    <row r="35160" spans="18:18" s="2" customFormat="1" ht="12.75" x14ac:dyDescent="0.2">
      <c r="R35160" s="1288"/>
    </row>
    <row r="35161" spans="18:18" s="2" customFormat="1" ht="12.75" x14ac:dyDescent="0.2">
      <c r="R35161" s="1288"/>
    </row>
    <row r="35162" spans="18:18" s="2" customFormat="1" ht="12.75" x14ac:dyDescent="0.2">
      <c r="R35162" s="1288"/>
    </row>
    <row r="35163" spans="18:18" s="2" customFormat="1" ht="12.75" x14ac:dyDescent="0.2">
      <c r="R35163" s="1288"/>
    </row>
    <row r="35164" spans="18:18" s="2" customFormat="1" ht="12.75" x14ac:dyDescent="0.2">
      <c r="R35164" s="1288"/>
    </row>
    <row r="35165" spans="18:18" s="2" customFormat="1" ht="12.75" x14ac:dyDescent="0.2">
      <c r="R35165" s="1288"/>
    </row>
    <row r="35166" spans="18:18" s="2" customFormat="1" ht="12.75" x14ac:dyDescent="0.2">
      <c r="R35166" s="1288"/>
    </row>
    <row r="35167" spans="18:18" s="2" customFormat="1" ht="12.75" x14ac:dyDescent="0.2">
      <c r="R35167" s="1288"/>
    </row>
    <row r="35168" spans="18:18" s="2" customFormat="1" ht="12.75" x14ac:dyDescent="0.2">
      <c r="R35168" s="1288"/>
    </row>
    <row r="35169" spans="18:18" s="2" customFormat="1" ht="12.75" x14ac:dyDescent="0.2">
      <c r="R35169" s="1288"/>
    </row>
    <row r="35170" spans="18:18" s="2" customFormat="1" ht="12.75" x14ac:dyDescent="0.2">
      <c r="R35170" s="1288"/>
    </row>
    <row r="35171" spans="18:18" s="2" customFormat="1" ht="12.75" x14ac:dyDescent="0.2">
      <c r="R35171" s="1288"/>
    </row>
    <row r="35172" spans="18:18" s="2" customFormat="1" ht="12.75" x14ac:dyDescent="0.2">
      <c r="R35172" s="1288"/>
    </row>
    <row r="35173" spans="18:18" s="2" customFormat="1" ht="12.75" x14ac:dyDescent="0.2">
      <c r="R35173" s="1288"/>
    </row>
    <row r="35174" spans="18:18" s="2" customFormat="1" ht="12.75" x14ac:dyDescent="0.2">
      <c r="R35174" s="1288"/>
    </row>
    <row r="35175" spans="18:18" s="2" customFormat="1" ht="12.75" x14ac:dyDescent="0.2">
      <c r="R35175" s="1288"/>
    </row>
    <row r="35176" spans="18:18" s="2" customFormat="1" ht="12.75" x14ac:dyDescent="0.2">
      <c r="R35176" s="1288"/>
    </row>
    <row r="35177" spans="18:18" s="2" customFormat="1" ht="12.75" x14ac:dyDescent="0.2">
      <c r="R35177" s="1288"/>
    </row>
    <row r="35178" spans="18:18" s="2" customFormat="1" ht="12.75" x14ac:dyDescent="0.2">
      <c r="R35178" s="1288"/>
    </row>
    <row r="35179" spans="18:18" s="2" customFormat="1" ht="12.75" x14ac:dyDescent="0.2">
      <c r="R35179" s="1288"/>
    </row>
    <row r="35180" spans="18:18" s="2" customFormat="1" ht="12.75" x14ac:dyDescent="0.2">
      <c r="R35180" s="1288"/>
    </row>
    <row r="35181" spans="18:18" s="2" customFormat="1" ht="12.75" x14ac:dyDescent="0.2">
      <c r="R35181" s="1288"/>
    </row>
    <row r="35182" spans="18:18" s="2" customFormat="1" ht="12.75" x14ac:dyDescent="0.2">
      <c r="R35182" s="1288"/>
    </row>
    <row r="35183" spans="18:18" s="2" customFormat="1" ht="12.75" x14ac:dyDescent="0.2">
      <c r="R35183" s="1288"/>
    </row>
    <row r="35184" spans="18:18" s="2" customFormat="1" ht="12.75" x14ac:dyDescent="0.2">
      <c r="R35184" s="1288"/>
    </row>
    <row r="35185" spans="18:18" s="2" customFormat="1" ht="12.75" x14ac:dyDescent="0.2">
      <c r="R35185" s="1288"/>
    </row>
    <row r="35186" spans="18:18" s="2" customFormat="1" ht="12.75" x14ac:dyDescent="0.2">
      <c r="R35186" s="1288"/>
    </row>
    <row r="35187" spans="18:18" s="2" customFormat="1" ht="12.75" x14ac:dyDescent="0.2">
      <c r="R35187" s="1288"/>
    </row>
    <row r="35188" spans="18:18" s="2" customFormat="1" ht="12.75" x14ac:dyDescent="0.2">
      <c r="R35188" s="1288"/>
    </row>
    <row r="35189" spans="18:18" s="2" customFormat="1" ht="12.75" x14ac:dyDescent="0.2">
      <c r="R35189" s="1288"/>
    </row>
    <row r="35190" spans="18:18" s="2" customFormat="1" ht="12.75" x14ac:dyDescent="0.2">
      <c r="R35190" s="1288"/>
    </row>
    <row r="35191" spans="18:18" s="2" customFormat="1" ht="12.75" x14ac:dyDescent="0.2">
      <c r="R35191" s="1288"/>
    </row>
    <row r="35192" spans="18:18" s="2" customFormat="1" ht="12.75" x14ac:dyDescent="0.2">
      <c r="R35192" s="1288"/>
    </row>
    <row r="35193" spans="18:18" s="2" customFormat="1" ht="12.75" x14ac:dyDescent="0.2">
      <c r="R35193" s="1288"/>
    </row>
    <row r="35194" spans="18:18" s="2" customFormat="1" ht="12.75" x14ac:dyDescent="0.2">
      <c r="R35194" s="1288"/>
    </row>
    <row r="35195" spans="18:18" s="2" customFormat="1" ht="12.75" x14ac:dyDescent="0.2">
      <c r="R35195" s="1288"/>
    </row>
    <row r="35196" spans="18:18" s="2" customFormat="1" ht="12.75" x14ac:dyDescent="0.2">
      <c r="R35196" s="1288"/>
    </row>
    <row r="35197" spans="18:18" s="2" customFormat="1" ht="12.75" x14ac:dyDescent="0.2">
      <c r="R35197" s="1288"/>
    </row>
    <row r="35198" spans="18:18" s="2" customFormat="1" ht="12.75" x14ac:dyDescent="0.2">
      <c r="R35198" s="1288"/>
    </row>
    <row r="35199" spans="18:18" s="2" customFormat="1" ht="12.75" x14ac:dyDescent="0.2">
      <c r="R35199" s="1288"/>
    </row>
    <row r="35200" spans="18:18" s="2" customFormat="1" ht="12.75" x14ac:dyDescent="0.2">
      <c r="R35200" s="1288"/>
    </row>
    <row r="35201" spans="18:18" s="2" customFormat="1" ht="12.75" x14ac:dyDescent="0.2">
      <c r="R35201" s="1288"/>
    </row>
    <row r="35202" spans="18:18" s="2" customFormat="1" ht="12.75" x14ac:dyDescent="0.2">
      <c r="R35202" s="1288"/>
    </row>
    <row r="35203" spans="18:18" s="2" customFormat="1" ht="12.75" x14ac:dyDescent="0.2">
      <c r="R35203" s="1288"/>
    </row>
    <row r="35204" spans="18:18" s="2" customFormat="1" ht="12.75" x14ac:dyDescent="0.2">
      <c r="R35204" s="1288"/>
    </row>
    <row r="35205" spans="18:18" s="2" customFormat="1" ht="12.75" x14ac:dyDescent="0.2">
      <c r="R35205" s="1288"/>
    </row>
    <row r="35206" spans="18:18" s="2" customFormat="1" ht="12.75" x14ac:dyDescent="0.2">
      <c r="R35206" s="1288"/>
    </row>
    <row r="35207" spans="18:18" s="2" customFormat="1" ht="12.75" x14ac:dyDescent="0.2">
      <c r="R35207" s="1288"/>
    </row>
    <row r="35208" spans="18:18" s="2" customFormat="1" ht="12.75" x14ac:dyDescent="0.2">
      <c r="R35208" s="1288"/>
    </row>
    <row r="35209" spans="18:18" s="2" customFormat="1" ht="12.75" x14ac:dyDescent="0.2">
      <c r="R35209" s="1288"/>
    </row>
    <row r="35210" spans="18:18" s="2" customFormat="1" ht="12.75" x14ac:dyDescent="0.2">
      <c r="R35210" s="1288"/>
    </row>
    <row r="35211" spans="18:18" s="2" customFormat="1" ht="12.75" x14ac:dyDescent="0.2">
      <c r="R35211" s="1288"/>
    </row>
    <row r="35212" spans="18:18" s="2" customFormat="1" ht="12.75" x14ac:dyDescent="0.2">
      <c r="R35212" s="1288"/>
    </row>
    <row r="35213" spans="18:18" s="2" customFormat="1" ht="12.75" x14ac:dyDescent="0.2">
      <c r="R35213" s="1288"/>
    </row>
    <row r="35214" spans="18:18" s="2" customFormat="1" ht="12.75" x14ac:dyDescent="0.2">
      <c r="R35214" s="1288"/>
    </row>
    <row r="35215" spans="18:18" s="2" customFormat="1" ht="12.75" x14ac:dyDescent="0.2">
      <c r="R35215" s="1288"/>
    </row>
    <row r="35216" spans="18:18" s="2" customFormat="1" ht="12.75" x14ac:dyDescent="0.2">
      <c r="R35216" s="1288"/>
    </row>
    <row r="35217" spans="18:18" s="2" customFormat="1" ht="12.75" x14ac:dyDescent="0.2">
      <c r="R35217" s="1288"/>
    </row>
    <row r="35218" spans="18:18" s="2" customFormat="1" ht="12.75" x14ac:dyDescent="0.2">
      <c r="R35218" s="1288"/>
    </row>
    <row r="35219" spans="18:18" s="2" customFormat="1" ht="12.75" x14ac:dyDescent="0.2">
      <c r="R35219" s="1288"/>
    </row>
    <row r="35220" spans="18:18" s="2" customFormat="1" ht="12.75" x14ac:dyDescent="0.2">
      <c r="R35220" s="1288"/>
    </row>
    <row r="35221" spans="18:18" s="2" customFormat="1" ht="12.75" x14ac:dyDescent="0.2">
      <c r="R35221" s="1288"/>
    </row>
    <row r="35222" spans="18:18" s="2" customFormat="1" ht="12.75" x14ac:dyDescent="0.2">
      <c r="R35222" s="1288"/>
    </row>
    <row r="35223" spans="18:18" s="2" customFormat="1" ht="12.75" x14ac:dyDescent="0.2">
      <c r="R35223" s="1288"/>
    </row>
    <row r="35224" spans="18:18" s="2" customFormat="1" ht="12.75" x14ac:dyDescent="0.2">
      <c r="R35224" s="1288"/>
    </row>
    <row r="35225" spans="18:18" s="2" customFormat="1" ht="12.75" x14ac:dyDescent="0.2">
      <c r="R35225" s="1288"/>
    </row>
    <row r="35226" spans="18:18" s="2" customFormat="1" ht="12.75" x14ac:dyDescent="0.2">
      <c r="R35226" s="1288"/>
    </row>
    <row r="35227" spans="18:18" s="2" customFormat="1" ht="12.75" x14ac:dyDescent="0.2">
      <c r="R35227" s="1288"/>
    </row>
    <row r="35228" spans="18:18" s="2" customFormat="1" ht="12.75" x14ac:dyDescent="0.2">
      <c r="R35228" s="1288"/>
    </row>
    <row r="35229" spans="18:18" s="2" customFormat="1" ht="12.75" x14ac:dyDescent="0.2">
      <c r="R35229" s="1288"/>
    </row>
    <row r="35230" spans="18:18" s="2" customFormat="1" ht="12.75" x14ac:dyDescent="0.2">
      <c r="R35230" s="1288"/>
    </row>
    <row r="35231" spans="18:18" s="2" customFormat="1" ht="12.75" x14ac:dyDescent="0.2">
      <c r="R35231" s="1288"/>
    </row>
    <row r="35232" spans="18:18" s="2" customFormat="1" ht="12.75" x14ac:dyDescent="0.2">
      <c r="R35232" s="1288"/>
    </row>
    <row r="35233" spans="18:18" s="2" customFormat="1" ht="12.75" x14ac:dyDescent="0.2">
      <c r="R35233" s="1288"/>
    </row>
    <row r="35234" spans="18:18" s="2" customFormat="1" ht="12.75" x14ac:dyDescent="0.2">
      <c r="R35234" s="1288"/>
    </row>
    <row r="35235" spans="18:18" s="2" customFormat="1" ht="12.75" x14ac:dyDescent="0.2">
      <c r="R35235" s="1288"/>
    </row>
    <row r="35236" spans="18:18" s="2" customFormat="1" ht="12.75" x14ac:dyDescent="0.2">
      <c r="R35236" s="1288"/>
    </row>
    <row r="35237" spans="18:18" s="2" customFormat="1" ht="12.75" x14ac:dyDescent="0.2">
      <c r="R35237" s="1288"/>
    </row>
    <row r="35238" spans="18:18" s="2" customFormat="1" ht="12.75" x14ac:dyDescent="0.2">
      <c r="R35238" s="1288"/>
    </row>
    <row r="35239" spans="18:18" s="2" customFormat="1" ht="12.75" x14ac:dyDescent="0.2">
      <c r="R35239" s="1288"/>
    </row>
    <row r="35240" spans="18:18" s="2" customFormat="1" ht="12.75" x14ac:dyDescent="0.2">
      <c r="R35240" s="1288"/>
    </row>
    <row r="35241" spans="18:18" s="2" customFormat="1" ht="12.75" x14ac:dyDescent="0.2">
      <c r="R35241" s="1288"/>
    </row>
    <row r="35242" spans="18:18" s="2" customFormat="1" ht="12.75" x14ac:dyDescent="0.2">
      <c r="R35242" s="1288"/>
    </row>
    <row r="35243" spans="18:18" s="2" customFormat="1" ht="12.75" x14ac:dyDescent="0.2">
      <c r="R35243" s="1288"/>
    </row>
    <row r="35244" spans="18:18" s="2" customFormat="1" ht="12.75" x14ac:dyDescent="0.2">
      <c r="R35244" s="1288"/>
    </row>
    <row r="35245" spans="18:18" s="2" customFormat="1" ht="12.75" x14ac:dyDescent="0.2">
      <c r="R35245" s="1288"/>
    </row>
    <row r="35246" spans="18:18" s="2" customFormat="1" ht="12.75" x14ac:dyDescent="0.2">
      <c r="R35246" s="1288"/>
    </row>
    <row r="35247" spans="18:18" s="2" customFormat="1" ht="12.75" x14ac:dyDescent="0.2">
      <c r="R35247" s="1288"/>
    </row>
    <row r="35248" spans="18:18" s="2" customFormat="1" ht="12.75" x14ac:dyDescent="0.2">
      <c r="R35248" s="1288"/>
    </row>
    <row r="35249" spans="18:18" s="2" customFormat="1" ht="12.75" x14ac:dyDescent="0.2">
      <c r="R35249" s="1288"/>
    </row>
    <row r="35250" spans="18:18" s="2" customFormat="1" ht="12.75" x14ac:dyDescent="0.2">
      <c r="R35250" s="1288"/>
    </row>
    <row r="35251" spans="18:18" s="2" customFormat="1" ht="12.75" x14ac:dyDescent="0.2">
      <c r="R35251" s="1288"/>
    </row>
    <row r="35252" spans="18:18" s="2" customFormat="1" ht="12.75" x14ac:dyDescent="0.2">
      <c r="R35252" s="1288"/>
    </row>
    <row r="35253" spans="18:18" s="2" customFormat="1" ht="12.75" x14ac:dyDescent="0.2">
      <c r="R35253" s="1288"/>
    </row>
    <row r="35254" spans="18:18" s="2" customFormat="1" ht="12.75" x14ac:dyDescent="0.2">
      <c r="R35254" s="1288"/>
    </row>
    <row r="35255" spans="18:18" s="2" customFormat="1" ht="12.75" x14ac:dyDescent="0.2">
      <c r="R35255" s="1288"/>
    </row>
    <row r="35256" spans="18:18" s="2" customFormat="1" ht="12.75" x14ac:dyDescent="0.2">
      <c r="R35256" s="1288"/>
    </row>
    <row r="35257" spans="18:18" s="2" customFormat="1" ht="12.75" x14ac:dyDescent="0.2">
      <c r="R35257" s="1288"/>
    </row>
    <row r="35258" spans="18:18" s="2" customFormat="1" ht="12.75" x14ac:dyDescent="0.2">
      <c r="R35258" s="1288"/>
    </row>
    <row r="35259" spans="18:18" s="2" customFormat="1" ht="12.75" x14ac:dyDescent="0.2">
      <c r="R35259" s="1288"/>
    </row>
    <row r="35260" spans="18:18" s="2" customFormat="1" ht="12.75" x14ac:dyDescent="0.2">
      <c r="R35260" s="1288"/>
    </row>
    <row r="35261" spans="18:18" s="2" customFormat="1" ht="12.75" x14ac:dyDescent="0.2">
      <c r="R35261" s="1288"/>
    </row>
    <row r="35262" spans="18:18" s="2" customFormat="1" ht="12.75" x14ac:dyDescent="0.2">
      <c r="R35262" s="1288"/>
    </row>
    <row r="35263" spans="18:18" s="2" customFormat="1" ht="12.75" x14ac:dyDescent="0.2">
      <c r="R35263" s="1288"/>
    </row>
    <row r="35264" spans="18:18" s="2" customFormat="1" ht="12.75" x14ac:dyDescent="0.2">
      <c r="R35264" s="1288"/>
    </row>
    <row r="35265" spans="18:18" s="2" customFormat="1" ht="12.75" x14ac:dyDescent="0.2">
      <c r="R35265" s="1288"/>
    </row>
    <row r="35266" spans="18:18" s="2" customFormat="1" ht="12.75" x14ac:dyDescent="0.2">
      <c r="R35266" s="1288"/>
    </row>
    <row r="35267" spans="18:18" s="2" customFormat="1" ht="12.75" x14ac:dyDescent="0.2">
      <c r="R35267" s="1288"/>
    </row>
    <row r="35268" spans="18:18" s="2" customFormat="1" ht="12.75" x14ac:dyDescent="0.2">
      <c r="R35268" s="1288"/>
    </row>
    <row r="35269" spans="18:18" s="2" customFormat="1" ht="12.75" x14ac:dyDescent="0.2">
      <c r="R35269" s="1288"/>
    </row>
    <row r="35270" spans="18:18" s="2" customFormat="1" ht="12.75" x14ac:dyDescent="0.2">
      <c r="R35270" s="1288"/>
    </row>
    <row r="35271" spans="18:18" s="2" customFormat="1" ht="12.75" x14ac:dyDescent="0.2">
      <c r="R35271" s="1288"/>
    </row>
    <row r="35272" spans="18:18" s="2" customFormat="1" ht="12.75" x14ac:dyDescent="0.2">
      <c r="R35272" s="1288"/>
    </row>
    <row r="35273" spans="18:18" s="2" customFormat="1" ht="12.75" x14ac:dyDescent="0.2">
      <c r="R35273" s="1288"/>
    </row>
    <row r="35274" spans="18:18" s="2" customFormat="1" ht="12.75" x14ac:dyDescent="0.2">
      <c r="R35274" s="1288"/>
    </row>
    <row r="35275" spans="18:18" s="2" customFormat="1" ht="12.75" x14ac:dyDescent="0.2">
      <c r="R35275" s="1288"/>
    </row>
    <row r="35276" spans="18:18" s="2" customFormat="1" ht="12.75" x14ac:dyDescent="0.2">
      <c r="R35276" s="1288"/>
    </row>
    <row r="35277" spans="18:18" s="2" customFormat="1" ht="12.75" x14ac:dyDescent="0.2">
      <c r="R35277" s="1288"/>
    </row>
    <row r="35278" spans="18:18" s="2" customFormat="1" ht="12.75" x14ac:dyDescent="0.2">
      <c r="R35278" s="1288"/>
    </row>
    <row r="35279" spans="18:18" s="2" customFormat="1" ht="12.75" x14ac:dyDescent="0.2">
      <c r="R35279" s="1288"/>
    </row>
    <row r="35280" spans="18:18" s="2" customFormat="1" ht="12.75" x14ac:dyDescent="0.2">
      <c r="R35280" s="1288"/>
    </row>
    <row r="35281" spans="18:18" s="2" customFormat="1" ht="12.75" x14ac:dyDescent="0.2">
      <c r="R35281" s="1288"/>
    </row>
    <row r="35282" spans="18:18" s="2" customFormat="1" ht="12.75" x14ac:dyDescent="0.2">
      <c r="R35282" s="1288"/>
    </row>
    <row r="35283" spans="18:18" s="2" customFormat="1" ht="12.75" x14ac:dyDescent="0.2">
      <c r="R35283" s="1288"/>
    </row>
    <row r="35284" spans="18:18" s="2" customFormat="1" ht="12.75" x14ac:dyDescent="0.2">
      <c r="R35284" s="1288"/>
    </row>
    <row r="35285" spans="18:18" s="2" customFormat="1" ht="12.75" x14ac:dyDescent="0.2">
      <c r="R35285" s="1288"/>
    </row>
    <row r="35286" spans="18:18" s="2" customFormat="1" ht="12.75" x14ac:dyDescent="0.2">
      <c r="R35286" s="1288"/>
    </row>
    <row r="35287" spans="18:18" s="2" customFormat="1" ht="12.75" x14ac:dyDescent="0.2">
      <c r="R35287" s="1288"/>
    </row>
    <row r="35288" spans="18:18" s="2" customFormat="1" ht="12.75" x14ac:dyDescent="0.2">
      <c r="R35288" s="1288"/>
    </row>
    <row r="35289" spans="18:18" s="2" customFormat="1" ht="12.75" x14ac:dyDescent="0.2">
      <c r="R35289" s="1288"/>
    </row>
    <row r="35290" spans="18:18" s="2" customFormat="1" ht="12.75" x14ac:dyDescent="0.2">
      <c r="R35290" s="1288"/>
    </row>
    <row r="35291" spans="18:18" s="2" customFormat="1" ht="12.75" x14ac:dyDescent="0.2">
      <c r="R35291" s="1288"/>
    </row>
    <row r="35292" spans="18:18" s="2" customFormat="1" ht="12.75" x14ac:dyDescent="0.2">
      <c r="R35292" s="1288"/>
    </row>
    <row r="35293" spans="18:18" s="2" customFormat="1" ht="12.75" x14ac:dyDescent="0.2">
      <c r="R35293" s="1288"/>
    </row>
    <row r="35294" spans="18:18" s="2" customFormat="1" ht="12.75" x14ac:dyDescent="0.2">
      <c r="R35294" s="1288"/>
    </row>
    <row r="35295" spans="18:18" s="2" customFormat="1" ht="12.75" x14ac:dyDescent="0.2">
      <c r="R35295" s="1288"/>
    </row>
    <row r="35296" spans="18:18" s="2" customFormat="1" ht="12.75" x14ac:dyDescent="0.2">
      <c r="R35296" s="1288"/>
    </row>
    <row r="35297" spans="18:18" s="2" customFormat="1" ht="12.75" x14ac:dyDescent="0.2">
      <c r="R35297" s="1288"/>
    </row>
    <row r="35298" spans="18:18" s="2" customFormat="1" ht="12.75" x14ac:dyDescent="0.2">
      <c r="R35298" s="1288"/>
    </row>
    <row r="35299" spans="18:18" s="2" customFormat="1" ht="12.75" x14ac:dyDescent="0.2">
      <c r="R35299" s="1288"/>
    </row>
    <row r="35300" spans="18:18" s="2" customFormat="1" ht="12.75" x14ac:dyDescent="0.2">
      <c r="R35300" s="1288"/>
    </row>
    <row r="35301" spans="18:18" s="2" customFormat="1" ht="12.75" x14ac:dyDescent="0.2">
      <c r="R35301" s="1288"/>
    </row>
    <row r="35302" spans="18:18" s="2" customFormat="1" ht="12.75" x14ac:dyDescent="0.2">
      <c r="R35302" s="1288"/>
    </row>
    <row r="35303" spans="18:18" s="2" customFormat="1" ht="12.75" x14ac:dyDescent="0.2">
      <c r="R35303" s="1288"/>
    </row>
    <row r="35304" spans="18:18" s="2" customFormat="1" ht="12.75" x14ac:dyDescent="0.2">
      <c r="R35304" s="1288"/>
    </row>
    <row r="35305" spans="18:18" s="2" customFormat="1" ht="12.75" x14ac:dyDescent="0.2">
      <c r="R35305" s="1288"/>
    </row>
    <row r="35306" spans="18:18" s="2" customFormat="1" ht="12.75" x14ac:dyDescent="0.2">
      <c r="R35306" s="1288"/>
    </row>
    <row r="35307" spans="18:18" s="2" customFormat="1" ht="12.75" x14ac:dyDescent="0.2">
      <c r="R35307" s="1288"/>
    </row>
    <row r="35308" spans="18:18" s="2" customFormat="1" ht="12.75" x14ac:dyDescent="0.2">
      <c r="R35308" s="1288"/>
    </row>
    <row r="35309" spans="18:18" s="2" customFormat="1" ht="12.75" x14ac:dyDescent="0.2">
      <c r="R35309" s="1288"/>
    </row>
    <row r="35310" spans="18:18" s="2" customFormat="1" ht="12.75" x14ac:dyDescent="0.2">
      <c r="R35310" s="1288"/>
    </row>
    <row r="35311" spans="18:18" s="2" customFormat="1" ht="12.75" x14ac:dyDescent="0.2">
      <c r="R35311" s="1288"/>
    </row>
    <row r="35312" spans="18:18" s="2" customFormat="1" ht="12.75" x14ac:dyDescent="0.2">
      <c r="R35312" s="1288"/>
    </row>
    <row r="35313" spans="18:18" s="2" customFormat="1" ht="12.75" x14ac:dyDescent="0.2">
      <c r="R35313" s="1288"/>
    </row>
    <row r="35314" spans="18:18" s="2" customFormat="1" ht="12.75" x14ac:dyDescent="0.2">
      <c r="R35314" s="1288"/>
    </row>
    <row r="35315" spans="18:18" s="2" customFormat="1" ht="12.75" x14ac:dyDescent="0.2">
      <c r="R35315" s="1288"/>
    </row>
    <row r="35316" spans="18:18" s="2" customFormat="1" ht="12.75" x14ac:dyDescent="0.2">
      <c r="R35316" s="1288"/>
    </row>
    <row r="35317" spans="18:18" s="2" customFormat="1" ht="12.75" x14ac:dyDescent="0.2">
      <c r="R35317" s="1288"/>
    </row>
    <row r="35318" spans="18:18" s="2" customFormat="1" ht="12.75" x14ac:dyDescent="0.2">
      <c r="R35318" s="1288"/>
    </row>
    <row r="35319" spans="18:18" s="2" customFormat="1" ht="12.75" x14ac:dyDescent="0.2">
      <c r="R35319" s="1288"/>
    </row>
    <row r="35320" spans="18:18" s="2" customFormat="1" ht="12.75" x14ac:dyDescent="0.2">
      <c r="R35320" s="1288"/>
    </row>
    <row r="35321" spans="18:18" s="2" customFormat="1" ht="12.75" x14ac:dyDescent="0.2">
      <c r="R35321" s="1288"/>
    </row>
    <row r="35322" spans="18:18" s="2" customFormat="1" ht="12.75" x14ac:dyDescent="0.2">
      <c r="R35322" s="1288"/>
    </row>
    <row r="35323" spans="18:18" s="2" customFormat="1" ht="12.75" x14ac:dyDescent="0.2">
      <c r="R35323" s="1288"/>
    </row>
    <row r="35324" spans="18:18" s="2" customFormat="1" ht="12.75" x14ac:dyDescent="0.2">
      <c r="R35324" s="1288"/>
    </row>
    <row r="35325" spans="18:18" s="2" customFormat="1" ht="12.75" x14ac:dyDescent="0.2">
      <c r="R35325" s="1288"/>
    </row>
    <row r="35326" spans="18:18" s="2" customFormat="1" ht="12.75" x14ac:dyDescent="0.2">
      <c r="R35326" s="1288"/>
    </row>
    <row r="35327" spans="18:18" s="2" customFormat="1" ht="12.75" x14ac:dyDescent="0.2">
      <c r="R35327" s="1288"/>
    </row>
    <row r="35328" spans="18:18" s="2" customFormat="1" ht="12.75" x14ac:dyDescent="0.2">
      <c r="R35328" s="1288"/>
    </row>
    <row r="35329" spans="18:18" s="2" customFormat="1" ht="12.75" x14ac:dyDescent="0.2">
      <c r="R35329" s="1288"/>
    </row>
    <row r="35330" spans="18:18" s="2" customFormat="1" ht="12.75" x14ac:dyDescent="0.2">
      <c r="R35330" s="1288"/>
    </row>
    <row r="35331" spans="18:18" s="2" customFormat="1" ht="12.75" x14ac:dyDescent="0.2">
      <c r="R35331" s="1288"/>
    </row>
    <row r="35332" spans="18:18" s="2" customFormat="1" ht="12.75" x14ac:dyDescent="0.2">
      <c r="R35332" s="1288"/>
    </row>
    <row r="35333" spans="18:18" s="2" customFormat="1" ht="12.75" x14ac:dyDescent="0.2">
      <c r="R35333" s="1288"/>
    </row>
    <row r="35334" spans="18:18" s="2" customFormat="1" ht="12.75" x14ac:dyDescent="0.2">
      <c r="R35334" s="1288"/>
    </row>
    <row r="35335" spans="18:18" s="2" customFormat="1" ht="12.75" x14ac:dyDescent="0.2">
      <c r="R35335" s="1288"/>
    </row>
    <row r="35336" spans="18:18" s="2" customFormat="1" ht="12.75" x14ac:dyDescent="0.2">
      <c r="R35336" s="1288"/>
    </row>
    <row r="35337" spans="18:18" s="2" customFormat="1" ht="12.75" x14ac:dyDescent="0.2">
      <c r="R35337" s="1288"/>
    </row>
    <row r="35338" spans="18:18" s="2" customFormat="1" ht="12.75" x14ac:dyDescent="0.2">
      <c r="R35338" s="1288"/>
    </row>
    <row r="35339" spans="18:18" s="2" customFormat="1" ht="12.75" x14ac:dyDescent="0.2">
      <c r="R35339" s="1288"/>
    </row>
    <row r="35340" spans="18:18" s="2" customFormat="1" ht="12.75" x14ac:dyDescent="0.2">
      <c r="R35340" s="1288"/>
    </row>
    <row r="35341" spans="18:18" s="2" customFormat="1" ht="12.75" x14ac:dyDescent="0.2">
      <c r="R35341" s="1288"/>
    </row>
    <row r="35342" spans="18:18" s="2" customFormat="1" ht="12.75" x14ac:dyDescent="0.2">
      <c r="R35342" s="1288"/>
    </row>
    <row r="35343" spans="18:18" s="2" customFormat="1" ht="12.75" x14ac:dyDescent="0.2">
      <c r="R35343" s="1288"/>
    </row>
    <row r="35344" spans="18:18" s="2" customFormat="1" ht="12.75" x14ac:dyDescent="0.2">
      <c r="R35344" s="1288"/>
    </row>
    <row r="35345" spans="18:18" s="2" customFormat="1" ht="12.75" x14ac:dyDescent="0.2">
      <c r="R35345" s="1288"/>
    </row>
    <row r="35346" spans="18:18" s="2" customFormat="1" ht="12.75" x14ac:dyDescent="0.2">
      <c r="R35346" s="1288"/>
    </row>
    <row r="35347" spans="18:18" s="2" customFormat="1" ht="12.75" x14ac:dyDescent="0.2">
      <c r="R35347" s="1288"/>
    </row>
    <row r="35348" spans="18:18" s="2" customFormat="1" ht="12.75" x14ac:dyDescent="0.2">
      <c r="R35348" s="1288"/>
    </row>
    <row r="35349" spans="18:18" s="2" customFormat="1" ht="12.75" x14ac:dyDescent="0.2">
      <c r="R35349" s="1288"/>
    </row>
    <row r="35350" spans="18:18" s="2" customFormat="1" ht="12.75" x14ac:dyDescent="0.2">
      <c r="R35350" s="1288"/>
    </row>
    <row r="35351" spans="18:18" s="2" customFormat="1" ht="12.75" x14ac:dyDescent="0.2">
      <c r="R35351" s="1288"/>
    </row>
    <row r="35352" spans="18:18" s="2" customFormat="1" ht="12.75" x14ac:dyDescent="0.2">
      <c r="R35352" s="1288"/>
    </row>
    <row r="35353" spans="18:18" s="2" customFormat="1" ht="12.75" x14ac:dyDescent="0.2">
      <c r="R35353" s="1288"/>
    </row>
    <row r="35354" spans="18:18" s="2" customFormat="1" ht="12.75" x14ac:dyDescent="0.2">
      <c r="R35354" s="1288"/>
    </row>
    <row r="35355" spans="18:18" s="2" customFormat="1" ht="12.75" x14ac:dyDescent="0.2">
      <c r="R35355" s="1288"/>
    </row>
    <row r="35356" spans="18:18" s="2" customFormat="1" ht="12.75" x14ac:dyDescent="0.2">
      <c r="R35356" s="1288"/>
    </row>
    <row r="35357" spans="18:18" s="2" customFormat="1" ht="12.75" x14ac:dyDescent="0.2">
      <c r="R35357" s="1288"/>
    </row>
    <row r="35358" spans="18:18" s="2" customFormat="1" ht="12.75" x14ac:dyDescent="0.2">
      <c r="R35358" s="1288"/>
    </row>
    <row r="35359" spans="18:18" s="2" customFormat="1" ht="12.75" x14ac:dyDescent="0.2">
      <c r="R35359" s="1288"/>
    </row>
    <row r="35360" spans="18:18" s="2" customFormat="1" ht="12.75" x14ac:dyDescent="0.2">
      <c r="R35360" s="1288"/>
    </row>
    <row r="35361" spans="18:18" s="2" customFormat="1" ht="12.75" x14ac:dyDescent="0.2">
      <c r="R35361" s="1288"/>
    </row>
    <row r="35362" spans="18:18" s="2" customFormat="1" ht="12.75" x14ac:dyDescent="0.2">
      <c r="R35362" s="1288"/>
    </row>
    <row r="35363" spans="18:18" s="2" customFormat="1" ht="12.75" x14ac:dyDescent="0.2">
      <c r="R35363" s="1288"/>
    </row>
    <row r="35364" spans="18:18" s="2" customFormat="1" ht="12.75" x14ac:dyDescent="0.2">
      <c r="R35364" s="1288"/>
    </row>
    <row r="35365" spans="18:18" s="2" customFormat="1" ht="12.75" x14ac:dyDescent="0.2">
      <c r="R35365" s="1288"/>
    </row>
    <row r="35366" spans="18:18" s="2" customFormat="1" ht="12.75" x14ac:dyDescent="0.2">
      <c r="R35366" s="1288"/>
    </row>
    <row r="35367" spans="18:18" s="2" customFormat="1" ht="12.75" x14ac:dyDescent="0.2">
      <c r="R35367" s="1288"/>
    </row>
    <row r="35368" spans="18:18" s="2" customFormat="1" ht="12.75" x14ac:dyDescent="0.2">
      <c r="R35368" s="1288"/>
    </row>
    <row r="35369" spans="18:18" s="2" customFormat="1" ht="12.75" x14ac:dyDescent="0.2">
      <c r="R35369" s="1288"/>
    </row>
    <row r="35370" spans="18:18" s="2" customFormat="1" ht="12.75" x14ac:dyDescent="0.2">
      <c r="R35370" s="1288"/>
    </row>
    <row r="35371" spans="18:18" s="2" customFormat="1" ht="12.75" x14ac:dyDescent="0.2">
      <c r="R35371" s="1288"/>
    </row>
    <row r="35372" spans="18:18" s="2" customFormat="1" ht="12.75" x14ac:dyDescent="0.2">
      <c r="R35372" s="1288"/>
    </row>
    <row r="35373" spans="18:18" s="2" customFormat="1" ht="12.75" x14ac:dyDescent="0.2">
      <c r="R35373" s="1288"/>
    </row>
    <row r="35374" spans="18:18" s="2" customFormat="1" ht="12.75" x14ac:dyDescent="0.2">
      <c r="R35374" s="1288"/>
    </row>
    <row r="35375" spans="18:18" s="2" customFormat="1" ht="12.75" x14ac:dyDescent="0.2">
      <c r="R35375" s="1288"/>
    </row>
    <row r="35376" spans="18:18" s="2" customFormat="1" ht="12.75" x14ac:dyDescent="0.2">
      <c r="R35376" s="1288"/>
    </row>
    <row r="35377" spans="18:18" s="2" customFormat="1" ht="12.75" x14ac:dyDescent="0.2">
      <c r="R35377" s="1288"/>
    </row>
    <row r="35378" spans="18:18" s="2" customFormat="1" ht="12.75" x14ac:dyDescent="0.2">
      <c r="R35378" s="1288"/>
    </row>
    <row r="35379" spans="18:18" s="2" customFormat="1" ht="12.75" x14ac:dyDescent="0.2">
      <c r="R35379" s="1288"/>
    </row>
    <row r="35380" spans="18:18" s="2" customFormat="1" ht="12.75" x14ac:dyDescent="0.2">
      <c r="R35380" s="1288"/>
    </row>
    <row r="35381" spans="18:18" s="2" customFormat="1" ht="12.75" x14ac:dyDescent="0.2">
      <c r="R35381" s="1288"/>
    </row>
    <row r="35382" spans="18:18" s="2" customFormat="1" ht="12.75" x14ac:dyDescent="0.2">
      <c r="R35382" s="1288"/>
    </row>
    <row r="35383" spans="18:18" s="2" customFormat="1" ht="12.75" x14ac:dyDescent="0.2">
      <c r="R35383" s="1288"/>
    </row>
    <row r="35384" spans="18:18" s="2" customFormat="1" ht="12.75" x14ac:dyDescent="0.2">
      <c r="R35384" s="1288"/>
    </row>
    <row r="35385" spans="18:18" s="2" customFormat="1" ht="12.75" x14ac:dyDescent="0.2">
      <c r="R35385" s="1288"/>
    </row>
    <row r="35386" spans="18:18" s="2" customFormat="1" ht="12.75" x14ac:dyDescent="0.2">
      <c r="R35386" s="1288"/>
    </row>
    <row r="35387" spans="18:18" s="2" customFormat="1" ht="12.75" x14ac:dyDescent="0.2">
      <c r="R35387" s="1288"/>
    </row>
    <row r="35388" spans="18:18" s="2" customFormat="1" ht="12.75" x14ac:dyDescent="0.2">
      <c r="R35388" s="1288"/>
    </row>
    <row r="35389" spans="18:18" s="2" customFormat="1" ht="12.75" x14ac:dyDescent="0.2">
      <c r="R35389" s="1288"/>
    </row>
    <row r="35390" spans="18:18" s="2" customFormat="1" ht="12.75" x14ac:dyDescent="0.2">
      <c r="R35390" s="1288"/>
    </row>
    <row r="35391" spans="18:18" s="2" customFormat="1" ht="12.75" x14ac:dyDescent="0.2">
      <c r="R35391" s="1288"/>
    </row>
    <row r="35392" spans="18:18" s="2" customFormat="1" ht="12.75" x14ac:dyDescent="0.2">
      <c r="R35392" s="1288"/>
    </row>
    <row r="35393" spans="18:18" s="2" customFormat="1" ht="12.75" x14ac:dyDescent="0.2">
      <c r="R35393" s="1288"/>
    </row>
    <row r="35394" spans="18:18" s="2" customFormat="1" ht="12.75" x14ac:dyDescent="0.2">
      <c r="R35394" s="1288"/>
    </row>
    <row r="35395" spans="18:18" s="2" customFormat="1" ht="12.75" x14ac:dyDescent="0.2">
      <c r="R35395" s="1288"/>
    </row>
    <row r="35396" spans="18:18" s="2" customFormat="1" ht="12.75" x14ac:dyDescent="0.2">
      <c r="R35396" s="1288"/>
    </row>
    <row r="35397" spans="18:18" s="2" customFormat="1" ht="12.75" x14ac:dyDescent="0.2">
      <c r="R35397" s="1288"/>
    </row>
    <row r="35398" spans="18:18" s="2" customFormat="1" ht="12.75" x14ac:dyDescent="0.2">
      <c r="R35398" s="1288"/>
    </row>
    <row r="35399" spans="18:18" s="2" customFormat="1" ht="12.75" x14ac:dyDescent="0.2">
      <c r="R35399" s="1288"/>
    </row>
    <row r="35400" spans="18:18" s="2" customFormat="1" ht="12.75" x14ac:dyDescent="0.2">
      <c r="R35400" s="1288"/>
    </row>
    <row r="35401" spans="18:18" s="2" customFormat="1" ht="12.75" x14ac:dyDescent="0.2">
      <c r="R35401" s="1288"/>
    </row>
    <row r="35402" spans="18:18" s="2" customFormat="1" ht="12.75" x14ac:dyDescent="0.2">
      <c r="R35402" s="1288"/>
    </row>
    <row r="35403" spans="18:18" s="2" customFormat="1" ht="12.75" x14ac:dyDescent="0.2">
      <c r="R35403" s="1288"/>
    </row>
    <row r="35404" spans="18:18" s="2" customFormat="1" ht="12.75" x14ac:dyDescent="0.2">
      <c r="R35404" s="1288"/>
    </row>
    <row r="35405" spans="18:18" s="2" customFormat="1" ht="12.75" x14ac:dyDescent="0.2">
      <c r="R35405" s="1288"/>
    </row>
    <row r="35406" spans="18:18" s="2" customFormat="1" ht="12.75" x14ac:dyDescent="0.2">
      <c r="R35406" s="1288"/>
    </row>
    <row r="35407" spans="18:18" s="2" customFormat="1" ht="12.75" x14ac:dyDescent="0.2">
      <c r="R35407" s="1288"/>
    </row>
    <row r="35408" spans="18:18" s="2" customFormat="1" ht="12.75" x14ac:dyDescent="0.2">
      <c r="R35408" s="1288"/>
    </row>
    <row r="35409" spans="18:18" s="2" customFormat="1" ht="12.75" x14ac:dyDescent="0.2">
      <c r="R35409" s="1288"/>
    </row>
    <row r="35410" spans="18:18" s="2" customFormat="1" ht="12.75" x14ac:dyDescent="0.2">
      <c r="R35410" s="1288"/>
    </row>
    <row r="35411" spans="18:18" s="2" customFormat="1" ht="12.75" x14ac:dyDescent="0.2">
      <c r="R35411" s="1288"/>
    </row>
    <row r="35412" spans="18:18" s="2" customFormat="1" ht="12.75" x14ac:dyDescent="0.2">
      <c r="R35412" s="1288"/>
    </row>
    <row r="35413" spans="18:18" s="2" customFormat="1" ht="12.75" x14ac:dyDescent="0.2">
      <c r="R35413" s="1288"/>
    </row>
    <row r="35414" spans="18:18" s="2" customFormat="1" ht="12.75" x14ac:dyDescent="0.2">
      <c r="R35414" s="1288"/>
    </row>
    <row r="35415" spans="18:18" s="2" customFormat="1" ht="12.75" x14ac:dyDescent="0.2">
      <c r="R35415" s="1288"/>
    </row>
    <row r="35416" spans="18:18" s="2" customFormat="1" ht="12.75" x14ac:dyDescent="0.2">
      <c r="R35416" s="1288"/>
    </row>
    <row r="35417" spans="18:18" s="2" customFormat="1" ht="12.75" x14ac:dyDescent="0.2">
      <c r="R35417" s="1288"/>
    </row>
    <row r="35418" spans="18:18" s="2" customFormat="1" ht="12.75" x14ac:dyDescent="0.2">
      <c r="R35418" s="1288"/>
    </row>
    <row r="35419" spans="18:18" s="2" customFormat="1" ht="12.75" x14ac:dyDescent="0.2">
      <c r="R35419" s="1288"/>
    </row>
    <row r="35420" spans="18:18" s="2" customFormat="1" ht="12.75" x14ac:dyDescent="0.2">
      <c r="R35420" s="1288"/>
    </row>
    <row r="35421" spans="18:18" s="2" customFormat="1" ht="12.75" x14ac:dyDescent="0.2">
      <c r="R35421" s="1288"/>
    </row>
    <row r="35422" spans="18:18" s="2" customFormat="1" ht="12.75" x14ac:dyDescent="0.2">
      <c r="R35422" s="1288"/>
    </row>
    <row r="35423" spans="18:18" s="2" customFormat="1" ht="12.75" x14ac:dyDescent="0.2">
      <c r="R35423" s="1288"/>
    </row>
    <row r="35424" spans="18:18" s="2" customFormat="1" ht="12.75" x14ac:dyDescent="0.2">
      <c r="R35424" s="1288"/>
    </row>
    <row r="35425" spans="18:18" s="2" customFormat="1" ht="12.75" x14ac:dyDescent="0.2">
      <c r="R35425" s="1288"/>
    </row>
    <row r="35426" spans="18:18" s="2" customFormat="1" ht="12.75" x14ac:dyDescent="0.2">
      <c r="R35426" s="1288"/>
    </row>
    <row r="35427" spans="18:18" s="2" customFormat="1" ht="12.75" x14ac:dyDescent="0.2">
      <c r="R35427" s="1288"/>
    </row>
    <row r="35428" spans="18:18" s="2" customFormat="1" ht="12.75" x14ac:dyDescent="0.2">
      <c r="R35428" s="1288"/>
    </row>
    <row r="35429" spans="18:18" s="2" customFormat="1" ht="12.75" x14ac:dyDescent="0.2">
      <c r="R35429" s="1288"/>
    </row>
    <row r="35430" spans="18:18" s="2" customFormat="1" ht="12.75" x14ac:dyDescent="0.2">
      <c r="R35430" s="1288"/>
    </row>
    <row r="35431" spans="18:18" s="2" customFormat="1" ht="12.75" x14ac:dyDescent="0.2">
      <c r="R35431" s="1288"/>
    </row>
    <row r="35432" spans="18:18" s="2" customFormat="1" ht="12.75" x14ac:dyDescent="0.2">
      <c r="R35432" s="1288"/>
    </row>
    <row r="35433" spans="18:18" s="2" customFormat="1" ht="12.75" x14ac:dyDescent="0.2">
      <c r="R35433" s="1288"/>
    </row>
    <row r="35434" spans="18:18" s="2" customFormat="1" ht="12.75" x14ac:dyDescent="0.2">
      <c r="R35434" s="1288"/>
    </row>
    <row r="35435" spans="18:18" s="2" customFormat="1" ht="12.75" x14ac:dyDescent="0.2">
      <c r="R35435" s="1288"/>
    </row>
    <row r="35436" spans="18:18" s="2" customFormat="1" ht="12.75" x14ac:dyDescent="0.2">
      <c r="R35436" s="1288"/>
    </row>
    <row r="35437" spans="18:18" s="2" customFormat="1" ht="12.75" x14ac:dyDescent="0.2">
      <c r="R35437" s="1288"/>
    </row>
    <row r="35438" spans="18:18" s="2" customFormat="1" ht="12.75" x14ac:dyDescent="0.2">
      <c r="R35438" s="1288"/>
    </row>
    <row r="35439" spans="18:18" s="2" customFormat="1" ht="12.75" x14ac:dyDescent="0.2">
      <c r="R35439" s="1288"/>
    </row>
    <row r="35440" spans="18:18" s="2" customFormat="1" ht="12.75" x14ac:dyDescent="0.2">
      <c r="R35440" s="1288"/>
    </row>
    <row r="35441" spans="18:18" s="2" customFormat="1" ht="12.75" x14ac:dyDescent="0.2">
      <c r="R35441" s="1288"/>
    </row>
    <row r="35442" spans="18:18" s="2" customFormat="1" ht="12.75" x14ac:dyDescent="0.2">
      <c r="R35442" s="1288"/>
    </row>
    <row r="35443" spans="18:18" s="2" customFormat="1" ht="12.75" x14ac:dyDescent="0.2">
      <c r="R35443" s="1288"/>
    </row>
    <row r="35444" spans="18:18" s="2" customFormat="1" ht="12.75" x14ac:dyDescent="0.2">
      <c r="R35444" s="1288"/>
    </row>
    <row r="35445" spans="18:18" s="2" customFormat="1" ht="12.75" x14ac:dyDescent="0.2">
      <c r="R35445" s="1288"/>
    </row>
    <row r="35446" spans="18:18" s="2" customFormat="1" ht="12.75" x14ac:dyDescent="0.2">
      <c r="R35446" s="1288"/>
    </row>
    <row r="35447" spans="18:18" s="2" customFormat="1" ht="12.75" x14ac:dyDescent="0.2">
      <c r="R35447" s="1288"/>
    </row>
    <row r="35448" spans="18:18" s="2" customFormat="1" ht="12.75" x14ac:dyDescent="0.2">
      <c r="R35448" s="1288"/>
    </row>
    <row r="35449" spans="18:18" s="2" customFormat="1" ht="12.75" x14ac:dyDescent="0.2">
      <c r="R35449" s="1288"/>
    </row>
    <row r="35450" spans="18:18" s="2" customFormat="1" ht="12.75" x14ac:dyDescent="0.2">
      <c r="R35450" s="1288"/>
    </row>
    <row r="35451" spans="18:18" s="2" customFormat="1" ht="12.75" x14ac:dyDescent="0.2">
      <c r="R35451" s="1288"/>
    </row>
    <row r="35452" spans="18:18" s="2" customFormat="1" ht="12.75" x14ac:dyDescent="0.2">
      <c r="R35452" s="1288"/>
    </row>
    <row r="35453" spans="18:18" s="2" customFormat="1" ht="12.75" x14ac:dyDescent="0.2">
      <c r="R35453" s="1288"/>
    </row>
    <row r="35454" spans="18:18" s="2" customFormat="1" ht="12.75" x14ac:dyDescent="0.2">
      <c r="R35454" s="1288"/>
    </row>
    <row r="35455" spans="18:18" s="2" customFormat="1" ht="12.75" x14ac:dyDescent="0.2">
      <c r="R35455" s="1288"/>
    </row>
    <row r="35456" spans="18:18" s="2" customFormat="1" ht="12.75" x14ac:dyDescent="0.2">
      <c r="R35456" s="1288"/>
    </row>
    <row r="35457" spans="18:18" s="2" customFormat="1" ht="12.75" x14ac:dyDescent="0.2">
      <c r="R35457" s="1288"/>
    </row>
    <row r="35458" spans="18:18" s="2" customFormat="1" ht="12.75" x14ac:dyDescent="0.2">
      <c r="R35458" s="1288"/>
    </row>
    <row r="35459" spans="18:18" s="2" customFormat="1" ht="12.75" x14ac:dyDescent="0.2">
      <c r="R35459" s="1288"/>
    </row>
    <row r="35460" spans="18:18" s="2" customFormat="1" ht="12.75" x14ac:dyDescent="0.2">
      <c r="R35460" s="1288"/>
    </row>
    <row r="35461" spans="18:18" s="2" customFormat="1" ht="12.75" x14ac:dyDescent="0.2">
      <c r="R35461" s="1288"/>
    </row>
    <row r="35462" spans="18:18" s="2" customFormat="1" ht="12.75" x14ac:dyDescent="0.2">
      <c r="R35462" s="1288"/>
    </row>
    <row r="35463" spans="18:18" s="2" customFormat="1" ht="12.75" x14ac:dyDescent="0.2">
      <c r="R35463" s="1288"/>
    </row>
    <row r="35464" spans="18:18" s="2" customFormat="1" ht="12.75" x14ac:dyDescent="0.2">
      <c r="R35464" s="1288"/>
    </row>
    <row r="35465" spans="18:18" s="2" customFormat="1" ht="12.75" x14ac:dyDescent="0.2">
      <c r="R35465" s="1288"/>
    </row>
    <row r="35466" spans="18:18" s="2" customFormat="1" ht="12.75" x14ac:dyDescent="0.2">
      <c r="R35466" s="1288"/>
    </row>
    <row r="35467" spans="18:18" s="2" customFormat="1" ht="12.75" x14ac:dyDescent="0.2">
      <c r="R35467" s="1288"/>
    </row>
    <row r="35468" spans="18:18" s="2" customFormat="1" ht="12.75" x14ac:dyDescent="0.2">
      <c r="R35468" s="1288"/>
    </row>
    <row r="35469" spans="18:18" s="2" customFormat="1" ht="12.75" x14ac:dyDescent="0.2">
      <c r="R35469" s="1288"/>
    </row>
    <row r="35470" spans="18:18" s="2" customFormat="1" ht="12.75" x14ac:dyDescent="0.2">
      <c r="R35470" s="1288"/>
    </row>
    <row r="35471" spans="18:18" s="2" customFormat="1" ht="12.75" x14ac:dyDescent="0.2">
      <c r="R35471" s="1288"/>
    </row>
    <row r="35472" spans="18:18" s="2" customFormat="1" ht="12.75" x14ac:dyDescent="0.2">
      <c r="R35472" s="1288"/>
    </row>
    <row r="35473" spans="18:18" s="2" customFormat="1" ht="12.75" x14ac:dyDescent="0.2">
      <c r="R35473" s="1288"/>
    </row>
    <row r="35474" spans="18:18" s="2" customFormat="1" ht="12.75" x14ac:dyDescent="0.2">
      <c r="R35474" s="1288"/>
    </row>
    <row r="35475" spans="18:18" s="2" customFormat="1" ht="12.75" x14ac:dyDescent="0.2">
      <c r="R35475" s="1288"/>
    </row>
    <row r="35476" spans="18:18" s="2" customFormat="1" ht="12.75" x14ac:dyDescent="0.2">
      <c r="R35476" s="1288"/>
    </row>
    <row r="35477" spans="18:18" s="2" customFormat="1" ht="12.75" x14ac:dyDescent="0.2">
      <c r="R35477" s="1288"/>
    </row>
    <row r="35478" spans="18:18" s="2" customFormat="1" ht="12.75" x14ac:dyDescent="0.2">
      <c r="R35478" s="1288"/>
    </row>
    <row r="35479" spans="18:18" s="2" customFormat="1" ht="12.75" x14ac:dyDescent="0.2">
      <c r="R35479" s="1288"/>
    </row>
    <row r="35480" spans="18:18" s="2" customFormat="1" ht="12.75" x14ac:dyDescent="0.2">
      <c r="R35480" s="1288"/>
    </row>
    <row r="35481" spans="18:18" s="2" customFormat="1" ht="12.75" x14ac:dyDescent="0.2">
      <c r="R35481" s="1288"/>
    </row>
    <row r="35482" spans="18:18" s="2" customFormat="1" ht="12.75" x14ac:dyDescent="0.2">
      <c r="R35482" s="1288"/>
    </row>
    <row r="35483" spans="18:18" s="2" customFormat="1" ht="12.75" x14ac:dyDescent="0.2">
      <c r="R35483" s="1288"/>
    </row>
    <row r="35484" spans="18:18" s="2" customFormat="1" ht="12.75" x14ac:dyDescent="0.2">
      <c r="R35484" s="1288"/>
    </row>
    <row r="35485" spans="18:18" s="2" customFormat="1" ht="12.75" x14ac:dyDescent="0.2">
      <c r="R35485" s="1288"/>
    </row>
    <row r="35486" spans="18:18" s="2" customFormat="1" ht="12.75" x14ac:dyDescent="0.2">
      <c r="R35486" s="1288"/>
    </row>
    <row r="35487" spans="18:18" s="2" customFormat="1" ht="12.75" x14ac:dyDescent="0.2">
      <c r="R35487" s="1288"/>
    </row>
    <row r="35488" spans="18:18" s="2" customFormat="1" ht="12.75" x14ac:dyDescent="0.2">
      <c r="R35488" s="1288"/>
    </row>
    <row r="35489" spans="18:18" s="2" customFormat="1" ht="12.75" x14ac:dyDescent="0.2">
      <c r="R35489" s="1288"/>
    </row>
    <row r="35490" spans="18:18" s="2" customFormat="1" ht="12.75" x14ac:dyDescent="0.2">
      <c r="R35490" s="1288"/>
    </row>
    <row r="35491" spans="18:18" s="2" customFormat="1" ht="12.75" x14ac:dyDescent="0.2">
      <c r="R35491" s="1288"/>
    </row>
    <row r="35492" spans="18:18" s="2" customFormat="1" ht="12.75" x14ac:dyDescent="0.2">
      <c r="R35492" s="1288"/>
    </row>
    <row r="35493" spans="18:18" s="2" customFormat="1" ht="12.75" x14ac:dyDescent="0.2">
      <c r="R35493" s="1288"/>
    </row>
    <row r="35494" spans="18:18" s="2" customFormat="1" ht="12.75" x14ac:dyDescent="0.2">
      <c r="R35494" s="1288"/>
    </row>
    <row r="35495" spans="18:18" s="2" customFormat="1" ht="12.75" x14ac:dyDescent="0.2">
      <c r="R35495" s="1288"/>
    </row>
    <row r="35496" spans="18:18" s="2" customFormat="1" ht="12.75" x14ac:dyDescent="0.2">
      <c r="R35496" s="1288"/>
    </row>
    <row r="35497" spans="18:18" s="2" customFormat="1" ht="12.75" x14ac:dyDescent="0.2">
      <c r="R35497" s="1288"/>
    </row>
    <row r="35498" spans="18:18" s="2" customFormat="1" ht="12.75" x14ac:dyDescent="0.2">
      <c r="R35498" s="1288"/>
    </row>
    <row r="35499" spans="18:18" s="2" customFormat="1" ht="12.75" x14ac:dyDescent="0.2">
      <c r="R35499" s="1288"/>
    </row>
    <row r="35500" spans="18:18" s="2" customFormat="1" ht="12.75" x14ac:dyDescent="0.2">
      <c r="R35500" s="1288"/>
    </row>
    <row r="35501" spans="18:18" s="2" customFormat="1" ht="12.75" x14ac:dyDescent="0.2">
      <c r="R35501" s="1288"/>
    </row>
    <row r="35502" spans="18:18" s="2" customFormat="1" ht="12.75" x14ac:dyDescent="0.2">
      <c r="R35502" s="1288"/>
    </row>
    <row r="35503" spans="18:18" s="2" customFormat="1" ht="12.75" x14ac:dyDescent="0.2">
      <c r="R35503" s="1288"/>
    </row>
    <row r="35504" spans="18:18" s="2" customFormat="1" ht="12.75" x14ac:dyDescent="0.2">
      <c r="R35504" s="1288"/>
    </row>
    <row r="35505" spans="18:18" s="2" customFormat="1" ht="12.75" x14ac:dyDescent="0.2">
      <c r="R35505" s="1288"/>
    </row>
    <row r="35506" spans="18:18" s="2" customFormat="1" ht="12.75" x14ac:dyDescent="0.2">
      <c r="R35506" s="1288"/>
    </row>
    <row r="35507" spans="18:18" s="2" customFormat="1" ht="12.75" x14ac:dyDescent="0.2">
      <c r="R35507" s="1288"/>
    </row>
    <row r="35508" spans="18:18" s="2" customFormat="1" ht="12.75" x14ac:dyDescent="0.2">
      <c r="R35508" s="1288"/>
    </row>
    <row r="35509" spans="18:18" s="2" customFormat="1" ht="12.75" x14ac:dyDescent="0.2">
      <c r="R35509" s="1288"/>
    </row>
    <row r="35510" spans="18:18" s="2" customFormat="1" ht="12.75" x14ac:dyDescent="0.2">
      <c r="R35510" s="1288"/>
    </row>
    <row r="35511" spans="18:18" s="2" customFormat="1" ht="12.75" x14ac:dyDescent="0.2">
      <c r="R35511" s="1288"/>
    </row>
    <row r="35512" spans="18:18" s="2" customFormat="1" ht="12.75" x14ac:dyDescent="0.2">
      <c r="R35512" s="1288"/>
    </row>
    <row r="35513" spans="18:18" s="2" customFormat="1" ht="12.75" x14ac:dyDescent="0.2">
      <c r="R35513" s="1288"/>
    </row>
    <row r="35514" spans="18:18" s="2" customFormat="1" ht="12.75" x14ac:dyDescent="0.2">
      <c r="R35514" s="1288"/>
    </row>
    <row r="35515" spans="18:18" s="2" customFormat="1" ht="12.75" x14ac:dyDescent="0.2">
      <c r="R35515" s="1288"/>
    </row>
    <row r="35516" spans="18:18" s="2" customFormat="1" ht="12.75" x14ac:dyDescent="0.2">
      <c r="R35516" s="1288"/>
    </row>
    <row r="35517" spans="18:18" s="2" customFormat="1" ht="12.75" x14ac:dyDescent="0.2">
      <c r="R35517" s="1288"/>
    </row>
    <row r="35518" spans="18:18" s="2" customFormat="1" ht="12.75" x14ac:dyDescent="0.2">
      <c r="R35518" s="1288"/>
    </row>
    <row r="35519" spans="18:18" s="2" customFormat="1" ht="12.75" x14ac:dyDescent="0.2">
      <c r="R35519" s="1288"/>
    </row>
    <row r="35520" spans="18:18" s="2" customFormat="1" ht="12.75" x14ac:dyDescent="0.2">
      <c r="R35520" s="1288"/>
    </row>
    <row r="35521" spans="18:18" s="2" customFormat="1" ht="12.75" x14ac:dyDescent="0.2">
      <c r="R35521" s="1288"/>
    </row>
    <row r="35522" spans="18:18" s="2" customFormat="1" ht="12.75" x14ac:dyDescent="0.2">
      <c r="R35522" s="1288"/>
    </row>
    <row r="35523" spans="18:18" s="2" customFormat="1" ht="12.75" x14ac:dyDescent="0.2">
      <c r="R35523" s="1288"/>
    </row>
    <row r="35524" spans="18:18" s="2" customFormat="1" ht="12.75" x14ac:dyDescent="0.2">
      <c r="R35524" s="1288"/>
    </row>
    <row r="35525" spans="18:18" s="2" customFormat="1" ht="12.75" x14ac:dyDescent="0.2">
      <c r="R35525" s="1288"/>
    </row>
    <row r="35526" spans="18:18" s="2" customFormat="1" ht="12.75" x14ac:dyDescent="0.2">
      <c r="R35526" s="1288"/>
    </row>
    <row r="35527" spans="18:18" s="2" customFormat="1" ht="12.75" x14ac:dyDescent="0.2">
      <c r="R35527" s="1288"/>
    </row>
    <row r="35528" spans="18:18" s="2" customFormat="1" ht="12.75" x14ac:dyDescent="0.2">
      <c r="R35528" s="1288"/>
    </row>
    <row r="35529" spans="18:18" s="2" customFormat="1" ht="12.75" x14ac:dyDescent="0.2">
      <c r="R35529" s="1288"/>
    </row>
    <row r="35530" spans="18:18" s="2" customFormat="1" ht="12.75" x14ac:dyDescent="0.2">
      <c r="R35530" s="1288"/>
    </row>
    <row r="35531" spans="18:18" s="2" customFormat="1" ht="12.75" x14ac:dyDescent="0.2">
      <c r="R35531" s="1288"/>
    </row>
    <row r="35532" spans="18:18" s="2" customFormat="1" ht="12.75" x14ac:dyDescent="0.2">
      <c r="R35532" s="1288"/>
    </row>
    <row r="35533" spans="18:18" s="2" customFormat="1" ht="12.75" x14ac:dyDescent="0.2">
      <c r="R35533" s="1288"/>
    </row>
    <row r="35534" spans="18:18" s="2" customFormat="1" ht="12.75" x14ac:dyDescent="0.2">
      <c r="R35534" s="1288"/>
    </row>
    <row r="35535" spans="18:18" s="2" customFormat="1" ht="12.75" x14ac:dyDescent="0.2">
      <c r="R35535" s="1288"/>
    </row>
    <row r="35536" spans="18:18" s="2" customFormat="1" ht="12.75" x14ac:dyDescent="0.2">
      <c r="R35536" s="1288"/>
    </row>
    <row r="35537" spans="18:18" s="2" customFormat="1" ht="12.75" x14ac:dyDescent="0.2">
      <c r="R35537" s="1288"/>
    </row>
    <row r="35538" spans="18:18" s="2" customFormat="1" ht="12.75" x14ac:dyDescent="0.2">
      <c r="R35538" s="1288"/>
    </row>
    <row r="35539" spans="18:18" s="2" customFormat="1" ht="12.75" x14ac:dyDescent="0.2">
      <c r="R35539" s="1288"/>
    </row>
    <row r="35540" spans="18:18" s="2" customFormat="1" ht="12.75" x14ac:dyDescent="0.2">
      <c r="R35540" s="1288"/>
    </row>
    <row r="35541" spans="18:18" s="2" customFormat="1" ht="12.75" x14ac:dyDescent="0.2">
      <c r="R35541" s="1288"/>
    </row>
    <row r="35542" spans="18:18" s="2" customFormat="1" ht="12.75" x14ac:dyDescent="0.2">
      <c r="R35542" s="1288"/>
    </row>
    <row r="35543" spans="18:18" s="2" customFormat="1" ht="12.75" x14ac:dyDescent="0.2">
      <c r="R35543" s="1288"/>
    </row>
    <row r="35544" spans="18:18" s="2" customFormat="1" ht="12.75" x14ac:dyDescent="0.2">
      <c r="R35544" s="1288"/>
    </row>
    <row r="35545" spans="18:18" s="2" customFormat="1" ht="12.75" x14ac:dyDescent="0.2">
      <c r="R35545" s="1288"/>
    </row>
    <row r="35546" spans="18:18" s="2" customFormat="1" ht="12.75" x14ac:dyDescent="0.2">
      <c r="R35546" s="1288"/>
    </row>
    <row r="35547" spans="18:18" s="2" customFormat="1" ht="12.75" x14ac:dyDescent="0.2">
      <c r="R35547" s="1288"/>
    </row>
    <row r="35548" spans="18:18" s="2" customFormat="1" ht="12.75" x14ac:dyDescent="0.2">
      <c r="R35548" s="1288"/>
    </row>
    <row r="35549" spans="18:18" s="2" customFormat="1" ht="12.75" x14ac:dyDescent="0.2">
      <c r="R35549" s="1288"/>
    </row>
    <row r="35550" spans="18:18" s="2" customFormat="1" ht="12.75" x14ac:dyDescent="0.2">
      <c r="R35550" s="1288"/>
    </row>
    <row r="35551" spans="18:18" s="2" customFormat="1" ht="12.75" x14ac:dyDescent="0.2">
      <c r="R35551" s="1288"/>
    </row>
    <row r="35552" spans="18:18" s="2" customFormat="1" ht="12.75" x14ac:dyDescent="0.2">
      <c r="R35552" s="1288"/>
    </row>
    <row r="35553" spans="18:18" s="2" customFormat="1" ht="12.75" x14ac:dyDescent="0.2">
      <c r="R35553" s="1288"/>
    </row>
    <row r="35554" spans="18:18" s="2" customFormat="1" ht="12.75" x14ac:dyDescent="0.2">
      <c r="R35554" s="1288"/>
    </row>
    <row r="35555" spans="18:18" s="2" customFormat="1" ht="12.75" x14ac:dyDescent="0.2">
      <c r="R35555" s="1288"/>
    </row>
    <row r="35556" spans="18:18" s="2" customFormat="1" ht="12.75" x14ac:dyDescent="0.2">
      <c r="R35556" s="1288"/>
    </row>
    <row r="35557" spans="18:18" s="2" customFormat="1" ht="12.75" x14ac:dyDescent="0.2">
      <c r="R35557" s="1288"/>
    </row>
    <row r="35558" spans="18:18" s="2" customFormat="1" ht="12.75" x14ac:dyDescent="0.2">
      <c r="R35558" s="1288"/>
    </row>
    <row r="35559" spans="18:18" s="2" customFormat="1" ht="12.75" x14ac:dyDescent="0.2">
      <c r="R35559" s="1288"/>
    </row>
    <row r="35560" spans="18:18" s="2" customFormat="1" ht="12.75" x14ac:dyDescent="0.2">
      <c r="R35560" s="1288"/>
    </row>
    <row r="35561" spans="18:18" s="2" customFormat="1" ht="12.75" x14ac:dyDescent="0.2">
      <c r="R35561" s="1288"/>
    </row>
    <row r="35562" spans="18:18" s="2" customFormat="1" ht="12.75" x14ac:dyDescent="0.2">
      <c r="R35562" s="1288"/>
    </row>
    <row r="35563" spans="18:18" s="2" customFormat="1" ht="12.75" x14ac:dyDescent="0.2">
      <c r="R35563" s="1288"/>
    </row>
    <row r="35564" spans="18:18" s="2" customFormat="1" ht="12.75" x14ac:dyDescent="0.2">
      <c r="R35564" s="1288"/>
    </row>
    <row r="35565" spans="18:18" s="2" customFormat="1" ht="12.75" x14ac:dyDescent="0.2">
      <c r="R35565" s="1288"/>
    </row>
    <row r="35566" spans="18:18" s="2" customFormat="1" ht="12.75" x14ac:dyDescent="0.2">
      <c r="R35566" s="1288"/>
    </row>
    <row r="35567" spans="18:18" s="2" customFormat="1" ht="12.75" x14ac:dyDescent="0.2">
      <c r="R35567" s="1288"/>
    </row>
    <row r="35568" spans="18:18" s="2" customFormat="1" ht="12.75" x14ac:dyDescent="0.2">
      <c r="R35568" s="1288"/>
    </row>
    <row r="35569" spans="18:18" s="2" customFormat="1" ht="12.75" x14ac:dyDescent="0.2">
      <c r="R35569" s="1288"/>
    </row>
    <row r="35570" spans="18:18" s="2" customFormat="1" ht="12.75" x14ac:dyDescent="0.2">
      <c r="R35570" s="1288"/>
    </row>
    <row r="35571" spans="18:18" s="2" customFormat="1" ht="12.75" x14ac:dyDescent="0.2">
      <c r="R35571" s="1288"/>
    </row>
    <row r="35572" spans="18:18" s="2" customFormat="1" ht="12.75" x14ac:dyDescent="0.2">
      <c r="R35572" s="1288"/>
    </row>
    <row r="35573" spans="18:18" s="2" customFormat="1" ht="12.75" x14ac:dyDescent="0.2">
      <c r="R35573" s="1288"/>
    </row>
    <row r="35574" spans="18:18" s="2" customFormat="1" ht="12.75" x14ac:dyDescent="0.2">
      <c r="R35574" s="1288"/>
    </row>
    <row r="35575" spans="18:18" s="2" customFormat="1" ht="12.75" x14ac:dyDescent="0.2">
      <c r="R35575" s="1288"/>
    </row>
    <row r="35576" spans="18:18" s="2" customFormat="1" ht="12.75" x14ac:dyDescent="0.2">
      <c r="R35576" s="1288"/>
    </row>
    <row r="35577" spans="18:18" s="2" customFormat="1" ht="12.75" x14ac:dyDescent="0.2">
      <c r="R35577" s="1288"/>
    </row>
    <row r="35578" spans="18:18" s="2" customFormat="1" ht="12.75" x14ac:dyDescent="0.2">
      <c r="R35578" s="1288"/>
    </row>
    <row r="35579" spans="18:18" s="2" customFormat="1" ht="12.75" x14ac:dyDescent="0.2">
      <c r="R35579" s="1288"/>
    </row>
    <row r="35580" spans="18:18" s="2" customFormat="1" ht="12.75" x14ac:dyDescent="0.2">
      <c r="R35580" s="1288"/>
    </row>
    <row r="35581" spans="18:18" s="2" customFormat="1" ht="12.75" x14ac:dyDescent="0.2">
      <c r="R35581" s="1288"/>
    </row>
    <row r="35582" spans="18:18" s="2" customFormat="1" ht="12.75" x14ac:dyDescent="0.2">
      <c r="R35582" s="1288"/>
    </row>
    <row r="35583" spans="18:18" s="2" customFormat="1" ht="12.75" x14ac:dyDescent="0.2">
      <c r="R35583" s="1288"/>
    </row>
    <row r="35584" spans="18:18" s="2" customFormat="1" ht="12.75" x14ac:dyDescent="0.2">
      <c r="R35584" s="1288"/>
    </row>
    <row r="35585" spans="18:18" s="2" customFormat="1" ht="12.75" x14ac:dyDescent="0.2">
      <c r="R35585" s="1288"/>
    </row>
    <row r="35586" spans="18:18" s="2" customFormat="1" ht="12.75" x14ac:dyDescent="0.2">
      <c r="R35586" s="1288"/>
    </row>
    <row r="35587" spans="18:18" s="2" customFormat="1" ht="12.75" x14ac:dyDescent="0.2">
      <c r="R35587" s="1288"/>
    </row>
    <row r="35588" spans="18:18" s="2" customFormat="1" ht="12.75" x14ac:dyDescent="0.2">
      <c r="R35588" s="1288"/>
    </row>
    <row r="35589" spans="18:18" s="2" customFormat="1" ht="12.75" x14ac:dyDescent="0.2">
      <c r="R35589" s="1288"/>
    </row>
    <row r="35590" spans="18:18" s="2" customFormat="1" ht="12.75" x14ac:dyDescent="0.2">
      <c r="R35590" s="1288"/>
    </row>
    <row r="35591" spans="18:18" s="2" customFormat="1" ht="12.75" x14ac:dyDescent="0.2">
      <c r="R35591" s="1288"/>
    </row>
    <row r="35592" spans="18:18" s="2" customFormat="1" ht="12.75" x14ac:dyDescent="0.2">
      <c r="R35592" s="1288"/>
    </row>
    <row r="35593" spans="18:18" s="2" customFormat="1" ht="12.75" x14ac:dyDescent="0.2">
      <c r="R35593" s="1288"/>
    </row>
    <row r="35594" spans="18:18" s="2" customFormat="1" ht="12.75" x14ac:dyDescent="0.2">
      <c r="R35594" s="1288"/>
    </row>
    <row r="35595" spans="18:18" s="2" customFormat="1" ht="12.75" x14ac:dyDescent="0.2">
      <c r="R35595" s="1288"/>
    </row>
    <row r="35596" spans="18:18" s="2" customFormat="1" ht="12.75" x14ac:dyDescent="0.2">
      <c r="R35596" s="1288"/>
    </row>
    <row r="35597" spans="18:18" s="2" customFormat="1" ht="12.75" x14ac:dyDescent="0.2">
      <c r="R35597" s="1288"/>
    </row>
    <row r="35598" spans="18:18" s="2" customFormat="1" ht="12.75" x14ac:dyDescent="0.2">
      <c r="R35598" s="1288"/>
    </row>
    <row r="35599" spans="18:18" s="2" customFormat="1" ht="12.75" x14ac:dyDescent="0.2">
      <c r="R35599" s="1288"/>
    </row>
    <row r="35600" spans="18:18" s="2" customFormat="1" ht="12.75" x14ac:dyDescent="0.2">
      <c r="R35600" s="1288"/>
    </row>
    <row r="35601" spans="18:18" s="2" customFormat="1" ht="12.75" x14ac:dyDescent="0.2">
      <c r="R35601" s="1288"/>
    </row>
    <row r="35602" spans="18:18" s="2" customFormat="1" ht="12.75" x14ac:dyDescent="0.2">
      <c r="R35602" s="1288"/>
    </row>
    <row r="35603" spans="18:18" s="2" customFormat="1" ht="12.75" x14ac:dyDescent="0.2">
      <c r="R35603" s="1288"/>
    </row>
    <row r="35604" spans="18:18" s="2" customFormat="1" ht="12.75" x14ac:dyDescent="0.2">
      <c r="R35604" s="1288"/>
    </row>
    <row r="35605" spans="18:18" s="2" customFormat="1" ht="12.75" x14ac:dyDescent="0.2">
      <c r="R35605" s="1288"/>
    </row>
    <row r="35606" spans="18:18" s="2" customFormat="1" ht="12.75" x14ac:dyDescent="0.2">
      <c r="R35606" s="1288"/>
    </row>
    <row r="35607" spans="18:18" s="2" customFormat="1" ht="12.75" x14ac:dyDescent="0.2">
      <c r="R35607" s="1288"/>
    </row>
    <row r="35608" spans="18:18" s="2" customFormat="1" ht="12.75" x14ac:dyDescent="0.2">
      <c r="R35608" s="1288"/>
    </row>
    <row r="35609" spans="18:18" s="2" customFormat="1" ht="12.75" x14ac:dyDescent="0.2">
      <c r="R35609" s="1288"/>
    </row>
    <row r="35610" spans="18:18" s="2" customFormat="1" ht="12.75" x14ac:dyDescent="0.2">
      <c r="R35610" s="1288"/>
    </row>
    <row r="35611" spans="18:18" s="2" customFormat="1" ht="12.75" x14ac:dyDescent="0.2">
      <c r="R35611" s="1288"/>
    </row>
    <row r="35612" spans="18:18" s="2" customFormat="1" ht="12.75" x14ac:dyDescent="0.2">
      <c r="R35612" s="1288"/>
    </row>
    <row r="35613" spans="18:18" s="2" customFormat="1" ht="12.75" x14ac:dyDescent="0.2">
      <c r="R35613" s="1288"/>
    </row>
    <row r="35614" spans="18:18" s="2" customFormat="1" ht="12.75" x14ac:dyDescent="0.2">
      <c r="R35614" s="1288"/>
    </row>
    <row r="35615" spans="18:18" s="2" customFormat="1" ht="12.75" x14ac:dyDescent="0.2">
      <c r="R35615" s="1288"/>
    </row>
    <row r="35616" spans="18:18" s="2" customFormat="1" ht="12.75" x14ac:dyDescent="0.2">
      <c r="R35616" s="1288"/>
    </row>
    <row r="35617" spans="18:18" s="2" customFormat="1" ht="12.75" x14ac:dyDescent="0.2">
      <c r="R35617" s="1288"/>
    </row>
    <row r="35618" spans="18:18" s="2" customFormat="1" ht="12.75" x14ac:dyDescent="0.2">
      <c r="R35618" s="1288"/>
    </row>
    <row r="35619" spans="18:18" s="2" customFormat="1" ht="12.75" x14ac:dyDescent="0.2">
      <c r="R35619" s="1288"/>
    </row>
    <row r="35620" spans="18:18" s="2" customFormat="1" ht="12.75" x14ac:dyDescent="0.2">
      <c r="R35620" s="1288"/>
    </row>
    <row r="35621" spans="18:18" s="2" customFormat="1" ht="12.75" x14ac:dyDescent="0.2">
      <c r="R35621" s="1288"/>
    </row>
    <row r="35622" spans="18:18" s="2" customFormat="1" ht="12.75" x14ac:dyDescent="0.2">
      <c r="R35622" s="1288"/>
    </row>
    <row r="35623" spans="18:18" s="2" customFormat="1" ht="12.75" x14ac:dyDescent="0.2">
      <c r="R35623" s="1288"/>
    </row>
    <row r="35624" spans="18:18" s="2" customFormat="1" ht="12.75" x14ac:dyDescent="0.2">
      <c r="R35624" s="1288"/>
    </row>
    <row r="35625" spans="18:18" s="2" customFormat="1" ht="12.75" x14ac:dyDescent="0.2">
      <c r="R35625" s="1288"/>
    </row>
    <row r="35626" spans="18:18" s="2" customFormat="1" ht="12.75" x14ac:dyDescent="0.2">
      <c r="R35626" s="1288"/>
    </row>
    <row r="35627" spans="18:18" s="2" customFormat="1" ht="12.75" x14ac:dyDescent="0.2">
      <c r="R35627" s="1288"/>
    </row>
    <row r="35628" spans="18:18" s="2" customFormat="1" ht="12.75" x14ac:dyDescent="0.2">
      <c r="R35628" s="1288"/>
    </row>
    <row r="35629" spans="18:18" s="2" customFormat="1" ht="12.75" x14ac:dyDescent="0.2">
      <c r="R35629" s="1288"/>
    </row>
    <row r="35630" spans="18:18" s="2" customFormat="1" ht="12.75" x14ac:dyDescent="0.2">
      <c r="R35630" s="1288"/>
    </row>
    <row r="35631" spans="18:18" s="2" customFormat="1" ht="12.75" x14ac:dyDescent="0.2">
      <c r="R35631" s="1288"/>
    </row>
    <row r="35632" spans="18:18" s="2" customFormat="1" ht="12.75" x14ac:dyDescent="0.2">
      <c r="R35632" s="1288"/>
    </row>
    <row r="35633" spans="18:18" s="2" customFormat="1" ht="12.75" x14ac:dyDescent="0.2">
      <c r="R35633" s="1288"/>
    </row>
    <row r="35634" spans="18:18" s="2" customFormat="1" ht="12.75" x14ac:dyDescent="0.2">
      <c r="R35634" s="1288"/>
    </row>
    <row r="35635" spans="18:18" s="2" customFormat="1" ht="12.75" x14ac:dyDescent="0.2">
      <c r="R35635" s="1288"/>
    </row>
    <row r="35636" spans="18:18" s="2" customFormat="1" ht="12.75" x14ac:dyDescent="0.2">
      <c r="R35636" s="1288"/>
    </row>
    <row r="35637" spans="18:18" s="2" customFormat="1" ht="12.75" x14ac:dyDescent="0.2">
      <c r="R35637" s="1288"/>
    </row>
    <row r="35638" spans="18:18" s="2" customFormat="1" ht="12.75" x14ac:dyDescent="0.2">
      <c r="R35638" s="1288"/>
    </row>
    <row r="35639" spans="18:18" s="2" customFormat="1" ht="12.75" x14ac:dyDescent="0.2">
      <c r="R35639" s="1288"/>
    </row>
    <row r="35640" spans="18:18" s="2" customFormat="1" ht="12.75" x14ac:dyDescent="0.2">
      <c r="R35640" s="1288"/>
    </row>
    <row r="35641" spans="18:18" s="2" customFormat="1" ht="12.75" x14ac:dyDescent="0.2">
      <c r="R35641" s="1288"/>
    </row>
    <row r="35642" spans="18:18" s="2" customFormat="1" ht="12.75" x14ac:dyDescent="0.2">
      <c r="R35642" s="1288"/>
    </row>
    <row r="35643" spans="18:18" s="2" customFormat="1" ht="12.75" x14ac:dyDescent="0.2">
      <c r="R35643" s="1288"/>
    </row>
    <row r="35644" spans="18:18" s="2" customFormat="1" ht="12.75" x14ac:dyDescent="0.2">
      <c r="R35644" s="1288"/>
    </row>
    <row r="35645" spans="18:18" s="2" customFormat="1" ht="12.75" x14ac:dyDescent="0.2">
      <c r="R35645" s="1288"/>
    </row>
    <row r="35646" spans="18:18" s="2" customFormat="1" ht="12.75" x14ac:dyDescent="0.2">
      <c r="R35646" s="1288"/>
    </row>
    <row r="35647" spans="18:18" s="2" customFormat="1" ht="12.75" x14ac:dyDescent="0.2">
      <c r="R35647" s="1288"/>
    </row>
    <row r="35648" spans="18:18" s="2" customFormat="1" ht="12.75" x14ac:dyDescent="0.2">
      <c r="R35648" s="1288"/>
    </row>
    <row r="35649" spans="18:18" s="2" customFormat="1" ht="12.75" x14ac:dyDescent="0.2">
      <c r="R35649" s="1288"/>
    </row>
    <row r="35650" spans="18:18" s="2" customFormat="1" ht="12.75" x14ac:dyDescent="0.2">
      <c r="R35650" s="1288"/>
    </row>
    <row r="35651" spans="18:18" s="2" customFormat="1" ht="12.75" x14ac:dyDescent="0.2">
      <c r="R35651" s="1288"/>
    </row>
    <row r="35652" spans="18:18" s="2" customFormat="1" ht="12.75" x14ac:dyDescent="0.2">
      <c r="R35652" s="1288"/>
    </row>
    <row r="35653" spans="18:18" s="2" customFormat="1" ht="12.75" x14ac:dyDescent="0.2">
      <c r="R35653" s="1288"/>
    </row>
    <row r="35654" spans="18:18" s="2" customFormat="1" ht="12.75" x14ac:dyDescent="0.2">
      <c r="R35654" s="1288"/>
    </row>
    <row r="35655" spans="18:18" s="2" customFormat="1" ht="12.75" x14ac:dyDescent="0.2">
      <c r="R35655" s="1288"/>
    </row>
    <row r="35656" spans="18:18" s="2" customFormat="1" ht="12.75" x14ac:dyDescent="0.2">
      <c r="R35656" s="1288"/>
    </row>
    <row r="35657" spans="18:18" s="2" customFormat="1" ht="12.75" x14ac:dyDescent="0.2">
      <c r="R35657" s="1288"/>
    </row>
    <row r="35658" spans="18:18" s="2" customFormat="1" ht="12.75" x14ac:dyDescent="0.2">
      <c r="R35658" s="1288"/>
    </row>
    <row r="35659" spans="18:18" s="2" customFormat="1" ht="12.75" x14ac:dyDescent="0.2">
      <c r="R35659" s="1288"/>
    </row>
    <row r="35660" spans="18:18" s="2" customFormat="1" ht="12.75" x14ac:dyDescent="0.2">
      <c r="R35660" s="1288"/>
    </row>
    <row r="35661" spans="18:18" s="2" customFormat="1" ht="12.75" x14ac:dyDescent="0.2">
      <c r="R35661" s="1288"/>
    </row>
    <row r="35662" spans="18:18" s="2" customFormat="1" ht="12.75" x14ac:dyDescent="0.2">
      <c r="R35662" s="1288"/>
    </row>
    <row r="35663" spans="18:18" s="2" customFormat="1" ht="12.75" x14ac:dyDescent="0.2">
      <c r="R35663" s="1288"/>
    </row>
    <row r="35664" spans="18:18" s="2" customFormat="1" ht="12.75" x14ac:dyDescent="0.2">
      <c r="R35664" s="1288"/>
    </row>
    <row r="35665" spans="18:18" s="2" customFormat="1" ht="12.75" x14ac:dyDescent="0.2">
      <c r="R35665" s="1288"/>
    </row>
    <row r="35666" spans="18:18" s="2" customFormat="1" ht="12.75" x14ac:dyDescent="0.2">
      <c r="R35666" s="1288"/>
    </row>
    <row r="35667" spans="18:18" s="2" customFormat="1" ht="12.75" x14ac:dyDescent="0.2">
      <c r="R35667" s="1288"/>
    </row>
    <row r="35668" spans="18:18" s="2" customFormat="1" ht="12.75" x14ac:dyDescent="0.2">
      <c r="R35668" s="1288"/>
    </row>
    <row r="35669" spans="18:18" s="2" customFormat="1" ht="12.75" x14ac:dyDescent="0.2">
      <c r="R35669" s="1288"/>
    </row>
    <row r="35670" spans="18:18" s="2" customFormat="1" ht="12.75" x14ac:dyDescent="0.2">
      <c r="R35670" s="1288"/>
    </row>
    <row r="35671" spans="18:18" s="2" customFormat="1" ht="12.75" x14ac:dyDescent="0.2">
      <c r="R35671" s="1288"/>
    </row>
    <row r="35672" spans="18:18" s="2" customFormat="1" ht="12.75" x14ac:dyDescent="0.2">
      <c r="R35672" s="1288"/>
    </row>
    <row r="35673" spans="18:18" s="2" customFormat="1" ht="12.75" x14ac:dyDescent="0.2">
      <c r="R35673" s="1288"/>
    </row>
    <row r="35674" spans="18:18" s="2" customFormat="1" ht="12.75" x14ac:dyDescent="0.2">
      <c r="R35674" s="1288"/>
    </row>
    <row r="35675" spans="18:18" s="2" customFormat="1" ht="12.75" x14ac:dyDescent="0.2">
      <c r="R35675" s="1288"/>
    </row>
    <row r="35676" spans="18:18" s="2" customFormat="1" ht="12.75" x14ac:dyDescent="0.2">
      <c r="R35676" s="1288"/>
    </row>
    <row r="35677" spans="18:18" s="2" customFormat="1" ht="12.75" x14ac:dyDescent="0.2">
      <c r="R35677" s="1288"/>
    </row>
    <row r="35678" spans="18:18" s="2" customFormat="1" ht="12.75" x14ac:dyDescent="0.2">
      <c r="R35678" s="1288"/>
    </row>
    <row r="35679" spans="18:18" s="2" customFormat="1" ht="12.75" x14ac:dyDescent="0.2">
      <c r="R35679" s="1288"/>
    </row>
    <row r="35680" spans="18:18" s="2" customFormat="1" ht="12.75" x14ac:dyDescent="0.2">
      <c r="R35680" s="1288"/>
    </row>
    <row r="35681" spans="18:18" s="2" customFormat="1" ht="12.75" x14ac:dyDescent="0.2">
      <c r="R35681" s="1288"/>
    </row>
    <row r="35682" spans="18:18" s="2" customFormat="1" ht="12.75" x14ac:dyDescent="0.2">
      <c r="R35682" s="1288"/>
    </row>
    <row r="35683" spans="18:18" s="2" customFormat="1" ht="12.75" x14ac:dyDescent="0.2">
      <c r="R35683" s="1288"/>
    </row>
    <row r="35684" spans="18:18" s="2" customFormat="1" ht="12.75" x14ac:dyDescent="0.2">
      <c r="R35684" s="1288"/>
    </row>
    <row r="35685" spans="18:18" s="2" customFormat="1" ht="12.75" x14ac:dyDescent="0.2">
      <c r="R35685" s="1288"/>
    </row>
    <row r="35686" spans="18:18" s="2" customFormat="1" ht="12.75" x14ac:dyDescent="0.2">
      <c r="R35686" s="1288"/>
    </row>
    <row r="35687" spans="18:18" s="2" customFormat="1" ht="12.75" x14ac:dyDescent="0.2">
      <c r="R35687" s="1288"/>
    </row>
    <row r="35688" spans="18:18" s="2" customFormat="1" ht="12.75" x14ac:dyDescent="0.2">
      <c r="R35688" s="1288"/>
    </row>
    <row r="35689" spans="18:18" s="2" customFormat="1" ht="12.75" x14ac:dyDescent="0.2">
      <c r="R35689" s="1288"/>
    </row>
    <row r="35690" spans="18:18" s="2" customFormat="1" ht="12.75" x14ac:dyDescent="0.2">
      <c r="R35690" s="1288"/>
    </row>
    <row r="35691" spans="18:18" s="2" customFormat="1" ht="12.75" x14ac:dyDescent="0.2">
      <c r="R35691" s="1288"/>
    </row>
    <row r="35692" spans="18:18" s="2" customFormat="1" ht="12.75" x14ac:dyDescent="0.2">
      <c r="R35692" s="1288"/>
    </row>
    <row r="35693" spans="18:18" s="2" customFormat="1" ht="12.75" x14ac:dyDescent="0.2">
      <c r="R35693" s="1288"/>
    </row>
    <row r="35694" spans="18:18" s="2" customFormat="1" ht="12.75" x14ac:dyDescent="0.2">
      <c r="R35694" s="1288"/>
    </row>
    <row r="35695" spans="18:18" s="2" customFormat="1" ht="12.75" x14ac:dyDescent="0.2">
      <c r="R35695" s="1288"/>
    </row>
    <row r="35696" spans="18:18" s="2" customFormat="1" ht="12.75" x14ac:dyDescent="0.2">
      <c r="R35696" s="1288"/>
    </row>
    <row r="35697" spans="18:18" s="2" customFormat="1" ht="12.75" x14ac:dyDescent="0.2">
      <c r="R35697" s="1288"/>
    </row>
    <row r="35698" spans="18:18" s="2" customFormat="1" ht="12.75" x14ac:dyDescent="0.2">
      <c r="R35698" s="1288"/>
    </row>
    <row r="35699" spans="18:18" s="2" customFormat="1" ht="12.75" x14ac:dyDescent="0.2">
      <c r="R35699" s="1288"/>
    </row>
    <row r="35700" spans="18:18" s="2" customFormat="1" ht="12.75" x14ac:dyDescent="0.2">
      <c r="R35700" s="1288"/>
    </row>
    <row r="35701" spans="18:18" s="2" customFormat="1" ht="12.75" x14ac:dyDescent="0.2">
      <c r="R35701" s="1288"/>
    </row>
    <row r="35702" spans="18:18" s="2" customFormat="1" ht="12.75" x14ac:dyDescent="0.2">
      <c r="R35702" s="1288"/>
    </row>
    <row r="35703" spans="18:18" s="2" customFormat="1" ht="12.75" x14ac:dyDescent="0.2">
      <c r="R35703" s="1288"/>
    </row>
    <row r="35704" spans="18:18" s="2" customFormat="1" ht="12.75" x14ac:dyDescent="0.2">
      <c r="R35704" s="1288"/>
    </row>
    <row r="35705" spans="18:18" s="2" customFormat="1" ht="12.75" x14ac:dyDescent="0.2">
      <c r="R35705" s="1288"/>
    </row>
    <row r="35706" spans="18:18" s="2" customFormat="1" ht="12.75" x14ac:dyDescent="0.2">
      <c r="R35706" s="1288"/>
    </row>
    <row r="35707" spans="18:18" s="2" customFormat="1" ht="12.75" x14ac:dyDescent="0.2">
      <c r="R35707" s="1288"/>
    </row>
    <row r="35708" spans="18:18" s="2" customFormat="1" ht="12.75" x14ac:dyDescent="0.2">
      <c r="R35708" s="1288"/>
    </row>
    <row r="35709" spans="18:18" s="2" customFormat="1" ht="12.75" x14ac:dyDescent="0.2">
      <c r="R35709" s="1288"/>
    </row>
    <row r="35710" spans="18:18" s="2" customFormat="1" ht="12.75" x14ac:dyDescent="0.2">
      <c r="R35710" s="1288"/>
    </row>
    <row r="35711" spans="18:18" s="2" customFormat="1" ht="12.75" x14ac:dyDescent="0.2">
      <c r="R35711" s="1288"/>
    </row>
    <row r="35712" spans="18:18" s="2" customFormat="1" ht="12.75" x14ac:dyDescent="0.2">
      <c r="R35712" s="1288"/>
    </row>
    <row r="35713" spans="18:18" s="2" customFormat="1" ht="12.75" x14ac:dyDescent="0.2">
      <c r="R35713" s="1288"/>
    </row>
    <row r="35714" spans="18:18" s="2" customFormat="1" ht="12.75" x14ac:dyDescent="0.2">
      <c r="R35714" s="1288"/>
    </row>
    <row r="35715" spans="18:18" s="2" customFormat="1" ht="12.75" x14ac:dyDescent="0.2">
      <c r="R35715" s="1288"/>
    </row>
    <row r="35716" spans="18:18" s="2" customFormat="1" ht="12.75" x14ac:dyDescent="0.2">
      <c r="R35716" s="1288"/>
    </row>
    <row r="35717" spans="18:18" s="2" customFormat="1" ht="12.75" x14ac:dyDescent="0.2">
      <c r="R35717" s="1288"/>
    </row>
    <row r="35718" spans="18:18" s="2" customFormat="1" ht="12.75" x14ac:dyDescent="0.2">
      <c r="R35718" s="1288"/>
    </row>
    <row r="35719" spans="18:18" s="2" customFormat="1" ht="12.75" x14ac:dyDescent="0.2">
      <c r="R35719" s="1288"/>
    </row>
    <row r="35720" spans="18:18" s="2" customFormat="1" ht="12.75" x14ac:dyDescent="0.2">
      <c r="R35720" s="1288"/>
    </row>
    <row r="35721" spans="18:18" s="2" customFormat="1" ht="12.75" x14ac:dyDescent="0.2">
      <c r="R35721" s="1288"/>
    </row>
    <row r="35722" spans="18:18" s="2" customFormat="1" ht="12.75" x14ac:dyDescent="0.2">
      <c r="R35722" s="1288"/>
    </row>
    <row r="35723" spans="18:18" s="2" customFormat="1" ht="12.75" x14ac:dyDescent="0.2">
      <c r="R35723" s="1288"/>
    </row>
    <row r="35724" spans="18:18" s="2" customFormat="1" ht="12.75" x14ac:dyDescent="0.2">
      <c r="R35724" s="1288"/>
    </row>
    <row r="35725" spans="18:18" s="2" customFormat="1" ht="12.75" x14ac:dyDescent="0.2">
      <c r="R35725" s="1288"/>
    </row>
    <row r="35726" spans="18:18" s="2" customFormat="1" ht="12.75" x14ac:dyDescent="0.2">
      <c r="R35726" s="1288"/>
    </row>
    <row r="35727" spans="18:18" s="2" customFormat="1" ht="12.75" x14ac:dyDescent="0.2">
      <c r="R35727" s="1288"/>
    </row>
    <row r="35728" spans="18:18" s="2" customFormat="1" ht="12.75" x14ac:dyDescent="0.2">
      <c r="R35728" s="1288"/>
    </row>
    <row r="35729" spans="18:18" s="2" customFormat="1" ht="12.75" x14ac:dyDescent="0.2">
      <c r="R35729" s="1288"/>
    </row>
    <row r="35730" spans="18:18" s="2" customFormat="1" ht="12.75" x14ac:dyDescent="0.2">
      <c r="R35730" s="1288"/>
    </row>
    <row r="35731" spans="18:18" s="2" customFormat="1" ht="12.75" x14ac:dyDescent="0.2">
      <c r="R35731" s="1288"/>
    </row>
    <row r="35732" spans="18:18" s="2" customFormat="1" ht="12.75" x14ac:dyDescent="0.2">
      <c r="R35732" s="1288"/>
    </row>
    <row r="35733" spans="18:18" s="2" customFormat="1" ht="12.75" x14ac:dyDescent="0.2">
      <c r="R35733" s="1288"/>
    </row>
    <row r="35734" spans="18:18" s="2" customFormat="1" ht="12.75" x14ac:dyDescent="0.2">
      <c r="R35734" s="1288"/>
    </row>
    <row r="35735" spans="18:18" s="2" customFormat="1" ht="12.75" x14ac:dyDescent="0.2">
      <c r="R35735" s="1288"/>
    </row>
    <row r="35736" spans="18:18" s="2" customFormat="1" ht="12.75" x14ac:dyDescent="0.2">
      <c r="R35736" s="1288"/>
    </row>
    <row r="35737" spans="18:18" s="2" customFormat="1" ht="12.75" x14ac:dyDescent="0.2">
      <c r="R35737" s="1288"/>
    </row>
    <row r="35738" spans="18:18" s="2" customFormat="1" ht="12.75" x14ac:dyDescent="0.2">
      <c r="R35738" s="1288"/>
    </row>
    <row r="35739" spans="18:18" s="2" customFormat="1" ht="12.75" x14ac:dyDescent="0.2">
      <c r="R35739" s="1288"/>
    </row>
    <row r="35740" spans="18:18" s="2" customFormat="1" ht="12.75" x14ac:dyDescent="0.2">
      <c r="R35740" s="1288"/>
    </row>
    <row r="35741" spans="18:18" s="2" customFormat="1" ht="12.75" x14ac:dyDescent="0.2">
      <c r="R35741" s="1288"/>
    </row>
    <row r="35742" spans="18:18" s="2" customFormat="1" ht="12.75" x14ac:dyDescent="0.2">
      <c r="R35742" s="1288"/>
    </row>
    <row r="35743" spans="18:18" s="2" customFormat="1" ht="12.75" x14ac:dyDescent="0.2">
      <c r="R35743" s="1288"/>
    </row>
    <row r="35744" spans="18:18" s="2" customFormat="1" ht="12.75" x14ac:dyDescent="0.2">
      <c r="R35744" s="1288"/>
    </row>
    <row r="35745" spans="18:18" s="2" customFormat="1" ht="12.75" x14ac:dyDescent="0.2">
      <c r="R35745" s="1288"/>
    </row>
    <row r="35746" spans="18:18" s="2" customFormat="1" ht="12.75" x14ac:dyDescent="0.2">
      <c r="R35746" s="1288"/>
    </row>
    <row r="35747" spans="18:18" s="2" customFormat="1" ht="12.75" x14ac:dyDescent="0.2">
      <c r="R35747" s="1288"/>
    </row>
    <row r="35748" spans="18:18" s="2" customFormat="1" ht="12.75" x14ac:dyDescent="0.2">
      <c r="R35748" s="1288"/>
    </row>
    <row r="35749" spans="18:18" s="2" customFormat="1" ht="12.75" x14ac:dyDescent="0.2">
      <c r="R35749" s="1288"/>
    </row>
    <row r="35750" spans="18:18" s="2" customFormat="1" ht="12.75" x14ac:dyDescent="0.2">
      <c r="R35750" s="1288"/>
    </row>
    <row r="35751" spans="18:18" s="2" customFormat="1" ht="12.75" x14ac:dyDescent="0.2">
      <c r="R35751" s="1288"/>
    </row>
    <row r="35752" spans="18:18" s="2" customFormat="1" ht="12.75" x14ac:dyDescent="0.2">
      <c r="R35752" s="1288"/>
    </row>
    <row r="35753" spans="18:18" s="2" customFormat="1" ht="12.75" x14ac:dyDescent="0.2">
      <c r="R35753" s="1288"/>
    </row>
    <row r="35754" spans="18:18" s="2" customFormat="1" ht="12.75" x14ac:dyDescent="0.2">
      <c r="R35754" s="1288"/>
    </row>
    <row r="35755" spans="18:18" s="2" customFormat="1" ht="12.75" x14ac:dyDescent="0.2">
      <c r="R35755" s="1288"/>
    </row>
    <row r="35756" spans="18:18" s="2" customFormat="1" ht="12.75" x14ac:dyDescent="0.2">
      <c r="R35756" s="1288"/>
    </row>
    <row r="35757" spans="18:18" s="2" customFormat="1" ht="12.75" x14ac:dyDescent="0.2">
      <c r="R35757" s="1288"/>
    </row>
    <row r="35758" spans="18:18" s="2" customFormat="1" ht="12.75" x14ac:dyDescent="0.2">
      <c r="R35758" s="1288"/>
    </row>
    <row r="35759" spans="18:18" s="2" customFormat="1" ht="12.75" x14ac:dyDescent="0.2">
      <c r="R35759" s="1288"/>
    </row>
    <row r="35760" spans="18:18" s="2" customFormat="1" ht="12.75" x14ac:dyDescent="0.2">
      <c r="R35760" s="1288"/>
    </row>
    <row r="35761" spans="18:18" s="2" customFormat="1" ht="12.75" x14ac:dyDescent="0.2">
      <c r="R35761" s="1288"/>
    </row>
    <row r="35762" spans="18:18" s="2" customFormat="1" ht="12.75" x14ac:dyDescent="0.2">
      <c r="R35762" s="1288"/>
    </row>
    <row r="35763" spans="18:18" s="2" customFormat="1" ht="12.75" x14ac:dyDescent="0.2">
      <c r="R35763" s="1288"/>
    </row>
    <row r="35764" spans="18:18" s="2" customFormat="1" ht="12.75" x14ac:dyDescent="0.2">
      <c r="R35764" s="1288"/>
    </row>
    <row r="35765" spans="18:18" s="2" customFormat="1" ht="12.75" x14ac:dyDescent="0.2">
      <c r="R35765" s="1288"/>
    </row>
    <row r="35766" spans="18:18" s="2" customFormat="1" ht="12.75" x14ac:dyDescent="0.2">
      <c r="R35766" s="1288"/>
    </row>
    <row r="35767" spans="18:18" s="2" customFormat="1" ht="12.75" x14ac:dyDescent="0.2">
      <c r="R35767" s="1288"/>
    </row>
    <row r="35768" spans="18:18" s="2" customFormat="1" ht="12.75" x14ac:dyDescent="0.2">
      <c r="R35768" s="1288"/>
    </row>
    <row r="35769" spans="18:18" s="2" customFormat="1" ht="12.75" x14ac:dyDescent="0.2">
      <c r="R35769" s="1288"/>
    </row>
    <row r="35770" spans="18:18" s="2" customFormat="1" ht="12.75" x14ac:dyDescent="0.2">
      <c r="R35770" s="1288"/>
    </row>
    <row r="35771" spans="18:18" s="2" customFormat="1" ht="12.75" x14ac:dyDescent="0.2">
      <c r="R35771" s="1288"/>
    </row>
    <row r="35772" spans="18:18" s="2" customFormat="1" ht="12.75" x14ac:dyDescent="0.2">
      <c r="R35772" s="1288"/>
    </row>
    <row r="35773" spans="18:18" s="2" customFormat="1" ht="12.75" x14ac:dyDescent="0.2">
      <c r="R35773" s="1288"/>
    </row>
    <row r="35774" spans="18:18" s="2" customFormat="1" ht="12.75" x14ac:dyDescent="0.2">
      <c r="R35774" s="1288"/>
    </row>
    <row r="35775" spans="18:18" s="2" customFormat="1" ht="12.75" x14ac:dyDescent="0.2">
      <c r="R35775" s="1288"/>
    </row>
    <row r="35776" spans="18:18" s="2" customFormat="1" ht="12.75" x14ac:dyDescent="0.2">
      <c r="R35776" s="1288"/>
    </row>
    <row r="35777" spans="18:18" s="2" customFormat="1" ht="12.75" x14ac:dyDescent="0.2">
      <c r="R35777" s="1288"/>
    </row>
    <row r="35778" spans="18:18" s="2" customFormat="1" ht="12.75" x14ac:dyDescent="0.2">
      <c r="R35778" s="1288"/>
    </row>
    <row r="35779" spans="18:18" s="2" customFormat="1" ht="12.75" x14ac:dyDescent="0.2">
      <c r="R35779" s="1288"/>
    </row>
    <row r="35780" spans="18:18" s="2" customFormat="1" ht="12.75" x14ac:dyDescent="0.2">
      <c r="R35780" s="1288"/>
    </row>
    <row r="35781" spans="18:18" s="2" customFormat="1" ht="12.75" x14ac:dyDescent="0.2">
      <c r="R35781" s="1288"/>
    </row>
    <row r="35782" spans="18:18" s="2" customFormat="1" ht="12.75" x14ac:dyDescent="0.2">
      <c r="R35782" s="1288"/>
    </row>
    <row r="35783" spans="18:18" s="2" customFormat="1" ht="12.75" x14ac:dyDescent="0.2">
      <c r="R35783" s="1288"/>
    </row>
    <row r="35784" spans="18:18" s="2" customFormat="1" ht="12.75" x14ac:dyDescent="0.2">
      <c r="R35784" s="1288"/>
    </row>
    <row r="35785" spans="18:18" s="2" customFormat="1" ht="12.75" x14ac:dyDescent="0.2">
      <c r="R35785" s="1288"/>
    </row>
    <row r="35786" spans="18:18" s="2" customFormat="1" ht="12.75" x14ac:dyDescent="0.2">
      <c r="R35786" s="1288"/>
    </row>
    <row r="35787" spans="18:18" s="2" customFormat="1" ht="12.75" x14ac:dyDescent="0.2">
      <c r="R35787" s="1288"/>
    </row>
    <row r="35788" spans="18:18" s="2" customFormat="1" ht="12.75" x14ac:dyDescent="0.2">
      <c r="R35788" s="1288"/>
    </row>
    <row r="35789" spans="18:18" s="2" customFormat="1" ht="12.75" x14ac:dyDescent="0.2">
      <c r="R35789" s="1288"/>
    </row>
    <row r="35790" spans="18:18" s="2" customFormat="1" ht="12.75" x14ac:dyDescent="0.2">
      <c r="R35790" s="1288"/>
    </row>
    <row r="35791" spans="18:18" s="2" customFormat="1" ht="12.75" x14ac:dyDescent="0.2">
      <c r="R35791" s="1288"/>
    </row>
    <row r="35792" spans="18:18" s="2" customFormat="1" ht="12.75" x14ac:dyDescent="0.2">
      <c r="R35792" s="1288"/>
    </row>
    <row r="35793" spans="18:18" s="2" customFormat="1" ht="12.75" x14ac:dyDescent="0.2">
      <c r="R35793" s="1288"/>
    </row>
    <row r="35794" spans="18:18" s="2" customFormat="1" ht="12.75" x14ac:dyDescent="0.2">
      <c r="R35794" s="1288"/>
    </row>
    <row r="35795" spans="18:18" s="2" customFormat="1" ht="12.75" x14ac:dyDescent="0.2">
      <c r="R35795" s="1288"/>
    </row>
    <row r="35796" spans="18:18" s="2" customFormat="1" ht="12.75" x14ac:dyDescent="0.2">
      <c r="R35796" s="1288"/>
    </row>
    <row r="35797" spans="18:18" s="2" customFormat="1" ht="12.75" x14ac:dyDescent="0.2">
      <c r="R35797" s="1288"/>
    </row>
    <row r="35798" spans="18:18" s="2" customFormat="1" ht="12.75" x14ac:dyDescent="0.2">
      <c r="R35798" s="1288"/>
    </row>
    <row r="35799" spans="18:18" s="2" customFormat="1" ht="12.75" x14ac:dyDescent="0.2">
      <c r="R35799" s="1288"/>
    </row>
    <row r="35800" spans="18:18" s="2" customFormat="1" ht="12.75" x14ac:dyDescent="0.2">
      <c r="R35800" s="1288"/>
    </row>
    <row r="35801" spans="18:18" s="2" customFormat="1" ht="12.75" x14ac:dyDescent="0.2">
      <c r="R35801" s="1288"/>
    </row>
    <row r="35802" spans="18:18" s="2" customFormat="1" ht="12.75" x14ac:dyDescent="0.2">
      <c r="R35802" s="1288"/>
    </row>
    <row r="35803" spans="18:18" s="2" customFormat="1" ht="12.75" x14ac:dyDescent="0.2">
      <c r="R35803" s="1288"/>
    </row>
    <row r="35804" spans="18:18" s="2" customFormat="1" ht="12.75" x14ac:dyDescent="0.2">
      <c r="R35804" s="1288"/>
    </row>
    <row r="35805" spans="18:18" s="2" customFormat="1" ht="12.75" x14ac:dyDescent="0.2">
      <c r="R35805" s="1288"/>
    </row>
    <row r="35806" spans="18:18" s="2" customFormat="1" ht="12.75" x14ac:dyDescent="0.2">
      <c r="R35806" s="1288"/>
    </row>
    <row r="35807" spans="18:18" s="2" customFormat="1" ht="12.75" x14ac:dyDescent="0.2">
      <c r="R35807" s="1288"/>
    </row>
    <row r="35808" spans="18:18" s="2" customFormat="1" ht="12.75" x14ac:dyDescent="0.2">
      <c r="R35808" s="1288"/>
    </row>
    <row r="35809" spans="18:18" s="2" customFormat="1" ht="12.75" x14ac:dyDescent="0.2">
      <c r="R35809" s="1288"/>
    </row>
    <row r="35810" spans="18:18" s="2" customFormat="1" ht="12.75" x14ac:dyDescent="0.2">
      <c r="R35810" s="1288"/>
    </row>
    <row r="35811" spans="18:18" s="2" customFormat="1" ht="12.75" x14ac:dyDescent="0.2">
      <c r="R35811" s="1288"/>
    </row>
    <row r="35812" spans="18:18" s="2" customFormat="1" ht="12.75" x14ac:dyDescent="0.2">
      <c r="R35812" s="1288"/>
    </row>
    <row r="35813" spans="18:18" s="2" customFormat="1" ht="12.75" x14ac:dyDescent="0.2">
      <c r="R35813" s="1288"/>
    </row>
    <row r="35814" spans="18:18" s="2" customFormat="1" ht="12.75" x14ac:dyDescent="0.2">
      <c r="R35814" s="1288"/>
    </row>
    <row r="35815" spans="18:18" s="2" customFormat="1" ht="12.75" x14ac:dyDescent="0.2">
      <c r="R35815" s="1288"/>
    </row>
    <row r="35816" spans="18:18" s="2" customFormat="1" ht="12.75" x14ac:dyDescent="0.2">
      <c r="R35816" s="1288"/>
    </row>
    <row r="35817" spans="18:18" s="2" customFormat="1" ht="12.75" x14ac:dyDescent="0.2">
      <c r="R35817" s="1288"/>
    </row>
    <row r="35818" spans="18:18" s="2" customFormat="1" ht="12.75" x14ac:dyDescent="0.2">
      <c r="R35818" s="1288"/>
    </row>
    <row r="35819" spans="18:18" s="2" customFormat="1" ht="12.75" x14ac:dyDescent="0.2">
      <c r="R35819" s="1288"/>
    </row>
    <row r="35820" spans="18:18" s="2" customFormat="1" ht="12.75" x14ac:dyDescent="0.2">
      <c r="R35820" s="1288"/>
    </row>
    <row r="35821" spans="18:18" s="2" customFormat="1" ht="12.75" x14ac:dyDescent="0.2">
      <c r="R35821" s="1288"/>
    </row>
    <row r="35822" spans="18:18" s="2" customFormat="1" ht="12.75" x14ac:dyDescent="0.2">
      <c r="R35822" s="1288"/>
    </row>
    <row r="35823" spans="18:18" s="2" customFormat="1" ht="12.75" x14ac:dyDescent="0.2">
      <c r="R35823" s="1288"/>
    </row>
    <row r="35824" spans="18:18" s="2" customFormat="1" ht="12.75" x14ac:dyDescent="0.2">
      <c r="R35824" s="1288"/>
    </row>
    <row r="35825" spans="18:18" s="2" customFormat="1" ht="12.75" x14ac:dyDescent="0.2">
      <c r="R35825" s="1288"/>
    </row>
    <row r="35826" spans="18:18" s="2" customFormat="1" ht="12.75" x14ac:dyDescent="0.2">
      <c r="R35826" s="1288"/>
    </row>
    <row r="35827" spans="18:18" s="2" customFormat="1" ht="12.75" x14ac:dyDescent="0.2">
      <c r="R35827" s="1288"/>
    </row>
    <row r="35828" spans="18:18" s="2" customFormat="1" ht="12.75" x14ac:dyDescent="0.2">
      <c r="R35828" s="1288"/>
    </row>
    <row r="35829" spans="18:18" s="2" customFormat="1" ht="12.75" x14ac:dyDescent="0.2">
      <c r="R35829" s="1288"/>
    </row>
    <row r="35830" spans="18:18" s="2" customFormat="1" ht="12.75" x14ac:dyDescent="0.2">
      <c r="R35830" s="1288"/>
    </row>
    <row r="35831" spans="18:18" s="2" customFormat="1" ht="12.75" x14ac:dyDescent="0.2">
      <c r="R35831" s="1288"/>
    </row>
    <row r="35832" spans="18:18" s="2" customFormat="1" ht="12.75" x14ac:dyDescent="0.2">
      <c r="R35832" s="1288"/>
    </row>
    <row r="35833" spans="18:18" s="2" customFormat="1" ht="12.75" x14ac:dyDescent="0.2">
      <c r="R35833" s="1288"/>
    </row>
    <row r="35834" spans="18:18" s="2" customFormat="1" ht="12.75" x14ac:dyDescent="0.2">
      <c r="R35834" s="1288"/>
    </row>
    <row r="35835" spans="18:18" s="2" customFormat="1" ht="12.75" x14ac:dyDescent="0.2">
      <c r="R35835" s="1288"/>
    </row>
    <row r="35836" spans="18:18" s="2" customFormat="1" ht="12.75" x14ac:dyDescent="0.2">
      <c r="R35836" s="1288"/>
    </row>
    <row r="35837" spans="18:18" s="2" customFormat="1" ht="12.75" x14ac:dyDescent="0.2">
      <c r="R35837" s="1288"/>
    </row>
    <row r="35838" spans="18:18" s="2" customFormat="1" ht="12.75" x14ac:dyDescent="0.2">
      <c r="R35838" s="1288"/>
    </row>
    <row r="35839" spans="18:18" s="2" customFormat="1" ht="12.75" x14ac:dyDescent="0.2">
      <c r="R35839" s="1288"/>
    </row>
    <row r="35840" spans="18:18" s="2" customFormat="1" ht="12.75" x14ac:dyDescent="0.2">
      <c r="R35840" s="1288"/>
    </row>
    <row r="35841" spans="18:18" s="2" customFormat="1" ht="12.75" x14ac:dyDescent="0.2">
      <c r="R35841" s="1288"/>
    </row>
    <row r="35842" spans="18:18" s="2" customFormat="1" ht="12.75" x14ac:dyDescent="0.2">
      <c r="R35842" s="1288"/>
    </row>
    <row r="35843" spans="18:18" s="2" customFormat="1" ht="12.75" x14ac:dyDescent="0.2">
      <c r="R35843" s="1288"/>
    </row>
    <row r="35844" spans="18:18" s="2" customFormat="1" ht="12.75" x14ac:dyDescent="0.2">
      <c r="R35844" s="1288"/>
    </row>
    <row r="35845" spans="18:18" s="2" customFormat="1" ht="12.75" x14ac:dyDescent="0.2">
      <c r="R35845" s="1288"/>
    </row>
    <row r="35846" spans="18:18" s="2" customFormat="1" ht="12.75" x14ac:dyDescent="0.2">
      <c r="R35846" s="1288"/>
    </row>
    <row r="35847" spans="18:18" s="2" customFormat="1" ht="12.75" x14ac:dyDescent="0.2">
      <c r="R35847" s="1288"/>
    </row>
    <row r="35848" spans="18:18" s="2" customFormat="1" ht="12.75" x14ac:dyDescent="0.2">
      <c r="R35848" s="1288"/>
    </row>
    <row r="35849" spans="18:18" s="2" customFormat="1" ht="12.75" x14ac:dyDescent="0.2">
      <c r="R35849" s="1288"/>
    </row>
    <row r="35850" spans="18:18" s="2" customFormat="1" ht="12.75" x14ac:dyDescent="0.2">
      <c r="R35850" s="1288"/>
    </row>
    <row r="35851" spans="18:18" s="2" customFormat="1" ht="12.75" x14ac:dyDescent="0.2">
      <c r="R35851" s="1288"/>
    </row>
    <row r="35852" spans="18:18" s="2" customFormat="1" ht="12.75" x14ac:dyDescent="0.2">
      <c r="R35852" s="1288"/>
    </row>
    <row r="35853" spans="18:18" s="2" customFormat="1" ht="12.75" x14ac:dyDescent="0.2">
      <c r="R35853" s="1288"/>
    </row>
    <row r="35854" spans="18:18" s="2" customFormat="1" ht="12.75" x14ac:dyDescent="0.2">
      <c r="R35854" s="1288"/>
    </row>
    <row r="35855" spans="18:18" s="2" customFormat="1" ht="12.75" x14ac:dyDescent="0.2">
      <c r="R35855" s="1288"/>
    </row>
    <row r="35856" spans="18:18" s="2" customFormat="1" ht="12.75" x14ac:dyDescent="0.2">
      <c r="R35856" s="1288"/>
    </row>
    <row r="35857" spans="18:18" s="2" customFormat="1" ht="12.75" x14ac:dyDescent="0.2">
      <c r="R35857" s="1288"/>
    </row>
    <row r="35858" spans="18:18" s="2" customFormat="1" ht="12.75" x14ac:dyDescent="0.2">
      <c r="R35858" s="1288"/>
    </row>
    <row r="35859" spans="18:18" s="2" customFormat="1" ht="12.75" x14ac:dyDescent="0.2">
      <c r="R35859" s="1288"/>
    </row>
    <row r="35860" spans="18:18" s="2" customFormat="1" ht="12.75" x14ac:dyDescent="0.2">
      <c r="R35860" s="1288"/>
    </row>
    <row r="35861" spans="18:18" s="2" customFormat="1" ht="12.75" x14ac:dyDescent="0.2">
      <c r="R35861" s="1288"/>
    </row>
    <row r="35862" spans="18:18" s="2" customFormat="1" ht="12.75" x14ac:dyDescent="0.2">
      <c r="R35862" s="1288"/>
    </row>
    <row r="35863" spans="18:18" s="2" customFormat="1" ht="12.75" x14ac:dyDescent="0.2">
      <c r="R35863" s="1288"/>
    </row>
    <row r="35864" spans="18:18" s="2" customFormat="1" ht="12.75" x14ac:dyDescent="0.2">
      <c r="R35864" s="1288"/>
    </row>
    <row r="35865" spans="18:18" s="2" customFormat="1" ht="12.75" x14ac:dyDescent="0.2">
      <c r="R35865" s="1288"/>
    </row>
    <row r="35866" spans="18:18" s="2" customFormat="1" ht="12.75" x14ac:dyDescent="0.2">
      <c r="R35866" s="1288"/>
    </row>
    <row r="35867" spans="18:18" s="2" customFormat="1" ht="12.75" x14ac:dyDescent="0.2">
      <c r="R35867" s="1288"/>
    </row>
    <row r="35868" spans="18:18" s="2" customFormat="1" ht="12.75" x14ac:dyDescent="0.2">
      <c r="R35868" s="1288"/>
    </row>
    <row r="35869" spans="18:18" s="2" customFormat="1" ht="12.75" x14ac:dyDescent="0.2">
      <c r="R35869" s="1288"/>
    </row>
    <row r="35870" spans="18:18" s="2" customFormat="1" ht="12.75" x14ac:dyDescent="0.2">
      <c r="R35870" s="1288"/>
    </row>
    <row r="35871" spans="18:18" s="2" customFormat="1" ht="12.75" x14ac:dyDescent="0.2">
      <c r="R35871" s="1288"/>
    </row>
    <row r="35872" spans="18:18" s="2" customFormat="1" ht="12.75" x14ac:dyDescent="0.2">
      <c r="R35872" s="1288"/>
    </row>
    <row r="35873" spans="18:18" s="2" customFormat="1" ht="12.75" x14ac:dyDescent="0.2">
      <c r="R35873" s="1288"/>
    </row>
    <row r="35874" spans="18:18" s="2" customFormat="1" ht="12.75" x14ac:dyDescent="0.2">
      <c r="R35874" s="1288"/>
    </row>
    <row r="35875" spans="18:18" s="2" customFormat="1" ht="12.75" x14ac:dyDescent="0.2">
      <c r="R35875" s="1288"/>
    </row>
    <row r="35876" spans="18:18" s="2" customFormat="1" ht="12.75" x14ac:dyDescent="0.2">
      <c r="R35876" s="1288"/>
    </row>
    <row r="35877" spans="18:18" s="2" customFormat="1" ht="12.75" x14ac:dyDescent="0.2">
      <c r="R35877" s="1288"/>
    </row>
    <row r="35878" spans="18:18" s="2" customFormat="1" ht="12.75" x14ac:dyDescent="0.2">
      <c r="R35878" s="1288"/>
    </row>
    <row r="35879" spans="18:18" s="2" customFormat="1" ht="12.75" x14ac:dyDescent="0.2">
      <c r="R35879" s="1288"/>
    </row>
    <row r="35880" spans="18:18" s="2" customFormat="1" ht="12.75" x14ac:dyDescent="0.2">
      <c r="R35880" s="1288"/>
    </row>
    <row r="35881" spans="18:18" s="2" customFormat="1" ht="12.75" x14ac:dyDescent="0.2">
      <c r="R35881" s="1288"/>
    </row>
    <row r="35882" spans="18:18" s="2" customFormat="1" ht="12.75" x14ac:dyDescent="0.2">
      <c r="R35882" s="1288"/>
    </row>
    <row r="35883" spans="18:18" s="2" customFormat="1" ht="12.75" x14ac:dyDescent="0.2">
      <c r="R35883" s="1288"/>
    </row>
    <row r="35884" spans="18:18" s="2" customFormat="1" ht="12.75" x14ac:dyDescent="0.2">
      <c r="R35884" s="1288"/>
    </row>
    <row r="35885" spans="18:18" s="2" customFormat="1" ht="12.75" x14ac:dyDescent="0.2">
      <c r="R35885" s="1288"/>
    </row>
    <row r="35886" spans="18:18" s="2" customFormat="1" ht="12.75" x14ac:dyDescent="0.2">
      <c r="R35886" s="1288"/>
    </row>
    <row r="35887" spans="18:18" s="2" customFormat="1" ht="12.75" x14ac:dyDescent="0.2">
      <c r="R35887" s="1288"/>
    </row>
    <row r="35888" spans="18:18" s="2" customFormat="1" ht="12.75" x14ac:dyDescent="0.2">
      <c r="R35888" s="1288"/>
    </row>
    <row r="35889" spans="18:18" s="2" customFormat="1" ht="12.75" x14ac:dyDescent="0.2">
      <c r="R35889" s="1288"/>
    </row>
    <row r="35890" spans="18:18" s="2" customFormat="1" ht="12.75" x14ac:dyDescent="0.2">
      <c r="R35890" s="1288"/>
    </row>
    <row r="35891" spans="18:18" s="2" customFormat="1" ht="12.75" x14ac:dyDescent="0.2">
      <c r="R35891" s="1288"/>
    </row>
    <row r="35892" spans="18:18" s="2" customFormat="1" ht="12.75" x14ac:dyDescent="0.2">
      <c r="R35892" s="1288"/>
    </row>
    <row r="35893" spans="18:18" s="2" customFormat="1" ht="12.75" x14ac:dyDescent="0.2">
      <c r="R35893" s="1288"/>
    </row>
    <row r="35894" spans="18:18" s="2" customFormat="1" ht="12.75" x14ac:dyDescent="0.2">
      <c r="R35894" s="1288"/>
    </row>
    <row r="35895" spans="18:18" s="2" customFormat="1" ht="12.75" x14ac:dyDescent="0.2">
      <c r="R35895" s="1288"/>
    </row>
    <row r="35896" spans="18:18" s="2" customFormat="1" ht="12.75" x14ac:dyDescent="0.2">
      <c r="R35896" s="1288"/>
    </row>
    <row r="35897" spans="18:18" s="2" customFormat="1" ht="12.75" x14ac:dyDescent="0.2">
      <c r="R35897" s="1288"/>
    </row>
    <row r="35898" spans="18:18" s="2" customFormat="1" ht="12.75" x14ac:dyDescent="0.2">
      <c r="R35898" s="1288"/>
    </row>
    <row r="35899" spans="18:18" s="2" customFormat="1" ht="12.75" x14ac:dyDescent="0.2">
      <c r="R35899" s="1288"/>
    </row>
    <row r="35900" spans="18:18" s="2" customFormat="1" ht="12.75" x14ac:dyDescent="0.2">
      <c r="R35900" s="1288"/>
    </row>
    <row r="35901" spans="18:18" s="2" customFormat="1" ht="12.75" x14ac:dyDescent="0.2">
      <c r="R35901" s="1288"/>
    </row>
    <row r="35902" spans="18:18" s="2" customFormat="1" ht="12.75" x14ac:dyDescent="0.2">
      <c r="R35902" s="1288"/>
    </row>
    <row r="35903" spans="18:18" s="2" customFormat="1" ht="12.75" x14ac:dyDescent="0.2">
      <c r="R35903" s="1288"/>
    </row>
    <row r="35904" spans="18:18" s="2" customFormat="1" ht="12.75" x14ac:dyDescent="0.2">
      <c r="R35904" s="1288"/>
    </row>
    <row r="35905" spans="18:18" s="2" customFormat="1" ht="12.75" x14ac:dyDescent="0.2">
      <c r="R35905" s="1288"/>
    </row>
    <row r="35906" spans="18:18" s="2" customFormat="1" ht="12.75" x14ac:dyDescent="0.2">
      <c r="R35906" s="1288"/>
    </row>
    <row r="35907" spans="18:18" s="2" customFormat="1" ht="12.75" x14ac:dyDescent="0.2">
      <c r="R35907" s="1288"/>
    </row>
    <row r="35908" spans="18:18" s="2" customFormat="1" ht="12.75" x14ac:dyDescent="0.2">
      <c r="R35908" s="1288"/>
    </row>
    <row r="35909" spans="18:18" s="2" customFormat="1" ht="12.75" x14ac:dyDescent="0.2">
      <c r="R35909" s="1288"/>
    </row>
    <row r="35910" spans="18:18" s="2" customFormat="1" ht="12.75" x14ac:dyDescent="0.2">
      <c r="R35910" s="1288"/>
    </row>
    <row r="35911" spans="18:18" s="2" customFormat="1" ht="12.75" x14ac:dyDescent="0.2">
      <c r="R35911" s="1288"/>
    </row>
    <row r="35912" spans="18:18" s="2" customFormat="1" ht="12.75" x14ac:dyDescent="0.2">
      <c r="R35912" s="1288"/>
    </row>
    <row r="35913" spans="18:18" s="2" customFormat="1" ht="12.75" x14ac:dyDescent="0.2">
      <c r="R35913" s="1288"/>
    </row>
    <row r="35914" spans="18:18" s="2" customFormat="1" ht="12.75" x14ac:dyDescent="0.2">
      <c r="R35914" s="1288"/>
    </row>
    <row r="35915" spans="18:18" s="2" customFormat="1" ht="12.75" x14ac:dyDescent="0.2">
      <c r="R35915" s="1288"/>
    </row>
    <row r="35916" spans="18:18" s="2" customFormat="1" ht="12.75" x14ac:dyDescent="0.2">
      <c r="R35916" s="1288"/>
    </row>
    <row r="35917" spans="18:18" s="2" customFormat="1" ht="12.75" x14ac:dyDescent="0.2">
      <c r="R35917" s="1288"/>
    </row>
    <row r="35918" spans="18:18" s="2" customFormat="1" ht="12.75" x14ac:dyDescent="0.2">
      <c r="R35918" s="1288"/>
    </row>
    <row r="35919" spans="18:18" s="2" customFormat="1" ht="12.75" x14ac:dyDescent="0.2">
      <c r="R35919" s="1288"/>
    </row>
    <row r="35920" spans="18:18" s="2" customFormat="1" ht="12.75" x14ac:dyDescent="0.2">
      <c r="R35920" s="1288"/>
    </row>
    <row r="35921" spans="18:18" s="2" customFormat="1" ht="12.75" x14ac:dyDescent="0.2">
      <c r="R35921" s="1288"/>
    </row>
    <row r="35922" spans="18:18" s="2" customFormat="1" ht="12.75" x14ac:dyDescent="0.2">
      <c r="R35922" s="1288"/>
    </row>
    <row r="35923" spans="18:18" s="2" customFormat="1" ht="12.75" x14ac:dyDescent="0.2">
      <c r="R35923" s="1288"/>
    </row>
    <row r="35924" spans="18:18" s="2" customFormat="1" ht="12.75" x14ac:dyDescent="0.2">
      <c r="R35924" s="1288"/>
    </row>
    <row r="35925" spans="18:18" s="2" customFormat="1" ht="12.75" x14ac:dyDescent="0.2">
      <c r="R35925" s="1288"/>
    </row>
    <row r="35926" spans="18:18" s="2" customFormat="1" ht="12.75" x14ac:dyDescent="0.2">
      <c r="R35926" s="1288"/>
    </row>
    <row r="35927" spans="18:18" s="2" customFormat="1" ht="12.75" x14ac:dyDescent="0.2">
      <c r="R35927" s="1288"/>
    </row>
    <row r="35928" spans="18:18" s="2" customFormat="1" ht="12.75" x14ac:dyDescent="0.2">
      <c r="R35928" s="1288"/>
    </row>
    <row r="35929" spans="18:18" s="2" customFormat="1" ht="12.75" x14ac:dyDescent="0.2">
      <c r="R35929" s="1288"/>
    </row>
    <row r="35930" spans="18:18" s="2" customFormat="1" ht="12.75" x14ac:dyDescent="0.2">
      <c r="R35930" s="1288"/>
    </row>
    <row r="35931" spans="18:18" s="2" customFormat="1" ht="12.75" x14ac:dyDescent="0.2">
      <c r="R35931" s="1288"/>
    </row>
    <row r="35932" spans="18:18" s="2" customFormat="1" ht="12.75" x14ac:dyDescent="0.2">
      <c r="R35932" s="1288"/>
    </row>
    <row r="35933" spans="18:18" s="2" customFormat="1" ht="12.75" x14ac:dyDescent="0.2">
      <c r="R35933" s="1288"/>
    </row>
    <row r="35934" spans="18:18" s="2" customFormat="1" ht="12.75" x14ac:dyDescent="0.2">
      <c r="R35934" s="1288"/>
    </row>
    <row r="35935" spans="18:18" s="2" customFormat="1" ht="12.75" x14ac:dyDescent="0.2">
      <c r="R35935" s="1288"/>
    </row>
    <row r="35936" spans="18:18" s="2" customFormat="1" ht="12.75" x14ac:dyDescent="0.2">
      <c r="R35936" s="1288"/>
    </row>
    <row r="35937" spans="18:18" s="2" customFormat="1" ht="12.75" x14ac:dyDescent="0.2">
      <c r="R35937" s="1288"/>
    </row>
    <row r="35938" spans="18:18" s="2" customFormat="1" ht="12.75" x14ac:dyDescent="0.2">
      <c r="R35938" s="1288"/>
    </row>
    <row r="35939" spans="18:18" s="2" customFormat="1" ht="12.75" x14ac:dyDescent="0.2">
      <c r="R35939" s="1288"/>
    </row>
    <row r="35940" spans="18:18" s="2" customFormat="1" ht="12.75" x14ac:dyDescent="0.2">
      <c r="R35940" s="1288"/>
    </row>
    <row r="35941" spans="18:18" s="2" customFormat="1" ht="12.75" x14ac:dyDescent="0.2">
      <c r="R35941" s="1288"/>
    </row>
    <row r="35942" spans="18:18" s="2" customFormat="1" ht="12.75" x14ac:dyDescent="0.2">
      <c r="R35942" s="1288"/>
    </row>
    <row r="35943" spans="18:18" s="2" customFormat="1" ht="12.75" x14ac:dyDescent="0.2">
      <c r="R35943" s="1288"/>
    </row>
    <row r="35944" spans="18:18" s="2" customFormat="1" ht="12.75" x14ac:dyDescent="0.2">
      <c r="R35944" s="1288"/>
    </row>
    <row r="35945" spans="18:18" s="2" customFormat="1" ht="12.75" x14ac:dyDescent="0.2">
      <c r="R35945" s="1288"/>
    </row>
    <row r="35946" spans="18:18" s="2" customFormat="1" ht="12.75" x14ac:dyDescent="0.2">
      <c r="R35946" s="1288"/>
    </row>
    <row r="35947" spans="18:18" s="2" customFormat="1" ht="12.75" x14ac:dyDescent="0.2">
      <c r="R35947" s="1288"/>
    </row>
    <row r="35948" spans="18:18" s="2" customFormat="1" ht="12.75" x14ac:dyDescent="0.2">
      <c r="R35948" s="1288"/>
    </row>
    <row r="35949" spans="18:18" s="2" customFormat="1" ht="12.75" x14ac:dyDescent="0.2">
      <c r="R35949" s="1288"/>
    </row>
    <row r="35950" spans="18:18" s="2" customFormat="1" ht="12.75" x14ac:dyDescent="0.2">
      <c r="R35950" s="1288"/>
    </row>
    <row r="35951" spans="18:18" s="2" customFormat="1" ht="12.75" x14ac:dyDescent="0.2">
      <c r="R35951" s="1288"/>
    </row>
    <row r="35952" spans="18:18" s="2" customFormat="1" ht="12.75" x14ac:dyDescent="0.2">
      <c r="R35952" s="1288"/>
    </row>
    <row r="35953" spans="18:18" s="2" customFormat="1" ht="12.75" x14ac:dyDescent="0.2">
      <c r="R35953" s="1288"/>
    </row>
    <row r="35954" spans="18:18" s="2" customFormat="1" ht="12.75" x14ac:dyDescent="0.2">
      <c r="R35954" s="1288"/>
    </row>
    <row r="35955" spans="18:18" s="2" customFormat="1" ht="12.75" x14ac:dyDescent="0.2">
      <c r="R35955" s="1288"/>
    </row>
    <row r="35956" spans="18:18" s="2" customFormat="1" ht="12.75" x14ac:dyDescent="0.2">
      <c r="R35956" s="1288"/>
    </row>
    <row r="35957" spans="18:18" s="2" customFormat="1" ht="12.75" x14ac:dyDescent="0.2">
      <c r="R35957" s="1288"/>
    </row>
    <row r="35958" spans="18:18" s="2" customFormat="1" ht="12.75" x14ac:dyDescent="0.2">
      <c r="R35958" s="1288"/>
    </row>
    <row r="35959" spans="18:18" s="2" customFormat="1" ht="12.75" x14ac:dyDescent="0.2">
      <c r="R35959" s="1288"/>
    </row>
    <row r="35960" spans="18:18" s="2" customFormat="1" ht="12.75" x14ac:dyDescent="0.2">
      <c r="R35960" s="1288"/>
    </row>
    <row r="35961" spans="18:18" s="2" customFormat="1" ht="12.75" x14ac:dyDescent="0.2">
      <c r="R35961" s="1288"/>
    </row>
    <row r="35962" spans="18:18" s="2" customFormat="1" ht="12.75" x14ac:dyDescent="0.2">
      <c r="R35962" s="1288"/>
    </row>
    <row r="35963" spans="18:18" s="2" customFormat="1" ht="12.75" x14ac:dyDescent="0.2">
      <c r="R35963" s="1288"/>
    </row>
    <row r="35964" spans="18:18" s="2" customFormat="1" ht="12.75" x14ac:dyDescent="0.2">
      <c r="R35964" s="1288"/>
    </row>
    <row r="35965" spans="18:18" s="2" customFormat="1" ht="12.75" x14ac:dyDescent="0.2">
      <c r="R35965" s="1288"/>
    </row>
    <row r="35966" spans="18:18" s="2" customFormat="1" ht="12.75" x14ac:dyDescent="0.2">
      <c r="R35966" s="1288"/>
    </row>
    <row r="35967" spans="18:18" s="2" customFormat="1" ht="12.75" x14ac:dyDescent="0.2">
      <c r="R35967" s="1288"/>
    </row>
    <row r="35968" spans="18:18" s="2" customFormat="1" ht="12.75" x14ac:dyDescent="0.2">
      <c r="R35968" s="1288"/>
    </row>
    <row r="35969" spans="18:18" s="2" customFormat="1" ht="12.75" x14ac:dyDescent="0.2">
      <c r="R35969" s="1288"/>
    </row>
    <row r="35970" spans="18:18" s="2" customFormat="1" ht="12.75" x14ac:dyDescent="0.2">
      <c r="R35970" s="1288"/>
    </row>
    <row r="35971" spans="18:18" s="2" customFormat="1" ht="12.75" x14ac:dyDescent="0.2">
      <c r="R35971" s="1288"/>
    </row>
    <row r="35972" spans="18:18" s="2" customFormat="1" ht="12.75" x14ac:dyDescent="0.2">
      <c r="R35972" s="1288"/>
    </row>
    <row r="35973" spans="18:18" s="2" customFormat="1" ht="12.75" x14ac:dyDescent="0.2">
      <c r="R35973" s="1288"/>
    </row>
    <row r="35974" spans="18:18" s="2" customFormat="1" ht="12.75" x14ac:dyDescent="0.2">
      <c r="R35974" s="1288"/>
    </row>
    <row r="35975" spans="18:18" s="2" customFormat="1" ht="12.75" x14ac:dyDescent="0.2">
      <c r="R35975" s="1288"/>
    </row>
    <row r="35976" spans="18:18" s="2" customFormat="1" ht="12.75" x14ac:dyDescent="0.2">
      <c r="R35976" s="1288"/>
    </row>
    <row r="35977" spans="18:18" s="2" customFormat="1" ht="12.75" x14ac:dyDescent="0.2">
      <c r="R35977" s="1288"/>
    </row>
    <row r="35978" spans="18:18" s="2" customFormat="1" ht="12.75" x14ac:dyDescent="0.2">
      <c r="R35978" s="1288"/>
    </row>
    <row r="35979" spans="18:18" s="2" customFormat="1" ht="12.75" x14ac:dyDescent="0.2">
      <c r="R35979" s="1288"/>
    </row>
    <row r="35980" spans="18:18" s="2" customFormat="1" ht="12.75" x14ac:dyDescent="0.2">
      <c r="R35980" s="1288"/>
    </row>
    <row r="35981" spans="18:18" s="2" customFormat="1" ht="12.75" x14ac:dyDescent="0.2">
      <c r="R35981" s="1288"/>
    </row>
    <row r="35982" spans="18:18" s="2" customFormat="1" ht="12.75" x14ac:dyDescent="0.2">
      <c r="R35982" s="1288"/>
    </row>
    <row r="35983" spans="18:18" s="2" customFormat="1" ht="12.75" x14ac:dyDescent="0.2">
      <c r="R35983" s="1288"/>
    </row>
    <row r="35984" spans="18:18" s="2" customFormat="1" ht="12.75" x14ac:dyDescent="0.2">
      <c r="R35984" s="1288"/>
    </row>
    <row r="35985" spans="18:18" s="2" customFormat="1" ht="12.75" x14ac:dyDescent="0.2">
      <c r="R35985" s="1288"/>
    </row>
    <row r="35986" spans="18:18" s="2" customFormat="1" ht="12.75" x14ac:dyDescent="0.2">
      <c r="R35986" s="1288"/>
    </row>
    <row r="35987" spans="18:18" s="2" customFormat="1" ht="12.75" x14ac:dyDescent="0.2">
      <c r="R35987" s="1288"/>
    </row>
    <row r="35988" spans="18:18" s="2" customFormat="1" ht="12.75" x14ac:dyDescent="0.2">
      <c r="R35988" s="1288"/>
    </row>
    <row r="35989" spans="18:18" s="2" customFormat="1" ht="12.75" x14ac:dyDescent="0.2">
      <c r="R35989" s="1288"/>
    </row>
    <row r="35990" spans="18:18" s="2" customFormat="1" ht="12.75" x14ac:dyDescent="0.2">
      <c r="R35990" s="1288"/>
    </row>
    <row r="35991" spans="18:18" s="2" customFormat="1" ht="12.75" x14ac:dyDescent="0.2">
      <c r="R35991" s="1288"/>
    </row>
    <row r="35992" spans="18:18" s="2" customFormat="1" ht="12.75" x14ac:dyDescent="0.2">
      <c r="R35992" s="1288"/>
    </row>
    <row r="35993" spans="18:18" s="2" customFormat="1" ht="12.75" x14ac:dyDescent="0.2">
      <c r="R35993" s="1288"/>
    </row>
    <row r="35994" spans="18:18" s="2" customFormat="1" ht="12.75" x14ac:dyDescent="0.2">
      <c r="R35994" s="1288"/>
    </row>
    <row r="35995" spans="18:18" s="2" customFormat="1" ht="12.75" x14ac:dyDescent="0.2">
      <c r="R35995" s="1288"/>
    </row>
    <row r="35996" spans="18:18" s="2" customFormat="1" ht="12.75" x14ac:dyDescent="0.2">
      <c r="R35996" s="1288"/>
    </row>
    <row r="35997" spans="18:18" s="2" customFormat="1" ht="12.75" x14ac:dyDescent="0.2">
      <c r="R35997" s="1288"/>
    </row>
    <row r="35998" spans="18:18" s="2" customFormat="1" ht="12.75" x14ac:dyDescent="0.2">
      <c r="R35998" s="1288"/>
    </row>
    <row r="35999" spans="18:18" s="2" customFormat="1" ht="12.75" x14ac:dyDescent="0.2">
      <c r="R35999" s="1288"/>
    </row>
    <row r="36000" spans="18:18" s="2" customFormat="1" ht="12.75" x14ac:dyDescent="0.2">
      <c r="R36000" s="1288"/>
    </row>
    <row r="36001" spans="18:18" s="2" customFormat="1" ht="12.75" x14ac:dyDescent="0.2">
      <c r="R36001" s="1288"/>
    </row>
    <row r="36002" spans="18:18" s="2" customFormat="1" ht="12.75" x14ac:dyDescent="0.2">
      <c r="R36002" s="1288"/>
    </row>
    <row r="36003" spans="18:18" s="2" customFormat="1" ht="12.75" x14ac:dyDescent="0.2">
      <c r="R36003" s="1288"/>
    </row>
    <row r="36004" spans="18:18" s="2" customFormat="1" ht="12.75" x14ac:dyDescent="0.2">
      <c r="R36004" s="1288"/>
    </row>
    <row r="36005" spans="18:18" s="2" customFormat="1" ht="12.75" x14ac:dyDescent="0.2">
      <c r="R36005" s="1288"/>
    </row>
    <row r="36006" spans="18:18" s="2" customFormat="1" ht="12.75" x14ac:dyDescent="0.2">
      <c r="R36006" s="1288"/>
    </row>
    <row r="36007" spans="18:18" s="2" customFormat="1" ht="12.75" x14ac:dyDescent="0.2">
      <c r="R36007" s="1288"/>
    </row>
    <row r="36008" spans="18:18" s="2" customFormat="1" ht="12.75" x14ac:dyDescent="0.2">
      <c r="R36008" s="1288"/>
    </row>
    <row r="36009" spans="18:18" s="2" customFormat="1" ht="12.75" x14ac:dyDescent="0.2">
      <c r="R36009" s="1288"/>
    </row>
    <row r="36010" spans="18:18" s="2" customFormat="1" ht="12.75" x14ac:dyDescent="0.2">
      <c r="R36010" s="1288"/>
    </row>
    <row r="36011" spans="18:18" s="2" customFormat="1" ht="12.75" x14ac:dyDescent="0.2">
      <c r="R36011" s="1288"/>
    </row>
    <row r="36012" spans="18:18" s="2" customFormat="1" ht="12.75" x14ac:dyDescent="0.2">
      <c r="R36012" s="1288"/>
    </row>
    <row r="36013" spans="18:18" s="2" customFormat="1" ht="12.75" x14ac:dyDescent="0.2">
      <c r="R36013" s="1288"/>
    </row>
    <row r="36014" spans="18:18" s="2" customFormat="1" ht="12.75" x14ac:dyDescent="0.2">
      <c r="R36014" s="1288"/>
    </row>
    <row r="36015" spans="18:18" s="2" customFormat="1" ht="12.75" x14ac:dyDescent="0.2">
      <c r="R36015" s="1288"/>
    </row>
    <row r="36016" spans="18:18" s="2" customFormat="1" ht="12.75" x14ac:dyDescent="0.2">
      <c r="R36016" s="1288"/>
    </row>
    <row r="36017" spans="18:18" s="2" customFormat="1" ht="12.75" x14ac:dyDescent="0.2">
      <c r="R36017" s="1288"/>
    </row>
    <row r="36018" spans="18:18" s="2" customFormat="1" ht="12.75" x14ac:dyDescent="0.2">
      <c r="R36018" s="1288"/>
    </row>
    <row r="36019" spans="18:18" s="2" customFormat="1" ht="12.75" x14ac:dyDescent="0.2">
      <c r="R36019" s="1288"/>
    </row>
    <row r="36020" spans="18:18" s="2" customFormat="1" ht="12.75" x14ac:dyDescent="0.2">
      <c r="R36020" s="1288"/>
    </row>
    <row r="36021" spans="18:18" s="2" customFormat="1" ht="12.75" x14ac:dyDescent="0.2">
      <c r="R36021" s="1288"/>
    </row>
    <row r="36022" spans="18:18" s="2" customFormat="1" ht="12.75" x14ac:dyDescent="0.2">
      <c r="R36022" s="1288"/>
    </row>
    <row r="36023" spans="18:18" s="2" customFormat="1" ht="12.75" x14ac:dyDescent="0.2">
      <c r="R36023" s="1288"/>
    </row>
    <row r="36024" spans="18:18" s="2" customFormat="1" ht="12.75" x14ac:dyDescent="0.2">
      <c r="R36024" s="1288"/>
    </row>
    <row r="36025" spans="18:18" s="2" customFormat="1" ht="12.75" x14ac:dyDescent="0.2">
      <c r="R36025" s="1288"/>
    </row>
    <row r="36026" spans="18:18" s="2" customFormat="1" ht="12.75" x14ac:dyDescent="0.2">
      <c r="R36026" s="1288"/>
    </row>
    <row r="36027" spans="18:18" s="2" customFormat="1" ht="12.75" x14ac:dyDescent="0.2">
      <c r="R36027" s="1288"/>
    </row>
    <row r="36028" spans="18:18" s="2" customFormat="1" ht="12.75" x14ac:dyDescent="0.2">
      <c r="R36028" s="1288"/>
    </row>
    <row r="36029" spans="18:18" s="2" customFormat="1" ht="12.75" x14ac:dyDescent="0.2">
      <c r="R36029" s="1288"/>
    </row>
    <row r="36030" spans="18:18" s="2" customFormat="1" ht="12.75" x14ac:dyDescent="0.2">
      <c r="R36030" s="1288"/>
    </row>
    <row r="36031" spans="18:18" s="2" customFormat="1" ht="12.75" x14ac:dyDescent="0.2">
      <c r="R36031" s="1288"/>
    </row>
    <row r="36032" spans="18:18" s="2" customFormat="1" ht="12.75" x14ac:dyDescent="0.2">
      <c r="R36032" s="1288"/>
    </row>
    <row r="36033" spans="18:18" s="2" customFormat="1" ht="12.75" x14ac:dyDescent="0.2">
      <c r="R36033" s="1288"/>
    </row>
    <row r="36034" spans="18:18" s="2" customFormat="1" ht="12.75" x14ac:dyDescent="0.2">
      <c r="R36034" s="1288"/>
    </row>
    <row r="36035" spans="18:18" s="2" customFormat="1" ht="12.75" x14ac:dyDescent="0.2">
      <c r="R36035" s="1288"/>
    </row>
    <row r="36036" spans="18:18" s="2" customFormat="1" ht="12.75" x14ac:dyDescent="0.2">
      <c r="R36036" s="1288"/>
    </row>
    <row r="36037" spans="18:18" s="2" customFormat="1" ht="12.75" x14ac:dyDescent="0.2">
      <c r="R36037" s="1288"/>
    </row>
    <row r="36038" spans="18:18" s="2" customFormat="1" ht="12.75" x14ac:dyDescent="0.2">
      <c r="R36038" s="1288"/>
    </row>
    <row r="36039" spans="18:18" s="2" customFormat="1" ht="12.75" x14ac:dyDescent="0.2">
      <c r="R36039" s="1288"/>
    </row>
    <row r="36040" spans="18:18" s="2" customFormat="1" ht="12.75" x14ac:dyDescent="0.2">
      <c r="R36040" s="1288"/>
    </row>
    <row r="36041" spans="18:18" s="2" customFormat="1" ht="12.75" x14ac:dyDescent="0.2">
      <c r="R36041" s="1288"/>
    </row>
    <row r="36042" spans="18:18" s="2" customFormat="1" ht="12.75" x14ac:dyDescent="0.2">
      <c r="R36042" s="1288"/>
    </row>
    <row r="36043" spans="18:18" s="2" customFormat="1" ht="12.75" x14ac:dyDescent="0.2">
      <c r="R36043" s="1288"/>
    </row>
    <row r="36044" spans="18:18" s="2" customFormat="1" ht="12.75" x14ac:dyDescent="0.2">
      <c r="R36044" s="1288"/>
    </row>
    <row r="36045" spans="18:18" s="2" customFormat="1" ht="12.75" x14ac:dyDescent="0.2">
      <c r="R36045" s="1288"/>
    </row>
    <row r="36046" spans="18:18" s="2" customFormat="1" ht="12.75" x14ac:dyDescent="0.2">
      <c r="R36046" s="1288"/>
    </row>
    <row r="36047" spans="18:18" s="2" customFormat="1" ht="12.75" x14ac:dyDescent="0.2">
      <c r="R36047" s="1288"/>
    </row>
    <row r="36048" spans="18:18" s="2" customFormat="1" ht="12.75" x14ac:dyDescent="0.2">
      <c r="R36048" s="1288"/>
    </row>
    <row r="36049" spans="18:18" s="2" customFormat="1" ht="12.75" x14ac:dyDescent="0.2">
      <c r="R36049" s="1288"/>
    </row>
    <row r="36050" spans="18:18" s="2" customFormat="1" ht="12.75" x14ac:dyDescent="0.2">
      <c r="R36050" s="1288"/>
    </row>
    <row r="36051" spans="18:18" s="2" customFormat="1" ht="12.75" x14ac:dyDescent="0.2">
      <c r="R36051" s="1288"/>
    </row>
    <row r="36052" spans="18:18" s="2" customFormat="1" ht="12.75" x14ac:dyDescent="0.2">
      <c r="R36052" s="1288"/>
    </row>
    <row r="36053" spans="18:18" s="2" customFormat="1" ht="12.75" x14ac:dyDescent="0.2">
      <c r="R36053" s="1288"/>
    </row>
    <row r="36054" spans="18:18" s="2" customFormat="1" ht="12.75" x14ac:dyDescent="0.2">
      <c r="R36054" s="1288"/>
    </row>
    <row r="36055" spans="18:18" s="2" customFormat="1" ht="12.75" x14ac:dyDescent="0.2">
      <c r="R36055" s="1288"/>
    </row>
    <row r="36056" spans="18:18" s="2" customFormat="1" ht="12.75" x14ac:dyDescent="0.2">
      <c r="R36056" s="1288"/>
    </row>
    <row r="36057" spans="18:18" s="2" customFormat="1" ht="12.75" x14ac:dyDescent="0.2">
      <c r="R36057" s="1288"/>
    </row>
    <row r="36058" spans="18:18" s="2" customFormat="1" ht="12.75" x14ac:dyDescent="0.2">
      <c r="R36058" s="1288"/>
    </row>
    <row r="36059" spans="18:18" s="2" customFormat="1" ht="12.75" x14ac:dyDescent="0.2">
      <c r="R36059" s="1288"/>
    </row>
    <row r="36060" spans="18:18" s="2" customFormat="1" ht="12.75" x14ac:dyDescent="0.2">
      <c r="R36060" s="1288"/>
    </row>
    <row r="36061" spans="18:18" s="2" customFormat="1" ht="12.75" x14ac:dyDescent="0.2">
      <c r="R36061" s="1288"/>
    </row>
    <row r="36062" spans="18:18" s="2" customFormat="1" ht="12.75" x14ac:dyDescent="0.2">
      <c r="R36062" s="1288"/>
    </row>
    <row r="36063" spans="18:18" s="2" customFormat="1" ht="12.75" x14ac:dyDescent="0.2">
      <c r="R36063" s="1288"/>
    </row>
    <row r="36064" spans="18:18" s="2" customFormat="1" ht="12.75" x14ac:dyDescent="0.2">
      <c r="R36064" s="1288"/>
    </row>
    <row r="36065" spans="18:18" s="2" customFormat="1" ht="12.75" x14ac:dyDescent="0.2">
      <c r="R36065" s="1288"/>
    </row>
    <row r="36066" spans="18:18" s="2" customFormat="1" ht="12.75" x14ac:dyDescent="0.2">
      <c r="R36066" s="1288"/>
    </row>
    <row r="36067" spans="18:18" s="2" customFormat="1" ht="12.75" x14ac:dyDescent="0.2">
      <c r="R36067" s="1288"/>
    </row>
    <row r="36068" spans="18:18" s="2" customFormat="1" ht="12.75" x14ac:dyDescent="0.2">
      <c r="R36068" s="1288"/>
    </row>
    <row r="36069" spans="18:18" s="2" customFormat="1" ht="12.75" x14ac:dyDescent="0.2">
      <c r="R36069" s="1288"/>
    </row>
    <row r="36070" spans="18:18" s="2" customFormat="1" ht="12.75" x14ac:dyDescent="0.2">
      <c r="R36070" s="1288"/>
    </row>
    <row r="36071" spans="18:18" s="2" customFormat="1" ht="12.75" x14ac:dyDescent="0.2">
      <c r="R36071" s="1288"/>
    </row>
    <row r="36072" spans="18:18" s="2" customFormat="1" ht="12.75" x14ac:dyDescent="0.2">
      <c r="R36072" s="1288"/>
    </row>
    <row r="36073" spans="18:18" s="2" customFormat="1" ht="12.75" x14ac:dyDescent="0.2">
      <c r="R36073" s="1288"/>
    </row>
    <row r="36074" spans="18:18" s="2" customFormat="1" ht="12.75" x14ac:dyDescent="0.2">
      <c r="R36074" s="1288"/>
    </row>
    <row r="36075" spans="18:18" s="2" customFormat="1" ht="12.75" x14ac:dyDescent="0.2">
      <c r="R36075" s="1288"/>
    </row>
    <row r="36076" spans="18:18" s="2" customFormat="1" ht="12.75" x14ac:dyDescent="0.2">
      <c r="R36076" s="1288"/>
    </row>
    <row r="36077" spans="18:18" s="2" customFormat="1" ht="12.75" x14ac:dyDescent="0.2">
      <c r="R36077" s="1288"/>
    </row>
    <row r="36078" spans="18:18" s="2" customFormat="1" ht="12.75" x14ac:dyDescent="0.2">
      <c r="R36078" s="1288"/>
    </row>
    <row r="36079" spans="18:18" s="2" customFormat="1" ht="12.75" x14ac:dyDescent="0.2">
      <c r="R36079" s="1288"/>
    </row>
    <row r="36080" spans="18:18" s="2" customFormat="1" ht="12.75" x14ac:dyDescent="0.2">
      <c r="R36080" s="1288"/>
    </row>
    <row r="36081" spans="18:18" s="2" customFormat="1" ht="12.75" x14ac:dyDescent="0.2">
      <c r="R36081" s="1288"/>
    </row>
    <row r="36082" spans="18:18" s="2" customFormat="1" ht="12.75" x14ac:dyDescent="0.2">
      <c r="R36082" s="1288"/>
    </row>
    <row r="36083" spans="18:18" s="2" customFormat="1" ht="12.75" x14ac:dyDescent="0.2">
      <c r="R36083" s="1288"/>
    </row>
    <row r="36084" spans="18:18" s="2" customFormat="1" ht="12.75" x14ac:dyDescent="0.2">
      <c r="R36084" s="1288"/>
    </row>
    <row r="36085" spans="18:18" s="2" customFormat="1" ht="12.75" x14ac:dyDescent="0.2">
      <c r="R36085" s="1288"/>
    </row>
    <row r="36086" spans="18:18" s="2" customFormat="1" ht="12.75" x14ac:dyDescent="0.2">
      <c r="R36086" s="1288"/>
    </row>
    <row r="36087" spans="18:18" s="2" customFormat="1" ht="12.75" x14ac:dyDescent="0.2">
      <c r="R36087" s="1288"/>
    </row>
    <row r="36088" spans="18:18" s="2" customFormat="1" ht="12.75" x14ac:dyDescent="0.2">
      <c r="R36088" s="1288"/>
    </row>
    <row r="36089" spans="18:18" s="2" customFormat="1" ht="12.75" x14ac:dyDescent="0.2">
      <c r="R36089" s="1288"/>
    </row>
    <row r="36090" spans="18:18" s="2" customFormat="1" ht="12.75" x14ac:dyDescent="0.2">
      <c r="R36090" s="1288"/>
    </row>
    <row r="36091" spans="18:18" s="2" customFormat="1" ht="12.75" x14ac:dyDescent="0.2">
      <c r="R36091" s="1288"/>
    </row>
    <row r="36092" spans="18:18" s="2" customFormat="1" ht="12.75" x14ac:dyDescent="0.2">
      <c r="R36092" s="1288"/>
    </row>
    <row r="36093" spans="18:18" s="2" customFormat="1" ht="12.75" x14ac:dyDescent="0.2">
      <c r="R36093" s="1288"/>
    </row>
    <row r="36094" spans="18:18" s="2" customFormat="1" ht="12.75" x14ac:dyDescent="0.2">
      <c r="R36094" s="1288"/>
    </row>
    <row r="36095" spans="18:18" s="2" customFormat="1" ht="12.75" x14ac:dyDescent="0.2">
      <c r="R36095" s="1288"/>
    </row>
    <row r="36096" spans="18:18" s="2" customFormat="1" ht="12.75" x14ac:dyDescent="0.2">
      <c r="R36096" s="1288"/>
    </row>
    <row r="36097" spans="18:18" s="2" customFormat="1" ht="12.75" x14ac:dyDescent="0.2">
      <c r="R36097" s="1288"/>
    </row>
    <row r="36098" spans="18:18" s="2" customFormat="1" ht="12.75" x14ac:dyDescent="0.2">
      <c r="R36098" s="1288"/>
    </row>
    <row r="36099" spans="18:18" s="2" customFormat="1" ht="12.75" x14ac:dyDescent="0.2">
      <c r="R36099" s="1288"/>
    </row>
    <row r="36100" spans="18:18" s="2" customFormat="1" ht="12.75" x14ac:dyDescent="0.2">
      <c r="R36100" s="1288"/>
    </row>
    <row r="36101" spans="18:18" s="2" customFormat="1" ht="12.75" x14ac:dyDescent="0.2">
      <c r="R36101" s="1288"/>
    </row>
    <row r="36102" spans="18:18" s="2" customFormat="1" ht="12.75" x14ac:dyDescent="0.2">
      <c r="R36102" s="1288"/>
    </row>
    <row r="36103" spans="18:18" s="2" customFormat="1" ht="12.75" x14ac:dyDescent="0.2">
      <c r="R36103" s="1288"/>
    </row>
    <row r="36104" spans="18:18" s="2" customFormat="1" ht="12.75" x14ac:dyDescent="0.2">
      <c r="R36104" s="1288"/>
    </row>
    <row r="36105" spans="18:18" s="2" customFormat="1" ht="12.75" x14ac:dyDescent="0.2">
      <c r="R36105" s="1288"/>
    </row>
    <row r="36106" spans="18:18" s="2" customFormat="1" ht="12.75" x14ac:dyDescent="0.2">
      <c r="R36106" s="1288"/>
    </row>
    <row r="36107" spans="18:18" s="2" customFormat="1" ht="12.75" x14ac:dyDescent="0.2">
      <c r="R36107" s="1288"/>
    </row>
    <row r="36108" spans="18:18" s="2" customFormat="1" ht="12.75" x14ac:dyDescent="0.2">
      <c r="R36108" s="1288"/>
    </row>
    <row r="36109" spans="18:18" s="2" customFormat="1" ht="12.75" x14ac:dyDescent="0.2">
      <c r="R36109" s="1288"/>
    </row>
    <row r="36110" spans="18:18" s="2" customFormat="1" ht="12.75" x14ac:dyDescent="0.2">
      <c r="R36110" s="1288"/>
    </row>
    <row r="36111" spans="18:18" s="2" customFormat="1" ht="12.75" x14ac:dyDescent="0.2">
      <c r="R36111" s="1288"/>
    </row>
    <row r="36112" spans="18:18" s="2" customFormat="1" ht="12.75" x14ac:dyDescent="0.2">
      <c r="R36112" s="1288"/>
    </row>
    <row r="36113" spans="18:18" s="2" customFormat="1" ht="12.75" x14ac:dyDescent="0.2">
      <c r="R36113" s="1288"/>
    </row>
    <row r="36114" spans="18:18" s="2" customFormat="1" ht="12.75" x14ac:dyDescent="0.2">
      <c r="R36114" s="1288"/>
    </row>
    <row r="36115" spans="18:18" s="2" customFormat="1" ht="12.75" x14ac:dyDescent="0.2">
      <c r="R36115" s="1288"/>
    </row>
    <row r="36116" spans="18:18" s="2" customFormat="1" ht="12.75" x14ac:dyDescent="0.2">
      <c r="R36116" s="1288"/>
    </row>
    <row r="36117" spans="18:18" s="2" customFormat="1" ht="12.75" x14ac:dyDescent="0.2">
      <c r="R36117" s="1288"/>
    </row>
    <row r="36118" spans="18:18" s="2" customFormat="1" ht="12.75" x14ac:dyDescent="0.2">
      <c r="R36118" s="1288"/>
    </row>
    <row r="36119" spans="18:18" s="2" customFormat="1" ht="12.75" x14ac:dyDescent="0.2">
      <c r="R36119" s="1288"/>
    </row>
    <row r="36120" spans="18:18" s="2" customFormat="1" ht="12.75" x14ac:dyDescent="0.2">
      <c r="R36120" s="1288"/>
    </row>
    <row r="36121" spans="18:18" s="2" customFormat="1" ht="12.75" x14ac:dyDescent="0.2">
      <c r="R36121" s="1288"/>
    </row>
    <row r="36122" spans="18:18" s="2" customFormat="1" ht="12.75" x14ac:dyDescent="0.2">
      <c r="R36122" s="1288"/>
    </row>
    <row r="36123" spans="18:18" s="2" customFormat="1" ht="12.75" x14ac:dyDescent="0.2">
      <c r="R36123" s="1288"/>
    </row>
    <row r="36124" spans="18:18" s="2" customFormat="1" ht="12.75" x14ac:dyDescent="0.2">
      <c r="R36124" s="1288"/>
    </row>
    <row r="36125" spans="18:18" s="2" customFormat="1" ht="12.75" x14ac:dyDescent="0.2">
      <c r="R36125" s="1288"/>
    </row>
    <row r="36126" spans="18:18" s="2" customFormat="1" ht="12.75" x14ac:dyDescent="0.2">
      <c r="R36126" s="1288"/>
    </row>
    <row r="36127" spans="18:18" s="2" customFormat="1" ht="12.75" x14ac:dyDescent="0.2">
      <c r="R36127" s="1288"/>
    </row>
    <row r="36128" spans="18:18" s="2" customFormat="1" ht="12.75" x14ac:dyDescent="0.2">
      <c r="R36128" s="1288"/>
    </row>
    <row r="36129" spans="18:18" s="2" customFormat="1" ht="12.75" x14ac:dyDescent="0.2">
      <c r="R36129" s="1288"/>
    </row>
    <row r="36130" spans="18:18" s="2" customFormat="1" ht="12.75" x14ac:dyDescent="0.2">
      <c r="R36130" s="1288"/>
    </row>
    <row r="36131" spans="18:18" s="2" customFormat="1" ht="12.75" x14ac:dyDescent="0.2">
      <c r="R36131" s="1288"/>
    </row>
    <row r="36132" spans="18:18" s="2" customFormat="1" ht="12.75" x14ac:dyDescent="0.2">
      <c r="R36132" s="1288"/>
    </row>
    <row r="36133" spans="18:18" s="2" customFormat="1" ht="12.75" x14ac:dyDescent="0.2">
      <c r="R36133" s="1288"/>
    </row>
    <row r="36134" spans="18:18" s="2" customFormat="1" ht="12.75" x14ac:dyDescent="0.2">
      <c r="R36134" s="1288"/>
    </row>
    <row r="36135" spans="18:18" s="2" customFormat="1" ht="12.75" x14ac:dyDescent="0.2">
      <c r="R36135" s="1288"/>
    </row>
    <row r="36136" spans="18:18" s="2" customFormat="1" ht="12.75" x14ac:dyDescent="0.2">
      <c r="R36136" s="1288"/>
    </row>
    <row r="36137" spans="18:18" s="2" customFormat="1" ht="12.75" x14ac:dyDescent="0.2">
      <c r="R36137" s="1288"/>
    </row>
    <row r="36138" spans="18:18" s="2" customFormat="1" ht="12.75" x14ac:dyDescent="0.2">
      <c r="R36138" s="1288"/>
    </row>
    <row r="36139" spans="18:18" s="2" customFormat="1" ht="12.75" x14ac:dyDescent="0.2">
      <c r="R36139" s="1288"/>
    </row>
    <row r="36140" spans="18:18" s="2" customFormat="1" ht="12.75" x14ac:dyDescent="0.2">
      <c r="R36140" s="1288"/>
    </row>
    <row r="36141" spans="18:18" s="2" customFormat="1" ht="12.75" x14ac:dyDescent="0.2">
      <c r="R36141" s="1288"/>
    </row>
    <row r="36142" spans="18:18" s="2" customFormat="1" ht="12.75" x14ac:dyDescent="0.2">
      <c r="R36142" s="1288"/>
    </row>
    <row r="36143" spans="18:18" s="2" customFormat="1" ht="12.75" x14ac:dyDescent="0.2">
      <c r="R36143" s="1288"/>
    </row>
    <row r="36144" spans="18:18" s="2" customFormat="1" ht="12.75" x14ac:dyDescent="0.2">
      <c r="R36144" s="1288"/>
    </row>
    <row r="36145" spans="18:18" s="2" customFormat="1" ht="12.75" x14ac:dyDescent="0.2">
      <c r="R36145" s="1288"/>
    </row>
    <row r="36146" spans="18:18" s="2" customFormat="1" ht="12.75" x14ac:dyDescent="0.2">
      <c r="R36146" s="1288"/>
    </row>
    <row r="36147" spans="18:18" s="2" customFormat="1" ht="12.75" x14ac:dyDescent="0.2">
      <c r="R36147" s="1288"/>
    </row>
    <row r="36148" spans="18:18" s="2" customFormat="1" ht="12.75" x14ac:dyDescent="0.2">
      <c r="R36148" s="1288"/>
    </row>
    <row r="36149" spans="18:18" s="2" customFormat="1" ht="12.75" x14ac:dyDescent="0.2">
      <c r="R36149" s="1288"/>
    </row>
    <row r="36150" spans="18:18" s="2" customFormat="1" ht="12.75" x14ac:dyDescent="0.2">
      <c r="R36150" s="1288"/>
    </row>
    <row r="36151" spans="18:18" s="2" customFormat="1" ht="12.75" x14ac:dyDescent="0.2">
      <c r="R36151" s="1288"/>
    </row>
    <row r="36152" spans="18:18" s="2" customFormat="1" ht="12.75" x14ac:dyDescent="0.2">
      <c r="R36152" s="1288"/>
    </row>
    <row r="36153" spans="18:18" s="2" customFormat="1" ht="12.75" x14ac:dyDescent="0.2">
      <c r="R36153" s="1288"/>
    </row>
    <row r="36154" spans="18:18" s="2" customFormat="1" ht="12.75" x14ac:dyDescent="0.2">
      <c r="R36154" s="1288"/>
    </row>
    <row r="36155" spans="18:18" s="2" customFormat="1" ht="12.75" x14ac:dyDescent="0.2">
      <c r="R36155" s="1288"/>
    </row>
    <row r="36156" spans="18:18" s="2" customFormat="1" ht="12.75" x14ac:dyDescent="0.2">
      <c r="R36156" s="1288"/>
    </row>
    <row r="36157" spans="18:18" s="2" customFormat="1" ht="12.75" x14ac:dyDescent="0.2">
      <c r="R36157" s="1288"/>
    </row>
    <row r="36158" spans="18:18" s="2" customFormat="1" ht="12.75" x14ac:dyDescent="0.2">
      <c r="R36158" s="1288"/>
    </row>
    <row r="36159" spans="18:18" s="2" customFormat="1" ht="12.75" x14ac:dyDescent="0.2">
      <c r="R36159" s="1288"/>
    </row>
    <row r="36160" spans="18:18" s="2" customFormat="1" ht="12.75" x14ac:dyDescent="0.2">
      <c r="R36160" s="1288"/>
    </row>
    <row r="36161" spans="18:18" s="2" customFormat="1" ht="12.75" x14ac:dyDescent="0.2">
      <c r="R36161" s="1288"/>
    </row>
    <row r="36162" spans="18:18" s="2" customFormat="1" ht="12.75" x14ac:dyDescent="0.2">
      <c r="R36162" s="1288"/>
    </row>
    <row r="36163" spans="18:18" s="2" customFormat="1" ht="12.75" x14ac:dyDescent="0.2">
      <c r="R36163" s="1288"/>
    </row>
    <row r="36164" spans="18:18" s="2" customFormat="1" ht="12.75" x14ac:dyDescent="0.2">
      <c r="R36164" s="1288"/>
    </row>
    <row r="36165" spans="18:18" s="2" customFormat="1" ht="12.75" x14ac:dyDescent="0.2">
      <c r="R36165" s="1288"/>
    </row>
    <row r="36166" spans="18:18" s="2" customFormat="1" ht="12.75" x14ac:dyDescent="0.2">
      <c r="R36166" s="1288"/>
    </row>
    <row r="36167" spans="18:18" s="2" customFormat="1" ht="12.75" x14ac:dyDescent="0.2">
      <c r="R36167" s="1288"/>
    </row>
    <row r="36168" spans="18:18" s="2" customFormat="1" ht="12.75" x14ac:dyDescent="0.2">
      <c r="R36168" s="1288"/>
    </row>
    <row r="36169" spans="18:18" s="2" customFormat="1" ht="12.75" x14ac:dyDescent="0.2">
      <c r="R36169" s="1288"/>
    </row>
    <row r="36170" spans="18:18" s="2" customFormat="1" ht="12.75" x14ac:dyDescent="0.2">
      <c r="R36170" s="1288"/>
    </row>
    <row r="36171" spans="18:18" s="2" customFormat="1" ht="12.75" x14ac:dyDescent="0.2">
      <c r="R36171" s="1288"/>
    </row>
    <row r="36172" spans="18:18" s="2" customFormat="1" ht="12.75" x14ac:dyDescent="0.2">
      <c r="R36172" s="1288"/>
    </row>
    <row r="36173" spans="18:18" s="2" customFormat="1" ht="12.75" x14ac:dyDescent="0.2">
      <c r="R36173" s="1288"/>
    </row>
    <row r="36174" spans="18:18" s="2" customFormat="1" ht="12.75" x14ac:dyDescent="0.2">
      <c r="R36174" s="1288"/>
    </row>
    <row r="36175" spans="18:18" s="2" customFormat="1" ht="12.75" x14ac:dyDescent="0.2">
      <c r="R36175" s="1288"/>
    </row>
    <row r="36176" spans="18:18" s="2" customFormat="1" ht="12.75" x14ac:dyDescent="0.2">
      <c r="R36176" s="1288"/>
    </row>
    <row r="36177" spans="18:18" s="2" customFormat="1" ht="12.75" x14ac:dyDescent="0.2">
      <c r="R36177" s="1288"/>
    </row>
    <row r="36178" spans="18:18" s="2" customFormat="1" ht="12.75" x14ac:dyDescent="0.2">
      <c r="R36178" s="1288"/>
    </row>
    <row r="36179" spans="18:18" s="2" customFormat="1" ht="12.75" x14ac:dyDescent="0.2">
      <c r="R36179" s="1288"/>
    </row>
    <row r="36180" spans="18:18" s="2" customFormat="1" ht="12.75" x14ac:dyDescent="0.2">
      <c r="R36180" s="1288"/>
    </row>
    <row r="36181" spans="18:18" s="2" customFormat="1" ht="12.75" x14ac:dyDescent="0.2">
      <c r="R36181" s="1288"/>
    </row>
    <row r="36182" spans="18:18" s="2" customFormat="1" ht="12.75" x14ac:dyDescent="0.2">
      <c r="R36182" s="1288"/>
    </row>
    <row r="36183" spans="18:18" s="2" customFormat="1" ht="12.75" x14ac:dyDescent="0.2">
      <c r="R36183" s="1288"/>
    </row>
    <row r="36184" spans="18:18" s="2" customFormat="1" ht="12.75" x14ac:dyDescent="0.2">
      <c r="R36184" s="1288"/>
    </row>
    <row r="36185" spans="18:18" s="2" customFormat="1" ht="12.75" x14ac:dyDescent="0.2">
      <c r="R36185" s="1288"/>
    </row>
    <row r="36186" spans="18:18" s="2" customFormat="1" ht="12.75" x14ac:dyDescent="0.2">
      <c r="R36186" s="1288"/>
    </row>
    <row r="36187" spans="18:18" s="2" customFormat="1" ht="12.75" x14ac:dyDescent="0.2">
      <c r="R36187" s="1288"/>
    </row>
    <row r="36188" spans="18:18" s="2" customFormat="1" ht="12.75" x14ac:dyDescent="0.2">
      <c r="R36188" s="1288"/>
    </row>
    <row r="36189" spans="18:18" s="2" customFormat="1" ht="12.75" x14ac:dyDescent="0.2">
      <c r="R36189" s="1288"/>
    </row>
    <row r="36190" spans="18:18" s="2" customFormat="1" ht="12.75" x14ac:dyDescent="0.2">
      <c r="R36190" s="1288"/>
    </row>
    <row r="36191" spans="18:18" s="2" customFormat="1" ht="12.75" x14ac:dyDescent="0.2">
      <c r="R36191" s="1288"/>
    </row>
    <row r="36192" spans="18:18" s="2" customFormat="1" ht="12.75" x14ac:dyDescent="0.2">
      <c r="R36192" s="1288"/>
    </row>
    <row r="36193" spans="18:18" s="2" customFormat="1" ht="12.75" x14ac:dyDescent="0.2">
      <c r="R36193" s="1288"/>
    </row>
    <row r="36194" spans="18:18" s="2" customFormat="1" ht="12.75" x14ac:dyDescent="0.2">
      <c r="R36194" s="1288"/>
    </row>
    <row r="36195" spans="18:18" s="2" customFormat="1" ht="12.75" x14ac:dyDescent="0.2">
      <c r="R36195" s="1288"/>
    </row>
    <row r="36196" spans="18:18" s="2" customFormat="1" ht="12.75" x14ac:dyDescent="0.2">
      <c r="R36196" s="1288"/>
    </row>
    <row r="36197" spans="18:18" s="2" customFormat="1" ht="12.75" x14ac:dyDescent="0.2">
      <c r="R36197" s="1288"/>
    </row>
    <row r="36198" spans="18:18" s="2" customFormat="1" ht="12.75" x14ac:dyDescent="0.2">
      <c r="R36198" s="1288"/>
    </row>
    <row r="36199" spans="18:18" s="2" customFormat="1" ht="12.75" x14ac:dyDescent="0.2">
      <c r="R36199" s="1288"/>
    </row>
    <row r="36200" spans="18:18" s="2" customFormat="1" ht="12.75" x14ac:dyDescent="0.2">
      <c r="R36200" s="1288"/>
    </row>
    <row r="36201" spans="18:18" s="2" customFormat="1" ht="12.75" x14ac:dyDescent="0.2">
      <c r="R36201" s="1288"/>
    </row>
    <row r="36202" spans="18:18" s="2" customFormat="1" ht="12.75" x14ac:dyDescent="0.2">
      <c r="R36202" s="1288"/>
    </row>
    <row r="36203" spans="18:18" s="2" customFormat="1" ht="12.75" x14ac:dyDescent="0.2">
      <c r="R36203" s="1288"/>
    </row>
    <row r="36204" spans="18:18" s="2" customFormat="1" ht="12.75" x14ac:dyDescent="0.2">
      <c r="R36204" s="1288"/>
    </row>
    <row r="36205" spans="18:18" s="2" customFormat="1" ht="12.75" x14ac:dyDescent="0.2">
      <c r="R36205" s="1288"/>
    </row>
    <row r="36206" spans="18:18" s="2" customFormat="1" ht="12.75" x14ac:dyDescent="0.2">
      <c r="R36206" s="1288"/>
    </row>
    <row r="36207" spans="18:18" s="2" customFormat="1" ht="12.75" x14ac:dyDescent="0.2">
      <c r="R36207" s="1288"/>
    </row>
    <row r="36208" spans="18:18" s="2" customFormat="1" ht="12.75" x14ac:dyDescent="0.2">
      <c r="R36208" s="1288"/>
    </row>
    <row r="36209" spans="18:18" s="2" customFormat="1" ht="12.75" x14ac:dyDescent="0.2">
      <c r="R36209" s="1288"/>
    </row>
    <row r="36210" spans="18:18" s="2" customFormat="1" ht="12.75" x14ac:dyDescent="0.2">
      <c r="R36210" s="1288"/>
    </row>
    <row r="36211" spans="18:18" s="2" customFormat="1" ht="12.75" x14ac:dyDescent="0.2">
      <c r="R36211" s="1288"/>
    </row>
    <row r="36212" spans="18:18" s="2" customFormat="1" ht="12.75" x14ac:dyDescent="0.2">
      <c r="R36212" s="1288"/>
    </row>
    <row r="36213" spans="18:18" s="2" customFormat="1" ht="12.75" x14ac:dyDescent="0.2">
      <c r="R36213" s="1288"/>
    </row>
    <row r="36214" spans="18:18" s="2" customFormat="1" ht="12.75" x14ac:dyDescent="0.2">
      <c r="R36214" s="1288"/>
    </row>
    <row r="36215" spans="18:18" s="2" customFormat="1" ht="12.75" x14ac:dyDescent="0.2">
      <c r="R36215" s="1288"/>
    </row>
    <row r="36216" spans="18:18" s="2" customFormat="1" ht="12.75" x14ac:dyDescent="0.2">
      <c r="R36216" s="1288"/>
    </row>
    <row r="36217" spans="18:18" s="2" customFormat="1" ht="12.75" x14ac:dyDescent="0.2">
      <c r="R36217" s="1288"/>
    </row>
    <row r="36218" spans="18:18" s="2" customFormat="1" ht="12.75" x14ac:dyDescent="0.2">
      <c r="R36218" s="1288"/>
    </row>
    <row r="36219" spans="18:18" s="2" customFormat="1" ht="12.75" x14ac:dyDescent="0.2">
      <c r="R36219" s="1288"/>
    </row>
    <row r="36220" spans="18:18" s="2" customFormat="1" ht="12.75" x14ac:dyDescent="0.2">
      <c r="R36220" s="1288"/>
    </row>
    <row r="36221" spans="18:18" s="2" customFormat="1" ht="12.75" x14ac:dyDescent="0.2">
      <c r="R36221" s="1288"/>
    </row>
    <row r="36222" spans="18:18" s="2" customFormat="1" ht="12.75" x14ac:dyDescent="0.2">
      <c r="R36222" s="1288"/>
    </row>
    <row r="36223" spans="18:18" s="2" customFormat="1" ht="12.75" x14ac:dyDescent="0.2">
      <c r="R36223" s="1288"/>
    </row>
    <row r="36224" spans="18:18" s="2" customFormat="1" ht="12.75" x14ac:dyDescent="0.2">
      <c r="R36224" s="1288"/>
    </row>
    <row r="36225" spans="18:18" s="2" customFormat="1" ht="12.75" x14ac:dyDescent="0.2">
      <c r="R36225" s="1288"/>
    </row>
    <row r="36226" spans="18:18" s="2" customFormat="1" ht="12.75" x14ac:dyDescent="0.2">
      <c r="R36226" s="1288"/>
    </row>
    <row r="36227" spans="18:18" s="2" customFormat="1" ht="12.75" x14ac:dyDescent="0.2">
      <c r="R36227" s="1288"/>
    </row>
    <row r="36228" spans="18:18" s="2" customFormat="1" ht="12.75" x14ac:dyDescent="0.2">
      <c r="R36228" s="1288"/>
    </row>
    <row r="36229" spans="18:18" s="2" customFormat="1" ht="12.75" x14ac:dyDescent="0.2">
      <c r="R36229" s="1288"/>
    </row>
    <row r="36230" spans="18:18" s="2" customFormat="1" ht="12.75" x14ac:dyDescent="0.2">
      <c r="R36230" s="1288"/>
    </row>
    <row r="36231" spans="18:18" s="2" customFormat="1" ht="12.75" x14ac:dyDescent="0.2">
      <c r="R36231" s="1288"/>
    </row>
    <row r="36232" spans="18:18" s="2" customFormat="1" ht="12.75" x14ac:dyDescent="0.2">
      <c r="R36232" s="1288"/>
    </row>
    <row r="36233" spans="18:18" s="2" customFormat="1" ht="12.75" x14ac:dyDescent="0.2">
      <c r="R36233" s="1288"/>
    </row>
    <row r="36234" spans="18:18" s="2" customFormat="1" ht="12.75" x14ac:dyDescent="0.2">
      <c r="R36234" s="1288"/>
    </row>
    <row r="36235" spans="18:18" s="2" customFormat="1" ht="12.75" x14ac:dyDescent="0.2">
      <c r="R36235" s="1288"/>
    </row>
    <row r="36236" spans="18:18" s="2" customFormat="1" ht="12.75" x14ac:dyDescent="0.2">
      <c r="R36236" s="1288"/>
    </row>
    <row r="36237" spans="18:18" s="2" customFormat="1" ht="12.75" x14ac:dyDescent="0.2">
      <c r="R36237" s="1288"/>
    </row>
    <row r="36238" spans="18:18" s="2" customFormat="1" ht="12.75" x14ac:dyDescent="0.2">
      <c r="R36238" s="1288"/>
    </row>
    <row r="36239" spans="18:18" s="2" customFormat="1" ht="12.75" x14ac:dyDescent="0.2">
      <c r="R36239" s="1288"/>
    </row>
    <row r="36240" spans="18:18" s="2" customFormat="1" ht="12.75" x14ac:dyDescent="0.2">
      <c r="R36240" s="1288"/>
    </row>
    <row r="36241" spans="18:18" s="2" customFormat="1" ht="12.75" x14ac:dyDescent="0.2">
      <c r="R36241" s="1288"/>
    </row>
    <row r="36242" spans="18:18" s="2" customFormat="1" ht="12.75" x14ac:dyDescent="0.2">
      <c r="R36242" s="1288"/>
    </row>
    <row r="36243" spans="18:18" s="2" customFormat="1" ht="12.75" x14ac:dyDescent="0.2">
      <c r="R36243" s="1288"/>
    </row>
    <row r="36244" spans="18:18" s="2" customFormat="1" ht="12.75" x14ac:dyDescent="0.2">
      <c r="R36244" s="1288"/>
    </row>
    <row r="36245" spans="18:18" s="2" customFormat="1" ht="12.75" x14ac:dyDescent="0.2">
      <c r="R36245" s="1288"/>
    </row>
    <row r="36246" spans="18:18" s="2" customFormat="1" ht="12.75" x14ac:dyDescent="0.2">
      <c r="R36246" s="1288"/>
    </row>
    <row r="36247" spans="18:18" s="2" customFormat="1" ht="12.75" x14ac:dyDescent="0.2">
      <c r="R36247" s="1288"/>
    </row>
    <row r="36248" spans="18:18" s="2" customFormat="1" ht="12.75" x14ac:dyDescent="0.2">
      <c r="R36248" s="1288"/>
    </row>
    <row r="36249" spans="18:18" s="2" customFormat="1" ht="12.75" x14ac:dyDescent="0.2">
      <c r="R36249" s="1288"/>
    </row>
    <row r="36250" spans="18:18" s="2" customFormat="1" ht="12.75" x14ac:dyDescent="0.2">
      <c r="R36250" s="1288"/>
    </row>
    <row r="36251" spans="18:18" s="2" customFormat="1" ht="12.75" x14ac:dyDescent="0.2">
      <c r="R36251" s="1288"/>
    </row>
    <row r="36252" spans="18:18" s="2" customFormat="1" ht="12.75" x14ac:dyDescent="0.2">
      <c r="R36252" s="1288"/>
    </row>
    <row r="36253" spans="18:18" s="2" customFormat="1" ht="12.75" x14ac:dyDescent="0.2">
      <c r="R36253" s="1288"/>
    </row>
    <row r="36254" spans="18:18" s="2" customFormat="1" ht="12.75" x14ac:dyDescent="0.2">
      <c r="R36254" s="1288"/>
    </row>
    <row r="36255" spans="18:18" s="2" customFormat="1" ht="12.75" x14ac:dyDescent="0.2">
      <c r="R36255" s="1288"/>
    </row>
    <row r="36256" spans="18:18" s="2" customFormat="1" ht="12.75" x14ac:dyDescent="0.2">
      <c r="R36256" s="1288"/>
    </row>
    <row r="36257" spans="18:18" s="2" customFormat="1" ht="12.75" x14ac:dyDescent="0.2">
      <c r="R36257" s="1288"/>
    </row>
    <row r="36258" spans="18:18" s="2" customFormat="1" ht="12.75" x14ac:dyDescent="0.2">
      <c r="R36258" s="1288"/>
    </row>
    <row r="36259" spans="18:18" s="2" customFormat="1" ht="12.75" x14ac:dyDescent="0.2">
      <c r="R36259" s="1288"/>
    </row>
    <row r="36260" spans="18:18" s="2" customFormat="1" ht="12.75" x14ac:dyDescent="0.2">
      <c r="R36260" s="1288"/>
    </row>
    <row r="36261" spans="18:18" s="2" customFormat="1" ht="12.75" x14ac:dyDescent="0.2">
      <c r="R36261" s="1288"/>
    </row>
    <row r="36262" spans="18:18" s="2" customFormat="1" ht="12.75" x14ac:dyDescent="0.2">
      <c r="R36262" s="1288"/>
    </row>
    <row r="36263" spans="18:18" s="2" customFormat="1" ht="12.75" x14ac:dyDescent="0.2">
      <c r="R36263" s="1288"/>
    </row>
    <row r="36264" spans="18:18" s="2" customFormat="1" ht="12.75" x14ac:dyDescent="0.2">
      <c r="R36264" s="1288"/>
    </row>
    <row r="36265" spans="18:18" s="2" customFormat="1" ht="12.75" x14ac:dyDescent="0.2">
      <c r="R36265" s="1288"/>
    </row>
    <row r="36266" spans="18:18" s="2" customFormat="1" ht="12.75" x14ac:dyDescent="0.2">
      <c r="R36266" s="1288"/>
    </row>
    <row r="36267" spans="18:18" s="2" customFormat="1" ht="12.75" x14ac:dyDescent="0.2">
      <c r="R36267" s="1288"/>
    </row>
    <row r="36268" spans="18:18" s="2" customFormat="1" ht="12.75" x14ac:dyDescent="0.2">
      <c r="R36268" s="1288"/>
    </row>
    <row r="36269" spans="18:18" s="2" customFormat="1" ht="12.75" x14ac:dyDescent="0.2">
      <c r="R36269" s="1288"/>
    </row>
    <row r="36270" spans="18:18" s="2" customFormat="1" ht="12.75" x14ac:dyDescent="0.2">
      <c r="R36270" s="1288"/>
    </row>
    <row r="36271" spans="18:18" s="2" customFormat="1" ht="12.75" x14ac:dyDescent="0.2">
      <c r="R36271" s="1288"/>
    </row>
    <row r="36272" spans="18:18" s="2" customFormat="1" ht="12.75" x14ac:dyDescent="0.2">
      <c r="R36272" s="1288"/>
    </row>
    <row r="36273" spans="18:18" s="2" customFormat="1" ht="12.75" x14ac:dyDescent="0.2">
      <c r="R36273" s="1288"/>
    </row>
    <row r="36274" spans="18:18" s="2" customFormat="1" ht="12.75" x14ac:dyDescent="0.2">
      <c r="R36274" s="1288"/>
    </row>
    <row r="36275" spans="18:18" s="2" customFormat="1" ht="12.75" x14ac:dyDescent="0.2">
      <c r="R36275" s="1288"/>
    </row>
    <row r="36276" spans="18:18" s="2" customFormat="1" ht="12.75" x14ac:dyDescent="0.2">
      <c r="R36276" s="1288"/>
    </row>
    <row r="36277" spans="18:18" s="2" customFormat="1" ht="12.75" x14ac:dyDescent="0.2">
      <c r="R36277" s="1288"/>
    </row>
    <row r="36278" spans="18:18" s="2" customFormat="1" ht="12.75" x14ac:dyDescent="0.2">
      <c r="R36278" s="1288"/>
    </row>
    <row r="36279" spans="18:18" s="2" customFormat="1" ht="12.75" x14ac:dyDescent="0.2">
      <c r="R36279" s="1288"/>
    </row>
    <row r="36280" spans="18:18" s="2" customFormat="1" ht="12.75" x14ac:dyDescent="0.2">
      <c r="R36280" s="1288"/>
    </row>
    <row r="36281" spans="18:18" s="2" customFormat="1" ht="12.75" x14ac:dyDescent="0.2">
      <c r="R36281" s="1288"/>
    </row>
    <row r="36282" spans="18:18" s="2" customFormat="1" ht="12.75" x14ac:dyDescent="0.2">
      <c r="R36282" s="1288"/>
    </row>
    <row r="36283" spans="18:18" s="2" customFormat="1" ht="12.75" x14ac:dyDescent="0.2">
      <c r="R36283" s="1288"/>
    </row>
    <row r="36284" spans="18:18" s="2" customFormat="1" ht="12.75" x14ac:dyDescent="0.2">
      <c r="R36284" s="1288"/>
    </row>
    <row r="36285" spans="18:18" s="2" customFormat="1" ht="12.75" x14ac:dyDescent="0.2">
      <c r="R36285" s="1288"/>
    </row>
    <row r="36286" spans="18:18" s="2" customFormat="1" ht="12.75" x14ac:dyDescent="0.2">
      <c r="R36286" s="1288"/>
    </row>
    <row r="36287" spans="18:18" s="2" customFormat="1" ht="12.75" x14ac:dyDescent="0.2">
      <c r="R36287" s="1288"/>
    </row>
    <row r="36288" spans="18:18" s="2" customFormat="1" ht="12.75" x14ac:dyDescent="0.2">
      <c r="R36288" s="1288"/>
    </row>
    <row r="36289" spans="18:18" s="2" customFormat="1" ht="12.75" x14ac:dyDescent="0.2">
      <c r="R36289" s="1288"/>
    </row>
    <row r="36290" spans="18:18" s="2" customFormat="1" ht="12.75" x14ac:dyDescent="0.2">
      <c r="R36290" s="1288"/>
    </row>
    <row r="36291" spans="18:18" s="2" customFormat="1" ht="12.75" x14ac:dyDescent="0.2">
      <c r="R36291" s="1288"/>
    </row>
    <row r="36292" spans="18:18" s="2" customFormat="1" ht="12.75" x14ac:dyDescent="0.2">
      <c r="R36292" s="1288"/>
    </row>
    <row r="36293" spans="18:18" s="2" customFormat="1" ht="12.75" x14ac:dyDescent="0.2">
      <c r="R36293" s="1288"/>
    </row>
    <row r="36294" spans="18:18" s="2" customFormat="1" ht="12.75" x14ac:dyDescent="0.2">
      <c r="R36294" s="1288"/>
    </row>
    <row r="36295" spans="18:18" s="2" customFormat="1" ht="12.75" x14ac:dyDescent="0.2">
      <c r="R36295" s="1288"/>
    </row>
    <row r="36296" spans="18:18" s="2" customFormat="1" ht="12.75" x14ac:dyDescent="0.2">
      <c r="R36296" s="1288"/>
    </row>
    <row r="36297" spans="18:18" s="2" customFormat="1" ht="12.75" x14ac:dyDescent="0.2">
      <c r="R36297" s="1288"/>
    </row>
    <row r="36298" spans="18:18" s="2" customFormat="1" ht="12.75" x14ac:dyDescent="0.2">
      <c r="R36298" s="1288"/>
    </row>
    <row r="36299" spans="18:18" s="2" customFormat="1" ht="12.75" x14ac:dyDescent="0.2">
      <c r="R36299" s="1288"/>
    </row>
    <row r="36300" spans="18:18" s="2" customFormat="1" ht="12.75" x14ac:dyDescent="0.2">
      <c r="R36300" s="1288"/>
    </row>
    <row r="36301" spans="18:18" s="2" customFormat="1" ht="12.75" x14ac:dyDescent="0.2">
      <c r="R36301" s="1288"/>
    </row>
    <row r="36302" spans="18:18" s="2" customFormat="1" ht="12.75" x14ac:dyDescent="0.2">
      <c r="R36302" s="1288"/>
    </row>
    <row r="36303" spans="18:18" s="2" customFormat="1" ht="12.75" x14ac:dyDescent="0.2">
      <c r="R36303" s="1288"/>
    </row>
    <row r="36304" spans="18:18" s="2" customFormat="1" ht="12.75" x14ac:dyDescent="0.2">
      <c r="R36304" s="1288"/>
    </row>
    <row r="36305" spans="18:18" s="2" customFormat="1" ht="12.75" x14ac:dyDescent="0.2">
      <c r="R36305" s="1288"/>
    </row>
    <row r="36306" spans="18:18" s="2" customFormat="1" ht="12.75" x14ac:dyDescent="0.2">
      <c r="R36306" s="1288"/>
    </row>
    <row r="36307" spans="18:18" s="2" customFormat="1" ht="12.75" x14ac:dyDescent="0.2">
      <c r="R36307" s="1288"/>
    </row>
    <row r="36308" spans="18:18" s="2" customFormat="1" ht="12.75" x14ac:dyDescent="0.2">
      <c r="R36308" s="1288"/>
    </row>
    <row r="36309" spans="18:18" s="2" customFormat="1" ht="12.75" x14ac:dyDescent="0.2">
      <c r="R36309" s="1288"/>
    </row>
    <row r="36310" spans="18:18" s="2" customFormat="1" ht="12.75" x14ac:dyDescent="0.2">
      <c r="R36310" s="1288"/>
    </row>
    <row r="36311" spans="18:18" s="2" customFormat="1" ht="12.75" x14ac:dyDescent="0.2">
      <c r="R36311" s="1288"/>
    </row>
    <row r="36312" spans="18:18" s="2" customFormat="1" ht="12.75" x14ac:dyDescent="0.2">
      <c r="R36312" s="1288"/>
    </row>
    <row r="36313" spans="18:18" s="2" customFormat="1" ht="12.75" x14ac:dyDescent="0.2">
      <c r="R36313" s="1288"/>
    </row>
    <row r="36314" spans="18:18" s="2" customFormat="1" ht="12.75" x14ac:dyDescent="0.2">
      <c r="R36314" s="1288"/>
    </row>
    <row r="36315" spans="18:18" s="2" customFormat="1" ht="12.75" x14ac:dyDescent="0.2">
      <c r="R36315" s="1288"/>
    </row>
    <row r="36316" spans="18:18" s="2" customFormat="1" ht="12.75" x14ac:dyDescent="0.2">
      <c r="R36316" s="1288"/>
    </row>
    <row r="36317" spans="18:18" s="2" customFormat="1" ht="12.75" x14ac:dyDescent="0.2">
      <c r="R36317" s="1288"/>
    </row>
    <row r="36318" spans="18:18" s="2" customFormat="1" ht="12.75" x14ac:dyDescent="0.2">
      <c r="R36318" s="1288"/>
    </row>
    <row r="36319" spans="18:18" s="2" customFormat="1" ht="12.75" x14ac:dyDescent="0.2">
      <c r="R36319" s="1288"/>
    </row>
    <row r="36320" spans="18:18" s="2" customFormat="1" ht="12.75" x14ac:dyDescent="0.2">
      <c r="R36320" s="1288"/>
    </row>
    <row r="36321" spans="18:18" s="2" customFormat="1" ht="12.75" x14ac:dyDescent="0.2">
      <c r="R36321" s="1288"/>
    </row>
    <row r="36322" spans="18:18" s="2" customFormat="1" ht="12.75" x14ac:dyDescent="0.2">
      <c r="R36322" s="1288"/>
    </row>
    <row r="36323" spans="18:18" s="2" customFormat="1" ht="12.75" x14ac:dyDescent="0.2">
      <c r="R36323" s="1288"/>
    </row>
    <row r="36324" spans="18:18" s="2" customFormat="1" ht="12.75" x14ac:dyDescent="0.2">
      <c r="R36324" s="1288"/>
    </row>
    <row r="36325" spans="18:18" s="2" customFormat="1" ht="12.75" x14ac:dyDescent="0.2">
      <c r="R36325" s="1288"/>
    </row>
    <row r="36326" spans="18:18" s="2" customFormat="1" ht="12.75" x14ac:dyDescent="0.2">
      <c r="R36326" s="1288"/>
    </row>
    <row r="36327" spans="18:18" s="2" customFormat="1" ht="12.75" x14ac:dyDescent="0.2">
      <c r="R36327" s="1288"/>
    </row>
    <row r="36328" spans="18:18" s="2" customFormat="1" ht="12.75" x14ac:dyDescent="0.2">
      <c r="R36328" s="1288"/>
    </row>
    <row r="36329" spans="18:18" s="2" customFormat="1" ht="12.75" x14ac:dyDescent="0.2">
      <c r="R36329" s="1288"/>
    </row>
    <row r="36330" spans="18:18" s="2" customFormat="1" ht="12.75" x14ac:dyDescent="0.2">
      <c r="R36330" s="1288"/>
    </row>
    <row r="36331" spans="18:18" s="2" customFormat="1" ht="12.75" x14ac:dyDescent="0.2">
      <c r="R36331" s="1288"/>
    </row>
    <row r="36332" spans="18:18" s="2" customFormat="1" ht="12.75" x14ac:dyDescent="0.2">
      <c r="R36332" s="1288"/>
    </row>
    <row r="36333" spans="18:18" s="2" customFormat="1" ht="12.75" x14ac:dyDescent="0.2">
      <c r="R36333" s="1288"/>
    </row>
    <row r="36334" spans="18:18" s="2" customFormat="1" ht="12.75" x14ac:dyDescent="0.2">
      <c r="R36334" s="1288"/>
    </row>
    <row r="36335" spans="18:18" s="2" customFormat="1" ht="12.75" x14ac:dyDescent="0.2">
      <c r="R36335" s="1288"/>
    </row>
    <row r="36336" spans="18:18" s="2" customFormat="1" ht="12.75" x14ac:dyDescent="0.2">
      <c r="R36336" s="1288"/>
    </row>
    <row r="36337" spans="18:18" s="2" customFormat="1" ht="12.75" x14ac:dyDescent="0.2">
      <c r="R36337" s="1288"/>
    </row>
    <row r="36338" spans="18:18" s="2" customFormat="1" ht="12.75" x14ac:dyDescent="0.2">
      <c r="R36338" s="1288"/>
    </row>
    <row r="36339" spans="18:18" s="2" customFormat="1" ht="12.75" x14ac:dyDescent="0.2">
      <c r="R36339" s="1288"/>
    </row>
    <row r="36340" spans="18:18" s="2" customFormat="1" ht="12.75" x14ac:dyDescent="0.2">
      <c r="R36340" s="1288"/>
    </row>
    <row r="36341" spans="18:18" s="2" customFormat="1" ht="12.75" x14ac:dyDescent="0.2">
      <c r="R36341" s="1288"/>
    </row>
    <row r="36342" spans="18:18" s="2" customFormat="1" ht="12.75" x14ac:dyDescent="0.2">
      <c r="R36342" s="1288"/>
    </row>
    <row r="36343" spans="18:18" s="2" customFormat="1" ht="12.75" x14ac:dyDescent="0.2">
      <c r="R36343" s="1288"/>
    </row>
    <row r="36344" spans="18:18" s="2" customFormat="1" ht="12.75" x14ac:dyDescent="0.2">
      <c r="R36344" s="1288"/>
    </row>
    <row r="36345" spans="18:18" s="2" customFormat="1" ht="12.75" x14ac:dyDescent="0.2">
      <c r="R36345" s="1288"/>
    </row>
    <row r="36346" spans="18:18" s="2" customFormat="1" ht="12.75" x14ac:dyDescent="0.2">
      <c r="R36346" s="1288"/>
    </row>
    <row r="36347" spans="18:18" s="2" customFormat="1" ht="12.75" x14ac:dyDescent="0.2">
      <c r="R36347" s="1288"/>
    </row>
    <row r="36348" spans="18:18" s="2" customFormat="1" ht="12.75" x14ac:dyDescent="0.2">
      <c r="R36348" s="1288"/>
    </row>
    <row r="36349" spans="18:18" s="2" customFormat="1" ht="12.75" x14ac:dyDescent="0.2">
      <c r="R36349" s="1288"/>
    </row>
    <row r="36350" spans="18:18" s="2" customFormat="1" ht="12.75" x14ac:dyDescent="0.2">
      <c r="R36350" s="1288"/>
    </row>
    <row r="36351" spans="18:18" s="2" customFormat="1" ht="12.75" x14ac:dyDescent="0.2">
      <c r="R36351" s="1288"/>
    </row>
    <row r="36352" spans="18:18" s="2" customFormat="1" ht="12.75" x14ac:dyDescent="0.2">
      <c r="R36352" s="1288"/>
    </row>
    <row r="36353" spans="18:18" s="2" customFormat="1" ht="12.75" x14ac:dyDescent="0.2">
      <c r="R36353" s="1288"/>
    </row>
    <row r="36354" spans="18:18" s="2" customFormat="1" ht="12.75" x14ac:dyDescent="0.2">
      <c r="R36354" s="1288"/>
    </row>
    <row r="36355" spans="18:18" s="2" customFormat="1" ht="12.75" x14ac:dyDescent="0.2">
      <c r="R36355" s="1288"/>
    </row>
    <row r="36356" spans="18:18" s="2" customFormat="1" ht="12.75" x14ac:dyDescent="0.2">
      <c r="R36356" s="1288"/>
    </row>
    <row r="36357" spans="18:18" s="2" customFormat="1" ht="12.75" x14ac:dyDescent="0.2">
      <c r="R36357" s="1288"/>
    </row>
    <row r="36358" spans="18:18" s="2" customFormat="1" ht="12.75" x14ac:dyDescent="0.2">
      <c r="R36358" s="1288"/>
    </row>
    <row r="36359" spans="18:18" s="2" customFormat="1" ht="12.75" x14ac:dyDescent="0.2">
      <c r="R36359" s="1288"/>
    </row>
    <row r="36360" spans="18:18" s="2" customFormat="1" ht="12.75" x14ac:dyDescent="0.2">
      <c r="R36360" s="1288"/>
    </row>
    <row r="36361" spans="18:18" s="2" customFormat="1" ht="12.75" x14ac:dyDescent="0.2">
      <c r="R36361" s="1288"/>
    </row>
    <row r="36362" spans="18:18" s="2" customFormat="1" ht="12.75" x14ac:dyDescent="0.2">
      <c r="R36362" s="1288"/>
    </row>
    <row r="36363" spans="18:18" s="2" customFormat="1" ht="12.75" x14ac:dyDescent="0.2">
      <c r="R36363" s="1288"/>
    </row>
    <row r="36364" spans="18:18" s="2" customFormat="1" ht="12.75" x14ac:dyDescent="0.2">
      <c r="R36364" s="1288"/>
    </row>
    <row r="36365" spans="18:18" s="2" customFormat="1" ht="12.75" x14ac:dyDescent="0.2">
      <c r="R36365" s="1288"/>
    </row>
    <row r="36366" spans="18:18" s="2" customFormat="1" ht="12.75" x14ac:dyDescent="0.2">
      <c r="R36366" s="1288"/>
    </row>
    <row r="36367" spans="18:18" s="2" customFormat="1" ht="12.75" x14ac:dyDescent="0.2">
      <c r="R36367" s="1288"/>
    </row>
    <row r="36368" spans="18:18" s="2" customFormat="1" ht="12.75" x14ac:dyDescent="0.2">
      <c r="R36368" s="1288"/>
    </row>
    <row r="36369" spans="18:18" s="2" customFormat="1" ht="12.75" x14ac:dyDescent="0.2">
      <c r="R36369" s="1288"/>
    </row>
    <row r="36370" spans="18:18" s="2" customFormat="1" ht="12.75" x14ac:dyDescent="0.2">
      <c r="R36370" s="1288"/>
    </row>
    <row r="36371" spans="18:18" s="2" customFormat="1" ht="12.75" x14ac:dyDescent="0.2">
      <c r="R36371" s="1288"/>
    </row>
    <row r="36372" spans="18:18" s="2" customFormat="1" ht="12.75" x14ac:dyDescent="0.2">
      <c r="R36372" s="1288"/>
    </row>
    <row r="36373" spans="18:18" s="2" customFormat="1" ht="12.75" x14ac:dyDescent="0.2">
      <c r="R36373" s="1288"/>
    </row>
    <row r="36374" spans="18:18" s="2" customFormat="1" ht="12.75" x14ac:dyDescent="0.2">
      <c r="R36374" s="1288"/>
    </row>
    <row r="36375" spans="18:18" s="2" customFormat="1" ht="12.75" x14ac:dyDescent="0.2">
      <c r="R36375" s="1288"/>
    </row>
    <row r="36376" spans="18:18" s="2" customFormat="1" ht="12.75" x14ac:dyDescent="0.2">
      <c r="R36376" s="1288"/>
    </row>
    <row r="36377" spans="18:18" s="2" customFormat="1" ht="12.75" x14ac:dyDescent="0.2">
      <c r="R36377" s="1288"/>
    </row>
    <row r="36378" spans="18:18" s="2" customFormat="1" ht="12.75" x14ac:dyDescent="0.2">
      <c r="R36378" s="1288"/>
    </row>
    <row r="36379" spans="18:18" s="2" customFormat="1" ht="12.75" x14ac:dyDescent="0.2">
      <c r="R36379" s="1288"/>
    </row>
    <row r="36380" spans="18:18" s="2" customFormat="1" ht="12.75" x14ac:dyDescent="0.2">
      <c r="R36380" s="1288"/>
    </row>
    <row r="36381" spans="18:18" s="2" customFormat="1" ht="12.75" x14ac:dyDescent="0.2">
      <c r="R36381" s="1288"/>
    </row>
    <row r="36382" spans="18:18" s="2" customFormat="1" ht="12.75" x14ac:dyDescent="0.2">
      <c r="R36382" s="1288"/>
    </row>
    <row r="36383" spans="18:18" s="2" customFormat="1" ht="12.75" x14ac:dyDescent="0.2">
      <c r="R36383" s="1288"/>
    </row>
    <row r="36384" spans="18:18" s="2" customFormat="1" ht="12.75" x14ac:dyDescent="0.2">
      <c r="R36384" s="1288"/>
    </row>
    <row r="36385" spans="18:18" s="2" customFormat="1" ht="12.75" x14ac:dyDescent="0.2">
      <c r="R36385" s="1288"/>
    </row>
    <row r="36386" spans="18:18" s="2" customFormat="1" ht="12.75" x14ac:dyDescent="0.2">
      <c r="R36386" s="1288"/>
    </row>
    <row r="36387" spans="18:18" s="2" customFormat="1" ht="12.75" x14ac:dyDescent="0.2">
      <c r="R36387" s="1288"/>
    </row>
    <row r="36388" spans="18:18" s="2" customFormat="1" ht="12.75" x14ac:dyDescent="0.2">
      <c r="R36388" s="1288"/>
    </row>
    <row r="36389" spans="18:18" s="2" customFormat="1" ht="12.75" x14ac:dyDescent="0.2">
      <c r="R36389" s="1288"/>
    </row>
    <row r="36390" spans="18:18" s="2" customFormat="1" ht="12.75" x14ac:dyDescent="0.2">
      <c r="R36390" s="1288"/>
    </row>
    <row r="36391" spans="18:18" s="2" customFormat="1" ht="12.75" x14ac:dyDescent="0.2">
      <c r="R36391" s="1288"/>
    </row>
    <row r="36392" spans="18:18" s="2" customFormat="1" ht="12.75" x14ac:dyDescent="0.2">
      <c r="R36392" s="1288"/>
    </row>
    <row r="36393" spans="18:18" s="2" customFormat="1" ht="12.75" x14ac:dyDescent="0.2">
      <c r="R36393" s="1288"/>
    </row>
    <row r="36394" spans="18:18" s="2" customFormat="1" ht="12.75" x14ac:dyDescent="0.2">
      <c r="R36394" s="1288"/>
    </row>
    <row r="36395" spans="18:18" s="2" customFormat="1" ht="12.75" x14ac:dyDescent="0.2">
      <c r="R36395" s="1288"/>
    </row>
    <row r="36396" spans="18:18" s="2" customFormat="1" ht="12.75" x14ac:dyDescent="0.2">
      <c r="R36396" s="1288"/>
    </row>
    <row r="36397" spans="18:18" s="2" customFormat="1" ht="12.75" x14ac:dyDescent="0.2">
      <c r="R36397" s="1288"/>
    </row>
    <row r="36398" spans="18:18" s="2" customFormat="1" ht="12.75" x14ac:dyDescent="0.2">
      <c r="R36398" s="1288"/>
    </row>
    <row r="36399" spans="18:18" s="2" customFormat="1" ht="12.75" x14ac:dyDescent="0.2">
      <c r="R36399" s="1288"/>
    </row>
    <row r="36400" spans="18:18" s="2" customFormat="1" ht="12.75" x14ac:dyDescent="0.2">
      <c r="R36400" s="1288"/>
    </row>
    <row r="36401" spans="18:18" s="2" customFormat="1" ht="12.75" x14ac:dyDescent="0.2">
      <c r="R36401" s="1288"/>
    </row>
    <row r="36402" spans="18:18" s="2" customFormat="1" ht="12.75" x14ac:dyDescent="0.2">
      <c r="R36402" s="1288"/>
    </row>
    <row r="36403" spans="18:18" s="2" customFormat="1" ht="12.75" x14ac:dyDescent="0.2">
      <c r="R36403" s="1288"/>
    </row>
    <row r="36404" spans="18:18" s="2" customFormat="1" ht="12.75" x14ac:dyDescent="0.2">
      <c r="R36404" s="1288"/>
    </row>
    <row r="36405" spans="18:18" s="2" customFormat="1" ht="12.75" x14ac:dyDescent="0.2">
      <c r="R36405" s="1288"/>
    </row>
    <row r="36406" spans="18:18" s="2" customFormat="1" ht="12.75" x14ac:dyDescent="0.2">
      <c r="R36406" s="1288"/>
    </row>
    <row r="36407" spans="18:18" s="2" customFormat="1" ht="12.75" x14ac:dyDescent="0.2">
      <c r="R36407" s="1288"/>
    </row>
    <row r="36408" spans="18:18" s="2" customFormat="1" ht="12.75" x14ac:dyDescent="0.2">
      <c r="R36408" s="1288"/>
    </row>
    <row r="36409" spans="18:18" s="2" customFormat="1" ht="12.75" x14ac:dyDescent="0.2">
      <c r="R36409" s="1288"/>
    </row>
    <row r="36410" spans="18:18" s="2" customFormat="1" ht="12.75" x14ac:dyDescent="0.2">
      <c r="R36410" s="1288"/>
    </row>
    <row r="36411" spans="18:18" s="2" customFormat="1" ht="12.75" x14ac:dyDescent="0.2">
      <c r="R36411" s="1288"/>
    </row>
    <row r="36412" spans="18:18" s="2" customFormat="1" ht="12.75" x14ac:dyDescent="0.2">
      <c r="R36412" s="1288"/>
    </row>
    <row r="36413" spans="18:18" s="2" customFormat="1" ht="12.75" x14ac:dyDescent="0.2">
      <c r="R36413" s="1288"/>
    </row>
    <row r="36414" spans="18:18" s="2" customFormat="1" ht="12.75" x14ac:dyDescent="0.2">
      <c r="R36414" s="1288"/>
    </row>
    <row r="36415" spans="18:18" s="2" customFormat="1" ht="12.75" x14ac:dyDescent="0.2">
      <c r="R36415" s="1288"/>
    </row>
    <row r="36416" spans="18:18" s="2" customFormat="1" ht="12.75" x14ac:dyDescent="0.2">
      <c r="R36416" s="1288"/>
    </row>
    <row r="36417" spans="18:18" s="2" customFormat="1" ht="12.75" x14ac:dyDescent="0.2">
      <c r="R36417" s="1288"/>
    </row>
    <row r="36418" spans="18:18" s="2" customFormat="1" ht="12.75" x14ac:dyDescent="0.2">
      <c r="R36418" s="1288"/>
    </row>
    <row r="36419" spans="18:18" s="2" customFormat="1" ht="12.75" x14ac:dyDescent="0.2">
      <c r="R36419" s="1288"/>
    </row>
    <row r="36420" spans="18:18" s="2" customFormat="1" ht="12.75" x14ac:dyDescent="0.2">
      <c r="R36420" s="1288"/>
    </row>
    <row r="36421" spans="18:18" s="2" customFormat="1" ht="12.75" x14ac:dyDescent="0.2">
      <c r="R36421" s="1288"/>
    </row>
    <row r="36422" spans="18:18" s="2" customFormat="1" ht="12.75" x14ac:dyDescent="0.2">
      <c r="R36422" s="1288"/>
    </row>
    <row r="36423" spans="18:18" s="2" customFormat="1" ht="12.75" x14ac:dyDescent="0.2">
      <c r="R36423" s="1288"/>
    </row>
    <row r="36424" spans="18:18" s="2" customFormat="1" ht="12.75" x14ac:dyDescent="0.2">
      <c r="R36424" s="1288"/>
    </row>
    <row r="36425" spans="18:18" s="2" customFormat="1" ht="12.75" x14ac:dyDescent="0.2">
      <c r="R36425" s="1288"/>
    </row>
    <row r="36426" spans="18:18" s="2" customFormat="1" ht="12.75" x14ac:dyDescent="0.2">
      <c r="R36426" s="1288"/>
    </row>
    <row r="36427" spans="18:18" s="2" customFormat="1" ht="12.75" x14ac:dyDescent="0.2">
      <c r="R36427" s="1288"/>
    </row>
    <row r="36428" spans="18:18" s="2" customFormat="1" ht="12.75" x14ac:dyDescent="0.2">
      <c r="R36428" s="1288"/>
    </row>
    <row r="36429" spans="18:18" s="2" customFormat="1" ht="12.75" x14ac:dyDescent="0.2">
      <c r="R36429" s="1288"/>
    </row>
    <row r="36430" spans="18:18" s="2" customFormat="1" ht="12.75" x14ac:dyDescent="0.2">
      <c r="R36430" s="1288"/>
    </row>
    <row r="36431" spans="18:18" s="2" customFormat="1" ht="12.75" x14ac:dyDescent="0.2">
      <c r="R36431" s="1288"/>
    </row>
    <row r="36432" spans="18:18" s="2" customFormat="1" ht="12.75" x14ac:dyDescent="0.2">
      <c r="R36432" s="1288"/>
    </row>
    <row r="36433" spans="18:18" s="2" customFormat="1" ht="12.75" x14ac:dyDescent="0.2">
      <c r="R36433" s="1288"/>
    </row>
    <row r="36434" spans="18:18" s="2" customFormat="1" ht="12.75" x14ac:dyDescent="0.2">
      <c r="R36434" s="1288"/>
    </row>
    <row r="36435" spans="18:18" s="2" customFormat="1" ht="12.75" x14ac:dyDescent="0.2">
      <c r="R36435" s="1288"/>
    </row>
    <row r="36436" spans="18:18" s="2" customFormat="1" ht="12.75" x14ac:dyDescent="0.2">
      <c r="R36436" s="1288"/>
    </row>
    <row r="36437" spans="18:18" s="2" customFormat="1" ht="12.75" x14ac:dyDescent="0.2">
      <c r="R36437" s="1288"/>
    </row>
    <row r="36438" spans="18:18" s="2" customFormat="1" ht="12.75" x14ac:dyDescent="0.2">
      <c r="R36438" s="1288"/>
    </row>
    <row r="36439" spans="18:18" s="2" customFormat="1" ht="12.75" x14ac:dyDescent="0.2">
      <c r="R36439" s="1288"/>
    </row>
    <row r="36440" spans="18:18" s="2" customFormat="1" ht="12.75" x14ac:dyDescent="0.2">
      <c r="R36440" s="1288"/>
    </row>
    <row r="36441" spans="18:18" s="2" customFormat="1" ht="12.75" x14ac:dyDescent="0.2">
      <c r="R36441" s="1288"/>
    </row>
    <row r="36442" spans="18:18" s="2" customFormat="1" ht="12.75" x14ac:dyDescent="0.2">
      <c r="R36442" s="1288"/>
    </row>
    <row r="36443" spans="18:18" s="2" customFormat="1" ht="12.75" x14ac:dyDescent="0.2">
      <c r="R36443" s="1288"/>
    </row>
    <row r="36444" spans="18:18" s="2" customFormat="1" ht="12.75" x14ac:dyDescent="0.2">
      <c r="R36444" s="1288"/>
    </row>
    <row r="36445" spans="18:18" s="2" customFormat="1" ht="12.75" x14ac:dyDescent="0.2">
      <c r="R36445" s="1288"/>
    </row>
    <row r="36446" spans="18:18" s="2" customFormat="1" ht="12.75" x14ac:dyDescent="0.2">
      <c r="R36446" s="1288"/>
    </row>
    <row r="36447" spans="18:18" s="2" customFormat="1" ht="12.75" x14ac:dyDescent="0.2">
      <c r="R36447" s="1288"/>
    </row>
    <row r="36448" spans="18:18" s="2" customFormat="1" ht="12.75" x14ac:dyDescent="0.2">
      <c r="R36448" s="1288"/>
    </row>
    <row r="36449" spans="18:18" s="2" customFormat="1" ht="12.75" x14ac:dyDescent="0.2">
      <c r="R36449" s="1288"/>
    </row>
    <row r="36450" spans="18:18" s="2" customFormat="1" ht="12.75" x14ac:dyDescent="0.2">
      <c r="R36450" s="1288"/>
    </row>
    <row r="36451" spans="18:18" s="2" customFormat="1" ht="12.75" x14ac:dyDescent="0.2">
      <c r="R36451" s="1288"/>
    </row>
    <row r="36452" spans="18:18" s="2" customFormat="1" ht="12.75" x14ac:dyDescent="0.2">
      <c r="R36452" s="1288"/>
    </row>
    <row r="36453" spans="18:18" s="2" customFormat="1" ht="12.75" x14ac:dyDescent="0.2">
      <c r="R36453" s="1288"/>
    </row>
    <row r="36454" spans="18:18" s="2" customFormat="1" ht="12.75" x14ac:dyDescent="0.2">
      <c r="R36454" s="1288"/>
    </row>
    <row r="36455" spans="18:18" s="2" customFormat="1" ht="12.75" x14ac:dyDescent="0.2">
      <c r="R36455" s="1288"/>
    </row>
    <row r="36456" spans="18:18" s="2" customFormat="1" ht="12.75" x14ac:dyDescent="0.2">
      <c r="R36456" s="1288"/>
    </row>
    <row r="36457" spans="18:18" s="2" customFormat="1" ht="12.75" x14ac:dyDescent="0.2">
      <c r="R36457" s="1288"/>
    </row>
    <row r="36458" spans="18:18" s="2" customFormat="1" ht="12.75" x14ac:dyDescent="0.2">
      <c r="R36458" s="1288"/>
    </row>
    <row r="36459" spans="18:18" s="2" customFormat="1" ht="12.75" x14ac:dyDescent="0.2">
      <c r="R36459" s="1288"/>
    </row>
    <row r="36460" spans="18:18" s="2" customFormat="1" ht="12.75" x14ac:dyDescent="0.2">
      <c r="R36460" s="1288"/>
    </row>
    <row r="36461" spans="18:18" s="2" customFormat="1" ht="12.75" x14ac:dyDescent="0.2">
      <c r="R36461" s="1288"/>
    </row>
    <row r="36462" spans="18:18" s="2" customFormat="1" ht="12.75" x14ac:dyDescent="0.2">
      <c r="R36462" s="1288"/>
    </row>
    <row r="36463" spans="18:18" s="2" customFormat="1" ht="12.75" x14ac:dyDescent="0.2">
      <c r="R36463" s="1288"/>
    </row>
    <row r="36464" spans="18:18" s="2" customFormat="1" ht="12.75" x14ac:dyDescent="0.2">
      <c r="R36464" s="1288"/>
    </row>
    <row r="36465" spans="18:18" s="2" customFormat="1" ht="12.75" x14ac:dyDescent="0.2">
      <c r="R36465" s="1288"/>
    </row>
    <row r="36466" spans="18:18" s="2" customFormat="1" ht="12.75" x14ac:dyDescent="0.2">
      <c r="R36466" s="1288"/>
    </row>
    <row r="36467" spans="18:18" s="2" customFormat="1" ht="12.75" x14ac:dyDescent="0.2">
      <c r="R36467" s="1288"/>
    </row>
    <row r="36468" spans="18:18" s="2" customFormat="1" ht="12.75" x14ac:dyDescent="0.2">
      <c r="R36468" s="1288"/>
    </row>
    <row r="36469" spans="18:18" s="2" customFormat="1" ht="12.75" x14ac:dyDescent="0.2">
      <c r="R36469" s="1288"/>
    </row>
    <row r="36470" spans="18:18" s="2" customFormat="1" ht="12.75" x14ac:dyDescent="0.2">
      <c r="R36470" s="1288"/>
    </row>
    <row r="36471" spans="18:18" s="2" customFormat="1" ht="12.75" x14ac:dyDescent="0.2">
      <c r="R36471" s="1288"/>
    </row>
    <row r="36472" spans="18:18" s="2" customFormat="1" ht="12.75" x14ac:dyDescent="0.2">
      <c r="R36472" s="1288"/>
    </row>
    <row r="36473" spans="18:18" s="2" customFormat="1" ht="12.75" x14ac:dyDescent="0.2">
      <c r="R36473" s="1288"/>
    </row>
    <row r="36474" spans="18:18" s="2" customFormat="1" ht="12.75" x14ac:dyDescent="0.2">
      <c r="R36474" s="1288"/>
    </row>
    <row r="36475" spans="18:18" s="2" customFormat="1" ht="12.75" x14ac:dyDescent="0.2">
      <c r="R36475" s="1288"/>
    </row>
    <row r="36476" spans="18:18" s="2" customFormat="1" ht="12.75" x14ac:dyDescent="0.2">
      <c r="R36476" s="1288"/>
    </row>
    <row r="36477" spans="18:18" s="2" customFormat="1" ht="12.75" x14ac:dyDescent="0.2">
      <c r="R36477" s="1288"/>
    </row>
    <row r="36478" spans="18:18" s="2" customFormat="1" ht="12.75" x14ac:dyDescent="0.2">
      <c r="R36478" s="1288"/>
    </row>
    <row r="36479" spans="18:18" s="2" customFormat="1" ht="12.75" x14ac:dyDescent="0.2">
      <c r="R36479" s="1288"/>
    </row>
    <row r="36480" spans="18:18" s="2" customFormat="1" ht="12.75" x14ac:dyDescent="0.2">
      <c r="R36480" s="1288"/>
    </row>
    <row r="36481" spans="18:18" s="2" customFormat="1" ht="12.75" x14ac:dyDescent="0.2">
      <c r="R36481" s="1288"/>
    </row>
    <row r="36482" spans="18:18" s="2" customFormat="1" ht="12.75" x14ac:dyDescent="0.2">
      <c r="R36482" s="1288"/>
    </row>
    <row r="36483" spans="18:18" s="2" customFormat="1" ht="12.75" x14ac:dyDescent="0.2">
      <c r="R36483" s="1288"/>
    </row>
    <row r="36484" spans="18:18" s="2" customFormat="1" ht="12.75" x14ac:dyDescent="0.2">
      <c r="R36484" s="1288"/>
    </row>
    <row r="36485" spans="18:18" s="2" customFormat="1" ht="12.75" x14ac:dyDescent="0.2">
      <c r="R36485" s="1288"/>
    </row>
    <row r="36486" spans="18:18" s="2" customFormat="1" ht="12.75" x14ac:dyDescent="0.2">
      <c r="R36486" s="1288"/>
    </row>
    <row r="36487" spans="18:18" s="2" customFormat="1" ht="12.75" x14ac:dyDescent="0.2">
      <c r="R36487" s="1288"/>
    </row>
    <row r="36488" spans="18:18" s="2" customFormat="1" ht="12.75" x14ac:dyDescent="0.2">
      <c r="R36488" s="1288"/>
    </row>
    <row r="36489" spans="18:18" s="2" customFormat="1" ht="12.75" x14ac:dyDescent="0.2">
      <c r="R36489" s="1288"/>
    </row>
    <row r="36490" spans="18:18" s="2" customFormat="1" ht="12.75" x14ac:dyDescent="0.2">
      <c r="R36490" s="1288"/>
    </row>
    <row r="36491" spans="18:18" s="2" customFormat="1" ht="12.75" x14ac:dyDescent="0.2">
      <c r="R36491" s="1288"/>
    </row>
    <row r="36492" spans="18:18" s="2" customFormat="1" ht="12.75" x14ac:dyDescent="0.2">
      <c r="R36492" s="1288"/>
    </row>
    <row r="36493" spans="18:18" s="2" customFormat="1" ht="12.75" x14ac:dyDescent="0.2">
      <c r="R36493" s="1288"/>
    </row>
    <row r="36494" spans="18:18" s="2" customFormat="1" ht="12.75" x14ac:dyDescent="0.2">
      <c r="R36494" s="1288"/>
    </row>
    <row r="36495" spans="18:18" s="2" customFormat="1" ht="12.75" x14ac:dyDescent="0.2">
      <c r="R36495" s="1288"/>
    </row>
    <row r="36496" spans="18:18" s="2" customFormat="1" ht="12.75" x14ac:dyDescent="0.2">
      <c r="R36496" s="1288"/>
    </row>
    <row r="36497" spans="18:18" s="2" customFormat="1" ht="12.75" x14ac:dyDescent="0.2">
      <c r="R36497" s="1288"/>
    </row>
    <row r="36498" spans="18:18" s="2" customFormat="1" ht="12.75" x14ac:dyDescent="0.2">
      <c r="R36498" s="1288"/>
    </row>
    <row r="36499" spans="18:18" s="2" customFormat="1" ht="12.75" x14ac:dyDescent="0.2">
      <c r="R36499" s="1288"/>
    </row>
    <row r="36500" spans="18:18" s="2" customFormat="1" ht="12.75" x14ac:dyDescent="0.2">
      <c r="R36500" s="1288"/>
    </row>
    <row r="36501" spans="18:18" s="2" customFormat="1" ht="12.75" x14ac:dyDescent="0.2">
      <c r="R36501" s="1288"/>
    </row>
    <row r="36502" spans="18:18" s="2" customFormat="1" ht="12.75" x14ac:dyDescent="0.2">
      <c r="R36502" s="1288"/>
    </row>
    <row r="36503" spans="18:18" s="2" customFormat="1" ht="12.75" x14ac:dyDescent="0.2">
      <c r="R36503" s="1288"/>
    </row>
    <row r="36504" spans="18:18" s="2" customFormat="1" ht="12.75" x14ac:dyDescent="0.2">
      <c r="R36504" s="1288"/>
    </row>
    <row r="36505" spans="18:18" s="2" customFormat="1" ht="12.75" x14ac:dyDescent="0.2">
      <c r="R36505" s="1288"/>
    </row>
    <row r="36506" spans="18:18" s="2" customFormat="1" ht="12.75" x14ac:dyDescent="0.2">
      <c r="R36506" s="1288"/>
    </row>
    <row r="36507" spans="18:18" s="2" customFormat="1" ht="12.75" x14ac:dyDescent="0.2">
      <c r="R36507" s="1288"/>
    </row>
    <row r="36508" spans="18:18" s="2" customFormat="1" ht="12.75" x14ac:dyDescent="0.2">
      <c r="R36508" s="1288"/>
    </row>
    <row r="36509" spans="18:18" s="2" customFormat="1" ht="12.75" x14ac:dyDescent="0.2">
      <c r="R36509" s="1288"/>
    </row>
    <row r="36510" spans="18:18" s="2" customFormat="1" ht="12.75" x14ac:dyDescent="0.2">
      <c r="R36510" s="1288"/>
    </row>
    <row r="36511" spans="18:18" s="2" customFormat="1" ht="12.75" x14ac:dyDescent="0.2">
      <c r="R36511" s="1288"/>
    </row>
    <row r="36512" spans="18:18" s="2" customFormat="1" ht="12.75" x14ac:dyDescent="0.2">
      <c r="R36512" s="1288"/>
    </row>
    <row r="36513" spans="18:18" s="2" customFormat="1" ht="12.75" x14ac:dyDescent="0.2">
      <c r="R36513" s="1288"/>
    </row>
    <row r="36514" spans="18:18" s="2" customFormat="1" ht="12.75" x14ac:dyDescent="0.2">
      <c r="R36514" s="1288"/>
    </row>
    <row r="36515" spans="18:18" s="2" customFormat="1" ht="12.75" x14ac:dyDescent="0.2">
      <c r="R36515" s="1288"/>
    </row>
    <row r="36516" spans="18:18" s="2" customFormat="1" ht="12.75" x14ac:dyDescent="0.2">
      <c r="R36516" s="1288"/>
    </row>
    <row r="36517" spans="18:18" s="2" customFormat="1" ht="12.75" x14ac:dyDescent="0.2">
      <c r="R36517" s="1288"/>
    </row>
    <row r="36518" spans="18:18" s="2" customFormat="1" ht="12.75" x14ac:dyDescent="0.2">
      <c r="R36518" s="1288"/>
    </row>
    <row r="36519" spans="18:18" s="2" customFormat="1" ht="12.75" x14ac:dyDescent="0.2">
      <c r="R36519" s="1288"/>
    </row>
    <row r="36520" spans="18:18" s="2" customFormat="1" ht="12.75" x14ac:dyDescent="0.2">
      <c r="R36520" s="1288"/>
    </row>
    <row r="36521" spans="18:18" s="2" customFormat="1" ht="12.75" x14ac:dyDescent="0.2">
      <c r="R36521" s="1288"/>
    </row>
    <row r="36522" spans="18:18" s="2" customFormat="1" ht="12.75" x14ac:dyDescent="0.2">
      <c r="R36522" s="1288"/>
    </row>
    <row r="36523" spans="18:18" s="2" customFormat="1" ht="12.75" x14ac:dyDescent="0.2">
      <c r="R36523" s="1288"/>
    </row>
    <row r="36524" spans="18:18" s="2" customFormat="1" ht="12.75" x14ac:dyDescent="0.2">
      <c r="R36524" s="1288"/>
    </row>
    <row r="36525" spans="18:18" s="2" customFormat="1" ht="12.75" x14ac:dyDescent="0.2">
      <c r="R36525" s="1288"/>
    </row>
    <row r="36526" spans="18:18" s="2" customFormat="1" ht="12.75" x14ac:dyDescent="0.2">
      <c r="R36526" s="1288"/>
    </row>
    <row r="36527" spans="18:18" s="2" customFormat="1" ht="12.75" x14ac:dyDescent="0.2">
      <c r="R36527" s="1288"/>
    </row>
    <row r="36528" spans="18:18" s="2" customFormat="1" ht="12.75" x14ac:dyDescent="0.2">
      <c r="R36528" s="1288"/>
    </row>
    <row r="36529" spans="18:18" s="2" customFormat="1" ht="12.75" x14ac:dyDescent="0.2">
      <c r="R36529" s="1288"/>
    </row>
    <row r="36530" spans="18:18" s="2" customFormat="1" ht="12.75" x14ac:dyDescent="0.2">
      <c r="R36530" s="1288"/>
    </row>
    <row r="36531" spans="18:18" s="2" customFormat="1" ht="12.75" x14ac:dyDescent="0.2">
      <c r="R36531" s="1288"/>
    </row>
    <row r="36532" spans="18:18" s="2" customFormat="1" ht="12.75" x14ac:dyDescent="0.2">
      <c r="R36532" s="1288"/>
    </row>
    <row r="36533" spans="18:18" s="2" customFormat="1" ht="12.75" x14ac:dyDescent="0.2">
      <c r="R36533" s="1288"/>
    </row>
    <row r="36534" spans="18:18" s="2" customFormat="1" ht="12.75" x14ac:dyDescent="0.2">
      <c r="R36534" s="1288"/>
    </row>
    <row r="36535" spans="18:18" s="2" customFormat="1" ht="12.75" x14ac:dyDescent="0.2">
      <c r="R36535" s="1288"/>
    </row>
    <row r="36536" spans="18:18" s="2" customFormat="1" ht="12.75" x14ac:dyDescent="0.2">
      <c r="R36536" s="1288"/>
    </row>
    <row r="36537" spans="18:18" s="2" customFormat="1" ht="12.75" x14ac:dyDescent="0.2">
      <c r="R36537" s="1288"/>
    </row>
    <row r="36538" spans="18:18" s="2" customFormat="1" ht="12.75" x14ac:dyDescent="0.2">
      <c r="R36538" s="1288"/>
    </row>
    <row r="36539" spans="18:18" s="2" customFormat="1" ht="12.75" x14ac:dyDescent="0.2">
      <c r="R36539" s="1288"/>
    </row>
    <row r="36540" spans="18:18" s="2" customFormat="1" ht="12.75" x14ac:dyDescent="0.2">
      <c r="R36540" s="1288"/>
    </row>
    <row r="36541" spans="18:18" s="2" customFormat="1" ht="12.75" x14ac:dyDescent="0.2">
      <c r="R36541" s="1288"/>
    </row>
    <row r="36542" spans="18:18" s="2" customFormat="1" ht="12.75" x14ac:dyDescent="0.2">
      <c r="R36542" s="1288"/>
    </row>
    <row r="36543" spans="18:18" s="2" customFormat="1" ht="12.75" x14ac:dyDescent="0.2">
      <c r="R36543" s="1288"/>
    </row>
    <row r="36544" spans="18:18" s="2" customFormat="1" ht="12.75" x14ac:dyDescent="0.2">
      <c r="R36544" s="1288"/>
    </row>
    <row r="36545" spans="18:18" s="2" customFormat="1" ht="12.75" x14ac:dyDescent="0.2">
      <c r="R36545" s="1288"/>
    </row>
    <row r="36546" spans="18:18" s="2" customFormat="1" ht="12.75" x14ac:dyDescent="0.2">
      <c r="R36546" s="1288"/>
    </row>
    <row r="36547" spans="18:18" s="2" customFormat="1" ht="12.75" x14ac:dyDescent="0.2">
      <c r="R36547" s="1288"/>
    </row>
    <row r="36548" spans="18:18" s="2" customFormat="1" ht="12.75" x14ac:dyDescent="0.2">
      <c r="R36548" s="1288"/>
    </row>
    <row r="36549" spans="18:18" s="2" customFormat="1" ht="12.75" x14ac:dyDescent="0.2">
      <c r="R36549" s="1288"/>
    </row>
    <row r="36550" spans="18:18" s="2" customFormat="1" ht="12.75" x14ac:dyDescent="0.2">
      <c r="R36550" s="1288"/>
    </row>
    <row r="36551" spans="18:18" s="2" customFormat="1" ht="12.75" x14ac:dyDescent="0.2">
      <c r="R36551" s="1288"/>
    </row>
    <row r="36552" spans="18:18" s="2" customFormat="1" ht="12.75" x14ac:dyDescent="0.2">
      <c r="R36552" s="1288"/>
    </row>
    <row r="36553" spans="18:18" s="2" customFormat="1" ht="12.75" x14ac:dyDescent="0.2">
      <c r="R36553" s="1288"/>
    </row>
    <row r="36554" spans="18:18" s="2" customFormat="1" ht="12.75" x14ac:dyDescent="0.2">
      <c r="R36554" s="1288"/>
    </row>
    <row r="36555" spans="18:18" s="2" customFormat="1" ht="12.75" x14ac:dyDescent="0.2">
      <c r="R36555" s="1288"/>
    </row>
    <row r="36556" spans="18:18" s="2" customFormat="1" ht="12.75" x14ac:dyDescent="0.2">
      <c r="R36556" s="1288"/>
    </row>
    <row r="36557" spans="18:18" s="2" customFormat="1" ht="12.75" x14ac:dyDescent="0.2">
      <c r="R36557" s="1288"/>
    </row>
    <row r="36558" spans="18:18" s="2" customFormat="1" ht="12.75" x14ac:dyDescent="0.2">
      <c r="R36558" s="1288"/>
    </row>
    <row r="36559" spans="18:18" s="2" customFormat="1" ht="12.75" x14ac:dyDescent="0.2">
      <c r="R36559" s="1288"/>
    </row>
    <row r="36560" spans="18:18" s="2" customFormat="1" ht="12.75" x14ac:dyDescent="0.2">
      <c r="R36560" s="1288"/>
    </row>
    <row r="36561" spans="18:18" s="2" customFormat="1" ht="12.75" x14ac:dyDescent="0.2">
      <c r="R36561" s="1288"/>
    </row>
    <row r="36562" spans="18:18" s="2" customFormat="1" ht="12.75" x14ac:dyDescent="0.2">
      <c r="R36562" s="1288"/>
    </row>
    <row r="36563" spans="18:18" s="2" customFormat="1" ht="12.75" x14ac:dyDescent="0.2">
      <c r="R36563" s="1288"/>
    </row>
    <row r="36564" spans="18:18" s="2" customFormat="1" ht="12.75" x14ac:dyDescent="0.2">
      <c r="R36564" s="1288"/>
    </row>
    <row r="36565" spans="18:18" s="2" customFormat="1" ht="12.75" x14ac:dyDescent="0.2">
      <c r="R36565" s="1288"/>
    </row>
    <row r="36566" spans="18:18" s="2" customFormat="1" ht="12.75" x14ac:dyDescent="0.2">
      <c r="R36566" s="1288"/>
    </row>
    <row r="36567" spans="18:18" s="2" customFormat="1" ht="12.75" x14ac:dyDescent="0.2">
      <c r="R36567" s="1288"/>
    </row>
    <row r="36568" spans="18:18" s="2" customFormat="1" ht="12.75" x14ac:dyDescent="0.2">
      <c r="R36568" s="1288"/>
    </row>
    <row r="36569" spans="18:18" s="2" customFormat="1" ht="12.75" x14ac:dyDescent="0.2">
      <c r="R36569" s="1288"/>
    </row>
    <row r="36570" spans="18:18" s="2" customFormat="1" ht="12.75" x14ac:dyDescent="0.2">
      <c r="R36570" s="1288"/>
    </row>
    <row r="36571" spans="18:18" s="2" customFormat="1" ht="12.75" x14ac:dyDescent="0.2">
      <c r="R36571" s="1288"/>
    </row>
    <row r="36572" spans="18:18" s="2" customFormat="1" ht="12.75" x14ac:dyDescent="0.2">
      <c r="R36572" s="1288"/>
    </row>
    <row r="36573" spans="18:18" s="2" customFormat="1" ht="12.75" x14ac:dyDescent="0.2">
      <c r="R36573" s="1288"/>
    </row>
    <row r="36574" spans="18:18" s="2" customFormat="1" ht="12.75" x14ac:dyDescent="0.2">
      <c r="R36574" s="1288"/>
    </row>
    <row r="36575" spans="18:18" s="2" customFormat="1" ht="12.75" x14ac:dyDescent="0.2">
      <c r="R36575" s="1288"/>
    </row>
    <row r="36576" spans="18:18" s="2" customFormat="1" ht="12.75" x14ac:dyDescent="0.2">
      <c r="R36576" s="1288"/>
    </row>
    <row r="36577" spans="18:18" s="2" customFormat="1" ht="12.75" x14ac:dyDescent="0.2">
      <c r="R36577" s="1288"/>
    </row>
    <row r="36578" spans="18:18" s="2" customFormat="1" ht="12.75" x14ac:dyDescent="0.2">
      <c r="R36578" s="1288"/>
    </row>
    <row r="36579" spans="18:18" s="2" customFormat="1" ht="12.75" x14ac:dyDescent="0.2">
      <c r="R36579" s="1288"/>
    </row>
    <row r="36580" spans="18:18" s="2" customFormat="1" ht="12.75" x14ac:dyDescent="0.2">
      <c r="R36580" s="1288"/>
    </row>
    <row r="36581" spans="18:18" s="2" customFormat="1" ht="12.75" x14ac:dyDescent="0.2">
      <c r="R36581" s="1288"/>
    </row>
    <row r="36582" spans="18:18" s="2" customFormat="1" ht="12.75" x14ac:dyDescent="0.2">
      <c r="R36582" s="1288"/>
    </row>
    <row r="36583" spans="18:18" s="2" customFormat="1" ht="12.75" x14ac:dyDescent="0.2">
      <c r="R36583" s="1288"/>
    </row>
    <row r="36584" spans="18:18" s="2" customFormat="1" ht="12.75" x14ac:dyDescent="0.2">
      <c r="R36584" s="1288"/>
    </row>
    <row r="36585" spans="18:18" s="2" customFormat="1" ht="12.75" x14ac:dyDescent="0.2">
      <c r="R36585" s="1288"/>
    </row>
    <row r="36586" spans="18:18" s="2" customFormat="1" ht="12.75" x14ac:dyDescent="0.2">
      <c r="R36586" s="1288"/>
    </row>
    <row r="36587" spans="18:18" s="2" customFormat="1" ht="12.75" x14ac:dyDescent="0.2">
      <c r="R36587" s="1288"/>
    </row>
    <row r="36588" spans="18:18" s="2" customFormat="1" ht="12.75" x14ac:dyDescent="0.2">
      <c r="R36588" s="1288"/>
    </row>
    <row r="36589" spans="18:18" s="2" customFormat="1" ht="12.75" x14ac:dyDescent="0.2">
      <c r="R36589" s="1288"/>
    </row>
    <row r="36590" spans="18:18" s="2" customFormat="1" ht="12.75" x14ac:dyDescent="0.2">
      <c r="R36590" s="1288"/>
    </row>
    <row r="36591" spans="18:18" s="2" customFormat="1" ht="12.75" x14ac:dyDescent="0.2">
      <c r="R36591" s="1288"/>
    </row>
    <row r="36592" spans="18:18" s="2" customFormat="1" ht="12.75" x14ac:dyDescent="0.2">
      <c r="R36592" s="1288"/>
    </row>
    <row r="36593" spans="18:18" s="2" customFormat="1" ht="12.75" x14ac:dyDescent="0.2">
      <c r="R36593" s="1288"/>
    </row>
    <row r="36594" spans="18:18" s="2" customFormat="1" ht="12.75" x14ac:dyDescent="0.2">
      <c r="R36594" s="1288"/>
    </row>
    <row r="36595" spans="18:18" s="2" customFormat="1" ht="12.75" x14ac:dyDescent="0.2">
      <c r="R36595" s="1288"/>
    </row>
    <row r="36596" spans="18:18" s="2" customFormat="1" ht="12.75" x14ac:dyDescent="0.2">
      <c r="R36596" s="1288"/>
    </row>
    <row r="36597" spans="18:18" s="2" customFormat="1" ht="12.75" x14ac:dyDescent="0.2">
      <c r="R36597" s="1288"/>
    </row>
    <row r="36598" spans="18:18" s="2" customFormat="1" ht="12.75" x14ac:dyDescent="0.2">
      <c r="R36598" s="1288"/>
    </row>
    <row r="36599" spans="18:18" s="2" customFormat="1" ht="12.75" x14ac:dyDescent="0.2">
      <c r="R36599" s="1288"/>
    </row>
    <row r="36600" spans="18:18" s="2" customFormat="1" ht="12.75" x14ac:dyDescent="0.2">
      <c r="R36600" s="1288"/>
    </row>
    <row r="36601" spans="18:18" s="2" customFormat="1" ht="12.75" x14ac:dyDescent="0.2">
      <c r="R36601" s="1288"/>
    </row>
    <row r="36602" spans="18:18" s="2" customFormat="1" ht="12.75" x14ac:dyDescent="0.2">
      <c r="R36602" s="1288"/>
    </row>
    <row r="36603" spans="18:18" s="2" customFormat="1" ht="12.75" x14ac:dyDescent="0.2">
      <c r="R36603" s="1288"/>
    </row>
    <row r="36604" spans="18:18" s="2" customFormat="1" ht="12.75" x14ac:dyDescent="0.2">
      <c r="R36604" s="1288"/>
    </row>
    <row r="36605" spans="18:18" s="2" customFormat="1" ht="12.75" x14ac:dyDescent="0.2">
      <c r="R36605" s="1288"/>
    </row>
    <row r="36606" spans="18:18" s="2" customFormat="1" ht="12.75" x14ac:dyDescent="0.2">
      <c r="R36606" s="1288"/>
    </row>
    <row r="36607" spans="18:18" s="2" customFormat="1" ht="12.75" x14ac:dyDescent="0.2">
      <c r="R36607" s="1288"/>
    </row>
    <row r="36608" spans="18:18" s="2" customFormat="1" ht="12.75" x14ac:dyDescent="0.2">
      <c r="R36608" s="1288"/>
    </row>
    <row r="36609" spans="18:18" s="2" customFormat="1" ht="12.75" x14ac:dyDescent="0.2">
      <c r="R36609" s="1288"/>
    </row>
    <row r="36610" spans="18:18" s="2" customFormat="1" ht="12.75" x14ac:dyDescent="0.2">
      <c r="R36610" s="1288"/>
    </row>
    <row r="36611" spans="18:18" s="2" customFormat="1" ht="12.75" x14ac:dyDescent="0.2">
      <c r="R36611" s="1288"/>
    </row>
    <row r="36612" spans="18:18" s="2" customFormat="1" ht="12.75" x14ac:dyDescent="0.2">
      <c r="R36612" s="1288"/>
    </row>
    <row r="36613" spans="18:18" s="2" customFormat="1" ht="12.75" x14ac:dyDescent="0.2">
      <c r="R36613" s="1288"/>
    </row>
    <row r="36614" spans="18:18" s="2" customFormat="1" ht="12.75" x14ac:dyDescent="0.2">
      <c r="R36614" s="1288"/>
    </row>
    <row r="36615" spans="18:18" s="2" customFormat="1" ht="12.75" x14ac:dyDescent="0.2">
      <c r="R36615" s="1288"/>
    </row>
    <row r="36616" spans="18:18" s="2" customFormat="1" ht="12.75" x14ac:dyDescent="0.2">
      <c r="R36616" s="1288"/>
    </row>
    <row r="36617" spans="18:18" s="2" customFormat="1" ht="12.75" x14ac:dyDescent="0.2">
      <c r="R36617" s="1288"/>
    </row>
    <row r="36618" spans="18:18" s="2" customFormat="1" ht="12.75" x14ac:dyDescent="0.2">
      <c r="R36618" s="1288"/>
    </row>
    <row r="36619" spans="18:18" s="2" customFormat="1" ht="12.75" x14ac:dyDescent="0.2">
      <c r="R36619" s="1288"/>
    </row>
    <row r="36620" spans="18:18" s="2" customFormat="1" ht="12.75" x14ac:dyDescent="0.2">
      <c r="R36620" s="1288"/>
    </row>
    <row r="36621" spans="18:18" s="2" customFormat="1" ht="12.75" x14ac:dyDescent="0.2">
      <c r="R36621" s="1288"/>
    </row>
    <row r="36622" spans="18:18" s="2" customFormat="1" ht="12.75" x14ac:dyDescent="0.2">
      <c r="R36622" s="1288"/>
    </row>
    <row r="36623" spans="18:18" s="2" customFormat="1" ht="12.75" x14ac:dyDescent="0.2">
      <c r="R36623" s="1288"/>
    </row>
    <row r="36624" spans="18:18" s="2" customFormat="1" ht="12.75" x14ac:dyDescent="0.2">
      <c r="R36624" s="1288"/>
    </row>
    <row r="36625" spans="18:18" s="2" customFormat="1" ht="12.75" x14ac:dyDescent="0.2">
      <c r="R36625" s="1288"/>
    </row>
    <row r="36626" spans="18:18" s="2" customFormat="1" ht="12.75" x14ac:dyDescent="0.2">
      <c r="R36626" s="1288"/>
    </row>
    <row r="36627" spans="18:18" s="2" customFormat="1" ht="12.75" x14ac:dyDescent="0.2">
      <c r="R36627" s="1288"/>
    </row>
    <row r="36628" spans="18:18" s="2" customFormat="1" ht="12.75" x14ac:dyDescent="0.2">
      <c r="R36628" s="1288"/>
    </row>
    <row r="36629" spans="18:18" s="2" customFormat="1" ht="12.75" x14ac:dyDescent="0.2">
      <c r="R36629" s="1288"/>
    </row>
    <row r="36630" spans="18:18" s="2" customFormat="1" ht="12.75" x14ac:dyDescent="0.2">
      <c r="R36630" s="1288"/>
    </row>
    <row r="36631" spans="18:18" s="2" customFormat="1" ht="12.75" x14ac:dyDescent="0.2">
      <c r="R36631" s="1288"/>
    </row>
    <row r="36632" spans="18:18" s="2" customFormat="1" ht="12.75" x14ac:dyDescent="0.2">
      <c r="R36632" s="1288"/>
    </row>
    <row r="36633" spans="18:18" s="2" customFormat="1" ht="12.75" x14ac:dyDescent="0.2">
      <c r="R36633" s="1288"/>
    </row>
    <row r="36634" spans="18:18" s="2" customFormat="1" ht="12.75" x14ac:dyDescent="0.2">
      <c r="R36634" s="1288"/>
    </row>
    <row r="36635" spans="18:18" s="2" customFormat="1" ht="12.75" x14ac:dyDescent="0.2">
      <c r="R36635" s="1288"/>
    </row>
    <row r="36636" spans="18:18" s="2" customFormat="1" ht="12.75" x14ac:dyDescent="0.2">
      <c r="R36636" s="1288"/>
    </row>
    <row r="36637" spans="18:18" s="2" customFormat="1" ht="12.75" x14ac:dyDescent="0.2">
      <c r="R36637" s="1288"/>
    </row>
    <row r="36638" spans="18:18" s="2" customFormat="1" ht="12.75" x14ac:dyDescent="0.2">
      <c r="R36638" s="1288"/>
    </row>
    <row r="36639" spans="18:18" s="2" customFormat="1" ht="12.75" x14ac:dyDescent="0.2">
      <c r="R36639" s="1288"/>
    </row>
    <row r="36640" spans="18:18" s="2" customFormat="1" ht="12.75" x14ac:dyDescent="0.2">
      <c r="R36640" s="1288"/>
    </row>
    <row r="36641" spans="18:18" s="2" customFormat="1" ht="12.75" x14ac:dyDescent="0.2">
      <c r="R36641" s="1288"/>
    </row>
    <row r="36642" spans="18:18" s="2" customFormat="1" ht="12.75" x14ac:dyDescent="0.2">
      <c r="R36642" s="1288"/>
    </row>
    <row r="36643" spans="18:18" s="2" customFormat="1" ht="12.75" x14ac:dyDescent="0.2">
      <c r="R36643" s="1288"/>
    </row>
    <row r="36644" spans="18:18" s="2" customFormat="1" ht="12.75" x14ac:dyDescent="0.2">
      <c r="R36644" s="1288"/>
    </row>
    <row r="36645" spans="18:18" s="2" customFormat="1" ht="12.75" x14ac:dyDescent="0.2">
      <c r="R36645" s="1288"/>
    </row>
    <row r="36646" spans="18:18" s="2" customFormat="1" ht="12.75" x14ac:dyDescent="0.2">
      <c r="R36646" s="1288"/>
    </row>
    <row r="36647" spans="18:18" s="2" customFormat="1" ht="12.75" x14ac:dyDescent="0.2">
      <c r="R36647" s="1288"/>
    </row>
    <row r="36648" spans="18:18" s="2" customFormat="1" ht="12.75" x14ac:dyDescent="0.2">
      <c r="R36648" s="1288"/>
    </row>
    <row r="36649" spans="18:18" s="2" customFormat="1" ht="12.75" x14ac:dyDescent="0.2">
      <c r="R36649" s="1288"/>
    </row>
    <row r="36650" spans="18:18" s="2" customFormat="1" ht="12.75" x14ac:dyDescent="0.2">
      <c r="R36650" s="1288"/>
    </row>
    <row r="36651" spans="18:18" s="2" customFormat="1" ht="12.75" x14ac:dyDescent="0.2">
      <c r="R36651" s="1288"/>
    </row>
    <row r="36652" spans="18:18" s="2" customFormat="1" ht="12.75" x14ac:dyDescent="0.2">
      <c r="R36652" s="1288"/>
    </row>
    <row r="36653" spans="18:18" s="2" customFormat="1" ht="12.75" x14ac:dyDescent="0.2">
      <c r="R36653" s="1288"/>
    </row>
    <row r="36654" spans="18:18" s="2" customFormat="1" ht="12.75" x14ac:dyDescent="0.2">
      <c r="R36654" s="1288"/>
    </row>
    <row r="36655" spans="18:18" s="2" customFormat="1" ht="12.75" x14ac:dyDescent="0.2">
      <c r="R36655" s="1288"/>
    </row>
    <row r="36656" spans="18:18" s="2" customFormat="1" ht="12.75" x14ac:dyDescent="0.2">
      <c r="R36656" s="1288"/>
    </row>
    <row r="36657" spans="18:18" s="2" customFormat="1" ht="12.75" x14ac:dyDescent="0.2">
      <c r="R36657" s="1288"/>
    </row>
    <row r="36658" spans="18:18" s="2" customFormat="1" ht="12.75" x14ac:dyDescent="0.2">
      <c r="R36658" s="1288"/>
    </row>
    <row r="36659" spans="18:18" s="2" customFormat="1" ht="12.75" x14ac:dyDescent="0.2">
      <c r="R36659" s="1288"/>
    </row>
    <row r="36660" spans="18:18" s="2" customFormat="1" ht="12.75" x14ac:dyDescent="0.2">
      <c r="R36660" s="1288"/>
    </row>
    <row r="36661" spans="18:18" s="2" customFormat="1" ht="12.75" x14ac:dyDescent="0.2">
      <c r="R36661" s="1288"/>
    </row>
    <row r="36662" spans="18:18" s="2" customFormat="1" ht="12.75" x14ac:dyDescent="0.2">
      <c r="R36662" s="1288"/>
    </row>
    <row r="36663" spans="18:18" s="2" customFormat="1" ht="12.75" x14ac:dyDescent="0.2">
      <c r="R36663" s="1288"/>
    </row>
    <row r="36664" spans="18:18" s="2" customFormat="1" ht="12.75" x14ac:dyDescent="0.2">
      <c r="R36664" s="1288"/>
    </row>
    <row r="36665" spans="18:18" s="2" customFormat="1" ht="12.75" x14ac:dyDescent="0.2">
      <c r="R36665" s="1288"/>
    </row>
    <row r="36666" spans="18:18" s="2" customFormat="1" ht="12.75" x14ac:dyDescent="0.2">
      <c r="R36666" s="1288"/>
    </row>
    <row r="36667" spans="18:18" s="2" customFormat="1" ht="12.75" x14ac:dyDescent="0.2">
      <c r="R36667" s="1288"/>
    </row>
    <row r="36668" spans="18:18" s="2" customFormat="1" ht="12.75" x14ac:dyDescent="0.2">
      <c r="R36668" s="1288"/>
    </row>
    <row r="36669" spans="18:18" s="2" customFormat="1" ht="12.75" x14ac:dyDescent="0.2">
      <c r="R36669" s="1288"/>
    </row>
    <row r="36670" spans="18:18" s="2" customFormat="1" ht="12.75" x14ac:dyDescent="0.2">
      <c r="R36670" s="1288"/>
    </row>
    <row r="36671" spans="18:18" s="2" customFormat="1" ht="12.75" x14ac:dyDescent="0.2">
      <c r="R36671" s="1288"/>
    </row>
    <row r="36672" spans="18:18" s="2" customFormat="1" ht="12.75" x14ac:dyDescent="0.2">
      <c r="R36672" s="1288"/>
    </row>
    <row r="36673" spans="18:18" s="2" customFormat="1" ht="12.75" x14ac:dyDescent="0.2">
      <c r="R36673" s="1288"/>
    </row>
    <row r="36674" spans="18:18" s="2" customFormat="1" ht="12.75" x14ac:dyDescent="0.2">
      <c r="R36674" s="1288"/>
    </row>
    <row r="36675" spans="18:18" s="2" customFormat="1" ht="12.75" x14ac:dyDescent="0.2">
      <c r="R36675" s="1288"/>
    </row>
    <row r="36676" spans="18:18" s="2" customFormat="1" ht="12.75" x14ac:dyDescent="0.2">
      <c r="R36676" s="1288"/>
    </row>
    <row r="36677" spans="18:18" s="2" customFormat="1" ht="12.75" x14ac:dyDescent="0.2">
      <c r="R36677" s="1288"/>
    </row>
    <row r="36678" spans="18:18" s="2" customFormat="1" ht="12.75" x14ac:dyDescent="0.2">
      <c r="R36678" s="1288"/>
    </row>
    <row r="36679" spans="18:18" s="2" customFormat="1" ht="12.75" x14ac:dyDescent="0.2">
      <c r="R36679" s="1288"/>
    </row>
    <row r="36680" spans="18:18" s="2" customFormat="1" ht="12.75" x14ac:dyDescent="0.2">
      <c r="R36680" s="1288"/>
    </row>
    <row r="36681" spans="18:18" s="2" customFormat="1" ht="12.75" x14ac:dyDescent="0.2">
      <c r="R36681" s="1288"/>
    </row>
    <row r="36682" spans="18:18" s="2" customFormat="1" ht="12.75" x14ac:dyDescent="0.2">
      <c r="R36682" s="1288"/>
    </row>
    <row r="36683" spans="18:18" s="2" customFormat="1" ht="12.75" x14ac:dyDescent="0.2">
      <c r="R36683" s="1288"/>
    </row>
    <row r="36684" spans="18:18" s="2" customFormat="1" ht="12.75" x14ac:dyDescent="0.2">
      <c r="R36684" s="1288"/>
    </row>
    <row r="36685" spans="18:18" s="2" customFormat="1" ht="12.75" x14ac:dyDescent="0.2">
      <c r="R36685" s="1288"/>
    </row>
    <row r="36686" spans="18:18" s="2" customFormat="1" ht="12.75" x14ac:dyDescent="0.2">
      <c r="R36686" s="1288"/>
    </row>
    <row r="36687" spans="18:18" s="2" customFormat="1" ht="12.75" x14ac:dyDescent="0.2">
      <c r="R36687" s="1288"/>
    </row>
    <row r="36688" spans="18:18" s="2" customFormat="1" ht="12.75" x14ac:dyDescent="0.2">
      <c r="R36688" s="1288"/>
    </row>
    <row r="36689" spans="18:18" s="2" customFormat="1" ht="12.75" x14ac:dyDescent="0.2">
      <c r="R36689" s="1288"/>
    </row>
    <row r="36690" spans="18:18" s="2" customFormat="1" ht="12.75" x14ac:dyDescent="0.2">
      <c r="R36690" s="1288"/>
    </row>
    <row r="36691" spans="18:18" s="2" customFormat="1" ht="12.75" x14ac:dyDescent="0.2">
      <c r="R36691" s="1288"/>
    </row>
    <row r="36692" spans="18:18" s="2" customFormat="1" ht="12.75" x14ac:dyDescent="0.2">
      <c r="R36692" s="1288"/>
    </row>
    <row r="36693" spans="18:18" s="2" customFormat="1" ht="12.75" x14ac:dyDescent="0.2">
      <c r="R36693" s="1288"/>
    </row>
    <row r="36694" spans="18:18" s="2" customFormat="1" ht="12.75" x14ac:dyDescent="0.2">
      <c r="R36694" s="1288"/>
    </row>
    <row r="36695" spans="18:18" s="2" customFormat="1" ht="12.75" x14ac:dyDescent="0.2">
      <c r="R36695" s="1288"/>
    </row>
    <row r="36696" spans="18:18" s="2" customFormat="1" ht="12.75" x14ac:dyDescent="0.2">
      <c r="R36696" s="1288"/>
    </row>
    <row r="36697" spans="18:18" s="2" customFormat="1" ht="12.75" x14ac:dyDescent="0.2">
      <c r="R36697" s="1288"/>
    </row>
    <row r="36698" spans="18:18" s="2" customFormat="1" ht="12.75" x14ac:dyDescent="0.2">
      <c r="R36698" s="1288"/>
    </row>
    <row r="36699" spans="18:18" s="2" customFormat="1" ht="12.75" x14ac:dyDescent="0.2">
      <c r="R36699" s="1288"/>
    </row>
    <row r="36700" spans="18:18" s="2" customFormat="1" ht="12.75" x14ac:dyDescent="0.2">
      <c r="R36700" s="1288"/>
    </row>
    <row r="36701" spans="18:18" s="2" customFormat="1" ht="12.75" x14ac:dyDescent="0.2">
      <c r="R36701" s="1288"/>
    </row>
    <row r="36702" spans="18:18" s="2" customFormat="1" ht="12.75" x14ac:dyDescent="0.2">
      <c r="R36702" s="1288"/>
    </row>
    <row r="36703" spans="18:18" s="2" customFormat="1" ht="12.75" x14ac:dyDescent="0.2">
      <c r="R36703" s="1288"/>
    </row>
    <row r="36704" spans="18:18" s="2" customFormat="1" ht="12.75" x14ac:dyDescent="0.2">
      <c r="R36704" s="1288"/>
    </row>
    <row r="36705" spans="18:18" s="2" customFormat="1" ht="12.75" x14ac:dyDescent="0.2">
      <c r="R36705" s="1288"/>
    </row>
    <row r="36706" spans="18:18" s="2" customFormat="1" ht="12.75" x14ac:dyDescent="0.2">
      <c r="R36706" s="1288"/>
    </row>
    <row r="36707" spans="18:18" s="2" customFormat="1" ht="12.75" x14ac:dyDescent="0.2">
      <c r="R36707" s="1288"/>
    </row>
    <row r="36708" spans="18:18" s="2" customFormat="1" ht="12.75" x14ac:dyDescent="0.2">
      <c r="R36708" s="1288"/>
    </row>
    <row r="36709" spans="18:18" s="2" customFormat="1" ht="12.75" x14ac:dyDescent="0.2">
      <c r="R36709" s="1288"/>
    </row>
    <row r="36710" spans="18:18" s="2" customFormat="1" ht="12.75" x14ac:dyDescent="0.2">
      <c r="R36710" s="1288"/>
    </row>
    <row r="36711" spans="18:18" s="2" customFormat="1" ht="12.75" x14ac:dyDescent="0.2">
      <c r="R36711" s="1288"/>
    </row>
    <row r="36712" spans="18:18" s="2" customFormat="1" ht="12.75" x14ac:dyDescent="0.2">
      <c r="R36712" s="1288"/>
    </row>
    <row r="36713" spans="18:18" s="2" customFormat="1" ht="12.75" x14ac:dyDescent="0.2">
      <c r="R36713" s="1288"/>
    </row>
    <row r="36714" spans="18:18" s="2" customFormat="1" ht="12.75" x14ac:dyDescent="0.2">
      <c r="R36714" s="1288"/>
    </row>
    <row r="36715" spans="18:18" s="2" customFormat="1" ht="12.75" x14ac:dyDescent="0.2">
      <c r="R36715" s="1288"/>
    </row>
    <row r="36716" spans="18:18" s="2" customFormat="1" ht="12.75" x14ac:dyDescent="0.2">
      <c r="R36716" s="1288"/>
    </row>
    <row r="36717" spans="18:18" s="2" customFormat="1" ht="12.75" x14ac:dyDescent="0.2">
      <c r="R36717" s="1288"/>
    </row>
    <row r="36718" spans="18:18" s="2" customFormat="1" ht="12.75" x14ac:dyDescent="0.2">
      <c r="R36718" s="1288"/>
    </row>
    <row r="36719" spans="18:18" s="2" customFormat="1" ht="12.75" x14ac:dyDescent="0.2">
      <c r="R36719" s="1288"/>
    </row>
    <row r="36720" spans="18:18" s="2" customFormat="1" ht="12.75" x14ac:dyDescent="0.2">
      <c r="R36720" s="1288"/>
    </row>
    <row r="36721" spans="18:18" s="2" customFormat="1" ht="12.75" x14ac:dyDescent="0.2">
      <c r="R36721" s="1288"/>
    </row>
    <row r="36722" spans="18:18" s="2" customFormat="1" ht="12.75" x14ac:dyDescent="0.2">
      <c r="R36722" s="1288"/>
    </row>
    <row r="36723" spans="18:18" s="2" customFormat="1" ht="12.75" x14ac:dyDescent="0.2">
      <c r="R36723" s="1288"/>
    </row>
    <row r="36724" spans="18:18" s="2" customFormat="1" ht="12.75" x14ac:dyDescent="0.2">
      <c r="R36724" s="1288"/>
    </row>
    <row r="36725" spans="18:18" s="2" customFormat="1" ht="12.75" x14ac:dyDescent="0.2">
      <c r="R36725" s="1288"/>
    </row>
    <row r="36726" spans="18:18" s="2" customFormat="1" ht="12.75" x14ac:dyDescent="0.2">
      <c r="R36726" s="1288"/>
    </row>
    <row r="36727" spans="18:18" s="2" customFormat="1" ht="12.75" x14ac:dyDescent="0.2">
      <c r="R36727" s="1288"/>
    </row>
    <row r="36728" spans="18:18" s="2" customFormat="1" ht="12.75" x14ac:dyDescent="0.2">
      <c r="R36728" s="1288"/>
    </row>
    <row r="36729" spans="18:18" s="2" customFormat="1" ht="12.75" x14ac:dyDescent="0.2">
      <c r="R36729" s="1288"/>
    </row>
    <row r="36730" spans="18:18" s="2" customFormat="1" ht="12.75" x14ac:dyDescent="0.2">
      <c r="R36730" s="1288"/>
    </row>
    <row r="36731" spans="18:18" s="2" customFormat="1" ht="12.75" x14ac:dyDescent="0.2">
      <c r="R36731" s="1288"/>
    </row>
    <row r="36732" spans="18:18" s="2" customFormat="1" ht="12.75" x14ac:dyDescent="0.2">
      <c r="R36732" s="1288"/>
    </row>
    <row r="36733" spans="18:18" s="2" customFormat="1" ht="12.75" x14ac:dyDescent="0.2">
      <c r="R36733" s="1288"/>
    </row>
    <row r="36734" spans="18:18" s="2" customFormat="1" ht="12.75" x14ac:dyDescent="0.2">
      <c r="R36734" s="1288"/>
    </row>
    <row r="36735" spans="18:18" s="2" customFormat="1" ht="12.75" x14ac:dyDescent="0.2">
      <c r="R36735" s="1288"/>
    </row>
    <row r="36736" spans="18:18" s="2" customFormat="1" ht="12.75" x14ac:dyDescent="0.2">
      <c r="R36736" s="1288"/>
    </row>
    <row r="36737" spans="18:18" s="2" customFormat="1" ht="12.75" x14ac:dyDescent="0.2">
      <c r="R36737" s="1288"/>
    </row>
    <row r="36738" spans="18:18" s="2" customFormat="1" ht="12.75" x14ac:dyDescent="0.2">
      <c r="R36738" s="1288"/>
    </row>
    <row r="36739" spans="18:18" s="2" customFormat="1" ht="12.75" x14ac:dyDescent="0.2">
      <c r="R36739" s="1288"/>
    </row>
    <row r="36740" spans="18:18" s="2" customFormat="1" ht="12.75" x14ac:dyDescent="0.2">
      <c r="R36740" s="1288"/>
    </row>
    <row r="36741" spans="18:18" s="2" customFormat="1" ht="12.75" x14ac:dyDescent="0.2">
      <c r="R36741" s="1288"/>
    </row>
    <row r="36742" spans="18:18" s="2" customFormat="1" ht="12.75" x14ac:dyDescent="0.2">
      <c r="R36742" s="1288"/>
    </row>
    <row r="36743" spans="18:18" s="2" customFormat="1" ht="12.75" x14ac:dyDescent="0.2">
      <c r="R36743" s="1288"/>
    </row>
    <row r="36744" spans="18:18" s="2" customFormat="1" ht="12.75" x14ac:dyDescent="0.2">
      <c r="R36744" s="1288"/>
    </row>
    <row r="36745" spans="18:18" s="2" customFormat="1" ht="12.75" x14ac:dyDescent="0.2">
      <c r="R36745" s="1288"/>
    </row>
    <row r="36746" spans="18:18" s="2" customFormat="1" ht="12.75" x14ac:dyDescent="0.2">
      <c r="R36746" s="1288"/>
    </row>
    <row r="36747" spans="18:18" s="2" customFormat="1" ht="12.75" x14ac:dyDescent="0.2">
      <c r="R36747" s="1288"/>
    </row>
    <row r="36748" spans="18:18" s="2" customFormat="1" ht="12.75" x14ac:dyDescent="0.2">
      <c r="R36748" s="1288"/>
    </row>
    <row r="36749" spans="18:18" s="2" customFormat="1" ht="12.75" x14ac:dyDescent="0.2">
      <c r="R36749" s="1288"/>
    </row>
    <row r="36750" spans="18:18" s="2" customFormat="1" ht="12.75" x14ac:dyDescent="0.2">
      <c r="R36750" s="1288"/>
    </row>
    <row r="36751" spans="18:18" s="2" customFormat="1" ht="12.75" x14ac:dyDescent="0.2">
      <c r="R36751" s="1288"/>
    </row>
    <row r="36752" spans="18:18" s="2" customFormat="1" ht="12.75" x14ac:dyDescent="0.2">
      <c r="R36752" s="1288"/>
    </row>
    <row r="36753" spans="18:18" s="2" customFormat="1" ht="12.75" x14ac:dyDescent="0.2">
      <c r="R36753" s="1288"/>
    </row>
    <row r="36754" spans="18:18" s="2" customFormat="1" ht="12.75" x14ac:dyDescent="0.2">
      <c r="R36754" s="1288"/>
    </row>
    <row r="36755" spans="18:18" s="2" customFormat="1" ht="12.75" x14ac:dyDescent="0.2">
      <c r="R36755" s="1288"/>
    </row>
    <row r="36756" spans="18:18" s="2" customFormat="1" ht="12.75" x14ac:dyDescent="0.2">
      <c r="R36756" s="1288"/>
    </row>
    <row r="36757" spans="18:18" s="2" customFormat="1" ht="12.75" x14ac:dyDescent="0.2">
      <c r="R36757" s="1288"/>
    </row>
    <row r="36758" spans="18:18" s="2" customFormat="1" ht="12.75" x14ac:dyDescent="0.2">
      <c r="R36758" s="1288"/>
    </row>
    <row r="36759" spans="18:18" s="2" customFormat="1" ht="12.75" x14ac:dyDescent="0.2">
      <c r="R36759" s="1288"/>
    </row>
    <row r="36760" spans="18:18" s="2" customFormat="1" ht="12.75" x14ac:dyDescent="0.2">
      <c r="R36760" s="1288"/>
    </row>
    <row r="36761" spans="18:18" s="2" customFormat="1" ht="12.75" x14ac:dyDescent="0.2">
      <c r="R36761" s="1288"/>
    </row>
    <row r="36762" spans="18:18" s="2" customFormat="1" ht="12.75" x14ac:dyDescent="0.2">
      <c r="R36762" s="1288"/>
    </row>
    <row r="36763" spans="18:18" s="2" customFormat="1" ht="12.75" x14ac:dyDescent="0.2">
      <c r="R36763" s="1288"/>
    </row>
    <row r="36764" spans="18:18" s="2" customFormat="1" ht="12.75" x14ac:dyDescent="0.2">
      <c r="R36764" s="1288"/>
    </row>
    <row r="36765" spans="18:18" s="2" customFormat="1" ht="12.75" x14ac:dyDescent="0.2">
      <c r="R36765" s="1288"/>
    </row>
    <row r="36766" spans="18:18" s="2" customFormat="1" ht="12.75" x14ac:dyDescent="0.2">
      <c r="R36766" s="1288"/>
    </row>
    <row r="36767" spans="18:18" s="2" customFormat="1" ht="12.75" x14ac:dyDescent="0.2">
      <c r="R36767" s="1288"/>
    </row>
    <row r="36768" spans="18:18" s="2" customFormat="1" ht="12.75" x14ac:dyDescent="0.2">
      <c r="R36768" s="1288"/>
    </row>
    <row r="36769" spans="18:18" s="2" customFormat="1" ht="12.75" x14ac:dyDescent="0.2">
      <c r="R36769" s="1288"/>
    </row>
    <row r="36770" spans="18:18" s="2" customFormat="1" ht="12.75" x14ac:dyDescent="0.2">
      <c r="R36770" s="1288"/>
    </row>
    <row r="36771" spans="18:18" s="2" customFormat="1" ht="12.75" x14ac:dyDescent="0.2">
      <c r="R36771" s="1288"/>
    </row>
    <row r="36772" spans="18:18" s="2" customFormat="1" ht="12.75" x14ac:dyDescent="0.2">
      <c r="R36772" s="1288"/>
    </row>
    <row r="36773" spans="18:18" s="2" customFormat="1" ht="12.75" x14ac:dyDescent="0.2">
      <c r="R36773" s="1288"/>
    </row>
    <row r="36774" spans="18:18" s="2" customFormat="1" ht="12.75" x14ac:dyDescent="0.2">
      <c r="R36774" s="1288"/>
    </row>
    <row r="36775" spans="18:18" s="2" customFormat="1" ht="12.75" x14ac:dyDescent="0.2">
      <c r="R36775" s="1288"/>
    </row>
    <row r="36776" spans="18:18" s="2" customFormat="1" ht="12.75" x14ac:dyDescent="0.2">
      <c r="R36776" s="1288"/>
    </row>
    <row r="36777" spans="18:18" s="2" customFormat="1" ht="12.75" x14ac:dyDescent="0.2">
      <c r="R36777" s="1288"/>
    </row>
    <row r="36778" spans="18:18" s="2" customFormat="1" ht="12.75" x14ac:dyDescent="0.2">
      <c r="R36778" s="1288"/>
    </row>
    <row r="36779" spans="18:18" s="2" customFormat="1" ht="12.75" x14ac:dyDescent="0.2">
      <c r="R36779" s="1288"/>
    </row>
    <row r="36780" spans="18:18" s="2" customFormat="1" ht="12.75" x14ac:dyDescent="0.2">
      <c r="R36780" s="1288"/>
    </row>
    <row r="36781" spans="18:18" s="2" customFormat="1" ht="12.75" x14ac:dyDescent="0.2">
      <c r="R36781" s="1288"/>
    </row>
    <row r="36782" spans="18:18" s="2" customFormat="1" ht="12.75" x14ac:dyDescent="0.2">
      <c r="R36782" s="1288"/>
    </row>
    <row r="36783" spans="18:18" s="2" customFormat="1" ht="12.75" x14ac:dyDescent="0.2">
      <c r="R36783" s="1288"/>
    </row>
    <row r="36784" spans="18:18" s="2" customFormat="1" ht="12.75" x14ac:dyDescent="0.2">
      <c r="R36784" s="1288"/>
    </row>
    <row r="36785" spans="18:18" s="2" customFormat="1" ht="12.75" x14ac:dyDescent="0.2">
      <c r="R36785" s="1288"/>
    </row>
    <row r="36786" spans="18:18" s="2" customFormat="1" ht="12.75" x14ac:dyDescent="0.2">
      <c r="R36786" s="1288"/>
    </row>
    <row r="36787" spans="18:18" s="2" customFormat="1" ht="12.75" x14ac:dyDescent="0.2">
      <c r="R36787" s="1288"/>
    </row>
    <row r="36788" spans="18:18" s="2" customFormat="1" ht="12.75" x14ac:dyDescent="0.2">
      <c r="R36788" s="1288"/>
    </row>
    <row r="36789" spans="18:18" s="2" customFormat="1" ht="12.75" x14ac:dyDescent="0.2">
      <c r="R36789" s="1288"/>
    </row>
    <row r="36790" spans="18:18" s="2" customFormat="1" ht="12.75" x14ac:dyDescent="0.2">
      <c r="R36790" s="1288"/>
    </row>
    <row r="36791" spans="18:18" s="2" customFormat="1" ht="12.75" x14ac:dyDescent="0.2">
      <c r="R36791" s="1288"/>
    </row>
    <row r="36792" spans="18:18" s="2" customFormat="1" ht="12.75" x14ac:dyDescent="0.2">
      <c r="R36792" s="1288"/>
    </row>
    <row r="36793" spans="18:18" s="2" customFormat="1" ht="12.75" x14ac:dyDescent="0.2">
      <c r="R36793" s="1288"/>
    </row>
    <row r="36794" spans="18:18" s="2" customFormat="1" ht="12.75" x14ac:dyDescent="0.2">
      <c r="R36794" s="1288"/>
    </row>
    <row r="36795" spans="18:18" s="2" customFormat="1" ht="12.75" x14ac:dyDescent="0.2">
      <c r="R36795" s="1288"/>
    </row>
    <row r="36796" spans="18:18" s="2" customFormat="1" ht="12.75" x14ac:dyDescent="0.2">
      <c r="R36796" s="1288"/>
    </row>
    <row r="36797" spans="18:18" s="2" customFormat="1" ht="12.75" x14ac:dyDescent="0.2">
      <c r="R36797" s="1288"/>
    </row>
    <row r="36798" spans="18:18" s="2" customFormat="1" ht="12.75" x14ac:dyDescent="0.2">
      <c r="R36798" s="1288"/>
    </row>
    <row r="36799" spans="18:18" s="2" customFormat="1" ht="12.75" x14ac:dyDescent="0.2">
      <c r="R36799" s="1288"/>
    </row>
    <row r="36800" spans="18:18" s="2" customFormat="1" ht="12.75" x14ac:dyDescent="0.2">
      <c r="R36800" s="1288"/>
    </row>
    <row r="36801" spans="18:18" s="2" customFormat="1" ht="12.75" x14ac:dyDescent="0.2">
      <c r="R36801" s="1288"/>
    </row>
    <row r="36802" spans="18:18" s="2" customFormat="1" ht="12.75" x14ac:dyDescent="0.2">
      <c r="R36802" s="1288"/>
    </row>
    <row r="36803" spans="18:18" s="2" customFormat="1" ht="12.75" x14ac:dyDescent="0.2">
      <c r="R36803" s="1288"/>
    </row>
    <row r="36804" spans="18:18" s="2" customFormat="1" ht="12.75" x14ac:dyDescent="0.2">
      <c r="R36804" s="1288"/>
    </row>
    <row r="36805" spans="18:18" s="2" customFormat="1" ht="12.75" x14ac:dyDescent="0.2">
      <c r="R36805" s="1288"/>
    </row>
    <row r="36806" spans="18:18" s="2" customFormat="1" ht="12.75" x14ac:dyDescent="0.2">
      <c r="R36806" s="1288"/>
    </row>
    <row r="36807" spans="18:18" s="2" customFormat="1" ht="12.75" x14ac:dyDescent="0.2">
      <c r="R36807" s="1288"/>
    </row>
    <row r="36808" spans="18:18" s="2" customFormat="1" ht="12.75" x14ac:dyDescent="0.2">
      <c r="R36808" s="1288"/>
    </row>
    <row r="36809" spans="18:18" s="2" customFormat="1" ht="12.75" x14ac:dyDescent="0.2">
      <c r="R36809" s="1288"/>
    </row>
    <row r="36810" spans="18:18" s="2" customFormat="1" ht="12.75" x14ac:dyDescent="0.2">
      <c r="R36810" s="1288"/>
    </row>
    <row r="36811" spans="18:18" s="2" customFormat="1" ht="12.75" x14ac:dyDescent="0.2">
      <c r="R36811" s="1288"/>
    </row>
    <row r="36812" spans="18:18" s="2" customFormat="1" ht="12.75" x14ac:dyDescent="0.2">
      <c r="R36812" s="1288"/>
    </row>
    <row r="36813" spans="18:18" s="2" customFormat="1" ht="12.75" x14ac:dyDescent="0.2">
      <c r="R36813" s="1288"/>
    </row>
    <row r="36814" spans="18:18" s="2" customFormat="1" ht="12.75" x14ac:dyDescent="0.2">
      <c r="R36814" s="1288"/>
    </row>
    <row r="36815" spans="18:18" s="2" customFormat="1" ht="12.75" x14ac:dyDescent="0.2">
      <c r="R36815" s="1288"/>
    </row>
    <row r="36816" spans="18:18" s="2" customFormat="1" ht="12.75" x14ac:dyDescent="0.2">
      <c r="R36816" s="1288"/>
    </row>
    <row r="36817" spans="18:18" s="2" customFormat="1" ht="12.75" x14ac:dyDescent="0.2">
      <c r="R36817" s="1288"/>
    </row>
    <row r="36818" spans="18:18" s="2" customFormat="1" ht="12.75" x14ac:dyDescent="0.2">
      <c r="R36818" s="1288"/>
    </row>
    <row r="36819" spans="18:18" s="2" customFormat="1" ht="12.75" x14ac:dyDescent="0.2">
      <c r="R36819" s="1288"/>
    </row>
    <row r="36820" spans="18:18" s="2" customFormat="1" ht="12.75" x14ac:dyDescent="0.2">
      <c r="R36820" s="1288"/>
    </row>
    <row r="36821" spans="18:18" s="2" customFormat="1" ht="12.75" x14ac:dyDescent="0.2">
      <c r="R36821" s="1288"/>
    </row>
    <row r="36822" spans="18:18" s="2" customFormat="1" ht="12.75" x14ac:dyDescent="0.2">
      <c r="R36822" s="1288"/>
    </row>
    <row r="36823" spans="18:18" s="2" customFormat="1" ht="12.75" x14ac:dyDescent="0.2">
      <c r="R36823" s="1288"/>
    </row>
    <row r="36824" spans="18:18" s="2" customFormat="1" ht="12.75" x14ac:dyDescent="0.2">
      <c r="R36824" s="1288"/>
    </row>
    <row r="36825" spans="18:18" s="2" customFormat="1" ht="12.75" x14ac:dyDescent="0.2">
      <c r="R36825" s="1288"/>
    </row>
    <row r="36826" spans="18:18" s="2" customFormat="1" ht="12.75" x14ac:dyDescent="0.2">
      <c r="R36826" s="1288"/>
    </row>
    <row r="36827" spans="18:18" s="2" customFormat="1" ht="12.75" x14ac:dyDescent="0.2">
      <c r="R36827" s="1288"/>
    </row>
    <row r="36828" spans="18:18" s="2" customFormat="1" ht="12.75" x14ac:dyDescent="0.2">
      <c r="R36828" s="1288"/>
    </row>
    <row r="36829" spans="18:18" s="2" customFormat="1" ht="12.75" x14ac:dyDescent="0.2">
      <c r="R36829" s="1288"/>
    </row>
    <row r="36830" spans="18:18" s="2" customFormat="1" ht="12.75" x14ac:dyDescent="0.2">
      <c r="R36830" s="1288"/>
    </row>
    <row r="36831" spans="18:18" s="2" customFormat="1" ht="12.75" x14ac:dyDescent="0.2">
      <c r="R36831" s="1288"/>
    </row>
    <row r="36832" spans="18:18" s="2" customFormat="1" ht="12.75" x14ac:dyDescent="0.2">
      <c r="R36832" s="1288"/>
    </row>
    <row r="36833" spans="18:18" s="2" customFormat="1" ht="12.75" x14ac:dyDescent="0.2">
      <c r="R36833" s="1288"/>
    </row>
    <row r="36834" spans="18:18" s="2" customFormat="1" ht="12.75" x14ac:dyDescent="0.2">
      <c r="R36834" s="1288"/>
    </row>
    <row r="36835" spans="18:18" s="2" customFormat="1" ht="12.75" x14ac:dyDescent="0.2">
      <c r="R36835" s="1288"/>
    </row>
    <row r="36836" spans="18:18" s="2" customFormat="1" ht="12.75" x14ac:dyDescent="0.2">
      <c r="R36836" s="1288"/>
    </row>
    <row r="36837" spans="18:18" s="2" customFormat="1" ht="12.75" x14ac:dyDescent="0.2">
      <c r="R36837" s="1288"/>
    </row>
    <row r="36838" spans="18:18" s="2" customFormat="1" ht="12.75" x14ac:dyDescent="0.2">
      <c r="R36838" s="1288"/>
    </row>
    <row r="36839" spans="18:18" s="2" customFormat="1" ht="12.75" x14ac:dyDescent="0.2">
      <c r="R36839" s="1288"/>
    </row>
    <row r="36840" spans="18:18" s="2" customFormat="1" ht="12.75" x14ac:dyDescent="0.2">
      <c r="R36840" s="1288"/>
    </row>
    <row r="36841" spans="18:18" s="2" customFormat="1" ht="12.75" x14ac:dyDescent="0.2">
      <c r="R36841" s="1288"/>
    </row>
    <row r="36842" spans="18:18" s="2" customFormat="1" ht="12.75" x14ac:dyDescent="0.2">
      <c r="R36842" s="1288"/>
    </row>
    <row r="36843" spans="18:18" s="2" customFormat="1" ht="12.75" x14ac:dyDescent="0.2">
      <c r="R36843" s="1288"/>
    </row>
    <row r="36844" spans="18:18" s="2" customFormat="1" ht="12.75" x14ac:dyDescent="0.2">
      <c r="R36844" s="1288"/>
    </row>
    <row r="36845" spans="18:18" s="2" customFormat="1" ht="12.75" x14ac:dyDescent="0.2">
      <c r="R36845" s="1288"/>
    </row>
    <row r="36846" spans="18:18" s="2" customFormat="1" ht="12.75" x14ac:dyDescent="0.2">
      <c r="R36846" s="1288"/>
    </row>
    <row r="36847" spans="18:18" s="2" customFormat="1" ht="12.75" x14ac:dyDescent="0.2">
      <c r="R36847" s="1288"/>
    </row>
    <row r="36848" spans="18:18" s="2" customFormat="1" ht="12.75" x14ac:dyDescent="0.2">
      <c r="R36848" s="1288"/>
    </row>
    <row r="36849" spans="18:18" s="2" customFormat="1" ht="12.75" x14ac:dyDescent="0.2">
      <c r="R36849" s="1288"/>
    </row>
    <row r="36850" spans="18:18" s="2" customFormat="1" ht="12.75" x14ac:dyDescent="0.2">
      <c r="R36850" s="1288"/>
    </row>
    <row r="36851" spans="18:18" s="2" customFormat="1" ht="12.75" x14ac:dyDescent="0.2">
      <c r="R36851" s="1288"/>
    </row>
    <row r="36852" spans="18:18" s="2" customFormat="1" ht="12.75" x14ac:dyDescent="0.2">
      <c r="R36852" s="1288"/>
    </row>
    <row r="36853" spans="18:18" s="2" customFormat="1" ht="12.75" x14ac:dyDescent="0.2">
      <c r="R36853" s="1288"/>
    </row>
    <row r="36854" spans="18:18" s="2" customFormat="1" ht="12.75" x14ac:dyDescent="0.2">
      <c r="R36854" s="1288"/>
    </row>
    <row r="36855" spans="18:18" s="2" customFormat="1" ht="12.75" x14ac:dyDescent="0.2">
      <c r="R36855" s="1288"/>
    </row>
    <row r="36856" spans="18:18" s="2" customFormat="1" ht="12.75" x14ac:dyDescent="0.2">
      <c r="R36856" s="1288"/>
    </row>
    <row r="36857" spans="18:18" s="2" customFormat="1" ht="12.75" x14ac:dyDescent="0.2">
      <c r="R36857" s="1288"/>
    </row>
    <row r="36858" spans="18:18" s="2" customFormat="1" ht="12.75" x14ac:dyDescent="0.2">
      <c r="R36858" s="1288"/>
    </row>
    <row r="36859" spans="18:18" s="2" customFormat="1" ht="12.75" x14ac:dyDescent="0.2">
      <c r="R36859" s="1288"/>
    </row>
    <row r="36860" spans="18:18" s="2" customFormat="1" ht="12.75" x14ac:dyDescent="0.2">
      <c r="R36860" s="1288"/>
    </row>
    <row r="36861" spans="18:18" s="2" customFormat="1" ht="12.75" x14ac:dyDescent="0.2">
      <c r="R36861" s="1288"/>
    </row>
    <row r="36862" spans="18:18" s="2" customFormat="1" ht="12.75" x14ac:dyDescent="0.2">
      <c r="R36862" s="1288"/>
    </row>
    <row r="36863" spans="18:18" s="2" customFormat="1" ht="12.75" x14ac:dyDescent="0.2">
      <c r="R36863" s="1288"/>
    </row>
    <row r="36864" spans="18:18" s="2" customFormat="1" ht="12.75" x14ac:dyDescent="0.2">
      <c r="R36864" s="1288"/>
    </row>
    <row r="36865" spans="18:18" s="2" customFormat="1" ht="12.75" x14ac:dyDescent="0.2">
      <c r="R36865" s="1288"/>
    </row>
    <row r="36866" spans="18:18" s="2" customFormat="1" ht="12.75" x14ac:dyDescent="0.2">
      <c r="R36866" s="1288"/>
    </row>
    <row r="36867" spans="18:18" s="2" customFormat="1" ht="12.75" x14ac:dyDescent="0.2">
      <c r="R36867" s="1288"/>
    </row>
    <row r="36868" spans="18:18" s="2" customFormat="1" ht="12.75" x14ac:dyDescent="0.2">
      <c r="R36868" s="1288"/>
    </row>
    <row r="36869" spans="18:18" s="2" customFormat="1" ht="12.75" x14ac:dyDescent="0.2">
      <c r="R36869" s="1288"/>
    </row>
    <row r="36870" spans="18:18" s="2" customFormat="1" ht="12.75" x14ac:dyDescent="0.2">
      <c r="R36870" s="1288"/>
    </row>
    <row r="36871" spans="18:18" s="2" customFormat="1" ht="12.75" x14ac:dyDescent="0.2">
      <c r="R36871" s="1288"/>
    </row>
    <row r="36872" spans="18:18" s="2" customFormat="1" ht="12.75" x14ac:dyDescent="0.2">
      <c r="R36872" s="1288"/>
    </row>
    <row r="36873" spans="18:18" s="2" customFormat="1" ht="12.75" x14ac:dyDescent="0.2">
      <c r="R36873" s="1288"/>
    </row>
    <row r="36874" spans="18:18" s="2" customFormat="1" ht="12.75" x14ac:dyDescent="0.2">
      <c r="R36874" s="1288"/>
    </row>
    <row r="36875" spans="18:18" s="2" customFormat="1" ht="12.75" x14ac:dyDescent="0.2">
      <c r="R36875" s="1288"/>
    </row>
    <row r="36876" spans="18:18" s="2" customFormat="1" ht="12.75" x14ac:dyDescent="0.2">
      <c r="R36876" s="1288"/>
    </row>
    <row r="36877" spans="18:18" s="2" customFormat="1" ht="12.75" x14ac:dyDescent="0.2">
      <c r="R36877" s="1288"/>
    </row>
    <row r="36878" spans="18:18" s="2" customFormat="1" ht="12.75" x14ac:dyDescent="0.2">
      <c r="R36878" s="1288"/>
    </row>
    <row r="36879" spans="18:18" s="2" customFormat="1" ht="12.75" x14ac:dyDescent="0.2">
      <c r="R36879" s="1288"/>
    </row>
    <row r="36880" spans="18:18" s="2" customFormat="1" ht="12.75" x14ac:dyDescent="0.2">
      <c r="R36880" s="1288"/>
    </row>
    <row r="36881" spans="18:18" s="2" customFormat="1" ht="12.75" x14ac:dyDescent="0.2">
      <c r="R36881" s="1288"/>
    </row>
    <row r="36882" spans="18:18" s="2" customFormat="1" ht="12.75" x14ac:dyDescent="0.2">
      <c r="R36882" s="1288"/>
    </row>
    <row r="36883" spans="18:18" s="2" customFormat="1" ht="12.75" x14ac:dyDescent="0.2">
      <c r="R36883" s="1288"/>
    </row>
    <row r="36884" spans="18:18" s="2" customFormat="1" ht="12.75" x14ac:dyDescent="0.2">
      <c r="R36884" s="1288"/>
    </row>
    <row r="36885" spans="18:18" s="2" customFormat="1" ht="12.75" x14ac:dyDescent="0.2">
      <c r="R36885" s="1288"/>
    </row>
    <row r="36886" spans="18:18" s="2" customFormat="1" ht="12.75" x14ac:dyDescent="0.2">
      <c r="R36886" s="1288"/>
    </row>
    <row r="36887" spans="18:18" s="2" customFormat="1" ht="12.75" x14ac:dyDescent="0.2">
      <c r="R36887" s="1288"/>
    </row>
    <row r="36888" spans="18:18" s="2" customFormat="1" ht="12.75" x14ac:dyDescent="0.2">
      <c r="R36888" s="1288"/>
    </row>
    <row r="36889" spans="18:18" s="2" customFormat="1" ht="12.75" x14ac:dyDescent="0.2">
      <c r="R36889" s="1288"/>
    </row>
    <row r="36890" spans="18:18" s="2" customFormat="1" ht="12.75" x14ac:dyDescent="0.2">
      <c r="R36890" s="1288"/>
    </row>
    <row r="36891" spans="18:18" s="2" customFormat="1" ht="12.75" x14ac:dyDescent="0.2">
      <c r="R36891" s="1288"/>
    </row>
    <row r="36892" spans="18:18" s="2" customFormat="1" ht="12.75" x14ac:dyDescent="0.2">
      <c r="R36892" s="1288"/>
    </row>
    <row r="36893" spans="18:18" s="2" customFormat="1" ht="12.75" x14ac:dyDescent="0.2">
      <c r="R36893" s="1288"/>
    </row>
    <row r="36894" spans="18:18" s="2" customFormat="1" ht="12.75" x14ac:dyDescent="0.2">
      <c r="R36894" s="1288"/>
    </row>
    <row r="36895" spans="18:18" s="2" customFormat="1" ht="12.75" x14ac:dyDescent="0.2">
      <c r="R36895" s="1288"/>
    </row>
    <row r="36896" spans="18:18" s="2" customFormat="1" ht="12.75" x14ac:dyDescent="0.2">
      <c r="R36896" s="1288"/>
    </row>
    <row r="36897" spans="18:18" s="2" customFormat="1" ht="12.75" x14ac:dyDescent="0.2">
      <c r="R36897" s="1288"/>
    </row>
    <row r="36898" spans="18:18" s="2" customFormat="1" ht="12.75" x14ac:dyDescent="0.2">
      <c r="R36898" s="1288"/>
    </row>
    <row r="36899" spans="18:18" s="2" customFormat="1" ht="12.75" x14ac:dyDescent="0.2">
      <c r="R36899" s="1288"/>
    </row>
    <row r="36900" spans="18:18" s="2" customFormat="1" ht="12.75" x14ac:dyDescent="0.2">
      <c r="R36900" s="1288"/>
    </row>
    <row r="36901" spans="18:18" s="2" customFormat="1" ht="12.75" x14ac:dyDescent="0.2">
      <c r="R36901" s="1288"/>
    </row>
    <row r="36902" spans="18:18" s="2" customFormat="1" ht="12.75" x14ac:dyDescent="0.2">
      <c r="R36902" s="1288"/>
    </row>
    <row r="36903" spans="18:18" s="2" customFormat="1" ht="12.75" x14ac:dyDescent="0.2">
      <c r="R36903" s="1288"/>
    </row>
    <row r="36904" spans="18:18" s="2" customFormat="1" ht="12.75" x14ac:dyDescent="0.2">
      <c r="R36904" s="1288"/>
    </row>
    <row r="36905" spans="18:18" s="2" customFormat="1" ht="12.75" x14ac:dyDescent="0.2">
      <c r="R36905" s="1288"/>
    </row>
    <row r="36906" spans="18:18" s="2" customFormat="1" ht="12.75" x14ac:dyDescent="0.2">
      <c r="R36906" s="1288"/>
    </row>
    <row r="36907" spans="18:18" s="2" customFormat="1" ht="12.75" x14ac:dyDescent="0.2">
      <c r="R36907" s="1288"/>
    </row>
    <row r="36908" spans="18:18" s="2" customFormat="1" ht="12.75" x14ac:dyDescent="0.2">
      <c r="R36908" s="1288"/>
    </row>
    <row r="36909" spans="18:18" s="2" customFormat="1" ht="12.75" x14ac:dyDescent="0.2">
      <c r="R36909" s="1288"/>
    </row>
    <row r="36910" spans="18:18" s="2" customFormat="1" ht="12.75" x14ac:dyDescent="0.2">
      <c r="R36910" s="1288"/>
    </row>
    <row r="36911" spans="18:18" s="2" customFormat="1" ht="12.75" x14ac:dyDescent="0.2">
      <c r="R36911" s="1288"/>
    </row>
    <row r="36912" spans="18:18" s="2" customFormat="1" ht="12.75" x14ac:dyDescent="0.2">
      <c r="R36912" s="1288"/>
    </row>
    <row r="36913" spans="18:18" s="2" customFormat="1" ht="12.75" x14ac:dyDescent="0.2">
      <c r="R36913" s="1288"/>
    </row>
    <row r="36914" spans="18:18" s="2" customFormat="1" ht="12.75" x14ac:dyDescent="0.2">
      <c r="R36914" s="1288"/>
    </row>
    <row r="36915" spans="18:18" s="2" customFormat="1" ht="12.75" x14ac:dyDescent="0.2">
      <c r="R36915" s="1288"/>
    </row>
    <row r="36916" spans="18:18" s="2" customFormat="1" ht="12.75" x14ac:dyDescent="0.2">
      <c r="R36916" s="1288"/>
    </row>
    <row r="36917" spans="18:18" s="2" customFormat="1" ht="12.75" x14ac:dyDescent="0.2">
      <c r="R36917" s="1288"/>
    </row>
    <row r="36918" spans="18:18" s="2" customFormat="1" ht="12.75" x14ac:dyDescent="0.2">
      <c r="R36918" s="1288"/>
    </row>
    <row r="36919" spans="18:18" s="2" customFormat="1" ht="12.75" x14ac:dyDescent="0.2">
      <c r="R36919" s="1288"/>
    </row>
    <row r="36920" spans="18:18" s="2" customFormat="1" ht="12.75" x14ac:dyDescent="0.2">
      <c r="R36920" s="1288"/>
    </row>
    <row r="36921" spans="18:18" s="2" customFormat="1" ht="12.75" x14ac:dyDescent="0.2">
      <c r="R36921" s="1288"/>
    </row>
    <row r="36922" spans="18:18" s="2" customFormat="1" ht="12.75" x14ac:dyDescent="0.2">
      <c r="R36922" s="1288"/>
    </row>
    <row r="36923" spans="18:18" s="2" customFormat="1" ht="12.75" x14ac:dyDescent="0.2">
      <c r="R36923" s="1288"/>
    </row>
    <row r="36924" spans="18:18" s="2" customFormat="1" ht="12.75" x14ac:dyDescent="0.2">
      <c r="R36924" s="1288"/>
    </row>
    <row r="36925" spans="18:18" s="2" customFormat="1" ht="12.75" x14ac:dyDescent="0.2">
      <c r="R36925" s="1288"/>
    </row>
    <row r="36926" spans="18:18" s="2" customFormat="1" ht="12.75" x14ac:dyDescent="0.2">
      <c r="R36926" s="1288"/>
    </row>
    <row r="36927" spans="18:18" s="2" customFormat="1" ht="12.75" x14ac:dyDescent="0.2">
      <c r="R36927" s="1288"/>
    </row>
    <row r="36928" spans="18:18" s="2" customFormat="1" ht="12.75" x14ac:dyDescent="0.2">
      <c r="R36928" s="1288"/>
    </row>
    <row r="36929" spans="18:18" s="2" customFormat="1" ht="12.75" x14ac:dyDescent="0.2">
      <c r="R36929" s="1288"/>
    </row>
    <row r="36930" spans="18:18" s="2" customFormat="1" ht="12.75" x14ac:dyDescent="0.2">
      <c r="R36930" s="1288"/>
    </row>
    <row r="36931" spans="18:18" s="2" customFormat="1" ht="12.75" x14ac:dyDescent="0.2">
      <c r="R36931" s="1288"/>
    </row>
    <row r="36932" spans="18:18" s="2" customFormat="1" ht="12.75" x14ac:dyDescent="0.2">
      <c r="R36932" s="1288"/>
    </row>
    <row r="36933" spans="18:18" s="2" customFormat="1" ht="12.75" x14ac:dyDescent="0.2">
      <c r="R36933" s="1288"/>
    </row>
    <row r="36934" spans="18:18" s="2" customFormat="1" ht="12.75" x14ac:dyDescent="0.2">
      <c r="R36934" s="1288"/>
    </row>
    <row r="36935" spans="18:18" s="2" customFormat="1" ht="12.75" x14ac:dyDescent="0.2">
      <c r="R36935" s="1288"/>
    </row>
    <row r="36936" spans="18:18" s="2" customFormat="1" ht="12.75" x14ac:dyDescent="0.2">
      <c r="R36936" s="1288"/>
    </row>
    <row r="36937" spans="18:18" s="2" customFormat="1" ht="12.75" x14ac:dyDescent="0.2">
      <c r="R36937" s="1288"/>
    </row>
    <row r="36938" spans="18:18" s="2" customFormat="1" ht="12.75" x14ac:dyDescent="0.2">
      <c r="R36938" s="1288"/>
    </row>
    <row r="36939" spans="18:18" s="2" customFormat="1" ht="12.75" x14ac:dyDescent="0.2">
      <c r="R36939" s="1288"/>
    </row>
    <row r="36940" spans="18:18" s="2" customFormat="1" ht="12.75" x14ac:dyDescent="0.2">
      <c r="R36940" s="1288"/>
    </row>
    <row r="36941" spans="18:18" s="2" customFormat="1" ht="12.75" x14ac:dyDescent="0.2">
      <c r="R36941" s="1288"/>
    </row>
    <row r="36942" spans="18:18" s="2" customFormat="1" ht="12.75" x14ac:dyDescent="0.2">
      <c r="R36942" s="1288"/>
    </row>
    <row r="36943" spans="18:18" s="2" customFormat="1" ht="12.75" x14ac:dyDescent="0.2">
      <c r="R36943" s="1288"/>
    </row>
    <row r="36944" spans="18:18" s="2" customFormat="1" ht="12.75" x14ac:dyDescent="0.2">
      <c r="R36944" s="1288"/>
    </row>
    <row r="36945" spans="18:18" s="2" customFormat="1" ht="12.75" x14ac:dyDescent="0.2">
      <c r="R36945" s="1288"/>
    </row>
    <row r="36946" spans="18:18" s="2" customFormat="1" ht="12.75" x14ac:dyDescent="0.2">
      <c r="R36946" s="1288"/>
    </row>
    <row r="36947" spans="18:18" s="2" customFormat="1" ht="12.75" x14ac:dyDescent="0.2">
      <c r="R36947" s="1288"/>
    </row>
    <row r="36948" spans="18:18" s="2" customFormat="1" ht="12.75" x14ac:dyDescent="0.2">
      <c r="R36948" s="1288"/>
    </row>
    <row r="36949" spans="18:18" s="2" customFormat="1" ht="12.75" x14ac:dyDescent="0.2">
      <c r="R36949" s="1288"/>
    </row>
    <row r="36950" spans="18:18" s="2" customFormat="1" ht="12.75" x14ac:dyDescent="0.2">
      <c r="R36950" s="1288"/>
    </row>
    <row r="36951" spans="18:18" s="2" customFormat="1" ht="12.75" x14ac:dyDescent="0.2">
      <c r="R36951" s="1288"/>
    </row>
    <row r="36952" spans="18:18" s="2" customFormat="1" ht="12.75" x14ac:dyDescent="0.2">
      <c r="R36952" s="1288"/>
    </row>
    <row r="36953" spans="18:18" s="2" customFormat="1" ht="12.75" x14ac:dyDescent="0.2">
      <c r="R36953" s="1288"/>
    </row>
    <row r="36954" spans="18:18" s="2" customFormat="1" ht="12.75" x14ac:dyDescent="0.2">
      <c r="R36954" s="1288"/>
    </row>
    <row r="36955" spans="18:18" s="2" customFormat="1" ht="12.75" x14ac:dyDescent="0.2">
      <c r="R36955" s="1288"/>
    </row>
    <row r="36956" spans="18:18" s="2" customFormat="1" ht="12.75" x14ac:dyDescent="0.2">
      <c r="R36956" s="1288"/>
    </row>
    <row r="36957" spans="18:18" s="2" customFormat="1" ht="12.75" x14ac:dyDescent="0.2">
      <c r="R36957" s="1288"/>
    </row>
    <row r="36958" spans="18:18" s="2" customFormat="1" ht="12.75" x14ac:dyDescent="0.2">
      <c r="R36958" s="1288"/>
    </row>
    <row r="36959" spans="18:18" s="2" customFormat="1" ht="12.75" x14ac:dyDescent="0.2">
      <c r="R36959" s="1288"/>
    </row>
    <row r="36960" spans="18:18" s="2" customFormat="1" ht="12.75" x14ac:dyDescent="0.2">
      <c r="R36960" s="1288"/>
    </row>
    <row r="36961" spans="18:18" s="2" customFormat="1" ht="12.75" x14ac:dyDescent="0.2">
      <c r="R36961" s="1288"/>
    </row>
    <row r="36962" spans="18:18" s="2" customFormat="1" ht="12.75" x14ac:dyDescent="0.2">
      <c r="R36962" s="1288"/>
    </row>
    <row r="36963" spans="18:18" s="2" customFormat="1" ht="12.75" x14ac:dyDescent="0.2">
      <c r="R36963" s="1288"/>
    </row>
    <row r="36964" spans="18:18" s="2" customFormat="1" ht="12.75" x14ac:dyDescent="0.2">
      <c r="R36964" s="1288"/>
    </row>
    <row r="36965" spans="18:18" s="2" customFormat="1" ht="12.75" x14ac:dyDescent="0.2">
      <c r="R36965" s="1288"/>
    </row>
    <row r="36966" spans="18:18" s="2" customFormat="1" ht="12.75" x14ac:dyDescent="0.2">
      <c r="R36966" s="1288"/>
    </row>
    <row r="36967" spans="18:18" s="2" customFormat="1" ht="12.75" x14ac:dyDescent="0.2">
      <c r="R36967" s="1288"/>
    </row>
    <row r="36968" spans="18:18" s="2" customFormat="1" ht="12.75" x14ac:dyDescent="0.2">
      <c r="R36968" s="1288"/>
    </row>
    <row r="36969" spans="18:18" s="2" customFormat="1" ht="12.75" x14ac:dyDescent="0.2">
      <c r="R36969" s="1288"/>
    </row>
    <row r="36970" spans="18:18" s="2" customFormat="1" ht="12.75" x14ac:dyDescent="0.2">
      <c r="R36970" s="1288"/>
    </row>
    <row r="36971" spans="18:18" s="2" customFormat="1" ht="12.75" x14ac:dyDescent="0.2">
      <c r="R36971" s="1288"/>
    </row>
    <row r="36972" spans="18:18" s="2" customFormat="1" ht="12.75" x14ac:dyDescent="0.2">
      <c r="R36972" s="1288"/>
    </row>
    <row r="36973" spans="18:18" s="2" customFormat="1" ht="12.75" x14ac:dyDescent="0.2">
      <c r="R36973" s="1288"/>
    </row>
    <row r="36974" spans="18:18" s="2" customFormat="1" ht="12.75" x14ac:dyDescent="0.2">
      <c r="R36974" s="1288"/>
    </row>
    <row r="36975" spans="18:18" s="2" customFormat="1" ht="12.75" x14ac:dyDescent="0.2">
      <c r="R36975" s="1288"/>
    </row>
    <row r="36976" spans="18:18" s="2" customFormat="1" ht="12.75" x14ac:dyDescent="0.2">
      <c r="R36976" s="1288"/>
    </row>
    <row r="36977" spans="18:18" s="2" customFormat="1" ht="12.75" x14ac:dyDescent="0.2">
      <c r="R36977" s="1288"/>
    </row>
    <row r="36978" spans="18:18" s="2" customFormat="1" ht="12.75" x14ac:dyDescent="0.2">
      <c r="R36978" s="1288"/>
    </row>
    <row r="36979" spans="18:18" s="2" customFormat="1" ht="12.75" x14ac:dyDescent="0.2">
      <c r="R36979" s="1288"/>
    </row>
    <row r="36980" spans="18:18" s="2" customFormat="1" ht="12.75" x14ac:dyDescent="0.2">
      <c r="R36980" s="1288"/>
    </row>
    <row r="36981" spans="18:18" s="2" customFormat="1" ht="12.75" x14ac:dyDescent="0.2">
      <c r="R36981" s="1288"/>
    </row>
    <row r="36982" spans="18:18" s="2" customFormat="1" ht="12.75" x14ac:dyDescent="0.2">
      <c r="R36982" s="1288"/>
    </row>
    <row r="36983" spans="18:18" s="2" customFormat="1" ht="12.75" x14ac:dyDescent="0.2">
      <c r="R36983" s="1288"/>
    </row>
    <row r="36984" spans="18:18" s="2" customFormat="1" ht="12.75" x14ac:dyDescent="0.2">
      <c r="R36984" s="1288"/>
    </row>
    <row r="36985" spans="18:18" s="2" customFormat="1" ht="12.75" x14ac:dyDescent="0.2">
      <c r="R36985" s="1288"/>
    </row>
    <row r="36986" spans="18:18" s="2" customFormat="1" ht="12.75" x14ac:dyDescent="0.2">
      <c r="R36986" s="1288"/>
    </row>
    <row r="36987" spans="18:18" s="2" customFormat="1" ht="12.75" x14ac:dyDescent="0.2">
      <c r="R36987" s="1288"/>
    </row>
    <row r="36988" spans="18:18" s="2" customFormat="1" ht="12.75" x14ac:dyDescent="0.2">
      <c r="R36988" s="1288"/>
    </row>
    <row r="36989" spans="18:18" s="2" customFormat="1" ht="12.75" x14ac:dyDescent="0.2">
      <c r="R36989" s="1288"/>
    </row>
    <row r="36990" spans="18:18" s="2" customFormat="1" ht="12.75" x14ac:dyDescent="0.2">
      <c r="R36990" s="1288"/>
    </row>
    <row r="36991" spans="18:18" s="2" customFormat="1" ht="12.75" x14ac:dyDescent="0.2">
      <c r="R36991" s="1288"/>
    </row>
    <row r="36992" spans="18:18" s="2" customFormat="1" ht="12.75" x14ac:dyDescent="0.2">
      <c r="R36992" s="1288"/>
    </row>
    <row r="36993" spans="18:18" s="2" customFormat="1" ht="12.75" x14ac:dyDescent="0.2">
      <c r="R36993" s="1288"/>
    </row>
    <row r="36994" spans="18:18" s="2" customFormat="1" ht="12.75" x14ac:dyDescent="0.2">
      <c r="R36994" s="1288"/>
    </row>
    <row r="36995" spans="18:18" s="2" customFormat="1" ht="12.75" x14ac:dyDescent="0.2">
      <c r="R36995" s="1288"/>
    </row>
    <row r="36996" spans="18:18" s="2" customFormat="1" ht="12.75" x14ac:dyDescent="0.2">
      <c r="R36996" s="1288"/>
    </row>
    <row r="36997" spans="18:18" s="2" customFormat="1" ht="12.75" x14ac:dyDescent="0.2">
      <c r="R36997" s="1288"/>
    </row>
    <row r="36998" spans="18:18" s="2" customFormat="1" ht="12.75" x14ac:dyDescent="0.2">
      <c r="R36998" s="1288"/>
    </row>
    <row r="36999" spans="18:18" s="2" customFormat="1" ht="12.75" x14ac:dyDescent="0.2">
      <c r="R36999" s="1288"/>
    </row>
    <row r="37000" spans="18:18" s="2" customFormat="1" ht="12.75" x14ac:dyDescent="0.2">
      <c r="R37000" s="1288"/>
    </row>
    <row r="37001" spans="18:18" s="2" customFormat="1" ht="12.75" x14ac:dyDescent="0.2">
      <c r="R37001" s="1288"/>
    </row>
    <row r="37002" spans="18:18" s="2" customFormat="1" ht="12.75" x14ac:dyDescent="0.2">
      <c r="R37002" s="1288"/>
    </row>
    <row r="37003" spans="18:18" s="2" customFormat="1" ht="12.75" x14ac:dyDescent="0.2">
      <c r="R37003" s="1288"/>
    </row>
    <row r="37004" spans="18:18" s="2" customFormat="1" ht="12.75" x14ac:dyDescent="0.2">
      <c r="R37004" s="1288"/>
    </row>
    <row r="37005" spans="18:18" s="2" customFormat="1" ht="12.75" x14ac:dyDescent="0.2">
      <c r="R37005" s="1288"/>
    </row>
    <row r="37006" spans="18:18" s="2" customFormat="1" ht="12.75" x14ac:dyDescent="0.2">
      <c r="R37006" s="1288"/>
    </row>
    <row r="37007" spans="18:18" s="2" customFormat="1" ht="12.75" x14ac:dyDescent="0.2">
      <c r="R37007" s="1288"/>
    </row>
    <row r="37008" spans="18:18" s="2" customFormat="1" ht="12.75" x14ac:dyDescent="0.2">
      <c r="R37008" s="1288"/>
    </row>
    <row r="37009" spans="18:18" s="2" customFormat="1" ht="12.75" x14ac:dyDescent="0.2">
      <c r="R37009" s="1288"/>
    </row>
    <row r="37010" spans="18:18" s="2" customFormat="1" ht="12.75" x14ac:dyDescent="0.2">
      <c r="R37010" s="1288"/>
    </row>
    <row r="37011" spans="18:18" s="2" customFormat="1" ht="12.75" x14ac:dyDescent="0.2">
      <c r="R37011" s="1288"/>
    </row>
    <row r="37012" spans="18:18" s="2" customFormat="1" ht="12.75" x14ac:dyDescent="0.2">
      <c r="R37012" s="1288"/>
    </row>
    <row r="37013" spans="18:18" s="2" customFormat="1" ht="12.75" x14ac:dyDescent="0.2">
      <c r="R37013" s="1288"/>
    </row>
    <row r="37014" spans="18:18" s="2" customFormat="1" ht="12.75" x14ac:dyDescent="0.2">
      <c r="R37014" s="1288"/>
    </row>
    <row r="37015" spans="18:18" s="2" customFormat="1" ht="12.75" x14ac:dyDescent="0.2">
      <c r="R37015" s="1288"/>
    </row>
    <row r="37016" spans="18:18" s="2" customFormat="1" ht="12.75" x14ac:dyDescent="0.2">
      <c r="R37016" s="1288"/>
    </row>
    <row r="37017" spans="18:18" s="2" customFormat="1" ht="12.75" x14ac:dyDescent="0.2">
      <c r="R37017" s="1288"/>
    </row>
    <row r="37018" spans="18:18" s="2" customFormat="1" ht="12.75" x14ac:dyDescent="0.2">
      <c r="R37018" s="1288"/>
    </row>
    <row r="37019" spans="18:18" s="2" customFormat="1" ht="12.75" x14ac:dyDescent="0.2">
      <c r="R37019" s="1288"/>
    </row>
    <row r="37020" spans="18:18" s="2" customFormat="1" ht="12.75" x14ac:dyDescent="0.2">
      <c r="R37020" s="1288"/>
    </row>
    <row r="37021" spans="18:18" s="2" customFormat="1" ht="12.75" x14ac:dyDescent="0.2">
      <c r="R37021" s="1288"/>
    </row>
    <row r="37022" spans="18:18" s="2" customFormat="1" ht="12.75" x14ac:dyDescent="0.2">
      <c r="R37022" s="1288"/>
    </row>
    <row r="37023" spans="18:18" s="2" customFormat="1" ht="12.75" x14ac:dyDescent="0.2">
      <c r="R37023" s="1288"/>
    </row>
    <row r="37024" spans="18:18" s="2" customFormat="1" ht="12.75" x14ac:dyDescent="0.2">
      <c r="R37024" s="1288"/>
    </row>
    <row r="37025" spans="18:18" s="2" customFormat="1" ht="12.75" x14ac:dyDescent="0.2">
      <c r="R37025" s="1288"/>
    </row>
    <row r="37026" spans="18:18" s="2" customFormat="1" ht="12.75" x14ac:dyDescent="0.2">
      <c r="R37026" s="1288"/>
    </row>
    <row r="37027" spans="18:18" s="2" customFormat="1" ht="12.75" x14ac:dyDescent="0.2">
      <c r="R37027" s="1288"/>
    </row>
    <row r="37028" spans="18:18" s="2" customFormat="1" ht="12.75" x14ac:dyDescent="0.2">
      <c r="R37028" s="1288"/>
    </row>
    <row r="37029" spans="18:18" s="2" customFormat="1" ht="12.75" x14ac:dyDescent="0.2">
      <c r="R37029" s="1288"/>
    </row>
    <row r="37030" spans="18:18" s="2" customFormat="1" ht="12.75" x14ac:dyDescent="0.2">
      <c r="R37030" s="1288"/>
    </row>
    <row r="37031" spans="18:18" s="2" customFormat="1" ht="12.75" x14ac:dyDescent="0.2">
      <c r="R37031" s="1288"/>
    </row>
    <row r="37032" spans="18:18" s="2" customFormat="1" ht="12.75" x14ac:dyDescent="0.2">
      <c r="R37032" s="1288"/>
    </row>
    <row r="37033" spans="18:18" s="2" customFormat="1" ht="12.75" x14ac:dyDescent="0.2">
      <c r="R37033" s="1288"/>
    </row>
    <row r="37034" spans="18:18" s="2" customFormat="1" ht="12.75" x14ac:dyDescent="0.2">
      <c r="R37034" s="1288"/>
    </row>
    <row r="37035" spans="18:18" s="2" customFormat="1" ht="12.75" x14ac:dyDescent="0.2">
      <c r="R37035" s="1288"/>
    </row>
    <row r="37036" spans="18:18" s="2" customFormat="1" ht="12.75" x14ac:dyDescent="0.2">
      <c r="R37036" s="1288"/>
    </row>
    <row r="37037" spans="18:18" s="2" customFormat="1" ht="12.75" x14ac:dyDescent="0.2">
      <c r="R37037" s="1288"/>
    </row>
    <row r="37038" spans="18:18" s="2" customFormat="1" ht="12.75" x14ac:dyDescent="0.2">
      <c r="R37038" s="1288"/>
    </row>
    <row r="37039" spans="18:18" s="2" customFormat="1" ht="12.75" x14ac:dyDescent="0.2">
      <c r="R37039" s="1288"/>
    </row>
    <row r="37040" spans="18:18" s="2" customFormat="1" ht="12.75" x14ac:dyDescent="0.2">
      <c r="R37040" s="1288"/>
    </row>
    <row r="37041" spans="18:18" s="2" customFormat="1" ht="12.75" x14ac:dyDescent="0.2">
      <c r="R37041" s="1288"/>
    </row>
    <row r="37042" spans="18:18" s="2" customFormat="1" ht="12.75" x14ac:dyDescent="0.2">
      <c r="R37042" s="1288"/>
    </row>
    <row r="37043" spans="18:18" s="2" customFormat="1" ht="12.75" x14ac:dyDescent="0.2">
      <c r="R37043" s="1288"/>
    </row>
    <row r="37044" spans="18:18" s="2" customFormat="1" ht="12.75" x14ac:dyDescent="0.2">
      <c r="R37044" s="1288"/>
    </row>
    <row r="37045" spans="18:18" s="2" customFormat="1" ht="12.75" x14ac:dyDescent="0.2">
      <c r="R37045" s="1288"/>
    </row>
    <row r="37046" spans="18:18" s="2" customFormat="1" ht="12.75" x14ac:dyDescent="0.2">
      <c r="R37046" s="1288"/>
    </row>
    <row r="37047" spans="18:18" s="2" customFormat="1" ht="12.75" x14ac:dyDescent="0.2">
      <c r="R37047" s="1288"/>
    </row>
    <row r="37048" spans="18:18" s="2" customFormat="1" ht="12.75" x14ac:dyDescent="0.2">
      <c r="R37048" s="1288"/>
    </row>
    <row r="37049" spans="18:18" s="2" customFormat="1" ht="12.75" x14ac:dyDescent="0.2">
      <c r="R37049" s="1288"/>
    </row>
    <row r="37050" spans="18:18" s="2" customFormat="1" ht="12.75" x14ac:dyDescent="0.2">
      <c r="R37050" s="1288"/>
    </row>
    <row r="37051" spans="18:18" s="2" customFormat="1" ht="12.75" x14ac:dyDescent="0.2">
      <c r="R37051" s="1288"/>
    </row>
    <row r="37052" spans="18:18" s="2" customFormat="1" ht="12.75" x14ac:dyDescent="0.2">
      <c r="R37052" s="1288"/>
    </row>
    <row r="37053" spans="18:18" s="2" customFormat="1" ht="12.75" x14ac:dyDescent="0.2">
      <c r="R37053" s="1288"/>
    </row>
    <row r="37054" spans="18:18" s="2" customFormat="1" ht="12.75" x14ac:dyDescent="0.2">
      <c r="R37054" s="1288"/>
    </row>
    <row r="37055" spans="18:18" s="2" customFormat="1" ht="12.75" x14ac:dyDescent="0.2">
      <c r="R37055" s="1288"/>
    </row>
    <row r="37056" spans="18:18" s="2" customFormat="1" ht="12.75" x14ac:dyDescent="0.2">
      <c r="R37056" s="1288"/>
    </row>
    <row r="37057" spans="18:18" s="2" customFormat="1" ht="12.75" x14ac:dyDescent="0.2">
      <c r="R37057" s="1288"/>
    </row>
    <row r="37058" spans="18:18" s="2" customFormat="1" ht="12.75" x14ac:dyDescent="0.2">
      <c r="R37058" s="1288"/>
    </row>
    <row r="37059" spans="18:18" s="2" customFormat="1" ht="12.75" x14ac:dyDescent="0.2">
      <c r="R37059" s="1288"/>
    </row>
    <row r="37060" spans="18:18" s="2" customFormat="1" ht="12.75" x14ac:dyDescent="0.2">
      <c r="R37060" s="1288"/>
    </row>
    <row r="37061" spans="18:18" s="2" customFormat="1" ht="12.75" x14ac:dyDescent="0.2">
      <c r="R37061" s="1288"/>
    </row>
    <row r="37062" spans="18:18" s="2" customFormat="1" ht="12.75" x14ac:dyDescent="0.2">
      <c r="R37062" s="1288"/>
    </row>
    <row r="37063" spans="18:18" s="2" customFormat="1" ht="12.75" x14ac:dyDescent="0.2">
      <c r="R37063" s="1288"/>
    </row>
    <row r="37064" spans="18:18" s="2" customFormat="1" ht="12.75" x14ac:dyDescent="0.2">
      <c r="R37064" s="1288"/>
    </row>
    <row r="37065" spans="18:18" s="2" customFormat="1" ht="12.75" x14ac:dyDescent="0.2">
      <c r="R37065" s="1288"/>
    </row>
    <row r="37066" spans="18:18" s="2" customFormat="1" ht="12.75" x14ac:dyDescent="0.2">
      <c r="R37066" s="1288"/>
    </row>
    <row r="37067" spans="18:18" s="2" customFormat="1" ht="12.75" x14ac:dyDescent="0.2">
      <c r="R37067" s="1288"/>
    </row>
    <row r="37068" spans="18:18" s="2" customFormat="1" ht="12.75" x14ac:dyDescent="0.2">
      <c r="R37068" s="1288"/>
    </row>
    <row r="37069" spans="18:18" s="2" customFormat="1" ht="12.75" x14ac:dyDescent="0.2">
      <c r="R37069" s="1288"/>
    </row>
    <row r="37070" spans="18:18" s="2" customFormat="1" ht="12.75" x14ac:dyDescent="0.2">
      <c r="R37070" s="1288"/>
    </row>
    <row r="37071" spans="18:18" s="2" customFormat="1" ht="12.75" x14ac:dyDescent="0.2">
      <c r="R37071" s="1288"/>
    </row>
    <row r="37072" spans="18:18" s="2" customFormat="1" ht="12.75" x14ac:dyDescent="0.2">
      <c r="R37072" s="1288"/>
    </row>
    <row r="37073" spans="18:18" s="2" customFormat="1" ht="12.75" x14ac:dyDescent="0.2">
      <c r="R37073" s="1288"/>
    </row>
    <row r="37074" spans="18:18" s="2" customFormat="1" ht="12.75" x14ac:dyDescent="0.2">
      <c r="R37074" s="1288"/>
    </row>
    <row r="37075" spans="18:18" s="2" customFormat="1" ht="12.75" x14ac:dyDescent="0.2">
      <c r="R37075" s="1288"/>
    </row>
    <row r="37076" spans="18:18" s="2" customFormat="1" ht="12.75" x14ac:dyDescent="0.2">
      <c r="R37076" s="1288"/>
    </row>
    <row r="37077" spans="18:18" s="2" customFormat="1" ht="12.75" x14ac:dyDescent="0.2">
      <c r="R37077" s="1288"/>
    </row>
    <row r="37078" spans="18:18" s="2" customFormat="1" ht="12.75" x14ac:dyDescent="0.2">
      <c r="R37078" s="1288"/>
    </row>
    <row r="37079" spans="18:18" s="2" customFormat="1" ht="12.75" x14ac:dyDescent="0.2">
      <c r="R37079" s="1288"/>
    </row>
    <row r="37080" spans="18:18" s="2" customFormat="1" ht="12.75" x14ac:dyDescent="0.2">
      <c r="R37080" s="1288"/>
    </row>
    <row r="37081" spans="18:18" s="2" customFormat="1" ht="12.75" x14ac:dyDescent="0.2">
      <c r="R37081" s="1288"/>
    </row>
    <row r="37082" spans="18:18" s="2" customFormat="1" ht="12.75" x14ac:dyDescent="0.2">
      <c r="R37082" s="1288"/>
    </row>
    <row r="37083" spans="18:18" s="2" customFormat="1" ht="12.75" x14ac:dyDescent="0.2">
      <c r="R37083" s="1288"/>
    </row>
    <row r="37084" spans="18:18" s="2" customFormat="1" ht="12.75" x14ac:dyDescent="0.2">
      <c r="R37084" s="1288"/>
    </row>
    <row r="37085" spans="18:18" s="2" customFormat="1" ht="12.75" x14ac:dyDescent="0.2">
      <c r="R37085" s="1288"/>
    </row>
    <row r="37086" spans="18:18" s="2" customFormat="1" ht="12.75" x14ac:dyDescent="0.2">
      <c r="R37086" s="1288"/>
    </row>
    <row r="37087" spans="18:18" s="2" customFormat="1" ht="12.75" x14ac:dyDescent="0.2">
      <c r="R37087" s="1288"/>
    </row>
    <row r="37088" spans="18:18" s="2" customFormat="1" ht="12.75" x14ac:dyDescent="0.2">
      <c r="R37088" s="1288"/>
    </row>
    <row r="37089" spans="18:18" s="2" customFormat="1" ht="12.75" x14ac:dyDescent="0.2">
      <c r="R37089" s="1288"/>
    </row>
    <row r="37090" spans="18:18" s="2" customFormat="1" ht="12.75" x14ac:dyDescent="0.2">
      <c r="R37090" s="1288"/>
    </row>
    <row r="37091" spans="18:18" s="2" customFormat="1" ht="12.75" x14ac:dyDescent="0.2">
      <c r="R37091" s="1288"/>
    </row>
    <row r="37092" spans="18:18" s="2" customFormat="1" ht="12.75" x14ac:dyDescent="0.2">
      <c r="R37092" s="1288"/>
    </row>
    <row r="37093" spans="18:18" s="2" customFormat="1" ht="12.75" x14ac:dyDescent="0.2">
      <c r="R37093" s="1288"/>
    </row>
    <row r="37094" spans="18:18" s="2" customFormat="1" ht="12.75" x14ac:dyDescent="0.2">
      <c r="R37094" s="1288"/>
    </row>
    <row r="37095" spans="18:18" s="2" customFormat="1" ht="12.75" x14ac:dyDescent="0.2">
      <c r="R37095" s="1288"/>
    </row>
    <row r="37096" spans="18:18" s="2" customFormat="1" ht="12.75" x14ac:dyDescent="0.2">
      <c r="R37096" s="1288"/>
    </row>
    <row r="37097" spans="18:18" s="2" customFormat="1" ht="12.75" x14ac:dyDescent="0.2">
      <c r="R37097" s="1288"/>
    </row>
    <row r="37098" spans="18:18" s="2" customFormat="1" ht="12.75" x14ac:dyDescent="0.2">
      <c r="R37098" s="1288"/>
    </row>
    <row r="37099" spans="18:18" s="2" customFormat="1" ht="12.75" x14ac:dyDescent="0.2">
      <c r="R37099" s="1288"/>
    </row>
    <row r="37100" spans="18:18" s="2" customFormat="1" ht="12.75" x14ac:dyDescent="0.2">
      <c r="R37100" s="1288"/>
    </row>
    <row r="37101" spans="18:18" s="2" customFormat="1" ht="12.75" x14ac:dyDescent="0.2">
      <c r="R37101" s="1288"/>
    </row>
    <row r="37102" spans="18:18" s="2" customFormat="1" ht="12.75" x14ac:dyDescent="0.2">
      <c r="R37102" s="1288"/>
    </row>
    <row r="37103" spans="18:18" s="2" customFormat="1" ht="12.75" x14ac:dyDescent="0.2">
      <c r="R37103" s="1288"/>
    </row>
    <row r="37104" spans="18:18" s="2" customFormat="1" ht="12.75" x14ac:dyDescent="0.2">
      <c r="R37104" s="1288"/>
    </row>
    <row r="37105" spans="18:18" s="2" customFormat="1" ht="12.75" x14ac:dyDescent="0.2">
      <c r="R37105" s="1288"/>
    </row>
    <row r="37106" spans="18:18" s="2" customFormat="1" ht="12.75" x14ac:dyDescent="0.2">
      <c r="R37106" s="1288"/>
    </row>
    <row r="37107" spans="18:18" s="2" customFormat="1" ht="12.75" x14ac:dyDescent="0.2">
      <c r="R37107" s="1288"/>
    </row>
    <row r="37108" spans="18:18" s="2" customFormat="1" ht="12.75" x14ac:dyDescent="0.2">
      <c r="R37108" s="1288"/>
    </row>
    <row r="37109" spans="18:18" s="2" customFormat="1" ht="12.75" x14ac:dyDescent="0.2">
      <c r="R37109" s="1288"/>
    </row>
    <row r="37110" spans="18:18" s="2" customFormat="1" ht="12.75" x14ac:dyDescent="0.2">
      <c r="R37110" s="1288"/>
    </row>
    <row r="37111" spans="18:18" s="2" customFormat="1" ht="12.75" x14ac:dyDescent="0.2">
      <c r="R37111" s="1288"/>
    </row>
    <row r="37112" spans="18:18" s="2" customFormat="1" ht="12.75" x14ac:dyDescent="0.2">
      <c r="R37112" s="1288"/>
    </row>
    <row r="37113" spans="18:18" s="2" customFormat="1" ht="12.75" x14ac:dyDescent="0.2">
      <c r="R37113" s="1288"/>
    </row>
    <row r="37114" spans="18:18" s="2" customFormat="1" ht="12.75" x14ac:dyDescent="0.2">
      <c r="R37114" s="1288"/>
    </row>
    <row r="37115" spans="18:18" s="2" customFormat="1" ht="12.75" x14ac:dyDescent="0.2">
      <c r="R37115" s="1288"/>
    </row>
    <row r="37116" spans="18:18" s="2" customFormat="1" ht="12.75" x14ac:dyDescent="0.2">
      <c r="R37116" s="1288"/>
    </row>
    <row r="37117" spans="18:18" s="2" customFormat="1" ht="12.75" x14ac:dyDescent="0.2">
      <c r="R37117" s="1288"/>
    </row>
    <row r="37118" spans="18:18" s="2" customFormat="1" ht="12.75" x14ac:dyDescent="0.2">
      <c r="R37118" s="1288"/>
    </row>
    <row r="37119" spans="18:18" s="2" customFormat="1" ht="12.75" x14ac:dyDescent="0.2">
      <c r="R37119" s="1288"/>
    </row>
    <row r="37120" spans="18:18" s="2" customFormat="1" ht="12.75" x14ac:dyDescent="0.2">
      <c r="R37120" s="1288"/>
    </row>
    <row r="37121" spans="18:18" s="2" customFormat="1" ht="12.75" x14ac:dyDescent="0.2">
      <c r="R37121" s="1288"/>
    </row>
    <row r="37122" spans="18:18" s="2" customFormat="1" ht="12.75" x14ac:dyDescent="0.2">
      <c r="R37122" s="1288"/>
    </row>
    <row r="37123" spans="18:18" s="2" customFormat="1" ht="12.75" x14ac:dyDescent="0.2">
      <c r="R37123" s="1288"/>
    </row>
    <row r="37124" spans="18:18" s="2" customFormat="1" ht="12.75" x14ac:dyDescent="0.2">
      <c r="R37124" s="1288"/>
    </row>
    <row r="37125" spans="18:18" s="2" customFormat="1" ht="12.75" x14ac:dyDescent="0.2">
      <c r="R37125" s="1288"/>
    </row>
    <row r="37126" spans="18:18" s="2" customFormat="1" ht="12.75" x14ac:dyDescent="0.2">
      <c r="R37126" s="1288"/>
    </row>
    <row r="37127" spans="18:18" s="2" customFormat="1" ht="12.75" x14ac:dyDescent="0.2">
      <c r="R37127" s="1288"/>
    </row>
    <row r="37128" spans="18:18" s="2" customFormat="1" ht="12.75" x14ac:dyDescent="0.2">
      <c r="R37128" s="1288"/>
    </row>
    <row r="37129" spans="18:18" s="2" customFormat="1" ht="12.75" x14ac:dyDescent="0.2">
      <c r="R37129" s="1288"/>
    </row>
    <row r="37130" spans="18:18" s="2" customFormat="1" ht="12.75" x14ac:dyDescent="0.2">
      <c r="R37130" s="1288"/>
    </row>
    <row r="37131" spans="18:18" s="2" customFormat="1" ht="12.75" x14ac:dyDescent="0.2">
      <c r="R37131" s="1288"/>
    </row>
    <row r="37132" spans="18:18" s="2" customFormat="1" ht="12.75" x14ac:dyDescent="0.2">
      <c r="R37132" s="1288"/>
    </row>
    <row r="37133" spans="18:18" s="2" customFormat="1" ht="12.75" x14ac:dyDescent="0.2">
      <c r="R37133" s="1288"/>
    </row>
    <row r="37134" spans="18:18" s="2" customFormat="1" ht="12.75" x14ac:dyDescent="0.2">
      <c r="R37134" s="1288"/>
    </row>
    <row r="37135" spans="18:18" s="2" customFormat="1" ht="12.75" x14ac:dyDescent="0.2">
      <c r="R37135" s="1288"/>
    </row>
    <row r="37136" spans="18:18" s="2" customFormat="1" ht="12.75" x14ac:dyDescent="0.2">
      <c r="R37136" s="1288"/>
    </row>
    <row r="37137" spans="18:18" s="2" customFormat="1" ht="12.75" x14ac:dyDescent="0.2">
      <c r="R37137" s="1288"/>
    </row>
    <row r="37138" spans="18:18" s="2" customFormat="1" ht="12.75" x14ac:dyDescent="0.2">
      <c r="R37138" s="1288"/>
    </row>
    <row r="37139" spans="18:18" s="2" customFormat="1" ht="12.75" x14ac:dyDescent="0.2">
      <c r="R37139" s="1288"/>
    </row>
    <row r="37140" spans="18:18" s="2" customFormat="1" ht="12.75" x14ac:dyDescent="0.2">
      <c r="R37140" s="1288"/>
    </row>
    <row r="37141" spans="18:18" s="2" customFormat="1" ht="12.75" x14ac:dyDescent="0.2">
      <c r="R37141" s="1288"/>
    </row>
    <row r="37142" spans="18:18" s="2" customFormat="1" ht="12.75" x14ac:dyDescent="0.2">
      <c r="R37142" s="1288"/>
    </row>
    <row r="37143" spans="18:18" s="2" customFormat="1" ht="12.75" x14ac:dyDescent="0.2">
      <c r="R37143" s="1288"/>
    </row>
    <row r="37144" spans="18:18" s="2" customFormat="1" ht="12.75" x14ac:dyDescent="0.2">
      <c r="R37144" s="1288"/>
    </row>
    <row r="37145" spans="18:18" s="2" customFormat="1" ht="12.75" x14ac:dyDescent="0.2">
      <c r="R37145" s="1288"/>
    </row>
    <row r="37146" spans="18:18" s="2" customFormat="1" ht="12.75" x14ac:dyDescent="0.2">
      <c r="R37146" s="1288"/>
    </row>
    <row r="37147" spans="18:18" s="2" customFormat="1" ht="12.75" x14ac:dyDescent="0.2">
      <c r="R37147" s="1288"/>
    </row>
    <row r="37148" spans="18:18" s="2" customFormat="1" ht="12.75" x14ac:dyDescent="0.2">
      <c r="R37148" s="1288"/>
    </row>
    <row r="37149" spans="18:18" s="2" customFormat="1" ht="12.75" x14ac:dyDescent="0.2">
      <c r="R37149" s="1288"/>
    </row>
    <row r="37150" spans="18:18" s="2" customFormat="1" ht="12.75" x14ac:dyDescent="0.2">
      <c r="R37150" s="1288"/>
    </row>
    <row r="37151" spans="18:18" s="2" customFormat="1" ht="12.75" x14ac:dyDescent="0.2">
      <c r="R37151" s="1288"/>
    </row>
    <row r="37152" spans="18:18" s="2" customFormat="1" ht="12.75" x14ac:dyDescent="0.2">
      <c r="R37152" s="1288"/>
    </row>
    <row r="37153" spans="18:18" s="2" customFormat="1" ht="12.75" x14ac:dyDescent="0.2">
      <c r="R37153" s="1288"/>
    </row>
    <row r="37154" spans="18:18" s="2" customFormat="1" ht="12.75" x14ac:dyDescent="0.2">
      <c r="R37154" s="1288"/>
    </row>
    <row r="37155" spans="18:18" s="2" customFormat="1" ht="12.75" x14ac:dyDescent="0.2">
      <c r="R37155" s="1288"/>
    </row>
    <row r="37156" spans="18:18" s="2" customFormat="1" ht="12.75" x14ac:dyDescent="0.2">
      <c r="R37156" s="1288"/>
    </row>
    <row r="37157" spans="18:18" s="2" customFormat="1" ht="12.75" x14ac:dyDescent="0.2">
      <c r="R37157" s="1288"/>
    </row>
    <row r="37158" spans="18:18" s="2" customFormat="1" ht="12.75" x14ac:dyDescent="0.2">
      <c r="R37158" s="1288"/>
    </row>
    <row r="37159" spans="18:18" s="2" customFormat="1" ht="12.75" x14ac:dyDescent="0.2">
      <c r="R37159" s="1288"/>
    </row>
    <row r="37160" spans="18:18" s="2" customFormat="1" ht="12.75" x14ac:dyDescent="0.2">
      <c r="R37160" s="1288"/>
    </row>
    <row r="37161" spans="18:18" s="2" customFormat="1" ht="12.75" x14ac:dyDescent="0.2">
      <c r="R37161" s="1288"/>
    </row>
    <row r="37162" spans="18:18" s="2" customFormat="1" ht="12.75" x14ac:dyDescent="0.2">
      <c r="R37162" s="1288"/>
    </row>
    <row r="37163" spans="18:18" s="2" customFormat="1" ht="12.75" x14ac:dyDescent="0.2">
      <c r="R37163" s="1288"/>
    </row>
    <row r="37164" spans="18:18" s="2" customFormat="1" ht="12.75" x14ac:dyDescent="0.2">
      <c r="R37164" s="1288"/>
    </row>
    <row r="37165" spans="18:18" s="2" customFormat="1" ht="12.75" x14ac:dyDescent="0.2">
      <c r="R37165" s="1288"/>
    </row>
    <row r="37166" spans="18:18" s="2" customFormat="1" ht="12.75" x14ac:dyDescent="0.2">
      <c r="R37166" s="1288"/>
    </row>
    <row r="37167" spans="18:18" s="2" customFormat="1" ht="12.75" x14ac:dyDescent="0.2">
      <c r="R37167" s="1288"/>
    </row>
    <row r="37168" spans="18:18" s="2" customFormat="1" ht="12.75" x14ac:dyDescent="0.2">
      <c r="R37168" s="1288"/>
    </row>
    <row r="37169" spans="18:18" s="2" customFormat="1" ht="12.75" x14ac:dyDescent="0.2">
      <c r="R37169" s="1288"/>
    </row>
    <row r="37170" spans="18:18" s="2" customFormat="1" ht="12.75" x14ac:dyDescent="0.2">
      <c r="R37170" s="1288"/>
    </row>
    <row r="37171" spans="18:18" s="2" customFormat="1" ht="12.75" x14ac:dyDescent="0.2">
      <c r="R37171" s="1288"/>
    </row>
    <row r="37172" spans="18:18" s="2" customFormat="1" ht="12.75" x14ac:dyDescent="0.2">
      <c r="R37172" s="1288"/>
    </row>
    <row r="37173" spans="18:18" s="2" customFormat="1" ht="12.75" x14ac:dyDescent="0.2">
      <c r="R37173" s="1288"/>
    </row>
    <row r="37174" spans="18:18" s="2" customFormat="1" ht="12.75" x14ac:dyDescent="0.2">
      <c r="R37174" s="1288"/>
    </row>
    <row r="37175" spans="18:18" s="2" customFormat="1" ht="12.75" x14ac:dyDescent="0.2">
      <c r="R37175" s="1288"/>
    </row>
    <row r="37176" spans="18:18" s="2" customFormat="1" ht="12.75" x14ac:dyDescent="0.2">
      <c r="R37176" s="1288"/>
    </row>
    <row r="37177" spans="18:18" s="2" customFormat="1" ht="12.75" x14ac:dyDescent="0.2">
      <c r="R37177" s="1288"/>
    </row>
    <row r="37178" spans="18:18" s="2" customFormat="1" ht="12.75" x14ac:dyDescent="0.2">
      <c r="R37178" s="1288"/>
    </row>
    <row r="37179" spans="18:18" s="2" customFormat="1" ht="12.75" x14ac:dyDescent="0.2">
      <c r="R37179" s="1288"/>
    </row>
    <row r="37180" spans="18:18" s="2" customFormat="1" ht="12.75" x14ac:dyDescent="0.2">
      <c r="R37180" s="1288"/>
    </row>
    <row r="37181" spans="18:18" s="2" customFormat="1" ht="12.75" x14ac:dyDescent="0.2">
      <c r="R37181" s="1288"/>
    </row>
    <row r="37182" spans="18:18" s="2" customFormat="1" ht="12.75" x14ac:dyDescent="0.2">
      <c r="R37182" s="1288"/>
    </row>
    <row r="37183" spans="18:18" s="2" customFormat="1" ht="12.75" x14ac:dyDescent="0.2">
      <c r="R37183" s="1288"/>
    </row>
    <row r="37184" spans="18:18" s="2" customFormat="1" ht="12.75" x14ac:dyDescent="0.2">
      <c r="R37184" s="1288"/>
    </row>
    <row r="37185" spans="18:18" s="2" customFormat="1" ht="12.75" x14ac:dyDescent="0.2">
      <c r="R37185" s="1288"/>
    </row>
    <row r="37186" spans="18:18" s="2" customFormat="1" ht="12.75" x14ac:dyDescent="0.2">
      <c r="R37186" s="1288"/>
    </row>
    <row r="37187" spans="18:18" s="2" customFormat="1" ht="12.75" x14ac:dyDescent="0.2">
      <c r="R37187" s="1288"/>
    </row>
    <row r="37188" spans="18:18" s="2" customFormat="1" ht="12.75" x14ac:dyDescent="0.2">
      <c r="R37188" s="1288"/>
    </row>
    <row r="37189" spans="18:18" s="2" customFormat="1" ht="12.75" x14ac:dyDescent="0.2">
      <c r="R37189" s="1288"/>
    </row>
    <row r="37190" spans="18:18" s="2" customFormat="1" ht="12.75" x14ac:dyDescent="0.2">
      <c r="R37190" s="1288"/>
    </row>
    <row r="37191" spans="18:18" s="2" customFormat="1" ht="12.75" x14ac:dyDescent="0.2">
      <c r="R37191" s="1288"/>
    </row>
    <row r="37192" spans="18:18" s="2" customFormat="1" ht="12.75" x14ac:dyDescent="0.2">
      <c r="R37192" s="1288"/>
    </row>
    <row r="37193" spans="18:18" s="2" customFormat="1" ht="12.75" x14ac:dyDescent="0.2">
      <c r="R37193" s="1288"/>
    </row>
    <row r="37194" spans="18:18" s="2" customFormat="1" ht="12.75" x14ac:dyDescent="0.2">
      <c r="R37194" s="1288"/>
    </row>
    <row r="37195" spans="18:18" s="2" customFormat="1" ht="12.75" x14ac:dyDescent="0.2">
      <c r="R37195" s="1288"/>
    </row>
    <row r="37196" spans="18:18" s="2" customFormat="1" ht="12.75" x14ac:dyDescent="0.2">
      <c r="R37196" s="1288"/>
    </row>
    <row r="37197" spans="18:18" s="2" customFormat="1" ht="12.75" x14ac:dyDescent="0.2">
      <c r="R37197" s="1288"/>
    </row>
    <row r="37198" spans="18:18" s="2" customFormat="1" ht="12.75" x14ac:dyDescent="0.2">
      <c r="R37198" s="1288"/>
    </row>
    <row r="37199" spans="18:18" s="2" customFormat="1" ht="12.75" x14ac:dyDescent="0.2">
      <c r="R37199" s="1288"/>
    </row>
    <row r="37200" spans="18:18" s="2" customFormat="1" ht="12.75" x14ac:dyDescent="0.2">
      <c r="R37200" s="1288"/>
    </row>
    <row r="37201" spans="18:18" s="2" customFormat="1" ht="12.75" x14ac:dyDescent="0.2">
      <c r="R37201" s="1288"/>
    </row>
    <row r="37202" spans="18:18" s="2" customFormat="1" ht="12.75" x14ac:dyDescent="0.2">
      <c r="R37202" s="1288"/>
    </row>
    <row r="37203" spans="18:18" s="2" customFormat="1" ht="12.75" x14ac:dyDescent="0.2">
      <c r="R37203" s="1288"/>
    </row>
    <row r="37204" spans="18:18" s="2" customFormat="1" ht="12.75" x14ac:dyDescent="0.2">
      <c r="R37204" s="1288"/>
    </row>
    <row r="37205" spans="18:18" s="2" customFormat="1" ht="12.75" x14ac:dyDescent="0.2">
      <c r="R37205" s="1288"/>
    </row>
    <row r="37206" spans="18:18" s="2" customFormat="1" ht="12.75" x14ac:dyDescent="0.2">
      <c r="R37206" s="1288"/>
    </row>
    <row r="37207" spans="18:18" s="2" customFormat="1" ht="12.75" x14ac:dyDescent="0.2">
      <c r="R37207" s="1288"/>
    </row>
    <row r="37208" spans="18:18" s="2" customFormat="1" ht="12.75" x14ac:dyDescent="0.2">
      <c r="R37208" s="1288"/>
    </row>
    <row r="37209" spans="18:18" s="2" customFormat="1" ht="12.75" x14ac:dyDescent="0.2">
      <c r="R37209" s="1288"/>
    </row>
    <row r="37210" spans="18:18" s="2" customFormat="1" ht="12.75" x14ac:dyDescent="0.2">
      <c r="R37210" s="1288"/>
    </row>
    <row r="37211" spans="18:18" s="2" customFormat="1" ht="12.75" x14ac:dyDescent="0.2">
      <c r="R37211" s="1288"/>
    </row>
    <row r="37212" spans="18:18" s="2" customFormat="1" ht="12.75" x14ac:dyDescent="0.2">
      <c r="R37212" s="1288"/>
    </row>
    <row r="37213" spans="18:18" s="2" customFormat="1" ht="12.75" x14ac:dyDescent="0.2">
      <c r="R37213" s="1288"/>
    </row>
    <row r="37214" spans="18:18" s="2" customFormat="1" ht="12.75" x14ac:dyDescent="0.2">
      <c r="R37214" s="1288"/>
    </row>
    <row r="37215" spans="18:18" s="2" customFormat="1" ht="12.75" x14ac:dyDescent="0.2">
      <c r="R37215" s="1288"/>
    </row>
    <row r="37216" spans="18:18" s="2" customFormat="1" ht="12.75" x14ac:dyDescent="0.2">
      <c r="R37216" s="1288"/>
    </row>
    <row r="37217" spans="18:18" s="2" customFormat="1" ht="12.75" x14ac:dyDescent="0.2">
      <c r="R37217" s="1288"/>
    </row>
    <row r="37218" spans="18:18" s="2" customFormat="1" ht="12.75" x14ac:dyDescent="0.2">
      <c r="R37218" s="1288"/>
    </row>
    <row r="37219" spans="18:18" s="2" customFormat="1" ht="12.75" x14ac:dyDescent="0.2">
      <c r="R37219" s="1288"/>
    </row>
    <row r="37220" spans="18:18" s="2" customFormat="1" ht="12.75" x14ac:dyDescent="0.2">
      <c r="R37220" s="1288"/>
    </row>
    <row r="37221" spans="18:18" s="2" customFormat="1" ht="12.75" x14ac:dyDescent="0.2">
      <c r="R37221" s="1288"/>
    </row>
    <row r="37222" spans="18:18" s="2" customFormat="1" ht="12.75" x14ac:dyDescent="0.2">
      <c r="R37222" s="1288"/>
    </row>
    <row r="37223" spans="18:18" s="2" customFormat="1" ht="12.75" x14ac:dyDescent="0.2">
      <c r="R37223" s="1288"/>
    </row>
    <row r="37224" spans="18:18" s="2" customFormat="1" ht="12.75" x14ac:dyDescent="0.2">
      <c r="R37224" s="1288"/>
    </row>
    <row r="37225" spans="18:18" s="2" customFormat="1" ht="12.75" x14ac:dyDescent="0.2">
      <c r="R37225" s="1288"/>
    </row>
    <row r="37226" spans="18:18" s="2" customFormat="1" ht="12.75" x14ac:dyDescent="0.2">
      <c r="R37226" s="1288"/>
    </row>
    <row r="37227" spans="18:18" s="2" customFormat="1" ht="12.75" x14ac:dyDescent="0.2">
      <c r="R37227" s="1288"/>
    </row>
    <row r="37228" spans="18:18" s="2" customFormat="1" ht="12.75" x14ac:dyDescent="0.2">
      <c r="R37228" s="1288"/>
    </row>
    <row r="37229" spans="18:18" s="2" customFormat="1" ht="12.75" x14ac:dyDescent="0.2">
      <c r="R37229" s="1288"/>
    </row>
    <row r="37230" spans="18:18" s="2" customFormat="1" ht="12.75" x14ac:dyDescent="0.2">
      <c r="R37230" s="1288"/>
    </row>
    <row r="37231" spans="18:18" s="2" customFormat="1" ht="12.75" x14ac:dyDescent="0.2">
      <c r="R37231" s="1288"/>
    </row>
    <row r="37232" spans="18:18" s="2" customFormat="1" ht="12.75" x14ac:dyDescent="0.2">
      <c r="R37232" s="1288"/>
    </row>
    <row r="37233" spans="18:18" s="2" customFormat="1" ht="12.75" x14ac:dyDescent="0.2">
      <c r="R37233" s="1288"/>
    </row>
    <row r="37234" spans="18:18" s="2" customFormat="1" ht="12.75" x14ac:dyDescent="0.2">
      <c r="R37234" s="1288"/>
    </row>
    <row r="37235" spans="18:18" s="2" customFormat="1" ht="12.75" x14ac:dyDescent="0.2">
      <c r="R37235" s="1288"/>
    </row>
    <row r="37236" spans="18:18" s="2" customFormat="1" ht="12.75" x14ac:dyDescent="0.2">
      <c r="R37236" s="1288"/>
    </row>
    <row r="37237" spans="18:18" s="2" customFormat="1" ht="12.75" x14ac:dyDescent="0.2">
      <c r="R37237" s="1288"/>
    </row>
    <row r="37238" spans="18:18" s="2" customFormat="1" ht="12.75" x14ac:dyDescent="0.2">
      <c r="R37238" s="1288"/>
    </row>
    <row r="37239" spans="18:18" s="2" customFormat="1" ht="12.75" x14ac:dyDescent="0.2">
      <c r="R37239" s="1288"/>
    </row>
    <row r="37240" spans="18:18" s="2" customFormat="1" ht="12.75" x14ac:dyDescent="0.2">
      <c r="R37240" s="1288"/>
    </row>
    <row r="37241" spans="18:18" s="2" customFormat="1" ht="12.75" x14ac:dyDescent="0.2">
      <c r="R37241" s="1288"/>
    </row>
    <row r="37242" spans="18:18" s="2" customFormat="1" ht="12.75" x14ac:dyDescent="0.2">
      <c r="R37242" s="1288"/>
    </row>
    <row r="37243" spans="18:18" s="2" customFormat="1" ht="12.75" x14ac:dyDescent="0.2">
      <c r="R37243" s="1288"/>
    </row>
    <row r="37244" spans="18:18" s="2" customFormat="1" ht="12.75" x14ac:dyDescent="0.2">
      <c r="R37244" s="1288"/>
    </row>
    <row r="37245" spans="18:18" s="2" customFormat="1" ht="12.75" x14ac:dyDescent="0.2">
      <c r="R37245" s="1288"/>
    </row>
    <row r="37246" spans="18:18" s="2" customFormat="1" ht="12.75" x14ac:dyDescent="0.2">
      <c r="R37246" s="1288"/>
    </row>
    <row r="37247" spans="18:18" s="2" customFormat="1" ht="12.75" x14ac:dyDescent="0.2">
      <c r="R37247" s="1288"/>
    </row>
    <row r="37248" spans="18:18" s="2" customFormat="1" ht="12.75" x14ac:dyDescent="0.2">
      <c r="R37248" s="1288"/>
    </row>
    <row r="37249" spans="18:18" s="2" customFormat="1" ht="12.75" x14ac:dyDescent="0.2">
      <c r="R37249" s="1288"/>
    </row>
    <row r="37250" spans="18:18" s="2" customFormat="1" ht="12.75" x14ac:dyDescent="0.2">
      <c r="R37250" s="1288"/>
    </row>
    <row r="37251" spans="18:18" s="2" customFormat="1" ht="12.75" x14ac:dyDescent="0.2">
      <c r="R37251" s="1288"/>
    </row>
    <row r="37252" spans="18:18" s="2" customFormat="1" ht="12.75" x14ac:dyDescent="0.2">
      <c r="R37252" s="1288"/>
    </row>
    <row r="37253" spans="18:18" s="2" customFormat="1" ht="12.75" x14ac:dyDescent="0.2">
      <c r="R37253" s="1288"/>
    </row>
    <row r="37254" spans="18:18" s="2" customFormat="1" ht="12.75" x14ac:dyDescent="0.2">
      <c r="R37254" s="1288"/>
    </row>
    <row r="37255" spans="18:18" s="2" customFormat="1" ht="12.75" x14ac:dyDescent="0.2">
      <c r="R37255" s="1288"/>
    </row>
    <row r="37256" spans="18:18" s="2" customFormat="1" ht="12.75" x14ac:dyDescent="0.2">
      <c r="R37256" s="1288"/>
    </row>
    <row r="37257" spans="18:18" s="2" customFormat="1" ht="12.75" x14ac:dyDescent="0.2">
      <c r="R37257" s="1288"/>
    </row>
    <row r="37258" spans="18:18" s="2" customFormat="1" ht="12.75" x14ac:dyDescent="0.2">
      <c r="R37258" s="1288"/>
    </row>
    <row r="37259" spans="18:18" s="2" customFormat="1" ht="12.75" x14ac:dyDescent="0.2">
      <c r="R37259" s="1288"/>
    </row>
    <row r="37260" spans="18:18" s="2" customFormat="1" ht="12.75" x14ac:dyDescent="0.2">
      <c r="R37260" s="1288"/>
    </row>
    <row r="37261" spans="18:18" s="2" customFormat="1" ht="12.75" x14ac:dyDescent="0.2">
      <c r="R37261" s="1288"/>
    </row>
    <row r="37262" spans="18:18" s="2" customFormat="1" ht="12.75" x14ac:dyDescent="0.2">
      <c r="R37262" s="1288"/>
    </row>
    <row r="37263" spans="18:18" s="2" customFormat="1" ht="12.75" x14ac:dyDescent="0.2">
      <c r="R37263" s="1288"/>
    </row>
    <row r="37264" spans="18:18" s="2" customFormat="1" ht="12.75" x14ac:dyDescent="0.2">
      <c r="R37264" s="1288"/>
    </row>
    <row r="37265" spans="18:18" s="2" customFormat="1" ht="12.75" x14ac:dyDescent="0.2">
      <c r="R37265" s="1288"/>
    </row>
    <row r="37266" spans="18:18" s="2" customFormat="1" ht="12.75" x14ac:dyDescent="0.2">
      <c r="R37266" s="1288"/>
    </row>
    <row r="37267" spans="18:18" s="2" customFormat="1" ht="12.75" x14ac:dyDescent="0.2">
      <c r="R37267" s="1288"/>
    </row>
    <row r="37268" spans="18:18" s="2" customFormat="1" ht="12.75" x14ac:dyDescent="0.2">
      <c r="R37268" s="1288"/>
    </row>
    <row r="37269" spans="18:18" s="2" customFormat="1" ht="12.75" x14ac:dyDescent="0.2">
      <c r="R37269" s="1288"/>
    </row>
    <row r="37270" spans="18:18" s="2" customFormat="1" ht="12.75" x14ac:dyDescent="0.2">
      <c r="R37270" s="1288"/>
    </row>
    <row r="37271" spans="18:18" s="2" customFormat="1" ht="12.75" x14ac:dyDescent="0.2">
      <c r="R37271" s="1288"/>
    </row>
    <row r="37272" spans="18:18" s="2" customFormat="1" ht="12.75" x14ac:dyDescent="0.2">
      <c r="R37272" s="1288"/>
    </row>
    <row r="37273" spans="18:18" s="2" customFormat="1" ht="12.75" x14ac:dyDescent="0.2">
      <c r="R37273" s="1288"/>
    </row>
    <row r="37274" spans="18:18" s="2" customFormat="1" ht="12.75" x14ac:dyDescent="0.2">
      <c r="R37274" s="1288"/>
    </row>
    <row r="37275" spans="18:18" s="2" customFormat="1" ht="12.75" x14ac:dyDescent="0.2">
      <c r="R37275" s="1288"/>
    </row>
    <row r="37276" spans="18:18" s="2" customFormat="1" ht="12.75" x14ac:dyDescent="0.2">
      <c r="R37276" s="1288"/>
    </row>
    <row r="37277" spans="18:18" s="2" customFormat="1" ht="12.75" x14ac:dyDescent="0.2">
      <c r="R37277" s="1288"/>
    </row>
    <row r="37278" spans="18:18" s="2" customFormat="1" ht="12.75" x14ac:dyDescent="0.2">
      <c r="R37278" s="1288"/>
    </row>
    <row r="37279" spans="18:18" s="2" customFormat="1" ht="12.75" x14ac:dyDescent="0.2">
      <c r="R37279" s="1288"/>
    </row>
    <row r="37280" spans="18:18" s="2" customFormat="1" ht="12.75" x14ac:dyDescent="0.2">
      <c r="R37280" s="1288"/>
    </row>
    <row r="37281" spans="18:18" s="2" customFormat="1" ht="12.75" x14ac:dyDescent="0.2">
      <c r="R37281" s="1288"/>
    </row>
    <row r="37282" spans="18:18" s="2" customFormat="1" ht="12.75" x14ac:dyDescent="0.2">
      <c r="R37282" s="1288"/>
    </row>
    <row r="37283" spans="18:18" s="2" customFormat="1" ht="12.75" x14ac:dyDescent="0.2">
      <c r="R37283" s="1288"/>
    </row>
    <row r="37284" spans="18:18" s="2" customFormat="1" ht="12.75" x14ac:dyDescent="0.2">
      <c r="R37284" s="1288"/>
    </row>
    <row r="37285" spans="18:18" s="2" customFormat="1" ht="12.75" x14ac:dyDescent="0.2">
      <c r="R37285" s="1288"/>
    </row>
    <row r="37286" spans="18:18" s="2" customFormat="1" ht="12.75" x14ac:dyDescent="0.2">
      <c r="R37286" s="1288"/>
    </row>
    <row r="37287" spans="18:18" s="2" customFormat="1" ht="12.75" x14ac:dyDescent="0.2">
      <c r="R37287" s="1288"/>
    </row>
    <row r="37288" spans="18:18" s="2" customFormat="1" ht="12.75" x14ac:dyDescent="0.2">
      <c r="R37288" s="1288"/>
    </row>
    <row r="37289" spans="18:18" s="2" customFormat="1" ht="12.75" x14ac:dyDescent="0.2">
      <c r="R37289" s="1288"/>
    </row>
    <row r="37290" spans="18:18" s="2" customFormat="1" ht="12.75" x14ac:dyDescent="0.2">
      <c r="R37290" s="1288"/>
    </row>
    <row r="37291" spans="18:18" s="2" customFormat="1" ht="12.75" x14ac:dyDescent="0.2">
      <c r="R37291" s="1288"/>
    </row>
    <row r="37292" spans="18:18" s="2" customFormat="1" ht="12.75" x14ac:dyDescent="0.2">
      <c r="R37292" s="1288"/>
    </row>
    <row r="37293" spans="18:18" s="2" customFormat="1" ht="12.75" x14ac:dyDescent="0.2">
      <c r="R37293" s="1288"/>
    </row>
    <row r="37294" spans="18:18" s="2" customFormat="1" ht="12.75" x14ac:dyDescent="0.2">
      <c r="R37294" s="1288"/>
    </row>
    <row r="37295" spans="18:18" s="2" customFormat="1" ht="12.75" x14ac:dyDescent="0.2">
      <c r="R37295" s="1288"/>
    </row>
    <row r="37296" spans="18:18" s="2" customFormat="1" ht="12.75" x14ac:dyDescent="0.2">
      <c r="R37296" s="1288"/>
    </row>
    <row r="37297" spans="18:18" s="2" customFormat="1" ht="12.75" x14ac:dyDescent="0.2">
      <c r="R37297" s="1288"/>
    </row>
    <row r="37298" spans="18:18" s="2" customFormat="1" ht="12.75" x14ac:dyDescent="0.2">
      <c r="R37298" s="1288"/>
    </row>
    <row r="37299" spans="18:18" s="2" customFormat="1" ht="12.75" x14ac:dyDescent="0.2">
      <c r="R37299" s="1288"/>
    </row>
    <row r="37300" spans="18:18" s="2" customFormat="1" ht="12.75" x14ac:dyDescent="0.2">
      <c r="R37300" s="1288"/>
    </row>
    <row r="37301" spans="18:18" s="2" customFormat="1" ht="12.75" x14ac:dyDescent="0.2">
      <c r="R37301" s="1288"/>
    </row>
    <row r="37302" spans="18:18" s="2" customFormat="1" ht="12.75" x14ac:dyDescent="0.2">
      <c r="R37302" s="1288"/>
    </row>
    <row r="37303" spans="18:18" s="2" customFormat="1" ht="12.75" x14ac:dyDescent="0.2">
      <c r="R37303" s="1288"/>
    </row>
    <row r="37304" spans="18:18" s="2" customFormat="1" ht="12.75" x14ac:dyDescent="0.2">
      <c r="R37304" s="1288"/>
    </row>
    <row r="37305" spans="18:18" s="2" customFormat="1" ht="12.75" x14ac:dyDescent="0.2">
      <c r="R37305" s="1288"/>
    </row>
    <row r="37306" spans="18:18" s="2" customFormat="1" ht="12.75" x14ac:dyDescent="0.2">
      <c r="R37306" s="1288"/>
    </row>
    <row r="37307" spans="18:18" s="2" customFormat="1" ht="12.75" x14ac:dyDescent="0.2">
      <c r="R37307" s="1288"/>
    </row>
    <row r="37308" spans="18:18" s="2" customFormat="1" ht="12.75" x14ac:dyDescent="0.2">
      <c r="R37308" s="1288"/>
    </row>
    <row r="37309" spans="18:18" s="2" customFormat="1" ht="12.75" x14ac:dyDescent="0.2">
      <c r="R37309" s="1288"/>
    </row>
    <row r="37310" spans="18:18" s="2" customFormat="1" ht="12.75" x14ac:dyDescent="0.2">
      <c r="R37310" s="1288"/>
    </row>
    <row r="37311" spans="18:18" s="2" customFormat="1" ht="12.75" x14ac:dyDescent="0.2">
      <c r="R37311" s="1288"/>
    </row>
    <row r="37312" spans="18:18" s="2" customFormat="1" ht="12.75" x14ac:dyDescent="0.2">
      <c r="R37312" s="1288"/>
    </row>
    <row r="37313" spans="18:18" s="2" customFormat="1" ht="12.75" x14ac:dyDescent="0.2">
      <c r="R37313" s="1288"/>
    </row>
    <row r="37314" spans="18:18" s="2" customFormat="1" ht="12.75" x14ac:dyDescent="0.2">
      <c r="R37314" s="1288"/>
    </row>
    <row r="37315" spans="18:18" s="2" customFormat="1" ht="12.75" x14ac:dyDescent="0.2">
      <c r="R37315" s="1288"/>
    </row>
    <row r="37316" spans="18:18" s="2" customFormat="1" ht="12.75" x14ac:dyDescent="0.2">
      <c r="R37316" s="1288"/>
    </row>
    <row r="37317" spans="18:18" s="2" customFormat="1" ht="12.75" x14ac:dyDescent="0.2">
      <c r="R37317" s="1288"/>
    </row>
    <row r="37318" spans="18:18" s="2" customFormat="1" ht="12.75" x14ac:dyDescent="0.2">
      <c r="R37318" s="1288"/>
    </row>
    <row r="37319" spans="18:18" s="2" customFormat="1" ht="12.75" x14ac:dyDescent="0.2">
      <c r="R37319" s="1288"/>
    </row>
    <row r="37320" spans="18:18" s="2" customFormat="1" ht="12.75" x14ac:dyDescent="0.2">
      <c r="R37320" s="1288"/>
    </row>
    <row r="37321" spans="18:18" s="2" customFormat="1" ht="12.75" x14ac:dyDescent="0.2">
      <c r="R37321" s="1288"/>
    </row>
    <row r="37322" spans="18:18" s="2" customFormat="1" ht="12.75" x14ac:dyDescent="0.2">
      <c r="R37322" s="1288"/>
    </row>
    <row r="37323" spans="18:18" s="2" customFormat="1" ht="12.75" x14ac:dyDescent="0.2">
      <c r="R37323" s="1288"/>
    </row>
    <row r="37324" spans="18:18" s="2" customFormat="1" ht="12.75" x14ac:dyDescent="0.2">
      <c r="R37324" s="1288"/>
    </row>
    <row r="37325" spans="18:18" s="2" customFormat="1" ht="12.75" x14ac:dyDescent="0.2">
      <c r="R37325" s="1288"/>
    </row>
    <row r="37326" spans="18:18" s="2" customFormat="1" ht="12.75" x14ac:dyDescent="0.2">
      <c r="R37326" s="1288"/>
    </row>
    <row r="37327" spans="18:18" s="2" customFormat="1" ht="12.75" x14ac:dyDescent="0.2">
      <c r="R37327" s="1288"/>
    </row>
    <row r="37328" spans="18:18" s="2" customFormat="1" ht="12.75" x14ac:dyDescent="0.2">
      <c r="R37328" s="1288"/>
    </row>
    <row r="37329" spans="18:18" s="2" customFormat="1" ht="12.75" x14ac:dyDescent="0.2">
      <c r="R37329" s="1288"/>
    </row>
    <row r="37330" spans="18:18" s="2" customFormat="1" ht="12.75" x14ac:dyDescent="0.2">
      <c r="R37330" s="1288"/>
    </row>
    <row r="37331" spans="18:18" s="2" customFormat="1" ht="12.75" x14ac:dyDescent="0.2">
      <c r="R37331" s="1288"/>
    </row>
    <row r="37332" spans="18:18" s="2" customFormat="1" ht="12.75" x14ac:dyDescent="0.2">
      <c r="R37332" s="1288"/>
    </row>
    <row r="37333" spans="18:18" s="2" customFormat="1" ht="12.75" x14ac:dyDescent="0.2">
      <c r="R37333" s="1288"/>
    </row>
    <row r="37334" spans="18:18" s="2" customFormat="1" ht="12.75" x14ac:dyDescent="0.2">
      <c r="R37334" s="1288"/>
    </row>
    <row r="37335" spans="18:18" s="2" customFormat="1" ht="12.75" x14ac:dyDescent="0.2">
      <c r="R37335" s="1288"/>
    </row>
    <row r="37336" spans="18:18" s="2" customFormat="1" ht="12.75" x14ac:dyDescent="0.2">
      <c r="R37336" s="1288"/>
    </row>
    <row r="37337" spans="18:18" s="2" customFormat="1" ht="12.75" x14ac:dyDescent="0.2">
      <c r="R37337" s="1288"/>
    </row>
    <row r="37338" spans="18:18" s="2" customFormat="1" ht="12.75" x14ac:dyDescent="0.2">
      <c r="R37338" s="1288"/>
    </row>
    <row r="37339" spans="18:18" s="2" customFormat="1" ht="12.75" x14ac:dyDescent="0.2">
      <c r="R37339" s="1288"/>
    </row>
    <row r="37340" spans="18:18" s="2" customFormat="1" ht="12.75" x14ac:dyDescent="0.2">
      <c r="R37340" s="1288"/>
    </row>
    <row r="37341" spans="18:18" s="2" customFormat="1" ht="12.75" x14ac:dyDescent="0.2">
      <c r="R37341" s="1288"/>
    </row>
    <row r="37342" spans="18:18" s="2" customFormat="1" ht="12.75" x14ac:dyDescent="0.2">
      <c r="R37342" s="1288"/>
    </row>
    <row r="37343" spans="18:18" s="2" customFormat="1" ht="12.75" x14ac:dyDescent="0.2">
      <c r="R37343" s="1288"/>
    </row>
    <row r="37344" spans="18:18" s="2" customFormat="1" ht="12.75" x14ac:dyDescent="0.2">
      <c r="R37344" s="1288"/>
    </row>
    <row r="37345" spans="18:18" s="2" customFormat="1" ht="12.75" x14ac:dyDescent="0.2">
      <c r="R37345" s="1288"/>
    </row>
    <row r="37346" spans="18:18" s="2" customFormat="1" ht="12.75" x14ac:dyDescent="0.2">
      <c r="R37346" s="1288"/>
    </row>
    <row r="37347" spans="18:18" s="2" customFormat="1" ht="12.75" x14ac:dyDescent="0.2">
      <c r="R37347" s="1288"/>
    </row>
    <row r="37348" spans="18:18" s="2" customFormat="1" ht="12.75" x14ac:dyDescent="0.2">
      <c r="R37348" s="1288"/>
    </row>
    <row r="37349" spans="18:18" s="2" customFormat="1" ht="12.75" x14ac:dyDescent="0.2">
      <c r="R37349" s="1288"/>
    </row>
    <row r="37350" spans="18:18" s="2" customFormat="1" ht="12.75" x14ac:dyDescent="0.2">
      <c r="R37350" s="1288"/>
    </row>
    <row r="37351" spans="18:18" s="2" customFormat="1" ht="12.75" x14ac:dyDescent="0.2">
      <c r="R37351" s="1288"/>
    </row>
    <row r="37352" spans="18:18" s="2" customFormat="1" ht="12.75" x14ac:dyDescent="0.2">
      <c r="R37352" s="1288"/>
    </row>
    <row r="37353" spans="18:18" s="2" customFormat="1" ht="12.75" x14ac:dyDescent="0.2">
      <c r="R37353" s="1288"/>
    </row>
    <row r="37354" spans="18:18" s="2" customFormat="1" ht="12.75" x14ac:dyDescent="0.2">
      <c r="R37354" s="1288"/>
    </row>
    <row r="37355" spans="18:18" s="2" customFormat="1" ht="12.75" x14ac:dyDescent="0.2">
      <c r="R37355" s="1288"/>
    </row>
    <row r="37356" spans="18:18" s="2" customFormat="1" ht="12.75" x14ac:dyDescent="0.2">
      <c r="R37356" s="1288"/>
    </row>
    <row r="37357" spans="18:18" s="2" customFormat="1" ht="12.75" x14ac:dyDescent="0.2">
      <c r="R37357" s="1288"/>
    </row>
    <row r="37358" spans="18:18" s="2" customFormat="1" ht="12.75" x14ac:dyDescent="0.2">
      <c r="R37358" s="1288"/>
    </row>
    <row r="37359" spans="18:18" s="2" customFormat="1" ht="12.75" x14ac:dyDescent="0.2">
      <c r="R37359" s="1288"/>
    </row>
    <row r="37360" spans="18:18" s="2" customFormat="1" ht="12.75" x14ac:dyDescent="0.2">
      <c r="R37360" s="1288"/>
    </row>
    <row r="37361" spans="18:18" s="2" customFormat="1" ht="12.75" x14ac:dyDescent="0.2">
      <c r="R37361" s="1288"/>
    </row>
    <row r="37362" spans="18:18" s="2" customFormat="1" ht="12.75" x14ac:dyDescent="0.2">
      <c r="R37362" s="1288"/>
    </row>
    <row r="37363" spans="18:18" s="2" customFormat="1" ht="12.75" x14ac:dyDescent="0.2">
      <c r="R37363" s="1288"/>
    </row>
    <row r="37364" spans="18:18" s="2" customFormat="1" ht="12.75" x14ac:dyDescent="0.2">
      <c r="R37364" s="1288"/>
    </row>
    <row r="37365" spans="18:18" s="2" customFormat="1" ht="12.75" x14ac:dyDescent="0.2">
      <c r="R37365" s="1288"/>
    </row>
    <row r="37366" spans="18:18" s="2" customFormat="1" ht="12.75" x14ac:dyDescent="0.2">
      <c r="R37366" s="1288"/>
    </row>
    <row r="37367" spans="18:18" s="2" customFormat="1" ht="12.75" x14ac:dyDescent="0.2">
      <c r="R37367" s="1288"/>
    </row>
    <row r="37368" spans="18:18" s="2" customFormat="1" ht="12.75" x14ac:dyDescent="0.2">
      <c r="R37368" s="1288"/>
    </row>
    <row r="37369" spans="18:18" s="2" customFormat="1" ht="12.75" x14ac:dyDescent="0.2">
      <c r="R37369" s="1288"/>
    </row>
    <row r="37370" spans="18:18" s="2" customFormat="1" ht="12.75" x14ac:dyDescent="0.2">
      <c r="R37370" s="1288"/>
    </row>
    <row r="37371" spans="18:18" s="2" customFormat="1" ht="12.75" x14ac:dyDescent="0.2">
      <c r="R37371" s="1288"/>
    </row>
    <row r="37372" spans="18:18" s="2" customFormat="1" ht="12.75" x14ac:dyDescent="0.2">
      <c r="R37372" s="1288"/>
    </row>
    <row r="37373" spans="18:18" s="2" customFormat="1" ht="12.75" x14ac:dyDescent="0.2">
      <c r="R37373" s="1288"/>
    </row>
    <row r="37374" spans="18:18" s="2" customFormat="1" ht="12.75" x14ac:dyDescent="0.2">
      <c r="R37374" s="1288"/>
    </row>
    <row r="37375" spans="18:18" s="2" customFormat="1" ht="12.75" x14ac:dyDescent="0.2">
      <c r="R37375" s="1288"/>
    </row>
    <row r="37376" spans="18:18" s="2" customFormat="1" ht="12.75" x14ac:dyDescent="0.2">
      <c r="R37376" s="1288"/>
    </row>
    <row r="37377" spans="18:18" s="2" customFormat="1" ht="12.75" x14ac:dyDescent="0.2">
      <c r="R37377" s="1288"/>
    </row>
    <row r="37378" spans="18:18" s="2" customFormat="1" ht="12.75" x14ac:dyDescent="0.2">
      <c r="R37378" s="1288"/>
    </row>
    <row r="37379" spans="18:18" s="2" customFormat="1" ht="12.75" x14ac:dyDescent="0.2">
      <c r="R37379" s="1288"/>
    </row>
    <row r="37380" spans="18:18" s="2" customFormat="1" ht="12.75" x14ac:dyDescent="0.2">
      <c r="R37380" s="1288"/>
    </row>
    <row r="37381" spans="18:18" s="2" customFormat="1" ht="12.75" x14ac:dyDescent="0.2">
      <c r="R37381" s="1288"/>
    </row>
    <row r="37382" spans="18:18" s="2" customFormat="1" ht="12.75" x14ac:dyDescent="0.2">
      <c r="R37382" s="1288"/>
    </row>
    <row r="37383" spans="18:18" s="2" customFormat="1" ht="12.75" x14ac:dyDescent="0.2">
      <c r="R37383" s="1288"/>
    </row>
    <row r="37384" spans="18:18" s="2" customFormat="1" ht="12.75" x14ac:dyDescent="0.2">
      <c r="R37384" s="1288"/>
    </row>
    <row r="37385" spans="18:18" s="2" customFormat="1" ht="12.75" x14ac:dyDescent="0.2">
      <c r="R37385" s="1288"/>
    </row>
    <row r="37386" spans="18:18" s="2" customFormat="1" ht="12.75" x14ac:dyDescent="0.2">
      <c r="R37386" s="1288"/>
    </row>
    <row r="37387" spans="18:18" s="2" customFormat="1" ht="12.75" x14ac:dyDescent="0.2">
      <c r="R37387" s="1288"/>
    </row>
    <row r="37388" spans="18:18" s="2" customFormat="1" ht="12.75" x14ac:dyDescent="0.2">
      <c r="R37388" s="1288"/>
    </row>
    <row r="37389" spans="18:18" s="2" customFormat="1" ht="12.75" x14ac:dyDescent="0.2">
      <c r="R37389" s="1288"/>
    </row>
    <row r="37390" spans="18:18" s="2" customFormat="1" ht="12.75" x14ac:dyDescent="0.2">
      <c r="R37390" s="1288"/>
    </row>
    <row r="37391" spans="18:18" s="2" customFormat="1" ht="12.75" x14ac:dyDescent="0.2">
      <c r="R37391" s="1288"/>
    </row>
    <row r="37392" spans="18:18" s="2" customFormat="1" ht="12.75" x14ac:dyDescent="0.2">
      <c r="R37392" s="1288"/>
    </row>
    <row r="37393" spans="18:18" s="2" customFormat="1" ht="12.75" x14ac:dyDescent="0.2">
      <c r="R37393" s="1288"/>
    </row>
    <row r="37394" spans="18:18" s="2" customFormat="1" ht="12.75" x14ac:dyDescent="0.2">
      <c r="R37394" s="1288"/>
    </row>
    <row r="37395" spans="18:18" s="2" customFormat="1" ht="12.75" x14ac:dyDescent="0.2">
      <c r="R37395" s="1288"/>
    </row>
    <row r="37396" spans="18:18" s="2" customFormat="1" ht="12.75" x14ac:dyDescent="0.2">
      <c r="R37396" s="1288"/>
    </row>
    <row r="37397" spans="18:18" s="2" customFormat="1" ht="12.75" x14ac:dyDescent="0.2">
      <c r="R37397" s="1288"/>
    </row>
    <row r="37398" spans="18:18" s="2" customFormat="1" ht="12.75" x14ac:dyDescent="0.2">
      <c r="R37398" s="1288"/>
    </row>
    <row r="37399" spans="18:18" s="2" customFormat="1" ht="12.75" x14ac:dyDescent="0.2">
      <c r="R37399" s="1288"/>
    </row>
    <row r="37400" spans="18:18" s="2" customFormat="1" ht="12.75" x14ac:dyDescent="0.2">
      <c r="R37400" s="1288"/>
    </row>
    <row r="37401" spans="18:18" s="2" customFormat="1" ht="12.75" x14ac:dyDescent="0.2">
      <c r="R37401" s="1288"/>
    </row>
    <row r="37402" spans="18:18" s="2" customFormat="1" ht="12.75" x14ac:dyDescent="0.2">
      <c r="R37402" s="1288"/>
    </row>
    <row r="37403" spans="18:18" s="2" customFormat="1" ht="12.75" x14ac:dyDescent="0.2">
      <c r="R37403" s="1288"/>
    </row>
    <row r="37404" spans="18:18" s="2" customFormat="1" ht="12.75" x14ac:dyDescent="0.2">
      <c r="R37404" s="1288"/>
    </row>
    <row r="37405" spans="18:18" s="2" customFormat="1" ht="12.75" x14ac:dyDescent="0.2">
      <c r="R37405" s="1288"/>
    </row>
    <row r="37406" spans="18:18" s="2" customFormat="1" ht="12.75" x14ac:dyDescent="0.2">
      <c r="R37406" s="1288"/>
    </row>
    <row r="37407" spans="18:18" s="2" customFormat="1" ht="12.75" x14ac:dyDescent="0.2">
      <c r="R37407" s="1288"/>
    </row>
    <row r="37408" spans="18:18" s="2" customFormat="1" ht="12.75" x14ac:dyDescent="0.2">
      <c r="R37408" s="1288"/>
    </row>
    <row r="37409" spans="18:18" s="2" customFormat="1" ht="12.75" x14ac:dyDescent="0.2">
      <c r="R37409" s="1288"/>
    </row>
    <row r="37410" spans="18:18" s="2" customFormat="1" ht="12.75" x14ac:dyDescent="0.2">
      <c r="R37410" s="1288"/>
    </row>
    <row r="37411" spans="18:18" s="2" customFormat="1" ht="12.75" x14ac:dyDescent="0.2">
      <c r="R37411" s="1288"/>
    </row>
    <row r="37412" spans="18:18" s="2" customFormat="1" ht="12.75" x14ac:dyDescent="0.2">
      <c r="R37412" s="1288"/>
    </row>
    <row r="37413" spans="18:18" s="2" customFormat="1" ht="12.75" x14ac:dyDescent="0.2">
      <c r="R37413" s="1288"/>
    </row>
    <row r="37414" spans="18:18" s="2" customFormat="1" ht="12.75" x14ac:dyDescent="0.2">
      <c r="R37414" s="1288"/>
    </row>
    <row r="37415" spans="18:18" s="2" customFormat="1" ht="12.75" x14ac:dyDescent="0.2">
      <c r="R37415" s="1288"/>
    </row>
    <row r="37416" spans="18:18" s="2" customFormat="1" ht="12.75" x14ac:dyDescent="0.2">
      <c r="R37416" s="1288"/>
    </row>
    <row r="37417" spans="18:18" s="2" customFormat="1" ht="12.75" x14ac:dyDescent="0.2">
      <c r="R37417" s="1288"/>
    </row>
    <row r="37418" spans="18:18" s="2" customFormat="1" ht="12.75" x14ac:dyDescent="0.2">
      <c r="R37418" s="1288"/>
    </row>
    <row r="37419" spans="18:18" s="2" customFormat="1" ht="12.75" x14ac:dyDescent="0.2">
      <c r="R37419" s="1288"/>
    </row>
    <row r="37420" spans="18:18" s="2" customFormat="1" ht="12.75" x14ac:dyDescent="0.2">
      <c r="R37420" s="1288"/>
    </row>
    <row r="37421" spans="18:18" s="2" customFormat="1" ht="12.75" x14ac:dyDescent="0.2">
      <c r="R37421" s="1288"/>
    </row>
    <row r="37422" spans="18:18" s="2" customFormat="1" ht="12.75" x14ac:dyDescent="0.2">
      <c r="R37422" s="1288"/>
    </row>
    <row r="37423" spans="18:18" s="2" customFormat="1" ht="12.75" x14ac:dyDescent="0.2">
      <c r="R37423" s="1288"/>
    </row>
    <row r="37424" spans="18:18" s="2" customFormat="1" ht="12.75" x14ac:dyDescent="0.2">
      <c r="R37424" s="1288"/>
    </row>
    <row r="37425" spans="18:18" s="2" customFormat="1" ht="12.75" x14ac:dyDescent="0.2">
      <c r="R37425" s="1288"/>
    </row>
    <row r="37426" spans="18:18" s="2" customFormat="1" ht="12.75" x14ac:dyDescent="0.2">
      <c r="R37426" s="1288"/>
    </row>
    <row r="37427" spans="18:18" s="2" customFormat="1" ht="12.75" x14ac:dyDescent="0.2">
      <c r="R37427" s="1288"/>
    </row>
    <row r="37428" spans="18:18" s="2" customFormat="1" ht="12.75" x14ac:dyDescent="0.2">
      <c r="R37428" s="1288"/>
    </row>
    <row r="37429" spans="18:18" s="2" customFormat="1" ht="12.75" x14ac:dyDescent="0.2">
      <c r="R37429" s="1288"/>
    </row>
    <row r="37430" spans="18:18" s="2" customFormat="1" ht="12.75" x14ac:dyDescent="0.2">
      <c r="R37430" s="1288"/>
    </row>
    <row r="37431" spans="18:18" s="2" customFormat="1" ht="12.75" x14ac:dyDescent="0.2">
      <c r="R37431" s="1288"/>
    </row>
    <row r="37432" spans="18:18" s="2" customFormat="1" ht="12.75" x14ac:dyDescent="0.2">
      <c r="R37432" s="1288"/>
    </row>
    <row r="37433" spans="18:18" s="2" customFormat="1" ht="12.75" x14ac:dyDescent="0.2">
      <c r="R37433" s="1288"/>
    </row>
    <row r="37434" spans="18:18" s="2" customFormat="1" ht="12.75" x14ac:dyDescent="0.2">
      <c r="R37434" s="1288"/>
    </row>
    <row r="37435" spans="18:18" s="2" customFormat="1" ht="12.75" x14ac:dyDescent="0.2">
      <c r="R37435" s="1288"/>
    </row>
    <row r="37436" spans="18:18" s="2" customFormat="1" ht="12.75" x14ac:dyDescent="0.2">
      <c r="R37436" s="1288"/>
    </row>
    <row r="37437" spans="18:18" s="2" customFormat="1" ht="12.75" x14ac:dyDescent="0.2">
      <c r="R37437" s="1288"/>
    </row>
    <row r="37438" spans="18:18" s="2" customFormat="1" ht="12.75" x14ac:dyDescent="0.2">
      <c r="R37438" s="1288"/>
    </row>
    <row r="37439" spans="18:18" s="2" customFormat="1" ht="12.75" x14ac:dyDescent="0.2">
      <c r="R37439" s="1288"/>
    </row>
    <row r="37440" spans="18:18" s="2" customFormat="1" ht="12.75" x14ac:dyDescent="0.2">
      <c r="R37440" s="1288"/>
    </row>
    <row r="37441" spans="18:18" s="2" customFormat="1" ht="12.75" x14ac:dyDescent="0.2">
      <c r="R37441" s="1288"/>
    </row>
    <row r="37442" spans="18:18" s="2" customFormat="1" ht="12.75" x14ac:dyDescent="0.2">
      <c r="R37442" s="1288"/>
    </row>
    <row r="37443" spans="18:18" s="2" customFormat="1" ht="12.75" x14ac:dyDescent="0.2">
      <c r="R37443" s="1288"/>
    </row>
    <row r="37444" spans="18:18" s="2" customFormat="1" ht="12.75" x14ac:dyDescent="0.2">
      <c r="R37444" s="1288"/>
    </row>
    <row r="37445" spans="18:18" s="2" customFormat="1" ht="12.75" x14ac:dyDescent="0.2">
      <c r="R37445" s="1288"/>
    </row>
    <row r="37446" spans="18:18" s="2" customFormat="1" ht="12.75" x14ac:dyDescent="0.2">
      <c r="R37446" s="1288"/>
    </row>
    <row r="37447" spans="18:18" s="2" customFormat="1" ht="12.75" x14ac:dyDescent="0.2">
      <c r="R37447" s="1288"/>
    </row>
    <row r="37448" spans="18:18" s="2" customFormat="1" ht="12.75" x14ac:dyDescent="0.2">
      <c r="R37448" s="1288"/>
    </row>
    <row r="37449" spans="18:18" s="2" customFormat="1" ht="12.75" x14ac:dyDescent="0.2">
      <c r="R37449" s="1288"/>
    </row>
    <row r="37450" spans="18:18" s="2" customFormat="1" ht="12.75" x14ac:dyDescent="0.2">
      <c r="R37450" s="1288"/>
    </row>
    <row r="37451" spans="18:18" s="2" customFormat="1" ht="12.75" x14ac:dyDescent="0.2">
      <c r="R37451" s="1288"/>
    </row>
    <row r="37452" spans="18:18" s="2" customFormat="1" ht="12.75" x14ac:dyDescent="0.2">
      <c r="R37452" s="1288"/>
    </row>
    <row r="37453" spans="18:18" s="2" customFormat="1" ht="12.75" x14ac:dyDescent="0.2">
      <c r="R37453" s="1288"/>
    </row>
    <row r="37454" spans="18:18" s="2" customFormat="1" ht="12.75" x14ac:dyDescent="0.2">
      <c r="R37454" s="1288"/>
    </row>
    <row r="37455" spans="18:18" s="2" customFormat="1" ht="12.75" x14ac:dyDescent="0.2">
      <c r="R37455" s="1288"/>
    </row>
    <row r="37456" spans="18:18" s="2" customFormat="1" ht="12.75" x14ac:dyDescent="0.2">
      <c r="R37456" s="1288"/>
    </row>
    <row r="37457" spans="18:18" s="2" customFormat="1" ht="12.75" x14ac:dyDescent="0.2">
      <c r="R37457" s="1288"/>
    </row>
    <row r="37458" spans="18:18" s="2" customFormat="1" ht="12.75" x14ac:dyDescent="0.2">
      <c r="R37458" s="1288"/>
    </row>
    <row r="37459" spans="18:18" s="2" customFormat="1" ht="12.75" x14ac:dyDescent="0.2">
      <c r="R37459" s="1288"/>
    </row>
    <row r="37460" spans="18:18" s="2" customFormat="1" ht="12.75" x14ac:dyDescent="0.2">
      <c r="R37460" s="1288"/>
    </row>
    <row r="37461" spans="18:18" s="2" customFormat="1" ht="12.75" x14ac:dyDescent="0.2">
      <c r="R37461" s="1288"/>
    </row>
    <row r="37462" spans="18:18" s="2" customFormat="1" ht="12.75" x14ac:dyDescent="0.2">
      <c r="R37462" s="1288"/>
    </row>
    <row r="37463" spans="18:18" s="2" customFormat="1" ht="12.75" x14ac:dyDescent="0.2">
      <c r="R37463" s="1288"/>
    </row>
    <row r="37464" spans="18:18" s="2" customFormat="1" ht="12.75" x14ac:dyDescent="0.2">
      <c r="R37464" s="1288"/>
    </row>
    <row r="37465" spans="18:18" s="2" customFormat="1" ht="12.75" x14ac:dyDescent="0.2">
      <c r="R37465" s="1288"/>
    </row>
    <row r="37466" spans="18:18" s="2" customFormat="1" ht="12.75" x14ac:dyDescent="0.2">
      <c r="R37466" s="1288"/>
    </row>
    <row r="37467" spans="18:18" s="2" customFormat="1" ht="12.75" x14ac:dyDescent="0.2">
      <c r="R37467" s="1288"/>
    </row>
    <row r="37468" spans="18:18" s="2" customFormat="1" ht="12.75" x14ac:dyDescent="0.2">
      <c r="R37468" s="1288"/>
    </row>
    <row r="37469" spans="18:18" s="2" customFormat="1" ht="12.75" x14ac:dyDescent="0.2">
      <c r="R37469" s="1288"/>
    </row>
    <row r="37470" spans="18:18" s="2" customFormat="1" ht="12.75" x14ac:dyDescent="0.2">
      <c r="R37470" s="1288"/>
    </row>
    <row r="37471" spans="18:18" s="2" customFormat="1" ht="12.75" x14ac:dyDescent="0.2">
      <c r="R37471" s="1288"/>
    </row>
    <row r="37472" spans="18:18" s="2" customFormat="1" ht="12.75" x14ac:dyDescent="0.2">
      <c r="R37472" s="1288"/>
    </row>
    <row r="37473" spans="18:18" s="2" customFormat="1" ht="12.75" x14ac:dyDescent="0.2">
      <c r="R37473" s="1288"/>
    </row>
    <row r="37474" spans="18:18" s="2" customFormat="1" ht="12.75" x14ac:dyDescent="0.2">
      <c r="R37474" s="1288"/>
    </row>
    <row r="37475" spans="18:18" s="2" customFormat="1" ht="12.75" x14ac:dyDescent="0.2">
      <c r="R37475" s="1288"/>
    </row>
    <row r="37476" spans="18:18" s="2" customFormat="1" ht="12.75" x14ac:dyDescent="0.2">
      <c r="R37476" s="1288"/>
    </row>
    <row r="37477" spans="18:18" s="2" customFormat="1" ht="12.75" x14ac:dyDescent="0.2">
      <c r="R37477" s="1288"/>
    </row>
    <row r="37478" spans="18:18" s="2" customFormat="1" ht="12.75" x14ac:dyDescent="0.2">
      <c r="R37478" s="1288"/>
    </row>
    <row r="37479" spans="18:18" s="2" customFormat="1" ht="12.75" x14ac:dyDescent="0.2">
      <c r="R37479" s="1288"/>
    </row>
    <row r="37480" spans="18:18" s="2" customFormat="1" ht="12.75" x14ac:dyDescent="0.2">
      <c r="R37480" s="1288"/>
    </row>
    <row r="37481" spans="18:18" s="2" customFormat="1" ht="12.75" x14ac:dyDescent="0.2">
      <c r="R37481" s="1288"/>
    </row>
    <row r="37482" spans="18:18" s="2" customFormat="1" ht="12.75" x14ac:dyDescent="0.2">
      <c r="R37482" s="1288"/>
    </row>
    <row r="37483" spans="18:18" s="2" customFormat="1" ht="12.75" x14ac:dyDescent="0.2">
      <c r="R37483" s="1288"/>
    </row>
    <row r="37484" spans="18:18" s="2" customFormat="1" ht="12.75" x14ac:dyDescent="0.2">
      <c r="R37484" s="1288"/>
    </row>
    <row r="37485" spans="18:18" s="2" customFormat="1" ht="12.75" x14ac:dyDescent="0.2">
      <c r="R37485" s="1288"/>
    </row>
    <row r="37486" spans="18:18" s="2" customFormat="1" ht="12.75" x14ac:dyDescent="0.2">
      <c r="R37486" s="1288"/>
    </row>
    <row r="37487" spans="18:18" s="2" customFormat="1" ht="12.75" x14ac:dyDescent="0.2">
      <c r="R37487" s="1288"/>
    </row>
    <row r="37488" spans="18:18" s="2" customFormat="1" ht="12.75" x14ac:dyDescent="0.2">
      <c r="R37488" s="1288"/>
    </row>
    <row r="37489" spans="18:18" s="2" customFormat="1" ht="12.75" x14ac:dyDescent="0.2">
      <c r="R37489" s="1288"/>
    </row>
    <row r="37490" spans="18:18" s="2" customFormat="1" ht="12.75" x14ac:dyDescent="0.2">
      <c r="R37490" s="1288"/>
    </row>
    <row r="37491" spans="18:18" s="2" customFormat="1" ht="12.75" x14ac:dyDescent="0.2">
      <c r="R37491" s="1288"/>
    </row>
    <row r="37492" spans="18:18" s="2" customFormat="1" ht="12.75" x14ac:dyDescent="0.2">
      <c r="R37492" s="1288"/>
    </row>
    <row r="37493" spans="18:18" s="2" customFormat="1" ht="12.75" x14ac:dyDescent="0.2">
      <c r="R37493" s="1288"/>
    </row>
    <row r="37494" spans="18:18" s="2" customFormat="1" ht="12.75" x14ac:dyDescent="0.2">
      <c r="R37494" s="1288"/>
    </row>
    <row r="37495" spans="18:18" s="2" customFormat="1" ht="12.75" x14ac:dyDescent="0.2">
      <c r="R37495" s="1288"/>
    </row>
    <row r="37496" spans="18:18" s="2" customFormat="1" ht="12.75" x14ac:dyDescent="0.2">
      <c r="R37496" s="1288"/>
    </row>
    <row r="37497" spans="18:18" s="2" customFormat="1" ht="12.75" x14ac:dyDescent="0.2">
      <c r="R37497" s="1288"/>
    </row>
    <row r="37498" spans="18:18" s="2" customFormat="1" ht="12.75" x14ac:dyDescent="0.2">
      <c r="R37498" s="1288"/>
    </row>
    <row r="37499" spans="18:18" s="2" customFormat="1" ht="12.75" x14ac:dyDescent="0.2">
      <c r="R37499" s="1288"/>
    </row>
    <row r="37500" spans="18:18" s="2" customFormat="1" ht="12.75" x14ac:dyDescent="0.2">
      <c r="R37500" s="1288"/>
    </row>
    <row r="37501" spans="18:18" s="2" customFormat="1" ht="12.75" x14ac:dyDescent="0.2">
      <c r="R37501" s="1288"/>
    </row>
    <row r="37502" spans="18:18" s="2" customFormat="1" ht="12.75" x14ac:dyDescent="0.2">
      <c r="R37502" s="1288"/>
    </row>
    <row r="37503" spans="18:18" s="2" customFormat="1" ht="12.75" x14ac:dyDescent="0.2">
      <c r="R37503" s="1288"/>
    </row>
    <row r="37504" spans="18:18" s="2" customFormat="1" ht="12.75" x14ac:dyDescent="0.2">
      <c r="R37504" s="1288"/>
    </row>
    <row r="37505" spans="18:18" s="2" customFormat="1" ht="12.75" x14ac:dyDescent="0.2">
      <c r="R37505" s="1288"/>
    </row>
    <row r="37506" spans="18:18" s="2" customFormat="1" ht="12.75" x14ac:dyDescent="0.2">
      <c r="R37506" s="1288"/>
    </row>
    <row r="37507" spans="18:18" s="2" customFormat="1" ht="12.75" x14ac:dyDescent="0.2">
      <c r="R37507" s="1288"/>
    </row>
    <row r="37508" spans="18:18" s="2" customFormat="1" ht="12.75" x14ac:dyDescent="0.2">
      <c r="R37508" s="1288"/>
    </row>
    <row r="37509" spans="18:18" s="2" customFormat="1" ht="12.75" x14ac:dyDescent="0.2">
      <c r="R37509" s="1288"/>
    </row>
    <row r="37510" spans="18:18" s="2" customFormat="1" ht="12.75" x14ac:dyDescent="0.2">
      <c r="R37510" s="1288"/>
    </row>
    <row r="37511" spans="18:18" s="2" customFormat="1" ht="12.75" x14ac:dyDescent="0.2">
      <c r="R37511" s="1288"/>
    </row>
    <row r="37512" spans="18:18" s="2" customFormat="1" ht="12.75" x14ac:dyDescent="0.2">
      <c r="R37512" s="1288"/>
    </row>
    <row r="37513" spans="18:18" s="2" customFormat="1" ht="12.75" x14ac:dyDescent="0.2">
      <c r="R37513" s="1288"/>
    </row>
    <row r="37514" spans="18:18" s="2" customFormat="1" ht="12.75" x14ac:dyDescent="0.2">
      <c r="R37514" s="1288"/>
    </row>
    <row r="37515" spans="18:18" s="2" customFormat="1" ht="12.75" x14ac:dyDescent="0.2">
      <c r="R37515" s="1288"/>
    </row>
    <row r="37516" spans="18:18" s="2" customFormat="1" ht="12.75" x14ac:dyDescent="0.2">
      <c r="R37516" s="1288"/>
    </row>
    <row r="37517" spans="18:18" s="2" customFormat="1" ht="12.75" x14ac:dyDescent="0.2">
      <c r="R37517" s="1288"/>
    </row>
    <row r="37518" spans="18:18" s="2" customFormat="1" ht="12.75" x14ac:dyDescent="0.2">
      <c r="R37518" s="1288"/>
    </row>
    <row r="37519" spans="18:18" s="2" customFormat="1" ht="12.75" x14ac:dyDescent="0.2">
      <c r="R37519" s="1288"/>
    </row>
    <row r="37520" spans="18:18" s="2" customFormat="1" ht="12.75" x14ac:dyDescent="0.2">
      <c r="R37520" s="1288"/>
    </row>
    <row r="37521" spans="18:18" s="2" customFormat="1" ht="12.75" x14ac:dyDescent="0.2">
      <c r="R37521" s="1288"/>
    </row>
    <row r="37522" spans="18:18" s="2" customFormat="1" ht="12.75" x14ac:dyDescent="0.2">
      <c r="R37522" s="1288"/>
    </row>
    <row r="37523" spans="18:18" s="2" customFormat="1" ht="12.75" x14ac:dyDescent="0.2">
      <c r="R37523" s="1288"/>
    </row>
    <row r="37524" spans="18:18" s="2" customFormat="1" ht="12.75" x14ac:dyDescent="0.2">
      <c r="R37524" s="1288"/>
    </row>
    <row r="37525" spans="18:18" s="2" customFormat="1" ht="12.75" x14ac:dyDescent="0.2">
      <c r="R37525" s="1288"/>
    </row>
    <row r="37526" spans="18:18" s="2" customFormat="1" ht="12.75" x14ac:dyDescent="0.2">
      <c r="R37526" s="1288"/>
    </row>
    <row r="37527" spans="18:18" s="2" customFormat="1" ht="12.75" x14ac:dyDescent="0.2">
      <c r="R37527" s="1288"/>
    </row>
    <row r="37528" spans="18:18" s="2" customFormat="1" ht="12.75" x14ac:dyDescent="0.2">
      <c r="R37528" s="1288"/>
    </row>
    <row r="37529" spans="18:18" s="2" customFormat="1" ht="12.75" x14ac:dyDescent="0.2">
      <c r="R37529" s="1288"/>
    </row>
    <row r="37530" spans="18:18" s="2" customFormat="1" ht="12.75" x14ac:dyDescent="0.2">
      <c r="R37530" s="1288"/>
    </row>
    <row r="37531" spans="18:18" s="2" customFormat="1" ht="12.75" x14ac:dyDescent="0.2">
      <c r="R37531" s="1288"/>
    </row>
    <row r="37532" spans="18:18" s="2" customFormat="1" ht="12.75" x14ac:dyDescent="0.2">
      <c r="R37532" s="1288"/>
    </row>
    <row r="37533" spans="18:18" s="2" customFormat="1" ht="12.75" x14ac:dyDescent="0.2">
      <c r="R37533" s="1288"/>
    </row>
    <row r="37534" spans="18:18" s="2" customFormat="1" ht="12.75" x14ac:dyDescent="0.2">
      <c r="R37534" s="1288"/>
    </row>
    <row r="37535" spans="18:18" s="2" customFormat="1" ht="12.75" x14ac:dyDescent="0.2">
      <c r="R37535" s="1288"/>
    </row>
    <row r="37536" spans="18:18" s="2" customFormat="1" ht="12.75" x14ac:dyDescent="0.2">
      <c r="R37536" s="1288"/>
    </row>
    <row r="37537" spans="18:18" s="2" customFormat="1" ht="12.75" x14ac:dyDescent="0.2">
      <c r="R37537" s="1288"/>
    </row>
    <row r="37538" spans="18:18" s="2" customFormat="1" ht="12.75" x14ac:dyDescent="0.2">
      <c r="R37538" s="1288"/>
    </row>
    <row r="37539" spans="18:18" s="2" customFormat="1" ht="12.75" x14ac:dyDescent="0.2">
      <c r="R37539" s="1288"/>
    </row>
    <row r="37540" spans="18:18" s="2" customFormat="1" ht="12.75" x14ac:dyDescent="0.2">
      <c r="R37540" s="1288"/>
    </row>
    <row r="37541" spans="18:18" s="2" customFormat="1" ht="12.75" x14ac:dyDescent="0.2">
      <c r="R37541" s="1288"/>
    </row>
    <row r="37542" spans="18:18" s="2" customFormat="1" ht="12.75" x14ac:dyDescent="0.2">
      <c r="R37542" s="1288"/>
    </row>
    <row r="37543" spans="18:18" s="2" customFormat="1" ht="12.75" x14ac:dyDescent="0.2">
      <c r="R37543" s="1288"/>
    </row>
    <row r="37544" spans="18:18" s="2" customFormat="1" ht="12.75" x14ac:dyDescent="0.2">
      <c r="R37544" s="1288"/>
    </row>
    <row r="37545" spans="18:18" s="2" customFormat="1" ht="12.75" x14ac:dyDescent="0.2">
      <c r="R37545" s="1288"/>
    </row>
    <row r="37546" spans="18:18" s="2" customFormat="1" ht="12.75" x14ac:dyDescent="0.2">
      <c r="R37546" s="1288"/>
    </row>
    <row r="37547" spans="18:18" s="2" customFormat="1" ht="12.75" x14ac:dyDescent="0.2">
      <c r="R37547" s="1288"/>
    </row>
    <row r="37548" spans="18:18" s="2" customFormat="1" ht="12.75" x14ac:dyDescent="0.2">
      <c r="R37548" s="1288"/>
    </row>
    <row r="37549" spans="18:18" s="2" customFormat="1" ht="12.75" x14ac:dyDescent="0.2">
      <c r="R37549" s="1288"/>
    </row>
    <row r="37550" spans="18:18" s="2" customFormat="1" ht="12.75" x14ac:dyDescent="0.2">
      <c r="R37550" s="1288"/>
    </row>
    <row r="37551" spans="18:18" s="2" customFormat="1" ht="12.75" x14ac:dyDescent="0.2">
      <c r="R37551" s="1288"/>
    </row>
    <row r="37552" spans="18:18" s="2" customFormat="1" ht="12.75" x14ac:dyDescent="0.2">
      <c r="R37552" s="1288"/>
    </row>
    <row r="37553" spans="18:18" s="2" customFormat="1" ht="12.75" x14ac:dyDescent="0.2">
      <c r="R37553" s="1288"/>
    </row>
    <row r="37554" spans="18:18" s="2" customFormat="1" ht="12.75" x14ac:dyDescent="0.2">
      <c r="R37554" s="1288"/>
    </row>
    <row r="37555" spans="18:18" s="2" customFormat="1" ht="12.75" x14ac:dyDescent="0.2">
      <c r="R37555" s="1288"/>
    </row>
    <row r="37556" spans="18:18" s="2" customFormat="1" ht="12.75" x14ac:dyDescent="0.2">
      <c r="R37556" s="1288"/>
    </row>
    <row r="37557" spans="18:18" s="2" customFormat="1" ht="12.75" x14ac:dyDescent="0.2">
      <c r="R37557" s="1288"/>
    </row>
    <row r="37558" spans="18:18" s="2" customFormat="1" ht="12.75" x14ac:dyDescent="0.2">
      <c r="R37558" s="1288"/>
    </row>
    <row r="37559" spans="18:18" s="2" customFormat="1" ht="12.75" x14ac:dyDescent="0.2">
      <c r="R37559" s="1288"/>
    </row>
    <row r="37560" spans="18:18" s="2" customFormat="1" ht="12.75" x14ac:dyDescent="0.2">
      <c r="R37560" s="1288"/>
    </row>
    <row r="37561" spans="18:18" s="2" customFormat="1" ht="12.75" x14ac:dyDescent="0.2">
      <c r="R37561" s="1288"/>
    </row>
    <row r="37562" spans="18:18" s="2" customFormat="1" ht="12.75" x14ac:dyDescent="0.2">
      <c r="R37562" s="1288"/>
    </row>
    <row r="37563" spans="18:18" s="2" customFormat="1" ht="12.75" x14ac:dyDescent="0.2">
      <c r="R37563" s="1288"/>
    </row>
    <row r="37564" spans="18:18" s="2" customFormat="1" ht="12.75" x14ac:dyDescent="0.2">
      <c r="R37564" s="1288"/>
    </row>
    <row r="37565" spans="18:18" s="2" customFormat="1" ht="12.75" x14ac:dyDescent="0.2">
      <c r="R37565" s="1288"/>
    </row>
    <row r="37566" spans="18:18" s="2" customFormat="1" ht="12.75" x14ac:dyDescent="0.2">
      <c r="R37566" s="1288"/>
    </row>
    <row r="37567" spans="18:18" s="2" customFormat="1" ht="12.75" x14ac:dyDescent="0.2">
      <c r="R37567" s="1288"/>
    </row>
    <row r="37568" spans="18:18" s="2" customFormat="1" ht="12.75" x14ac:dyDescent="0.2">
      <c r="R37568" s="1288"/>
    </row>
    <row r="37569" spans="18:18" s="2" customFormat="1" ht="12.75" x14ac:dyDescent="0.2">
      <c r="R37569" s="1288"/>
    </row>
    <row r="37570" spans="18:18" s="2" customFormat="1" ht="12.75" x14ac:dyDescent="0.2">
      <c r="R37570" s="1288"/>
    </row>
    <row r="37571" spans="18:18" s="2" customFormat="1" ht="12.75" x14ac:dyDescent="0.2">
      <c r="R37571" s="1288"/>
    </row>
    <row r="37572" spans="18:18" s="2" customFormat="1" ht="12.75" x14ac:dyDescent="0.2">
      <c r="R37572" s="1288"/>
    </row>
    <row r="37573" spans="18:18" s="2" customFormat="1" ht="12.75" x14ac:dyDescent="0.2">
      <c r="R37573" s="1288"/>
    </row>
    <row r="37574" spans="18:18" s="2" customFormat="1" ht="12.75" x14ac:dyDescent="0.2">
      <c r="R37574" s="1288"/>
    </row>
    <row r="37575" spans="18:18" s="2" customFormat="1" ht="12.75" x14ac:dyDescent="0.2">
      <c r="R37575" s="1288"/>
    </row>
    <row r="37576" spans="18:18" s="2" customFormat="1" ht="12.75" x14ac:dyDescent="0.2">
      <c r="R37576" s="1288"/>
    </row>
    <row r="37577" spans="18:18" s="2" customFormat="1" ht="12.75" x14ac:dyDescent="0.2">
      <c r="R37577" s="1288"/>
    </row>
    <row r="37578" spans="18:18" s="2" customFormat="1" ht="12.75" x14ac:dyDescent="0.2">
      <c r="R37578" s="1288"/>
    </row>
    <row r="37579" spans="18:18" s="2" customFormat="1" ht="12.75" x14ac:dyDescent="0.2">
      <c r="R37579" s="1288"/>
    </row>
    <row r="37580" spans="18:18" s="2" customFormat="1" ht="12.75" x14ac:dyDescent="0.2">
      <c r="R37580" s="1288"/>
    </row>
    <row r="37581" spans="18:18" s="2" customFormat="1" ht="12.75" x14ac:dyDescent="0.2">
      <c r="R37581" s="1288"/>
    </row>
    <row r="37582" spans="18:18" s="2" customFormat="1" ht="12.75" x14ac:dyDescent="0.2">
      <c r="R37582" s="1288"/>
    </row>
    <row r="37583" spans="18:18" s="2" customFormat="1" ht="12.75" x14ac:dyDescent="0.2">
      <c r="R37583" s="1288"/>
    </row>
    <row r="37584" spans="18:18" s="2" customFormat="1" ht="12.75" x14ac:dyDescent="0.2">
      <c r="R37584" s="1288"/>
    </row>
    <row r="37585" spans="18:18" s="2" customFormat="1" ht="12.75" x14ac:dyDescent="0.2">
      <c r="R37585" s="1288"/>
    </row>
    <row r="37586" spans="18:18" s="2" customFormat="1" ht="12.75" x14ac:dyDescent="0.2">
      <c r="R37586" s="1288"/>
    </row>
    <row r="37587" spans="18:18" s="2" customFormat="1" ht="12.75" x14ac:dyDescent="0.2">
      <c r="R37587" s="1288"/>
    </row>
    <row r="37588" spans="18:18" s="2" customFormat="1" ht="12.75" x14ac:dyDescent="0.2">
      <c r="R37588" s="1288"/>
    </row>
    <row r="37589" spans="18:18" s="2" customFormat="1" ht="12.75" x14ac:dyDescent="0.2">
      <c r="R37589" s="1288"/>
    </row>
    <row r="37590" spans="18:18" s="2" customFormat="1" ht="12.75" x14ac:dyDescent="0.2">
      <c r="R37590" s="1288"/>
    </row>
    <row r="37591" spans="18:18" s="2" customFormat="1" ht="12.75" x14ac:dyDescent="0.2">
      <c r="R37591" s="1288"/>
    </row>
    <row r="37592" spans="18:18" s="2" customFormat="1" ht="12.75" x14ac:dyDescent="0.2">
      <c r="R37592" s="1288"/>
    </row>
    <row r="37593" spans="18:18" s="2" customFormat="1" ht="12.75" x14ac:dyDescent="0.2">
      <c r="R37593" s="1288"/>
    </row>
    <row r="37594" spans="18:18" s="2" customFormat="1" ht="12.75" x14ac:dyDescent="0.2">
      <c r="R37594" s="1288"/>
    </row>
    <row r="37595" spans="18:18" s="2" customFormat="1" ht="12.75" x14ac:dyDescent="0.2">
      <c r="R37595" s="1288"/>
    </row>
    <row r="37596" spans="18:18" s="2" customFormat="1" ht="12.75" x14ac:dyDescent="0.2">
      <c r="R37596" s="1288"/>
    </row>
    <row r="37597" spans="18:18" s="2" customFormat="1" ht="12.75" x14ac:dyDescent="0.2">
      <c r="R37597" s="1288"/>
    </row>
    <row r="37598" spans="18:18" s="2" customFormat="1" ht="12.75" x14ac:dyDescent="0.2">
      <c r="R37598" s="1288"/>
    </row>
    <row r="37599" spans="18:18" s="2" customFormat="1" ht="12.75" x14ac:dyDescent="0.2">
      <c r="R37599" s="1288"/>
    </row>
    <row r="37600" spans="18:18" s="2" customFormat="1" ht="12.75" x14ac:dyDescent="0.2">
      <c r="R37600" s="1288"/>
    </row>
    <row r="37601" spans="18:18" s="2" customFormat="1" ht="12.75" x14ac:dyDescent="0.2">
      <c r="R37601" s="1288"/>
    </row>
    <row r="37602" spans="18:18" s="2" customFormat="1" ht="12.75" x14ac:dyDescent="0.2">
      <c r="R37602" s="1288"/>
    </row>
    <row r="37603" spans="18:18" s="2" customFormat="1" ht="12.75" x14ac:dyDescent="0.2">
      <c r="R37603" s="1288"/>
    </row>
    <row r="37604" spans="18:18" s="2" customFormat="1" ht="12.75" x14ac:dyDescent="0.2">
      <c r="R37604" s="1288"/>
    </row>
    <row r="37605" spans="18:18" s="2" customFormat="1" ht="12.75" x14ac:dyDescent="0.2">
      <c r="R37605" s="1288"/>
    </row>
    <row r="37606" spans="18:18" s="2" customFormat="1" ht="12.75" x14ac:dyDescent="0.2">
      <c r="R37606" s="1288"/>
    </row>
    <row r="37607" spans="18:18" s="2" customFormat="1" ht="12.75" x14ac:dyDescent="0.2">
      <c r="R37607" s="1288"/>
    </row>
    <row r="37608" spans="18:18" s="2" customFormat="1" ht="12.75" x14ac:dyDescent="0.2">
      <c r="R37608" s="1288"/>
    </row>
    <row r="37609" spans="18:18" s="2" customFormat="1" ht="12.75" x14ac:dyDescent="0.2">
      <c r="R37609" s="1288"/>
    </row>
    <row r="37610" spans="18:18" s="2" customFormat="1" ht="12.75" x14ac:dyDescent="0.2">
      <c r="R37610" s="1288"/>
    </row>
    <row r="37611" spans="18:18" s="2" customFormat="1" ht="12.75" x14ac:dyDescent="0.2">
      <c r="R37611" s="1288"/>
    </row>
    <row r="37612" spans="18:18" s="2" customFormat="1" ht="12.75" x14ac:dyDescent="0.2">
      <c r="R37612" s="1288"/>
    </row>
    <row r="37613" spans="18:18" s="2" customFormat="1" ht="12.75" x14ac:dyDescent="0.2">
      <c r="R37613" s="1288"/>
    </row>
    <row r="37614" spans="18:18" s="2" customFormat="1" ht="12.75" x14ac:dyDescent="0.2">
      <c r="R37614" s="1288"/>
    </row>
    <row r="37615" spans="18:18" s="2" customFormat="1" ht="12.75" x14ac:dyDescent="0.2">
      <c r="R37615" s="1288"/>
    </row>
    <row r="37616" spans="18:18" s="2" customFormat="1" ht="12.75" x14ac:dyDescent="0.2">
      <c r="R37616" s="1288"/>
    </row>
    <row r="37617" spans="18:18" s="2" customFormat="1" ht="12.75" x14ac:dyDescent="0.2">
      <c r="R37617" s="1288"/>
    </row>
    <row r="37618" spans="18:18" s="2" customFormat="1" ht="12.75" x14ac:dyDescent="0.2">
      <c r="R37618" s="1288"/>
    </row>
    <row r="37619" spans="18:18" s="2" customFormat="1" ht="12.75" x14ac:dyDescent="0.2">
      <c r="R37619" s="1288"/>
    </row>
    <row r="37620" spans="18:18" s="2" customFormat="1" ht="12.75" x14ac:dyDescent="0.2">
      <c r="R37620" s="1288"/>
    </row>
    <row r="37621" spans="18:18" s="2" customFormat="1" ht="12.75" x14ac:dyDescent="0.2">
      <c r="R37621" s="1288"/>
    </row>
    <row r="37622" spans="18:18" s="2" customFormat="1" ht="12.75" x14ac:dyDescent="0.2">
      <c r="R37622" s="1288"/>
    </row>
    <row r="37623" spans="18:18" s="2" customFormat="1" ht="12.75" x14ac:dyDescent="0.2">
      <c r="R37623" s="1288"/>
    </row>
    <row r="37624" spans="18:18" s="2" customFormat="1" ht="12.75" x14ac:dyDescent="0.2">
      <c r="R37624" s="1288"/>
    </row>
    <row r="37625" spans="18:18" s="2" customFormat="1" ht="12.75" x14ac:dyDescent="0.2">
      <c r="R37625" s="1288"/>
    </row>
    <row r="37626" spans="18:18" s="2" customFormat="1" ht="12.75" x14ac:dyDescent="0.2">
      <c r="R37626" s="1288"/>
    </row>
    <row r="37627" spans="18:18" s="2" customFormat="1" ht="12.75" x14ac:dyDescent="0.2">
      <c r="R37627" s="1288"/>
    </row>
    <row r="37628" spans="18:18" s="2" customFormat="1" ht="12.75" x14ac:dyDescent="0.2">
      <c r="R37628" s="1288"/>
    </row>
    <row r="37629" spans="18:18" s="2" customFormat="1" ht="12.75" x14ac:dyDescent="0.2">
      <c r="R37629" s="1288"/>
    </row>
    <row r="37630" spans="18:18" s="2" customFormat="1" ht="12.75" x14ac:dyDescent="0.2">
      <c r="R37630" s="1288"/>
    </row>
    <row r="37631" spans="18:18" s="2" customFormat="1" ht="12.75" x14ac:dyDescent="0.2">
      <c r="R37631" s="1288"/>
    </row>
    <row r="37632" spans="18:18" s="2" customFormat="1" ht="12.75" x14ac:dyDescent="0.2">
      <c r="R37632" s="1288"/>
    </row>
    <row r="37633" spans="18:18" s="2" customFormat="1" ht="12.75" x14ac:dyDescent="0.2">
      <c r="R37633" s="1288"/>
    </row>
    <row r="37634" spans="18:18" s="2" customFormat="1" ht="12.75" x14ac:dyDescent="0.2">
      <c r="R37634" s="1288"/>
    </row>
    <row r="37635" spans="18:18" s="2" customFormat="1" ht="12.75" x14ac:dyDescent="0.2">
      <c r="R37635" s="1288"/>
    </row>
    <row r="37636" spans="18:18" s="2" customFormat="1" ht="12.75" x14ac:dyDescent="0.2">
      <c r="R37636" s="1288"/>
    </row>
    <row r="37637" spans="18:18" s="2" customFormat="1" ht="12.75" x14ac:dyDescent="0.2">
      <c r="R37637" s="1288"/>
    </row>
    <row r="37638" spans="18:18" s="2" customFormat="1" ht="12.75" x14ac:dyDescent="0.2">
      <c r="R37638" s="1288"/>
    </row>
    <row r="37639" spans="18:18" s="2" customFormat="1" ht="12.75" x14ac:dyDescent="0.2">
      <c r="R37639" s="1288"/>
    </row>
    <row r="37640" spans="18:18" s="2" customFormat="1" ht="12.75" x14ac:dyDescent="0.2">
      <c r="R37640" s="1288"/>
    </row>
    <row r="37641" spans="18:18" s="2" customFormat="1" ht="12.75" x14ac:dyDescent="0.2">
      <c r="R37641" s="1288"/>
    </row>
    <row r="37642" spans="18:18" s="2" customFormat="1" ht="12.75" x14ac:dyDescent="0.2">
      <c r="R37642" s="1288"/>
    </row>
    <row r="37643" spans="18:18" s="2" customFormat="1" ht="12.75" x14ac:dyDescent="0.2">
      <c r="R37643" s="1288"/>
    </row>
    <row r="37644" spans="18:18" s="2" customFormat="1" ht="12.75" x14ac:dyDescent="0.2">
      <c r="R37644" s="1288"/>
    </row>
    <row r="37645" spans="18:18" s="2" customFormat="1" ht="12.75" x14ac:dyDescent="0.2">
      <c r="R37645" s="1288"/>
    </row>
    <row r="37646" spans="18:18" s="2" customFormat="1" ht="12.75" x14ac:dyDescent="0.2">
      <c r="R37646" s="1288"/>
    </row>
    <row r="37647" spans="18:18" s="2" customFormat="1" ht="12.75" x14ac:dyDescent="0.2">
      <c r="R37647" s="1288"/>
    </row>
    <row r="37648" spans="18:18" s="2" customFormat="1" ht="12.75" x14ac:dyDescent="0.2">
      <c r="R37648" s="1288"/>
    </row>
    <row r="37649" spans="18:18" s="2" customFormat="1" ht="12.75" x14ac:dyDescent="0.2">
      <c r="R37649" s="1288"/>
    </row>
    <row r="37650" spans="18:18" s="2" customFormat="1" ht="12.75" x14ac:dyDescent="0.2">
      <c r="R37650" s="1288"/>
    </row>
    <row r="37651" spans="18:18" s="2" customFormat="1" ht="12.75" x14ac:dyDescent="0.2">
      <c r="R37651" s="1288"/>
    </row>
    <row r="37652" spans="18:18" s="2" customFormat="1" ht="12.75" x14ac:dyDescent="0.2">
      <c r="R37652" s="1288"/>
    </row>
    <row r="37653" spans="18:18" s="2" customFormat="1" ht="12.75" x14ac:dyDescent="0.2">
      <c r="R37653" s="1288"/>
    </row>
    <row r="37654" spans="18:18" s="2" customFormat="1" ht="12.75" x14ac:dyDescent="0.2">
      <c r="R37654" s="1288"/>
    </row>
    <row r="37655" spans="18:18" s="2" customFormat="1" ht="12.75" x14ac:dyDescent="0.2">
      <c r="R37655" s="1288"/>
    </row>
    <row r="37656" spans="18:18" s="2" customFormat="1" ht="12.75" x14ac:dyDescent="0.2">
      <c r="R37656" s="1288"/>
    </row>
    <row r="37657" spans="18:18" s="2" customFormat="1" ht="12.75" x14ac:dyDescent="0.2">
      <c r="R37657" s="1288"/>
    </row>
    <row r="37658" spans="18:18" s="2" customFormat="1" ht="12.75" x14ac:dyDescent="0.2">
      <c r="R37658" s="1288"/>
    </row>
    <row r="37659" spans="18:18" s="2" customFormat="1" ht="12.75" x14ac:dyDescent="0.2">
      <c r="R37659" s="1288"/>
    </row>
    <row r="37660" spans="18:18" s="2" customFormat="1" ht="12.75" x14ac:dyDescent="0.2">
      <c r="R37660" s="1288"/>
    </row>
    <row r="37661" spans="18:18" s="2" customFormat="1" ht="12.75" x14ac:dyDescent="0.2">
      <c r="R37661" s="1288"/>
    </row>
    <row r="37662" spans="18:18" s="2" customFormat="1" ht="12.75" x14ac:dyDescent="0.2">
      <c r="R37662" s="1288"/>
    </row>
    <row r="37663" spans="18:18" s="2" customFormat="1" ht="12.75" x14ac:dyDescent="0.2">
      <c r="R37663" s="1288"/>
    </row>
    <row r="37664" spans="18:18" s="2" customFormat="1" ht="12.75" x14ac:dyDescent="0.2">
      <c r="R37664" s="1288"/>
    </row>
    <row r="37665" spans="18:18" s="2" customFormat="1" ht="12.75" x14ac:dyDescent="0.2">
      <c r="R37665" s="1288"/>
    </row>
    <row r="37666" spans="18:18" s="2" customFormat="1" ht="12.75" x14ac:dyDescent="0.2">
      <c r="R37666" s="1288"/>
    </row>
    <row r="37667" spans="18:18" s="2" customFormat="1" ht="12.75" x14ac:dyDescent="0.2">
      <c r="R37667" s="1288"/>
    </row>
    <row r="37668" spans="18:18" s="2" customFormat="1" ht="12.75" x14ac:dyDescent="0.2">
      <c r="R37668" s="1288"/>
    </row>
    <row r="37669" spans="18:18" s="2" customFormat="1" ht="12.75" x14ac:dyDescent="0.2">
      <c r="R37669" s="1288"/>
    </row>
    <row r="37670" spans="18:18" s="2" customFormat="1" ht="12.75" x14ac:dyDescent="0.2">
      <c r="R37670" s="1288"/>
    </row>
    <row r="37671" spans="18:18" s="2" customFormat="1" ht="12.75" x14ac:dyDescent="0.2">
      <c r="R37671" s="1288"/>
    </row>
    <row r="37672" spans="18:18" s="2" customFormat="1" ht="12.75" x14ac:dyDescent="0.2">
      <c r="R37672" s="1288"/>
    </row>
    <row r="37673" spans="18:18" s="2" customFormat="1" ht="12.75" x14ac:dyDescent="0.2">
      <c r="R37673" s="1288"/>
    </row>
    <row r="37674" spans="18:18" s="2" customFormat="1" ht="12.75" x14ac:dyDescent="0.2">
      <c r="R37674" s="1288"/>
    </row>
    <row r="37675" spans="18:18" s="2" customFormat="1" ht="12.75" x14ac:dyDescent="0.2">
      <c r="R37675" s="1288"/>
    </row>
    <row r="37676" spans="18:18" s="2" customFormat="1" ht="12.75" x14ac:dyDescent="0.2">
      <c r="R37676" s="1288"/>
    </row>
    <row r="37677" spans="18:18" s="2" customFormat="1" ht="12.75" x14ac:dyDescent="0.2">
      <c r="R37677" s="1288"/>
    </row>
    <row r="37678" spans="18:18" s="2" customFormat="1" ht="12.75" x14ac:dyDescent="0.2">
      <c r="R37678" s="1288"/>
    </row>
    <row r="37679" spans="18:18" s="2" customFormat="1" ht="12.75" x14ac:dyDescent="0.2">
      <c r="R37679" s="1288"/>
    </row>
    <row r="37680" spans="18:18" s="2" customFormat="1" ht="12.75" x14ac:dyDescent="0.2">
      <c r="R37680" s="1288"/>
    </row>
    <row r="37681" spans="18:18" s="2" customFormat="1" ht="12.75" x14ac:dyDescent="0.2">
      <c r="R37681" s="1288"/>
    </row>
    <row r="37682" spans="18:18" s="2" customFormat="1" ht="12.75" x14ac:dyDescent="0.2">
      <c r="R37682" s="1288"/>
    </row>
    <row r="37683" spans="18:18" s="2" customFormat="1" ht="12.75" x14ac:dyDescent="0.2">
      <c r="R37683" s="1288"/>
    </row>
    <row r="37684" spans="18:18" s="2" customFormat="1" ht="12.75" x14ac:dyDescent="0.2">
      <c r="R37684" s="1288"/>
    </row>
    <row r="37685" spans="18:18" s="2" customFormat="1" ht="12.75" x14ac:dyDescent="0.2">
      <c r="R37685" s="1288"/>
    </row>
    <row r="37686" spans="18:18" s="2" customFormat="1" ht="12.75" x14ac:dyDescent="0.2">
      <c r="R37686" s="1288"/>
    </row>
    <row r="37687" spans="18:18" s="2" customFormat="1" ht="12.75" x14ac:dyDescent="0.2">
      <c r="R37687" s="1288"/>
    </row>
    <row r="37688" spans="18:18" s="2" customFormat="1" ht="12.75" x14ac:dyDescent="0.2">
      <c r="R37688" s="1288"/>
    </row>
    <row r="37689" spans="18:18" s="2" customFormat="1" ht="12.75" x14ac:dyDescent="0.2">
      <c r="R37689" s="1288"/>
    </row>
    <row r="37690" spans="18:18" s="2" customFormat="1" ht="12.75" x14ac:dyDescent="0.2">
      <c r="R37690" s="1288"/>
    </row>
    <row r="37691" spans="18:18" s="2" customFormat="1" ht="12.75" x14ac:dyDescent="0.2">
      <c r="R37691" s="1288"/>
    </row>
    <row r="37692" spans="18:18" s="2" customFormat="1" ht="12.75" x14ac:dyDescent="0.2">
      <c r="R37692" s="1288"/>
    </row>
    <row r="37693" spans="18:18" s="2" customFormat="1" ht="12.75" x14ac:dyDescent="0.2">
      <c r="R37693" s="1288"/>
    </row>
    <row r="37694" spans="18:18" s="2" customFormat="1" ht="12.75" x14ac:dyDescent="0.2">
      <c r="R37694" s="1288"/>
    </row>
    <row r="37695" spans="18:18" s="2" customFormat="1" ht="12.75" x14ac:dyDescent="0.2">
      <c r="R37695" s="1288"/>
    </row>
    <row r="37696" spans="18:18" s="2" customFormat="1" ht="12.75" x14ac:dyDescent="0.2">
      <c r="R37696" s="1288"/>
    </row>
    <row r="37697" spans="18:18" s="2" customFormat="1" ht="12.75" x14ac:dyDescent="0.2">
      <c r="R37697" s="1288"/>
    </row>
    <row r="37698" spans="18:18" s="2" customFormat="1" ht="12.75" x14ac:dyDescent="0.2">
      <c r="R37698" s="1288"/>
    </row>
    <row r="37699" spans="18:18" s="2" customFormat="1" ht="12.75" x14ac:dyDescent="0.2">
      <c r="R37699" s="1288"/>
    </row>
    <row r="37700" spans="18:18" s="2" customFormat="1" ht="12.75" x14ac:dyDescent="0.2">
      <c r="R37700" s="1288"/>
    </row>
    <row r="37701" spans="18:18" s="2" customFormat="1" ht="12.75" x14ac:dyDescent="0.2">
      <c r="R37701" s="1288"/>
    </row>
    <row r="37702" spans="18:18" s="2" customFormat="1" ht="12.75" x14ac:dyDescent="0.2">
      <c r="R37702" s="1288"/>
    </row>
    <row r="37703" spans="18:18" s="2" customFormat="1" ht="12.75" x14ac:dyDescent="0.2">
      <c r="R37703" s="1288"/>
    </row>
    <row r="37704" spans="18:18" s="2" customFormat="1" ht="12.75" x14ac:dyDescent="0.2">
      <c r="R37704" s="1288"/>
    </row>
    <row r="37705" spans="18:18" s="2" customFormat="1" ht="12.75" x14ac:dyDescent="0.2">
      <c r="R37705" s="1288"/>
    </row>
    <row r="37706" spans="18:18" s="2" customFormat="1" ht="12.75" x14ac:dyDescent="0.2">
      <c r="R37706" s="1288"/>
    </row>
    <row r="37707" spans="18:18" s="2" customFormat="1" ht="12.75" x14ac:dyDescent="0.2">
      <c r="R37707" s="1288"/>
    </row>
    <row r="37708" spans="18:18" s="2" customFormat="1" ht="12.75" x14ac:dyDescent="0.2">
      <c r="R37708" s="1288"/>
    </row>
    <row r="37709" spans="18:18" s="2" customFormat="1" ht="12.75" x14ac:dyDescent="0.2">
      <c r="R37709" s="1288"/>
    </row>
    <row r="37710" spans="18:18" s="2" customFormat="1" ht="12.75" x14ac:dyDescent="0.2">
      <c r="R37710" s="1288"/>
    </row>
    <row r="37711" spans="18:18" s="2" customFormat="1" ht="12.75" x14ac:dyDescent="0.2">
      <c r="R37711" s="1288"/>
    </row>
    <row r="37712" spans="18:18" s="2" customFormat="1" ht="12.75" x14ac:dyDescent="0.2">
      <c r="R37712" s="1288"/>
    </row>
    <row r="37713" spans="18:18" s="2" customFormat="1" ht="12.75" x14ac:dyDescent="0.2">
      <c r="R37713" s="1288"/>
    </row>
    <row r="37714" spans="18:18" s="2" customFormat="1" ht="12.75" x14ac:dyDescent="0.2">
      <c r="R37714" s="1288"/>
    </row>
    <row r="37715" spans="18:18" s="2" customFormat="1" ht="12.75" x14ac:dyDescent="0.2">
      <c r="R37715" s="1288"/>
    </row>
    <row r="37716" spans="18:18" s="2" customFormat="1" ht="12.75" x14ac:dyDescent="0.2">
      <c r="R37716" s="1288"/>
    </row>
    <row r="37717" spans="18:18" s="2" customFormat="1" ht="12.75" x14ac:dyDescent="0.2">
      <c r="R37717" s="1288"/>
    </row>
    <row r="37718" spans="18:18" s="2" customFormat="1" ht="12.75" x14ac:dyDescent="0.2">
      <c r="R37718" s="1288"/>
    </row>
    <row r="37719" spans="18:18" s="2" customFormat="1" ht="12.75" x14ac:dyDescent="0.2">
      <c r="R37719" s="1288"/>
    </row>
    <row r="37720" spans="18:18" s="2" customFormat="1" ht="12.75" x14ac:dyDescent="0.2">
      <c r="R37720" s="1288"/>
    </row>
    <row r="37721" spans="18:18" s="2" customFormat="1" ht="12.75" x14ac:dyDescent="0.2">
      <c r="R37721" s="1288"/>
    </row>
    <row r="37722" spans="18:18" s="2" customFormat="1" ht="12.75" x14ac:dyDescent="0.2">
      <c r="R37722" s="1288"/>
    </row>
    <row r="37723" spans="18:18" s="2" customFormat="1" ht="12.75" x14ac:dyDescent="0.2">
      <c r="R37723" s="1288"/>
    </row>
    <row r="37724" spans="18:18" s="2" customFormat="1" ht="12.75" x14ac:dyDescent="0.2">
      <c r="R37724" s="1288"/>
    </row>
    <row r="37725" spans="18:18" s="2" customFormat="1" ht="12.75" x14ac:dyDescent="0.2">
      <c r="R37725" s="1288"/>
    </row>
    <row r="37726" spans="18:18" s="2" customFormat="1" ht="12.75" x14ac:dyDescent="0.2">
      <c r="R37726" s="1288"/>
    </row>
    <row r="37727" spans="18:18" s="2" customFormat="1" ht="12.75" x14ac:dyDescent="0.2">
      <c r="R37727" s="1288"/>
    </row>
    <row r="37728" spans="18:18" s="2" customFormat="1" ht="12.75" x14ac:dyDescent="0.2">
      <c r="R37728" s="1288"/>
    </row>
    <row r="37729" spans="18:18" s="2" customFormat="1" ht="12.75" x14ac:dyDescent="0.2">
      <c r="R37729" s="1288"/>
    </row>
    <row r="37730" spans="18:18" s="2" customFormat="1" ht="12.75" x14ac:dyDescent="0.2">
      <c r="R37730" s="1288"/>
    </row>
    <row r="37731" spans="18:18" s="2" customFormat="1" ht="12.75" x14ac:dyDescent="0.2">
      <c r="R37731" s="1288"/>
    </row>
    <row r="37732" spans="18:18" s="2" customFormat="1" ht="12.75" x14ac:dyDescent="0.2">
      <c r="R37732" s="1288"/>
    </row>
    <row r="37733" spans="18:18" s="2" customFormat="1" ht="12.75" x14ac:dyDescent="0.2">
      <c r="R37733" s="1288"/>
    </row>
    <row r="37734" spans="18:18" s="2" customFormat="1" ht="12.75" x14ac:dyDescent="0.2">
      <c r="R37734" s="1288"/>
    </row>
    <row r="37735" spans="18:18" s="2" customFormat="1" ht="12.75" x14ac:dyDescent="0.2">
      <c r="R37735" s="1288"/>
    </row>
    <row r="37736" spans="18:18" s="2" customFormat="1" ht="12.75" x14ac:dyDescent="0.2">
      <c r="R37736" s="1288"/>
    </row>
    <row r="37737" spans="18:18" s="2" customFormat="1" ht="12.75" x14ac:dyDescent="0.2">
      <c r="R37737" s="1288"/>
    </row>
    <row r="37738" spans="18:18" s="2" customFormat="1" ht="12.75" x14ac:dyDescent="0.2">
      <c r="R37738" s="1288"/>
    </row>
    <row r="37739" spans="18:18" s="2" customFormat="1" ht="12.75" x14ac:dyDescent="0.2">
      <c r="R37739" s="1288"/>
    </row>
    <row r="37740" spans="18:18" s="2" customFormat="1" ht="12.75" x14ac:dyDescent="0.2">
      <c r="R37740" s="1288"/>
    </row>
    <row r="37741" spans="18:18" s="2" customFormat="1" ht="12.75" x14ac:dyDescent="0.2">
      <c r="R37741" s="1288"/>
    </row>
    <row r="37742" spans="18:18" s="2" customFormat="1" ht="12.75" x14ac:dyDescent="0.2">
      <c r="R37742" s="1288"/>
    </row>
    <row r="37743" spans="18:18" s="2" customFormat="1" ht="12.75" x14ac:dyDescent="0.2">
      <c r="R37743" s="1288"/>
    </row>
    <row r="37744" spans="18:18" s="2" customFormat="1" ht="12.75" x14ac:dyDescent="0.2">
      <c r="R37744" s="1288"/>
    </row>
    <row r="37745" spans="18:18" s="2" customFormat="1" ht="12.75" x14ac:dyDescent="0.2">
      <c r="R37745" s="1288"/>
    </row>
    <row r="37746" spans="18:18" s="2" customFormat="1" ht="12.75" x14ac:dyDescent="0.2">
      <c r="R37746" s="1288"/>
    </row>
    <row r="37747" spans="18:18" s="2" customFormat="1" ht="12.75" x14ac:dyDescent="0.2">
      <c r="R37747" s="1288"/>
    </row>
    <row r="37748" spans="18:18" s="2" customFormat="1" ht="12.75" x14ac:dyDescent="0.2">
      <c r="R37748" s="1288"/>
    </row>
    <row r="37749" spans="18:18" s="2" customFormat="1" ht="12.75" x14ac:dyDescent="0.2">
      <c r="R37749" s="1288"/>
    </row>
    <row r="37750" spans="18:18" s="2" customFormat="1" ht="12.75" x14ac:dyDescent="0.2">
      <c r="R37750" s="1288"/>
    </row>
    <row r="37751" spans="18:18" s="2" customFormat="1" ht="12.75" x14ac:dyDescent="0.2">
      <c r="R37751" s="1288"/>
    </row>
    <row r="37752" spans="18:18" s="2" customFormat="1" ht="12.75" x14ac:dyDescent="0.2">
      <c r="R37752" s="1288"/>
    </row>
    <row r="37753" spans="18:18" s="2" customFormat="1" ht="12.75" x14ac:dyDescent="0.2">
      <c r="R37753" s="1288"/>
    </row>
    <row r="37754" spans="18:18" s="2" customFormat="1" ht="12.75" x14ac:dyDescent="0.2">
      <c r="R37754" s="1288"/>
    </row>
    <row r="37755" spans="18:18" s="2" customFormat="1" ht="12.75" x14ac:dyDescent="0.2">
      <c r="R37755" s="1288"/>
    </row>
    <row r="37756" spans="18:18" s="2" customFormat="1" ht="12.75" x14ac:dyDescent="0.2">
      <c r="R37756" s="1288"/>
    </row>
    <row r="37757" spans="18:18" s="2" customFormat="1" ht="12.75" x14ac:dyDescent="0.2">
      <c r="R37757" s="1288"/>
    </row>
    <row r="37758" spans="18:18" s="2" customFormat="1" ht="12.75" x14ac:dyDescent="0.2">
      <c r="R37758" s="1288"/>
    </row>
    <row r="37759" spans="18:18" s="2" customFormat="1" ht="12.75" x14ac:dyDescent="0.2">
      <c r="R37759" s="1288"/>
    </row>
    <row r="37760" spans="18:18" s="2" customFormat="1" ht="12.75" x14ac:dyDescent="0.2">
      <c r="R37760" s="1288"/>
    </row>
    <row r="37761" spans="18:18" s="2" customFormat="1" ht="12.75" x14ac:dyDescent="0.2">
      <c r="R37761" s="1288"/>
    </row>
    <row r="37762" spans="18:18" s="2" customFormat="1" ht="12.75" x14ac:dyDescent="0.2">
      <c r="R37762" s="1288"/>
    </row>
    <row r="37763" spans="18:18" s="2" customFormat="1" ht="12.75" x14ac:dyDescent="0.2">
      <c r="R37763" s="1288"/>
    </row>
    <row r="37764" spans="18:18" s="2" customFormat="1" ht="12.75" x14ac:dyDescent="0.2">
      <c r="R37764" s="1288"/>
    </row>
    <row r="37765" spans="18:18" s="2" customFormat="1" ht="12.75" x14ac:dyDescent="0.2">
      <c r="R37765" s="1288"/>
    </row>
    <row r="37766" spans="18:18" s="2" customFormat="1" ht="12.75" x14ac:dyDescent="0.2">
      <c r="R37766" s="1288"/>
    </row>
    <row r="37767" spans="18:18" s="2" customFormat="1" ht="12.75" x14ac:dyDescent="0.2">
      <c r="R37767" s="1288"/>
    </row>
    <row r="37768" spans="18:18" s="2" customFormat="1" ht="12.75" x14ac:dyDescent="0.2">
      <c r="R37768" s="1288"/>
    </row>
    <row r="37769" spans="18:18" s="2" customFormat="1" ht="12.75" x14ac:dyDescent="0.2">
      <c r="R37769" s="1288"/>
    </row>
    <row r="37770" spans="18:18" s="2" customFormat="1" ht="12.75" x14ac:dyDescent="0.2">
      <c r="R37770" s="1288"/>
    </row>
    <row r="37771" spans="18:18" s="2" customFormat="1" ht="12.75" x14ac:dyDescent="0.2">
      <c r="R37771" s="1288"/>
    </row>
    <row r="37772" spans="18:18" s="2" customFormat="1" ht="12.75" x14ac:dyDescent="0.2">
      <c r="R37772" s="1288"/>
    </row>
    <row r="37773" spans="18:18" s="2" customFormat="1" ht="12.75" x14ac:dyDescent="0.2">
      <c r="R37773" s="1288"/>
    </row>
    <row r="37774" spans="18:18" s="2" customFormat="1" ht="12.75" x14ac:dyDescent="0.2">
      <c r="R37774" s="1288"/>
    </row>
    <row r="37775" spans="18:18" s="2" customFormat="1" ht="12.75" x14ac:dyDescent="0.2">
      <c r="R37775" s="1288"/>
    </row>
    <row r="37776" spans="18:18" s="2" customFormat="1" ht="12.75" x14ac:dyDescent="0.2">
      <c r="R37776" s="1288"/>
    </row>
    <row r="37777" spans="18:18" s="2" customFormat="1" ht="12.75" x14ac:dyDescent="0.2">
      <c r="R37777" s="1288"/>
    </row>
    <row r="37778" spans="18:18" s="2" customFormat="1" ht="12.75" x14ac:dyDescent="0.2">
      <c r="R37778" s="1288"/>
    </row>
    <row r="37779" spans="18:18" s="2" customFormat="1" ht="12.75" x14ac:dyDescent="0.2">
      <c r="R37779" s="1288"/>
    </row>
    <row r="37780" spans="18:18" s="2" customFormat="1" ht="12.75" x14ac:dyDescent="0.2">
      <c r="R37780" s="1288"/>
    </row>
    <row r="37781" spans="18:18" s="2" customFormat="1" ht="12.75" x14ac:dyDescent="0.2">
      <c r="R37781" s="1288"/>
    </row>
    <row r="37782" spans="18:18" s="2" customFormat="1" ht="12.75" x14ac:dyDescent="0.2">
      <c r="R37782" s="1288"/>
    </row>
    <row r="37783" spans="18:18" s="2" customFormat="1" ht="12.75" x14ac:dyDescent="0.2">
      <c r="R37783" s="1288"/>
    </row>
    <row r="37784" spans="18:18" s="2" customFormat="1" ht="12.75" x14ac:dyDescent="0.2">
      <c r="R37784" s="1288"/>
    </row>
    <row r="37785" spans="18:18" s="2" customFormat="1" ht="12.75" x14ac:dyDescent="0.2">
      <c r="R37785" s="1288"/>
    </row>
    <row r="37786" spans="18:18" s="2" customFormat="1" ht="12.75" x14ac:dyDescent="0.2">
      <c r="R37786" s="1288"/>
    </row>
    <row r="37787" spans="18:18" s="2" customFormat="1" ht="12.75" x14ac:dyDescent="0.2">
      <c r="R37787" s="1288"/>
    </row>
    <row r="37788" spans="18:18" s="2" customFormat="1" ht="12.75" x14ac:dyDescent="0.2">
      <c r="R37788" s="1288"/>
    </row>
    <row r="37789" spans="18:18" s="2" customFormat="1" ht="12.75" x14ac:dyDescent="0.2">
      <c r="R37789" s="1288"/>
    </row>
    <row r="37790" spans="18:18" s="2" customFormat="1" ht="12.75" x14ac:dyDescent="0.2">
      <c r="R37790" s="1288"/>
    </row>
    <row r="37791" spans="18:18" s="2" customFormat="1" ht="12.75" x14ac:dyDescent="0.2">
      <c r="R37791" s="1288"/>
    </row>
    <row r="37792" spans="18:18" s="2" customFormat="1" ht="12.75" x14ac:dyDescent="0.2">
      <c r="R37792" s="1288"/>
    </row>
    <row r="37793" spans="18:18" s="2" customFormat="1" ht="12.75" x14ac:dyDescent="0.2">
      <c r="R37793" s="1288"/>
    </row>
    <row r="37794" spans="18:18" s="2" customFormat="1" ht="12.75" x14ac:dyDescent="0.2">
      <c r="R37794" s="1288"/>
    </row>
    <row r="37795" spans="18:18" s="2" customFormat="1" ht="12.75" x14ac:dyDescent="0.2">
      <c r="R37795" s="1288"/>
    </row>
    <row r="37796" spans="18:18" s="2" customFormat="1" ht="12.75" x14ac:dyDescent="0.2">
      <c r="R37796" s="1288"/>
    </row>
    <row r="37797" spans="18:18" s="2" customFormat="1" ht="12.75" x14ac:dyDescent="0.2">
      <c r="R37797" s="1288"/>
    </row>
    <row r="37798" spans="18:18" s="2" customFormat="1" ht="12.75" x14ac:dyDescent="0.2">
      <c r="R37798" s="1288"/>
    </row>
    <row r="37799" spans="18:18" s="2" customFormat="1" ht="12.75" x14ac:dyDescent="0.2">
      <c r="R37799" s="1288"/>
    </row>
    <row r="37800" spans="18:18" s="2" customFormat="1" ht="12.75" x14ac:dyDescent="0.2">
      <c r="R37800" s="1288"/>
    </row>
    <row r="37801" spans="18:18" s="2" customFormat="1" ht="12.75" x14ac:dyDescent="0.2">
      <c r="R37801" s="1288"/>
    </row>
    <row r="37802" spans="18:18" s="2" customFormat="1" ht="12.75" x14ac:dyDescent="0.2">
      <c r="R37802" s="1288"/>
    </row>
    <row r="37803" spans="18:18" s="2" customFormat="1" ht="12.75" x14ac:dyDescent="0.2">
      <c r="R37803" s="1288"/>
    </row>
    <row r="37804" spans="18:18" s="2" customFormat="1" ht="12.75" x14ac:dyDescent="0.2">
      <c r="R37804" s="1288"/>
    </row>
    <row r="37805" spans="18:18" s="2" customFormat="1" ht="12.75" x14ac:dyDescent="0.2">
      <c r="R37805" s="1288"/>
    </row>
    <row r="37806" spans="18:18" s="2" customFormat="1" ht="12.75" x14ac:dyDescent="0.2">
      <c r="R37806" s="1288"/>
    </row>
    <row r="37807" spans="18:18" s="2" customFormat="1" ht="12.75" x14ac:dyDescent="0.2">
      <c r="R37807" s="1288"/>
    </row>
    <row r="37808" spans="18:18" s="2" customFormat="1" ht="12.75" x14ac:dyDescent="0.2">
      <c r="R37808" s="1288"/>
    </row>
    <row r="37809" spans="18:18" s="2" customFormat="1" ht="12.75" x14ac:dyDescent="0.2">
      <c r="R37809" s="1288"/>
    </row>
    <row r="37810" spans="18:18" s="2" customFormat="1" ht="12.75" x14ac:dyDescent="0.2">
      <c r="R37810" s="1288"/>
    </row>
    <row r="37811" spans="18:18" s="2" customFormat="1" ht="12.75" x14ac:dyDescent="0.2">
      <c r="R37811" s="1288"/>
    </row>
    <row r="37812" spans="18:18" s="2" customFormat="1" ht="12.75" x14ac:dyDescent="0.2">
      <c r="R37812" s="1288"/>
    </row>
    <row r="37813" spans="18:18" s="2" customFormat="1" ht="12.75" x14ac:dyDescent="0.2">
      <c r="R37813" s="1288"/>
    </row>
    <row r="37814" spans="18:18" s="2" customFormat="1" ht="12.75" x14ac:dyDescent="0.2">
      <c r="R37814" s="1288"/>
    </row>
    <row r="37815" spans="18:18" s="2" customFormat="1" ht="12.75" x14ac:dyDescent="0.2">
      <c r="R37815" s="1288"/>
    </row>
    <row r="37816" spans="18:18" s="2" customFormat="1" ht="12.75" x14ac:dyDescent="0.2">
      <c r="R37816" s="1288"/>
    </row>
    <row r="37817" spans="18:18" s="2" customFormat="1" ht="12.75" x14ac:dyDescent="0.2">
      <c r="R37817" s="1288"/>
    </row>
    <row r="37818" spans="18:18" s="2" customFormat="1" ht="12.75" x14ac:dyDescent="0.2">
      <c r="R37818" s="1288"/>
    </row>
    <row r="37819" spans="18:18" s="2" customFormat="1" ht="12.75" x14ac:dyDescent="0.2">
      <c r="R37819" s="1288"/>
    </row>
    <row r="37820" spans="18:18" s="2" customFormat="1" ht="12.75" x14ac:dyDescent="0.2">
      <c r="R37820" s="1288"/>
    </row>
    <row r="37821" spans="18:18" s="2" customFormat="1" ht="12.75" x14ac:dyDescent="0.2">
      <c r="R37821" s="1288"/>
    </row>
    <row r="37822" spans="18:18" s="2" customFormat="1" ht="12.75" x14ac:dyDescent="0.2">
      <c r="R37822" s="1288"/>
    </row>
    <row r="37823" spans="18:18" s="2" customFormat="1" ht="12.75" x14ac:dyDescent="0.2">
      <c r="R37823" s="1288"/>
    </row>
    <row r="37824" spans="18:18" s="2" customFormat="1" ht="12.75" x14ac:dyDescent="0.2">
      <c r="R37824" s="1288"/>
    </row>
    <row r="37825" spans="18:18" s="2" customFormat="1" ht="12.75" x14ac:dyDescent="0.2">
      <c r="R37825" s="1288"/>
    </row>
    <row r="37826" spans="18:18" s="2" customFormat="1" ht="12.75" x14ac:dyDescent="0.2">
      <c r="R37826" s="1288"/>
    </row>
    <row r="37827" spans="18:18" s="2" customFormat="1" ht="12.75" x14ac:dyDescent="0.2">
      <c r="R37827" s="1288"/>
    </row>
    <row r="37828" spans="18:18" s="2" customFormat="1" ht="12.75" x14ac:dyDescent="0.2">
      <c r="R37828" s="1288"/>
    </row>
    <row r="37829" spans="18:18" s="2" customFormat="1" ht="12.75" x14ac:dyDescent="0.2">
      <c r="R37829" s="1288"/>
    </row>
    <row r="37830" spans="18:18" s="2" customFormat="1" ht="12.75" x14ac:dyDescent="0.2">
      <c r="R37830" s="1288"/>
    </row>
    <row r="37831" spans="18:18" s="2" customFormat="1" ht="12.75" x14ac:dyDescent="0.2">
      <c r="R37831" s="1288"/>
    </row>
    <row r="37832" spans="18:18" s="2" customFormat="1" ht="12.75" x14ac:dyDescent="0.2">
      <c r="R37832" s="1288"/>
    </row>
    <row r="37833" spans="18:18" s="2" customFormat="1" ht="12.75" x14ac:dyDescent="0.2">
      <c r="R37833" s="1288"/>
    </row>
    <row r="37834" spans="18:18" s="2" customFormat="1" ht="12.75" x14ac:dyDescent="0.2">
      <c r="R37834" s="1288"/>
    </row>
    <row r="37835" spans="18:18" s="2" customFormat="1" ht="12.75" x14ac:dyDescent="0.2">
      <c r="R37835" s="1288"/>
    </row>
    <row r="37836" spans="18:18" s="2" customFormat="1" ht="12.75" x14ac:dyDescent="0.2">
      <c r="R37836" s="1288"/>
    </row>
    <row r="37837" spans="18:18" s="2" customFormat="1" ht="12.75" x14ac:dyDescent="0.2">
      <c r="R37837" s="1288"/>
    </row>
    <row r="37838" spans="18:18" s="2" customFormat="1" ht="12.75" x14ac:dyDescent="0.2">
      <c r="R37838" s="1288"/>
    </row>
    <row r="37839" spans="18:18" s="2" customFormat="1" ht="12.75" x14ac:dyDescent="0.2">
      <c r="R37839" s="1288"/>
    </row>
    <row r="37840" spans="18:18" s="2" customFormat="1" ht="12.75" x14ac:dyDescent="0.2">
      <c r="R37840" s="1288"/>
    </row>
    <row r="37841" spans="18:18" s="2" customFormat="1" ht="12.75" x14ac:dyDescent="0.2">
      <c r="R37841" s="1288"/>
    </row>
    <row r="37842" spans="18:18" s="2" customFormat="1" ht="12.75" x14ac:dyDescent="0.2">
      <c r="R37842" s="1288"/>
    </row>
    <row r="37843" spans="18:18" s="2" customFormat="1" ht="12.75" x14ac:dyDescent="0.2">
      <c r="R37843" s="1288"/>
    </row>
    <row r="37844" spans="18:18" s="2" customFormat="1" ht="12.75" x14ac:dyDescent="0.2">
      <c r="R37844" s="1288"/>
    </row>
    <row r="37845" spans="18:18" s="2" customFormat="1" ht="12.75" x14ac:dyDescent="0.2">
      <c r="R37845" s="1288"/>
    </row>
    <row r="37846" spans="18:18" s="2" customFormat="1" ht="12.75" x14ac:dyDescent="0.2">
      <c r="R37846" s="1288"/>
    </row>
    <row r="37847" spans="18:18" s="2" customFormat="1" ht="12.75" x14ac:dyDescent="0.2">
      <c r="R37847" s="1288"/>
    </row>
    <row r="37848" spans="18:18" s="2" customFormat="1" ht="12.75" x14ac:dyDescent="0.2">
      <c r="R37848" s="1288"/>
    </row>
    <row r="37849" spans="18:18" s="2" customFormat="1" ht="12.75" x14ac:dyDescent="0.2">
      <c r="R37849" s="1288"/>
    </row>
    <row r="37850" spans="18:18" s="2" customFormat="1" ht="12.75" x14ac:dyDescent="0.2">
      <c r="R37850" s="1288"/>
    </row>
    <row r="37851" spans="18:18" s="2" customFormat="1" ht="12.75" x14ac:dyDescent="0.2">
      <c r="R37851" s="1288"/>
    </row>
    <row r="37852" spans="18:18" s="2" customFormat="1" ht="12.75" x14ac:dyDescent="0.2">
      <c r="R37852" s="1288"/>
    </row>
    <row r="37853" spans="18:18" s="2" customFormat="1" ht="12.75" x14ac:dyDescent="0.2">
      <c r="R37853" s="1288"/>
    </row>
    <row r="37854" spans="18:18" s="2" customFormat="1" ht="12.75" x14ac:dyDescent="0.2">
      <c r="R37854" s="1288"/>
    </row>
    <row r="37855" spans="18:18" s="2" customFormat="1" ht="12.75" x14ac:dyDescent="0.2">
      <c r="R37855" s="1288"/>
    </row>
    <row r="37856" spans="18:18" s="2" customFormat="1" ht="12.75" x14ac:dyDescent="0.2">
      <c r="R37856" s="1288"/>
    </row>
    <row r="37857" spans="18:18" s="2" customFormat="1" ht="12.75" x14ac:dyDescent="0.2">
      <c r="R37857" s="1288"/>
    </row>
    <row r="37858" spans="18:18" s="2" customFormat="1" ht="12.75" x14ac:dyDescent="0.2">
      <c r="R37858" s="1288"/>
    </row>
    <row r="37859" spans="18:18" s="2" customFormat="1" ht="12.75" x14ac:dyDescent="0.2">
      <c r="R37859" s="1288"/>
    </row>
    <row r="37860" spans="18:18" s="2" customFormat="1" ht="12.75" x14ac:dyDescent="0.2">
      <c r="R37860" s="1288"/>
    </row>
    <row r="37861" spans="18:18" s="2" customFormat="1" ht="12.75" x14ac:dyDescent="0.2">
      <c r="R37861" s="1288"/>
    </row>
    <row r="37862" spans="18:18" s="2" customFormat="1" ht="12.75" x14ac:dyDescent="0.2">
      <c r="R37862" s="1288"/>
    </row>
    <row r="37863" spans="18:18" s="2" customFormat="1" ht="12.75" x14ac:dyDescent="0.2">
      <c r="R37863" s="1288"/>
    </row>
    <row r="37864" spans="18:18" s="2" customFormat="1" ht="12.75" x14ac:dyDescent="0.2">
      <c r="R37864" s="1288"/>
    </row>
    <row r="37865" spans="18:18" s="2" customFormat="1" ht="12.75" x14ac:dyDescent="0.2">
      <c r="R37865" s="1288"/>
    </row>
    <row r="37866" spans="18:18" s="2" customFormat="1" ht="12.75" x14ac:dyDescent="0.2">
      <c r="R37866" s="1288"/>
    </row>
    <row r="37867" spans="18:18" s="2" customFormat="1" ht="12.75" x14ac:dyDescent="0.2">
      <c r="R37867" s="1288"/>
    </row>
    <row r="37868" spans="18:18" s="2" customFormat="1" ht="12.75" x14ac:dyDescent="0.2">
      <c r="R37868" s="1288"/>
    </row>
    <row r="37869" spans="18:18" s="2" customFormat="1" ht="12.75" x14ac:dyDescent="0.2">
      <c r="R37869" s="1288"/>
    </row>
    <row r="37870" spans="18:18" s="2" customFormat="1" ht="12.75" x14ac:dyDescent="0.2">
      <c r="R37870" s="1288"/>
    </row>
    <row r="37871" spans="18:18" s="2" customFormat="1" ht="12.75" x14ac:dyDescent="0.2">
      <c r="R37871" s="1288"/>
    </row>
    <row r="37872" spans="18:18" s="2" customFormat="1" ht="12.75" x14ac:dyDescent="0.2">
      <c r="R37872" s="1288"/>
    </row>
    <row r="37873" spans="18:18" s="2" customFormat="1" ht="12.75" x14ac:dyDescent="0.2">
      <c r="R37873" s="1288"/>
    </row>
    <row r="37874" spans="18:18" s="2" customFormat="1" ht="12.75" x14ac:dyDescent="0.2">
      <c r="R37874" s="1288"/>
    </row>
    <row r="37875" spans="18:18" s="2" customFormat="1" ht="12.75" x14ac:dyDescent="0.2">
      <c r="R37875" s="1288"/>
    </row>
    <row r="37876" spans="18:18" s="2" customFormat="1" ht="12.75" x14ac:dyDescent="0.2">
      <c r="R37876" s="1288"/>
    </row>
    <row r="37877" spans="18:18" s="2" customFormat="1" ht="12.75" x14ac:dyDescent="0.2">
      <c r="R37877" s="1288"/>
    </row>
    <row r="37878" spans="18:18" s="2" customFormat="1" ht="12.75" x14ac:dyDescent="0.2">
      <c r="R37878" s="1288"/>
    </row>
    <row r="37879" spans="18:18" s="2" customFormat="1" ht="12.75" x14ac:dyDescent="0.2">
      <c r="R37879" s="1288"/>
    </row>
    <row r="37880" spans="18:18" s="2" customFormat="1" ht="12.75" x14ac:dyDescent="0.2">
      <c r="R37880" s="1288"/>
    </row>
    <row r="37881" spans="18:18" s="2" customFormat="1" ht="12.75" x14ac:dyDescent="0.2">
      <c r="R37881" s="1288"/>
    </row>
    <row r="37882" spans="18:18" s="2" customFormat="1" ht="12.75" x14ac:dyDescent="0.2">
      <c r="R37882" s="1288"/>
    </row>
    <row r="37883" spans="18:18" s="2" customFormat="1" ht="12.75" x14ac:dyDescent="0.2">
      <c r="R37883" s="1288"/>
    </row>
    <row r="37884" spans="18:18" s="2" customFormat="1" ht="12.75" x14ac:dyDescent="0.2">
      <c r="R37884" s="1288"/>
    </row>
    <row r="37885" spans="18:18" s="2" customFormat="1" ht="12.75" x14ac:dyDescent="0.2">
      <c r="R37885" s="1288"/>
    </row>
    <row r="37886" spans="18:18" s="2" customFormat="1" ht="12.75" x14ac:dyDescent="0.2">
      <c r="R37886" s="1288"/>
    </row>
    <row r="37887" spans="18:18" s="2" customFormat="1" ht="12.75" x14ac:dyDescent="0.2">
      <c r="R37887" s="1288"/>
    </row>
    <row r="37888" spans="18:18" s="2" customFormat="1" ht="12.75" x14ac:dyDescent="0.2">
      <c r="R37888" s="1288"/>
    </row>
    <row r="37889" spans="18:18" s="2" customFormat="1" ht="12.75" x14ac:dyDescent="0.2">
      <c r="R37889" s="1288"/>
    </row>
    <row r="37890" spans="18:18" s="2" customFormat="1" ht="12.75" x14ac:dyDescent="0.2">
      <c r="R37890" s="1288"/>
    </row>
    <row r="37891" spans="18:18" s="2" customFormat="1" ht="12.75" x14ac:dyDescent="0.2">
      <c r="R37891" s="1288"/>
    </row>
    <row r="37892" spans="18:18" s="2" customFormat="1" ht="12.75" x14ac:dyDescent="0.2">
      <c r="R37892" s="1288"/>
    </row>
    <row r="37893" spans="18:18" s="2" customFormat="1" ht="12.75" x14ac:dyDescent="0.2">
      <c r="R37893" s="1288"/>
    </row>
    <row r="37894" spans="18:18" s="2" customFormat="1" ht="12.75" x14ac:dyDescent="0.2">
      <c r="R37894" s="1288"/>
    </row>
    <row r="37895" spans="18:18" s="2" customFormat="1" ht="12.75" x14ac:dyDescent="0.2">
      <c r="R37895" s="1288"/>
    </row>
    <row r="37896" spans="18:18" s="2" customFormat="1" ht="12.75" x14ac:dyDescent="0.2">
      <c r="R37896" s="1288"/>
    </row>
    <row r="37897" spans="18:18" s="2" customFormat="1" ht="12.75" x14ac:dyDescent="0.2">
      <c r="R37897" s="1288"/>
    </row>
    <row r="37898" spans="18:18" s="2" customFormat="1" ht="12.75" x14ac:dyDescent="0.2">
      <c r="R37898" s="1288"/>
    </row>
    <row r="37899" spans="18:18" s="2" customFormat="1" ht="12.75" x14ac:dyDescent="0.2">
      <c r="R37899" s="1288"/>
    </row>
    <row r="37900" spans="18:18" s="2" customFormat="1" ht="12.75" x14ac:dyDescent="0.2">
      <c r="R37900" s="1288"/>
    </row>
    <row r="37901" spans="18:18" s="2" customFormat="1" ht="12.75" x14ac:dyDescent="0.2">
      <c r="R37901" s="1288"/>
    </row>
    <row r="37902" spans="18:18" s="2" customFormat="1" ht="12.75" x14ac:dyDescent="0.2">
      <c r="R37902" s="1288"/>
    </row>
    <row r="37903" spans="18:18" s="2" customFormat="1" ht="12.75" x14ac:dyDescent="0.2">
      <c r="R37903" s="1288"/>
    </row>
    <row r="37904" spans="18:18" s="2" customFormat="1" ht="12.75" x14ac:dyDescent="0.2">
      <c r="R37904" s="1288"/>
    </row>
    <row r="37905" spans="18:18" s="2" customFormat="1" ht="12.75" x14ac:dyDescent="0.2">
      <c r="R37905" s="1288"/>
    </row>
    <row r="37906" spans="18:18" s="2" customFormat="1" ht="12.75" x14ac:dyDescent="0.2">
      <c r="R37906" s="1288"/>
    </row>
    <row r="37907" spans="18:18" s="2" customFormat="1" ht="12.75" x14ac:dyDescent="0.2">
      <c r="R37907" s="1288"/>
    </row>
    <row r="37908" spans="18:18" s="2" customFormat="1" ht="12.75" x14ac:dyDescent="0.2">
      <c r="R37908" s="1288"/>
    </row>
    <row r="37909" spans="18:18" s="2" customFormat="1" ht="12.75" x14ac:dyDescent="0.2">
      <c r="R37909" s="1288"/>
    </row>
    <row r="37910" spans="18:18" s="2" customFormat="1" ht="12.75" x14ac:dyDescent="0.2">
      <c r="R37910" s="1288"/>
    </row>
    <row r="37911" spans="18:18" s="2" customFormat="1" ht="12.75" x14ac:dyDescent="0.2">
      <c r="R37911" s="1288"/>
    </row>
    <row r="37912" spans="18:18" s="2" customFormat="1" ht="12.75" x14ac:dyDescent="0.2">
      <c r="R37912" s="1288"/>
    </row>
    <row r="37913" spans="18:18" s="2" customFormat="1" ht="12.75" x14ac:dyDescent="0.2">
      <c r="R37913" s="1288"/>
    </row>
    <row r="37914" spans="18:18" s="2" customFormat="1" ht="12.75" x14ac:dyDescent="0.2">
      <c r="R37914" s="1288"/>
    </row>
    <row r="37915" spans="18:18" s="2" customFormat="1" ht="12.75" x14ac:dyDescent="0.2">
      <c r="R37915" s="1288"/>
    </row>
    <row r="37916" spans="18:18" s="2" customFormat="1" ht="12.75" x14ac:dyDescent="0.2">
      <c r="R37916" s="1288"/>
    </row>
    <row r="37917" spans="18:18" s="2" customFormat="1" ht="12.75" x14ac:dyDescent="0.2">
      <c r="R37917" s="1288"/>
    </row>
    <row r="37918" spans="18:18" s="2" customFormat="1" ht="12.75" x14ac:dyDescent="0.2">
      <c r="R37918" s="1288"/>
    </row>
    <row r="37919" spans="18:18" s="2" customFormat="1" ht="12.75" x14ac:dyDescent="0.2">
      <c r="R37919" s="1288"/>
    </row>
    <row r="37920" spans="18:18" s="2" customFormat="1" ht="12.75" x14ac:dyDescent="0.2">
      <c r="R37920" s="1288"/>
    </row>
    <row r="37921" spans="18:18" s="2" customFormat="1" ht="12.75" x14ac:dyDescent="0.2">
      <c r="R37921" s="1288"/>
    </row>
    <row r="37922" spans="18:18" s="2" customFormat="1" ht="12.75" x14ac:dyDescent="0.2">
      <c r="R37922" s="1288"/>
    </row>
    <row r="37923" spans="18:18" s="2" customFormat="1" ht="12.75" x14ac:dyDescent="0.2">
      <c r="R37923" s="1288"/>
    </row>
    <row r="37924" spans="18:18" s="2" customFormat="1" ht="12.75" x14ac:dyDescent="0.2">
      <c r="R37924" s="1288"/>
    </row>
    <row r="37925" spans="18:18" s="2" customFormat="1" ht="12.75" x14ac:dyDescent="0.2">
      <c r="R37925" s="1288"/>
    </row>
    <row r="37926" spans="18:18" s="2" customFormat="1" ht="12.75" x14ac:dyDescent="0.2">
      <c r="R37926" s="1288"/>
    </row>
    <row r="37927" spans="18:18" s="2" customFormat="1" ht="12.75" x14ac:dyDescent="0.2">
      <c r="R37927" s="1288"/>
    </row>
    <row r="37928" spans="18:18" s="2" customFormat="1" ht="12.75" x14ac:dyDescent="0.2">
      <c r="R37928" s="1288"/>
    </row>
    <row r="37929" spans="18:18" s="2" customFormat="1" ht="12.75" x14ac:dyDescent="0.2">
      <c r="R37929" s="1288"/>
    </row>
    <row r="37930" spans="18:18" s="2" customFormat="1" ht="12.75" x14ac:dyDescent="0.2">
      <c r="R37930" s="1288"/>
    </row>
    <row r="37931" spans="18:18" s="2" customFormat="1" ht="12.75" x14ac:dyDescent="0.2">
      <c r="R37931" s="1288"/>
    </row>
    <row r="37932" spans="18:18" s="2" customFormat="1" ht="12.75" x14ac:dyDescent="0.2">
      <c r="R37932" s="1288"/>
    </row>
    <row r="37933" spans="18:18" s="2" customFormat="1" ht="12.75" x14ac:dyDescent="0.2">
      <c r="R37933" s="1288"/>
    </row>
    <row r="37934" spans="18:18" s="2" customFormat="1" ht="12.75" x14ac:dyDescent="0.2">
      <c r="R37934" s="1288"/>
    </row>
    <row r="37935" spans="18:18" s="2" customFormat="1" ht="12.75" x14ac:dyDescent="0.2">
      <c r="R37935" s="1288"/>
    </row>
    <row r="37936" spans="18:18" s="2" customFormat="1" ht="12.75" x14ac:dyDescent="0.2">
      <c r="R37936" s="1288"/>
    </row>
    <row r="37937" spans="18:18" s="2" customFormat="1" ht="12.75" x14ac:dyDescent="0.2">
      <c r="R37937" s="1288"/>
    </row>
    <row r="37938" spans="18:18" s="2" customFormat="1" ht="12.75" x14ac:dyDescent="0.2">
      <c r="R37938" s="1288"/>
    </row>
    <row r="37939" spans="18:18" s="2" customFormat="1" ht="12.75" x14ac:dyDescent="0.2">
      <c r="R37939" s="1288"/>
    </row>
    <row r="37940" spans="18:18" s="2" customFormat="1" ht="12.75" x14ac:dyDescent="0.2">
      <c r="R37940" s="1288"/>
    </row>
    <row r="37941" spans="18:18" s="2" customFormat="1" ht="12.75" x14ac:dyDescent="0.2">
      <c r="R37941" s="1288"/>
    </row>
    <row r="37942" spans="18:18" s="2" customFormat="1" ht="12.75" x14ac:dyDescent="0.2">
      <c r="R37942" s="1288"/>
    </row>
    <row r="37943" spans="18:18" s="2" customFormat="1" ht="12.75" x14ac:dyDescent="0.2">
      <c r="R37943" s="1288"/>
    </row>
    <row r="37944" spans="18:18" s="2" customFormat="1" ht="12.75" x14ac:dyDescent="0.2">
      <c r="R37944" s="1288"/>
    </row>
    <row r="37945" spans="18:18" s="2" customFormat="1" ht="12.75" x14ac:dyDescent="0.2">
      <c r="R37945" s="1288"/>
    </row>
    <row r="37946" spans="18:18" s="2" customFormat="1" ht="12.75" x14ac:dyDescent="0.2">
      <c r="R37946" s="1288"/>
    </row>
    <row r="37947" spans="18:18" s="2" customFormat="1" ht="12.75" x14ac:dyDescent="0.2">
      <c r="R37947" s="1288"/>
    </row>
    <row r="37948" spans="18:18" s="2" customFormat="1" ht="12.75" x14ac:dyDescent="0.2">
      <c r="R37948" s="1288"/>
    </row>
    <row r="37949" spans="18:18" s="2" customFormat="1" ht="12.75" x14ac:dyDescent="0.2">
      <c r="R37949" s="1288"/>
    </row>
    <row r="37950" spans="18:18" s="2" customFormat="1" ht="12.75" x14ac:dyDescent="0.2">
      <c r="R37950" s="1288"/>
    </row>
    <row r="37951" spans="18:18" s="2" customFormat="1" ht="12.75" x14ac:dyDescent="0.2">
      <c r="R37951" s="1288"/>
    </row>
    <row r="37952" spans="18:18" s="2" customFormat="1" ht="12.75" x14ac:dyDescent="0.2">
      <c r="R37952" s="1288"/>
    </row>
    <row r="37953" spans="18:18" s="2" customFormat="1" ht="12.75" x14ac:dyDescent="0.2">
      <c r="R37953" s="1288"/>
    </row>
    <row r="37954" spans="18:18" s="2" customFormat="1" ht="12.75" x14ac:dyDescent="0.2">
      <c r="R37954" s="1288"/>
    </row>
    <row r="37955" spans="18:18" s="2" customFormat="1" ht="12.75" x14ac:dyDescent="0.2">
      <c r="R37955" s="1288"/>
    </row>
    <row r="37956" spans="18:18" s="2" customFormat="1" ht="12.75" x14ac:dyDescent="0.2">
      <c r="R37956" s="1288"/>
    </row>
    <row r="37957" spans="18:18" s="2" customFormat="1" ht="12.75" x14ac:dyDescent="0.2">
      <c r="R37957" s="1288"/>
    </row>
    <row r="37958" spans="18:18" s="2" customFormat="1" ht="12.75" x14ac:dyDescent="0.2">
      <c r="R37958" s="1288"/>
    </row>
    <row r="37959" spans="18:18" s="2" customFormat="1" ht="12.75" x14ac:dyDescent="0.2">
      <c r="R37959" s="1288"/>
    </row>
    <row r="37960" spans="18:18" s="2" customFormat="1" ht="12.75" x14ac:dyDescent="0.2">
      <c r="R37960" s="1288"/>
    </row>
    <row r="37961" spans="18:18" s="2" customFormat="1" ht="12.75" x14ac:dyDescent="0.2">
      <c r="R37961" s="1288"/>
    </row>
    <row r="37962" spans="18:18" s="2" customFormat="1" ht="12.75" x14ac:dyDescent="0.2">
      <c r="R37962" s="1288"/>
    </row>
    <row r="37963" spans="18:18" s="2" customFormat="1" ht="12.75" x14ac:dyDescent="0.2">
      <c r="R37963" s="1288"/>
    </row>
    <row r="37964" spans="18:18" s="2" customFormat="1" ht="12.75" x14ac:dyDescent="0.2">
      <c r="R37964" s="1288"/>
    </row>
    <row r="37965" spans="18:18" s="2" customFormat="1" ht="12.75" x14ac:dyDescent="0.2">
      <c r="R37965" s="1288"/>
    </row>
    <row r="37966" spans="18:18" s="2" customFormat="1" ht="12.75" x14ac:dyDescent="0.2">
      <c r="R37966" s="1288"/>
    </row>
    <row r="37967" spans="18:18" s="2" customFormat="1" ht="12.75" x14ac:dyDescent="0.2">
      <c r="R37967" s="1288"/>
    </row>
    <row r="37968" spans="18:18" s="2" customFormat="1" ht="12.75" x14ac:dyDescent="0.2">
      <c r="R37968" s="1288"/>
    </row>
    <row r="37969" spans="18:18" s="2" customFormat="1" ht="12.75" x14ac:dyDescent="0.2">
      <c r="R37969" s="1288"/>
    </row>
    <row r="37970" spans="18:18" s="2" customFormat="1" ht="12.75" x14ac:dyDescent="0.2">
      <c r="R37970" s="1288"/>
    </row>
    <row r="37971" spans="18:18" s="2" customFormat="1" ht="12.75" x14ac:dyDescent="0.2">
      <c r="R37971" s="1288"/>
    </row>
    <row r="37972" spans="18:18" s="2" customFormat="1" ht="12.75" x14ac:dyDescent="0.2">
      <c r="R37972" s="1288"/>
    </row>
    <row r="37973" spans="18:18" s="2" customFormat="1" ht="12.75" x14ac:dyDescent="0.2">
      <c r="R37973" s="1288"/>
    </row>
    <row r="37974" spans="18:18" s="2" customFormat="1" ht="12.75" x14ac:dyDescent="0.2">
      <c r="R37974" s="1288"/>
    </row>
    <row r="37975" spans="18:18" s="2" customFormat="1" ht="12.75" x14ac:dyDescent="0.2">
      <c r="R37975" s="1288"/>
    </row>
    <row r="37976" spans="18:18" s="2" customFormat="1" ht="12.75" x14ac:dyDescent="0.2">
      <c r="R37976" s="1288"/>
    </row>
    <row r="37977" spans="18:18" s="2" customFormat="1" ht="12.75" x14ac:dyDescent="0.2">
      <c r="R37977" s="1288"/>
    </row>
    <row r="37978" spans="18:18" s="2" customFormat="1" ht="12.75" x14ac:dyDescent="0.2">
      <c r="R37978" s="1288"/>
    </row>
    <row r="37979" spans="18:18" s="2" customFormat="1" ht="12.75" x14ac:dyDescent="0.2">
      <c r="R37979" s="1288"/>
    </row>
    <row r="37980" spans="18:18" s="2" customFormat="1" ht="12.75" x14ac:dyDescent="0.2">
      <c r="R37980" s="1288"/>
    </row>
    <row r="37981" spans="18:18" s="2" customFormat="1" ht="12.75" x14ac:dyDescent="0.2">
      <c r="R37981" s="1288"/>
    </row>
    <row r="37982" spans="18:18" s="2" customFormat="1" ht="12.75" x14ac:dyDescent="0.2">
      <c r="R37982" s="1288"/>
    </row>
    <row r="37983" spans="18:18" s="2" customFormat="1" ht="12.75" x14ac:dyDescent="0.2">
      <c r="R37983" s="1288"/>
    </row>
    <row r="37984" spans="18:18" s="2" customFormat="1" ht="12.75" x14ac:dyDescent="0.2">
      <c r="R37984" s="1288"/>
    </row>
    <row r="37985" spans="18:18" s="2" customFormat="1" ht="12.75" x14ac:dyDescent="0.2">
      <c r="R37985" s="1288"/>
    </row>
    <row r="37986" spans="18:18" s="2" customFormat="1" ht="12.75" x14ac:dyDescent="0.2">
      <c r="R37986" s="1288"/>
    </row>
    <row r="37987" spans="18:18" s="2" customFormat="1" ht="12.75" x14ac:dyDescent="0.2">
      <c r="R37987" s="1288"/>
    </row>
    <row r="37988" spans="18:18" s="2" customFormat="1" ht="12.75" x14ac:dyDescent="0.2">
      <c r="R37988" s="1288"/>
    </row>
    <row r="37989" spans="18:18" s="2" customFormat="1" ht="12.75" x14ac:dyDescent="0.2">
      <c r="R37989" s="1288"/>
    </row>
    <row r="37990" spans="18:18" s="2" customFormat="1" ht="12.75" x14ac:dyDescent="0.2">
      <c r="R37990" s="1288"/>
    </row>
    <row r="37991" spans="18:18" s="2" customFormat="1" ht="12.75" x14ac:dyDescent="0.2">
      <c r="R37991" s="1288"/>
    </row>
    <row r="37992" spans="18:18" s="2" customFormat="1" ht="12.75" x14ac:dyDescent="0.2">
      <c r="R37992" s="1288"/>
    </row>
    <row r="37993" spans="18:18" s="2" customFormat="1" ht="12.75" x14ac:dyDescent="0.2">
      <c r="R37993" s="1288"/>
    </row>
    <row r="37994" spans="18:18" s="2" customFormat="1" ht="12.75" x14ac:dyDescent="0.2">
      <c r="R37994" s="1288"/>
    </row>
    <row r="37995" spans="18:18" s="2" customFormat="1" ht="12.75" x14ac:dyDescent="0.2">
      <c r="R37995" s="1288"/>
    </row>
    <row r="37996" spans="18:18" s="2" customFormat="1" ht="12.75" x14ac:dyDescent="0.2">
      <c r="R37996" s="1288"/>
    </row>
    <row r="37997" spans="18:18" s="2" customFormat="1" ht="12.75" x14ac:dyDescent="0.2">
      <c r="R37997" s="1288"/>
    </row>
    <row r="37998" spans="18:18" s="2" customFormat="1" ht="12.75" x14ac:dyDescent="0.2">
      <c r="R37998" s="1288"/>
    </row>
    <row r="37999" spans="18:18" s="2" customFormat="1" ht="12.75" x14ac:dyDescent="0.2">
      <c r="R37999" s="1288"/>
    </row>
    <row r="38000" spans="18:18" s="2" customFormat="1" ht="12.75" x14ac:dyDescent="0.2">
      <c r="R38000" s="1288"/>
    </row>
    <row r="38001" spans="18:18" s="2" customFormat="1" ht="12.75" x14ac:dyDescent="0.2">
      <c r="R38001" s="1288"/>
    </row>
    <row r="38002" spans="18:18" s="2" customFormat="1" ht="12.75" x14ac:dyDescent="0.2">
      <c r="R38002" s="1288"/>
    </row>
    <row r="38003" spans="18:18" s="2" customFormat="1" ht="12.75" x14ac:dyDescent="0.2">
      <c r="R38003" s="1288"/>
    </row>
    <row r="38004" spans="18:18" s="2" customFormat="1" ht="12.75" x14ac:dyDescent="0.2">
      <c r="R38004" s="1288"/>
    </row>
    <row r="38005" spans="18:18" s="2" customFormat="1" ht="12.75" x14ac:dyDescent="0.2">
      <c r="R38005" s="1288"/>
    </row>
    <row r="38006" spans="18:18" s="2" customFormat="1" ht="12.75" x14ac:dyDescent="0.2">
      <c r="R38006" s="1288"/>
    </row>
    <row r="38007" spans="18:18" s="2" customFormat="1" ht="12.75" x14ac:dyDescent="0.2">
      <c r="R38007" s="1288"/>
    </row>
    <row r="38008" spans="18:18" s="2" customFormat="1" ht="12.75" x14ac:dyDescent="0.2">
      <c r="R38008" s="1288"/>
    </row>
    <row r="38009" spans="18:18" s="2" customFormat="1" ht="12.75" x14ac:dyDescent="0.2">
      <c r="R38009" s="1288"/>
    </row>
    <row r="38010" spans="18:18" s="2" customFormat="1" ht="12.75" x14ac:dyDescent="0.2">
      <c r="R38010" s="1288"/>
    </row>
    <row r="38011" spans="18:18" s="2" customFormat="1" ht="12.75" x14ac:dyDescent="0.2">
      <c r="R38011" s="1288"/>
    </row>
    <row r="38012" spans="18:18" s="2" customFormat="1" ht="12.75" x14ac:dyDescent="0.2">
      <c r="R38012" s="1288"/>
    </row>
    <row r="38013" spans="18:18" s="2" customFormat="1" ht="12.75" x14ac:dyDescent="0.2">
      <c r="R38013" s="1288"/>
    </row>
    <row r="38014" spans="18:18" s="2" customFormat="1" ht="12.75" x14ac:dyDescent="0.2">
      <c r="R38014" s="1288"/>
    </row>
    <row r="38015" spans="18:18" s="2" customFormat="1" ht="12.75" x14ac:dyDescent="0.2">
      <c r="R38015" s="1288"/>
    </row>
    <row r="38016" spans="18:18" s="2" customFormat="1" ht="12.75" x14ac:dyDescent="0.2">
      <c r="R38016" s="1288"/>
    </row>
    <row r="38017" spans="18:18" s="2" customFormat="1" ht="12.75" x14ac:dyDescent="0.2">
      <c r="R38017" s="1288"/>
    </row>
    <row r="38018" spans="18:18" s="2" customFormat="1" ht="12.75" x14ac:dyDescent="0.2">
      <c r="R38018" s="1288"/>
    </row>
    <row r="38019" spans="18:18" s="2" customFormat="1" ht="12.75" x14ac:dyDescent="0.2">
      <c r="R38019" s="1288"/>
    </row>
    <row r="38020" spans="18:18" s="2" customFormat="1" ht="12.75" x14ac:dyDescent="0.2">
      <c r="R38020" s="1288"/>
    </row>
    <row r="38021" spans="18:18" s="2" customFormat="1" ht="12.75" x14ac:dyDescent="0.2">
      <c r="R38021" s="1288"/>
    </row>
    <row r="38022" spans="18:18" s="2" customFormat="1" ht="12.75" x14ac:dyDescent="0.2">
      <c r="R38022" s="1288"/>
    </row>
    <row r="38023" spans="18:18" s="2" customFormat="1" ht="12.75" x14ac:dyDescent="0.2">
      <c r="R38023" s="1288"/>
    </row>
    <row r="38024" spans="18:18" s="2" customFormat="1" ht="12.75" x14ac:dyDescent="0.2">
      <c r="R38024" s="1288"/>
    </row>
    <row r="38025" spans="18:18" s="2" customFormat="1" ht="12.75" x14ac:dyDescent="0.2">
      <c r="R38025" s="1288"/>
    </row>
    <row r="38026" spans="18:18" s="2" customFormat="1" ht="12.75" x14ac:dyDescent="0.2">
      <c r="R38026" s="1288"/>
    </row>
    <row r="38027" spans="18:18" s="2" customFormat="1" ht="12.75" x14ac:dyDescent="0.2">
      <c r="R38027" s="1288"/>
    </row>
    <row r="38028" spans="18:18" s="2" customFormat="1" ht="12.75" x14ac:dyDescent="0.2">
      <c r="R38028" s="1288"/>
    </row>
    <row r="38029" spans="18:18" s="2" customFormat="1" ht="12.75" x14ac:dyDescent="0.2">
      <c r="R38029" s="1288"/>
    </row>
    <row r="38030" spans="18:18" s="2" customFormat="1" ht="12.75" x14ac:dyDescent="0.2">
      <c r="R38030" s="1288"/>
    </row>
    <row r="38031" spans="18:18" s="2" customFormat="1" ht="12.75" x14ac:dyDescent="0.2">
      <c r="R38031" s="1288"/>
    </row>
    <row r="38032" spans="18:18" s="2" customFormat="1" ht="12.75" x14ac:dyDescent="0.2">
      <c r="R38032" s="1288"/>
    </row>
    <row r="38033" spans="18:18" s="2" customFormat="1" ht="12.75" x14ac:dyDescent="0.2">
      <c r="R38033" s="1288"/>
    </row>
    <row r="38034" spans="18:18" s="2" customFormat="1" ht="12.75" x14ac:dyDescent="0.2">
      <c r="R38034" s="1288"/>
    </row>
    <row r="38035" spans="18:18" s="2" customFormat="1" ht="12.75" x14ac:dyDescent="0.2">
      <c r="R38035" s="1288"/>
    </row>
    <row r="38036" spans="18:18" s="2" customFormat="1" ht="12.75" x14ac:dyDescent="0.2">
      <c r="R38036" s="1288"/>
    </row>
    <row r="38037" spans="18:18" s="2" customFormat="1" ht="12.75" x14ac:dyDescent="0.2">
      <c r="R38037" s="1288"/>
    </row>
    <row r="38038" spans="18:18" s="2" customFormat="1" ht="12.75" x14ac:dyDescent="0.2">
      <c r="R38038" s="1288"/>
    </row>
    <row r="38039" spans="18:18" s="2" customFormat="1" ht="12.75" x14ac:dyDescent="0.2">
      <c r="R38039" s="1288"/>
    </row>
    <row r="38040" spans="18:18" s="2" customFormat="1" ht="12.75" x14ac:dyDescent="0.2">
      <c r="R38040" s="1288"/>
    </row>
    <row r="38041" spans="18:18" s="2" customFormat="1" ht="12.75" x14ac:dyDescent="0.2">
      <c r="R38041" s="1288"/>
    </row>
    <row r="38042" spans="18:18" s="2" customFormat="1" ht="12.75" x14ac:dyDescent="0.2">
      <c r="R38042" s="1288"/>
    </row>
    <row r="38043" spans="18:18" s="2" customFormat="1" ht="12.75" x14ac:dyDescent="0.2">
      <c r="R38043" s="1288"/>
    </row>
    <row r="38044" spans="18:18" s="2" customFormat="1" ht="12.75" x14ac:dyDescent="0.2">
      <c r="R38044" s="1288"/>
    </row>
    <row r="38045" spans="18:18" s="2" customFormat="1" ht="12.75" x14ac:dyDescent="0.2">
      <c r="R38045" s="1288"/>
    </row>
    <row r="38046" spans="18:18" s="2" customFormat="1" ht="12.75" x14ac:dyDescent="0.2">
      <c r="R38046" s="1288"/>
    </row>
    <row r="38047" spans="18:18" s="2" customFormat="1" ht="12.75" x14ac:dyDescent="0.2">
      <c r="R38047" s="1288"/>
    </row>
    <row r="38048" spans="18:18" s="2" customFormat="1" ht="12.75" x14ac:dyDescent="0.2">
      <c r="R38048" s="1288"/>
    </row>
    <row r="38049" spans="18:18" s="2" customFormat="1" ht="12.75" x14ac:dyDescent="0.2">
      <c r="R38049" s="1288"/>
    </row>
    <row r="38050" spans="18:18" s="2" customFormat="1" ht="12.75" x14ac:dyDescent="0.2">
      <c r="R38050" s="1288"/>
    </row>
    <row r="38051" spans="18:18" s="2" customFormat="1" ht="12.75" x14ac:dyDescent="0.2">
      <c r="R38051" s="1288"/>
    </row>
    <row r="38052" spans="18:18" s="2" customFormat="1" ht="12.75" x14ac:dyDescent="0.2">
      <c r="R38052" s="1288"/>
    </row>
    <row r="38053" spans="18:18" s="2" customFormat="1" ht="12.75" x14ac:dyDescent="0.2">
      <c r="R38053" s="1288"/>
    </row>
    <row r="38054" spans="18:18" s="2" customFormat="1" ht="12.75" x14ac:dyDescent="0.2">
      <c r="R38054" s="1288"/>
    </row>
    <row r="38055" spans="18:18" s="2" customFormat="1" ht="12.75" x14ac:dyDescent="0.2">
      <c r="R38055" s="1288"/>
    </row>
    <row r="38056" spans="18:18" s="2" customFormat="1" ht="12.75" x14ac:dyDescent="0.2">
      <c r="R38056" s="1288"/>
    </row>
    <row r="38057" spans="18:18" s="2" customFormat="1" ht="12.75" x14ac:dyDescent="0.2">
      <c r="R38057" s="1288"/>
    </row>
    <row r="38058" spans="18:18" s="2" customFormat="1" ht="12.75" x14ac:dyDescent="0.2">
      <c r="R38058" s="1288"/>
    </row>
    <row r="38059" spans="18:18" s="2" customFormat="1" ht="12.75" x14ac:dyDescent="0.2">
      <c r="R38059" s="1288"/>
    </row>
    <row r="38060" spans="18:18" s="2" customFormat="1" ht="12.75" x14ac:dyDescent="0.2">
      <c r="R38060" s="1288"/>
    </row>
    <row r="38061" spans="18:18" s="2" customFormat="1" ht="12.75" x14ac:dyDescent="0.2">
      <c r="R38061" s="1288"/>
    </row>
    <row r="38062" spans="18:18" s="2" customFormat="1" ht="12.75" x14ac:dyDescent="0.2">
      <c r="R38062" s="1288"/>
    </row>
    <row r="38063" spans="18:18" s="2" customFormat="1" ht="12.75" x14ac:dyDescent="0.2">
      <c r="R38063" s="1288"/>
    </row>
    <row r="38064" spans="18:18" s="2" customFormat="1" ht="12.75" x14ac:dyDescent="0.2">
      <c r="R38064" s="1288"/>
    </row>
    <row r="38065" spans="18:18" s="2" customFormat="1" ht="12.75" x14ac:dyDescent="0.2">
      <c r="R38065" s="1288"/>
    </row>
    <row r="38066" spans="18:18" s="2" customFormat="1" ht="12.75" x14ac:dyDescent="0.2">
      <c r="R38066" s="1288"/>
    </row>
    <row r="38067" spans="18:18" s="2" customFormat="1" ht="12.75" x14ac:dyDescent="0.2">
      <c r="R38067" s="1288"/>
    </row>
    <row r="38068" spans="18:18" s="2" customFormat="1" ht="12.75" x14ac:dyDescent="0.2">
      <c r="R38068" s="1288"/>
    </row>
    <row r="38069" spans="18:18" s="2" customFormat="1" ht="12.75" x14ac:dyDescent="0.2">
      <c r="R38069" s="1288"/>
    </row>
    <row r="38070" spans="18:18" s="2" customFormat="1" ht="12.75" x14ac:dyDescent="0.2">
      <c r="R38070" s="1288"/>
    </row>
    <row r="38071" spans="18:18" s="2" customFormat="1" ht="12.75" x14ac:dyDescent="0.2">
      <c r="R38071" s="1288"/>
    </row>
    <row r="38072" spans="18:18" s="2" customFormat="1" ht="12.75" x14ac:dyDescent="0.2">
      <c r="R38072" s="1288"/>
    </row>
    <row r="38073" spans="18:18" s="2" customFormat="1" ht="12.75" x14ac:dyDescent="0.2">
      <c r="R38073" s="1288"/>
    </row>
    <row r="38074" spans="18:18" s="2" customFormat="1" ht="12.75" x14ac:dyDescent="0.2">
      <c r="R38074" s="1288"/>
    </row>
    <row r="38075" spans="18:18" s="2" customFormat="1" ht="12.75" x14ac:dyDescent="0.2">
      <c r="R38075" s="1288"/>
    </row>
    <row r="38076" spans="18:18" s="2" customFormat="1" ht="12.75" x14ac:dyDescent="0.2">
      <c r="R38076" s="1288"/>
    </row>
    <row r="38077" spans="18:18" s="2" customFormat="1" ht="12.75" x14ac:dyDescent="0.2">
      <c r="R38077" s="1288"/>
    </row>
    <row r="38078" spans="18:18" s="2" customFormat="1" ht="12.75" x14ac:dyDescent="0.2">
      <c r="R38078" s="1288"/>
    </row>
    <row r="38079" spans="18:18" s="2" customFormat="1" ht="12.75" x14ac:dyDescent="0.2">
      <c r="R38079" s="1288"/>
    </row>
    <row r="38080" spans="18:18" s="2" customFormat="1" ht="12.75" x14ac:dyDescent="0.2">
      <c r="R38080" s="1288"/>
    </row>
    <row r="38081" spans="18:18" s="2" customFormat="1" ht="12.75" x14ac:dyDescent="0.2">
      <c r="R38081" s="1288"/>
    </row>
    <row r="38082" spans="18:18" s="2" customFormat="1" ht="12.75" x14ac:dyDescent="0.2">
      <c r="R38082" s="1288"/>
    </row>
    <row r="38083" spans="18:18" s="2" customFormat="1" ht="12.75" x14ac:dyDescent="0.2">
      <c r="R38083" s="1288"/>
    </row>
    <row r="38084" spans="18:18" s="2" customFormat="1" ht="12.75" x14ac:dyDescent="0.2">
      <c r="R38084" s="1288"/>
    </row>
    <row r="38085" spans="18:18" s="2" customFormat="1" ht="12.75" x14ac:dyDescent="0.2">
      <c r="R38085" s="1288"/>
    </row>
    <row r="38086" spans="18:18" s="2" customFormat="1" ht="12.75" x14ac:dyDescent="0.2">
      <c r="R38086" s="1288"/>
    </row>
    <row r="38087" spans="18:18" s="2" customFormat="1" ht="12.75" x14ac:dyDescent="0.2">
      <c r="R38087" s="1288"/>
    </row>
    <row r="38088" spans="18:18" s="2" customFormat="1" ht="12.75" x14ac:dyDescent="0.2">
      <c r="R38088" s="1288"/>
    </row>
    <row r="38089" spans="18:18" s="2" customFormat="1" ht="12.75" x14ac:dyDescent="0.2">
      <c r="R38089" s="1288"/>
    </row>
    <row r="38090" spans="18:18" s="2" customFormat="1" ht="12.75" x14ac:dyDescent="0.2">
      <c r="R38090" s="1288"/>
    </row>
    <row r="38091" spans="18:18" s="2" customFormat="1" ht="12.75" x14ac:dyDescent="0.2">
      <c r="R38091" s="1288"/>
    </row>
    <row r="38092" spans="18:18" s="2" customFormat="1" ht="12.75" x14ac:dyDescent="0.2">
      <c r="R38092" s="1288"/>
    </row>
    <row r="38093" spans="18:18" s="2" customFormat="1" ht="12.75" x14ac:dyDescent="0.2">
      <c r="R38093" s="1288"/>
    </row>
    <row r="38094" spans="18:18" s="2" customFormat="1" ht="12.75" x14ac:dyDescent="0.2">
      <c r="R38094" s="1288"/>
    </row>
    <row r="38095" spans="18:18" s="2" customFormat="1" ht="12.75" x14ac:dyDescent="0.2">
      <c r="R38095" s="1288"/>
    </row>
    <row r="38096" spans="18:18" s="2" customFormat="1" ht="12.75" x14ac:dyDescent="0.2">
      <c r="R38096" s="1288"/>
    </row>
    <row r="38097" spans="18:18" s="2" customFormat="1" ht="12.75" x14ac:dyDescent="0.2">
      <c r="R38097" s="1288"/>
    </row>
    <row r="38098" spans="18:18" s="2" customFormat="1" ht="12.75" x14ac:dyDescent="0.2">
      <c r="R38098" s="1288"/>
    </row>
    <row r="38099" spans="18:18" s="2" customFormat="1" ht="12.75" x14ac:dyDescent="0.2">
      <c r="R38099" s="1288"/>
    </row>
    <row r="38100" spans="18:18" s="2" customFormat="1" ht="12.75" x14ac:dyDescent="0.2">
      <c r="R38100" s="1288"/>
    </row>
    <row r="38101" spans="18:18" s="2" customFormat="1" ht="12.75" x14ac:dyDescent="0.2">
      <c r="R38101" s="1288"/>
    </row>
    <row r="38102" spans="18:18" s="2" customFormat="1" ht="12.75" x14ac:dyDescent="0.2">
      <c r="R38102" s="1288"/>
    </row>
    <row r="38103" spans="18:18" s="2" customFormat="1" ht="12.75" x14ac:dyDescent="0.2">
      <c r="R38103" s="1288"/>
    </row>
    <row r="38104" spans="18:18" s="2" customFormat="1" ht="12.75" x14ac:dyDescent="0.2">
      <c r="R38104" s="1288"/>
    </row>
    <row r="38105" spans="18:18" s="2" customFormat="1" ht="12.75" x14ac:dyDescent="0.2">
      <c r="R38105" s="1288"/>
    </row>
    <row r="38106" spans="18:18" s="2" customFormat="1" ht="12.75" x14ac:dyDescent="0.2">
      <c r="R38106" s="1288"/>
    </row>
    <row r="38107" spans="18:18" s="2" customFormat="1" ht="12.75" x14ac:dyDescent="0.2">
      <c r="R38107" s="1288"/>
    </row>
    <row r="38108" spans="18:18" s="2" customFormat="1" ht="12.75" x14ac:dyDescent="0.2">
      <c r="R38108" s="1288"/>
    </row>
    <row r="38109" spans="18:18" s="2" customFormat="1" ht="12.75" x14ac:dyDescent="0.2">
      <c r="R38109" s="1288"/>
    </row>
    <row r="38110" spans="18:18" s="2" customFormat="1" ht="12.75" x14ac:dyDescent="0.2">
      <c r="R38110" s="1288"/>
    </row>
    <row r="38111" spans="18:18" s="2" customFormat="1" ht="12.75" x14ac:dyDescent="0.2">
      <c r="R38111" s="1288"/>
    </row>
    <row r="38112" spans="18:18" s="2" customFormat="1" ht="12.75" x14ac:dyDescent="0.2">
      <c r="R38112" s="1288"/>
    </row>
    <row r="38113" spans="18:18" s="2" customFormat="1" ht="12.75" x14ac:dyDescent="0.2">
      <c r="R38113" s="1288"/>
    </row>
    <row r="38114" spans="18:18" s="2" customFormat="1" ht="12.75" x14ac:dyDescent="0.2">
      <c r="R38114" s="1288"/>
    </row>
    <row r="38115" spans="18:18" s="2" customFormat="1" ht="12.75" x14ac:dyDescent="0.2">
      <c r="R38115" s="1288"/>
    </row>
    <row r="38116" spans="18:18" s="2" customFormat="1" ht="12.75" x14ac:dyDescent="0.2">
      <c r="R38116" s="1288"/>
    </row>
    <row r="38117" spans="18:18" s="2" customFormat="1" ht="12.75" x14ac:dyDescent="0.2">
      <c r="R38117" s="1288"/>
    </row>
    <row r="38118" spans="18:18" s="2" customFormat="1" ht="12.75" x14ac:dyDescent="0.2">
      <c r="R38118" s="1288"/>
    </row>
    <row r="38119" spans="18:18" s="2" customFormat="1" ht="12.75" x14ac:dyDescent="0.2">
      <c r="R38119" s="1288"/>
    </row>
    <row r="38120" spans="18:18" s="2" customFormat="1" ht="12.75" x14ac:dyDescent="0.2">
      <c r="R38120" s="1288"/>
    </row>
    <row r="38121" spans="18:18" s="2" customFormat="1" ht="12.75" x14ac:dyDescent="0.2">
      <c r="R38121" s="1288"/>
    </row>
    <row r="38122" spans="18:18" s="2" customFormat="1" ht="12.75" x14ac:dyDescent="0.2">
      <c r="R38122" s="1288"/>
    </row>
    <row r="38123" spans="18:18" s="2" customFormat="1" ht="12.75" x14ac:dyDescent="0.2">
      <c r="R38123" s="1288"/>
    </row>
    <row r="38124" spans="18:18" s="2" customFormat="1" ht="12.75" x14ac:dyDescent="0.2">
      <c r="R38124" s="1288"/>
    </row>
    <row r="38125" spans="18:18" s="2" customFormat="1" ht="12.75" x14ac:dyDescent="0.2">
      <c r="R38125" s="1288"/>
    </row>
    <row r="38126" spans="18:18" s="2" customFormat="1" ht="12.75" x14ac:dyDescent="0.2">
      <c r="R38126" s="1288"/>
    </row>
    <row r="38127" spans="18:18" s="2" customFormat="1" ht="12.75" x14ac:dyDescent="0.2">
      <c r="R38127" s="1288"/>
    </row>
    <row r="38128" spans="18:18" s="2" customFormat="1" ht="12.75" x14ac:dyDescent="0.2">
      <c r="R38128" s="1288"/>
    </row>
    <row r="38129" spans="18:18" s="2" customFormat="1" ht="12.75" x14ac:dyDescent="0.2">
      <c r="R38129" s="1288"/>
    </row>
    <row r="38130" spans="18:18" s="2" customFormat="1" ht="12.75" x14ac:dyDescent="0.2">
      <c r="R38130" s="1288"/>
    </row>
    <row r="38131" spans="18:18" s="2" customFormat="1" ht="12.75" x14ac:dyDescent="0.2">
      <c r="R38131" s="1288"/>
    </row>
    <row r="38132" spans="18:18" s="2" customFormat="1" ht="12.75" x14ac:dyDescent="0.2">
      <c r="R38132" s="1288"/>
    </row>
    <row r="38133" spans="18:18" s="2" customFormat="1" ht="12.75" x14ac:dyDescent="0.2">
      <c r="R38133" s="1288"/>
    </row>
    <row r="38134" spans="18:18" s="2" customFormat="1" ht="12.75" x14ac:dyDescent="0.2">
      <c r="R38134" s="1288"/>
    </row>
    <row r="38135" spans="18:18" s="2" customFormat="1" ht="12.75" x14ac:dyDescent="0.2">
      <c r="R38135" s="1288"/>
    </row>
    <row r="38136" spans="18:18" s="2" customFormat="1" ht="12.75" x14ac:dyDescent="0.2">
      <c r="R38136" s="1288"/>
    </row>
    <row r="38137" spans="18:18" s="2" customFormat="1" ht="12.75" x14ac:dyDescent="0.2">
      <c r="R38137" s="1288"/>
    </row>
    <row r="38138" spans="18:18" s="2" customFormat="1" ht="12.75" x14ac:dyDescent="0.2">
      <c r="R38138" s="1288"/>
    </row>
    <row r="38139" spans="18:18" s="2" customFormat="1" ht="12.75" x14ac:dyDescent="0.2">
      <c r="R38139" s="1288"/>
    </row>
    <row r="38140" spans="18:18" s="2" customFormat="1" ht="12.75" x14ac:dyDescent="0.2">
      <c r="R38140" s="1288"/>
    </row>
    <row r="38141" spans="18:18" s="2" customFormat="1" ht="12.75" x14ac:dyDescent="0.2">
      <c r="R38141" s="1288"/>
    </row>
    <row r="38142" spans="18:18" s="2" customFormat="1" ht="12.75" x14ac:dyDescent="0.2">
      <c r="R38142" s="1288"/>
    </row>
    <row r="38143" spans="18:18" s="2" customFormat="1" ht="12.75" x14ac:dyDescent="0.2">
      <c r="R38143" s="1288"/>
    </row>
    <row r="38144" spans="18:18" s="2" customFormat="1" ht="12.75" x14ac:dyDescent="0.2">
      <c r="R38144" s="1288"/>
    </row>
    <row r="38145" spans="18:18" s="2" customFormat="1" ht="12.75" x14ac:dyDescent="0.2">
      <c r="R38145" s="1288"/>
    </row>
    <row r="38146" spans="18:18" s="2" customFormat="1" ht="12.75" x14ac:dyDescent="0.2">
      <c r="R38146" s="1288"/>
    </row>
    <row r="38147" spans="18:18" s="2" customFormat="1" ht="12.75" x14ac:dyDescent="0.2">
      <c r="R38147" s="1288"/>
    </row>
    <row r="38148" spans="18:18" s="2" customFormat="1" ht="12.75" x14ac:dyDescent="0.2">
      <c r="R38148" s="1288"/>
    </row>
    <row r="38149" spans="18:18" s="2" customFormat="1" ht="12.75" x14ac:dyDescent="0.2">
      <c r="R38149" s="1288"/>
    </row>
    <row r="38150" spans="18:18" s="2" customFormat="1" ht="12.75" x14ac:dyDescent="0.2">
      <c r="R38150" s="1288"/>
    </row>
    <row r="38151" spans="18:18" s="2" customFormat="1" ht="12.75" x14ac:dyDescent="0.2">
      <c r="R38151" s="1288"/>
    </row>
    <row r="38152" spans="18:18" s="2" customFormat="1" ht="12.75" x14ac:dyDescent="0.2">
      <c r="R38152" s="1288"/>
    </row>
    <row r="38153" spans="18:18" s="2" customFormat="1" ht="12.75" x14ac:dyDescent="0.2">
      <c r="R38153" s="1288"/>
    </row>
    <row r="38154" spans="18:18" s="2" customFormat="1" ht="12.75" x14ac:dyDescent="0.2">
      <c r="R38154" s="1288"/>
    </row>
    <row r="38155" spans="18:18" s="2" customFormat="1" ht="12.75" x14ac:dyDescent="0.2">
      <c r="R38155" s="1288"/>
    </row>
    <row r="38156" spans="18:18" s="2" customFormat="1" ht="12.75" x14ac:dyDescent="0.2">
      <c r="R38156" s="1288"/>
    </row>
    <row r="38157" spans="18:18" s="2" customFormat="1" ht="12.75" x14ac:dyDescent="0.2">
      <c r="R38157" s="1288"/>
    </row>
    <row r="38158" spans="18:18" s="2" customFormat="1" ht="12.75" x14ac:dyDescent="0.2">
      <c r="R38158" s="1288"/>
    </row>
    <row r="38159" spans="18:18" s="2" customFormat="1" ht="12.75" x14ac:dyDescent="0.2">
      <c r="R38159" s="1288"/>
    </row>
    <row r="38160" spans="18:18" s="2" customFormat="1" ht="12.75" x14ac:dyDescent="0.2">
      <c r="R38160" s="1288"/>
    </row>
    <row r="38161" spans="18:18" s="2" customFormat="1" ht="12.75" x14ac:dyDescent="0.2">
      <c r="R38161" s="1288"/>
    </row>
    <row r="38162" spans="18:18" s="2" customFormat="1" ht="12.75" x14ac:dyDescent="0.2">
      <c r="R38162" s="1288"/>
    </row>
    <row r="38163" spans="18:18" s="2" customFormat="1" ht="12.75" x14ac:dyDescent="0.2">
      <c r="R38163" s="1288"/>
    </row>
    <row r="38164" spans="18:18" s="2" customFormat="1" ht="12.75" x14ac:dyDescent="0.2">
      <c r="R38164" s="1288"/>
    </row>
    <row r="38165" spans="18:18" s="2" customFormat="1" ht="12.75" x14ac:dyDescent="0.2">
      <c r="R38165" s="1288"/>
    </row>
    <row r="38166" spans="18:18" s="2" customFormat="1" ht="12.75" x14ac:dyDescent="0.2">
      <c r="R38166" s="1288"/>
    </row>
    <row r="38167" spans="18:18" s="2" customFormat="1" ht="12.75" x14ac:dyDescent="0.2">
      <c r="R38167" s="1288"/>
    </row>
    <row r="38168" spans="18:18" s="2" customFormat="1" ht="12.75" x14ac:dyDescent="0.2">
      <c r="R38168" s="1288"/>
    </row>
    <row r="38169" spans="18:18" s="2" customFormat="1" ht="12.75" x14ac:dyDescent="0.2">
      <c r="R38169" s="1288"/>
    </row>
    <row r="38170" spans="18:18" s="2" customFormat="1" ht="12.75" x14ac:dyDescent="0.2">
      <c r="R38170" s="1288"/>
    </row>
    <row r="38171" spans="18:18" s="2" customFormat="1" ht="12.75" x14ac:dyDescent="0.2">
      <c r="R38171" s="1288"/>
    </row>
    <row r="38172" spans="18:18" s="2" customFormat="1" ht="12.75" x14ac:dyDescent="0.2">
      <c r="R38172" s="1288"/>
    </row>
    <row r="38173" spans="18:18" s="2" customFormat="1" ht="12.75" x14ac:dyDescent="0.2">
      <c r="R38173" s="1288"/>
    </row>
    <row r="38174" spans="18:18" s="2" customFormat="1" ht="12.75" x14ac:dyDescent="0.2">
      <c r="R38174" s="1288"/>
    </row>
    <row r="38175" spans="18:18" s="2" customFormat="1" ht="12.75" x14ac:dyDescent="0.2">
      <c r="R38175" s="1288"/>
    </row>
    <row r="38176" spans="18:18" s="2" customFormat="1" ht="12.75" x14ac:dyDescent="0.2">
      <c r="R38176" s="1288"/>
    </row>
    <row r="38177" spans="18:18" s="2" customFormat="1" ht="12.75" x14ac:dyDescent="0.2">
      <c r="R38177" s="1288"/>
    </row>
    <row r="38178" spans="18:18" s="2" customFormat="1" ht="12.75" x14ac:dyDescent="0.2">
      <c r="R38178" s="1288"/>
    </row>
    <row r="38179" spans="18:18" s="2" customFormat="1" ht="12.75" x14ac:dyDescent="0.2">
      <c r="R38179" s="1288"/>
    </row>
    <row r="38180" spans="18:18" s="2" customFormat="1" ht="12.75" x14ac:dyDescent="0.2">
      <c r="R38180" s="1288"/>
    </row>
    <row r="38181" spans="18:18" s="2" customFormat="1" ht="12.75" x14ac:dyDescent="0.2">
      <c r="R38181" s="1288"/>
    </row>
    <row r="38182" spans="18:18" s="2" customFormat="1" ht="12.75" x14ac:dyDescent="0.2">
      <c r="R38182" s="1288"/>
    </row>
    <row r="38183" spans="18:18" s="2" customFormat="1" ht="12.75" x14ac:dyDescent="0.2">
      <c r="R38183" s="1288"/>
    </row>
    <row r="38184" spans="18:18" s="2" customFormat="1" ht="12.75" x14ac:dyDescent="0.2">
      <c r="R38184" s="1288"/>
    </row>
    <row r="38185" spans="18:18" s="2" customFormat="1" ht="12.75" x14ac:dyDescent="0.2">
      <c r="R38185" s="1288"/>
    </row>
    <row r="38186" spans="18:18" s="2" customFormat="1" ht="12.75" x14ac:dyDescent="0.2">
      <c r="R38186" s="1288"/>
    </row>
    <row r="38187" spans="18:18" s="2" customFormat="1" ht="12.75" x14ac:dyDescent="0.2">
      <c r="R38187" s="1288"/>
    </row>
    <row r="38188" spans="18:18" s="2" customFormat="1" ht="12.75" x14ac:dyDescent="0.2">
      <c r="R38188" s="1288"/>
    </row>
    <row r="38189" spans="18:18" s="2" customFormat="1" ht="12.75" x14ac:dyDescent="0.2">
      <c r="R38189" s="1288"/>
    </row>
    <row r="38190" spans="18:18" s="2" customFormat="1" ht="12.75" x14ac:dyDescent="0.2">
      <c r="R38190" s="1288"/>
    </row>
    <row r="38191" spans="18:18" s="2" customFormat="1" ht="12.75" x14ac:dyDescent="0.2">
      <c r="R38191" s="1288"/>
    </row>
    <row r="38192" spans="18:18" s="2" customFormat="1" ht="12.75" x14ac:dyDescent="0.2">
      <c r="R38192" s="1288"/>
    </row>
    <row r="38193" spans="18:18" s="2" customFormat="1" ht="12.75" x14ac:dyDescent="0.2">
      <c r="R38193" s="1288"/>
    </row>
    <row r="38194" spans="18:18" s="2" customFormat="1" ht="12.75" x14ac:dyDescent="0.2">
      <c r="R38194" s="1288"/>
    </row>
    <row r="38195" spans="18:18" s="2" customFormat="1" ht="12.75" x14ac:dyDescent="0.2">
      <c r="R38195" s="1288"/>
    </row>
    <row r="38196" spans="18:18" s="2" customFormat="1" ht="12.75" x14ac:dyDescent="0.2">
      <c r="R38196" s="1288"/>
    </row>
    <row r="38197" spans="18:18" s="2" customFormat="1" ht="12.75" x14ac:dyDescent="0.2">
      <c r="R38197" s="1288"/>
    </row>
    <row r="38198" spans="18:18" s="2" customFormat="1" ht="12.75" x14ac:dyDescent="0.2">
      <c r="R38198" s="1288"/>
    </row>
    <row r="38199" spans="18:18" s="2" customFormat="1" ht="12.75" x14ac:dyDescent="0.2">
      <c r="R38199" s="1288"/>
    </row>
    <row r="38200" spans="18:18" s="2" customFormat="1" ht="12.75" x14ac:dyDescent="0.2">
      <c r="R38200" s="1288"/>
    </row>
    <row r="38201" spans="18:18" s="2" customFormat="1" ht="12.75" x14ac:dyDescent="0.2">
      <c r="R38201" s="1288"/>
    </row>
    <row r="38202" spans="18:18" s="2" customFormat="1" ht="12.75" x14ac:dyDescent="0.2">
      <c r="R38202" s="1288"/>
    </row>
    <row r="38203" spans="18:18" s="2" customFormat="1" ht="12.75" x14ac:dyDescent="0.2">
      <c r="R38203" s="1288"/>
    </row>
    <row r="38204" spans="18:18" s="2" customFormat="1" ht="12.75" x14ac:dyDescent="0.2">
      <c r="R38204" s="1288"/>
    </row>
    <row r="38205" spans="18:18" s="2" customFormat="1" ht="12.75" x14ac:dyDescent="0.2">
      <c r="R38205" s="1288"/>
    </row>
    <row r="38206" spans="18:18" s="2" customFormat="1" ht="12.75" x14ac:dyDescent="0.2">
      <c r="R38206" s="1288"/>
    </row>
    <row r="38207" spans="18:18" s="2" customFormat="1" ht="12.75" x14ac:dyDescent="0.2">
      <c r="R38207" s="1288"/>
    </row>
    <row r="38208" spans="18:18" s="2" customFormat="1" ht="12.75" x14ac:dyDescent="0.2">
      <c r="R38208" s="1288"/>
    </row>
    <row r="38209" spans="18:18" s="2" customFormat="1" ht="12.75" x14ac:dyDescent="0.2">
      <c r="R38209" s="1288"/>
    </row>
    <row r="38210" spans="18:18" s="2" customFormat="1" ht="12.75" x14ac:dyDescent="0.2">
      <c r="R38210" s="1288"/>
    </row>
    <row r="38211" spans="18:18" s="2" customFormat="1" ht="12.75" x14ac:dyDescent="0.2">
      <c r="R38211" s="1288"/>
    </row>
    <row r="38212" spans="18:18" s="2" customFormat="1" ht="12.75" x14ac:dyDescent="0.2">
      <c r="R38212" s="1288"/>
    </row>
    <row r="38213" spans="18:18" s="2" customFormat="1" ht="12.75" x14ac:dyDescent="0.2">
      <c r="R38213" s="1288"/>
    </row>
    <row r="38214" spans="18:18" s="2" customFormat="1" ht="12.75" x14ac:dyDescent="0.2">
      <c r="R38214" s="1288"/>
    </row>
    <row r="38215" spans="18:18" s="2" customFormat="1" ht="12.75" x14ac:dyDescent="0.2">
      <c r="R38215" s="1288"/>
    </row>
    <row r="38216" spans="18:18" s="2" customFormat="1" ht="12.75" x14ac:dyDescent="0.2">
      <c r="R38216" s="1288"/>
    </row>
    <row r="38217" spans="18:18" s="2" customFormat="1" ht="12.75" x14ac:dyDescent="0.2">
      <c r="R38217" s="1288"/>
    </row>
    <row r="38218" spans="18:18" s="2" customFormat="1" ht="12.75" x14ac:dyDescent="0.2">
      <c r="R38218" s="1288"/>
    </row>
    <row r="38219" spans="18:18" s="2" customFormat="1" ht="12.75" x14ac:dyDescent="0.2">
      <c r="R38219" s="1288"/>
    </row>
    <row r="38220" spans="18:18" s="2" customFormat="1" ht="12.75" x14ac:dyDescent="0.2">
      <c r="R38220" s="1288"/>
    </row>
    <row r="38221" spans="18:18" s="2" customFormat="1" ht="12.75" x14ac:dyDescent="0.2">
      <c r="R38221" s="1288"/>
    </row>
    <row r="38222" spans="18:18" s="2" customFormat="1" ht="12.75" x14ac:dyDescent="0.2">
      <c r="R38222" s="1288"/>
    </row>
    <row r="38223" spans="18:18" s="2" customFormat="1" ht="12.75" x14ac:dyDescent="0.2">
      <c r="R38223" s="1288"/>
    </row>
    <row r="38224" spans="18:18" s="2" customFormat="1" ht="12.75" x14ac:dyDescent="0.2">
      <c r="R38224" s="1288"/>
    </row>
    <row r="38225" spans="18:18" s="2" customFormat="1" ht="12.75" x14ac:dyDescent="0.2">
      <c r="R38225" s="1288"/>
    </row>
    <row r="38226" spans="18:18" s="2" customFormat="1" ht="12.75" x14ac:dyDescent="0.2">
      <c r="R38226" s="1288"/>
    </row>
    <row r="38227" spans="18:18" s="2" customFormat="1" ht="12.75" x14ac:dyDescent="0.2">
      <c r="R38227" s="1288"/>
    </row>
    <row r="38228" spans="18:18" s="2" customFormat="1" ht="12.75" x14ac:dyDescent="0.2">
      <c r="R38228" s="1288"/>
    </row>
    <row r="38229" spans="18:18" s="2" customFormat="1" ht="12.75" x14ac:dyDescent="0.2">
      <c r="R38229" s="1288"/>
    </row>
    <row r="38230" spans="18:18" s="2" customFormat="1" ht="12.75" x14ac:dyDescent="0.2">
      <c r="R38230" s="1288"/>
    </row>
    <row r="38231" spans="18:18" s="2" customFormat="1" ht="12.75" x14ac:dyDescent="0.2">
      <c r="R38231" s="1288"/>
    </row>
    <row r="38232" spans="18:18" s="2" customFormat="1" ht="12.75" x14ac:dyDescent="0.2">
      <c r="R38232" s="1288"/>
    </row>
    <row r="38233" spans="18:18" s="2" customFormat="1" ht="12.75" x14ac:dyDescent="0.2">
      <c r="R38233" s="1288"/>
    </row>
    <row r="38234" spans="18:18" s="2" customFormat="1" ht="12.75" x14ac:dyDescent="0.2">
      <c r="R38234" s="1288"/>
    </row>
    <row r="38235" spans="18:18" s="2" customFormat="1" ht="12.75" x14ac:dyDescent="0.2">
      <c r="R38235" s="1288"/>
    </row>
    <row r="38236" spans="18:18" s="2" customFormat="1" ht="12.75" x14ac:dyDescent="0.2">
      <c r="R38236" s="1288"/>
    </row>
    <row r="38237" spans="18:18" s="2" customFormat="1" ht="12.75" x14ac:dyDescent="0.2">
      <c r="R38237" s="1288"/>
    </row>
    <row r="38238" spans="18:18" s="2" customFormat="1" ht="12.75" x14ac:dyDescent="0.2">
      <c r="R38238" s="1288"/>
    </row>
    <row r="38239" spans="18:18" s="2" customFormat="1" ht="12.75" x14ac:dyDescent="0.2">
      <c r="R38239" s="1288"/>
    </row>
    <row r="38240" spans="18:18" s="2" customFormat="1" ht="12.75" x14ac:dyDescent="0.2">
      <c r="R38240" s="1288"/>
    </row>
    <row r="38241" spans="18:18" s="2" customFormat="1" ht="12.75" x14ac:dyDescent="0.2">
      <c r="R38241" s="1288"/>
    </row>
    <row r="38242" spans="18:18" s="2" customFormat="1" ht="12.75" x14ac:dyDescent="0.2">
      <c r="R38242" s="1288"/>
    </row>
    <row r="38243" spans="18:18" s="2" customFormat="1" ht="12.75" x14ac:dyDescent="0.2">
      <c r="R38243" s="1288"/>
    </row>
    <row r="38244" spans="18:18" s="2" customFormat="1" ht="12.75" x14ac:dyDescent="0.2">
      <c r="R38244" s="1288"/>
    </row>
    <row r="38245" spans="18:18" s="2" customFormat="1" ht="12.75" x14ac:dyDescent="0.2">
      <c r="R38245" s="1288"/>
    </row>
    <row r="38246" spans="18:18" s="2" customFormat="1" ht="12.75" x14ac:dyDescent="0.2">
      <c r="R38246" s="1288"/>
    </row>
    <row r="38247" spans="18:18" s="2" customFormat="1" ht="12.75" x14ac:dyDescent="0.2">
      <c r="R38247" s="1288"/>
    </row>
    <row r="38248" spans="18:18" s="2" customFormat="1" ht="12.75" x14ac:dyDescent="0.2">
      <c r="R38248" s="1288"/>
    </row>
    <row r="38249" spans="18:18" s="2" customFormat="1" ht="12.75" x14ac:dyDescent="0.2">
      <c r="R38249" s="1288"/>
    </row>
    <row r="38250" spans="18:18" s="2" customFormat="1" ht="12.75" x14ac:dyDescent="0.2">
      <c r="R38250" s="1288"/>
    </row>
    <row r="38251" spans="18:18" s="2" customFormat="1" ht="12.75" x14ac:dyDescent="0.2">
      <c r="R38251" s="1288"/>
    </row>
    <row r="38252" spans="18:18" s="2" customFormat="1" ht="12.75" x14ac:dyDescent="0.2">
      <c r="R38252" s="1288"/>
    </row>
    <row r="38253" spans="18:18" s="2" customFormat="1" ht="12.75" x14ac:dyDescent="0.2">
      <c r="R38253" s="1288"/>
    </row>
    <row r="38254" spans="18:18" s="2" customFormat="1" ht="12.75" x14ac:dyDescent="0.2">
      <c r="R38254" s="1288"/>
    </row>
    <row r="38255" spans="18:18" s="2" customFormat="1" ht="12.75" x14ac:dyDescent="0.2">
      <c r="R38255" s="1288"/>
    </row>
    <row r="38256" spans="18:18" s="2" customFormat="1" ht="12.75" x14ac:dyDescent="0.2">
      <c r="R38256" s="1288"/>
    </row>
    <row r="38257" spans="18:18" s="2" customFormat="1" ht="12.75" x14ac:dyDescent="0.2">
      <c r="R38257" s="1288"/>
    </row>
    <row r="38258" spans="18:18" s="2" customFormat="1" ht="12.75" x14ac:dyDescent="0.2">
      <c r="R38258" s="1288"/>
    </row>
    <row r="38259" spans="18:18" s="2" customFormat="1" ht="12.75" x14ac:dyDescent="0.2">
      <c r="R38259" s="1288"/>
    </row>
    <row r="38260" spans="18:18" s="2" customFormat="1" ht="12.75" x14ac:dyDescent="0.2">
      <c r="R38260" s="1288"/>
    </row>
    <row r="38261" spans="18:18" s="2" customFormat="1" ht="12.75" x14ac:dyDescent="0.2">
      <c r="R38261" s="1288"/>
    </row>
    <row r="38262" spans="18:18" s="2" customFormat="1" ht="12.75" x14ac:dyDescent="0.2">
      <c r="R38262" s="1288"/>
    </row>
    <row r="38263" spans="18:18" s="2" customFormat="1" ht="12.75" x14ac:dyDescent="0.2">
      <c r="R38263" s="1288"/>
    </row>
    <row r="38264" spans="18:18" s="2" customFormat="1" ht="12.75" x14ac:dyDescent="0.2">
      <c r="R38264" s="1288"/>
    </row>
    <row r="38265" spans="18:18" s="2" customFormat="1" ht="12.75" x14ac:dyDescent="0.2">
      <c r="R38265" s="1288"/>
    </row>
    <row r="38266" spans="18:18" s="2" customFormat="1" ht="12.75" x14ac:dyDescent="0.2">
      <c r="R38266" s="1288"/>
    </row>
    <row r="38267" spans="18:18" s="2" customFormat="1" ht="12.75" x14ac:dyDescent="0.2">
      <c r="R38267" s="1288"/>
    </row>
    <row r="38268" spans="18:18" s="2" customFormat="1" ht="12.75" x14ac:dyDescent="0.2">
      <c r="R38268" s="1288"/>
    </row>
    <row r="38269" spans="18:18" s="2" customFormat="1" ht="12.75" x14ac:dyDescent="0.2">
      <c r="R38269" s="1288"/>
    </row>
    <row r="38270" spans="18:18" s="2" customFormat="1" ht="12.75" x14ac:dyDescent="0.2">
      <c r="R38270" s="1288"/>
    </row>
    <row r="38271" spans="18:18" s="2" customFormat="1" ht="12.75" x14ac:dyDescent="0.2">
      <c r="R38271" s="1288"/>
    </row>
    <row r="38272" spans="18:18" s="2" customFormat="1" ht="12.75" x14ac:dyDescent="0.2">
      <c r="R38272" s="1288"/>
    </row>
    <row r="38273" spans="18:18" s="2" customFormat="1" ht="12.75" x14ac:dyDescent="0.2">
      <c r="R38273" s="1288"/>
    </row>
    <row r="38274" spans="18:18" s="2" customFormat="1" ht="12.75" x14ac:dyDescent="0.2">
      <c r="R38274" s="1288"/>
    </row>
    <row r="38275" spans="18:18" s="2" customFormat="1" ht="12.75" x14ac:dyDescent="0.2">
      <c r="R38275" s="1288"/>
    </row>
    <row r="38276" spans="18:18" s="2" customFormat="1" ht="12.75" x14ac:dyDescent="0.2">
      <c r="R38276" s="1288"/>
    </row>
    <row r="38277" spans="18:18" s="2" customFormat="1" ht="12.75" x14ac:dyDescent="0.2">
      <c r="R38277" s="1288"/>
    </row>
    <row r="38278" spans="18:18" s="2" customFormat="1" ht="12.75" x14ac:dyDescent="0.2">
      <c r="R38278" s="1288"/>
    </row>
    <row r="38279" spans="18:18" s="2" customFormat="1" ht="12.75" x14ac:dyDescent="0.2">
      <c r="R38279" s="1288"/>
    </row>
    <row r="38280" spans="18:18" s="2" customFormat="1" ht="12.75" x14ac:dyDescent="0.2">
      <c r="R38280" s="1288"/>
    </row>
    <row r="38281" spans="18:18" s="2" customFormat="1" ht="12.75" x14ac:dyDescent="0.2">
      <c r="R38281" s="1288"/>
    </row>
    <row r="38282" spans="18:18" s="2" customFormat="1" ht="12.75" x14ac:dyDescent="0.2">
      <c r="R38282" s="1288"/>
    </row>
    <row r="38283" spans="18:18" s="2" customFormat="1" ht="12.75" x14ac:dyDescent="0.2">
      <c r="R38283" s="1288"/>
    </row>
    <row r="38284" spans="18:18" s="2" customFormat="1" ht="12.75" x14ac:dyDescent="0.2">
      <c r="R38284" s="1288"/>
    </row>
    <row r="38285" spans="18:18" s="2" customFormat="1" ht="12.75" x14ac:dyDescent="0.2">
      <c r="R38285" s="1288"/>
    </row>
    <row r="38286" spans="18:18" s="2" customFormat="1" ht="12.75" x14ac:dyDescent="0.2">
      <c r="R38286" s="1288"/>
    </row>
    <row r="38287" spans="18:18" s="2" customFormat="1" ht="12.75" x14ac:dyDescent="0.2">
      <c r="R38287" s="1288"/>
    </row>
    <row r="38288" spans="18:18" s="2" customFormat="1" ht="12.75" x14ac:dyDescent="0.2">
      <c r="R38288" s="1288"/>
    </row>
    <row r="38289" spans="18:18" s="2" customFormat="1" ht="12.75" x14ac:dyDescent="0.2">
      <c r="R38289" s="1288"/>
    </row>
    <row r="38290" spans="18:18" s="2" customFormat="1" ht="12.75" x14ac:dyDescent="0.2">
      <c r="R38290" s="1288"/>
    </row>
    <row r="38291" spans="18:18" s="2" customFormat="1" ht="12.75" x14ac:dyDescent="0.2">
      <c r="R38291" s="1288"/>
    </row>
    <row r="38292" spans="18:18" s="2" customFormat="1" ht="12.75" x14ac:dyDescent="0.2">
      <c r="R38292" s="1288"/>
    </row>
    <row r="38293" spans="18:18" s="2" customFormat="1" ht="12.75" x14ac:dyDescent="0.2">
      <c r="R38293" s="1288"/>
    </row>
    <row r="38294" spans="18:18" s="2" customFormat="1" ht="12.75" x14ac:dyDescent="0.2">
      <c r="R38294" s="1288"/>
    </row>
    <row r="38295" spans="18:18" s="2" customFormat="1" ht="12.75" x14ac:dyDescent="0.2">
      <c r="R38295" s="1288"/>
    </row>
    <row r="38296" spans="18:18" s="2" customFormat="1" ht="12.75" x14ac:dyDescent="0.2">
      <c r="R38296" s="1288"/>
    </row>
    <row r="38297" spans="18:18" s="2" customFormat="1" ht="12.75" x14ac:dyDescent="0.2">
      <c r="R38297" s="1288"/>
    </row>
    <row r="38298" spans="18:18" s="2" customFormat="1" ht="12.75" x14ac:dyDescent="0.2">
      <c r="R38298" s="1288"/>
    </row>
    <row r="38299" spans="18:18" s="2" customFormat="1" ht="12.75" x14ac:dyDescent="0.2">
      <c r="R38299" s="1288"/>
    </row>
    <row r="38300" spans="18:18" s="2" customFormat="1" ht="12.75" x14ac:dyDescent="0.2">
      <c r="R38300" s="1288"/>
    </row>
    <row r="38301" spans="18:18" s="2" customFormat="1" ht="12.75" x14ac:dyDescent="0.2">
      <c r="R38301" s="1288"/>
    </row>
    <row r="38302" spans="18:18" s="2" customFormat="1" ht="12.75" x14ac:dyDescent="0.2">
      <c r="R38302" s="1288"/>
    </row>
    <row r="38303" spans="18:18" s="2" customFormat="1" ht="12.75" x14ac:dyDescent="0.2">
      <c r="R38303" s="1288"/>
    </row>
    <row r="38304" spans="18:18" s="2" customFormat="1" ht="12.75" x14ac:dyDescent="0.2">
      <c r="R38304" s="1288"/>
    </row>
    <row r="38305" spans="18:18" s="2" customFormat="1" ht="12.75" x14ac:dyDescent="0.2">
      <c r="R38305" s="1288"/>
    </row>
    <row r="38306" spans="18:18" s="2" customFormat="1" ht="12.75" x14ac:dyDescent="0.2">
      <c r="R38306" s="1288"/>
    </row>
    <row r="38307" spans="18:18" s="2" customFormat="1" ht="12.75" x14ac:dyDescent="0.2">
      <c r="R38307" s="1288"/>
    </row>
    <row r="38308" spans="18:18" s="2" customFormat="1" ht="12.75" x14ac:dyDescent="0.2">
      <c r="R38308" s="1288"/>
    </row>
    <row r="38309" spans="18:18" s="2" customFormat="1" ht="12.75" x14ac:dyDescent="0.2">
      <c r="R38309" s="1288"/>
    </row>
    <row r="38310" spans="18:18" s="2" customFormat="1" ht="12.75" x14ac:dyDescent="0.2">
      <c r="R38310" s="1288"/>
    </row>
    <row r="38311" spans="18:18" s="2" customFormat="1" ht="12.75" x14ac:dyDescent="0.2">
      <c r="R38311" s="1288"/>
    </row>
    <row r="38312" spans="18:18" s="2" customFormat="1" ht="12.75" x14ac:dyDescent="0.2">
      <c r="R38312" s="1288"/>
    </row>
    <row r="38313" spans="18:18" s="2" customFormat="1" ht="12.75" x14ac:dyDescent="0.2">
      <c r="R38313" s="1288"/>
    </row>
    <row r="38314" spans="18:18" s="2" customFormat="1" ht="12.75" x14ac:dyDescent="0.2">
      <c r="R38314" s="1288"/>
    </row>
    <row r="38315" spans="18:18" s="2" customFormat="1" ht="12.75" x14ac:dyDescent="0.2">
      <c r="R38315" s="1288"/>
    </row>
    <row r="38316" spans="18:18" s="2" customFormat="1" ht="12.75" x14ac:dyDescent="0.2">
      <c r="R38316" s="1288"/>
    </row>
    <row r="38317" spans="18:18" s="2" customFormat="1" ht="12.75" x14ac:dyDescent="0.2">
      <c r="R38317" s="1288"/>
    </row>
    <row r="38318" spans="18:18" s="2" customFormat="1" ht="12.75" x14ac:dyDescent="0.2">
      <c r="R38318" s="1288"/>
    </row>
    <row r="38319" spans="18:18" s="2" customFormat="1" ht="12.75" x14ac:dyDescent="0.2">
      <c r="R38319" s="1288"/>
    </row>
    <row r="38320" spans="18:18" s="2" customFormat="1" ht="12.75" x14ac:dyDescent="0.2">
      <c r="R38320" s="1288"/>
    </row>
    <row r="38321" spans="18:18" s="2" customFormat="1" ht="12.75" x14ac:dyDescent="0.2">
      <c r="R38321" s="1288"/>
    </row>
    <row r="38322" spans="18:18" s="2" customFormat="1" ht="12.75" x14ac:dyDescent="0.2">
      <c r="R38322" s="1288"/>
    </row>
    <row r="38323" spans="18:18" s="2" customFormat="1" ht="12.75" x14ac:dyDescent="0.2">
      <c r="R38323" s="1288"/>
    </row>
    <row r="38324" spans="18:18" s="2" customFormat="1" ht="12.75" x14ac:dyDescent="0.2">
      <c r="R38324" s="1288"/>
    </row>
    <row r="38325" spans="18:18" s="2" customFormat="1" ht="12.75" x14ac:dyDescent="0.2">
      <c r="R38325" s="1288"/>
    </row>
    <row r="38326" spans="18:18" s="2" customFormat="1" ht="12.75" x14ac:dyDescent="0.2">
      <c r="R38326" s="1288"/>
    </row>
    <row r="38327" spans="18:18" s="2" customFormat="1" ht="12.75" x14ac:dyDescent="0.2">
      <c r="R38327" s="1288"/>
    </row>
    <row r="38328" spans="18:18" s="2" customFormat="1" ht="12.75" x14ac:dyDescent="0.2">
      <c r="R38328" s="1288"/>
    </row>
    <row r="38329" spans="18:18" s="2" customFormat="1" ht="12.75" x14ac:dyDescent="0.2">
      <c r="R38329" s="1288"/>
    </row>
    <row r="38330" spans="18:18" s="2" customFormat="1" ht="12.75" x14ac:dyDescent="0.2">
      <c r="R38330" s="1288"/>
    </row>
    <row r="38331" spans="18:18" s="2" customFormat="1" ht="12.75" x14ac:dyDescent="0.2">
      <c r="R38331" s="1288"/>
    </row>
    <row r="38332" spans="18:18" s="2" customFormat="1" ht="12.75" x14ac:dyDescent="0.2">
      <c r="R38332" s="1288"/>
    </row>
    <row r="38333" spans="18:18" s="2" customFormat="1" ht="12.75" x14ac:dyDescent="0.2">
      <c r="R38333" s="1288"/>
    </row>
    <row r="38334" spans="18:18" s="2" customFormat="1" ht="12.75" x14ac:dyDescent="0.2">
      <c r="R38334" s="1288"/>
    </row>
    <row r="38335" spans="18:18" s="2" customFormat="1" ht="12.75" x14ac:dyDescent="0.2">
      <c r="R38335" s="1288"/>
    </row>
    <row r="38336" spans="18:18" s="2" customFormat="1" ht="12.75" x14ac:dyDescent="0.2">
      <c r="R38336" s="1288"/>
    </row>
    <row r="38337" spans="18:18" s="2" customFormat="1" ht="12.75" x14ac:dyDescent="0.2">
      <c r="R38337" s="1288"/>
    </row>
    <row r="38338" spans="18:18" s="2" customFormat="1" ht="12.75" x14ac:dyDescent="0.2">
      <c r="R38338" s="1288"/>
    </row>
    <row r="38339" spans="18:18" s="2" customFormat="1" ht="12.75" x14ac:dyDescent="0.2">
      <c r="R38339" s="1288"/>
    </row>
    <row r="38340" spans="18:18" s="2" customFormat="1" ht="12.75" x14ac:dyDescent="0.2">
      <c r="R38340" s="1288"/>
    </row>
    <row r="38341" spans="18:18" s="2" customFormat="1" ht="12.75" x14ac:dyDescent="0.2">
      <c r="R38341" s="1288"/>
    </row>
    <row r="38342" spans="18:18" s="2" customFormat="1" ht="12.75" x14ac:dyDescent="0.2">
      <c r="R38342" s="1288"/>
    </row>
    <row r="38343" spans="18:18" s="2" customFormat="1" ht="12.75" x14ac:dyDescent="0.2">
      <c r="R38343" s="1288"/>
    </row>
    <row r="38344" spans="18:18" s="2" customFormat="1" ht="12.75" x14ac:dyDescent="0.2">
      <c r="R38344" s="1288"/>
    </row>
    <row r="38345" spans="18:18" s="2" customFormat="1" ht="12.75" x14ac:dyDescent="0.2">
      <c r="R38345" s="1288"/>
    </row>
    <row r="38346" spans="18:18" s="2" customFormat="1" ht="12.75" x14ac:dyDescent="0.2">
      <c r="R38346" s="1288"/>
    </row>
    <row r="38347" spans="18:18" s="2" customFormat="1" ht="12.75" x14ac:dyDescent="0.2">
      <c r="R38347" s="1288"/>
    </row>
    <row r="38348" spans="18:18" s="2" customFormat="1" ht="12.75" x14ac:dyDescent="0.2">
      <c r="R38348" s="1288"/>
    </row>
    <row r="38349" spans="18:18" s="2" customFormat="1" ht="12.75" x14ac:dyDescent="0.2">
      <c r="R38349" s="1288"/>
    </row>
    <row r="38350" spans="18:18" s="2" customFormat="1" ht="12.75" x14ac:dyDescent="0.2">
      <c r="R38350" s="1288"/>
    </row>
    <row r="38351" spans="18:18" s="2" customFormat="1" ht="12.75" x14ac:dyDescent="0.2">
      <c r="R38351" s="1288"/>
    </row>
    <row r="38352" spans="18:18" s="2" customFormat="1" ht="12.75" x14ac:dyDescent="0.2">
      <c r="R38352" s="1288"/>
    </row>
    <row r="38353" spans="18:18" s="2" customFormat="1" ht="12.75" x14ac:dyDescent="0.2">
      <c r="R38353" s="1288"/>
    </row>
    <row r="38354" spans="18:18" s="2" customFormat="1" ht="12.75" x14ac:dyDescent="0.2">
      <c r="R38354" s="1288"/>
    </row>
    <row r="38355" spans="18:18" s="2" customFormat="1" ht="12.75" x14ac:dyDescent="0.2">
      <c r="R38355" s="1288"/>
    </row>
    <row r="38356" spans="18:18" s="2" customFormat="1" ht="12.75" x14ac:dyDescent="0.2">
      <c r="R38356" s="1288"/>
    </row>
    <row r="38357" spans="18:18" s="2" customFormat="1" ht="12.75" x14ac:dyDescent="0.2">
      <c r="R38357" s="1288"/>
    </row>
    <row r="38358" spans="18:18" s="2" customFormat="1" ht="12.75" x14ac:dyDescent="0.2">
      <c r="R38358" s="1288"/>
    </row>
    <row r="38359" spans="18:18" s="2" customFormat="1" ht="12.75" x14ac:dyDescent="0.2">
      <c r="R38359" s="1288"/>
    </row>
    <row r="38360" spans="18:18" s="2" customFormat="1" ht="12.75" x14ac:dyDescent="0.2">
      <c r="R38360" s="1288"/>
    </row>
    <row r="38361" spans="18:18" s="2" customFormat="1" ht="12.75" x14ac:dyDescent="0.2">
      <c r="R38361" s="1288"/>
    </row>
    <row r="38362" spans="18:18" s="2" customFormat="1" ht="12.75" x14ac:dyDescent="0.2">
      <c r="R38362" s="1288"/>
    </row>
    <row r="38363" spans="18:18" s="2" customFormat="1" ht="12.75" x14ac:dyDescent="0.2">
      <c r="R38363" s="1288"/>
    </row>
    <row r="38364" spans="18:18" s="2" customFormat="1" ht="12.75" x14ac:dyDescent="0.2">
      <c r="R38364" s="1288"/>
    </row>
    <row r="38365" spans="18:18" s="2" customFormat="1" ht="12.75" x14ac:dyDescent="0.2">
      <c r="R38365" s="1288"/>
    </row>
    <row r="38366" spans="18:18" s="2" customFormat="1" ht="12.75" x14ac:dyDescent="0.2">
      <c r="R38366" s="1288"/>
    </row>
    <row r="38367" spans="18:18" s="2" customFormat="1" ht="12.75" x14ac:dyDescent="0.2">
      <c r="R38367" s="1288"/>
    </row>
    <row r="38368" spans="18:18" s="2" customFormat="1" ht="12.75" x14ac:dyDescent="0.2">
      <c r="R38368" s="1288"/>
    </row>
    <row r="38369" spans="18:18" s="2" customFormat="1" ht="12.75" x14ac:dyDescent="0.2">
      <c r="R38369" s="1288"/>
    </row>
    <row r="38370" spans="18:18" s="2" customFormat="1" ht="12.75" x14ac:dyDescent="0.2">
      <c r="R38370" s="1288"/>
    </row>
    <row r="38371" spans="18:18" s="2" customFormat="1" ht="12.75" x14ac:dyDescent="0.2">
      <c r="R38371" s="1288"/>
    </row>
    <row r="38372" spans="18:18" s="2" customFormat="1" ht="12.75" x14ac:dyDescent="0.2">
      <c r="R38372" s="1288"/>
    </row>
    <row r="38373" spans="18:18" s="2" customFormat="1" ht="12.75" x14ac:dyDescent="0.2">
      <c r="R38373" s="1288"/>
    </row>
    <row r="38374" spans="18:18" s="2" customFormat="1" ht="12.75" x14ac:dyDescent="0.2">
      <c r="R38374" s="1288"/>
    </row>
    <row r="38375" spans="18:18" s="2" customFormat="1" ht="12.75" x14ac:dyDescent="0.2">
      <c r="R38375" s="1288"/>
    </row>
    <row r="38376" spans="18:18" s="2" customFormat="1" ht="12.75" x14ac:dyDescent="0.2">
      <c r="R38376" s="1288"/>
    </row>
    <row r="38377" spans="18:18" s="2" customFormat="1" ht="12.75" x14ac:dyDescent="0.2">
      <c r="R38377" s="1288"/>
    </row>
    <row r="38378" spans="18:18" s="2" customFormat="1" ht="12.75" x14ac:dyDescent="0.2">
      <c r="R38378" s="1288"/>
    </row>
    <row r="38379" spans="18:18" s="2" customFormat="1" ht="12.75" x14ac:dyDescent="0.2">
      <c r="R38379" s="1288"/>
    </row>
    <row r="38380" spans="18:18" s="2" customFormat="1" ht="12.75" x14ac:dyDescent="0.2">
      <c r="R38380" s="1288"/>
    </row>
    <row r="38381" spans="18:18" s="2" customFormat="1" ht="12.75" x14ac:dyDescent="0.2">
      <c r="R38381" s="1288"/>
    </row>
    <row r="38382" spans="18:18" s="2" customFormat="1" ht="12.75" x14ac:dyDescent="0.2">
      <c r="R38382" s="1288"/>
    </row>
    <row r="38383" spans="18:18" s="2" customFormat="1" ht="12.75" x14ac:dyDescent="0.2">
      <c r="R38383" s="1288"/>
    </row>
    <row r="38384" spans="18:18" s="2" customFormat="1" ht="12.75" x14ac:dyDescent="0.2">
      <c r="R38384" s="1288"/>
    </row>
    <row r="38385" spans="18:18" s="2" customFormat="1" ht="12.75" x14ac:dyDescent="0.2">
      <c r="R38385" s="1288"/>
    </row>
    <row r="38386" spans="18:18" s="2" customFormat="1" ht="12.75" x14ac:dyDescent="0.2">
      <c r="R38386" s="1288"/>
    </row>
    <row r="38387" spans="18:18" s="2" customFormat="1" ht="12.75" x14ac:dyDescent="0.2">
      <c r="R38387" s="1288"/>
    </row>
    <row r="38388" spans="18:18" s="2" customFormat="1" ht="12.75" x14ac:dyDescent="0.2">
      <c r="R38388" s="1288"/>
    </row>
    <row r="38389" spans="18:18" s="2" customFormat="1" ht="12.75" x14ac:dyDescent="0.2">
      <c r="R38389" s="1288"/>
    </row>
    <row r="38390" spans="18:18" s="2" customFormat="1" ht="12.75" x14ac:dyDescent="0.2">
      <c r="R38390" s="1288"/>
    </row>
    <row r="38391" spans="18:18" s="2" customFormat="1" ht="12.75" x14ac:dyDescent="0.2">
      <c r="R38391" s="1288"/>
    </row>
    <row r="38392" spans="18:18" s="2" customFormat="1" ht="12.75" x14ac:dyDescent="0.2">
      <c r="R38392" s="1288"/>
    </row>
    <row r="38393" spans="18:18" s="2" customFormat="1" ht="12.75" x14ac:dyDescent="0.2">
      <c r="R38393" s="1288"/>
    </row>
    <row r="38394" spans="18:18" s="2" customFormat="1" ht="12.75" x14ac:dyDescent="0.2">
      <c r="R38394" s="1288"/>
    </row>
    <row r="38395" spans="18:18" s="2" customFormat="1" ht="12.75" x14ac:dyDescent="0.2">
      <c r="R38395" s="1288"/>
    </row>
    <row r="38396" spans="18:18" s="2" customFormat="1" ht="12.75" x14ac:dyDescent="0.2">
      <c r="R38396" s="1288"/>
    </row>
    <row r="38397" spans="18:18" s="2" customFormat="1" ht="12.75" x14ac:dyDescent="0.2">
      <c r="R38397" s="1288"/>
    </row>
    <row r="38398" spans="18:18" s="2" customFormat="1" ht="12.75" x14ac:dyDescent="0.2">
      <c r="R38398" s="1288"/>
    </row>
    <row r="38399" spans="18:18" s="2" customFormat="1" ht="12.75" x14ac:dyDescent="0.2">
      <c r="R38399" s="1288"/>
    </row>
    <row r="38400" spans="18:18" s="2" customFormat="1" ht="12.75" x14ac:dyDescent="0.2">
      <c r="R38400" s="1288"/>
    </row>
    <row r="38401" spans="18:18" s="2" customFormat="1" ht="12.75" x14ac:dyDescent="0.2">
      <c r="R38401" s="1288"/>
    </row>
    <row r="38402" spans="18:18" s="2" customFormat="1" ht="12.75" x14ac:dyDescent="0.2">
      <c r="R38402" s="1288"/>
    </row>
    <row r="38403" spans="18:18" s="2" customFormat="1" ht="12.75" x14ac:dyDescent="0.2">
      <c r="R38403" s="1288"/>
    </row>
    <row r="38404" spans="18:18" s="2" customFormat="1" ht="12.75" x14ac:dyDescent="0.2">
      <c r="R38404" s="1288"/>
    </row>
    <row r="38405" spans="18:18" s="2" customFormat="1" ht="12.75" x14ac:dyDescent="0.2">
      <c r="R38405" s="1288"/>
    </row>
    <row r="38406" spans="18:18" s="2" customFormat="1" ht="12.75" x14ac:dyDescent="0.2">
      <c r="R38406" s="1288"/>
    </row>
    <row r="38407" spans="18:18" s="2" customFormat="1" ht="12.75" x14ac:dyDescent="0.2">
      <c r="R38407" s="1288"/>
    </row>
    <row r="38408" spans="18:18" s="2" customFormat="1" ht="12.75" x14ac:dyDescent="0.2">
      <c r="R38408" s="1288"/>
    </row>
    <row r="38409" spans="18:18" s="2" customFormat="1" ht="12.75" x14ac:dyDescent="0.2">
      <c r="R38409" s="1288"/>
    </row>
    <row r="38410" spans="18:18" s="2" customFormat="1" ht="12.75" x14ac:dyDescent="0.2">
      <c r="R38410" s="1288"/>
    </row>
    <row r="38411" spans="18:18" s="2" customFormat="1" ht="12.75" x14ac:dyDescent="0.2">
      <c r="R38411" s="1288"/>
    </row>
    <row r="38412" spans="18:18" s="2" customFormat="1" ht="12.75" x14ac:dyDescent="0.2">
      <c r="R38412" s="1288"/>
    </row>
    <row r="38413" spans="18:18" s="2" customFormat="1" ht="12.75" x14ac:dyDescent="0.2">
      <c r="R38413" s="1288"/>
    </row>
    <row r="38414" spans="18:18" s="2" customFormat="1" ht="12.75" x14ac:dyDescent="0.2">
      <c r="R38414" s="1288"/>
    </row>
    <row r="38415" spans="18:18" s="2" customFormat="1" ht="12.75" x14ac:dyDescent="0.2">
      <c r="R38415" s="1288"/>
    </row>
    <row r="38416" spans="18:18" s="2" customFormat="1" ht="12.75" x14ac:dyDescent="0.2">
      <c r="R38416" s="1288"/>
    </row>
    <row r="38417" spans="18:18" s="2" customFormat="1" ht="12.75" x14ac:dyDescent="0.2">
      <c r="R38417" s="1288"/>
    </row>
    <row r="38418" spans="18:18" s="2" customFormat="1" ht="12.75" x14ac:dyDescent="0.2">
      <c r="R38418" s="1288"/>
    </row>
    <row r="38419" spans="18:18" s="2" customFormat="1" ht="12.75" x14ac:dyDescent="0.2">
      <c r="R38419" s="1288"/>
    </row>
    <row r="38420" spans="18:18" s="2" customFormat="1" ht="12.75" x14ac:dyDescent="0.2">
      <c r="R38420" s="1288"/>
    </row>
    <row r="38421" spans="18:18" s="2" customFormat="1" ht="12.75" x14ac:dyDescent="0.2">
      <c r="R38421" s="1288"/>
    </row>
    <row r="38422" spans="18:18" s="2" customFormat="1" ht="12.75" x14ac:dyDescent="0.2">
      <c r="R38422" s="1288"/>
    </row>
    <row r="38423" spans="18:18" s="2" customFormat="1" ht="12.75" x14ac:dyDescent="0.2">
      <c r="R38423" s="1288"/>
    </row>
    <row r="38424" spans="18:18" s="2" customFormat="1" ht="12.75" x14ac:dyDescent="0.2">
      <c r="R38424" s="1288"/>
    </row>
    <row r="38425" spans="18:18" s="2" customFormat="1" ht="12.75" x14ac:dyDescent="0.2">
      <c r="R38425" s="1288"/>
    </row>
    <row r="38426" spans="18:18" s="2" customFormat="1" ht="12.75" x14ac:dyDescent="0.2">
      <c r="R38426" s="1288"/>
    </row>
    <row r="38427" spans="18:18" s="2" customFormat="1" ht="12.75" x14ac:dyDescent="0.2">
      <c r="R38427" s="1288"/>
    </row>
    <row r="38428" spans="18:18" s="2" customFormat="1" ht="12.75" x14ac:dyDescent="0.2">
      <c r="R38428" s="1288"/>
    </row>
    <row r="38429" spans="18:18" s="2" customFormat="1" ht="12.75" x14ac:dyDescent="0.2">
      <c r="R38429" s="1288"/>
    </row>
    <row r="38430" spans="18:18" s="2" customFormat="1" ht="12.75" x14ac:dyDescent="0.2">
      <c r="R38430" s="1288"/>
    </row>
    <row r="38431" spans="18:18" s="2" customFormat="1" ht="12.75" x14ac:dyDescent="0.2">
      <c r="R38431" s="1288"/>
    </row>
    <row r="38432" spans="18:18" s="2" customFormat="1" ht="12.75" x14ac:dyDescent="0.2">
      <c r="R38432" s="1288"/>
    </row>
    <row r="38433" spans="18:18" s="2" customFormat="1" ht="12.75" x14ac:dyDescent="0.2">
      <c r="R38433" s="1288"/>
    </row>
    <row r="38434" spans="18:18" s="2" customFormat="1" ht="12.75" x14ac:dyDescent="0.2">
      <c r="R38434" s="1288"/>
    </row>
    <row r="38435" spans="18:18" s="2" customFormat="1" ht="12.75" x14ac:dyDescent="0.2">
      <c r="R38435" s="1288"/>
    </row>
    <row r="38436" spans="18:18" s="2" customFormat="1" ht="12.75" x14ac:dyDescent="0.2">
      <c r="R38436" s="1288"/>
    </row>
    <row r="38437" spans="18:18" s="2" customFormat="1" ht="12.75" x14ac:dyDescent="0.2">
      <c r="R38437" s="1288"/>
    </row>
    <row r="38438" spans="18:18" s="2" customFormat="1" ht="12.75" x14ac:dyDescent="0.2">
      <c r="R38438" s="1288"/>
    </row>
    <row r="38439" spans="18:18" s="2" customFormat="1" ht="12.75" x14ac:dyDescent="0.2">
      <c r="R38439" s="1288"/>
    </row>
    <row r="38440" spans="18:18" s="2" customFormat="1" ht="12.75" x14ac:dyDescent="0.2">
      <c r="R38440" s="1288"/>
    </row>
    <row r="38441" spans="18:18" s="2" customFormat="1" ht="12.75" x14ac:dyDescent="0.2">
      <c r="R38441" s="1288"/>
    </row>
    <row r="38442" spans="18:18" s="2" customFormat="1" ht="12.75" x14ac:dyDescent="0.2">
      <c r="R38442" s="1288"/>
    </row>
    <row r="38443" spans="18:18" s="2" customFormat="1" ht="12.75" x14ac:dyDescent="0.2">
      <c r="R38443" s="1288"/>
    </row>
    <row r="38444" spans="18:18" s="2" customFormat="1" ht="12.75" x14ac:dyDescent="0.2">
      <c r="R38444" s="1288"/>
    </row>
    <row r="38445" spans="18:18" s="2" customFormat="1" ht="12.75" x14ac:dyDescent="0.2">
      <c r="R38445" s="1288"/>
    </row>
    <row r="38446" spans="18:18" s="2" customFormat="1" ht="12.75" x14ac:dyDescent="0.2">
      <c r="R38446" s="1288"/>
    </row>
    <row r="38447" spans="18:18" s="2" customFormat="1" ht="12.75" x14ac:dyDescent="0.2">
      <c r="R38447" s="1288"/>
    </row>
    <row r="38448" spans="18:18" s="2" customFormat="1" ht="12.75" x14ac:dyDescent="0.2">
      <c r="R38448" s="1288"/>
    </row>
    <row r="38449" spans="18:18" s="2" customFormat="1" ht="12.75" x14ac:dyDescent="0.2">
      <c r="R38449" s="1288"/>
    </row>
    <row r="38450" spans="18:18" s="2" customFormat="1" ht="12.75" x14ac:dyDescent="0.2">
      <c r="R38450" s="1288"/>
    </row>
    <row r="38451" spans="18:18" s="2" customFormat="1" ht="12.75" x14ac:dyDescent="0.2">
      <c r="R38451" s="1288"/>
    </row>
    <row r="38452" spans="18:18" s="2" customFormat="1" ht="12.75" x14ac:dyDescent="0.2">
      <c r="R38452" s="1288"/>
    </row>
    <row r="38453" spans="18:18" s="2" customFormat="1" ht="12.75" x14ac:dyDescent="0.2">
      <c r="R38453" s="1288"/>
    </row>
    <row r="38454" spans="18:18" s="2" customFormat="1" ht="12.75" x14ac:dyDescent="0.2">
      <c r="R38454" s="1288"/>
    </row>
    <row r="38455" spans="18:18" s="2" customFormat="1" ht="12.75" x14ac:dyDescent="0.2">
      <c r="R38455" s="1288"/>
    </row>
    <row r="38456" spans="18:18" s="2" customFormat="1" ht="12.75" x14ac:dyDescent="0.2">
      <c r="R38456" s="1288"/>
    </row>
    <row r="38457" spans="18:18" s="2" customFormat="1" ht="12.75" x14ac:dyDescent="0.2">
      <c r="R38457" s="1288"/>
    </row>
    <row r="38458" spans="18:18" s="2" customFormat="1" ht="12.75" x14ac:dyDescent="0.2">
      <c r="R38458" s="1288"/>
    </row>
    <row r="38459" spans="18:18" s="2" customFormat="1" ht="12.75" x14ac:dyDescent="0.2">
      <c r="R38459" s="1288"/>
    </row>
    <row r="38460" spans="18:18" s="2" customFormat="1" ht="12.75" x14ac:dyDescent="0.2">
      <c r="R38460" s="1288"/>
    </row>
    <row r="38461" spans="18:18" s="2" customFormat="1" ht="12.75" x14ac:dyDescent="0.2">
      <c r="R38461" s="1288"/>
    </row>
    <row r="38462" spans="18:18" s="2" customFormat="1" ht="12.75" x14ac:dyDescent="0.2">
      <c r="R38462" s="1288"/>
    </row>
    <row r="38463" spans="18:18" s="2" customFormat="1" ht="12.75" x14ac:dyDescent="0.2">
      <c r="R38463" s="1288"/>
    </row>
    <row r="38464" spans="18:18" s="2" customFormat="1" ht="12.75" x14ac:dyDescent="0.2">
      <c r="R38464" s="1288"/>
    </row>
    <row r="38465" spans="18:18" s="2" customFormat="1" ht="12.75" x14ac:dyDescent="0.2">
      <c r="R38465" s="1288"/>
    </row>
    <row r="38466" spans="18:18" s="2" customFormat="1" ht="12.75" x14ac:dyDescent="0.2">
      <c r="R38466" s="1288"/>
    </row>
    <row r="38467" spans="18:18" s="2" customFormat="1" ht="12.75" x14ac:dyDescent="0.2">
      <c r="R38467" s="1288"/>
    </row>
    <row r="38468" spans="18:18" s="2" customFormat="1" ht="12.75" x14ac:dyDescent="0.2">
      <c r="R38468" s="1288"/>
    </row>
    <row r="38469" spans="18:18" s="2" customFormat="1" ht="12.75" x14ac:dyDescent="0.2">
      <c r="R38469" s="1288"/>
    </row>
    <row r="38470" spans="18:18" s="2" customFormat="1" ht="12.75" x14ac:dyDescent="0.2">
      <c r="R38470" s="1288"/>
    </row>
    <row r="38471" spans="18:18" s="2" customFormat="1" ht="12.75" x14ac:dyDescent="0.2">
      <c r="R38471" s="1288"/>
    </row>
    <row r="38472" spans="18:18" s="2" customFormat="1" ht="12.75" x14ac:dyDescent="0.2">
      <c r="R38472" s="1288"/>
    </row>
    <row r="38473" spans="18:18" s="2" customFormat="1" ht="12.75" x14ac:dyDescent="0.2">
      <c r="R38473" s="1288"/>
    </row>
    <row r="38474" spans="18:18" s="2" customFormat="1" ht="12.75" x14ac:dyDescent="0.2">
      <c r="R38474" s="1288"/>
    </row>
    <row r="38475" spans="18:18" s="2" customFormat="1" ht="12.75" x14ac:dyDescent="0.2">
      <c r="R38475" s="1288"/>
    </row>
    <row r="38476" spans="18:18" s="2" customFormat="1" ht="12.75" x14ac:dyDescent="0.2">
      <c r="R38476" s="1288"/>
    </row>
    <row r="38477" spans="18:18" s="2" customFormat="1" ht="12.75" x14ac:dyDescent="0.2">
      <c r="R38477" s="1288"/>
    </row>
    <row r="38478" spans="18:18" s="2" customFormat="1" ht="12.75" x14ac:dyDescent="0.2">
      <c r="R38478" s="1288"/>
    </row>
    <row r="38479" spans="18:18" s="2" customFormat="1" ht="12.75" x14ac:dyDescent="0.2">
      <c r="R38479" s="1288"/>
    </row>
    <row r="38480" spans="18:18" s="2" customFormat="1" ht="12.75" x14ac:dyDescent="0.2">
      <c r="R38480" s="1288"/>
    </row>
    <row r="38481" spans="18:18" s="2" customFormat="1" ht="12.75" x14ac:dyDescent="0.2">
      <c r="R38481" s="1288"/>
    </row>
    <row r="38482" spans="18:18" s="2" customFormat="1" ht="12.75" x14ac:dyDescent="0.2">
      <c r="R38482" s="1288"/>
    </row>
    <row r="38483" spans="18:18" s="2" customFormat="1" ht="12.75" x14ac:dyDescent="0.2">
      <c r="R38483" s="1288"/>
    </row>
    <row r="38484" spans="18:18" s="2" customFormat="1" ht="12.75" x14ac:dyDescent="0.2">
      <c r="R38484" s="1288"/>
    </row>
    <row r="38485" spans="18:18" s="2" customFormat="1" ht="12.75" x14ac:dyDescent="0.2">
      <c r="R38485" s="1288"/>
    </row>
    <row r="38486" spans="18:18" s="2" customFormat="1" ht="12.75" x14ac:dyDescent="0.2">
      <c r="R38486" s="1288"/>
    </row>
    <row r="38487" spans="18:18" s="2" customFormat="1" ht="12.75" x14ac:dyDescent="0.2">
      <c r="R38487" s="1288"/>
    </row>
    <row r="38488" spans="18:18" s="2" customFormat="1" ht="12.75" x14ac:dyDescent="0.2">
      <c r="R38488" s="1288"/>
    </row>
    <row r="38489" spans="18:18" s="2" customFormat="1" ht="12.75" x14ac:dyDescent="0.2">
      <c r="R38489" s="1288"/>
    </row>
    <row r="38490" spans="18:18" s="2" customFormat="1" ht="12.75" x14ac:dyDescent="0.2">
      <c r="R38490" s="1288"/>
    </row>
    <row r="38491" spans="18:18" s="2" customFormat="1" ht="12.75" x14ac:dyDescent="0.2">
      <c r="R38491" s="1288"/>
    </row>
    <row r="38492" spans="18:18" s="2" customFormat="1" ht="12.75" x14ac:dyDescent="0.2">
      <c r="R38492" s="1288"/>
    </row>
    <row r="38493" spans="18:18" s="2" customFormat="1" ht="12.75" x14ac:dyDescent="0.2">
      <c r="R38493" s="1288"/>
    </row>
    <row r="38494" spans="18:18" s="2" customFormat="1" ht="12.75" x14ac:dyDescent="0.2">
      <c r="R38494" s="1288"/>
    </row>
    <row r="38495" spans="18:18" s="2" customFormat="1" ht="12.75" x14ac:dyDescent="0.2">
      <c r="R38495" s="1288"/>
    </row>
    <row r="38496" spans="18:18" s="2" customFormat="1" ht="12.75" x14ac:dyDescent="0.2">
      <c r="R38496" s="1288"/>
    </row>
    <row r="38497" spans="18:18" s="2" customFormat="1" ht="12.75" x14ac:dyDescent="0.2">
      <c r="R38497" s="1288"/>
    </row>
    <row r="38498" spans="18:18" s="2" customFormat="1" ht="12.75" x14ac:dyDescent="0.2">
      <c r="R38498" s="1288"/>
    </row>
    <row r="38499" spans="18:18" s="2" customFormat="1" ht="12.75" x14ac:dyDescent="0.2">
      <c r="R38499" s="1288"/>
    </row>
    <row r="38500" spans="18:18" s="2" customFormat="1" ht="12.75" x14ac:dyDescent="0.2">
      <c r="R38500" s="1288"/>
    </row>
    <row r="38501" spans="18:18" s="2" customFormat="1" ht="12.75" x14ac:dyDescent="0.2">
      <c r="R38501" s="1288"/>
    </row>
    <row r="38502" spans="18:18" s="2" customFormat="1" ht="12.75" x14ac:dyDescent="0.2">
      <c r="R38502" s="1288"/>
    </row>
    <row r="38503" spans="18:18" s="2" customFormat="1" ht="12.75" x14ac:dyDescent="0.2">
      <c r="R38503" s="1288"/>
    </row>
    <row r="38504" spans="18:18" s="2" customFormat="1" ht="12.75" x14ac:dyDescent="0.2">
      <c r="R38504" s="1288"/>
    </row>
    <row r="38505" spans="18:18" s="2" customFormat="1" ht="12.75" x14ac:dyDescent="0.2">
      <c r="R38505" s="1288"/>
    </row>
    <row r="38506" spans="18:18" s="2" customFormat="1" ht="12.75" x14ac:dyDescent="0.2">
      <c r="R38506" s="1288"/>
    </row>
    <row r="38507" spans="18:18" s="2" customFormat="1" ht="12.75" x14ac:dyDescent="0.2">
      <c r="R38507" s="1288"/>
    </row>
    <row r="38508" spans="18:18" s="2" customFormat="1" ht="12.75" x14ac:dyDescent="0.2">
      <c r="R38508" s="1288"/>
    </row>
    <row r="38509" spans="18:18" s="2" customFormat="1" ht="12.75" x14ac:dyDescent="0.2">
      <c r="R38509" s="1288"/>
    </row>
    <row r="38510" spans="18:18" s="2" customFormat="1" ht="12.75" x14ac:dyDescent="0.2">
      <c r="R38510" s="1288"/>
    </row>
    <row r="38511" spans="18:18" s="2" customFormat="1" ht="12.75" x14ac:dyDescent="0.2">
      <c r="R38511" s="1288"/>
    </row>
    <row r="38512" spans="18:18" s="2" customFormat="1" ht="12.75" x14ac:dyDescent="0.2">
      <c r="R38512" s="1288"/>
    </row>
    <row r="38513" spans="18:18" s="2" customFormat="1" ht="12.75" x14ac:dyDescent="0.2">
      <c r="R38513" s="1288"/>
    </row>
    <row r="38514" spans="18:18" s="2" customFormat="1" ht="12.75" x14ac:dyDescent="0.2">
      <c r="R38514" s="1288"/>
    </row>
    <row r="38515" spans="18:18" s="2" customFormat="1" ht="12.75" x14ac:dyDescent="0.2">
      <c r="R38515" s="1288"/>
    </row>
    <row r="38516" spans="18:18" s="2" customFormat="1" ht="12.75" x14ac:dyDescent="0.2">
      <c r="R38516" s="1288"/>
    </row>
    <row r="38517" spans="18:18" s="2" customFormat="1" ht="12.75" x14ac:dyDescent="0.2">
      <c r="R38517" s="1288"/>
    </row>
    <row r="38518" spans="18:18" s="2" customFormat="1" ht="12.75" x14ac:dyDescent="0.2">
      <c r="R38518" s="1288"/>
    </row>
    <row r="38519" spans="18:18" s="2" customFormat="1" ht="12.75" x14ac:dyDescent="0.2">
      <c r="R38519" s="1288"/>
    </row>
    <row r="38520" spans="18:18" s="2" customFormat="1" ht="12.75" x14ac:dyDescent="0.2">
      <c r="R38520" s="1288"/>
    </row>
    <row r="38521" spans="18:18" s="2" customFormat="1" ht="12.75" x14ac:dyDescent="0.2">
      <c r="R38521" s="1288"/>
    </row>
    <row r="38522" spans="18:18" s="2" customFormat="1" ht="12.75" x14ac:dyDescent="0.2">
      <c r="R38522" s="1288"/>
    </row>
    <row r="38523" spans="18:18" s="2" customFormat="1" ht="12.75" x14ac:dyDescent="0.2">
      <c r="R38523" s="1288"/>
    </row>
    <row r="38524" spans="18:18" s="2" customFormat="1" ht="12.75" x14ac:dyDescent="0.2">
      <c r="R38524" s="1288"/>
    </row>
    <row r="38525" spans="18:18" s="2" customFormat="1" ht="12.75" x14ac:dyDescent="0.2">
      <c r="R38525" s="1288"/>
    </row>
    <row r="38526" spans="18:18" s="2" customFormat="1" ht="12.75" x14ac:dyDescent="0.2">
      <c r="R38526" s="1288"/>
    </row>
    <row r="38527" spans="18:18" s="2" customFormat="1" ht="12.75" x14ac:dyDescent="0.2">
      <c r="R38527" s="1288"/>
    </row>
    <row r="38528" spans="18:18" s="2" customFormat="1" ht="12.75" x14ac:dyDescent="0.2">
      <c r="R38528" s="1288"/>
    </row>
    <row r="38529" spans="18:18" s="2" customFormat="1" ht="12.75" x14ac:dyDescent="0.2">
      <c r="R38529" s="1288"/>
    </row>
    <row r="38530" spans="18:18" s="2" customFormat="1" ht="12.75" x14ac:dyDescent="0.2">
      <c r="R38530" s="1288"/>
    </row>
    <row r="38531" spans="18:18" s="2" customFormat="1" ht="12.75" x14ac:dyDescent="0.2">
      <c r="R38531" s="1288"/>
    </row>
    <row r="38532" spans="18:18" s="2" customFormat="1" ht="12.75" x14ac:dyDescent="0.2">
      <c r="R38532" s="1288"/>
    </row>
    <row r="38533" spans="18:18" s="2" customFormat="1" ht="12.75" x14ac:dyDescent="0.2">
      <c r="R38533" s="1288"/>
    </row>
    <row r="38534" spans="18:18" s="2" customFormat="1" ht="12.75" x14ac:dyDescent="0.2">
      <c r="R38534" s="1288"/>
    </row>
    <row r="38535" spans="18:18" s="2" customFormat="1" ht="12.75" x14ac:dyDescent="0.2">
      <c r="R38535" s="1288"/>
    </row>
    <row r="38536" spans="18:18" s="2" customFormat="1" ht="12.75" x14ac:dyDescent="0.2">
      <c r="R38536" s="1288"/>
    </row>
    <row r="38537" spans="18:18" s="2" customFormat="1" ht="12.75" x14ac:dyDescent="0.2">
      <c r="R38537" s="1288"/>
    </row>
    <row r="38538" spans="18:18" s="2" customFormat="1" ht="12.75" x14ac:dyDescent="0.2">
      <c r="R38538" s="1288"/>
    </row>
    <row r="38539" spans="18:18" s="2" customFormat="1" ht="12.75" x14ac:dyDescent="0.2">
      <c r="R38539" s="1288"/>
    </row>
    <row r="38540" spans="18:18" s="2" customFormat="1" ht="12.75" x14ac:dyDescent="0.2">
      <c r="R38540" s="1288"/>
    </row>
    <row r="38541" spans="18:18" s="2" customFormat="1" ht="12.75" x14ac:dyDescent="0.2">
      <c r="R38541" s="1288"/>
    </row>
    <row r="38542" spans="18:18" s="2" customFormat="1" ht="12.75" x14ac:dyDescent="0.2">
      <c r="R38542" s="1288"/>
    </row>
    <row r="38543" spans="18:18" s="2" customFormat="1" ht="12.75" x14ac:dyDescent="0.2">
      <c r="R38543" s="1288"/>
    </row>
    <row r="38544" spans="18:18" s="2" customFormat="1" ht="12.75" x14ac:dyDescent="0.2">
      <c r="R38544" s="1288"/>
    </row>
    <row r="38545" spans="18:18" s="2" customFormat="1" ht="12.75" x14ac:dyDescent="0.2">
      <c r="R38545" s="1288"/>
    </row>
    <row r="38546" spans="18:18" s="2" customFormat="1" ht="12.75" x14ac:dyDescent="0.2">
      <c r="R38546" s="1288"/>
    </row>
    <row r="38547" spans="18:18" s="2" customFormat="1" ht="12.75" x14ac:dyDescent="0.2">
      <c r="R38547" s="1288"/>
    </row>
    <row r="38548" spans="18:18" s="2" customFormat="1" ht="12.75" x14ac:dyDescent="0.2">
      <c r="R38548" s="1288"/>
    </row>
    <row r="38549" spans="18:18" s="2" customFormat="1" ht="12.75" x14ac:dyDescent="0.2">
      <c r="R38549" s="1288"/>
    </row>
    <row r="38550" spans="18:18" s="2" customFormat="1" ht="12.75" x14ac:dyDescent="0.2">
      <c r="R38550" s="1288"/>
    </row>
    <row r="38551" spans="18:18" s="2" customFormat="1" ht="12.75" x14ac:dyDescent="0.2">
      <c r="R38551" s="1288"/>
    </row>
    <row r="38552" spans="18:18" s="2" customFormat="1" ht="12.75" x14ac:dyDescent="0.2">
      <c r="R38552" s="1288"/>
    </row>
    <row r="38553" spans="18:18" s="2" customFormat="1" ht="12.75" x14ac:dyDescent="0.2">
      <c r="R38553" s="1288"/>
    </row>
    <row r="38554" spans="18:18" s="2" customFormat="1" ht="12.75" x14ac:dyDescent="0.2">
      <c r="R38554" s="1288"/>
    </row>
    <row r="38555" spans="18:18" s="2" customFormat="1" ht="12.75" x14ac:dyDescent="0.2">
      <c r="R38555" s="1288"/>
    </row>
    <row r="38556" spans="18:18" s="2" customFormat="1" ht="12.75" x14ac:dyDescent="0.2">
      <c r="R38556" s="1288"/>
    </row>
    <row r="38557" spans="18:18" s="2" customFormat="1" ht="12.75" x14ac:dyDescent="0.2">
      <c r="R38557" s="1288"/>
    </row>
    <row r="38558" spans="18:18" s="2" customFormat="1" ht="12.75" x14ac:dyDescent="0.2">
      <c r="R38558" s="1288"/>
    </row>
    <row r="38559" spans="18:18" s="2" customFormat="1" ht="12.75" x14ac:dyDescent="0.2">
      <c r="R38559" s="1288"/>
    </row>
    <row r="38560" spans="18:18" s="2" customFormat="1" ht="12.75" x14ac:dyDescent="0.2">
      <c r="R38560" s="1288"/>
    </row>
    <row r="38561" spans="18:18" s="2" customFormat="1" ht="12.75" x14ac:dyDescent="0.2">
      <c r="R38561" s="1288"/>
    </row>
    <row r="38562" spans="18:18" s="2" customFormat="1" ht="12.75" x14ac:dyDescent="0.2">
      <c r="R38562" s="1288"/>
    </row>
    <row r="38563" spans="18:18" s="2" customFormat="1" ht="12.75" x14ac:dyDescent="0.2">
      <c r="R38563" s="1288"/>
    </row>
    <row r="38564" spans="18:18" s="2" customFormat="1" ht="12.75" x14ac:dyDescent="0.2">
      <c r="R38564" s="1288"/>
    </row>
    <row r="38565" spans="18:18" s="2" customFormat="1" ht="12.75" x14ac:dyDescent="0.2">
      <c r="R38565" s="1288"/>
    </row>
    <row r="38566" spans="18:18" s="2" customFormat="1" ht="12.75" x14ac:dyDescent="0.2">
      <c r="R38566" s="1288"/>
    </row>
    <row r="38567" spans="18:18" s="2" customFormat="1" ht="12.75" x14ac:dyDescent="0.2">
      <c r="R38567" s="1288"/>
    </row>
    <row r="38568" spans="18:18" s="2" customFormat="1" ht="12.75" x14ac:dyDescent="0.2">
      <c r="R38568" s="1288"/>
    </row>
    <row r="38569" spans="18:18" s="2" customFormat="1" ht="12.75" x14ac:dyDescent="0.2">
      <c r="R38569" s="1288"/>
    </row>
    <row r="38570" spans="18:18" s="2" customFormat="1" ht="12.75" x14ac:dyDescent="0.2">
      <c r="R38570" s="1288"/>
    </row>
    <row r="38571" spans="18:18" s="2" customFormat="1" ht="12.75" x14ac:dyDescent="0.2">
      <c r="R38571" s="1288"/>
    </row>
    <row r="38572" spans="18:18" s="2" customFormat="1" ht="12.75" x14ac:dyDescent="0.2">
      <c r="R38572" s="1288"/>
    </row>
    <row r="38573" spans="18:18" s="2" customFormat="1" ht="12.75" x14ac:dyDescent="0.2">
      <c r="R38573" s="1288"/>
    </row>
    <row r="38574" spans="18:18" s="2" customFormat="1" ht="12.75" x14ac:dyDescent="0.2">
      <c r="R38574" s="1288"/>
    </row>
    <row r="38575" spans="18:18" s="2" customFormat="1" ht="12.75" x14ac:dyDescent="0.2">
      <c r="R38575" s="1288"/>
    </row>
    <row r="38576" spans="18:18" s="2" customFormat="1" ht="12.75" x14ac:dyDescent="0.2">
      <c r="R38576" s="1288"/>
    </row>
    <row r="38577" spans="18:18" s="2" customFormat="1" ht="12.75" x14ac:dyDescent="0.2">
      <c r="R38577" s="1288"/>
    </row>
    <row r="38578" spans="18:18" s="2" customFormat="1" ht="12.75" x14ac:dyDescent="0.2">
      <c r="R38578" s="1288"/>
    </row>
    <row r="38579" spans="18:18" s="2" customFormat="1" ht="12.75" x14ac:dyDescent="0.2">
      <c r="R38579" s="1288"/>
    </row>
    <row r="38580" spans="18:18" s="2" customFormat="1" ht="12.75" x14ac:dyDescent="0.2">
      <c r="R38580" s="1288"/>
    </row>
    <row r="38581" spans="18:18" s="2" customFormat="1" ht="12.75" x14ac:dyDescent="0.2">
      <c r="R38581" s="1288"/>
    </row>
    <row r="38582" spans="18:18" s="2" customFormat="1" ht="12.75" x14ac:dyDescent="0.2">
      <c r="R38582" s="1288"/>
    </row>
    <row r="38583" spans="18:18" s="2" customFormat="1" ht="12.75" x14ac:dyDescent="0.2">
      <c r="R38583" s="1288"/>
    </row>
    <row r="38584" spans="18:18" s="2" customFormat="1" ht="12.75" x14ac:dyDescent="0.2">
      <c r="R38584" s="1288"/>
    </row>
    <row r="38585" spans="18:18" s="2" customFormat="1" ht="12.75" x14ac:dyDescent="0.2">
      <c r="R38585" s="1288"/>
    </row>
    <row r="38586" spans="18:18" s="2" customFormat="1" ht="12.75" x14ac:dyDescent="0.2">
      <c r="R38586" s="1288"/>
    </row>
    <row r="38587" spans="18:18" s="2" customFormat="1" ht="12.75" x14ac:dyDescent="0.2">
      <c r="R38587" s="1288"/>
    </row>
    <row r="38588" spans="18:18" s="2" customFormat="1" ht="12.75" x14ac:dyDescent="0.2">
      <c r="R38588" s="1288"/>
    </row>
    <row r="38589" spans="18:18" s="2" customFormat="1" ht="12.75" x14ac:dyDescent="0.2">
      <c r="R38589" s="1288"/>
    </row>
    <row r="38590" spans="18:18" s="2" customFormat="1" ht="12.75" x14ac:dyDescent="0.2">
      <c r="R38590" s="1288"/>
    </row>
    <row r="38591" spans="18:18" s="2" customFormat="1" ht="12.75" x14ac:dyDescent="0.2">
      <c r="R38591" s="1288"/>
    </row>
    <row r="38592" spans="18:18" s="2" customFormat="1" ht="12.75" x14ac:dyDescent="0.2">
      <c r="R38592" s="1288"/>
    </row>
    <row r="38593" spans="18:18" s="2" customFormat="1" ht="12.75" x14ac:dyDescent="0.2">
      <c r="R38593" s="1288"/>
    </row>
    <row r="38594" spans="18:18" s="2" customFormat="1" ht="12.75" x14ac:dyDescent="0.2">
      <c r="R38594" s="1288"/>
    </row>
    <row r="38595" spans="18:18" s="2" customFormat="1" ht="12.75" x14ac:dyDescent="0.2">
      <c r="R38595" s="1288"/>
    </row>
    <row r="38596" spans="18:18" s="2" customFormat="1" ht="12.75" x14ac:dyDescent="0.2">
      <c r="R38596" s="1288"/>
    </row>
    <row r="38597" spans="18:18" s="2" customFormat="1" ht="12.75" x14ac:dyDescent="0.2">
      <c r="R38597" s="1288"/>
    </row>
    <row r="38598" spans="18:18" s="2" customFormat="1" ht="12.75" x14ac:dyDescent="0.2">
      <c r="R38598" s="1288"/>
    </row>
    <row r="38599" spans="18:18" s="2" customFormat="1" ht="12.75" x14ac:dyDescent="0.2">
      <c r="R38599" s="1288"/>
    </row>
    <row r="38600" spans="18:18" s="2" customFormat="1" ht="12.75" x14ac:dyDescent="0.2">
      <c r="R38600" s="1288"/>
    </row>
    <row r="38601" spans="18:18" s="2" customFormat="1" ht="12.75" x14ac:dyDescent="0.2">
      <c r="R38601" s="1288"/>
    </row>
    <row r="38602" spans="18:18" s="2" customFormat="1" ht="12.75" x14ac:dyDescent="0.2">
      <c r="R38602" s="1288"/>
    </row>
    <row r="38603" spans="18:18" s="2" customFormat="1" ht="12.75" x14ac:dyDescent="0.2">
      <c r="R38603" s="1288"/>
    </row>
    <row r="38604" spans="18:18" s="2" customFormat="1" ht="12.75" x14ac:dyDescent="0.2">
      <c r="R38604" s="1288"/>
    </row>
    <row r="38605" spans="18:18" s="2" customFormat="1" ht="12.75" x14ac:dyDescent="0.2">
      <c r="R38605" s="1288"/>
    </row>
    <row r="38606" spans="18:18" s="2" customFormat="1" ht="12.75" x14ac:dyDescent="0.2">
      <c r="R38606" s="1288"/>
    </row>
    <row r="38607" spans="18:18" s="2" customFormat="1" ht="12.75" x14ac:dyDescent="0.2">
      <c r="R38607" s="1288"/>
    </row>
    <row r="38608" spans="18:18" s="2" customFormat="1" ht="12.75" x14ac:dyDescent="0.2">
      <c r="R38608" s="1288"/>
    </row>
    <row r="38609" spans="18:18" s="2" customFormat="1" ht="12.75" x14ac:dyDescent="0.2">
      <c r="R38609" s="1288"/>
    </row>
    <row r="38610" spans="18:18" s="2" customFormat="1" ht="12.75" x14ac:dyDescent="0.2">
      <c r="R38610" s="1288"/>
    </row>
    <row r="38611" spans="18:18" s="2" customFormat="1" ht="12.75" x14ac:dyDescent="0.2">
      <c r="R38611" s="1288"/>
    </row>
    <row r="38612" spans="18:18" s="2" customFormat="1" ht="12.75" x14ac:dyDescent="0.2">
      <c r="R38612" s="1288"/>
    </row>
    <row r="38613" spans="18:18" s="2" customFormat="1" ht="12.75" x14ac:dyDescent="0.2">
      <c r="R38613" s="1288"/>
    </row>
    <row r="38614" spans="18:18" s="2" customFormat="1" ht="12.75" x14ac:dyDescent="0.2">
      <c r="R38614" s="1288"/>
    </row>
    <row r="38615" spans="18:18" s="2" customFormat="1" ht="12.75" x14ac:dyDescent="0.2">
      <c r="R38615" s="1288"/>
    </row>
    <row r="38616" spans="18:18" s="2" customFormat="1" ht="12.75" x14ac:dyDescent="0.2">
      <c r="R38616" s="1288"/>
    </row>
    <row r="38617" spans="18:18" s="2" customFormat="1" ht="12.75" x14ac:dyDescent="0.2">
      <c r="R38617" s="1288"/>
    </row>
    <row r="38618" spans="18:18" s="2" customFormat="1" ht="12.75" x14ac:dyDescent="0.2">
      <c r="R38618" s="1288"/>
    </row>
    <row r="38619" spans="18:18" s="2" customFormat="1" ht="12.75" x14ac:dyDescent="0.2">
      <c r="R38619" s="1288"/>
    </row>
    <row r="38620" spans="18:18" s="2" customFormat="1" ht="12.75" x14ac:dyDescent="0.2">
      <c r="R38620" s="1288"/>
    </row>
    <row r="38621" spans="18:18" s="2" customFormat="1" ht="12.75" x14ac:dyDescent="0.2">
      <c r="R38621" s="1288"/>
    </row>
    <row r="38622" spans="18:18" s="2" customFormat="1" ht="12.75" x14ac:dyDescent="0.2">
      <c r="R38622" s="1288"/>
    </row>
    <row r="38623" spans="18:18" s="2" customFormat="1" ht="12.75" x14ac:dyDescent="0.2">
      <c r="R38623" s="1288"/>
    </row>
    <row r="38624" spans="18:18" s="2" customFormat="1" ht="12.75" x14ac:dyDescent="0.2">
      <c r="R38624" s="1288"/>
    </row>
    <row r="38625" spans="18:18" s="2" customFormat="1" ht="12.75" x14ac:dyDescent="0.2">
      <c r="R38625" s="1288"/>
    </row>
    <row r="38626" spans="18:18" s="2" customFormat="1" ht="12.75" x14ac:dyDescent="0.2">
      <c r="R38626" s="1288"/>
    </row>
    <row r="38627" spans="18:18" s="2" customFormat="1" ht="12.75" x14ac:dyDescent="0.2">
      <c r="R38627" s="1288"/>
    </row>
    <row r="38628" spans="18:18" s="2" customFormat="1" ht="12.75" x14ac:dyDescent="0.2">
      <c r="R38628" s="1288"/>
    </row>
    <row r="38629" spans="18:18" s="2" customFormat="1" ht="12.75" x14ac:dyDescent="0.2">
      <c r="R38629" s="1288"/>
    </row>
    <row r="38630" spans="18:18" s="2" customFormat="1" ht="12.75" x14ac:dyDescent="0.2">
      <c r="R38630" s="1288"/>
    </row>
    <row r="38631" spans="18:18" s="2" customFormat="1" ht="12.75" x14ac:dyDescent="0.2">
      <c r="R38631" s="1288"/>
    </row>
    <row r="38632" spans="18:18" s="2" customFormat="1" ht="12.75" x14ac:dyDescent="0.2">
      <c r="R38632" s="1288"/>
    </row>
    <row r="38633" spans="18:18" s="2" customFormat="1" ht="12.75" x14ac:dyDescent="0.2">
      <c r="R38633" s="1288"/>
    </row>
    <row r="38634" spans="18:18" s="2" customFormat="1" ht="12.75" x14ac:dyDescent="0.2">
      <c r="R38634" s="1288"/>
    </row>
    <row r="38635" spans="18:18" s="2" customFormat="1" ht="12.75" x14ac:dyDescent="0.2">
      <c r="R38635" s="1288"/>
    </row>
    <row r="38636" spans="18:18" s="2" customFormat="1" ht="12.75" x14ac:dyDescent="0.2">
      <c r="R38636" s="1288"/>
    </row>
    <row r="38637" spans="18:18" s="2" customFormat="1" ht="12.75" x14ac:dyDescent="0.2">
      <c r="R38637" s="1288"/>
    </row>
    <row r="38638" spans="18:18" s="2" customFormat="1" ht="12.75" x14ac:dyDescent="0.2">
      <c r="R38638" s="1288"/>
    </row>
    <row r="38639" spans="18:18" s="2" customFormat="1" ht="12.75" x14ac:dyDescent="0.2">
      <c r="R38639" s="1288"/>
    </row>
    <row r="38640" spans="18:18" s="2" customFormat="1" ht="12.75" x14ac:dyDescent="0.2">
      <c r="R38640" s="1288"/>
    </row>
    <row r="38641" spans="18:18" s="2" customFormat="1" ht="12.75" x14ac:dyDescent="0.2">
      <c r="R38641" s="1288"/>
    </row>
    <row r="38642" spans="18:18" s="2" customFormat="1" ht="12.75" x14ac:dyDescent="0.2">
      <c r="R38642" s="1288"/>
    </row>
    <row r="38643" spans="18:18" s="2" customFormat="1" ht="12.75" x14ac:dyDescent="0.2">
      <c r="R38643" s="1288"/>
    </row>
    <row r="38644" spans="18:18" s="2" customFormat="1" ht="12.75" x14ac:dyDescent="0.2">
      <c r="R38644" s="1288"/>
    </row>
    <row r="38645" spans="18:18" s="2" customFormat="1" ht="12.75" x14ac:dyDescent="0.2">
      <c r="R38645" s="1288"/>
    </row>
    <row r="38646" spans="18:18" s="2" customFormat="1" ht="12.75" x14ac:dyDescent="0.2">
      <c r="R38646" s="1288"/>
    </row>
    <row r="38647" spans="18:18" s="2" customFormat="1" ht="12.75" x14ac:dyDescent="0.2">
      <c r="R38647" s="1288"/>
    </row>
    <row r="38648" spans="18:18" s="2" customFormat="1" ht="12.75" x14ac:dyDescent="0.2">
      <c r="R38648" s="1288"/>
    </row>
    <row r="38649" spans="18:18" s="2" customFormat="1" ht="12.75" x14ac:dyDescent="0.2">
      <c r="R38649" s="1288"/>
    </row>
    <row r="38650" spans="18:18" s="2" customFormat="1" ht="12.75" x14ac:dyDescent="0.2">
      <c r="R38650" s="1288"/>
    </row>
    <row r="38651" spans="18:18" s="2" customFormat="1" ht="12.75" x14ac:dyDescent="0.2">
      <c r="R38651" s="1288"/>
    </row>
    <row r="38652" spans="18:18" s="2" customFormat="1" ht="12.75" x14ac:dyDescent="0.2">
      <c r="R38652" s="1288"/>
    </row>
    <row r="38653" spans="18:18" s="2" customFormat="1" ht="12.75" x14ac:dyDescent="0.2">
      <c r="R38653" s="1288"/>
    </row>
    <row r="38654" spans="18:18" s="2" customFormat="1" ht="12.75" x14ac:dyDescent="0.2">
      <c r="R38654" s="1288"/>
    </row>
    <row r="38655" spans="18:18" s="2" customFormat="1" ht="12.75" x14ac:dyDescent="0.2">
      <c r="R38655" s="1288"/>
    </row>
    <row r="38656" spans="18:18" s="2" customFormat="1" ht="12.75" x14ac:dyDescent="0.2">
      <c r="R38656" s="1288"/>
    </row>
    <row r="38657" spans="18:18" s="2" customFormat="1" ht="12.75" x14ac:dyDescent="0.2">
      <c r="R38657" s="1288"/>
    </row>
    <row r="38658" spans="18:18" s="2" customFormat="1" ht="12.75" x14ac:dyDescent="0.2">
      <c r="R38658" s="1288"/>
    </row>
    <row r="38659" spans="18:18" s="2" customFormat="1" ht="12.75" x14ac:dyDescent="0.2">
      <c r="R38659" s="1288"/>
    </row>
    <row r="38660" spans="18:18" s="2" customFormat="1" ht="12.75" x14ac:dyDescent="0.2">
      <c r="R38660" s="1288"/>
    </row>
    <row r="38661" spans="18:18" s="2" customFormat="1" ht="12.75" x14ac:dyDescent="0.2">
      <c r="R38661" s="1288"/>
    </row>
    <row r="38662" spans="18:18" s="2" customFormat="1" ht="12.75" x14ac:dyDescent="0.2">
      <c r="R38662" s="1288"/>
    </row>
    <row r="38663" spans="18:18" s="2" customFormat="1" ht="12.75" x14ac:dyDescent="0.2">
      <c r="R38663" s="1288"/>
    </row>
    <row r="38664" spans="18:18" s="2" customFormat="1" ht="12.75" x14ac:dyDescent="0.2">
      <c r="R38664" s="1288"/>
    </row>
    <row r="38665" spans="18:18" s="2" customFormat="1" ht="12.75" x14ac:dyDescent="0.2">
      <c r="R38665" s="1288"/>
    </row>
    <row r="38666" spans="18:18" s="2" customFormat="1" ht="12.75" x14ac:dyDescent="0.2">
      <c r="R38666" s="1288"/>
    </row>
    <row r="38667" spans="18:18" s="2" customFormat="1" ht="12.75" x14ac:dyDescent="0.2">
      <c r="R38667" s="1288"/>
    </row>
    <row r="38668" spans="18:18" s="2" customFormat="1" ht="12.75" x14ac:dyDescent="0.2">
      <c r="R38668" s="1288"/>
    </row>
    <row r="38669" spans="18:18" s="2" customFormat="1" ht="12.75" x14ac:dyDescent="0.2">
      <c r="R38669" s="1288"/>
    </row>
    <row r="38670" spans="18:18" s="2" customFormat="1" ht="12.75" x14ac:dyDescent="0.2">
      <c r="R38670" s="1288"/>
    </row>
    <row r="38671" spans="18:18" s="2" customFormat="1" ht="12.75" x14ac:dyDescent="0.2">
      <c r="R38671" s="1288"/>
    </row>
    <row r="38672" spans="18:18" s="2" customFormat="1" ht="12.75" x14ac:dyDescent="0.2">
      <c r="R38672" s="1288"/>
    </row>
    <row r="38673" spans="18:18" s="2" customFormat="1" ht="12.75" x14ac:dyDescent="0.2">
      <c r="R38673" s="1288"/>
    </row>
    <row r="38674" spans="18:18" s="2" customFormat="1" ht="12.75" x14ac:dyDescent="0.2">
      <c r="R38674" s="1288"/>
    </row>
    <row r="38675" spans="18:18" s="2" customFormat="1" ht="12.75" x14ac:dyDescent="0.2">
      <c r="R38675" s="1288"/>
    </row>
    <row r="38676" spans="18:18" s="2" customFormat="1" ht="12.75" x14ac:dyDescent="0.2">
      <c r="R38676" s="1288"/>
    </row>
    <row r="38677" spans="18:18" s="2" customFormat="1" ht="12.75" x14ac:dyDescent="0.2">
      <c r="R38677" s="1288"/>
    </row>
    <row r="38678" spans="18:18" s="2" customFormat="1" ht="12.75" x14ac:dyDescent="0.2">
      <c r="R38678" s="1288"/>
    </row>
    <row r="38679" spans="18:18" s="2" customFormat="1" ht="12.75" x14ac:dyDescent="0.2">
      <c r="R38679" s="1288"/>
    </row>
    <row r="38680" spans="18:18" s="2" customFormat="1" ht="12.75" x14ac:dyDescent="0.2">
      <c r="R38680" s="1288"/>
    </row>
    <row r="38681" spans="18:18" s="2" customFormat="1" ht="12.75" x14ac:dyDescent="0.2">
      <c r="R38681" s="1288"/>
    </row>
    <row r="38682" spans="18:18" s="2" customFormat="1" ht="12.75" x14ac:dyDescent="0.2">
      <c r="R38682" s="1288"/>
    </row>
    <row r="38683" spans="18:18" s="2" customFormat="1" ht="12.75" x14ac:dyDescent="0.2">
      <c r="R38683" s="1288"/>
    </row>
    <row r="38684" spans="18:18" s="2" customFormat="1" ht="12.75" x14ac:dyDescent="0.2">
      <c r="R38684" s="1288"/>
    </row>
    <row r="38685" spans="18:18" s="2" customFormat="1" ht="12.75" x14ac:dyDescent="0.2">
      <c r="R38685" s="1288"/>
    </row>
    <row r="38686" spans="18:18" s="2" customFormat="1" ht="12.75" x14ac:dyDescent="0.2">
      <c r="R38686" s="1288"/>
    </row>
    <row r="38687" spans="18:18" s="2" customFormat="1" ht="12.75" x14ac:dyDescent="0.2">
      <c r="R38687" s="1288"/>
    </row>
    <row r="38688" spans="18:18" s="2" customFormat="1" ht="12.75" x14ac:dyDescent="0.2">
      <c r="R38688" s="1288"/>
    </row>
    <row r="38689" spans="18:18" s="2" customFormat="1" ht="12.75" x14ac:dyDescent="0.2">
      <c r="R38689" s="1288"/>
    </row>
    <row r="38690" spans="18:18" s="2" customFormat="1" ht="12.75" x14ac:dyDescent="0.2">
      <c r="R38690" s="1288"/>
    </row>
    <row r="38691" spans="18:18" s="2" customFormat="1" ht="12.75" x14ac:dyDescent="0.2">
      <c r="R38691" s="1288"/>
    </row>
    <row r="38692" spans="18:18" s="2" customFormat="1" ht="12.75" x14ac:dyDescent="0.2">
      <c r="R38692" s="1288"/>
    </row>
    <row r="38693" spans="18:18" s="2" customFormat="1" ht="12.75" x14ac:dyDescent="0.2">
      <c r="R38693" s="1288"/>
    </row>
    <row r="38694" spans="18:18" s="2" customFormat="1" ht="12.75" x14ac:dyDescent="0.2">
      <c r="R38694" s="1288"/>
    </row>
    <row r="38695" spans="18:18" s="2" customFormat="1" ht="12.75" x14ac:dyDescent="0.2">
      <c r="R38695" s="1288"/>
    </row>
    <row r="38696" spans="18:18" s="2" customFormat="1" ht="12.75" x14ac:dyDescent="0.2">
      <c r="R38696" s="1288"/>
    </row>
    <row r="38697" spans="18:18" s="2" customFormat="1" ht="12.75" x14ac:dyDescent="0.2">
      <c r="R38697" s="1288"/>
    </row>
    <row r="38698" spans="18:18" s="2" customFormat="1" ht="12.75" x14ac:dyDescent="0.2">
      <c r="R38698" s="1288"/>
    </row>
    <row r="38699" spans="18:18" s="2" customFormat="1" ht="12.75" x14ac:dyDescent="0.2">
      <c r="R38699" s="1288"/>
    </row>
    <row r="38700" spans="18:18" s="2" customFormat="1" ht="12.75" x14ac:dyDescent="0.2">
      <c r="R38700" s="1288"/>
    </row>
    <row r="38701" spans="18:18" s="2" customFormat="1" ht="12.75" x14ac:dyDescent="0.2">
      <c r="R38701" s="1288"/>
    </row>
    <row r="38702" spans="18:18" s="2" customFormat="1" ht="12.75" x14ac:dyDescent="0.2">
      <c r="R38702" s="1288"/>
    </row>
    <row r="38703" spans="18:18" s="2" customFormat="1" ht="12.75" x14ac:dyDescent="0.2">
      <c r="R38703" s="1288"/>
    </row>
    <row r="38704" spans="18:18" s="2" customFormat="1" ht="12.75" x14ac:dyDescent="0.2">
      <c r="R38704" s="1288"/>
    </row>
    <row r="38705" spans="18:18" s="2" customFormat="1" ht="12.75" x14ac:dyDescent="0.2">
      <c r="R38705" s="1288"/>
    </row>
    <row r="38706" spans="18:18" s="2" customFormat="1" ht="12.75" x14ac:dyDescent="0.2">
      <c r="R38706" s="1288"/>
    </row>
    <row r="38707" spans="18:18" s="2" customFormat="1" ht="12.75" x14ac:dyDescent="0.2">
      <c r="R38707" s="1288"/>
    </row>
    <row r="38708" spans="18:18" s="2" customFormat="1" ht="12.75" x14ac:dyDescent="0.2">
      <c r="R38708" s="1288"/>
    </row>
    <row r="38709" spans="18:18" s="2" customFormat="1" ht="12.75" x14ac:dyDescent="0.2">
      <c r="R38709" s="1288"/>
    </row>
    <row r="38710" spans="18:18" s="2" customFormat="1" ht="12.75" x14ac:dyDescent="0.2">
      <c r="R38710" s="1288"/>
    </row>
    <row r="38711" spans="18:18" s="2" customFormat="1" ht="12.75" x14ac:dyDescent="0.2">
      <c r="R38711" s="1288"/>
    </row>
    <row r="38712" spans="18:18" s="2" customFormat="1" ht="12.75" x14ac:dyDescent="0.2">
      <c r="R38712" s="1288"/>
    </row>
    <row r="38713" spans="18:18" s="2" customFormat="1" ht="12.75" x14ac:dyDescent="0.2">
      <c r="R38713" s="1288"/>
    </row>
    <row r="38714" spans="18:18" s="2" customFormat="1" ht="12.75" x14ac:dyDescent="0.2">
      <c r="R38714" s="1288"/>
    </row>
    <row r="38715" spans="18:18" s="2" customFormat="1" ht="12.75" x14ac:dyDescent="0.2">
      <c r="R38715" s="1288"/>
    </row>
    <row r="38716" spans="18:18" s="2" customFormat="1" ht="12.75" x14ac:dyDescent="0.2">
      <c r="R38716" s="1288"/>
    </row>
    <row r="38717" spans="18:18" s="2" customFormat="1" ht="12.75" x14ac:dyDescent="0.2">
      <c r="R38717" s="1288"/>
    </row>
    <row r="38718" spans="18:18" s="2" customFormat="1" ht="12.75" x14ac:dyDescent="0.2">
      <c r="R38718" s="1288"/>
    </row>
    <row r="38719" spans="18:18" s="2" customFormat="1" ht="12.75" x14ac:dyDescent="0.2">
      <c r="R38719" s="1288"/>
    </row>
    <row r="38720" spans="18:18" s="2" customFormat="1" ht="12.75" x14ac:dyDescent="0.2">
      <c r="R38720" s="1288"/>
    </row>
    <row r="38721" spans="18:18" s="2" customFormat="1" ht="12.75" x14ac:dyDescent="0.2">
      <c r="R38721" s="1288"/>
    </row>
    <row r="38722" spans="18:18" s="2" customFormat="1" ht="12.75" x14ac:dyDescent="0.2">
      <c r="R38722" s="1288"/>
    </row>
    <row r="38723" spans="18:18" s="2" customFormat="1" ht="12.75" x14ac:dyDescent="0.2">
      <c r="R38723" s="1288"/>
    </row>
    <row r="38724" spans="18:18" s="2" customFormat="1" ht="12.75" x14ac:dyDescent="0.2">
      <c r="R38724" s="1288"/>
    </row>
    <row r="38725" spans="18:18" s="2" customFormat="1" ht="12.75" x14ac:dyDescent="0.2">
      <c r="R38725" s="1288"/>
    </row>
    <row r="38726" spans="18:18" s="2" customFormat="1" ht="12.75" x14ac:dyDescent="0.2">
      <c r="R38726" s="1288"/>
    </row>
    <row r="38727" spans="18:18" s="2" customFormat="1" ht="12.75" x14ac:dyDescent="0.2">
      <c r="R38727" s="1288"/>
    </row>
    <row r="38728" spans="18:18" s="2" customFormat="1" ht="12.75" x14ac:dyDescent="0.2">
      <c r="R38728" s="1288"/>
    </row>
    <row r="38729" spans="18:18" s="2" customFormat="1" ht="12.75" x14ac:dyDescent="0.2">
      <c r="R38729" s="1288"/>
    </row>
    <row r="38730" spans="18:18" s="2" customFormat="1" ht="12.75" x14ac:dyDescent="0.2">
      <c r="R38730" s="1288"/>
    </row>
    <row r="38731" spans="18:18" s="2" customFormat="1" ht="12.75" x14ac:dyDescent="0.2">
      <c r="R38731" s="1288"/>
    </row>
    <row r="38732" spans="18:18" s="2" customFormat="1" ht="12.75" x14ac:dyDescent="0.2">
      <c r="R38732" s="1288"/>
    </row>
    <row r="38733" spans="18:18" s="2" customFormat="1" ht="12.75" x14ac:dyDescent="0.2">
      <c r="R38733" s="1288"/>
    </row>
    <row r="38734" spans="18:18" s="2" customFormat="1" ht="12.75" x14ac:dyDescent="0.2">
      <c r="R38734" s="1288"/>
    </row>
    <row r="38735" spans="18:18" s="2" customFormat="1" ht="12.75" x14ac:dyDescent="0.2">
      <c r="R38735" s="1288"/>
    </row>
    <row r="38736" spans="18:18" s="2" customFormat="1" ht="12.75" x14ac:dyDescent="0.2">
      <c r="R38736" s="1288"/>
    </row>
    <row r="38737" spans="18:18" s="2" customFormat="1" ht="12.75" x14ac:dyDescent="0.2">
      <c r="R38737" s="1288"/>
    </row>
    <row r="38738" spans="18:18" s="2" customFormat="1" ht="12.75" x14ac:dyDescent="0.2">
      <c r="R38738" s="1288"/>
    </row>
    <row r="38739" spans="18:18" s="2" customFormat="1" ht="12.75" x14ac:dyDescent="0.2">
      <c r="R38739" s="1288"/>
    </row>
    <row r="38740" spans="18:18" s="2" customFormat="1" ht="12.75" x14ac:dyDescent="0.2">
      <c r="R38740" s="1288"/>
    </row>
    <row r="38741" spans="18:18" s="2" customFormat="1" ht="12.75" x14ac:dyDescent="0.2">
      <c r="R38741" s="1288"/>
    </row>
    <row r="38742" spans="18:18" s="2" customFormat="1" ht="12.75" x14ac:dyDescent="0.2">
      <c r="R38742" s="1288"/>
    </row>
    <row r="38743" spans="18:18" s="2" customFormat="1" ht="12.75" x14ac:dyDescent="0.2">
      <c r="R38743" s="1288"/>
    </row>
    <row r="38744" spans="18:18" s="2" customFormat="1" ht="12.75" x14ac:dyDescent="0.2">
      <c r="R38744" s="1288"/>
    </row>
    <row r="38745" spans="18:18" s="2" customFormat="1" ht="12.75" x14ac:dyDescent="0.2">
      <c r="R38745" s="1288"/>
    </row>
    <row r="38746" spans="18:18" s="2" customFormat="1" ht="12.75" x14ac:dyDescent="0.2">
      <c r="R38746" s="1288"/>
    </row>
    <row r="38747" spans="18:18" s="2" customFormat="1" ht="12.75" x14ac:dyDescent="0.2">
      <c r="R38747" s="1288"/>
    </row>
    <row r="38748" spans="18:18" s="2" customFormat="1" ht="12.75" x14ac:dyDescent="0.2">
      <c r="R38748" s="1288"/>
    </row>
    <row r="38749" spans="18:18" s="2" customFormat="1" ht="12.75" x14ac:dyDescent="0.2">
      <c r="R38749" s="1288"/>
    </row>
    <row r="38750" spans="18:18" s="2" customFormat="1" ht="12.75" x14ac:dyDescent="0.2">
      <c r="R38750" s="1288"/>
    </row>
    <row r="38751" spans="18:18" s="2" customFormat="1" ht="12.75" x14ac:dyDescent="0.2">
      <c r="R38751" s="1288"/>
    </row>
    <row r="38752" spans="18:18" s="2" customFormat="1" ht="12.75" x14ac:dyDescent="0.2">
      <c r="R38752" s="1288"/>
    </row>
    <row r="38753" spans="18:18" s="2" customFormat="1" ht="12.75" x14ac:dyDescent="0.2">
      <c r="R38753" s="1288"/>
    </row>
    <row r="38754" spans="18:18" s="2" customFormat="1" ht="12.75" x14ac:dyDescent="0.2">
      <c r="R38754" s="1288"/>
    </row>
    <row r="38755" spans="18:18" s="2" customFormat="1" ht="12.75" x14ac:dyDescent="0.2">
      <c r="R38755" s="1288"/>
    </row>
    <row r="38756" spans="18:18" s="2" customFormat="1" ht="12.75" x14ac:dyDescent="0.2">
      <c r="R38756" s="1288"/>
    </row>
    <row r="38757" spans="18:18" s="2" customFormat="1" ht="12.75" x14ac:dyDescent="0.2">
      <c r="R38757" s="1288"/>
    </row>
    <row r="38758" spans="18:18" s="2" customFormat="1" ht="12.75" x14ac:dyDescent="0.2">
      <c r="R38758" s="1288"/>
    </row>
    <row r="38759" spans="18:18" s="2" customFormat="1" ht="12.75" x14ac:dyDescent="0.2">
      <c r="R38759" s="1288"/>
    </row>
    <row r="38760" spans="18:18" s="2" customFormat="1" ht="12.75" x14ac:dyDescent="0.2">
      <c r="R38760" s="1288"/>
    </row>
    <row r="38761" spans="18:18" s="2" customFormat="1" ht="12.75" x14ac:dyDescent="0.2">
      <c r="R38761" s="1288"/>
    </row>
    <row r="38762" spans="18:18" s="2" customFormat="1" ht="12.75" x14ac:dyDescent="0.2">
      <c r="R38762" s="1288"/>
    </row>
    <row r="38763" spans="18:18" s="2" customFormat="1" ht="12.75" x14ac:dyDescent="0.2">
      <c r="R38763" s="1288"/>
    </row>
    <row r="38764" spans="18:18" s="2" customFormat="1" ht="12.75" x14ac:dyDescent="0.2">
      <c r="R38764" s="1288"/>
    </row>
    <row r="38765" spans="18:18" s="2" customFormat="1" ht="12.75" x14ac:dyDescent="0.2">
      <c r="R38765" s="1288"/>
    </row>
    <row r="38766" spans="18:18" s="2" customFormat="1" ht="12.75" x14ac:dyDescent="0.2">
      <c r="R38766" s="1288"/>
    </row>
    <row r="38767" spans="18:18" s="2" customFormat="1" ht="12.75" x14ac:dyDescent="0.2">
      <c r="R38767" s="1288"/>
    </row>
    <row r="38768" spans="18:18" s="2" customFormat="1" ht="12.75" x14ac:dyDescent="0.2">
      <c r="R38768" s="1288"/>
    </row>
    <row r="38769" spans="18:18" s="2" customFormat="1" ht="12.75" x14ac:dyDescent="0.2">
      <c r="R38769" s="1288"/>
    </row>
    <row r="38770" spans="18:18" s="2" customFormat="1" ht="12.75" x14ac:dyDescent="0.2">
      <c r="R38770" s="1288"/>
    </row>
    <row r="38771" spans="18:18" s="2" customFormat="1" ht="12.75" x14ac:dyDescent="0.2">
      <c r="R38771" s="1288"/>
    </row>
    <row r="38772" spans="18:18" s="2" customFormat="1" ht="12.75" x14ac:dyDescent="0.2">
      <c r="R38772" s="1288"/>
    </row>
    <row r="38773" spans="18:18" s="2" customFormat="1" ht="12.75" x14ac:dyDescent="0.2">
      <c r="R38773" s="1288"/>
    </row>
    <row r="38774" spans="18:18" s="2" customFormat="1" ht="12.75" x14ac:dyDescent="0.2">
      <c r="R38774" s="1288"/>
    </row>
    <row r="38775" spans="18:18" s="2" customFormat="1" ht="12.75" x14ac:dyDescent="0.2">
      <c r="R38775" s="1288"/>
    </row>
    <row r="38776" spans="18:18" s="2" customFormat="1" ht="12.75" x14ac:dyDescent="0.2">
      <c r="R38776" s="1288"/>
    </row>
    <row r="38777" spans="18:18" s="2" customFormat="1" ht="12.75" x14ac:dyDescent="0.2">
      <c r="R38777" s="1288"/>
    </row>
    <row r="38778" spans="18:18" s="2" customFormat="1" ht="12.75" x14ac:dyDescent="0.2">
      <c r="R38778" s="1288"/>
    </row>
    <row r="38779" spans="18:18" s="2" customFormat="1" ht="12.75" x14ac:dyDescent="0.2">
      <c r="R38779" s="1288"/>
    </row>
    <row r="38780" spans="18:18" s="2" customFormat="1" ht="12.75" x14ac:dyDescent="0.2">
      <c r="R38780" s="1288"/>
    </row>
    <row r="38781" spans="18:18" s="2" customFormat="1" ht="12.75" x14ac:dyDescent="0.2">
      <c r="R38781" s="1288"/>
    </row>
    <row r="38782" spans="18:18" s="2" customFormat="1" ht="12.75" x14ac:dyDescent="0.2">
      <c r="R38782" s="1288"/>
    </row>
    <row r="38783" spans="18:18" s="2" customFormat="1" ht="12.75" x14ac:dyDescent="0.2">
      <c r="R38783" s="1288"/>
    </row>
    <row r="38784" spans="18:18" s="2" customFormat="1" ht="12.75" x14ac:dyDescent="0.2">
      <c r="R38784" s="1288"/>
    </row>
    <row r="38785" spans="18:18" s="2" customFormat="1" ht="12.75" x14ac:dyDescent="0.2">
      <c r="R38785" s="1288"/>
    </row>
    <row r="38786" spans="18:18" s="2" customFormat="1" ht="12.75" x14ac:dyDescent="0.2">
      <c r="R38786" s="1288"/>
    </row>
    <row r="38787" spans="18:18" s="2" customFormat="1" ht="12.75" x14ac:dyDescent="0.2">
      <c r="R38787" s="1288"/>
    </row>
    <row r="38788" spans="18:18" s="2" customFormat="1" ht="12.75" x14ac:dyDescent="0.2">
      <c r="R38788" s="1288"/>
    </row>
    <row r="38789" spans="18:18" s="2" customFormat="1" ht="12.75" x14ac:dyDescent="0.2">
      <c r="R38789" s="1288"/>
    </row>
    <row r="38790" spans="18:18" s="2" customFormat="1" ht="12.75" x14ac:dyDescent="0.2">
      <c r="R38790" s="1288"/>
    </row>
    <row r="38791" spans="18:18" s="2" customFormat="1" ht="12.75" x14ac:dyDescent="0.2">
      <c r="R38791" s="1288"/>
    </row>
    <row r="38792" spans="18:18" s="2" customFormat="1" ht="12.75" x14ac:dyDescent="0.2">
      <c r="R38792" s="1288"/>
    </row>
    <row r="38793" spans="18:18" s="2" customFormat="1" ht="12.75" x14ac:dyDescent="0.2">
      <c r="R38793" s="1288"/>
    </row>
    <row r="38794" spans="18:18" s="2" customFormat="1" ht="12.75" x14ac:dyDescent="0.2">
      <c r="R38794" s="1288"/>
    </row>
    <row r="38795" spans="18:18" s="2" customFormat="1" ht="12.75" x14ac:dyDescent="0.2">
      <c r="R38795" s="1288"/>
    </row>
    <row r="38796" spans="18:18" s="2" customFormat="1" ht="12.75" x14ac:dyDescent="0.2">
      <c r="R38796" s="1288"/>
    </row>
    <row r="38797" spans="18:18" s="2" customFormat="1" ht="12.75" x14ac:dyDescent="0.2">
      <c r="R38797" s="1288"/>
    </row>
    <row r="38798" spans="18:18" s="2" customFormat="1" ht="12.75" x14ac:dyDescent="0.2">
      <c r="R38798" s="1288"/>
    </row>
    <row r="38799" spans="18:18" s="2" customFormat="1" ht="12.75" x14ac:dyDescent="0.2">
      <c r="R38799" s="1288"/>
    </row>
    <row r="38800" spans="18:18" s="2" customFormat="1" ht="12.75" x14ac:dyDescent="0.2">
      <c r="R38800" s="1288"/>
    </row>
    <row r="38801" spans="18:18" s="2" customFormat="1" ht="12.75" x14ac:dyDescent="0.2">
      <c r="R38801" s="1288"/>
    </row>
    <row r="38802" spans="18:18" s="2" customFormat="1" ht="12.75" x14ac:dyDescent="0.2">
      <c r="R38802" s="1288"/>
    </row>
    <row r="38803" spans="18:18" s="2" customFormat="1" ht="12.75" x14ac:dyDescent="0.2">
      <c r="R38803" s="1288"/>
    </row>
    <row r="38804" spans="18:18" s="2" customFormat="1" ht="12.75" x14ac:dyDescent="0.2">
      <c r="R38804" s="1288"/>
    </row>
    <row r="38805" spans="18:18" s="2" customFormat="1" ht="12.75" x14ac:dyDescent="0.2">
      <c r="R38805" s="1288"/>
    </row>
    <row r="38806" spans="18:18" s="2" customFormat="1" ht="12.75" x14ac:dyDescent="0.2">
      <c r="R38806" s="1288"/>
    </row>
    <row r="38807" spans="18:18" s="2" customFormat="1" ht="12.75" x14ac:dyDescent="0.2">
      <c r="R38807" s="1288"/>
    </row>
    <row r="38808" spans="18:18" s="2" customFormat="1" ht="12.75" x14ac:dyDescent="0.2">
      <c r="R38808" s="1288"/>
    </row>
    <row r="38809" spans="18:18" s="2" customFormat="1" ht="12.75" x14ac:dyDescent="0.2">
      <c r="R38809" s="1288"/>
    </row>
    <row r="38810" spans="18:18" s="2" customFormat="1" ht="12.75" x14ac:dyDescent="0.2">
      <c r="R38810" s="1288"/>
    </row>
    <row r="38811" spans="18:18" s="2" customFormat="1" ht="12.75" x14ac:dyDescent="0.2">
      <c r="R38811" s="1288"/>
    </row>
    <row r="38812" spans="18:18" s="2" customFormat="1" ht="12.75" x14ac:dyDescent="0.2">
      <c r="R38812" s="1288"/>
    </row>
    <row r="38813" spans="18:18" s="2" customFormat="1" ht="12.75" x14ac:dyDescent="0.2">
      <c r="R38813" s="1288"/>
    </row>
    <row r="38814" spans="18:18" s="2" customFormat="1" ht="12.75" x14ac:dyDescent="0.2">
      <c r="R38814" s="1288"/>
    </row>
    <row r="38815" spans="18:18" s="2" customFormat="1" ht="12.75" x14ac:dyDescent="0.2">
      <c r="R38815" s="1288"/>
    </row>
    <row r="38816" spans="18:18" s="2" customFormat="1" ht="12.75" x14ac:dyDescent="0.2">
      <c r="R38816" s="1288"/>
    </row>
    <row r="38817" spans="18:18" s="2" customFormat="1" ht="12.75" x14ac:dyDescent="0.2">
      <c r="R38817" s="1288"/>
    </row>
    <row r="38818" spans="18:18" s="2" customFormat="1" ht="12.75" x14ac:dyDescent="0.2">
      <c r="R38818" s="1288"/>
    </row>
    <row r="38819" spans="18:18" s="2" customFormat="1" ht="12.75" x14ac:dyDescent="0.2">
      <c r="R38819" s="1288"/>
    </row>
    <row r="38820" spans="18:18" s="2" customFormat="1" ht="12.75" x14ac:dyDescent="0.2">
      <c r="R38820" s="1288"/>
    </row>
    <row r="38821" spans="18:18" s="2" customFormat="1" ht="12.75" x14ac:dyDescent="0.2">
      <c r="R38821" s="1288"/>
    </row>
    <row r="38822" spans="18:18" s="2" customFormat="1" ht="12.75" x14ac:dyDescent="0.2">
      <c r="R38822" s="1288"/>
    </row>
    <row r="38823" spans="18:18" s="2" customFormat="1" ht="12.75" x14ac:dyDescent="0.2">
      <c r="R38823" s="1288"/>
    </row>
    <row r="38824" spans="18:18" s="2" customFormat="1" ht="12.75" x14ac:dyDescent="0.2">
      <c r="R38824" s="1288"/>
    </row>
    <row r="38825" spans="18:18" s="2" customFormat="1" ht="12.75" x14ac:dyDescent="0.2">
      <c r="R38825" s="1288"/>
    </row>
    <row r="38826" spans="18:18" s="2" customFormat="1" ht="12.75" x14ac:dyDescent="0.2">
      <c r="R38826" s="1288"/>
    </row>
    <row r="38827" spans="18:18" s="2" customFormat="1" ht="12.75" x14ac:dyDescent="0.2">
      <c r="R38827" s="1288"/>
    </row>
    <row r="38828" spans="18:18" s="2" customFormat="1" ht="12.75" x14ac:dyDescent="0.2">
      <c r="R38828" s="1288"/>
    </row>
    <row r="38829" spans="18:18" s="2" customFormat="1" ht="12.75" x14ac:dyDescent="0.2">
      <c r="R38829" s="1288"/>
    </row>
    <row r="38830" spans="18:18" s="2" customFormat="1" ht="12.75" x14ac:dyDescent="0.2">
      <c r="R38830" s="1288"/>
    </row>
    <row r="38831" spans="18:18" s="2" customFormat="1" ht="12.75" x14ac:dyDescent="0.2">
      <c r="R38831" s="1288"/>
    </row>
    <row r="38832" spans="18:18" s="2" customFormat="1" ht="12.75" x14ac:dyDescent="0.2">
      <c r="R38832" s="1288"/>
    </row>
    <row r="38833" spans="18:18" s="2" customFormat="1" ht="12.75" x14ac:dyDescent="0.2">
      <c r="R38833" s="1288"/>
    </row>
    <row r="38834" spans="18:18" s="2" customFormat="1" ht="12.75" x14ac:dyDescent="0.2">
      <c r="R38834" s="1288"/>
    </row>
    <row r="38835" spans="18:18" s="2" customFormat="1" ht="12.75" x14ac:dyDescent="0.2">
      <c r="R38835" s="1288"/>
    </row>
    <row r="38836" spans="18:18" s="2" customFormat="1" ht="12.75" x14ac:dyDescent="0.2">
      <c r="R38836" s="1288"/>
    </row>
    <row r="38837" spans="18:18" s="2" customFormat="1" ht="12.75" x14ac:dyDescent="0.2">
      <c r="R38837" s="1288"/>
    </row>
    <row r="38838" spans="18:18" s="2" customFormat="1" ht="12.75" x14ac:dyDescent="0.2">
      <c r="R38838" s="1288"/>
    </row>
    <row r="38839" spans="18:18" s="2" customFormat="1" ht="12.75" x14ac:dyDescent="0.2">
      <c r="R38839" s="1288"/>
    </row>
    <row r="38840" spans="18:18" s="2" customFormat="1" ht="12.75" x14ac:dyDescent="0.2">
      <c r="R38840" s="1288"/>
    </row>
    <row r="38841" spans="18:18" s="2" customFormat="1" ht="12.75" x14ac:dyDescent="0.2">
      <c r="R38841" s="1288"/>
    </row>
    <row r="38842" spans="18:18" s="2" customFormat="1" ht="12.75" x14ac:dyDescent="0.2">
      <c r="R38842" s="1288"/>
    </row>
    <row r="38843" spans="18:18" s="2" customFormat="1" ht="12.75" x14ac:dyDescent="0.2">
      <c r="R38843" s="1288"/>
    </row>
    <row r="38844" spans="18:18" s="2" customFormat="1" ht="12.75" x14ac:dyDescent="0.2">
      <c r="R38844" s="1288"/>
    </row>
    <row r="38845" spans="18:18" s="2" customFormat="1" ht="12.75" x14ac:dyDescent="0.2">
      <c r="R38845" s="1288"/>
    </row>
    <row r="38846" spans="18:18" s="2" customFormat="1" ht="12.75" x14ac:dyDescent="0.2">
      <c r="R38846" s="1288"/>
    </row>
    <row r="38847" spans="18:18" s="2" customFormat="1" ht="12.75" x14ac:dyDescent="0.2">
      <c r="R38847" s="1288"/>
    </row>
    <row r="38848" spans="18:18" s="2" customFormat="1" ht="12.75" x14ac:dyDescent="0.2">
      <c r="R38848" s="1288"/>
    </row>
    <row r="38849" spans="18:18" s="2" customFormat="1" ht="12.75" x14ac:dyDescent="0.2">
      <c r="R38849" s="1288"/>
    </row>
    <row r="38850" spans="18:18" s="2" customFormat="1" ht="12.75" x14ac:dyDescent="0.2">
      <c r="R38850" s="1288"/>
    </row>
    <row r="38851" spans="18:18" s="2" customFormat="1" ht="12.75" x14ac:dyDescent="0.2">
      <c r="R38851" s="1288"/>
    </row>
    <row r="38852" spans="18:18" s="2" customFormat="1" ht="12.75" x14ac:dyDescent="0.2">
      <c r="R38852" s="1288"/>
    </row>
    <row r="38853" spans="18:18" s="2" customFormat="1" ht="12.75" x14ac:dyDescent="0.2">
      <c r="R38853" s="1288"/>
    </row>
    <row r="38854" spans="18:18" s="2" customFormat="1" ht="12.75" x14ac:dyDescent="0.2">
      <c r="R38854" s="1288"/>
    </row>
    <row r="38855" spans="18:18" s="2" customFormat="1" ht="12.75" x14ac:dyDescent="0.2">
      <c r="R38855" s="1288"/>
    </row>
    <row r="38856" spans="18:18" s="2" customFormat="1" ht="12.75" x14ac:dyDescent="0.2">
      <c r="R38856" s="1288"/>
    </row>
    <row r="38857" spans="18:18" s="2" customFormat="1" ht="12.75" x14ac:dyDescent="0.2">
      <c r="R38857" s="1288"/>
    </row>
    <row r="38858" spans="18:18" s="2" customFormat="1" ht="12.75" x14ac:dyDescent="0.2">
      <c r="R38858" s="1288"/>
    </row>
    <row r="38859" spans="18:18" s="2" customFormat="1" ht="12.75" x14ac:dyDescent="0.2">
      <c r="R38859" s="1288"/>
    </row>
    <row r="38860" spans="18:18" s="2" customFormat="1" ht="12.75" x14ac:dyDescent="0.2">
      <c r="R38860" s="1288"/>
    </row>
    <row r="38861" spans="18:18" s="2" customFormat="1" ht="12.75" x14ac:dyDescent="0.2">
      <c r="R38861" s="1288"/>
    </row>
    <row r="38862" spans="18:18" s="2" customFormat="1" ht="12.75" x14ac:dyDescent="0.2">
      <c r="R38862" s="1288"/>
    </row>
    <row r="38863" spans="18:18" s="2" customFormat="1" ht="12.75" x14ac:dyDescent="0.2">
      <c r="R38863" s="1288"/>
    </row>
    <row r="38864" spans="18:18" s="2" customFormat="1" ht="12.75" x14ac:dyDescent="0.2">
      <c r="R38864" s="1288"/>
    </row>
    <row r="38865" spans="18:18" s="2" customFormat="1" ht="12.75" x14ac:dyDescent="0.2">
      <c r="R38865" s="1288"/>
    </row>
    <row r="38866" spans="18:18" s="2" customFormat="1" ht="12.75" x14ac:dyDescent="0.2">
      <c r="R38866" s="1288"/>
    </row>
    <row r="38867" spans="18:18" s="2" customFormat="1" ht="12.75" x14ac:dyDescent="0.2">
      <c r="R38867" s="1288"/>
    </row>
    <row r="38868" spans="18:18" s="2" customFormat="1" ht="12.75" x14ac:dyDescent="0.2">
      <c r="R38868" s="1288"/>
    </row>
    <row r="38869" spans="18:18" s="2" customFormat="1" ht="12.75" x14ac:dyDescent="0.2">
      <c r="R38869" s="1288"/>
    </row>
    <row r="38870" spans="18:18" s="2" customFormat="1" ht="12.75" x14ac:dyDescent="0.2">
      <c r="R38870" s="1288"/>
    </row>
    <row r="38871" spans="18:18" s="2" customFormat="1" ht="12.75" x14ac:dyDescent="0.2">
      <c r="R38871" s="1288"/>
    </row>
    <row r="38872" spans="18:18" s="2" customFormat="1" ht="12.75" x14ac:dyDescent="0.2">
      <c r="R38872" s="1288"/>
    </row>
    <row r="38873" spans="18:18" s="2" customFormat="1" ht="12.75" x14ac:dyDescent="0.2">
      <c r="R38873" s="1288"/>
    </row>
    <row r="38874" spans="18:18" s="2" customFormat="1" ht="12.75" x14ac:dyDescent="0.2">
      <c r="R38874" s="1288"/>
    </row>
    <row r="38875" spans="18:18" s="2" customFormat="1" ht="12.75" x14ac:dyDescent="0.2">
      <c r="R38875" s="1288"/>
    </row>
    <row r="38876" spans="18:18" s="2" customFormat="1" ht="12.75" x14ac:dyDescent="0.2">
      <c r="R38876" s="1288"/>
    </row>
    <row r="38877" spans="18:18" s="2" customFormat="1" ht="12.75" x14ac:dyDescent="0.2">
      <c r="R38877" s="1288"/>
    </row>
    <row r="38878" spans="18:18" s="2" customFormat="1" ht="12.75" x14ac:dyDescent="0.2">
      <c r="R38878" s="1288"/>
    </row>
    <row r="38879" spans="18:18" s="2" customFormat="1" ht="12.75" x14ac:dyDescent="0.2">
      <c r="R38879" s="1288"/>
    </row>
    <row r="38880" spans="18:18" s="2" customFormat="1" ht="12.75" x14ac:dyDescent="0.2">
      <c r="R38880" s="1288"/>
    </row>
    <row r="38881" spans="18:18" s="2" customFormat="1" ht="12.75" x14ac:dyDescent="0.2">
      <c r="R38881" s="1288"/>
    </row>
    <row r="38882" spans="18:18" s="2" customFormat="1" ht="12.75" x14ac:dyDescent="0.2">
      <c r="R38882" s="1288"/>
    </row>
    <row r="38883" spans="18:18" s="2" customFormat="1" ht="12.75" x14ac:dyDescent="0.2">
      <c r="R38883" s="1288"/>
    </row>
    <row r="38884" spans="18:18" s="2" customFormat="1" ht="12.75" x14ac:dyDescent="0.2">
      <c r="R38884" s="1288"/>
    </row>
    <row r="38885" spans="18:18" s="2" customFormat="1" ht="12.75" x14ac:dyDescent="0.2">
      <c r="R38885" s="1288"/>
    </row>
    <row r="38886" spans="18:18" s="2" customFormat="1" ht="12.75" x14ac:dyDescent="0.2">
      <c r="R38886" s="1288"/>
    </row>
    <row r="38887" spans="18:18" s="2" customFormat="1" ht="12.75" x14ac:dyDescent="0.2">
      <c r="R38887" s="1288"/>
    </row>
    <row r="38888" spans="18:18" s="2" customFormat="1" ht="12.75" x14ac:dyDescent="0.2">
      <c r="R38888" s="1288"/>
    </row>
    <row r="38889" spans="18:18" s="2" customFormat="1" ht="12.75" x14ac:dyDescent="0.2">
      <c r="R38889" s="1288"/>
    </row>
    <row r="38890" spans="18:18" s="2" customFormat="1" ht="12.75" x14ac:dyDescent="0.2">
      <c r="R38890" s="1288"/>
    </row>
    <row r="38891" spans="18:18" s="2" customFormat="1" ht="12.75" x14ac:dyDescent="0.2">
      <c r="R38891" s="1288"/>
    </row>
    <row r="38892" spans="18:18" s="2" customFormat="1" ht="12.75" x14ac:dyDescent="0.2">
      <c r="R38892" s="1288"/>
    </row>
    <row r="38893" spans="18:18" s="2" customFormat="1" ht="12.75" x14ac:dyDescent="0.2">
      <c r="R38893" s="1288"/>
    </row>
    <row r="38894" spans="18:18" s="2" customFormat="1" ht="12.75" x14ac:dyDescent="0.2">
      <c r="R38894" s="1288"/>
    </row>
    <row r="38895" spans="18:18" s="2" customFormat="1" ht="12.75" x14ac:dyDescent="0.2">
      <c r="R38895" s="1288"/>
    </row>
    <row r="38896" spans="18:18" s="2" customFormat="1" ht="12.75" x14ac:dyDescent="0.2">
      <c r="R38896" s="1288"/>
    </row>
    <row r="38897" spans="18:18" s="2" customFormat="1" ht="12.75" x14ac:dyDescent="0.2">
      <c r="R38897" s="1288"/>
    </row>
    <row r="38898" spans="18:18" s="2" customFormat="1" ht="12.75" x14ac:dyDescent="0.2">
      <c r="R38898" s="1288"/>
    </row>
    <row r="38899" spans="18:18" s="2" customFormat="1" ht="12.75" x14ac:dyDescent="0.2">
      <c r="R38899" s="1288"/>
    </row>
    <row r="38900" spans="18:18" s="2" customFormat="1" ht="12.75" x14ac:dyDescent="0.2">
      <c r="R38900" s="1288"/>
    </row>
    <row r="38901" spans="18:18" s="2" customFormat="1" ht="12.75" x14ac:dyDescent="0.2">
      <c r="R38901" s="1288"/>
    </row>
    <row r="38902" spans="18:18" s="2" customFormat="1" ht="12.75" x14ac:dyDescent="0.2">
      <c r="R38902" s="1288"/>
    </row>
    <row r="38903" spans="18:18" s="2" customFormat="1" ht="12.75" x14ac:dyDescent="0.2">
      <c r="R38903" s="1288"/>
    </row>
    <row r="38904" spans="18:18" s="2" customFormat="1" ht="12.75" x14ac:dyDescent="0.2">
      <c r="R38904" s="1288"/>
    </row>
    <row r="38905" spans="18:18" s="2" customFormat="1" ht="12.75" x14ac:dyDescent="0.2">
      <c r="R38905" s="1288"/>
    </row>
    <row r="38906" spans="18:18" s="2" customFormat="1" ht="12.75" x14ac:dyDescent="0.2">
      <c r="R38906" s="1288"/>
    </row>
    <row r="38907" spans="18:18" s="2" customFormat="1" ht="12.75" x14ac:dyDescent="0.2">
      <c r="R38907" s="1288"/>
    </row>
    <row r="38908" spans="18:18" s="2" customFormat="1" ht="12.75" x14ac:dyDescent="0.2">
      <c r="R38908" s="1288"/>
    </row>
    <row r="38909" spans="18:18" s="2" customFormat="1" ht="12.75" x14ac:dyDescent="0.2">
      <c r="R38909" s="1288"/>
    </row>
    <row r="38910" spans="18:18" s="2" customFormat="1" ht="12.75" x14ac:dyDescent="0.2">
      <c r="R38910" s="1288"/>
    </row>
    <row r="38911" spans="18:18" s="2" customFormat="1" ht="12.75" x14ac:dyDescent="0.2">
      <c r="R38911" s="1288"/>
    </row>
    <row r="38912" spans="18:18" s="2" customFormat="1" ht="12.75" x14ac:dyDescent="0.2">
      <c r="R38912" s="1288"/>
    </row>
    <row r="38913" spans="18:18" s="2" customFormat="1" ht="12.75" x14ac:dyDescent="0.2">
      <c r="R38913" s="1288"/>
    </row>
    <row r="38914" spans="18:18" s="2" customFormat="1" ht="12.75" x14ac:dyDescent="0.2">
      <c r="R38914" s="1288"/>
    </row>
    <row r="38915" spans="18:18" s="2" customFormat="1" ht="12.75" x14ac:dyDescent="0.2">
      <c r="R38915" s="1288"/>
    </row>
    <row r="38916" spans="18:18" s="2" customFormat="1" ht="12.75" x14ac:dyDescent="0.2">
      <c r="R38916" s="1288"/>
    </row>
    <row r="38917" spans="18:18" s="2" customFormat="1" ht="12.75" x14ac:dyDescent="0.2">
      <c r="R38917" s="1288"/>
    </row>
    <row r="38918" spans="18:18" s="2" customFormat="1" ht="12.75" x14ac:dyDescent="0.2">
      <c r="R38918" s="1288"/>
    </row>
    <row r="38919" spans="18:18" s="2" customFormat="1" ht="12.75" x14ac:dyDescent="0.2">
      <c r="R38919" s="1288"/>
    </row>
    <row r="38920" spans="18:18" s="2" customFormat="1" ht="12.75" x14ac:dyDescent="0.2">
      <c r="R38920" s="1288"/>
    </row>
    <row r="38921" spans="18:18" s="2" customFormat="1" ht="12.75" x14ac:dyDescent="0.2">
      <c r="R38921" s="1288"/>
    </row>
    <row r="38922" spans="18:18" s="2" customFormat="1" ht="12.75" x14ac:dyDescent="0.2">
      <c r="R38922" s="1288"/>
    </row>
    <row r="38923" spans="18:18" s="2" customFormat="1" ht="12.75" x14ac:dyDescent="0.2">
      <c r="R38923" s="1288"/>
    </row>
    <row r="38924" spans="18:18" s="2" customFormat="1" ht="12.75" x14ac:dyDescent="0.2">
      <c r="R38924" s="1288"/>
    </row>
    <row r="38925" spans="18:18" s="2" customFormat="1" ht="12.75" x14ac:dyDescent="0.2">
      <c r="R38925" s="1288"/>
    </row>
    <row r="38926" spans="18:18" s="2" customFormat="1" ht="12.75" x14ac:dyDescent="0.2">
      <c r="R38926" s="1288"/>
    </row>
    <row r="38927" spans="18:18" s="2" customFormat="1" ht="12.75" x14ac:dyDescent="0.2">
      <c r="R38927" s="1288"/>
    </row>
    <row r="38928" spans="18:18" s="2" customFormat="1" ht="12.75" x14ac:dyDescent="0.2">
      <c r="R38928" s="1288"/>
    </row>
    <row r="38929" spans="18:18" s="2" customFormat="1" ht="12.75" x14ac:dyDescent="0.2">
      <c r="R38929" s="1288"/>
    </row>
    <row r="38930" spans="18:18" s="2" customFormat="1" ht="12.75" x14ac:dyDescent="0.2">
      <c r="R38930" s="1288"/>
    </row>
    <row r="38931" spans="18:18" s="2" customFormat="1" ht="12.75" x14ac:dyDescent="0.2">
      <c r="R38931" s="1288"/>
    </row>
    <row r="38932" spans="18:18" s="2" customFormat="1" ht="12.75" x14ac:dyDescent="0.2">
      <c r="R38932" s="1288"/>
    </row>
    <row r="38933" spans="18:18" s="2" customFormat="1" ht="12.75" x14ac:dyDescent="0.2">
      <c r="R38933" s="1288"/>
    </row>
    <row r="38934" spans="18:18" s="2" customFormat="1" ht="12.75" x14ac:dyDescent="0.2">
      <c r="R38934" s="1288"/>
    </row>
    <row r="38935" spans="18:18" s="2" customFormat="1" ht="12.75" x14ac:dyDescent="0.2">
      <c r="R38935" s="1288"/>
    </row>
    <row r="38936" spans="18:18" s="2" customFormat="1" ht="12.75" x14ac:dyDescent="0.2">
      <c r="R38936" s="1288"/>
    </row>
    <row r="38937" spans="18:18" s="2" customFormat="1" ht="12.75" x14ac:dyDescent="0.2">
      <c r="R38937" s="1288"/>
    </row>
    <row r="38938" spans="18:18" s="2" customFormat="1" ht="12.75" x14ac:dyDescent="0.2">
      <c r="R38938" s="1288"/>
    </row>
    <row r="38939" spans="18:18" s="2" customFormat="1" ht="12.75" x14ac:dyDescent="0.2">
      <c r="R38939" s="1288"/>
    </row>
    <row r="38940" spans="18:18" s="2" customFormat="1" ht="12.75" x14ac:dyDescent="0.2">
      <c r="R38940" s="1288"/>
    </row>
    <row r="38941" spans="18:18" s="2" customFormat="1" ht="12.75" x14ac:dyDescent="0.2">
      <c r="R38941" s="1288"/>
    </row>
    <row r="38942" spans="18:18" s="2" customFormat="1" ht="12.75" x14ac:dyDescent="0.2">
      <c r="R38942" s="1288"/>
    </row>
    <row r="38943" spans="18:18" s="2" customFormat="1" ht="12.75" x14ac:dyDescent="0.2">
      <c r="R38943" s="1288"/>
    </row>
    <row r="38944" spans="18:18" s="2" customFormat="1" ht="12.75" x14ac:dyDescent="0.2">
      <c r="R38944" s="1288"/>
    </row>
    <row r="38945" spans="18:18" s="2" customFormat="1" ht="12.75" x14ac:dyDescent="0.2">
      <c r="R38945" s="1288"/>
    </row>
    <row r="38946" spans="18:18" s="2" customFormat="1" ht="12.75" x14ac:dyDescent="0.2">
      <c r="R38946" s="1288"/>
    </row>
    <row r="38947" spans="18:18" s="2" customFormat="1" ht="12.75" x14ac:dyDescent="0.2">
      <c r="R38947" s="1288"/>
    </row>
    <row r="38948" spans="18:18" s="2" customFormat="1" ht="12.75" x14ac:dyDescent="0.2">
      <c r="R38948" s="1288"/>
    </row>
    <row r="38949" spans="18:18" s="2" customFormat="1" ht="12.75" x14ac:dyDescent="0.2">
      <c r="R38949" s="1288"/>
    </row>
    <row r="38950" spans="18:18" s="2" customFormat="1" ht="12.75" x14ac:dyDescent="0.2">
      <c r="R38950" s="1288"/>
    </row>
    <row r="38951" spans="18:18" s="2" customFormat="1" ht="12.75" x14ac:dyDescent="0.2">
      <c r="R38951" s="1288"/>
    </row>
    <row r="38952" spans="18:18" s="2" customFormat="1" ht="12.75" x14ac:dyDescent="0.2">
      <c r="R38952" s="1288"/>
    </row>
    <row r="38953" spans="18:18" s="2" customFormat="1" ht="12.75" x14ac:dyDescent="0.2">
      <c r="R38953" s="1288"/>
    </row>
    <row r="38954" spans="18:18" s="2" customFormat="1" ht="12.75" x14ac:dyDescent="0.2">
      <c r="R38954" s="1288"/>
    </row>
    <row r="38955" spans="18:18" s="2" customFormat="1" ht="12.75" x14ac:dyDescent="0.2">
      <c r="R38955" s="1288"/>
    </row>
    <row r="38956" spans="18:18" s="2" customFormat="1" ht="12.75" x14ac:dyDescent="0.2">
      <c r="R38956" s="1288"/>
    </row>
    <row r="38957" spans="18:18" s="2" customFormat="1" ht="12.75" x14ac:dyDescent="0.2">
      <c r="R38957" s="1288"/>
    </row>
    <row r="38958" spans="18:18" s="2" customFormat="1" ht="12.75" x14ac:dyDescent="0.2">
      <c r="R38958" s="1288"/>
    </row>
    <row r="38959" spans="18:18" s="2" customFormat="1" ht="12.75" x14ac:dyDescent="0.2">
      <c r="R38959" s="1288"/>
    </row>
    <row r="38960" spans="18:18" s="2" customFormat="1" ht="12.75" x14ac:dyDescent="0.2">
      <c r="R38960" s="1288"/>
    </row>
    <row r="38961" spans="18:18" s="2" customFormat="1" ht="12.75" x14ac:dyDescent="0.2">
      <c r="R38961" s="1288"/>
    </row>
    <row r="38962" spans="18:18" s="2" customFormat="1" ht="12.75" x14ac:dyDescent="0.2">
      <c r="R38962" s="1288"/>
    </row>
    <row r="38963" spans="18:18" s="2" customFormat="1" ht="12.75" x14ac:dyDescent="0.2">
      <c r="R38963" s="1288"/>
    </row>
    <row r="38964" spans="18:18" s="2" customFormat="1" ht="12.75" x14ac:dyDescent="0.2">
      <c r="R38964" s="1288"/>
    </row>
    <row r="38965" spans="18:18" s="2" customFormat="1" ht="12.75" x14ac:dyDescent="0.2">
      <c r="R38965" s="1288"/>
    </row>
    <row r="38966" spans="18:18" s="2" customFormat="1" ht="12.75" x14ac:dyDescent="0.2">
      <c r="R38966" s="1288"/>
    </row>
    <row r="38967" spans="18:18" s="2" customFormat="1" ht="12.75" x14ac:dyDescent="0.2">
      <c r="R38967" s="1288"/>
    </row>
    <row r="38968" spans="18:18" s="2" customFormat="1" ht="12.75" x14ac:dyDescent="0.2">
      <c r="R38968" s="1288"/>
    </row>
    <row r="38969" spans="18:18" s="2" customFormat="1" ht="12.75" x14ac:dyDescent="0.2">
      <c r="R38969" s="1288"/>
    </row>
    <row r="38970" spans="18:18" s="2" customFormat="1" ht="12.75" x14ac:dyDescent="0.2">
      <c r="R38970" s="1288"/>
    </row>
    <row r="38971" spans="18:18" s="2" customFormat="1" ht="12.75" x14ac:dyDescent="0.2">
      <c r="R38971" s="1288"/>
    </row>
    <row r="38972" spans="18:18" s="2" customFormat="1" ht="12.75" x14ac:dyDescent="0.2">
      <c r="R38972" s="1288"/>
    </row>
    <row r="38973" spans="18:18" s="2" customFormat="1" ht="12.75" x14ac:dyDescent="0.2">
      <c r="R38973" s="1288"/>
    </row>
    <row r="38974" spans="18:18" s="2" customFormat="1" ht="12.75" x14ac:dyDescent="0.2">
      <c r="R38974" s="1288"/>
    </row>
    <row r="38975" spans="18:18" s="2" customFormat="1" ht="12.75" x14ac:dyDescent="0.2">
      <c r="R38975" s="1288"/>
    </row>
    <row r="38976" spans="18:18" s="2" customFormat="1" ht="12.75" x14ac:dyDescent="0.2">
      <c r="R38976" s="1288"/>
    </row>
    <row r="38977" spans="18:18" s="2" customFormat="1" ht="12.75" x14ac:dyDescent="0.2">
      <c r="R38977" s="1288"/>
    </row>
    <row r="38978" spans="18:18" s="2" customFormat="1" ht="12.75" x14ac:dyDescent="0.2">
      <c r="R38978" s="1288"/>
    </row>
    <row r="38979" spans="18:18" s="2" customFormat="1" ht="12.75" x14ac:dyDescent="0.2">
      <c r="R38979" s="1288"/>
    </row>
    <row r="38980" spans="18:18" s="2" customFormat="1" ht="12.75" x14ac:dyDescent="0.2">
      <c r="R38980" s="1288"/>
    </row>
    <row r="38981" spans="18:18" s="2" customFormat="1" ht="12.75" x14ac:dyDescent="0.2">
      <c r="R38981" s="1288"/>
    </row>
    <row r="38982" spans="18:18" s="2" customFormat="1" ht="12.75" x14ac:dyDescent="0.2">
      <c r="R38982" s="1288"/>
    </row>
    <row r="38983" spans="18:18" s="2" customFormat="1" ht="12.75" x14ac:dyDescent="0.2">
      <c r="R38983" s="1288"/>
    </row>
    <row r="38984" spans="18:18" s="2" customFormat="1" ht="12.75" x14ac:dyDescent="0.2">
      <c r="R38984" s="1288"/>
    </row>
    <row r="38985" spans="18:18" s="2" customFormat="1" ht="12.75" x14ac:dyDescent="0.2">
      <c r="R38985" s="1288"/>
    </row>
    <row r="38986" spans="18:18" s="2" customFormat="1" ht="12.75" x14ac:dyDescent="0.2">
      <c r="R38986" s="1288"/>
    </row>
    <row r="38987" spans="18:18" s="2" customFormat="1" ht="12.75" x14ac:dyDescent="0.2">
      <c r="R38987" s="1288"/>
    </row>
    <row r="38988" spans="18:18" s="2" customFormat="1" ht="12.75" x14ac:dyDescent="0.2">
      <c r="R38988" s="1288"/>
    </row>
    <row r="38989" spans="18:18" s="2" customFormat="1" ht="12.75" x14ac:dyDescent="0.2">
      <c r="R38989" s="1288"/>
    </row>
    <row r="38990" spans="18:18" s="2" customFormat="1" ht="12.75" x14ac:dyDescent="0.2">
      <c r="R38990" s="1288"/>
    </row>
    <row r="38991" spans="18:18" s="2" customFormat="1" ht="12.75" x14ac:dyDescent="0.2">
      <c r="R38991" s="1288"/>
    </row>
    <row r="38992" spans="18:18" s="2" customFormat="1" ht="12.75" x14ac:dyDescent="0.2">
      <c r="R38992" s="1288"/>
    </row>
    <row r="38993" spans="18:18" s="2" customFormat="1" ht="12.75" x14ac:dyDescent="0.2">
      <c r="R38993" s="1288"/>
    </row>
    <row r="38994" spans="18:18" s="2" customFormat="1" ht="12.75" x14ac:dyDescent="0.2">
      <c r="R38994" s="1288"/>
    </row>
    <row r="38995" spans="18:18" s="2" customFormat="1" ht="12.75" x14ac:dyDescent="0.2">
      <c r="R38995" s="1288"/>
    </row>
    <row r="38996" spans="18:18" s="2" customFormat="1" ht="12.75" x14ac:dyDescent="0.2">
      <c r="R38996" s="1288"/>
    </row>
    <row r="38997" spans="18:18" s="2" customFormat="1" ht="12.75" x14ac:dyDescent="0.2">
      <c r="R38997" s="1288"/>
    </row>
    <row r="38998" spans="18:18" s="2" customFormat="1" ht="12.75" x14ac:dyDescent="0.2">
      <c r="R38998" s="1288"/>
    </row>
    <row r="38999" spans="18:18" s="2" customFormat="1" ht="12.75" x14ac:dyDescent="0.2">
      <c r="R38999" s="1288"/>
    </row>
    <row r="39000" spans="18:18" s="2" customFormat="1" ht="12.75" x14ac:dyDescent="0.2">
      <c r="R39000" s="1288"/>
    </row>
    <row r="39001" spans="18:18" s="2" customFormat="1" ht="12.75" x14ac:dyDescent="0.2">
      <c r="R39001" s="1288"/>
    </row>
    <row r="39002" spans="18:18" s="2" customFormat="1" ht="12.75" x14ac:dyDescent="0.2">
      <c r="R39002" s="1288"/>
    </row>
    <row r="39003" spans="18:18" s="2" customFormat="1" ht="12.75" x14ac:dyDescent="0.2">
      <c r="R39003" s="1288"/>
    </row>
    <row r="39004" spans="18:18" s="2" customFormat="1" ht="12.75" x14ac:dyDescent="0.2">
      <c r="R39004" s="1288"/>
    </row>
    <row r="39005" spans="18:18" s="2" customFormat="1" ht="12.75" x14ac:dyDescent="0.2">
      <c r="R39005" s="1288"/>
    </row>
    <row r="39006" spans="18:18" s="2" customFormat="1" ht="12.75" x14ac:dyDescent="0.2">
      <c r="R39006" s="1288"/>
    </row>
    <row r="39007" spans="18:18" s="2" customFormat="1" ht="12.75" x14ac:dyDescent="0.2">
      <c r="R39007" s="1288"/>
    </row>
    <row r="39008" spans="18:18" s="2" customFormat="1" ht="12.75" x14ac:dyDescent="0.2">
      <c r="R39008" s="1288"/>
    </row>
    <row r="39009" spans="18:18" s="2" customFormat="1" ht="12.75" x14ac:dyDescent="0.2">
      <c r="R39009" s="1288"/>
    </row>
    <row r="39010" spans="18:18" s="2" customFormat="1" ht="12.75" x14ac:dyDescent="0.2">
      <c r="R39010" s="1288"/>
    </row>
    <row r="39011" spans="18:18" s="2" customFormat="1" ht="12.75" x14ac:dyDescent="0.2">
      <c r="R39011" s="1288"/>
    </row>
    <row r="39012" spans="18:18" s="2" customFormat="1" ht="12.75" x14ac:dyDescent="0.2">
      <c r="R39012" s="1288"/>
    </row>
    <row r="39013" spans="18:18" s="2" customFormat="1" ht="12.75" x14ac:dyDescent="0.2">
      <c r="R39013" s="1288"/>
    </row>
    <row r="39014" spans="18:18" s="2" customFormat="1" ht="12.75" x14ac:dyDescent="0.2">
      <c r="R39014" s="1288"/>
    </row>
    <row r="39015" spans="18:18" s="2" customFormat="1" ht="12.75" x14ac:dyDescent="0.2">
      <c r="R39015" s="1288"/>
    </row>
    <row r="39016" spans="18:18" s="2" customFormat="1" ht="12.75" x14ac:dyDescent="0.2">
      <c r="R39016" s="1288"/>
    </row>
    <row r="39017" spans="18:18" s="2" customFormat="1" ht="12.75" x14ac:dyDescent="0.2">
      <c r="R39017" s="1288"/>
    </row>
    <row r="39018" spans="18:18" s="2" customFormat="1" ht="12.75" x14ac:dyDescent="0.2">
      <c r="R39018" s="1288"/>
    </row>
    <row r="39019" spans="18:18" s="2" customFormat="1" ht="12.75" x14ac:dyDescent="0.2">
      <c r="R39019" s="1288"/>
    </row>
    <row r="39020" spans="18:18" s="2" customFormat="1" ht="12.75" x14ac:dyDescent="0.2">
      <c r="R39020" s="1288"/>
    </row>
    <row r="39021" spans="18:18" s="2" customFormat="1" ht="12.75" x14ac:dyDescent="0.2">
      <c r="R39021" s="1288"/>
    </row>
    <row r="39022" spans="18:18" s="2" customFormat="1" ht="12.75" x14ac:dyDescent="0.2">
      <c r="R39022" s="1288"/>
    </row>
    <row r="39023" spans="18:18" s="2" customFormat="1" ht="12.75" x14ac:dyDescent="0.2">
      <c r="R39023" s="1288"/>
    </row>
    <row r="39024" spans="18:18" s="2" customFormat="1" ht="12.75" x14ac:dyDescent="0.2">
      <c r="R39024" s="1288"/>
    </row>
    <row r="39025" spans="18:18" s="2" customFormat="1" ht="12.75" x14ac:dyDescent="0.2">
      <c r="R39025" s="1288"/>
    </row>
    <row r="39026" spans="18:18" s="2" customFormat="1" ht="12.75" x14ac:dyDescent="0.2">
      <c r="R39026" s="1288"/>
    </row>
    <row r="39027" spans="18:18" s="2" customFormat="1" ht="12.75" x14ac:dyDescent="0.2">
      <c r="R39027" s="1288"/>
    </row>
    <row r="39028" spans="18:18" s="2" customFormat="1" ht="12.75" x14ac:dyDescent="0.2">
      <c r="R39028" s="1288"/>
    </row>
    <row r="39029" spans="18:18" s="2" customFormat="1" ht="12.75" x14ac:dyDescent="0.2">
      <c r="R39029" s="1288"/>
    </row>
    <row r="39030" spans="18:18" s="2" customFormat="1" ht="12.75" x14ac:dyDescent="0.2">
      <c r="R39030" s="1288"/>
    </row>
    <row r="39031" spans="18:18" s="2" customFormat="1" ht="12.75" x14ac:dyDescent="0.2">
      <c r="R39031" s="1288"/>
    </row>
    <row r="39032" spans="18:18" s="2" customFormat="1" ht="12.75" x14ac:dyDescent="0.2">
      <c r="R39032" s="1288"/>
    </row>
    <row r="39033" spans="18:18" s="2" customFormat="1" ht="12.75" x14ac:dyDescent="0.2">
      <c r="R39033" s="1288"/>
    </row>
    <row r="39034" spans="18:18" s="2" customFormat="1" ht="12.75" x14ac:dyDescent="0.2">
      <c r="R39034" s="1288"/>
    </row>
    <row r="39035" spans="18:18" s="2" customFormat="1" ht="12.75" x14ac:dyDescent="0.2">
      <c r="R39035" s="1288"/>
    </row>
    <row r="39036" spans="18:18" s="2" customFormat="1" ht="12.75" x14ac:dyDescent="0.2">
      <c r="R39036" s="1288"/>
    </row>
    <row r="39037" spans="18:18" s="2" customFormat="1" ht="12.75" x14ac:dyDescent="0.2">
      <c r="R39037" s="1288"/>
    </row>
    <row r="39038" spans="18:18" s="2" customFormat="1" ht="12.75" x14ac:dyDescent="0.2">
      <c r="R39038" s="1288"/>
    </row>
    <row r="39039" spans="18:18" s="2" customFormat="1" ht="12.75" x14ac:dyDescent="0.2">
      <c r="R39039" s="1288"/>
    </row>
    <row r="39040" spans="18:18" s="2" customFormat="1" ht="12.75" x14ac:dyDescent="0.2">
      <c r="R39040" s="1288"/>
    </row>
    <row r="39041" spans="18:18" s="2" customFormat="1" ht="12.75" x14ac:dyDescent="0.2">
      <c r="R39041" s="1288"/>
    </row>
    <row r="39042" spans="18:18" s="2" customFormat="1" ht="12.75" x14ac:dyDescent="0.2">
      <c r="R39042" s="1288"/>
    </row>
    <row r="39043" spans="18:18" s="2" customFormat="1" ht="12.75" x14ac:dyDescent="0.2">
      <c r="R39043" s="1288"/>
    </row>
    <row r="39044" spans="18:18" s="2" customFormat="1" ht="12.75" x14ac:dyDescent="0.2">
      <c r="R39044" s="1288"/>
    </row>
    <row r="39045" spans="18:18" s="2" customFormat="1" ht="12.75" x14ac:dyDescent="0.2">
      <c r="R39045" s="1288"/>
    </row>
    <row r="39046" spans="18:18" s="2" customFormat="1" ht="12.75" x14ac:dyDescent="0.2">
      <c r="R39046" s="1288"/>
    </row>
    <row r="39047" spans="18:18" s="2" customFormat="1" ht="12.75" x14ac:dyDescent="0.2">
      <c r="R39047" s="1288"/>
    </row>
    <row r="39048" spans="18:18" s="2" customFormat="1" ht="12.75" x14ac:dyDescent="0.2">
      <c r="R39048" s="1288"/>
    </row>
    <row r="39049" spans="18:18" s="2" customFormat="1" ht="12.75" x14ac:dyDescent="0.2">
      <c r="R39049" s="1288"/>
    </row>
    <row r="39050" spans="18:18" s="2" customFormat="1" ht="12.75" x14ac:dyDescent="0.2">
      <c r="R39050" s="1288"/>
    </row>
    <row r="39051" spans="18:18" s="2" customFormat="1" ht="12.75" x14ac:dyDescent="0.2">
      <c r="R39051" s="1288"/>
    </row>
    <row r="39052" spans="18:18" s="2" customFormat="1" ht="12.75" x14ac:dyDescent="0.2">
      <c r="R39052" s="1288"/>
    </row>
    <row r="39053" spans="18:18" s="2" customFormat="1" ht="12.75" x14ac:dyDescent="0.2">
      <c r="R39053" s="1288"/>
    </row>
    <row r="39054" spans="18:18" s="2" customFormat="1" ht="12.75" x14ac:dyDescent="0.2">
      <c r="R39054" s="1288"/>
    </row>
    <row r="39055" spans="18:18" s="2" customFormat="1" ht="12.75" x14ac:dyDescent="0.2">
      <c r="R39055" s="1288"/>
    </row>
    <row r="39056" spans="18:18" s="2" customFormat="1" ht="12.75" x14ac:dyDescent="0.2">
      <c r="R39056" s="1288"/>
    </row>
    <row r="39057" spans="18:18" s="2" customFormat="1" ht="12.75" x14ac:dyDescent="0.2">
      <c r="R39057" s="1288"/>
    </row>
    <row r="39058" spans="18:18" s="2" customFormat="1" ht="12.75" x14ac:dyDescent="0.2">
      <c r="R39058" s="1288"/>
    </row>
    <row r="39059" spans="18:18" s="2" customFormat="1" ht="12.75" x14ac:dyDescent="0.2">
      <c r="R39059" s="1288"/>
    </row>
    <row r="39060" spans="18:18" s="2" customFormat="1" ht="12.75" x14ac:dyDescent="0.2">
      <c r="R39060" s="1288"/>
    </row>
    <row r="39061" spans="18:18" s="2" customFormat="1" ht="12.75" x14ac:dyDescent="0.2">
      <c r="R39061" s="1288"/>
    </row>
    <row r="39062" spans="18:18" s="2" customFormat="1" ht="12.75" x14ac:dyDescent="0.2">
      <c r="R39062" s="1288"/>
    </row>
    <row r="39063" spans="18:18" s="2" customFormat="1" ht="12.75" x14ac:dyDescent="0.2">
      <c r="R39063" s="1288"/>
    </row>
    <row r="39064" spans="18:18" s="2" customFormat="1" ht="12.75" x14ac:dyDescent="0.2">
      <c r="R39064" s="1288"/>
    </row>
    <row r="39065" spans="18:18" s="2" customFormat="1" ht="12.75" x14ac:dyDescent="0.2">
      <c r="R39065" s="1288"/>
    </row>
    <row r="39066" spans="18:18" s="2" customFormat="1" ht="12.75" x14ac:dyDescent="0.2">
      <c r="R39066" s="1288"/>
    </row>
    <row r="39067" spans="18:18" s="2" customFormat="1" ht="12.75" x14ac:dyDescent="0.2">
      <c r="R39067" s="1288"/>
    </row>
    <row r="39068" spans="18:18" s="2" customFormat="1" ht="12.75" x14ac:dyDescent="0.2">
      <c r="R39068" s="1288"/>
    </row>
    <row r="39069" spans="18:18" s="2" customFormat="1" ht="12.75" x14ac:dyDescent="0.2">
      <c r="R39069" s="1288"/>
    </row>
    <row r="39070" spans="18:18" s="2" customFormat="1" ht="12.75" x14ac:dyDescent="0.2">
      <c r="R39070" s="1288"/>
    </row>
    <row r="39071" spans="18:18" s="2" customFormat="1" ht="12.75" x14ac:dyDescent="0.2">
      <c r="R39071" s="1288"/>
    </row>
    <row r="39072" spans="18:18" s="2" customFormat="1" ht="12.75" x14ac:dyDescent="0.2">
      <c r="R39072" s="1288"/>
    </row>
    <row r="39073" spans="18:18" s="2" customFormat="1" ht="12.75" x14ac:dyDescent="0.2">
      <c r="R39073" s="1288"/>
    </row>
    <row r="39074" spans="18:18" s="2" customFormat="1" ht="12.75" x14ac:dyDescent="0.2">
      <c r="R39074" s="1288"/>
    </row>
    <row r="39075" spans="18:18" s="2" customFormat="1" ht="12.75" x14ac:dyDescent="0.2">
      <c r="R39075" s="1288"/>
    </row>
    <row r="39076" spans="18:18" s="2" customFormat="1" ht="12.75" x14ac:dyDescent="0.2">
      <c r="R39076" s="1288"/>
    </row>
    <row r="39077" spans="18:18" s="2" customFormat="1" ht="12.75" x14ac:dyDescent="0.2">
      <c r="R39077" s="1288"/>
    </row>
    <row r="39078" spans="18:18" s="2" customFormat="1" ht="12.75" x14ac:dyDescent="0.2">
      <c r="R39078" s="1288"/>
    </row>
    <row r="39079" spans="18:18" s="2" customFormat="1" ht="12.75" x14ac:dyDescent="0.2">
      <c r="R39079" s="1288"/>
    </row>
    <row r="39080" spans="18:18" s="2" customFormat="1" ht="12.75" x14ac:dyDescent="0.2">
      <c r="R39080" s="1288"/>
    </row>
    <row r="39081" spans="18:18" s="2" customFormat="1" ht="12.75" x14ac:dyDescent="0.2">
      <c r="R39081" s="1288"/>
    </row>
    <row r="39082" spans="18:18" s="2" customFormat="1" ht="12.75" x14ac:dyDescent="0.2">
      <c r="R39082" s="1288"/>
    </row>
    <row r="39083" spans="18:18" s="2" customFormat="1" ht="12.75" x14ac:dyDescent="0.2">
      <c r="R39083" s="1288"/>
    </row>
    <row r="39084" spans="18:18" s="2" customFormat="1" ht="12.75" x14ac:dyDescent="0.2">
      <c r="R39084" s="1288"/>
    </row>
    <row r="39085" spans="18:18" s="2" customFormat="1" ht="12.75" x14ac:dyDescent="0.2">
      <c r="R39085" s="1288"/>
    </row>
    <row r="39086" spans="18:18" s="2" customFormat="1" ht="12.75" x14ac:dyDescent="0.2">
      <c r="R39086" s="1288"/>
    </row>
    <row r="39087" spans="18:18" s="2" customFormat="1" ht="12.75" x14ac:dyDescent="0.2">
      <c r="R39087" s="1288"/>
    </row>
    <row r="39088" spans="18:18" s="2" customFormat="1" ht="12.75" x14ac:dyDescent="0.2">
      <c r="R39088" s="1288"/>
    </row>
    <row r="39089" spans="18:18" s="2" customFormat="1" ht="12.75" x14ac:dyDescent="0.2">
      <c r="R39089" s="1288"/>
    </row>
    <row r="39090" spans="18:18" s="2" customFormat="1" ht="12.75" x14ac:dyDescent="0.2">
      <c r="R39090" s="1288"/>
    </row>
    <row r="39091" spans="18:18" s="2" customFormat="1" ht="12.75" x14ac:dyDescent="0.2">
      <c r="R39091" s="1288"/>
    </row>
    <row r="39092" spans="18:18" s="2" customFormat="1" ht="12.75" x14ac:dyDescent="0.2">
      <c r="R39092" s="1288"/>
    </row>
    <row r="39093" spans="18:18" s="2" customFormat="1" ht="12.75" x14ac:dyDescent="0.2">
      <c r="R39093" s="1288"/>
    </row>
    <row r="39094" spans="18:18" s="2" customFormat="1" ht="12.75" x14ac:dyDescent="0.2">
      <c r="R39094" s="1288"/>
    </row>
    <row r="39095" spans="18:18" s="2" customFormat="1" ht="12.75" x14ac:dyDescent="0.2">
      <c r="R39095" s="1288"/>
    </row>
    <row r="39096" spans="18:18" s="2" customFormat="1" ht="12.75" x14ac:dyDescent="0.2">
      <c r="R39096" s="1288"/>
    </row>
    <row r="39097" spans="18:18" s="2" customFormat="1" ht="12.75" x14ac:dyDescent="0.2">
      <c r="R39097" s="1288"/>
    </row>
    <row r="39098" spans="18:18" s="2" customFormat="1" ht="12.75" x14ac:dyDescent="0.2">
      <c r="R39098" s="1288"/>
    </row>
    <row r="39099" spans="18:18" s="2" customFormat="1" ht="12.75" x14ac:dyDescent="0.2">
      <c r="R39099" s="1288"/>
    </row>
    <row r="39100" spans="18:18" s="2" customFormat="1" ht="12.75" x14ac:dyDescent="0.2">
      <c r="R39100" s="1288"/>
    </row>
    <row r="39101" spans="18:18" s="2" customFormat="1" ht="12.75" x14ac:dyDescent="0.2">
      <c r="R39101" s="1288"/>
    </row>
    <row r="39102" spans="18:18" s="2" customFormat="1" ht="12.75" x14ac:dyDescent="0.2">
      <c r="R39102" s="1288"/>
    </row>
    <row r="39103" spans="18:18" s="2" customFormat="1" ht="12.75" x14ac:dyDescent="0.2">
      <c r="R39103" s="1288"/>
    </row>
    <row r="39104" spans="18:18" s="2" customFormat="1" ht="12.75" x14ac:dyDescent="0.2">
      <c r="R39104" s="1288"/>
    </row>
    <row r="39105" spans="18:18" s="2" customFormat="1" ht="12.75" x14ac:dyDescent="0.2">
      <c r="R39105" s="1288"/>
    </row>
    <row r="39106" spans="18:18" s="2" customFormat="1" ht="12.75" x14ac:dyDescent="0.2">
      <c r="R39106" s="1288"/>
    </row>
    <row r="39107" spans="18:18" s="2" customFormat="1" ht="12.75" x14ac:dyDescent="0.2">
      <c r="R39107" s="1288"/>
    </row>
    <row r="39108" spans="18:18" s="2" customFormat="1" ht="12.75" x14ac:dyDescent="0.2">
      <c r="R39108" s="1288"/>
    </row>
    <row r="39109" spans="18:18" s="2" customFormat="1" ht="12.75" x14ac:dyDescent="0.2">
      <c r="R39109" s="1288"/>
    </row>
    <row r="39110" spans="18:18" s="2" customFormat="1" ht="12.75" x14ac:dyDescent="0.2">
      <c r="R39110" s="1288"/>
    </row>
    <row r="39111" spans="18:18" s="2" customFormat="1" ht="12.75" x14ac:dyDescent="0.2">
      <c r="R39111" s="1288"/>
    </row>
    <row r="39112" spans="18:18" s="2" customFormat="1" ht="12.75" x14ac:dyDescent="0.2">
      <c r="R39112" s="1288"/>
    </row>
    <row r="39113" spans="18:18" s="2" customFormat="1" ht="12.75" x14ac:dyDescent="0.2">
      <c r="R39113" s="1288"/>
    </row>
    <row r="39114" spans="18:18" s="2" customFormat="1" ht="12.75" x14ac:dyDescent="0.2">
      <c r="R39114" s="1288"/>
    </row>
    <row r="39115" spans="18:18" s="2" customFormat="1" ht="12.75" x14ac:dyDescent="0.2">
      <c r="R39115" s="1288"/>
    </row>
    <row r="39116" spans="18:18" s="2" customFormat="1" ht="12.75" x14ac:dyDescent="0.2">
      <c r="R39116" s="1288"/>
    </row>
    <row r="39117" spans="18:18" s="2" customFormat="1" ht="12.75" x14ac:dyDescent="0.2">
      <c r="R39117" s="1288"/>
    </row>
    <row r="39118" spans="18:18" s="2" customFormat="1" ht="12.75" x14ac:dyDescent="0.2">
      <c r="R39118" s="1288"/>
    </row>
    <row r="39119" spans="18:18" s="2" customFormat="1" ht="12.75" x14ac:dyDescent="0.2">
      <c r="R39119" s="1288"/>
    </row>
    <row r="39120" spans="18:18" s="2" customFormat="1" ht="12.75" x14ac:dyDescent="0.2">
      <c r="R39120" s="1288"/>
    </row>
    <row r="39121" spans="18:18" s="2" customFormat="1" ht="12.75" x14ac:dyDescent="0.2">
      <c r="R39121" s="1288"/>
    </row>
    <row r="39122" spans="18:18" s="2" customFormat="1" ht="12.75" x14ac:dyDescent="0.2">
      <c r="R39122" s="1288"/>
    </row>
    <row r="39123" spans="18:18" s="2" customFormat="1" ht="12.75" x14ac:dyDescent="0.2">
      <c r="R39123" s="1288"/>
    </row>
    <row r="39124" spans="18:18" s="2" customFormat="1" ht="12.75" x14ac:dyDescent="0.2">
      <c r="R39124" s="1288"/>
    </row>
    <row r="39125" spans="18:18" s="2" customFormat="1" ht="12.75" x14ac:dyDescent="0.2">
      <c r="R39125" s="1288"/>
    </row>
    <row r="39126" spans="18:18" s="2" customFormat="1" ht="12.75" x14ac:dyDescent="0.2">
      <c r="R39126" s="1288"/>
    </row>
    <row r="39127" spans="18:18" s="2" customFormat="1" ht="12.75" x14ac:dyDescent="0.2">
      <c r="R39127" s="1288"/>
    </row>
    <row r="39128" spans="18:18" s="2" customFormat="1" ht="12.75" x14ac:dyDescent="0.2">
      <c r="R39128" s="1288"/>
    </row>
    <row r="39129" spans="18:18" s="2" customFormat="1" ht="12.75" x14ac:dyDescent="0.2">
      <c r="R39129" s="1288"/>
    </row>
    <row r="39130" spans="18:18" s="2" customFormat="1" ht="12.75" x14ac:dyDescent="0.2">
      <c r="R39130" s="1288"/>
    </row>
    <row r="39131" spans="18:18" s="2" customFormat="1" ht="12.75" x14ac:dyDescent="0.2">
      <c r="R39131" s="1288"/>
    </row>
    <row r="39132" spans="18:18" s="2" customFormat="1" ht="12.75" x14ac:dyDescent="0.2">
      <c r="R39132" s="1288"/>
    </row>
    <row r="39133" spans="18:18" s="2" customFormat="1" ht="12.75" x14ac:dyDescent="0.2">
      <c r="R39133" s="1288"/>
    </row>
    <row r="39134" spans="18:18" s="2" customFormat="1" ht="12.75" x14ac:dyDescent="0.2">
      <c r="R39134" s="1288"/>
    </row>
    <row r="39135" spans="18:18" s="2" customFormat="1" ht="12.75" x14ac:dyDescent="0.2">
      <c r="R39135" s="1288"/>
    </row>
    <row r="39136" spans="18:18" s="2" customFormat="1" ht="12.75" x14ac:dyDescent="0.2">
      <c r="R39136" s="1288"/>
    </row>
    <row r="39137" spans="18:18" s="2" customFormat="1" ht="12.75" x14ac:dyDescent="0.2">
      <c r="R39137" s="1288"/>
    </row>
    <row r="39138" spans="18:18" s="2" customFormat="1" ht="12.75" x14ac:dyDescent="0.2">
      <c r="R39138" s="1288"/>
    </row>
    <row r="39139" spans="18:18" s="2" customFormat="1" ht="12.75" x14ac:dyDescent="0.2">
      <c r="R39139" s="1288"/>
    </row>
    <row r="39140" spans="18:18" s="2" customFormat="1" ht="12.75" x14ac:dyDescent="0.2">
      <c r="R39140" s="1288"/>
    </row>
    <row r="39141" spans="18:18" s="2" customFormat="1" ht="12.75" x14ac:dyDescent="0.2">
      <c r="R39141" s="1288"/>
    </row>
    <row r="39142" spans="18:18" s="2" customFormat="1" ht="12.75" x14ac:dyDescent="0.2">
      <c r="R39142" s="1288"/>
    </row>
    <row r="39143" spans="18:18" s="2" customFormat="1" ht="12.75" x14ac:dyDescent="0.2">
      <c r="R39143" s="1288"/>
    </row>
    <row r="39144" spans="18:18" s="2" customFormat="1" ht="12.75" x14ac:dyDescent="0.2">
      <c r="R39144" s="1288"/>
    </row>
    <row r="39145" spans="18:18" s="2" customFormat="1" ht="12.75" x14ac:dyDescent="0.2">
      <c r="R39145" s="1288"/>
    </row>
    <row r="39146" spans="18:18" s="2" customFormat="1" ht="12.75" x14ac:dyDescent="0.2">
      <c r="R39146" s="1288"/>
    </row>
    <row r="39147" spans="18:18" s="2" customFormat="1" ht="12.75" x14ac:dyDescent="0.2">
      <c r="R39147" s="1288"/>
    </row>
    <row r="39148" spans="18:18" s="2" customFormat="1" ht="12.75" x14ac:dyDescent="0.2">
      <c r="R39148" s="1288"/>
    </row>
    <row r="39149" spans="18:18" s="2" customFormat="1" ht="12.75" x14ac:dyDescent="0.2">
      <c r="R39149" s="1288"/>
    </row>
    <row r="39150" spans="18:18" s="2" customFormat="1" ht="12.75" x14ac:dyDescent="0.2">
      <c r="R39150" s="1288"/>
    </row>
    <row r="39151" spans="18:18" s="2" customFormat="1" ht="12.75" x14ac:dyDescent="0.2">
      <c r="R39151" s="1288"/>
    </row>
    <row r="39152" spans="18:18" s="2" customFormat="1" ht="12.75" x14ac:dyDescent="0.2">
      <c r="R39152" s="1288"/>
    </row>
    <row r="39153" spans="18:18" s="2" customFormat="1" ht="12.75" x14ac:dyDescent="0.2">
      <c r="R39153" s="1288"/>
    </row>
    <row r="39154" spans="18:18" s="2" customFormat="1" ht="12.75" x14ac:dyDescent="0.2">
      <c r="R39154" s="1288"/>
    </row>
    <row r="39155" spans="18:18" s="2" customFormat="1" ht="12.75" x14ac:dyDescent="0.2">
      <c r="R39155" s="1288"/>
    </row>
    <row r="39156" spans="18:18" s="2" customFormat="1" ht="12.75" x14ac:dyDescent="0.2">
      <c r="R39156" s="1288"/>
    </row>
    <row r="39157" spans="18:18" s="2" customFormat="1" ht="12.75" x14ac:dyDescent="0.2">
      <c r="R39157" s="1288"/>
    </row>
    <row r="39158" spans="18:18" s="2" customFormat="1" ht="12.75" x14ac:dyDescent="0.2">
      <c r="R39158" s="1288"/>
    </row>
    <row r="39159" spans="18:18" s="2" customFormat="1" ht="12.75" x14ac:dyDescent="0.2">
      <c r="R39159" s="1288"/>
    </row>
    <row r="39160" spans="18:18" s="2" customFormat="1" ht="12.75" x14ac:dyDescent="0.2">
      <c r="R39160" s="1288"/>
    </row>
    <row r="39161" spans="18:18" s="2" customFormat="1" ht="12.75" x14ac:dyDescent="0.2">
      <c r="R39161" s="1288"/>
    </row>
    <row r="39162" spans="18:18" s="2" customFormat="1" ht="12.75" x14ac:dyDescent="0.2">
      <c r="R39162" s="1288"/>
    </row>
    <row r="39163" spans="18:18" s="2" customFormat="1" ht="12.75" x14ac:dyDescent="0.2">
      <c r="R39163" s="1288"/>
    </row>
    <row r="39164" spans="18:18" s="2" customFormat="1" ht="12.75" x14ac:dyDescent="0.2">
      <c r="R39164" s="1288"/>
    </row>
    <row r="39165" spans="18:18" s="2" customFormat="1" ht="12.75" x14ac:dyDescent="0.2">
      <c r="R39165" s="1288"/>
    </row>
    <row r="39166" spans="18:18" s="2" customFormat="1" ht="12.75" x14ac:dyDescent="0.2">
      <c r="R39166" s="1288"/>
    </row>
    <row r="39167" spans="18:18" s="2" customFormat="1" ht="12.75" x14ac:dyDescent="0.2">
      <c r="R39167" s="1288"/>
    </row>
    <row r="39168" spans="18:18" s="2" customFormat="1" ht="12.75" x14ac:dyDescent="0.2">
      <c r="R39168" s="1288"/>
    </row>
    <row r="39169" spans="18:18" s="2" customFormat="1" ht="12.75" x14ac:dyDescent="0.2">
      <c r="R39169" s="1288"/>
    </row>
    <row r="39170" spans="18:18" s="2" customFormat="1" ht="12.75" x14ac:dyDescent="0.2">
      <c r="R39170" s="1288"/>
    </row>
    <row r="39171" spans="18:18" s="2" customFormat="1" ht="12.75" x14ac:dyDescent="0.2">
      <c r="R39171" s="1288"/>
    </row>
    <row r="39172" spans="18:18" s="2" customFormat="1" ht="12.75" x14ac:dyDescent="0.2">
      <c r="R39172" s="1288"/>
    </row>
    <row r="39173" spans="18:18" s="2" customFormat="1" ht="12.75" x14ac:dyDescent="0.2">
      <c r="R39173" s="1288"/>
    </row>
    <row r="39174" spans="18:18" s="2" customFormat="1" ht="12.75" x14ac:dyDescent="0.2">
      <c r="R39174" s="1288"/>
    </row>
    <row r="39175" spans="18:18" s="2" customFormat="1" ht="12.75" x14ac:dyDescent="0.2">
      <c r="R39175" s="1288"/>
    </row>
    <row r="39176" spans="18:18" s="2" customFormat="1" ht="12.75" x14ac:dyDescent="0.2">
      <c r="R39176" s="1288"/>
    </row>
    <row r="39177" spans="18:18" s="2" customFormat="1" ht="12.75" x14ac:dyDescent="0.2">
      <c r="R39177" s="1288"/>
    </row>
    <row r="39178" spans="18:18" s="2" customFormat="1" ht="12.75" x14ac:dyDescent="0.2">
      <c r="R39178" s="1288"/>
    </row>
    <row r="39179" spans="18:18" s="2" customFormat="1" ht="12.75" x14ac:dyDescent="0.2">
      <c r="R39179" s="1288"/>
    </row>
    <row r="39180" spans="18:18" s="2" customFormat="1" ht="12.75" x14ac:dyDescent="0.2">
      <c r="R39180" s="1288"/>
    </row>
    <row r="39181" spans="18:18" s="2" customFormat="1" ht="12.75" x14ac:dyDescent="0.2">
      <c r="R39181" s="1288"/>
    </row>
    <row r="39182" spans="18:18" s="2" customFormat="1" ht="12.75" x14ac:dyDescent="0.2">
      <c r="R39182" s="1288"/>
    </row>
    <row r="39183" spans="18:18" s="2" customFormat="1" ht="12.75" x14ac:dyDescent="0.2">
      <c r="R39183" s="1288"/>
    </row>
    <row r="39184" spans="18:18" s="2" customFormat="1" ht="12.75" x14ac:dyDescent="0.2">
      <c r="R39184" s="1288"/>
    </row>
    <row r="39185" spans="18:18" s="2" customFormat="1" ht="12.75" x14ac:dyDescent="0.2">
      <c r="R39185" s="1288"/>
    </row>
    <row r="39186" spans="18:18" s="2" customFormat="1" ht="12.75" x14ac:dyDescent="0.2">
      <c r="R39186" s="1288"/>
    </row>
    <row r="39187" spans="18:18" s="2" customFormat="1" ht="12.75" x14ac:dyDescent="0.2">
      <c r="R39187" s="1288"/>
    </row>
    <row r="39188" spans="18:18" s="2" customFormat="1" ht="12.75" x14ac:dyDescent="0.2">
      <c r="R39188" s="1288"/>
    </row>
    <row r="39189" spans="18:18" s="2" customFormat="1" ht="12.75" x14ac:dyDescent="0.2">
      <c r="R39189" s="1288"/>
    </row>
    <row r="39190" spans="18:18" s="2" customFormat="1" ht="12.75" x14ac:dyDescent="0.2">
      <c r="R39190" s="1288"/>
    </row>
    <row r="39191" spans="18:18" s="2" customFormat="1" ht="12.75" x14ac:dyDescent="0.2">
      <c r="R39191" s="1288"/>
    </row>
    <row r="39192" spans="18:18" s="2" customFormat="1" ht="12.75" x14ac:dyDescent="0.2">
      <c r="R39192" s="1288"/>
    </row>
    <row r="39193" spans="18:18" s="2" customFormat="1" ht="12.75" x14ac:dyDescent="0.2">
      <c r="R39193" s="1288"/>
    </row>
    <row r="39194" spans="18:18" s="2" customFormat="1" ht="12.75" x14ac:dyDescent="0.2">
      <c r="R39194" s="1288"/>
    </row>
    <row r="39195" spans="18:18" s="2" customFormat="1" ht="12.75" x14ac:dyDescent="0.2">
      <c r="R39195" s="1288"/>
    </row>
    <row r="39196" spans="18:18" s="2" customFormat="1" ht="12.75" x14ac:dyDescent="0.2">
      <c r="R39196" s="1288"/>
    </row>
    <row r="39197" spans="18:18" s="2" customFormat="1" ht="12.75" x14ac:dyDescent="0.2">
      <c r="R39197" s="1288"/>
    </row>
    <row r="39198" spans="18:18" s="2" customFormat="1" ht="12.75" x14ac:dyDescent="0.2">
      <c r="R39198" s="1288"/>
    </row>
    <row r="39199" spans="18:18" s="2" customFormat="1" ht="12.75" x14ac:dyDescent="0.2">
      <c r="R39199" s="1288"/>
    </row>
    <row r="39200" spans="18:18" s="2" customFormat="1" ht="12.75" x14ac:dyDescent="0.2">
      <c r="R39200" s="1288"/>
    </row>
    <row r="39201" spans="18:18" s="2" customFormat="1" ht="12.75" x14ac:dyDescent="0.2">
      <c r="R39201" s="1288"/>
    </row>
    <row r="39202" spans="18:18" s="2" customFormat="1" ht="12.75" x14ac:dyDescent="0.2">
      <c r="R39202" s="1288"/>
    </row>
    <row r="39203" spans="18:18" s="2" customFormat="1" ht="12.75" x14ac:dyDescent="0.2">
      <c r="R39203" s="1288"/>
    </row>
    <row r="39204" spans="18:18" s="2" customFormat="1" ht="12.75" x14ac:dyDescent="0.2">
      <c r="R39204" s="1288"/>
    </row>
    <row r="39205" spans="18:18" s="2" customFormat="1" ht="12.75" x14ac:dyDescent="0.2">
      <c r="R39205" s="1288"/>
    </row>
    <row r="39206" spans="18:18" s="2" customFormat="1" ht="12.75" x14ac:dyDescent="0.2">
      <c r="R39206" s="1288"/>
    </row>
    <row r="39207" spans="18:18" s="2" customFormat="1" ht="12.75" x14ac:dyDescent="0.2">
      <c r="R39207" s="1288"/>
    </row>
    <row r="39208" spans="18:18" s="2" customFormat="1" ht="12.75" x14ac:dyDescent="0.2">
      <c r="R39208" s="1288"/>
    </row>
    <row r="39209" spans="18:18" s="2" customFormat="1" ht="12.75" x14ac:dyDescent="0.2">
      <c r="R39209" s="1288"/>
    </row>
    <row r="39210" spans="18:18" s="2" customFormat="1" ht="12.75" x14ac:dyDescent="0.2">
      <c r="R39210" s="1288"/>
    </row>
    <row r="39211" spans="18:18" s="2" customFormat="1" ht="12.75" x14ac:dyDescent="0.2">
      <c r="R39211" s="1288"/>
    </row>
    <row r="39212" spans="18:18" s="2" customFormat="1" ht="12.75" x14ac:dyDescent="0.2">
      <c r="R39212" s="1288"/>
    </row>
    <row r="39213" spans="18:18" s="2" customFormat="1" ht="12.75" x14ac:dyDescent="0.2">
      <c r="R39213" s="1288"/>
    </row>
    <row r="39214" spans="18:18" s="2" customFormat="1" ht="12.75" x14ac:dyDescent="0.2">
      <c r="R39214" s="1288"/>
    </row>
    <row r="39215" spans="18:18" s="2" customFormat="1" ht="12.75" x14ac:dyDescent="0.2">
      <c r="R39215" s="1288"/>
    </row>
    <row r="39216" spans="18:18" s="2" customFormat="1" ht="12.75" x14ac:dyDescent="0.2">
      <c r="R39216" s="1288"/>
    </row>
    <row r="39217" spans="18:18" s="2" customFormat="1" ht="12.75" x14ac:dyDescent="0.2">
      <c r="R39217" s="1288"/>
    </row>
    <row r="39218" spans="18:18" s="2" customFormat="1" ht="12.75" x14ac:dyDescent="0.2">
      <c r="R39218" s="1288"/>
    </row>
    <row r="39219" spans="18:18" s="2" customFormat="1" ht="12.75" x14ac:dyDescent="0.2">
      <c r="R39219" s="1288"/>
    </row>
    <row r="39220" spans="18:18" s="2" customFormat="1" ht="12.75" x14ac:dyDescent="0.2">
      <c r="R39220" s="1288"/>
    </row>
    <row r="39221" spans="18:18" s="2" customFormat="1" ht="12.75" x14ac:dyDescent="0.2">
      <c r="R39221" s="1288"/>
    </row>
    <row r="39222" spans="18:18" s="2" customFormat="1" ht="12.75" x14ac:dyDescent="0.2">
      <c r="R39222" s="1288"/>
    </row>
    <row r="39223" spans="18:18" s="2" customFormat="1" ht="12.75" x14ac:dyDescent="0.2">
      <c r="R39223" s="1288"/>
    </row>
    <row r="39224" spans="18:18" s="2" customFormat="1" ht="12.75" x14ac:dyDescent="0.2">
      <c r="R39224" s="1288"/>
    </row>
    <row r="39225" spans="18:18" s="2" customFormat="1" ht="12.75" x14ac:dyDescent="0.2">
      <c r="R39225" s="1288"/>
    </row>
    <row r="39226" spans="18:18" s="2" customFormat="1" ht="12.75" x14ac:dyDescent="0.2">
      <c r="R39226" s="1288"/>
    </row>
    <row r="39227" spans="18:18" s="2" customFormat="1" ht="12.75" x14ac:dyDescent="0.2">
      <c r="R39227" s="1288"/>
    </row>
    <row r="39228" spans="18:18" s="2" customFormat="1" ht="12.75" x14ac:dyDescent="0.2">
      <c r="R39228" s="1288"/>
    </row>
    <row r="39229" spans="18:18" s="2" customFormat="1" ht="12.75" x14ac:dyDescent="0.2">
      <c r="R39229" s="1288"/>
    </row>
    <row r="39230" spans="18:18" s="2" customFormat="1" ht="12.75" x14ac:dyDescent="0.2">
      <c r="R39230" s="1288"/>
    </row>
    <row r="39231" spans="18:18" s="2" customFormat="1" ht="12.75" x14ac:dyDescent="0.2">
      <c r="R39231" s="1288"/>
    </row>
    <row r="39232" spans="18:18" s="2" customFormat="1" ht="12.75" x14ac:dyDescent="0.2">
      <c r="R39232" s="1288"/>
    </row>
    <row r="39233" spans="18:18" s="2" customFormat="1" ht="12.75" x14ac:dyDescent="0.2">
      <c r="R39233" s="1288"/>
    </row>
    <row r="39234" spans="18:18" s="2" customFormat="1" ht="12.75" x14ac:dyDescent="0.2">
      <c r="R39234" s="1288"/>
    </row>
    <row r="39235" spans="18:18" s="2" customFormat="1" ht="12.75" x14ac:dyDescent="0.2">
      <c r="R39235" s="1288"/>
    </row>
    <row r="39236" spans="18:18" s="2" customFormat="1" ht="12.75" x14ac:dyDescent="0.2">
      <c r="R39236" s="1288"/>
    </row>
    <row r="39237" spans="18:18" s="2" customFormat="1" ht="12.75" x14ac:dyDescent="0.2">
      <c r="R39237" s="1288"/>
    </row>
    <row r="39238" spans="18:18" s="2" customFormat="1" ht="12.75" x14ac:dyDescent="0.2">
      <c r="R39238" s="1288"/>
    </row>
    <row r="39239" spans="18:18" s="2" customFormat="1" ht="12.75" x14ac:dyDescent="0.2">
      <c r="R39239" s="1288"/>
    </row>
    <row r="39240" spans="18:18" s="2" customFormat="1" ht="12.75" x14ac:dyDescent="0.2">
      <c r="R39240" s="1288"/>
    </row>
    <row r="39241" spans="18:18" s="2" customFormat="1" ht="12.75" x14ac:dyDescent="0.2">
      <c r="R39241" s="1288"/>
    </row>
    <row r="39242" spans="18:18" s="2" customFormat="1" ht="12.75" x14ac:dyDescent="0.2">
      <c r="R39242" s="1288"/>
    </row>
    <row r="39243" spans="18:18" s="2" customFormat="1" ht="12.75" x14ac:dyDescent="0.2">
      <c r="R39243" s="1288"/>
    </row>
    <row r="39244" spans="18:18" s="2" customFormat="1" ht="12.75" x14ac:dyDescent="0.2">
      <c r="R39244" s="1288"/>
    </row>
    <row r="39245" spans="18:18" s="2" customFormat="1" ht="12.75" x14ac:dyDescent="0.2">
      <c r="R39245" s="1288"/>
    </row>
    <row r="39246" spans="18:18" s="2" customFormat="1" ht="12.75" x14ac:dyDescent="0.2">
      <c r="R39246" s="1288"/>
    </row>
    <row r="39247" spans="18:18" s="2" customFormat="1" ht="12.75" x14ac:dyDescent="0.2">
      <c r="R39247" s="1288"/>
    </row>
    <row r="39248" spans="18:18" s="2" customFormat="1" ht="12.75" x14ac:dyDescent="0.2">
      <c r="R39248" s="1288"/>
    </row>
    <row r="39249" spans="18:18" s="2" customFormat="1" ht="12.75" x14ac:dyDescent="0.2">
      <c r="R39249" s="1288"/>
    </row>
    <row r="39250" spans="18:18" s="2" customFormat="1" ht="12.75" x14ac:dyDescent="0.2">
      <c r="R39250" s="1288"/>
    </row>
    <row r="39251" spans="18:18" s="2" customFormat="1" ht="12.75" x14ac:dyDescent="0.2">
      <c r="R39251" s="1288"/>
    </row>
    <row r="39252" spans="18:18" s="2" customFormat="1" ht="12.75" x14ac:dyDescent="0.2">
      <c r="R39252" s="1288"/>
    </row>
    <row r="39253" spans="18:18" s="2" customFormat="1" ht="12.75" x14ac:dyDescent="0.2">
      <c r="R39253" s="1288"/>
    </row>
    <row r="39254" spans="18:18" s="2" customFormat="1" ht="12.75" x14ac:dyDescent="0.2">
      <c r="R39254" s="1288"/>
    </row>
    <row r="39255" spans="18:18" s="2" customFormat="1" ht="12.75" x14ac:dyDescent="0.2">
      <c r="R39255" s="1288"/>
    </row>
    <row r="39256" spans="18:18" s="2" customFormat="1" ht="12.75" x14ac:dyDescent="0.2">
      <c r="R39256" s="1288"/>
    </row>
    <row r="39257" spans="18:18" s="2" customFormat="1" ht="12.75" x14ac:dyDescent="0.2">
      <c r="R39257" s="1288"/>
    </row>
    <row r="39258" spans="18:18" s="2" customFormat="1" ht="12.75" x14ac:dyDescent="0.2">
      <c r="R39258" s="1288"/>
    </row>
    <row r="39259" spans="18:18" s="2" customFormat="1" ht="12.75" x14ac:dyDescent="0.2">
      <c r="R39259" s="1288"/>
    </row>
    <row r="39260" spans="18:18" s="2" customFormat="1" ht="12.75" x14ac:dyDescent="0.2">
      <c r="R39260" s="1288"/>
    </row>
    <row r="39261" spans="18:18" s="2" customFormat="1" ht="12.75" x14ac:dyDescent="0.2">
      <c r="R39261" s="1288"/>
    </row>
    <row r="39262" spans="18:18" s="2" customFormat="1" ht="12.75" x14ac:dyDescent="0.2">
      <c r="R39262" s="1288"/>
    </row>
    <row r="39263" spans="18:18" s="2" customFormat="1" ht="12.75" x14ac:dyDescent="0.2">
      <c r="R39263" s="1288"/>
    </row>
    <row r="39264" spans="18:18" s="2" customFormat="1" ht="12.75" x14ac:dyDescent="0.2">
      <c r="R39264" s="1288"/>
    </row>
    <row r="39265" spans="18:18" s="2" customFormat="1" ht="12.75" x14ac:dyDescent="0.2">
      <c r="R39265" s="1288"/>
    </row>
    <row r="39266" spans="18:18" s="2" customFormat="1" ht="12.75" x14ac:dyDescent="0.2">
      <c r="R39266" s="1288"/>
    </row>
    <row r="39267" spans="18:18" s="2" customFormat="1" ht="12.75" x14ac:dyDescent="0.2">
      <c r="R39267" s="1288"/>
    </row>
    <row r="39268" spans="18:18" s="2" customFormat="1" ht="12.75" x14ac:dyDescent="0.2">
      <c r="R39268" s="1288"/>
    </row>
    <row r="39269" spans="18:18" s="2" customFormat="1" ht="12.75" x14ac:dyDescent="0.2">
      <c r="R39269" s="1288"/>
    </row>
    <row r="39270" spans="18:18" s="2" customFormat="1" ht="12.75" x14ac:dyDescent="0.2">
      <c r="R39270" s="1288"/>
    </row>
    <row r="39271" spans="18:18" s="2" customFormat="1" ht="12.75" x14ac:dyDescent="0.2">
      <c r="R39271" s="1288"/>
    </row>
    <row r="39272" spans="18:18" s="2" customFormat="1" ht="12.75" x14ac:dyDescent="0.2">
      <c r="R39272" s="1288"/>
    </row>
    <row r="39273" spans="18:18" s="2" customFormat="1" ht="12.75" x14ac:dyDescent="0.2">
      <c r="R39273" s="1288"/>
    </row>
    <row r="39274" spans="18:18" s="2" customFormat="1" ht="12.75" x14ac:dyDescent="0.2">
      <c r="R39274" s="1288"/>
    </row>
    <row r="39275" spans="18:18" s="2" customFormat="1" ht="12.75" x14ac:dyDescent="0.2">
      <c r="R39275" s="1288"/>
    </row>
    <row r="39276" spans="18:18" s="2" customFormat="1" ht="12.75" x14ac:dyDescent="0.2">
      <c r="R39276" s="1288"/>
    </row>
    <row r="39277" spans="18:18" s="2" customFormat="1" ht="12.75" x14ac:dyDescent="0.2">
      <c r="R39277" s="1288"/>
    </row>
    <row r="39278" spans="18:18" s="2" customFormat="1" ht="12.75" x14ac:dyDescent="0.2">
      <c r="R39278" s="1288"/>
    </row>
    <row r="39279" spans="18:18" s="2" customFormat="1" ht="12.75" x14ac:dyDescent="0.2">
      <c r="R39279" s="1288"/>
    </row>
    <row r="39280" spans="18:18" s="2" customFormat="1" ht="12.75" x14ac:dyDescent="0.2">
      <c r="R39280" s="1288"/>
    </row>
    <row r="39281" spans="18:18" s="2" customFormat="1" ht="12.75" x14ac:dyDescent="0.2">
      <c r="R39281" s="1288"/>
    </row>
    <row r="39282" spans="18:18" s="2" customFormat="1" ht="12.75" x14ac:dyDescent="0.2">
      <c r="R39282" s="1288"/>
    </row>
    <row r="39283" spans="18:18" s="2" customFormat="1" ht="12.75" x14ac:dyDescent="0.2">
      <c r="R39283" s="1288"/>
    </row>
    <row r="39284" spans="18:18" s="2" customFormat="1" ht="12.75" x14ac:dyDescent="0.2">
      <c r="R39284" s="1288"/>
    </row>
    <row r="39285" spans="18:18" s="2" customFormat="1" ht="12.75" x14ac:dyDescent="0.2">
      <c r="R39285" s="1288"/>
    </row>
    <row r="39286" spans="18:18" s="2" customFormat="1" ht="12.75" x14ac:dyDescent="0.2">
      <c r="R39286" s="1288"/>
    </row>
    <row r="39287" spans="18:18" s="2" customFormat="1" ht="12.75" x14ac:dyDescent="0.2">
      <c r="R39287" s="1288"/>
    </row>
    <row r="39288" spans="18:18" s="2" customFormat="1" ht="12.75" x14ac:dyDescent="0.2">
      <c r="R39288" s="1288"/>
    </row>
    <row r="39289" spans="18:18" s="2" customFormat="1" ht="12.75" x14ac:dyDescent="0.2">
      <c r="R39289" s="1288"/>
    </row>
    <row r="39290" spans="18:18" s="2" customFormat="1" ht="12.75" x14ac:dyDescent="0.2">
      <c r="R39290" s="1288"/>
    </row>
    <row r="39291" spans="18:18" s="2" customFormat="1" ht="12.75" x14ac:dyDescent="0.2">
      <c r="R39291" s="1288"/>
    </row>
    <row r="39292" spans="18:18" s="2" customFormat="1" ht="12.75" x14ac:dyDescent="0.2">
      <c r="R39292" s="1288"/>
    </row>
    <row r="39293" spans="18:18" s="2" customFormat="1" ht="12.75" x14ac:dyDescent="0.2">
      <c r="R39293" s="1288"/>
    </row>
    <row r="39294" spans="18:18" s="2" customFormat="1" ht="12.75" x14ac:dyDescent="0.2">
      <c r="R39294" s="1288"/>
    </row>
    <row r="39295" spans="18:18" s="2" customFormat="1" ht="12.75" x14ac:dyDescent="0.2">
      <c r="R39295" s="1288"/>
    </row>
    <row r="39296" spans="18:18" s="2" customFormat="1" ht="12.75" x14ac:dyDescent="0.2">
      <c r="R39296" s="1288"/>
    </row>
    <row r="39297" spans="18:18" s="2" customFormat="1" ht="12.75" x14ac:dyDescent="0.2">
      <c r="R39297" s="1288"/>
    </row>
    <row r="39298" spans="18:18" s="2" customFormat="1" ht="12.75" x14ac:dyDescent="0.2">
      <c r="R39298" s="1288"/>
    </row>
    <row r="39299" spans="18:18" s="2" customFormat="1" ht="12.75" x14ac:dyDescent="0.2">
      <c r="R39299" s="1288"/>
    </row>
    <row r="39300" spans="18:18" s="2" customFormat="1" ht="12.75" x14ac:dyDescent="0.2">
      <c r="R39300" s="1288"/>
    </row>
    <row r="39301" spans="18:18" s="2" customFormat="1" ht="12.75" x14ac:dyDescent="0.2">
      <c r="R39301" s="1288"/>
    </row>
    <row r="39302" spans="18:18" s="2" customFormat="1" ht="12.75" x14ac:dyDescent="0.2">
      <c r="R39302" s="1288"/>
    </row>
    <row r="39303" spans="18:18" s="2" customFormat="1" ht="12.75" x14ac:dyDescent="0.2">
      <c r="R39303" s="1288"/>
    </row>
    <row r="39304" spans="18:18" s="2" customFormat="1" ht="12.75" x14ac:dyDescent="0.2">
      <c r="R39304" s="1288"/>
    </row>
    <row r="39305" spans="18:18" s="2" customFormat="1" ht="12.75" x14ac:dyDescent="0.2">
      <c r="R39305" s="1288"/>
    </row>
    <row r="39306" spans="18:18" s="2" customFormat="1" ht="12.75" x14ac:dyDescent="0.2">
      <c r="R39306" s="1288"/>
    </row>
    <row r="39307" spans="18:18" s="2" customFormat="1" ht="12.75" x14ac:dyDescent="0.2">
      <c r="R39307" s="1288"/>
    </row>
    <row r="39308" spans="18:18" s="2" customFormat="1" ht="12.75" x14ac:dyDescent="0.2">
      <c r="R39308" s="1288"/>
    </row>
    <row r="39309" spans="18:18" s="2" customFormat="1" ht="12.75" x14ac:dyDescent="0.2">
      <c r="R39309" s="1288"/>
    </row>
    <row r="39310" spans="18:18" s="2" customFormat="1" ht="12.75" x14ac:dyDescent="0.2">
      <c r="R39310" s="1288"/>
    </row>
    <row r="39311" spans="18:18" s="2" customFormat="1" ht="12.75" x14ac:dyDescent="0.2">
      <c r="R39311" s="1288"/>
    </row>
    <row r="39312" spans="18:18" s="2" customFormat="1" ht="12.75" x14ac:dyDescent="0.2">
      <c r="R39312" s="1288"/>
    </row>
    <row r="39313" spans="18:18" s="2" customFormat="1" ht="12.75" x14ac:dyDescent="0.2">
      <c r="R39313" s="1288"/>
    </row>
    <row r="39314" spans="18:18" s="2" customFormat="1" ht="12.75" x14ac:dyDescent="0.2">
      <c r="R39314" s="1288"/>
    </row>
    <row r="39315" spans="18:18" s="2" customFormat="1" ht="12.75" x14ac:dyDescent="0.2">
      <c r="R39315" s="1288"/>
    </row>
    <row r="39316" spans="18:18" s="2" customFormat="1" ht="12.75" x14ac:dyDescent="0.2">
      <c r="R39316" s="1288"/>
    </row>
    <row r="39317" spans="18:18" s="2" customFormat="1" ht="12.75" x14ac:dyDescent="0.2">
      <c r="R39317" s="1288"/>
    </row>
    <row r="39318" spans="18:18" s="2" customFormat="1" ht="12.75" x14ac:dyDescent="0.2">
      <c r="R39318" s="1288"/>
    </row>
    <row r="39319" spans="18:18" s="2" customFormat="1" ht="12.75" x14ac:dyDescent="0.2">
      <c r="R39319" s="1288"/>
    </row>
    <row r="39320" spans="18:18" s="2" customFormat="1" ht="12.75" x14ac:dyDescent="0.2">
      <c r="R39320" s="1288"/>
    </row>
    <row r="39321" spans="18:18" s="2" customFormat="1" ht="12.75" x14ac:dyDescent="0.2">
      <c r="R39321" s="1288"/>
    </row>
    <row r="39322" spans="18:18" s="2" customFormat="1" ht="12.75" x14ac:dyDescent="0.2">
      <c r="R39322" s="1288"/>
    </row>
    <row r="39323" spans="18:18" s="2" customFormat="1" ht="12.75" x14ac:dyDescent="0.2">
      <c r="R39323" s="1288"/>
    </row>
    <row r="39324" spans="18:18" s="2" customFormat="1" ht="12.75" x14ac:dyDescent="0.2">
      <c r="R39324" s="1288"/>
    </row>
    <row r="39325" spans="18:18" s="2" customFormat="1" ht="12.75" x14ac:dyDescent="0.2">
      <c r="R39325" s="1288"/>
    </row>
    <row r="39326" spans="18:18" s="2" customFormat="1" ht="12.75" x14ac:dyDescent="0.2">
      <c r="R39326" s="1288"/>
    </row>
    <row r="39327" spans="18:18" s="2" customFormat="1" ht="12.75" x14ac:dyDescent="0.2">
      <c r="R39327" s="1288"/>
    </row>
    <row r="39328" spans="18:18" s="2" customFormat="1" ht="12.75" x14ac:dyDescent="0.2">
      <c r="R39328" s="1288"/>
    </row>
    <row r="39329" spans="18:18" s="2" customFormat="1" ht="12.75" x14ac:dyDescent="0.2">
      <c r="R39329" s="1288"/>
    </row>
    <row r="39330" spans="18:18" s="2" customFormat="1" ht="12.75" x14ac:dyDescent="0.2">
      <c r="R39330" s="1288"/>
    </row>
    <row r="39331" spans="18:18" s="2" customFormat="1" ht="12.75" x14ac:dyDescent="0.2">
      <c r="R39331" s="1288"/>
    </row>
    <row r="39332" spans="18:18" s="2" customFormat="1" ht="12.75" x14ac:dyDescent="0.2">
      <c r="R39332" s="1288"/>
    </row>
    <row r="39333" spans="18:18" s="2" customFormat="1" ht="12.75" x14ac:dyDescent="0.2">
      <c r="R39333" s="1288"/>
    </row>
    <row r="39334" spans="18:18" s="2" customFormat="1" ht="12.75" x14ac:dyDescent="0.2">
      <c r="R39334" s="1288"/>
    </row>
    <row r="39335" spans="18:18" s="2" customFormat="1" ht="12.75" x14ac:dyDescent="0.2">
      <c r="R39335" s="1288"/>
    </row>
    <row r="39336" spans="18:18" s="2" customFormat="1" ht="12.75" x14ac:dyDescent="0.2">
      <c r="R39336" s="1288"/>
    </row>
    <row r="39337" spans="18:18" s="2" customFormat="1" ht="12.75" x14ac:dyDescent="0.2">
      <c r="R39337" s="1288"/>
    </row>
    <row r="39338" spans="18:18" s="2" customFormat="1" ht="12.75" x14ac:dyDescent="0.2">
      <c r="R39338" s="1288"/>
    </row>
    <row r="39339" spans="18:18" s="2" customFormat="1" ht="12.75" x14ac:dyDescent="0.2">
      <c r="R39339" s="1288"/>
    </row>
    <row r="39340" spans="18:18" s="2" customFormat="1" ht="12.75" x14ac:dyDescent="0.2">
      <c r="R39340" s="1288"/>
    </row>
    <row r="39341" spans="18:18" s="2" customFormat="1" ht="12.75" x14ac:dyDescent="0.2">
      <c r="R39341" s="1288"/>
    </row>
    <row r="39342" spans="18:18" s="2" customFormat="1" ht="12.75" x14ac:dyDescent="0.2">
      <c r="R39342" s="1288"/>
    </row>
    <row r="39343" spans="18:18" s="2" customFormat="1" ht="12.75" x14ac:dyDescent="0.2">
      <c r="R39343" s="1288"/>
    </row>
    <row r="39344" spans="18:18" s="2" customFormat="1" ht="12.75" x14ac:dyDescent="0.2">
      <c r="R39344" s="1288"/>
    </row>
    <row r="39345" spans="18:18" s="2" customFormat="1" ht="12.75" x14ac:dyDescent="0.2">
      <c r="R39345" s="1288"/>
    </row>
    <row r="39346" spans="18:18" s="2" customFormat="1" ht="12.75" x14ac:dyDescent="0.2">
      <c r="R39346" s="1288"/>
    </row>
    <row r="39347" spans="18:18" s="2" customFormat="1" ht="12.75" x14ac:dyDescent="0.2">
      <c r="R39347" s="1288"/>
    </row>
    <row r="39348" spans="18:18" s="2" customFormat="1" ht="12.75" x14ac:dyDescent="0.2">
      <c r="R39348" s="1288"/>
    </row>
    <row r="39349" spans="18:18" s="2" customFormat="1" ht="12.75" x14ac:dyDescent="0.2">
      <c r="R39349" s="1288"/>
    </row>
    <row r="39350" spans="18:18" s="2" customFormat="1" ht="12.75" x14ac:dyDescent="0.2">
      <c r="R39350" s="1288"/>
    </row>
    <row r="39351" spans="18:18" s="2" customFormat="1" ht="12.75" x14ac:dyDescent="0.2">
      <c r="R39351" s="1288"/>
    </row>
    <row r="39352" spans="18:18" s="2" customFormat="1" ht="12.75" x14ac:dyDescent="0.2">
      <c r="R39352" s="1288"/>
    </row>
    <row r="39353" spans="18:18" s="2" customFormat="1" ht="12.75" x14ac:dyDescent="0.2">
      <c r="R39353" s="1288"/>
    </row>
    <row r="39354" spans="18:18" s="2" customFormat="1" ht="12.75" x14ac:dyDescent="0.2">
      <c r="R39354" s="1288"/>
    </row>
    <row r="39355" spans="18:18" s="2" customFormat="1" ht="12.75" x14ac:dyDescent="0.2">
      <c r="R39355" s="1288"/>
    </row>
    <row r="39356" spans="18:18" s="2" customFormat="1" ht="12.75" x14ac:dyDescent="0.2">
      <c r="R39356" s="1288"/>
    </row>
    <row r="39357" spans="18:18" s="2" customFormat="1" ht="12.75" x14ac:dyDescent="0.2">
      <c r="R39357" s="1288"/>
    </row>
    <row r="39358" spans="18:18" s="2" customFormat="1" ht="12.75" x14ac:dyDescent="0.2">
      <c r="R39358" s="1288"/>
    </row>
    <row r="39359" spans="18:18" s="2" customFormat="1" ht="12.75" x14ac:dyDescent="0.2">
      <c r="R39359" s="1288"/>
    </row>
    <row r="39360" spans="18:18" s="2" customFormat="1" ht="12.75" x14ac:dyDescent="0.2">
      <c r="R39360" s="1288"/>
    </row>
    <row r="39361" spans="18:18" s="2" customFormat="1" ht="12.75" x14ac:dyDescent="0.2">
      <c r="R39361" s="1288"/>
    </row>
    <row r="39362" spans="18:18" s="2" customFormat="1" ht="12.75" x14ac:dyDescent="0.2">
      <c r="R39362" s="1288"/>
    </row>
    <row r="39363" spans="18:18" s="2" customFormat="1" ht="12.75" x14ac:dyDescent="0.2">
      <c r="R39363" s="1288"/>
    </row>
    <row r="39364" spans="18:18" s="2" customFormat="1" ht="12.75" x14ac:dyDescent="0.2">
      <c r="R39364" s="1288"/>
    </row>
    <row r="39365" spans="18:18" s="2" customFormat="1" ht="12.75" x14ac:dyDescent="0.2">
      <c r="R39365" s="1288"/>
    </row>
    <row r="39366" spans="18:18" s="2" customFormat="1" ht="12.75" x14ac:dyDescent="0.2">
      <c r="R39366" s="1288"/>
    </row>
    <row r="39367" spans="18:18" s="2" customFormat="1" ht="12.75" x14ac:dyDescent="0.2">
      <c r="R39367" s="1288"/>
    </row>
    <row r="39368" spans="18:18" s="2" customFormat="1" ht="12.75" x14ac:dyDescent="0.2">
      <c r="R39368" s="1288"/>
    </row>
    <row r="39369" spans="18:18" s="2" customFormat="1" ht="12.75" x14ac:dyDescent="0.2">
      <c r="R39369" s="1288"/>
    </row>
    <row r="39370" spans="18:18" s="2" customFormat="1" ht="12.75" x14ac:dyDescent="0.2">
      <c r="R39370" s="1288"/>
    </row>
    <row r="39371" spans="18:18" s="2" customFormat="1" ht="12.75" x14ac:dyDescent="0.2">
      <c r="R39371" s="1288"/>
    </row>
    <row r="39372" spans="18:18" s="2" customFormat="1" ht="12.75" x14ac:dyDescent="0.2">
      <c r="R39372" s="1288"/>
    </row>
    <row r="39373" spans="18:18" s="2" customFormat="1" ht="12.75" x14ac:dyDescent="0.2">
      <c r="R39373" s="1288"/>
    </row>
    <row r="39374" spans="18:18" s="2" customFormat="1" ht="12.75" x14ac:dyDescent="0.2">
      <c r="R39374" s="1288"/>
    </row>
    <row r="39375" spans="18:18" s="2" customFormat="1" ht="12.75" x14ac:dyDescent="0.2">
      <c r="R39375" s="1288"/>
    </row>
    <row r="39376" spans="18:18" s="2" customFormat="1" ht="12.75" x14ac:dyDescent="0.2">
      <c r="R39376" s="1288"/>
    </row>
    <row r="39377" spans="18:18" s="2" customFormat="1" ht="12.75" x14ac:dyDescent="0.2">
      <c r="R39377" s="1288"/>
    </row>
    <row r="39378" spans="18:18" s="2" customFormat="1" ht="12.75" x14ac:dyDescent="0.2">
      <c r="R39378" s="1288"/>
    </row>
    <row r="39379" spans="18:18" s="2" customFormat="1" ht="12.75" x14ac:dyDescent="0.2">
      <c r="R39379" s="1288"/>
    </row>
    <row r="39380" spans="18:18" s="2" customFormat="1" ht="12.75" x14ac:dyDescent="0.2">
      <c r="R39380" s="1288"/>
    </row>
    <row r="39381" spans="18:18" s="2" customFormat="1" ht="12.75" x14ac:dyDescent="0.2">
      <c r="R39381" s="1288"/>
    </row>
    <row r="39382" spans="18:18" s="2" customFormat="1" ht="12.75" x14ac:dyDescent="0.2">
      <c r="R39382" s="1288"/>
    </row>
    <row r="39383" spans="18:18" s="2" customFormat="1" ht="12.75" x14ac:dyDescent="0.2">
      <c r="R39383" s="1288"/>
    </row>
    <row r="39384" spans="18:18" s="2" customFormat="1" ht="12.75" x14ac:dyDescent="0.2">
      <c r="R39384" s="1288"/>
    </row>
    <row r="39385" spans="18:18" s="2" customFormat="1" ht="12.75" x14ac:dyDescent="0.2">
      <c r="R39385" s="1288"/>
    </row>
    <row r="39386" spans="18:18" s="2" customFormat="1" ht="12.75" x14ac:dyDescent="0.2">
      <c r="R39386" s="1288"/>
    </row>
    <row r="39387" spans="18:18" s="2" customFormat="1" ht="12.75" x14ac:dyDescent="0.2">
      <c r="R39387" s="1288"/>
    </row>
    <row r="39388" spans="18:18" s="2" customFormat="1" ht="12.75" x14ac:dyDescent="0.2">
      <c r="R39388" s="1288"/>
    </row>
    <row r="39389" spans="18:18" s="2" customFormat="1" ht="12.75" x14ac:dyDescent="0.2">
      <c r="R39389" s="1288"/>
    </row>
    <row r="39390" spans="18:18" s="2" customFormat="1" ht="12.75" x14ac:dyDescent="0.2">
      <c r="R39390" s="1288"/>
    </row>
    <row r="39391" spans="18:18" s="2" customFormat="1" ht="12.75" x14ac:dyDescent="0.2">
      <c r="R39391" s="1288"/>
    </row>
    <row r="39392" spans="18:18" s="2" customFormat="1" ht="12.75" x14ac:dyDescent="0.2">
      <c r="R39392" s="1288"/>
    </row>
    <row r="39393" spans="18:18" s="2" customFormat="1" ht="12.75" x14ac:dyDescent="0.2">
      <c r="R39393" s="1288"/>
    </row>
    <row r="39394" spans="18:18" s="2" customFormat="1" ht="12.75" x14ac:dyDescent="0.2">
      <c r="R39394" s="1288"/>
    </row>
    <row r="39395" spans="18:18" s="2" customFormat="1" ht="12.75" x14ac:dyDescent="0.2">
      <c r="R39395" s="1288"/>
    </row>
    <row r="39396" spans="18:18" s="2" customFormat="1" ht="12.75" x14ac:dyDescent="0.2">
      <c r="R39396" s="1288"/>
    </row>
    <row r="39397" spans="18:18" s="2" customFormat="1" ht="12.75" x14ac:dyDescent="0.2">
      <c r="R39397" s="1288"/>
    </row>
    <row r="39398" spans="18:18" s="2" customFormat="1" ht="12.75" x14ac:dyDescent="0.2">
      <c r="R39398" s="1288"/>
    </row>
    <row r="39399" spans="18:18" s="2" customFormat="1" ht="12.75" x14ac:dyDescent="0.2">
      <c r="R39399" s="1288"/>
    </row>
    <row r="39400" spans="18:18" s="2" customFormat="1" ht="12.75" x14ac:dyDescent="0.2">
      <c r="R39400" s="1288"/>
    </row>
    <row r="39401" spans="18:18" s="2" customFormat="1" ht="12.75" x14ac:dyDescent="0.2">
      <c r="R39401" s="1288"/>
    </row>
    <row r="39402" spans="18:18" s="2" customFormat="1" ht="12.75" x14ac:dyDescent="0.2">
      <c r="R39402" s="1288"/>
    </row>
    <row r="39403" spans="18:18" s="2" customFormat="1" ht="12.75" x14ac:dyDescent="0.2">
      <c r="R39403" s="1288"/>
    </row>
    <row r="39404" spans="18:18" s="2" customFormat="1" ht="12.75" x14ac:dyDescent="0.2">
      <c r="R39404" s="1288"/>
    </row>
    <row r="39405" spans="18:18" s="2" customFormat="1" ht="12.75" x14ac:dyDescent="0.2">
      <c r="R39405" s="1288"/>
    </row>
    <row r="39406" spans="18:18" s="2" customFormat="1" ht="12.75" x14ac:dyDescent="0.2">
      <c r="R39406" s="1288"/>
    </row>
    <row r="39407" spans="18:18" s="2" customFormat="1" ht="12.75" x14ac:dyDescent="0.2">
      <c r="R39407" s="1288"/>
    </row>
    <row r="39408" spans="18:18" s="2" customFormat="1" ht="12.75" x14ac:dyDescent="0.2">
      <c r="R39408" s="1288"/>
    </row>
    <row r="39409" spans="18:18" s="2" customFormat="1" ht="12.75" x14ac:dyDescent="0.2">
      <c r="R39409" s="1288"/>
    </row>
    <row r="39410" spans="18:18" s="2" customFormat="1" ht="12.75" x14ac:dyDescent="0.2">
      <c r="R39410" s="1288"/>
    </row>
    <row r="39411" spans="18:18" s="2" customFormat="1" ht="12.75" x14ac:dyDescent="0.2">
      <c r="R39411" s="1288"/>
    </row>
    <row r="39412" spans="18:18" s="2" customFormat="1" ht="12.75" x14ac:dyDescent="0.2">
      <c r="R39412" s="1288"/>
    </row>
    <row r="39413" spans="18:18" s="2" customFormat="1" ht="12.75" x14ac:dyDescent="0.2">
      <c r="R39413" s="1288"/>
    </row>
    <row r="39414" spans="18:18" s="2" customFormat="1" ht="12.75" x14ac:dyDescent="0.2">
      <c r="R39414" s="1288"/>
    </row>
    <row r="39415" spans="18:18" s="2" customFormat="1" ht="12.75" x14ac:dyDescent="0.2">
      <c r="R39415" s="1288"/>
    </row>
    <row r="39416" spans="18:18" s="2" customFormat="1" ht="12.75" x14ac:dyDescent="0.2">
      <c r="R39416" s="1288"/>
    </row>
    <row r="39417" spans="18:18" s="2" customFormat="1" ht="12.75" x14ac:dyDescent="0.2">
      <c r="R39417" s="1288"/>
    </row>
    <row r="39418" spans="18:18" s="2" customFormat="1" ht="12.75" x14ac:dyDescent="0.2">
      <c r="R39418" s="1288"/>
    </row>
    <row r="39419" spans="18:18" s="2" customFormat="1" ht="12.75" x14ac:dyDescent="0.2">
      <c r="R39419" s="1288"/>
    </row>
    <row r="39420" spans="18:18" s="2" customFormat="1" ht="12.75" x14ac:dyDescent="0.2">
      <c r="R39420" s="1288"/>
    </row>
    <row r="39421" spans="18:18" s="2" customFormat="1" ht="12.75" x14ac:dyDescent="0.2">
      <c r="R39421" s="1288"/>
    </row>
    <row r="39422" spans="18:18" s="2" customFormat="1" ht="12.75" x14ac:dyDescent="0.2">
      <c r="R39422" s="1288"/>
    </row>
    <row r="39423" spans="18:18" s="2" customFormat="1" ht="12.75" x14ac:dyDescent="0.2">
      <c r="R39423" s="1288"/>
    </row>
    <row r="39424" spans="18:18" s="2" customFormat="1" ht="12.75" x14ac:dyDescent="0.2">
      <c r="R39424" s="1288"/>
    </row>
    <row r="39425" spans="18:18" s="2" customFormat="1" ht="12.75" x14ac:dyDescent="0.2">
      <c r="R39425" s="1288"/>
    </row>
    <row r="39426" spans="18:18" s="2" customFormat="1" ht="12.75" x14ac:dyDescent="0.2">
      <c r="R39426" s="1288"/>
    </row>
    <row r="39427" spans="18:18" s="2" customFormat="1" ht="12.75" x14ac:dyDescent="0.2">
      <c r="R39427" s="1288"/>
    </row>
    <row r="39428" spans="18:18" s="2" customFormat="1" ht="12.75" x14ac:dyDescent="0.2">
      <c r="R39428" s="1288"/>
    </row>
    <row r="39429" spans="18:18" s="2" customFormat="1" ht="12.75" x14ac:dyDescent="0.2">
      <c r="R39429" s="1288"/>
    </row>
    <row r="39430" spans="18:18" s="2" customFormat="1" ht="12.75" x14ac:dyDescent="0.2">
      <c r="R39430" s="1288"/>
    </row>
    <row r="39431" spans="18:18" s="2" customFormat="1" ht="12.75" x14ac:dyDescent="0.2">
      <c r="R39431" s="1288"/>
    </row>
    <row r="39432" spans="18:18" s="2" customFormat="1" ht="12.75" x14ac:dyDescent="0.2">
      <c r="R39432" s="1288"/>
    </row>
    <row r="39433" spans="18:18" s="2" customFormat="1" ht="12.75" x14ac:dyDescent="0.2">
      <c r="R39433" s="1288"/>
    </row>
    <row r="39434" spans="18:18" s="2" customFormat="1" ht="12.75" x14ac:dyDescent="0.2">
      <c r="R39434" s="1288"/>
    </row>
    <row r="39435" spans="18:18" s="2" customFormat="1" ht="12.75" x14ac:dyDescent="0.2">
      <c r="R39435" s="1288"/>
    </row>
    <row r="39436" spans="18:18" s="2" customFormat="1" ht="12.75" x14ac:dyDescent="0.2">
      <c r="R39436" s="1288"/>
    </row>
    <row r="39437" spans="18:18" s="2" customFormat="1" ht="12.75" x14ac:dyDescent="0.2">
      <c r="R39437" s="1288"/>
    </row>
    <row r="39438" spans="18:18" s="2" customFormat="1" ht="12.75" x14ac:dyDescent="0.2">
      <c r="R39438" s="1288"/>
    </row>
    <row r="39439" spans="18:18" s="2" customFormat="1" ht="12.75" x14ac:dyDescent="0.2">
      <c r="R39439" s="1288"/>
    </row>
    <row r="39440" spans="18:18" s="2" customFormat="1" ht="12.75" x14ac:dyDescent="0.2">
      <c r="R39440" s="1288"/>
    </row>
    <row r="39441" spans="18:18" s="2" customFormat="1" ht="12.75" x14ac:dyDescent="0.2">
      <c r="R39441" s="1288"/>
    </row>
    <row r="39442" spans="18:18" s="2" customFormat="1" ht="12.75" x14ac:dyDescent="0.2">
      <c r="R39442" s="1288"/>
    </row>
    <row r="39443" spans="18:18" s="2" customFormat="1" ht="12.75" x14ac:dyDescent="0.2">
      <c r="R39443" s="1288"/>
    </row>
    <row r="39444" spans="18:18" s="2" customFormat="1" ht="12.75" x14ac:dyDescent="0.2">
      <c r="R39444" s="1288"/>
    </row>
    <row r="39445" spans="18:18" s="2" customFormat="1" ht="12.75" x14ac:dyDescent="0.2">
      <c r="R39445" s="1288"/>
    </row>
    <row r="39446" spans="18:18" s="2" customFormat="1" ht="12.75" x14ac:dyDescent="0.2">
      <c r="R39446" s="1288"/>
    </row>
    <row r="39447" spans="18:18" s="2" customFormat="1" ht="12.75" x14ac:dyDescent="0.2">
      <c r="R39447" s="1288"/>
    </row>
    <row r="39448" spans="18:18" s="2" customFormat="1" ht="12.75" x14ac:dyDescent="0.2">
      <c r="R39448" s="1288"/>
    </row>
    <row r="39449" spans="18:18" s="2" customFormat="1" ht="12.75" x14ac:dyDescent="0.2">
      <c r="R39449" s="1288"/>
    </row>
    <row r="39450" spans="18:18" s="2" customFormat="1" ht="12.75" x14ac:dyDescent="0.2">
      <c r="R39450" s="1288"/>
    </row>
    <row r="39451" spans="18:18" s="2" customFormat="1" ht="12.75" x14ac:dyDescent="0.2">
      <c r="R39451" s="1288"/>
    </row>
    <row r="39452" spans="18:18" s="2" customFormat="1" ht="12.75" x14ac:dyDescent="0.2">
      <c r="R39452" s="1288"/>
    </row>
    <row r="39453" spans="18:18" s="2" customFormat="1" ht="12.75" x14ac:dyDescent="0.2">
      <c r="R39453" s="1288"/>
    </row>
    <row r="39454" spans="18:18" s="2" customFormat="1" ht="12.75" x14ac:dyDescent="0.2">
      <c r="R39454" s="1288"/>
    </row>
    <row r="39455" spans="18:18" s="2" customFormat="1" ht="12.75" x14ac:dyDescent="0.2">
      <c r="R39455" s="1288"/>
    </row>
    <row r="39456" spans="18:18" s="2" customFormat="1" ht="12.75" x14ac:dyDescent="0.2">
      <c r="R39456" s="1288"/>
    </row>
    <row r="39457" spans="18:18" s="2" customFormat="1" ht="12.75" x14ac:dyDescent="0.2">
      <c r="R39457" s="1288"/>
    </row>
    <row r="39458" spans="18:18" s="2" customFormat="1" ht="12.75" x14ac:dyDescent="0.2">
      <c r="R39458" s="1288"/>
    </row>
    <row r="39459" spans="18:18" s="2" customFormat="1" ht="12.75" x14ac:dyDescent="0.2">
      <c r="R39459" s="1288"/>
    </row>
    <row r="39460" spans="18:18" s="2" customFormat="1" ht="12.75" x14ac:dyDescent="0.2">
      <c r="R39460" s="1288"/>
    </row>
    <row r="39461" spans="18:18" s="2" customFormat="1" ht="12.75" x14ac:dyDescent="0.2">
      <c r="R39461" s="1288"/>
    </row>
    <row r="39462" spans="18:18" s="2" customFormat="1" ht="12.75" x14ac:dyDescent="0.2">
      <c r="R39462" s="1288"/>
    </row>
    <row r="39463" spans="18:18" s="2" customFormat="1" ht="12.75" x14ac:dyDescent="0.2">
      <c r="R39463" s="1288"/>
    </row>
    <row r="39464" spans="18:18" s="2" customFormat="1" ht="12.75" x14ac:dyDescent="0.2">
      <c r="R39464" s="1288"/>
    </row>
    <row r="39465" spans="18:18" s="2" customFormat="1" ht="12.75" x14ac:dyDescent="0.2">
      <c r="R39465" s="1288"/>
    </row>
    <row r="39466" spans="18:18" s="2" customFormat="1" ht="12.75" x14ac:dyDescent="0.2">
      <c r="R39466" s="1288"/>
    </row>
    <row r="39467" spans="18:18" s="2" customFormat="1" ht="12.75" x14ac:dyDescent="0.2">
      <c r="R39467" s="1288"/>
    </row>
    <row r="39468" spans="18:18" s="2" customFormat="1" ht="12.75" x14ac:dyDescent="0.2">
      <c r="R39468" s="1288"/>
    </row>
    <row r="39469" spans="18:18" s="2" customFormat="1" ht="12.75" x14ac:dyDescent="0.2">
      <c r="R39469" s="1288"/>
    </row>
    <row r="39470" spans="18:18" s="2" customFormat="1" ht="12.75" x14ac:dyDescent="0.2">
      <c r="R39470" s="1288"/>
    </row>
    <row r="39471" spans="18:18" s="2" customFormat="1" ht="12.75" x14ac:dyDescent="0.2">
      <c r="R39471" s="1288"/>
    </row>
    <row r="39472" spans="18:18" s="2" customFormat="1" ht="12.75" x14ac:dyDescent="0.2">
      <c r="R39472" s="1288"/>
    </row>
    <row r="39473" spans="18:18" s="2" customFormat="1" ht="12.75" x14ac:dyDescent="0.2">
      <c r="R39473" s="1288"/>
    </row>
    <row r="39474" spans="18:18" s="2" customFormat="1" ht="12.75" x14ac:dyDescent="0.2">
      <c r="R39474" s="1288"/>
    </row>
    <row r="39475" spans="18:18" s="2" customFormat="1" ht="12.75" x14ac:dyDescent="0.2">
      <c r="R39475" s="1288"/>
    </row>
    <row r="39476" spans="18:18" s="2" customFormat="1" ht="12.75" x14ac:dyDescent="0.2">
      <c r="R39476" s="1288"/>
    </row>
    <row r="39477" spans="18:18" s="2" customFormat="1" ht="12.75" x14ac:dyDescent="0.2">
      <c r="R39477" s="1288"/>
    </row>
    <row r="39478" spans="18:18" s="2" customFormat="1" ht="12.75" x14ac:dyDescent="0.2">
      <c r="R39478" s="1288"/>
    </row>
    <row r="39479" spans="18:18" s="2" customFormat="1" ht="12.75" x14ac:dyDescent="0.2">
      <c r="R39479" s="1288"/>
    </row>
    <row r="39480" spans="18:18" s="2" customFormat="1" ht="12.75" x14ac:dyDescent="0.2">
      <c r="R39480" s="1288"/>
    </row>
    <row r="39481" spans="18:18" s="2" customFormat="1" ht="12.75" x14ac:dyDescent="0.2">
      <c r="R39481" s="1288"/>
    </row>
    <row r="39482" spans="18:18" s="2" customFormat="1" ht="12.75" x14ac:dyDescent="0.2">
      <c r="R39482" s="1288"/>
    </row>
    <row r="39483" spans="18:18" s="2" customFormat="1" ht="12.75" x14ac:dyDescent="0.2">
      <c r="R39483" s="1288"/>
    </row>
    <row r="39484" spans="18:18" s="2" customFormat="1" ht="12.75" x14ac:dyDescent="0.2">
      <c r="R39484" s="1288"/>
    </row>
    <row r="39485" spans="18:18" s="2" customFormat="1" ht="12.75" x14ac:dyDescent="0.2">
      <c r="R39485" s="1288"/>
    </row>
    <row r="39486" spans="18:18" s="2" customFormat="1" ht="12.75" x14ac:dyDescent="0.2">
      <c r="R39486" s="1288"/>
    </row>
    <row r="39487" spans="18:18" s="2" customFormat="1" ht="12.75" x14ac:dyDescent="0.2">
      <c r="R39487" s="1288"/>
    </row>
    <row r="39488" spans="18:18" s="2" customFormat="1" ht="12.75" x14ac:dyDescent="0.2">
      <c r="R39488" s="1288"/>
    </row>
    <row r="39489" spans="18:18" s="2" customFormat="1" ht="12.75" x14ac:dyDescent="0.2">
      <c r="R39489" s="1288"/>
    </row>
    <row r="39490" spans="18:18" s="2" customFormat="1" ht="12.75" x14ac:dyDescent="0.2">
      <c r="R39490" s="1288"/>
    </row>
    <row r="39491" spans="18:18" s="2" customFormat="1" ht="12.75" x14ac:dyDescent="0.2">
      <c r="R39491" s="1288"/>
    </row>
    <row r="39492" spans="18:18" s="2" customFormat="1" ht="12.75" x14ac:dyDescent="0.2">
      <c r="R39492" s="1288"/>
    </row>
    <row r="39493" spans="18:18" s="2" customFormat="1" ht="12.75" x14ac:dyDescent="0.2">
      <c r="R39493" s="1288"/>
    </row>
    <row r="39494" spans="18:18" s="2" customFormat="1" ht="12.75" x14ac:dyDescent="0.2">
      <c r="R39494" s="1288"/>
    </row>
    <row r="39495" spans="18:18" s="2" customFormat="1" ht="12.75" x14ac:dyDescent="0.2">
      <c r="R39495" s="1288"/>
    </row>
    <row r="39496" spans="18:18" s="2" customFormat="1" ht="12.75" x14ac:dyDescent="0.2">
      <c r="R39496" s="1288"/>
    </row>
    <row r="39497" spans="18:18" s="2" customFormat="1" ht="12.75" x14ac:dyDescent="0.2">
      <c r="R39497" s="1288"/>
    </row>
    <row r="39498" spans="18:18" s="2" customFormat="1" ht="12.75" x14ac:dyDescent="0.2">
      <c r="R39498" s="1288"/>
    </row>
    <row r="39499" spans="18:18" s="2" customFormat="1" ht="12.75" x14ac:dyDescent="0.2">
      <c r="R39499" s="1288"/>
    </row>
    <row r="39500" spans="18:18" s="2" customFormat="1" ht="12.75" x14ac:dyDescent="0.2">
      <c r="R39500" s="1288"/>
    </row>
    <row r="39501" spans="18:18" s="2" customFormat="1" ht="12.75" x14ac:dyDescent="0.2">
      <c r="R39501" s="1288"/>
    </row>
    <row r="39502" spans="18:18" s="2" customFormat="1" ht="12.75" x14ac:dyDescent="0.2">
      <c r="R39502" s="1288"/>
    </row>
    <row r="39503" spans="18:18" s="2" customFormat="1" ht="12.75" x14ac:dyDescent="0.2">
      <c r="R39503" s="1288"/>
    </row>
    <row r="39504" spans="18:18" s="2" customFormat="1" ht="12.75" x14ac:dyDescent="0.2">
      <c r="R39504" s="1288"/>
    </row>
    <row r="39505" spans="18:18" s="2" customFormat="1" ht="12.75" x14ac:dyDescent="0.2">
      <c r="R39505" s="1288"/>
    </row>
    <row r="39506" spans="18:18" s="2" customFormat="1" ht="12.75" x14ac:dyDescent="0.2">
      <c r="R39506" s="1288"/>
    </row>
    <row r="39507" spans="18:18" s="2" customFormat="1" ht="12.75" x14ac:dyDescent="0.2">
      <c r="R39507" s="1288"/>
    </row>
    <row r="39508" spans="18:18" s="2" customFormat="1" ht="12.75" x14ac:dyDescent="0.2">
      <c r="R39508" s="1288"/>
    </row>
    <row r="39509" spans="18:18" s="2" customFormat="1" ht="12.75" x14ac:dyDescent="0.2">
      <c r="R39509" s="1288"/>
    </row>
    <row r="39510" spans="18:18" s="2" customFormat="1" ht="12.75" x14ac:dyDescent="0.2">
      <c r="R39510" s="1288"/>
    </row>
    <row r="39511" spans="18:18" s="2" customFormat="1" ht="12.75" x14ac:dyDescent="0.2">
      <c r="R39511" s="1288"/>
    </row>
    <row r="39512" spans="18:18" s="2" customFormat="1" ht="12.75" x14ac:dyDescent="0.2">
      <c r="R39512" s="1288"/>
    </row>
    <row r="39513" spans="18:18" s="2" customFormat="1" ht="12.75" x14ac:dyDescent="0.2">
      <c r="R39513" s="1288"/>
    </row>
    <row r="39514" spans="18:18" s="2" customFormat="1" ht="12.75" x14ac:dyDescent="0.2">
      <c r="R39514" s="1288"/>
    </row>
    <row r="39515" spans="18:18" s="2" customFormat="1" ht="12.75" x14ac:dyDescent="0.2">
      <c r="R39515" s="1288"/>
    </row>
    <row r="39516" spans="18:18" s="2" customFormat="1" ht="12.75" x14ac:dyDescent="0.2">
      <c r="R39516" s="1288"/>
    </row>
    <row r="39517" spans="18:18" s="2" customFormat="1" ht="12.75" x14ac:dyDescent="0.2">
      <c r="R39517" s="1288"/>
    </row>
    <row r="39518" spans="18:18" s="2" customFormat="1" ht="12.75" x14ac:dyDescent="0.2">
      <c r="R39518" s="1288"/>
    </row>
    <row r="39519" spans="18:18" s="2" customFormat="1" ht="12.75" x14ac:dyDescent="0.2">
      <c r="R39519" s="1288"/>
    </row>
    <row r="39520" spans="18:18" s="2" customFormat="1" ht="12.75" x14ac:dyDescent="0.2">
      <c r="R39520" s="1288"/>
    </row>
    <row r="39521" spans="18:18" s="2" customFormat="1" ht="12.75" x14ac:dyDescent="0.2">
      <c r="R39521" s="1288"/>
    </row>
    <row r="39522" spans="18:18" s="2" customFormat="1" ht="12.75" x14ac:dyDescent="0.2">
      <c r="R39522" s="1288"/>
    </row>
    <row r="39523" spans="18:18" s="2" customFormat="1" ht="12.75" x14ac:dyDescent="0.2">
      <c r="R39523" s="1288"/>
    </row>
    <row r="39524" spans="18:18" s="2" customFormat="1" ht="12.75" x14ac:dyDescent="0.2">
      <c r="R39524" s="1288"/>
    </row>
    <row r="39525" spans="18:18" s="2" customFormat="1" ht="12.75" x14ac:dyDescent="0.2">
      <c r="R39525" s="1288"/>
    </row>
    <row r="39526" spans="18:18" s="2" customFormat="1" ht="12.75" x14ac:dyDescent="0.2">
      <c r="R39526" s="1288"/>
    </row>
    <row r="39527" spans="18:18" s="2" customFormat="1" ht="12.75" x14ac:dyDescent="0.2">
      <c r="R39527" s="1288"/>
    </row>
    <row r="39528" spans="18:18" s="2" customFormat="1" ht="12.75" x14ac:dyDescent="0.2">
      <c r="R39528" s="1288"/>
    </row>
    <row r="39529" spans="18:18" s="2" customFormat="1" ht="12.75" x14ac:dyDescent="0.2">
      <c r="R39529" s="1288"/>
    </row>
    <row r="39530" spans="18:18" s="2" customFormat="1" ht="12.75" x14ac:dyDescent="0.2">
      <c r="R39530" s="1288"/>
    </row>
    <row r="39531" spans="18:18" s="2" customFormat="1" ht="12.75" x14ac:dyDescent="0.2">
      <c r="R39531" s="1288"/>
    </row>
    <row r="39532" spans="18:18" s="2" customFormat="1" ht="12.75" x14ac:dyDescent="0.2">
      <c r="R39532" s="1288"/>
    </row>
    <row r="39533" spans="18:18" s="2" customFormat="1" ht="12.75" x14ac:dyDescent="0.2">
      <c r="R39533" s="1288"/>
    </row>
    <row r="39534" spans="18:18" s="2" customFormat="1" ht="12.75" x14ac:dyDescent="0.2">
      <c r="R39534" s="1288"/>
    </row>
    <row r="39535" spans="18:18" s="2" customFormat="1" ht="12.75" x14ac:dyDescent="0.2">
      <c r="R39535" s="1288"/>
    </row>
    <row r="39536" spans="18:18" s="2" customFormat="1" ht="12.75" x14ac:dyDescent="0.2">
      <c r="R39536" s="1288"/>
    </row>
    <row r="39537" spans="18:18" s="2" customFormat="1" ht="12.75" x14ac:dyDescent="0.2">
      <c r="R39537" s="1288"/>
    </row>
    <row r="39538" spans="18:18" s="2" customFormat="1" ht="12.75" x14ac:dyDescent="0.2">
      <c r="R39538" s="1288"/>
    </row>
    <row r="39539" spans="18:18" s="2" customFormat="1" ht="12.75" x14ac:dyDescent="0.2">
      <c r="R39539" s="1288"/>
    </row>
    <row r="39540" spans="18:18" s="2" customFormat="1" ht="12.75" x14ac:dyDescent="0.2">
      <c r="R39540" s="1288"/>
    </row>
    <row r="39541" spans="18:18" s="2" customFormat="1" ht="12.75" x14ac:dyDescent="0.2">
      <c r="R39541" s="1288"/>
    </row>
    <row r="39542" spans="18:18" s="2" customFormat="1" ht="12.75" x14ac:dyDescent="0.2">
      <c r="R39542" s="1288"/>
    </row>
    <row r="39543" spans="18:18" s="2" customFormat="1" ht="12.75" x14ac:dyDescent="0.2">
      <c r="R39543" s="1288"/>
    </row>
    <row r="39544" spans="18:18" s="2" customFormat="1" ht="12.75" x14ac:dyDescent="0.2">
      <c r="R39544" s="1288"/>
    </row>
    <row r="39545" spans="18:18" s="2" customFormat="1" ht="12.75" x14ac:dyDescent="0.2">
      <c r="R39545" s="1288"/>
    </row>
    <row r="39546" spans="18:18" s="2" customFormat="1" ht="12.75" x14ac:dyDescent="0.2">
      <c r="R39546" s="1288"/>
    </row>
    <row r="39547" spans="18:18" s="2" customFormat="1" ht="12.75" x14ac:dyDescent="0.2">
      <c r="R39547" s="1288"/>
    </row>
    <row r="39548" spans="18:18" s="2" customFormat="1" ht="12.75" x14ac:dyDescent="0.2">
      <c r="R39548" s="1288"/>
    </row>
    <row r="39549" spans="18:18" s="2" customFormat="1" ht="12.75" x14ac:dyDescent="0.2">
      <c r="R39549" s="1288"/>
    </row>
    <row r="39550" spans="18:18" s="2" customFormat="1" ht="12.75" x14ac:dyDescent="0.2">
      <c r="R39550" s="1288"/>
    </row>
    <row r="39551" spans="18:18" s="2" customFormat="1" ht="12.75" x14ac:dyDescent="0.2">
      <c r="R39551" s="1288"/>
    </row>
    <row r="39552" spans="18:18" s="2" customFormat="1" ht="12.75" x14ac:dyDescent="0.2">
      <c r="R39552" s="1288"/>
    </row>
    <row r="39553" spans="18:18" s="2" customFormat="1" ht="12.75" x14ac:dyDescent="0.2">
      <c r="R39553" s="1288"/>
    </row>
    <row r="39554" spans="18:18" s="2" customFormat="1" ht="12.75" x14ac:dyDescent="0.2">
      <c r="R39554" s="1288"/>
    </row>
    <row r="39555" spans="18:18" s="2" customFormat="1" ht="12.75" x14ac:dyDescent="0.2">
      <c r="R39555" s="1288"/>
    </row>
    <row r="39556" spans="18:18" s="2" customFormat="1" ht="12.75" x14ac:dyDescent="0.2">
      <c r="R39556" s="1288"/>
    </row>
    <row r="39557" spans="18:18" s="2" customFormat="1" ht="12.75" x14ac:dyDescent="0.2">
      <c r="R39557" s="1288"/>
    </row>
    <row r="39558" spans="18:18" s="2" customFormat="1" ht="12.75" x14ac:dyDescent="0.2">
      <c r="R39558" s="1288"/>
    </row>
    <row r="39559" spans="18:18" s="2" customFormat="1" ht="12.75" x14ac:dyDescent="0.2">
      <c r="R39559" s="1288"/>
    </row>
    <row r="39560" spans="18:18" s="2" customFormat="1" ht="12.75" x14ac:dyDescent="0.2">
      <c r="R39560" s="1288"/>
    </row>
    <row r="39561" spans="18:18" s="2" customFormat="1" ht="12.75" x14ac:dyDescent="0.2">
      <c r="R39561" s="1288"/>
    </row>
    <row r="39562" spans="18:18" s="2" customFormat="1" ht="12.75" x14ac:dyDescent="0.2">
      <c r="R39562" s="1288"/>
    </row>
    <row r="39563" spans="18:18" s="2" customFormat="1" ht="12.75" x14ac:dyDescent="0.2">
      <c r="R39563" s="1288"/>
    </row>
    <row r="39564" spans="18:18" s="2" customFormat="1" ht="12.75" x14ac:dyDescent="0.2">
      <c r="R39564" s="1288"/>
    </row>
    <row r="39565" spans="18:18" s="2" customFormat="1" ht="12.75" x14ac:dyDescent="0.2">
      <c r="R39565" s="1288"/>
    </row>
    <row r="39566" spans="18:18" s="2" customFormat="1" ht="12.75" x14ac:dyDescent="0.2">
      <c r="R39566" s="1288"/>
    </row>
    <row r="39567" spans="18:18" s="2" customFormat="1" ht="12.75" x14ac:dyDescent="0.2">
      <c r="R39567" s="1288"/>
    </row>
    <row r="39568" spans="18:18" s="2" customFormat="1" ht="12.75" x14ac:dyDescent="0.2">
      <c r="R39568" s="1288"/>
    </row>
    <row r="39569" spans="18:18" s="2" customFormat="1" ht="12.75" x14ac:dyDescent="0.2">
      <c r="R39569" s="1288"/>
    </row>
    <row r="39570" spans="18:18" s="2" customFormat="1" ht="12.75" x14ac:dyDescent="0.2">
      <c r="R39570" s="1288"/>
    </row>
    <row r="39571" spans="18:18" s="2" customFormat="1" ht="12.75" x14ac:dyDescent="0.2">
      <c r="R39571" s="1288"/>
    </row>
    <row r="39572" spans="18:18" s="2" customFormat="1" ht="12.75" x14ac:dyDescent="0.2">
      <c r="R39572" s="1288"/>
    </row>
    <row r="39573" spans="18:18" s="2" customFormat="1" ht="12.75" x14ac:dyDescent="0.2">
      <c r="R39573" s="1288"/>
    </row>
    <row r="39574" spans="18:18" s="2" customFormat="1" ht="12.75" x14ac:dyDescent="0.2">
      <c r="R39574" s="1288"/>
    </row>
    <row r="39575" spans="18:18" s="2" customFormat="1" ht="12.75" x14ac:dyDescent="0.2">
      <c r="R39575" s="1288"/>
    </row>
    <row r="39576" spans="18:18" s="2" customFormat="1" ht="12.75" x14ac:dyDescent="0.2">
      <c r="R39576" s="1288"/>
    </row>
    <row r="39577" spans="18:18" s="2" customFormat="1" ht="12.75" x14ac:dyDescent="0.2">
      <c r="R39577" s="1288"/>
    </row>
    <row r="39578" spans="18:18" s="2" customFormat="1" ht="12.75" x14ac:dyDescent="0.2">
      <c r="R39578" s="1288"/>
    </row>
    <row r="39579" spans="18:18" s="2" customFormat="1" ht="12.75" x14ac:dyDescent="0.2">
      <c r="R39579" s="1288"/>
    </row>
    <row r="39580" spans="18:18" s="2" customFormat="1" ht="12.75" x14ac:dyDescent="0.2">
      <c r="R39580" s="1288"/>
    </row>
    <row r="39581" spans="18:18" s="2" customFormat="1" ht="12.75" x14ac:dyDescent="0.2">
      <c r="R39581" s="1288"/>
    </row>
    <row r="39582" spans="18:18" s="2" customFormat="1" ht="12.75" x14ac:dyDescent="0.2">
      <c r="R39582" s="1288"/>
    </row>
    <row r="39583" spans="18:18" s="2" customFormat="1" ht="12.75" x14ac:dyDescent="0.2">
      <c r="R39583" s="1288"/>
    </row>
    <row r="39584" spans="18:18" s="2" customFormat="1" ht="12.75" x14ac:dyDescent="0.2">
      <c r="R39584" s="1288"/>
    </row>
    <row r="39585" spans="18:18" s="2" customFormat="1" ht="12.75" x14ac:dyDescent="0.2">
      <c r="R39585" s="1288"/>
    </row>
    <row r="39586" spans="18:18" s="2" customFormat="1" ht="12.75" x14ac:dyDescent="0.2">
      <c r="R39586" s="1288"/>
    </row>
    <row r="39587" spans="18:18" s="2" customFormat="1" ht="12.75" x14ac:dyDescent="0.2">
      <c r="R39587" s="1288"/>
    </row>
    <row r="39588" spans="18:18" s="2" customFormat="1" ht="12.75" x14ac:dyDescent="0.2">
      <c r="R39588" s="1288"/>
    </row>
    <row r="39589" spans="18:18" s="2" customFormat="1" ht="12.75" x14ac:dyDescent="0.2">
      <c r="R39589" s="1288"/>
    </row>
    <row r="39590" spans="18:18" s="2" customFormat="1" ht="12.75" x14ac:dyDescent="0.2">
      <c r="R39590" s="1288"/>
    </row>
    <row r="39591" spans="18:18" s="2" customFormat="1" ht="12.75" x14ac:dyDescent="0.2">
      <c r="R39591" s="1288"/>
    </row>
    <row r="39592" spans="18:18" s="2" customFormat="1" ht="12.75" x14ac:dyDescent="0.2">
      <c r="R39592" s="1288"/>
    </row>
    <row r="39593" spans="18:18" s="2" customFormat="1" ht="12.75" x14ac:dyDescent="0.2">
      <c r="R39593" s="1288"/>
    </row>
    <row r="39594" spans="18:18" s="2" customFormat="1" ht="12.75" x14ac:dyDescent="0.2">
      <c r="R39594" s="1288"/>
    </row>
    <row r="39595" spans="18:18" s="2" customFormat="1" ht="12.75" x14ac:dyDescent="0.2">
      <c r="R39595" s="1288"/>
    </row>
    <row r="39596" spans="18:18" s="2" customFormat="1" ht="12.75" x14ac:dyDescent="0.2">
      <c r="R39596" s="1288"/>
    </row>
    <row r="39597" spans="18:18" s="2" customFormat="1" ht="12.75" x14ac:dyDescent="0.2">
      <c r="R39597" s="1288"/>
    </row>
    <row r="39598" spans="18:18" s="2" customFormat="1" ht="12.75" x14ac:dyDescent="0.2">
      <c r="R39598" s="1288"/>
    </row>
    <row r="39599" spans="18:18" s="2" customFormat="1" ht="12.75" x14ac:dyDescent="0.2">
      <c r="R39599" s="1288"/>
    </row>
    <row r="39600" spans="18:18" s="2" customFormat="1" ht="12.75" x14ac:dyDescent="0.2">
      <c r="R39600" s="1288"/>
    </row>
    <row r="39601" spans="18:18" s="2" customFormat="1" ht="12.75" x14ac:dyDescent="0.2">
      <c r="R39601" s="1288"/>
    </row>
    <row r="39602" spans="18:18" s="2" customFormat="1" ht="12.75" x14ac:dyDescent="0.2">
      <c r="R39602" s="1288"/>
    </row>
    <row r="39603" spans="18:18" s="2" customFormat="1" ht="12.75" x14ac:dyDescent="0.2">
      <c r="R39603" s="1288"/>
    </row>
    <row r="39604" spans="18:18" s="2" customFormat="1" ht="12.75" x14ac:dyDescent="0.2">
      <c r="R39604" s="1288"/>
    </row>
    <row r="39605" spans="18:18" s="2" customFormat="1" ht="12.75" x14ac:dyDescent="0.2">
      <c r="R39605" s="1288"/>
    </row>
    <row r="39606" spans="18:18" s="2" customFormat="1" ht="12.75" x14ac:dyDescent="0.2">
      <c r="R39606" s="1288"/>
    </row>
    <row r="39607" spans="18:18" s="2" customFormat="1" ht="12.75" x14ac:dyDescent="0.2">
      <c r="R39607" s="1288"/>
    </row>
    <row r="39608" spans="18:18" s="2" customFormat="1" ht="12.75" x14ac:dyDescent="0.2">
      <c r="R39608" s="1288"/>
    </row>
    <row r="39609" spans="18:18" s="2" customFormat="1" ht="12.75" x14ac:dyDescent="0.2">
      <c r="R39609" s="1288"/>
    </row>
    <row r="39610" spans="18:18" s="2" customFormat="1" ht="12.75" x14ac:dyDescent="0.2">
      <c r="R39610" s="1288"/>
    </row>
    <row r="39611" spans="18:18" s="2" customFormat="1" ht="12.75" x14ac:dyDescent="0.2">
      <c r="R39611" s="1288"/>
    </row>
    <row r="39612" spans="18:18" s="2" customFormat="1" ht="12.75" x14ac:dyDescent="0.2">
      <c r="R39612" s="1288"/>
    </row>
    <row r="39613" spans="18:18" s="2" customFormat="1" ht="12.75" x14ac:dyDescent="0.2">
      <c r="R39613" s="1288"/>
    </row>
    <row r="39614" spans="18:18" s="2" customFormat="1" ht="12.75" x14ac:dyDescent="0.2">
      <c r="R39614" s="1288"/>
    </row>
    <row r="39615" spans="18:18" s="2" customFormat="1" ht="12.75" x14ac:dyDescent="0.2">
      <c r="R39615" s="1288"/>
    </row>
    <row r="39616" spans="18:18" s="2" customFormat="1" ht="12.75" x14ac:dyDescent="0.2">
      <c r="R39616" s="1288"/>
    </row>
    <row r="39617" spans="18:18" s="2" customFormat="1" ht="12.75" x14ac:dyDescent="0.2">
      <c r="R39617" s="1288"/>
    </row>
    <row r="39618" spans="18:18" s="2" customFormat="1" ht="12.75" x14ac:dyDescent="0.2">
      <c r="R39618" s="1288"/>
    </row>
    <row r="39619" spans="18:18" s="2" customFormat="1" ht="12.75" x14ac:dyDescent="0.2">
      <c r="R39619" s="1288"/>
    </row>
    <row r="39620" spans="18:18" s="2" customFormat="1" ht="12.75" x14ac:dyDescent="0.2">
      <c r="R39620" s="1288"/>
    </row>
    <row r="39621" spans="18:18" s="2" customFormat="1" ht="12.75" x14ac:dyDescent="0.2">
      <c r="R39621" s="1288"/>
    </row>
    <row r="39622" spans="18:18" s="2" customFormat="1" ht="12.75" x14ac:dyDescent="0.2">
      <c r="R39622" s="1288"/>
    </row>
    <row r="39623" spans="18:18" s="2" customFormat="1" ht="12.75" x14ac:dyDescent="0.2">
      <c r="R39623" s="1288"/>
    </row>
    <row r="39624" spans="18:18" s="2" customFormat="1" ht="12.75" x14ac:dyDescent="0.2">
      <c r="R39624" s="1288"/>
    </row>
    <row r="39625" spans="18:18" s="2" customFormat="1" ht="12.75" x14ac:dyDescent="0.2">
      <c r="R39625" s="1288"/>
    </row>
    <row r="39626" spans="18:18" s="2" customFormat="1" ht="12.75" x14ac:dyDescent="0.2">
      <c r="R39626" s="1288"/>
    </row>
    <row r="39627" spans="18:18" s="2" customFormat="1" ht="12.75" x14ac:dyDescent="0.2">
      <c r="R39627" s="1288"/>
    </row>
    <row r="39628" spans="18:18" s="2" customFormat="1" ht="12.75" x14ac:dyDescent="0.2">
      <c r="R39628" s="1288"/>
    </row>
    <row r="39629" spans="18:18" s="2" customFormat="1" ht="12.75" x14ac:dyDescent="0.2">
      <c r="R39629" s="1288"/>
    </row>
    <row r="39630" spans="18:18" s="2" customFormat="1" ht="12.75" x14ac:dyDescent="0.2">
      <c r="R39630" s="1288"/>
    </row>
    <row r="39631" spans="18:18" s="2" customFormat="1" ht="12.75" x14ac:dyDescent="0.2">
      <c r="R39631" s="1288"/>
    </row>
    <row r="39632" spans="18:18" s="2" customFormat="1" ht="12.75" x14ac:dyDescent="0.2">
      <c r="R39632" s="1288"/>
    </row>
    <row r="39633" spans="18:18" s="2" customFormat="1" ht="12.75" x14ac:dyDescent="0.2">
      <c r="R39633" s="1288"/>
    </row>
    <row r="39634" spans="18:18" s="2" customFormat="1" ht="12.75" x14ac:dyDescent="0.2">
      <c r="R39634" s="1288"/>
    </row>
    <row r="39635" spans="18:18" s="2" customFormat="1" ht="12.75" x14ac:dyDescent="0.2">
      <c r="R39635" s="1288"/>
    </row>
    <row r="39636" spans="18:18" s="2" customFormat="1" ht="12.75" x14ac:dyDescent="0.2">
      <c r="R39636" s="1288"/>
    </row>
    <row r="39637" spans="18:18" s="2" customFormat="1" ht="12.75" x14ac:dyDescent="0.2">
      <c r="R39637" s="1288"/>
    </row>
    <row r="39638" spans="18:18" s="2" customFormat="1" ht="12.75" x14ac:dyDescent="0.2">
      <c r="R39638" s="1288"/>
    </row>
    <row r="39639" spans="18:18" s="2" customFormat="1" ht="12.75" x14ac:dyDescent="0.2">
      <c r="R39639" s="1288"/>
    </row>
    <row r="39640" spans="18:18" s="2" customFormat="1" ht="12.75" x14ac:dyDescent="0.2">
      <c r="R39640" s="1288"/>
    </row>
    <row r="39641" spans="18:18" s="2" customFormat="1" ht="12.75" x14ac:dyDescent="0.2">
      <c r="R39641" s="1288"/>
    </row>
    <row r="39642" spans="18:18" s="2" customFormat="1" ht="12.75" x14ac:dyDescent="0.2">
      <c r="R39642" s="1288"/>
    </row>
    <row r="39643" spans="18:18" s="2" customFormat="1" ht="12.75" x14ac:dyDescent="0.2">
      <c r="R39643" s="1288"/>
    </row>
    <row r="39644" spans="18:18" s="2" customFormat="1" ht="12.75" x14ac:dyDescent="0.2">
      <c r="R39644" s="1288"/>
    </row>
    <row r="39645" spans="18:18" s="2" customFormat="1" ht="12.75" x14ac:dyDescent="0.2">
      <c r="R39645" s="1288"/>
    </row>
    <row r="39646" spans="18:18" s="2" customFormat="1" ht="12.75" x14ac:dyDescent="0.2">
      <c r="R39646" s="1288"/>
    </row>
    <row r="39647" spans="18:18" s="2" customFormat="1" ht="12.75" x14ac:dyDescent="0.2">
      <c r="R39647" s="1288"/>
    </row>
    <row r="39648" spans="18:18" s="2" customFormat="1" ht="12.75" x14ac:dyDescent="0.2">
      <c r="R39648" s="1288"/>
    </row>
    <row r="39649" spans="18:18" s="2" customFormat="1" ht="12.75" x14ac:dyDescent="0.2">
      <c r="R39649" s="1288"/>
    </row>
    <row r="39650" spans="18:18" s="2" customFormat="1" ht="12.75" x14ac:dyDescent="0.2">
      <c r="R39650" s="1288"/>
    </row>
    <row r="39651" spans="18:18" s="2" customFormat="1" ht="12.75" x14ac:dyDescent="0.2">
      <c r="R39651" s="1288"/>
    </row>
    <row r="39652" spans="18:18" s="2" customFormat="1" ht="12.75" x14ac:dyDescent="0.2">
      <c r="R39652" s="1288"/>
    </row>
    <row r="39653" spans="18:18" s="2" customFormat="1" ht="12.75" x14ac:dyDescent="0.2">
      <c r="R39653" s="1288"/>
    </row>
    <row r="39654" spans="18:18" s="2" customFormat="1" ht="12.75" x14ac:dyDescent="0.2">
      <c r="R39654" s="1288"/>
    </row>
    <row r="39655" spans="18:18" s="2" customFormat="1" ht="12.75" x14ac:dyDescent="0.2">
      <c r="R39655" s="1288"/>
    </row>
    <row r="39656" spans="18:18" s="2" customFormat="1" ht="12.75" x14ac:dyDescent="0.2">
      <c r="R39656" s="1288"/>
    </row>
    <row r="39657" spans="18:18" s="2" customFormat="1" ht="12.75" x14ac:dyDescent="0.2">
      <c r="R39657" s="1288"/>
    </row>
    <row r="39658" spans="18:18" s="2" customFormat="1" ht="12.75" x14ac:dyDescent="0.2">
      <c r="R39658" s="1288"/>
    </row>
    <row r="39659" spans="18:18" s="2" customFormat="1" ht="12.75" x14ac:dyDescent="0.2">
      <c r="R39659" s="1288"/>
    </row>
    <row r="39660" spans="18:18" s="2" customFormat="1" ht="12.75" x14ac:dyDescent="0.2">
      <c r="R39660" s="1288"/>
    </row>
    <row r="39661" spans="18:18" s="2" customFormat="1" ht="12.75" x14ac:dyDescent="0.2">
      <c r="R39661" s="1288"/>
    </row>
    <row r="39662" spans="18:18" s="2" customFormat="1" ht="12.75" x14ac:dyDescent="0.2">
      <c r="R39662" s="1288"/>
    </row>
    <row r="39663" spans="18:18" s="2" customFormat="1" ht="12.75" x14ac:dyDescent="0.2">
      <c r="R39663" s="1288"/>
    </row>
    <row r="39664" spans="18:18" s="2" customFormat="1" ht="12.75" x14ac:dyDescent="0.2">
      <c r="R39664" s="1288"/>
    </row>
    <row r="39665" spans="18:18" s="2" customFormat="1" ht="12.75" x14ac:dyDescent="0.2">
      <c r="R39665" s="1288"/>
    </row>
    <row r="39666" spans="18:18" s="2" customFormat="1" ht="12.75" x14ac:dyDescent="0.2">
      <c r="R39666" s="1288"/>
    </row>
    <row r="39667" spans="18:18" s="2" customFormat="1" ht="12.75" x14ac:dyDescent="0.2">
      <c r="R39667" s="1288"/>
    </row>
    <row r="39668" spans="18:18" s="2" customFormat="1" ht="12.75" x14ac:dyDescent="0.2">
      <c r="R39668" s="1288"/>
    </row>
    <row r="39669" spans="18:18" s="2" customFormat="1" ht="12.75" x14ac:dyDescent="0.2">
      <c r="R39669" s="1288"/>
    </row>
    <row r="39670" spans="18:18" s="2" customFormat="1" ht="12.75" x14ac:dyDescent="0.2">
      <c r="R39670" s="1288"/>
    </row>
    <row r="39671" spans="18:18" s="2" customFormat="1" ht="12.75" x14ac:dyDescent="0.2">
      <c r="R39671" s="1288"/>
    </row>
    <row r="39672" spans="18:18" s="2" customFormat="1" ht="12.75" x14ac:dyDescent="0.2">
      <c r="R39672" s="1288"/>
    </row>
    <row r="39673" spans="18:18" s="2" customFormat="1" ht="12.75" x14ac:dyDescent="0.2">
      <c r="R39673" s="1288"/>
    </row>
    <row r="39674" spans="18:18" s="2" customFormat="1" ht="12.75" x14ac:dyDescent="0.2">
      <c r="R39674" s="1288"/>
    </row>
    <row r="39675" spans="18:18" s="2" customFormat="1" ht="12.75" x14ac:dyDescent="0.2">
      <c r="R39675" s="1288"/>
    </row>
    <row r="39676" spans="18:18" s="2" customFormat="1" ht="12.75" x14ac:dyDescent="0.2">
      <c r="R39676" s="1288"/>
    </row>
    <row r="39677" spans="18:18" s="2" customFormat="1" ht="12.75" x14ac:dyDescent="0.2">
      <c r="R39677" s="1288"/>
    </row>
    <row r="39678" spans="18:18" s="2" customFormat="1" ht="12.75" x14ac:dyDescent="0.2">
      <c r="R39678" s="1288"/>
    </row>
    <row r="39679" spans="18:18" s="2" customFormat="1" ht="12.75" x14ac:dyDescent="0.2">
      <c r="R39679" s="1288"/>
    </row>
    <row r="39680" spans="18:18" s="2" customFormat="1" ht="12.75" x14ac:dyDescent="0.2">
      <c r="R39680" s="1288"/>
    </row>
    <row r="39681" spans="18:18" s="2" customFormat="1" ht="12.75" x14ac:dyDescent="0.2">
      <c r="R39681" s="1288"/>
    </row>
    <row r="39682" spans="18:18" s="2" customFormat="1" ht="12.75" x14ac:dyDescent="0.2">
      <c r="R39682" s="1288"/>
    </row>
    <row r="39683" spans="18:18" s="2" customFormat="1" ht="12.75" x14ac:dyDescent="0.2">
      <c r="R39683" s="1288"/>
    </row>
    <row r="39684" spans="18:18" s="2" customFormat="1" ht="12.75" x14ac:dyDescent="0.2">
      <c r="R39684" s="1288"/>
    </row>
    <row r="39685" spans="18:18" s="2" customFormat="1" ht="12.75" x14ac:dyDescent="0.2">
      <c r="R39685" s="1288"/>
    </row>
    <row r="39686" spans="18:18" s="2" customFormat="1" ht="12.75" x14ac:dyDescent="0.2">
      <c r="R39686" s="1288"/>
    </row>
    <row r="39687" spans="18:18" s="2" customFormat="1" ht="12.75" x14ac:dyDescent="0.2">
      <c r="R39687" s="1288"/>
    </row>
    <row r="39688" spans="18:18" s="2" customFormat="1" ht="12.75" x14ac:dyDescent="0.2">
      <c r="R39688" s="1288"/>
    </row>
    <row r="39689" spans="18:18" s="2" customFormat="1" ht="12.75" x14ac:dyDescent="0.2">
      <c r="R39689" s="1288"/>
    </row>
    <row r="39690" spans="18:18" s="2" customFormat="1" ht="12.75" x14ac:dyDescent="0.2">
      <c r="R39690" s="1288"/>
    </row>
    <row r="39691" spans="18:18" s="2" customFormat="1" ht="12.75" x14ac:dyDescent="0.2">
      <c r="R39691" s="1288"/>
    </row>
    <row r="39692" spans="18:18" s="2" customFormat="1" ht="12.75" x14ac:dyDescent="0.2">
      <c r="R39692" s="1288"/>
    </row>
    <row r="39693" spans="18:18" s="2" customFormat="1" ht="12.75" x14ac:dyDescent="0.2">
      <c r="R39693" s="1288"/>
    </row>
    <row r="39694" spans="18:18" s="2" customFormat="1" ht="12.75" x14ac:dyDescent="0.2">
      <c r="R39694" s="1288"/>
    </row>
    <row r="39695" spans="18:18" s="2" customFormat="1" ht="12.75" x14ac:dyDescent="0.2">
      <c r="R39695" s="1288"/>
    </row>
    <row r="39696" spans="18:18" s="2" customFormat="1" ht="12.75" x14ac:dyDescent="0.2">
      <c r="R39696" s="1288"/>
    </row>
    <row r="39697" spans="18:18" s="2" customFormat="1" ht="12.75" x14ac:dyDescent="0.2">
      <c r="R39697" s="1288"/>
    </row>
    <row r="39698" spans="18:18" s="2" customFormat="1" ht="12.75" x14ac:dyDescent="0.2">
      <c r="R39698" s="1288"/>
    </row>
    <row r="39699" spans="18:18" s="2" customFormat="1" ht="12.75" x14ac:dyDescent="0.2">
      <c r="R39699" s="1288"/>
    </row>
    <row r="39700" spans="18:18" s="2" customFormat="1" ht="12.75" x14ac:dyDescent="0.2">
      <c r="R39700" s="1288"/>
    </row>
    <row r="39701" spans="18:18" s="2" customFormat="1" ht="12.75" x14ac:dyDescent="0.2">
      <c r="R39701" s="1288"/>
    </row>
    <row r="39702" spans="18:18" s="2" customFormat="1" ht="12.75" x14ac:dyDescent="0.2">
      <c r="R39702" s="1288"/>
    </row>
    <row r="39703" spans="18:18" s="2" customFormat="1" ht="12.75" x14ac:dyDescent="0.2">
      <c r="R39703" s="1288"/>
    </row>
    <row r="39704" spans="18:18" s="2" customFormat="1" ht="12.75" x14ac:dyDescent="0.2">
      <c r="R39704" s="1288"/>
    </row>
    <row r="39705" spans="18:18" s="2" customFormat="1" ht="12.75" x14ac:dyDescent="0.2">
      <c r="R39705" s="1288"/>
    </row>
    <row r="39706" spans="18:18" s="2" customFormat="1" ht="12.75" x14ac:dyDescent="0.2">
      <c r="R39706" s="1288"/>
    </row>
    <row r="39707" spans="18:18" s="2" customFormat="1" ht="12.75" x14ac:dyDescent="0.2">
      <c r="R39707" s="1288"/>
    </row>
    <row r="39708" spans="18:18" s="2" customFormat="1" ht="12.75" x14ac:dyDescent="0.2">
      <c r="R39708" s="1288"/>
    </row>
    <row r="39709" spans="18:18" s="2" customFormat="1" ht="12.75" x14ac:dyDescent="0.2">
      <c r="R39709" s="1288"/>
    </row>
    <row r="39710" spans="18:18" s="2" customFormat="1" ht="12.75" x14ac:dyDescent="0.2">
      <c r="R39710" s="1288"/>
    </row>
    <row r="39711" spans="18:18" s="2" customFormat="1" ht="12.75" x14ac:dyDescent="0.2">
      <c r="R39711" s="1288"/>
    </row>
    <row r="39712" spans="18:18" s="2" customFormat="1" ht="12.75" x14ac:dyDescent="0.2">
      <c r="R39712" s="1288"/>
    </row>
    <row r="39713" spans="18:18" s="2" customFormat="1" ht="12.75" x14ac:dyDescent="0.2">
      <c r="R39713" s="1288"/>
    </row>
    <row r="39714" spans="18:18" s="2" customFormat="1" ht="12.75" x14ac:dyDescent="0.2">
      <c r="R39714" s="1288"/>
    </row>
    <row r="39715" spans="18:18" s="2" customFormat="1" ht="12.75" x14ac:dyDescent="0.2">
      <c r="R39715" s="1288"/>
    </row>
    <row r="39716" spans="18:18" s="2" customFormat="1" ht="12.75" x14ac:dyDescent="0.2">
      <c r="R39716" s="1288"/>
    </row>
    <row r="39717" spans="18:18" s="2" customFormat="1" ht="12.75" x14ac:dyDescent="0.2">
      <c r="R39717" s="1288"/>
    </row>
    <row r="39718" spans="18:18" s="2" customFormat="1" ht="12.75" x14ac:dyDescent="0.2">
      <c r="R39718" s="1288"/>
    </row>
    <row r="39719" spans="18:18" s="2" customFormat="1" ht="12.75" x14ac:dyDescent="0.2">
      <c r="R39719" s="1288"/>
    </row>
    <row r="39720" spans="18:18" s="2" customFormat="1" ht="12.75" x14ac:dyDescent="0.2">
      <c r="R39720" s="1288"/>
    </row>
    <row r="39721" spans="18:18" s="2" customFormat="1" ht="12.75" x14ac:dyDescent="0.2">
      <c r="R39721" s="1288"/>
    </row>
    <row r="39722" spans="18:18" s="2" customFormat="1" ht="12.75" x14ac:dyDescent="0.2">
      <c r="R39722" s="1288"/>
    </row>
    <row r="39723" spans="18:18" s="2" customFormat="1" ht="12.75" x14ac:dyDescent="0.2">
      <c r="R39723" s="1288"/>
    </row>
    <row r="39724" spans="18:18" s="2" customFormat="1" ht="12.75" x14ac:dyDescent="0.2">
      <c r="R39724" s="1288"/>
    </row>
    <row r="39725" spans="18:18" s="2" customFormat="1" ht="12.75" x14ac:dyDescent="0.2">
      <c r="R39725" s="1288"/>
    </row>
    <row r="39726" spans="18:18" s="2" customFormat="1" ht="12.75" x14ac:dyDescent="0.2">
      <c r="R39726" s="1288"/>
    </row>
    <row r="39727" spans="18:18" s="2" customFormat="1" ht="12.75" x14ac:dyDescent="0.2">
      <c r="R39727" s="1288"/>
    </row>
    <row r="39728" spans="18:18" s="2" customFormat="1" ht="12.75" x14ac:dyDescent="0.2">
      <c r="R39728" s="1288"/>
    </row>
    <row r="39729" spans="18:18" s="2" customFormat="1" ht="12.75" x14ac:dyDescent="0.2">
      <c r="R39729" s="1288"/>
    </row>
    <row r="39730" spans="18:18" s="2" customFormat="1" ht="12.75" x14ac:dyDescent="0.2">
      <c r="R39730" s="1288"/>
    </row>
    <row r="39731" spans="18:18" s="2" customFormat="1" ht="12.75" x14ac:dyDescent="0.2">
      <c r="R39731" s="1288"/>
    </row>
    <row r="39732" spans="18:18" s="2" customFormat="1" ht="12.75" x14ac:dyDescent="0.2">
      <c r="R39732" s="1288"/>
    </row>
    <row r="39733" spans="18:18" s="2" customFormat="1" ht="12.75" x14ac:dyDescent="0.2">
      <c r="R39733" s="1288"/>
    </row>
    <row r="39734" spans="18:18" s="2" customFormat="1" ht="12.75" x14ac:dyDescent="0.2">
      <c r="R39734" s="1288"/>
    </row>
    <row r="39735" spans="18:18" s="2" customFormat="1" ht="12.75" x14ac:dyDescent="0.2">
      <c r="R39735" s="1288"/>
    </row>
    <row r="39736" spans="18:18" s="2" customFormat="1" ht="12.75" x14ac:dyDescent="0.2">
      <c r="R39736" s="1288"/>
    </row>
    <row r="39737" spans="18:18" s="2" customFormat="1" ht="12.75" x14ac:dyDescent="0.2">
      <c r="R39737" s="1288"/>
    </row>
    <row r="39738" spans="18:18" s="2" customFormat="1" ht="12.75" x14ac:dyDescent="0.2">
      <c r="R39738" s="1288"/>
    </row>
    <row r="39739" spans="18:18" s="2" customFormat="1" ht="12.75" x14ac:dyDescent="0.2">
      <c r="R39739" s="1288"/>
    </row>
    <row r="39740" spans="18:18" s="2" customFormat="1" ht="12.75" x14ac:dyDescent="0.2">
      <c r="R39740" s="1288"/>
    </row>
    <row r="39741" spans="18:18" s="2" customFormat="1" ht="12.75" x14ac:dyDescent="0.2">
      <c r="R39741" s="1288"/>
    </row>
    <row r="39742" spans="18:18" s="2" customFormat="1" ht="12.75" x14ac:dyDescent="0.2">
      <c r="R39742" s="1288"/>
    </row>
    <row r="39743" spans="18:18" s="2" customFormat="1" ht="12.75" x14ac:dyDescent="0.2">
      <c r="R39743" s="1288"/>
    </row>
    <row r="39744" spans="18:18" s="2" customFormat="1" ht="12.75" x14ac:dyDescent="0.2">
      <c r="R39744" s="1288"/>
    </row>
    <row r="39745" spans="18:18" s="2" customFormat="1" ht="12.75" x14ac:dyDescent="0.2">
      <c r="R39745" s="1288"/>
    </row>
    <row r="39746" spans="18:18" s="2" customFormat="1" ht="12.75" x14ac:dyDescent="0.2">
      <c r="R39746" s="1288"/>
    </row>
    <row r="39747" spans="18:18" s="2" customFormat="1" ht="12.75" x14ac:dyDescent="0.2">
      <c r="R39747" s="1288"/>
    </row>
    <row r="39748" spans="18:18" s="2" customFormat="1" ht="12.75" x14ac:dyDescent="0.2">
      <c r="R39748" s="1288"/>
    </row>
    <row r="39749" spans="18:18" s="2" customFormat="1" ht="12.75" x14ac:dyDescent="0.2">
      <c r="R39749" s="1288"/>
    </row>
    <row r="39750" spans="18:18" s="2" customFormat="1" ht="12.75" x14ac:dyDescent="0.2">
      <c r="R39750" s="1288"/>
    </row>
    <row r="39751" spans="18:18" s="2" customFormat="1" ht="12.75" x14ac:dyDescent="0.2">
      <c r="R39751" s="1288"/>
    </row>
    <row r="39752" spans="18:18" s="2" customFormat="1" ht="12.75" x14ac:dyDescent="0.2">
      <c r="R39752" s="1288"/>
    </row>
    <row r="39753" spans="18:18" s="2" customFormat="1" ht="12.75" x14ac:dyDescent="0.2">
      <c r="R39753" s="1288"/>
    </row>
    <row r="39754" spans="18:18" s="2" customFormat="1" ht="12.75" x14ac:dyDescent="0.2">
      <c r="R39754" s="1288"/>
    </row>
    <row r="39755" spans="18:18" s="2" customFormat="1" ht="12.75" x14ac:dyDescent="0.2">
      <c r="R39755" s="1288"/>
    </row>
    <row r="39756" spans="18:18" s="2" customFormat="1" ht="12.75" x14ac:dyDescent="0.2">
      <c r="R39756" s="1288"/>
    </row>
    <row r="39757" spans="18:18" s="2" customFormat="1" ht="12.75" x14ac:dyDescent="0.2">
      <c r="R39757" s="1288"/>
    </row>
    <row r="39758" spans="18:18" s="2" customFormat="1" ht="12.75" x14ac:dyDescent="0.2">
      <c r="R39758" s="1288"/>
    </row>
    <row r="39759" spans="18:18" s="2" customFormat="1" ht="12.75" x14ac:dyDescent="0.2">
      <c r="R39759" s="1288"/>
    </row>
    <row r="39760" spans="18:18" s="2" customFormat="1" ht="12.75" x14ac:dyDescent="0.2">
      <c r="R39760" s="1288"/>
    </row>
    <row r="39761" spans="18:18" s="2" customFormat="1" ht="12.75" x14ac:dyDescent="0.2">
      <c r="R39761" s="1288"/>
    </row>
    <row r="39762" spans="18:18" s="2" customFormat="1" ht="12.75" x14ac:dyDescent="0.2">
      <c r="R39762" s="1288"/>
    </row>
    <row r="39763" spans="18:18" s="2" customFormat="1" ht="12.75" x14ac:dyDescent="0.2">
      <c r="R39763" s="1288"/>
    </row>
    <row r="39764" spans="18:18" s="2" customFormat="1" ht="12.75" x14ac:dyDescent="0.2">
      <c r="R39764" s="1288"/>
    </row>
    <row r="39765" spans="18:18" s="2" customFormat="1" ht="12.75" x14ac:dyDescent="0.2">
      <c r="R39765" s="1288"/>
    </row>
    <row r="39766" spans="18:18" s="2" customFormat="1" ht="12.75" x14ac:dyDescent="0.2">
      <c r="R39766" s="1288"/>
    </row>
    <row r="39767" spans="18:18" s="2" customFormat="1" ht="12.75" x14ac:dyDescent="0.2">
      <c r="R39767" s="1288"/>
    </row>
    <row r="39768" spans="18:18" s="2" customFormat="1" ht="12.75" x14ac:dyDescent="0.2">
      <c r="R39768" s="1288"/>
    </row>
    <row r="39769" spans="18:18" s="2" customFormat="1" ht="12.75" x14ac:dyDescent="0.2">
      <c r="R39769" s="1288"/>
    </row>
    <row r="39770" spans="18:18" s="2" customFormat="1" ht="12.75" x14ac:dyDescent="0.2">
      <c r="R39770" s="1288"/>
    </row>
    <row r="39771" spans="18:18" s="2" customFormat="1" ht="12.75" x14ac:dyDescent="0.2">
      <c r="R39771" s="1288"/>
    </row>
    <row r="39772" spans="18:18" s="2" customFormat="1" ht="12.75" x14ac:dyDescent="0.2">
      <c r="R39772" s="1288"/>
    </row>
    <row r="39773" spans="18:18" s="2" customFormat="1" ht="12.75" x14ac:dyDescent="0.2">
      <c r="R39773" s="1288"/>
    </row>
    <row r="39774" spans="18:18" s="2" customFormat="1" ht="12.75" x14ac:dyDescent="0.2">
      <c r="R39774" s="1288"/>
    </row>
    <row r="39775" spans="18:18" s="2" customFormat="1" ht="12.75" x14ac:dyDescent="0.2">
      <c r="R39775" s="1288"/>
    </row>
    <row r="39776" spans="18:18" s="2" customFormat="1" ht="12.75" x14ac:dyDescent="0.2">
      <c r="R39776" s="1288"/>
    </row>
    <row r="39777" spans="18:18" s="2" customFormat="1" ht="12.75" x14ac:dyDescent="0.2">
      <c r="R39777" s="1288"/>
    </row>
    <row r="39778" spans="18:18" s="2" customFormat="1" ht="12.75" x14ac:dyDescent="0.2">
      <c r="R39778" s="1288"/>
    </row>
    <row r="39779" spans="18:18" s="2" customFormat="1" ht="12.75" x14ac:dyDescent="0.2">
      <c r="R39779" s="1288"/>
    </row>
    <row r="39780" spans="18:18" s="2" customFormat="1" ht="12.75" x14ac:dyDescent="0.2">
      <c r="R39780" s="1288"/>
    </row>
    <row r="39781" spans="18:18" s="2" customFormat="1" ht="12.75" x14ac:dyDescent="0.2">
      <c r="R39781" s="1288"/>
    </row>
    <row r="39782" spans="18:18" s="2" customFormat="1" ht="12.75" x14ac:dyDescent="0.2">
      <c r="R39782" s="1288"/>
    </row>
    <row r="39783" spans="18:18" s="2" customFormat="1" ht="12.75" x14ac:dyDescent="0.2">
      <c r="R39783" s="1288"/>
    </row>
    <row r="39784" spans="18:18" s="2" customFormat="1" ht="12.75" x14ac:dyDescent="0.2">
      <c r="R39784" s="1288"/>
    </row>
    <row r="39785" spans="18:18" s="2" customFormat="1" ht="12.75" x14ac:dyDescent="0.2">
      <c r="R39785" s="1288"/>
    </row>
    <row r="39786" spans="18:18" s="2" customFormat="1" ht="12.75" x14ac:dyDescent="0.2">
      <c r="R39786" s="1288"/>
    </row>
    <row r="39787" spans="18:18" s="2" customFormat="1" ht="12.75" x14ac:dyDescent="0.2">
      <c r="R39787" s="1288"/>
    </row>
    <row r="39788" spans="18:18" s="2" customFormat="1" ht="12.75" x14ac:dyDescent="0.2">
      <c r="R39788" s="1288"/>
    </row>
    <row r="39789" spans="18:18" s="2" customFormat="1" ht="12.75" x14ac:dyDescent="0.2">
      <c r="R39789" s="1288"/>
    </row>
    <row r="39790" spans="18:18" s="2" customFormat="1" ht="12.75" x14ac:dyDescent="0.2">
      <c r="R39790" s="1288"/>
    </row>
    <row r="39791" spans="18:18" s="2" customFormat="1" ht="12.75" x14ac:dyDescent="0.2">
      <c r="R39791" s="1288"/>
    </row>
    <row r="39792" spans="18:18" s="2" customFormat="1" ht="12.75" x14ac:dyDescent="0.2">
      <c r="R39792" s="1288"/>
    </row>
    <row r="39793" spans="18:18" s="2" customFormat="1" ht="12.75" x14ac:dyDescent="0.2">
      <c r="R39793" s="1288"/>
    </row>
    <row r="39794" spans="18:18" s="2" customFormat="1" ht="12.75" x14ac:dyDescent="0.2">
      <c r="R39794" s="1288"/>
    </row>
    <row r="39795" spans="18:18" s="2" customFormat="1" ht="12.75" x14ac:dyDescent="0.2">
      <c r="R39795" s="1288"/>
    </row>
    <row r="39796" spans="18:18" s="2" customFormat="1" ht="12.75" x14ac:dyDescent="0.2">
      <c r="R39796" s="1288"/>
    </row>
    <row r="39797" spans="18:18" s="2" customFormat="1" ht="12.75" x14ac:dyDescent="0.2">
      <c r="R39797" s="1288"/>
    </row>
    <row r="39798" spans="18:18" s="2" customFormat="1" ht="12.75" x14ac:dyDescent="0.2">
      <c r="R39798" s="1288"/>
    </row>
    <row r="39799" spans="18:18" s="2" customFormat="1" ht="12.75" x14ac:dyDescent="0.2">
      <c r="R39799" s="1288"/>
    </row>
    <row r="39800" spans="18:18" s="2" customFormat="1" ht="12.75" x14ac:dyDescent="0.2">
      <c r="R39800" s="1288"/>
    </row>
    <row r="39801" spans="18:18" s="2" customFormat="1" ht="12.75" x14ac:dyDescent="0.2">
      <c r="R39801" s="1288"/>
    </row>
    <row r="39802" spans="18:18" s="2" customFormat="1" ht="12.75" x14ac:dyDescent="0.2">
      <c r="R39802" s="1288"/>
    </row>
    <row r="39803" spans="18:18" s="2" customFormat="1" ht="12.75" x14ac:dyDescent="0.2">
      <c r="R39803" s="1288"/>
    </row>
    <row r="39804" spans="18:18" s="2" customFormat="1" ht="12.75" x14ac:dyDescent="0.2">
      <c r="R39804" s="1288"/>
    </row>
    <row r="39805" spans="18:18" s="2" customFormat="1" ht="12.75" x14ac:dyDescent="0.2">
      <c r="R39805" s="1288"/>
    </row>
    <row r="39806" spans="18:18" s="2" customFormat="1" ht="12.75" x14ac:dyDescent="0.2">
      <c r="R39806" s="1288"/>
    </row>
    <row r="39807" spans="18:18" s="2" customFormat="1" ht="12.75" x14ac:dyDescent="0.2">
      <c r="R39807" s="1288"/>
    </row>
    <row r="39808" spans="18:18" s="2" customFormat="1" ht="12.75" x14ac:dyDescent="0.2">
      <c r="R39808" s="1288"/>
    </row>
    <row r="39809" spans="18:18" s="2" customFormat="1" ht="12.75" x14ac:dyDescent="0.2">
      <c r="R39809" s="1288"/>
    </row>
    <row r="39810" spans="18:18" s="2" customFormat="1" ht="12.75" x14ac:dyDescent="0.2">
      <c r="R39810" s="1288"/>
    </row>
    <row r="39811" spans="18:18" s="2" customFormat="1" ht="12.75" x14ac:dyDescent="0.2">
      <c r="R39811" s="1288"/>
    </row>
    <row r="39812" spans="18:18" s="2" customFormat="1" ht="12.75" x14ac:dyDescent="0.2">
      <c r="R39812" s="1288"/>
    </row>
    <row r="39813" spans="18:18" s="2" customFormat="1" ht="12.75" x14ac:dyDescent="0.2">
      <c r="R39813" s="1288"/>
    </row>
    <row r="39814" spans="18:18" s="2" customFormat="1" ht="12.75" x14ac:dyDescent="0.2">
      <c r="R39814" s="1288"/>
    </row>
    <row r="39815" spans="18:18" s="2" customFormat="1" ht="12.75" x14ac:dyDescent="0.2">
      <c r="R39815" s="1288"/>
    </row>
    <row r="39816" spans="18:18" s="2" customFormat="1" ht="12.75" x14ac:dyDescent="0.2">
      <c r="R39816" s="1288"/>
    </row>
    <row r="39817" spans="18:18" s="2" customFormat="1" ht="12.75" x14ac:dyDescent="0.2">
      <c r="R39817" s="1288"/>
    </row>
    <row r="39818" spans="18:18" s="2" customFormat="1" ht="12.75" x14ac:dyDescent="0.2">
      <c r="R39818" s="1288"/>
    </row>
    <row r="39819" spans="18:18" s="2" customFormat="1" ht="12.75" x14ac:dyDescent="0.2">
      <c r="R39819" s="1288"/>
    </row>
    <row r="39820" spans="18:18" s="2" customFormat="1" ht="12.75" x14ac:dyDescent="0.2">
      <c r="R39820" s="1288"/>
    </row>
    <row r="39821" spans="18:18" s="2" customFormat="1" ht="12.75" x14ac:dyDescent="0.2">
      <c r="R39821" s="1288"/>
    </row>
    <row r="39822" spans="18:18" s="2" customFormat="1" ht="12.75" x14ac:dyDescent="0.2">
      <c r="R39822" s="1288"/>
    </row>
    <row r="39823" spans="18:18" s="2" customFormat="1" ht="12.75" x14ac:dyDescent="0.2">
      <c r="R39823" s="1288"/>
    </row>
    <row r="39824" spans="18:18" s="2" customFormat="1" ht="12.75" x14ac:dyDescent="0.2">
      <c r="R39824" s="1288"/>
    </row>
    <row r="39825" spans="18:18" s="2" customFormat="1" ht="12.75" x14ac:dyDescent="0.2">
      <c r="R39825" s="1288"/>
    </row>
    <row r="39826" spans="18:18" s="2" customFormat="1" ht="12.75" x14ac:dyDescent="0.2">
      <c r="R39826" s="1288"/>
    </row>
    <row r="39827" spans="18:18" s="2" customFormat="1" ht="12.75" x14ac:dyDescent="0.2">
      <c r="R39827" s="1288"/>
    </row>
    <row r="39828" spans="18:18" s="2" customFormat="1" ht="12.75" x14ac:dyDescent="0.2">
      <c r="R39828" s="1288"/>
    </row>
    <row r="39829" spans="18:18" s="2" customFormat="1" ht="12.75" x14ac:dyDescent="0.2">
      <c r="R39829" s="1288"/>
    </row>
    <row r="39830" spans="18:18" s="2" customFormat="1" ht="12.75" x14ac:dyDescent="0.2">
      <c r="R39830" s="1288"/>
    </row>
    <row r="39831" spans="18:18" s="2" customFormat="1" ht="12.75" x14ac:dyDescent="0.2">
      <c r="R39831" s="1288"/>
    </row>
    <row r="39832" spans="18:18" s="2" customFormat="1" ht="12.75" x14ac:dyDescent="0.2">
      <c r="R39832" s="1288"/>
    </row>
    <row r="39833" spans="18:18" s="2" customFormat="1" ht="12.75" x14ac:dyDescent="0.2">
      <c r="R39833" s="1288"/>
    </row>
    <row r="39834" spans="18:18" s="2" customFormat="1" ht="12.75" x14ac:dyDescent="0.2">
      <c r="R39834" s="1288"/>
    </row>
    <row r="39835" spans="18:18" s="2" customFormat="1" ht="12.75" x14ac:dyDescent="0.2">
      <c r="R39835" s="1288"/>
    </row>
    <row r="39836" spans="18:18" s="2" customFormat="1" ht="12.75" x14ac:dyDescent="0.2">
      <c r="R39836" s="1288"/>
    </row>
    <row r="39837" spans="18:18" s="2" customFormat="1" ht="12.75" x14ac:dyDescent="0.2">
      <c r="R39837" s="1288"/>
    </row>
    <row r="39838" spans="18:18" s="2" customFormat="1" ht="12.75" x14ac:dyDescent="0.2">
      <c r="R39838" s="1288"/>
    </row>
    <row r="39839" spans="18:18" s="2" customFormat="1" ht="12.75" x14ac:dyDescent="0.2">
      <c r="R39839" s="1288"/>
    </row>
    <row r="39840" spans="18:18" s="2" customFormat="1" ht="12.75" x14ac:dyDescent="0.2">
      <c r="R39840" s="1288"/>
    </row>
    <row r="39841" spans="18:18" s="2" customFormat="1" ht="12.75" x14ac:dyDescent="0.2">
      <c r="R39841" s="1288"/>
    </row>
    <row r="39842" spans="18:18" s="2" customFormat="1" ht="12.75" x14ac:dyDescent="0.2">
      <c r="R39842" s="1288"/>
    </row>
    <row r="39843" spans="18:18" s="2" customFormat="1" ht="12.75" x14ac:dyDescent="0.2">
      <c r="R39843" s="1288"/>
    </row>
    <row r="39844" spans="18:18" s="2" customFormat="1" ht="12.75" x14ac:dyDescent="0.2">
      <c r="R39844" s="1288"/>
    </row>
    <row r="39845" spans="18:18" s="2" customFormat="1" ht="12.75" x14ac:dyDescent="0.2">
      <c r="R39845" s="1288"/>
    </row>
    <row r="39846" spans="18:18" s="2" customFormat="1" ht="12.75" x14ac:dyDescent="0.2">
      <c r="R39846" s="1288"/>
    </row>
    <row r="39847" spans="18:18" s="2" customFormat="1" ht="12.75" x14ac:dyDescent="0.2">
      <c r="R39847" s="1288"/>
    </row>
    <row r="39848" spans="18:18" s="2" customFormat="1" ht="12.75" x14ac:dyDescent="0.2">
      <c r="R39848" s="1288"/>
    </row>
    <row r="39849" spans="18:18" s="2" customFormat="1" ht="12.75" x14ac:dyDescent="0.2">
      <c r="R39849" s="1288"/>
    </row>
    <row r="39850" spans="18:18" s="2" customFormat="1" ht="12.75" x14ac:dyDescent="0.2">
      <c r="R39850" s="1288"/>
    </row>
    <row r="39851" spans="18:18" s="2" customFormat="1" ht="12.75" x14ac:dyDescent="0.2">
      <c r="R39851" s="1288"/>
    </row>
    <row r="39852" spans="18:18" s="2" customFormat="1" ht="12.75" x14ac:dyDescent="0.2">
      <c r="R39852" s="1288"/>
    </row>
    <row r="39853" spans="18:18" s="2" customFormat="1" ht="12.75" x14ac:dyDescent="0.2">
      <c r="R39853" s="1288"/>
    </row>
    <row r="39854" spans="18:18" s="2" customFormat="1" ht="12.75" x14ac:dyDescent="0.2">
      <c r="R39854" s="1288"/>
    </row>
    <row r="39855" spans="18:18" s="2" customFormat="1" ht="12.75" x14ac:dyDescent="0.2">
      <c r="R39855" s="1288"/>
    </row>
    <row r="39856" spans="18:18" s="2" customFormat="1" ht="12.75" x14ac:dyDescent="0.2">
      <c r="R39856" s="1288"/>
    </row>
    <row r="39857" spans="18:18" s="2" customFormat="1" ht="12.75" x14ac:dyDescent="0.2">
      <c r="R39857" s="1288"/>
    </row>
    <row r="39858" spans="18:18" s="2" customFormat="1" ht="12.75" x14ac:dyDescent="0.2">
      <c r="R39858" s="1288"/>
    </row>
    <row r="39859" spans="18:18" s="2" customFormat="1" ht="12.75" x14ac:dyDescent="0.2">
      <c r="R39859" s="1288"/>
    </row>
    <row r="39860" spans="18:18" s="2" customFormat="1" ht="12.75" x14ac:dyDescent="0.2">
      <c r="R39860" s="1288"/>
    </row>
    <row r="39861" spans="18:18" s="2" customFormat="1" ht="12.75" x14ac:dyDescent="0.2">
      <c r="R39861" s="1288"/>
    </row>
    <row r="39862" spans="18:18" s="2" customFormat="1" ht="12.75" x14ac:dyDescent="0.2">
      <c r="R39862" s="1288"/>
    </row>
    <row r="39863" spans="18:18" s="2" customFormat="1" ht="12.75" x14ac:dyDescent="0.2">
      <c r="R39863" s="1288"/>
    </row>
    <row r="39864" spans="18:18" s="2" customFormat="1" ht="12.75" x14ac:dyDescent="0.2">
      <c r="R39864" s="1288"/>
    </row>
    <row r="39865" spans="18:18" s="2" customFormat="1" ht="12.75" x14ac:dyDescent="0.2">
      <c r="R39865" s="1288"/>
    </row>
    <row r="39866" spans="18:18" s="2" customFormat="1" ht="12.75" x14ac:dyDescent="0.2">
      <c r="R39866" s="1288"/>
    </row>
    <row r="39867" spans="18:18" s="2" customFormat="1" ht="12.75" x14ac:dyDescent="0.2">
      <c r="R39867" s="1288"/>
    </row>
    <row r="39868" spans="18:18" s="2" customFormat="1" ht="12.75" x14ac:dyDescent="0.2">
      <c r="R39868" s="1288"/>
    </row>
    <row r="39869" spans="18:18" s="2" customFormat="1" ht="12.75" x14ac:dyDescent="0.2">
      <c r="R39869" s="1288"/>
    </row>
    <row r="39870" spans="18:18" s="2" customFormat="1" ht="12.75" x14ac:dyDescent="0.2">
      <c r="R39870" s="1288"/>
    </row>
    <row r="39871" spans="18:18" s="2" customFormat="1" ht="12.75" x14ac:dyDescent="0.2">
      <c r="R39871" s="1288"/>
    </row>
    <row r="39872" spans="18:18" s="2" customFormat="1" ht="12.75" x14ac:dyDescent="0.2">
      <c r="R39872" s="1288"/>
    </row>
    <row r="39873" spans="18:18" s="2" customFormat="1" ht="12.75" x14ac:dyDescent="0.2">
      <c r="R39873" s="1288"/>
    </row>
    <row r="39874" spans="18:18" s="2" customFormat="1" ht="12.75" x14ac:dyDescent="0.2">
      <c r="R39874" s="1288"/>
    </row>
    <row r="39875" spans="18:18" s="2" customFormat="1" ht="12.75" x14ac:dyDescent="0.2">
      <c r="R39875" s="1288"/>
    </row>
    <row r="39876" spans="18:18" s="2" customFormat="1" ht="12.75" x14ac:dyDescent="0.2">
      <c r="R39876" s="1288"/>
    </row>
    <row r="39877" spans="18:18" s="2" customFormat="1" ht="12.75" x14ac:dyDescent="0.2">
      <c r="R39877" s="1288"/>
    </row>
    <row r="39878" spans="18:18" s="2" customFormat="1" ht="12.75" x14ac:dyDescent="0.2">
      <c r="R39878" s="1288"/>
    </row>
    <row r="39879" spans="18:18" s="2" customFormat="1" ht="12.75" x14ac:dyDescent="0.2">
      <c r="R39879" s="1288"/>
    </row>
    <row r="39880" spans="18:18" s="2" customFormat="1" ht="12.75" x14ac:dyDescent="0.2">
      <c r="R39880" s="1288"/>
    </row>
    <row r="39881" spans="18:18" s="2" customFormat="1" ht="12.75" x14ac:dyDescent="0.2">
      <c r="R39881" s="1288"/>
    </row>
    <row r="39882" spans="18:18" s="2" customFormat="1" ht="12.75" x14ac:dyDescent="0.2">
      <c r="R39882" s="1288"/>
    </row>
    <row r="39883" spans="18:18" s="2" customFormat="1" ht="12.75" x14ac:dyDescent="0.2">
      <c r="R39883" s="1288"/>
    </row>
    <row r="39884" spans="18:18" s="2" customFormat="1" ht="12.75" x14ac:dyDescent="0.2">
      <c r="R39884" s="1288"/>
    </row>
    <row r="39885" spans="18:18" s="2" customFormat="1" ht="12.75" x14ac:dyDescent="0.2">
      <c r="R39885" s="1288"/>
    </row>
    <row r="39886" spans="18:18" s="2" customFormat="1" ht="12.75" x14ac:dyDescent="0.2">
      <c r="R39886" s="1288"/>
    </row>
    <row r="39887" spans="18:18" s="2" customFormat="1" ht="12.75" x14ac:dyDescent="0.2">
      <c r="R39887" s="1288"/>
    </row>
    <row r="39888" spans="18:18" s="2" customFormat="1" ht="12.75" x14ac:dyDescent="0.2">
      <c r="R39888" s="1288"/>
    </row>
    <row r="39889" spans="18:18" s="2" customFormat="1" ht="12.75" x14ac:dyDescent="0.2">
      <c r="R39889" s="1288"/>
    </row>
    <row r="39890" spans="18:18" s="2" customFormat="1" ht="12.75" x14ac:dyDescent="0.2">
      <c r="R39890" s="1288"/>
    </row>
    <row r="39891" spans="18:18" s="2" customFormat="1" ht="12.75" x14ac:dyDescent="0.2">
      <c r="R39891" s="1288"/>
    </row>
    <row r="39892" spans="18:18" s="2" customFormat="1" ht="12.75" x14ac:dyDescent="0.2">
      <c r="R39892" s="1288"/>
    </row>
    <row r="39893" spans="18:18" s="2" customFormat="1" ht="12.75" x14ac:dyDescent="0.2">
      <c r="R39893" s="1288"/>
    </row>
    <row r="39894" spans="18:18" s="2" customFormat="1" ht="12.75" x14ac:dyDescent="0.2">
      <c r="R39894" s="1288"/>
    </row>
    <row r="39895" spans="18:18" s="2" customFormat="1" ht="12.75" x14ac:dyDescent="0.2">
      <c r="R39895" s="1288"/>
    </row>
    <row r="39896" spans="18:18" s="2" customFormat="1" ht="12.75" x14ac:dyDescent="0.2">
      <c r="R39896" s="1288"/>
    </row>
    <row r="39897" spans="18:18" s="2" customFormat="1" ht="12.75" x14ac:dyDescent="0.2">
      <c r="R39897" s="1288"/>
    </row>
    <row r="39898" spans="18:18" s="2" customFormat="1" ht="12.75" x14ac:dyDescent="0.2">
      <c r="R39898" s="1288"/>
    </row>
    <row r="39899" spans="18:18" s="2" customFormat="1" ht="12.75" x14ac:dyDescent="0.2">
      <c r="R39899" s="1288"/>
    </row>
    <row r="39900" spans="18:18" s="2" customFormat="1" ht="12.75" x14ac:dyDescent="0.2">
      <c r="R39900" s="1288"/>
    </row>
    <row r="39901" spans="18:18" s="2" customFormat="1" ht="12.75" x14ac:dyDescent="0.2">
      <c r="R39901" s="1288"/>
    </row>
    <row r="39902" spans="18:18" s="2" customFormat="1" ht="12.75" x14ac:dyDescent="0.2">
      <c r="R39902" s="1288"/>
    </row>
    <row r="39903" spans="18:18" s="2" customFormat="1" ht="12.75" x14ac:dyDescent="0.2">
      <c r="R39903" s="1288"/>
    </row>
    <row r="39904" spans="18:18" s="2" customFormat="1" ht="12.75" x14ac:dyDescent="0.2">
      <c r="R39904" s="1288"/>
    </row>
    <row r="39905" spans="18:18" s="2" customFormat="1" ht="12.75" x14ac:dyDescent="0.2">
      <c r="R39905" s="1288"/>
    </row>
    <row r="39906" spans="18:18" s="2" customFormat="1" ht="12.75" x14ac:dyDescent="0.2">
      <c r="R39906" s="1288"/>
    </row>
    <row r="39907" spans="18:18" s="2" customFormat="1" ht="12.75" x14ac:dyDescent="0.2">
      <c r="R39907" s="1288"/>
    </row>
    <row r="39908" spans="18:18" s="2" customFormat="1" ht="12.75" x14ac:dyDescent="0.2">
      <c r="R39908" s="1288"/>
    </row>
    <row r="39909" spans="18:18" s="2" customFormat="1" ht="12.75" x14ac:dyDescent="0.2">
      <c r="R39909" s="1288"/>
    </row>
    <row r="39910" spans="18:18" s="2" customFormat="1" ht="12.75" x14ac:dyDescent="0.2">
      <c r="R39910" s="1288"/>
    </row>
    <row r="39911" spans="18:18" s="2" customFormat="1" ht="12.75" x14ac:dyDescent="0.2">
      <c r="R39911" s="1288"/>
    </row>
    <row r="39912" spans="18:18" s="2" customFormat="1" ht="12.75" x14ac:dyDescent="0.2">
      <c r="R39912" s="1288"/>
    </row>
    <row r="39913" spans="18:18" s="2" customFormat="1" ht="12.75" x14ac:dyDescent="0.2">
      <c r="R39913" s="1288"/>
    </row>
    <row r="39914" spans="18:18" s="2" customFormat="1" ht="12.75" x14ac:dyDescent="0.2">
      <c r="R39914" s="1288"/>
    </row>
    <row r="39915" spans="18:18" s="2" customFormat="1" ht="12.75" x14ac:dyDescent="0.2">
      <c r="R39915" s="1288"/>
    </row>
    <row r="39916" spans="18:18" s="2" customFormat="1" ht="12.75" x14ac:dyDescent="0.2">
      <c r="R39916" s="1288"/>
    </row>
    <row r="39917" spans="18:18" s="2" customFormat="1" ht="12.75" x14ac:dyDescent="0.2">
      <c r="R39917" s="1288"/>
    </row>
    <row r="39918" spans="18:18" s="2" customFormat="1" ht="12.75" x14ac:dyDescent="0.2">
      <c r="R39918" s="1288"/>
    </row>
    <row r="39919" spans="18:18" s="2" customFormat="1" ht="12.75" x14ac:dyDescent="0.2">
      <c r="R39919" s="1288"/>
    </row>
    <row r="39920" spans="18:18" s="2" customFormat="1" ht="12.75" x14ac:dyDescent="0.2">
      <c r="R39920" s="1288"/>
    </row>
    <row r="39921" spans="18:18" s="2" customFormat="1" ht="12.75" x14ac:dyDescent="0.2">
      <c r="R39921" s="1288"/>
    </row>
    <row r="39922" spans="18:18" s="2" customFormat="1" ht="12.75" x14ac:dyDescent="0.2">
      <c r="R39922" s="1288"/>
    </row>
    <row r="39923" spans="18:18" s="2" customFormat="1" ht="12.75" x14ac:dyDescent="0.2">
      <c r="R39923" s="1288"/>
    </row>
    <row r="39924" spans="18:18" s="2" customFormat="1" ht="12.75" x14ac:dyDescent="0.2">
      <c r="R39924" s="1288"/>
    </row>
    <row r="39925" spans="18:18" s="2" customFormat="1" ht="12.75" x14ac:dyDescent="0.2">
      <c r="R39925" s="1288"/>
    </row>
    <row r="39926" spans="18:18" s="2" customFormat="1" ht="12.75" x14ac:dyDescent="0.2">
      <c r="R39926" s="1288"/>
    </row>
    <row r="39927" spans="18:18" s="2" customFormat="1" ht="12.75" x14ac:dyDescent="0.2">
      <c r="R39927" s="1288"/>
    </row>
    <row r="39928" spans="18:18" s="2" customFormat="1" ht="12.75" x14ac:dyDescent="0.2">
      <c r="R39928" s="1288"/>
    </row>
    <row r="39929" spans="18:18" s="2" customFormat="1" ht="12.75" x14ac:dyDescent="0.2">
      <c r="R39929" s="1288"/>
    </row>
    <row r="39930" spans="18:18" s="2" customFormat="1" ht="12.75" x14ac:dyDescent="0.2">
      <c r="R39930" s="1288"/>
    </row>
    <row r="39931" spans="18:18" s="2" customFormat="1" ht="12.75" x14ac:dyDescent="0.2">
      <c r="R39931" s="1288"/>
    </row>
    <row r="39932" spans="18:18" s="2" customFormat="1" ht="12.75" x14ac:dyDescent="0.2">
      <c r="R39932" s="1288"/>
    </row>
    <row r="39933" spans="18:18" s="2" customFormat="1" ht="12.75" x14ac:dyDescent="0.2">
      <c r="R39933" s="1288"/>
    </row>
    <row r="39934" spans="18:18" s="2" customFormat="1" ht="12.75" x14ac:dyDescent="0.2">
      <c r="R39934" s="1288"/>
    </row>
    <row r="39935" spans="18:18" s="2" customFormat="1" ht="12.75" x14ac:dyDescent="0.2">
      <c r="R39935" s="1288"/>
    </row>
    <row r="39936" spans="18:18" s="2" customFormat="1" ht="12.75" x14ac:dyDescent="0.2">
      <c r="R39936" s="1288"/>
    </row>
    <row r="39937" spans="18:18" s="2" customFormat="1" ht="12.75" x14ac:dyDescent="0.2">
      <c r="R39937" s="1288"/>
    </row>
    <row r="39938" spans="18:18" s="2" customFormat="1" ht="12.75" x14ac:dyDescent="0.2">
      <c r="R39938" s="1288"/>
    </row>
    <row r="39939" spans="18:18" s="2" customFormat="1" ht="12.75" x14ac:dyDescent="0.2">
      <c r="R39939" s="1288"/>
    </row>
    <row r="39940" spans="18:18" s="2" customFormat="1" ht="12.75" x14ac:dyDescent="0.2">
      <c r="R39940" s="1288"/>
    </row>
    <row r="39941" spans="18:18" s="2" customFormat="1" ht="12.75" x14ac:dyDescent="0.2">
      <c r="R39941" s="1288"/>
    </row>
    <row r="39942" spans="18:18" s="2" customFormat="1" ht="12.75" x14ac:dyDescent="0.2">
      <c r="R39942" s="1288"/>
    </row>
    <row r="39943" spans="18:18" s="2" customFormat="1" ht="12.75" x14ac:dyDescent="0.2">
      <c r="R39943" s="1288"/>
    </row>
    <row r="39944" spans="18:18" s="2" customFormat="1" ht="12.75" x14ac:dyDescent="0.2">
      <c r="R39944" s="1288"/>
    </row>
    <row r="39945" spans="18:18" s="2" customFormat="1" ht="12.75" x14ac:dyDescent="0.2">
      <c r="R39945" s="1288"/>
    </row>
    <row r="39946" spans="18:18" s="2" customFormat="1" ht="12.75" x14ac:dyDescent="0.2">
      <c r="R39946" s="1288"/>
    </row>
    <row r="39947" spans="18:18" s="2" customFormat="1" ht="12.75" x14ac:dyDescent="0.2">
      <c r="R39947" s="1288"/>
    </row>
    <row r="39948" spans="18:18" s="2" customFormat="1" ht="12.75" x14ac:dyDescent="0.2">
      <c r="R39948" s="1288"/>
    </row>
    <row r="39949" spans="18:18" s="2" customFormat="1" ht="12.75" x14ac:dyDescent="0.2">
      <c r="R39949" s="1288"/>
    </row>
    <row r="39950" spans="18:18" s="2" customFormat="1" ht="12.75" x14ac:dyDescent="0.2">
      <c r="R39950" s="1288"/>
    </row>
    <row r="39951" spans="18:18" s="2" customFormat="1" ht="12.75" x14ac:dyDescent="0.2">
      <c r="R39951" s="1288"/>
    </row>
    <row r="39952" spans="18:18" s="2" customFormat="1" ht="12.75" x14ac:dyDescent="0.2">
      <c r="R39952" s="1288"/>
    </row>
    <row r="39953" spans="18:18" s="2" customFormat="1" ht="12.75" x14ac:dyDescent="0.2">
      <c r="R39953" s="1288"/>
    </row>
    <row r="39954" spans="18:18" s="2" customFormat="1" ht="12.75" x14ac:dyDescent="0.2">
      <c r="R39954" s="1288"/>
    </row>
    <row r="39955" spans="18:18" s="2" customFormat="1" ht="12.75" x14ac:dyDescent="0.2">
      <c r="R39955" s="1288"/>
    </row>
    <row r="39956" spans="18:18" s="2" customFormat="1" ht="12.75" x14ac:dyDescent="0.2">
      <c r="R39956" s="1288"/>
    </row>
    <row r="39957" spans="18:18" s="2" customFormat="1" ht="12.75" x14ac:dyDescent="0.2">
      <c r="R39957" s="1288"/>
    </row>
    <row r="39958" spans="18:18" s="2" customFormat="1" ht="12.75" x14ac:dyDescent="0.2">
      <c r="R39958" s="1288"/>
    </row>
    <row r="39959" spans="18:18" s="2" customFormat="1" ht="12.75" x14ac:dyDescent="0.2">
      <c r="R39959" s="1288"/>
    </row>
    <row r="39960" spans="18:18" s="2" customFormat="1" ht="12.75" x14ac:dyDescent="0.2">
      <c r="R39960" s="1288"/>
    </row>
    <row r="39961" spans="18:18" s="2" customFormat="1" ht="12.75" x14ac:dyDescent="0.2">
      <c r="R39961" s="1288"/>
    </row>
    <row r="39962" spans="18:18" s="2" customFormat="1" ht="12.75" x14ac:dyDescent="0.2">
      <c r="R39962" s="1288"/>
    </row>
    <row r="39963" spans="18:18" s="2" customFormat="1" ht="12.75" x14ac:dyDescent="0.2">
      <c r="R39963" s="1288"/>
    </row>
    <row r="39964" spans="18:18" s="2" customFormat="1" ht="12.75" x14ac:dyDescent="0.2">
      <c r="R39964" s="1288"/>
    </row>
    <row r="39965" spans="18:18" s="2" customFormat="1" ht="12.75" x14ac:dyDescent="0.2">
      <c r="R39965" s="1288"/>
    </row>
    <row r="39966" spans="18:18" s="2" customFormat="1" ht="12.75" x14ac:dyDescent="0.2">
      <c r="R39966" s="1288"/>
    </row>
    <row r="39967" spans="18:18" s="2" customFormat="1" ht="12.75" x14ac:dyDescent="0.2">
      <c r="R39967" s="1288"/>
    </row>
    <row r="39968" spans="18:18" s="2" customFormat="1" ht="12.75" x14ac:dyDescent="0.2">
      <c r="R39968" s="1288"/>
    </row>
    <row r="39969" spans="18:18" s="2" customFormat="1" ht="12.75" x14ac:dyDescent="0.2">
      <c r="R39969" s="1288"/>
    </row>
    <row r="39970" spans="18:18" s="2" customFormat="1" ht="12.75" x14ac:dyDescent="0.2">
      <c r="R39970" s="1288"/>
    </row>
    <row r="39971" spans="18:18" s="2" customFormat="1" ht="12.75" x14ac:dyDescent="0.2">
      <c r="R39971" s="1288"/>
    </row>
    <row r="39972" spans="18:18" s="2" customFormat="1" ht="12.75" x14ac:dyDescent="0.2">
      <c r="R39972" s="1288"/>
    </row>
    <row r="39973" spans="18:18" s="2" customFormat="1" ht="12.75" x14ac:dyDescent="0.2">
      <c r="R39973" s="1288"/>
    </row>
    <row r="39974" spans="18:18" s="2" customFormat="1" ht="12.75" x14ac:dyDescent="0.2">
      <c r="R39974" s="1288"/>
    </row>
    <row r="39975" spans="18:18" s="2" customFormat="1" ht="12.75" x14ac:dyDescent="0.2">
      <c r="R39975" s="1288"/>
    </row>
    <row r="39976" spans="18:18" s="2" customFormat="1" ht="12.75" x14ac:dyDescent="0.2">
      <c r="R39976" s="1288"/>
    </row>
    <row r="39977" spans="18:18" s="2" customFormat="1" ht="12.75" x14ac:dyDescent="0.2">
      <c r="R39977" s="1288"/>
    </row>
    <row r="39978" spans="18:18" s="2" customFormat="1" ht="12.75" x14ac:dyDescent="0.2">
      <c r="R39978" s="1288"/>
    </row>
    <row r="39979" spans="18:18" s="2" customFormat="1" ht="12.75" x14ac:dyDescent="0.2">
      <c r="R39979" s="1288"/>
    </row>
    <row r="39980" spans="18:18" s="2" customFormat="1" ht="12.75" x14ac:dyDescent="0.2">
      <c r="R39980" s="1288"/>
    </row>
    <row r="39981" spans="18:18" s="2" customFormat="1" ht="12.75" x14ac:dyDescent="0.2">
      <c r="R39981" s="1288"/>
    </row>
    <row r="39982" spans="18:18" s="2" customFormat="1" ht="12.75" x14ac:dyDescent="0.2">
      <c r="R39982" s="1288"/>
    </row>
    <row r="39983" spans="18:18" s="2" customFormat="1" ht="12.75" x14ac:dyDescent="0.2">
      <c r="R39983" s="1288"/>
    </row>
    <row r="39984" spans="18:18" s="2" customFormat="1" ht="12.75" x14ac:dyDescent="0.2">
      <c r="R39984" s="1288"/>
    </row>
    <row r="39985" spans="18:18" s="2" customFormat="1" ht="12.75" x14ac:dyDescent="0.2">
      <c r="R39985" s="1288"/>
    </row>
    <row r="39986" spans="18:18" s="2" customFormat="1" ht="12.75" x14ac:dyDescent="0.2">
      <c r="R39986" s="1288"/>
    </row>
    <row r="39987" spans="18:18" s="2" customFormat="1" ht="12.75" x14ac:dyDescent="0.2">
      <c r="R39987" s="1288"/>
    </row>
    <row r="39988" spans="18:18" s="2" customFormat="1" ht="12.75" x14ac:dyDescent="0.2">
      <c r="R39988" s="1288"/>
    </row>
    <row r="39989" spans="18:18" s="2" customFormat="1" ht="12.75" x14ac:dyDescent="0.2">
      <c r="R39989" s="1288"/>
    </row>
    <row r="39990" spans="18:18" s="2" customFormat="1" ht="12.75" x14ac:dyDescent="0.2">
      <c r="R39990" s="1288"/>
    </row>
    <row r="39991" spans="18:18" s="2" customFormat="1" ht="12.75" x14ac:dyDescent="0.2">
      <c r="R39991" s="1288"/>
    </row>
    <row r="39992" spans="18:18" s="2" customFormat="1" ht="12.75" x14ac:dyDescent="0.2">
      <c r="R39992" s="1288"/>
    </row>
    <row r="39993" spans="18:18" s="2" customFormat="1" ht="12.75" x14ac:dyDescent="0.2">
      <c r="R39993" s="1288"/>
    </row>
    <row r="39994" spans="18:18" s="2" customFormat="1" ht="12.75" x14ac:dyDescent="0.2">
      <c r="R39994" s="1288"/>
    </row>
    <row r="39995" spans="18:18" s="2" customFormat="1" ht="12.75" x14ac:dyDescent="0.2">
      <c r="R39995" s="1288"/>
    </row>
    <row r="39996" spans="18:18" s="2" customFormat="1" ht="12.75" x14ac:dyDescent="0.2">
      <c r="R39996" s="1288"/>
    </row>
    <row r="39997" spans="18:18" s="2" customFormat="1" ht="12.75" x14ac:dyDescent="0.2">
      <c r="R39997" s="1288"/>
    </row>
    <row r="39998" spans="18:18" s="2" customFormat="1" ht="12.75" x14ac:dyDescent="0.2">
      <c r="R39998" s="1288"/>
    </row>
    <row r="39999" spans="18:18" s="2" customFormat="1" ht="12.75" x14ac:dyDescent="0.2">
      <c r="R39999" s="1288"/>
    </row>
    <row r="40000" spans="18:18" s="2" customFormat="1" ht="12.75" x14ac:dyDescent="0.2">
      <c r="R40000" s="1288"/>
    </row>
    <row r="40001" spans="18:18" s="2" customFormat="1" ht="12.75" x14ac:dyDescent="0.2">
      <c r="R40001" s="1288"/>
    </row>
    <row r="40002" spans="18:18" s="2" customFormat="1" ht="12.75" x14ac:dyDescent="0.2">
      <c r="R40002" s="1288"/>
    </row>
    <row r="40003" spans="18:18" s="2" customFormat="1" ht="12.75" x14ac:dyDescent="0.2">
      <c r="R40003" s="1288"/>
    </row>
    <row r="40004" spans="18:18" s="2" customFormat="1" ht="12.75" x14ac:dyDescent="0.2">
      <c r="R40004" s="1288"/>
    </row>
    <row r="40005" spans="18:18" s="2" customFormat="1" ht="12.75" x14ac:dyDescent="0.2">
      <c r="R40005" s="1288"/>
    </row>
    <row r="40006" spans="18:18" s="2" customFormat="1" ht="12.75" x14ac:dyDescent="0.2">
      <c r="R40006" s="1288"/>
    </row>
    <row r="40007" spans="18:18" s="2" customFormat="1" ht="12.75" x14ac:dyDescent="0.2">
      <c r="R40007" s="1288"/>
    </row>
    <row r="40008" spans="18:18" s="2" customFormat="1" ht="12.75" x14ac:dyDescent="0.2">
      <c r="R40008" s="1288"/>
    </row>
    <row r="40009" spans="18:18" s="2" customFormat="1" ht="12.75" x14ac:dyDescent="0.2">
      <c r="R40009" s="1288"/>
    </row>
    <row r="40010" spans="18:18" s="2" customFormat="1" ht="12.75" x14ac:dyDescent="0.2">
      <c r="R40010" s="1288"/>
    </row>
    <row r="40011" spans="18:18" s="2" customFormat="1" ht="12.75" x14ac:dyDescent="0.2">
      <c r="R40011" s="1288"/>
    </row>
    <row r="40012" spans="18:18" s="2" customFormat="1" ht="12.75" x14ac:dyDescent="0.2">
      <c r="R40012" s="1288"/>
    </row>
    <row r="40013" spans="18:18" s="2" customFormat="1" ht="12.75" x14ac:dyDescent="0.2">
      <c r="R40013" s="1288"/>
    </row>
    <row r="40014" spans="18:18" s="2" customFormat="1" ht="12.75" x14ac:dyDescent="0.2">
      <c r="R40014" s="1288"/>
    </row>
    <row r="40015" spans="18:18" s="2" customFormat="1" ht="12.75" x14ac:dyDescent="0.2">
      <c r="R40015" s="1288"/>
    </row>
    <row r="40016" spans="18:18" s="2" customFormat="1" ht="12.75" x14ac:dyDescent="0.2">
      <c r="R40016" s="1288"/>
    </row>
    <row r="40017" spans="18:18" s="2" customFormat="1" ht="12.75" x14ac:dyDescent="0.2">
      <c r="R40017" s="1288"/>
    </row>
    <row r="40018" spans="18:18" s="2" customFormat="1" ht="12.75" x14ac:dyDescent="0.2">
      <c r="R40018" s="1288"/>
    </row>
    <row r="40019" spans="18:18" s="2" customFormat="1" ht="12.75" x14ac:dyDescent="0.2">
      <c r="R40019" s="1288"/>
    </row>
    <row r="40020" spans="18:18" s="2" customFormat="1" ht="12.75" x14ac:dyDescent="0.2">
      <c r="R40020" s="1288"/>
    </row>
    <row r="40021" spans="18:18" s="2" customFormat="1" ht="12.75" x14ac:dyDescent="0.2">
      <c r="R40021" s="1288"/>
    </row>
    <row r="40022" spans="18:18" s="2" customFormat="1" ht="12.75" x14ac:dyDescent="0.2">
      <c r="R40022" s="1288"/>
    </row>
    <row r="40023" spans="18:18" s="2" customFormat="1" ht="12.75" x14ac:dyDescent="0.2">
      <c r="R40023" s="1288"/>
    </row>
    <row r="40024" spans="18:18" s="2" customFormat="1" ht="12.75" x14ac:dyDescent="0.2">
      <c r="R40024" s="1288"/>
    </row>
    <row r="40025" spans="18:18" s="2" customFormat="1" ht="12.75" x14ac:dyDescent="0.2">
      <c r="R40025" s="1288"/>
    </row>
    <row r="40026" spans="18:18" s="2" customFormat="1" ht="12.75" x14ac:dyDescent="0.2">
      <c r="R40026" s="1288"/>
    </row>
    <row r="40027" spans="18:18" s="2" customFormat="1" ht="12.75" x14ac:dyDescent="0.2">
      <c r="R40027" s="1288"/>
    </row>
    <row r="40028" spans="18:18" s="2" customFormat="1" ht="12.75" x14ac:dyDescent="0.2">
      <c r="R40028" s="1288"/>
    </row>
    <row r="40029" spans="18:18" s="2" customFormat="1" ht="12.75" x14ac:dyDescent="0.2">
      <c r="R40029" s="1288"/>
    </row>
    <row r="40030" spans="18:18" s="2" customFormat="1" ht="12.75" x14ac:dyDescent="0.2">
      <c r="R40030" s="1288"/>
    </row>
    <row r="40031" spans="18:18" s="2" customFormat="1" ht="12.75" x14ac:dyDescent="0.2">
      <c r="R40031" s="1288"/>
    </row>
    <row r="40032" spans="18:18" s="2" customFormat="1" ht="12.75" x14ac:dyDescent="0.2">
      <c r="R40032" s="1288"/>
    </row>
    <row r="40033" spans="18:18" s="2" customFormat="1" ht="12.75" x14ac:dyDescent="0.2">
      <c r="R40033" s="1288"/>
    </row>
    <row r="40034" spans="18:18" s="2" customFormat="1" ht="12.75" x14ac:dyDescent="0.2">
      <c r="R40034" s="1288"/>
    </row>
    <row r="40035" spans="18:18" s="2" customFormat="1" ht="12.75" x14ac:dyDescent="0.2">
      <c r="R40035" s="1288"/>
    </row>
    <row r="40036" spans="18:18" s="2" customFormat="1" ht="12.75" x14ac:dyDescent="0.2">
      <c r="R40036" s="1288"/>
    </row>
    <row r="40037" spans="18:18" s="2" customFormat="1" ht="12.75" x14ac:dyDescent="0.2">
      <c r="R40037" s="1288"/>
    </row>
    <row r="40038" spans="18:18" s="2" customFormat="1" ht="12.75" x14ac:dyDescent="0.2">
      <c r="R40038" s="1288"/>
    </row>
    <row r="40039" spans="18:18" s="2" customFormat="1" ht="12.75" x14ac:dyDescent="0.2">
      <c r="R40039" s="1288"/>
    </row>
    <row r="40040" spans="18:18" s="2" customFormat="1" ht="12.75" x14ac:dyDescent="0.2">
      <c r="R40040" s="1288"/>
    </row>
    <row r="40041" spans="18:18" s="2" customFormat="1" ht="12.75" x14ac:dyDescent="0.2">
      <c r="R40041" s="1288"/>
    </row>
    <row r="40042" spans="18:18" s="2" customFormat="1" ht="12.75" x14ac:dyDescent="0.2">
      <c r="R40042" s="1288"/>
    </row>
    <row r="40043" spans="18:18" s="2" customFormat="1" ht="12.75" x14ac:dyDescent="0.2">
      <c r="R40043" s="1288"/>
    </row>
    <row r="40044" spans="18:18" s="2" customFormat="1" ht="12.75" x14ac:dyDescent="0.2">
      <c r="R40044" s="1288"/>
    </row>
    <row r="40045" spans="18:18" s="2" customFormat="1" ht="12.75" x14ac:dyDescent="0.2">
      <c r="R40045" s="1288"/>
    </row>
    <row r="40046" spans="18:18" s="2" customFormat="1" ht="12.75" x14ac:dyDescent="0.2">
      <c r="R40046" s="1288"/>
    </row>
    <row r="40047" spans="18:18" s="2" customFormat="1" ht="12.75" x14ac:dyDescent="0.2">
      <c r="R40047" s="1288"/>
    </row>
    <row r="40048" spans="18:18" s="2" customFormat="1" ht="12.75" x14ac:dyDescent="0.2">
      <c r="R40048" s="1288"/>
    </row>
    <row r="40049" spans="18:18" s="2" customFormat="1" ht="12.75" x14ac:dyDescent="0.2">
      <c r="R40049" s="1288"/>
    </row>
    <row r="40050" spans="18:18" s="2" customFormat="1" ht="12.75" x14ac:dyDescent="0.2">
      <c r="R40050" s="1288"/>
    </row>
    <row r="40051" spans="18:18" s="2" customFormat="1" ht="12.75" x14ac:dyDescent="0.2">
      <c r="R40051" s="1288"/>
    </row>
    <row r="40052" spans="18:18" s="2" customFormat="1" ht="12.75" x14ac:dyDescent="0.2">
      <c r="R40052" s="1288"/>
    </row>
    <row r="40053" spans="18:18" s="2" customFormat="1" ht="12.75" x14ac:dyDescent="0.2">
      <c r="R40053" s="1288"/>
    </row>
    <row r="40054" spans="18:18" s="2" customFormat="1" ht="12.75" x14ac:dyDescent="0.2">
      <c r="R40054" s="1288"/>
    </row>
    <row r="40055" spans="18:18" s="2" customFormat="1" ht="12.75" x14ac:dyDescent="0.2">
      <c r="R40055" s="1288"/>
    </row>
    <row r="40056" spans="18:18" s="2" customFormat="1" ht="12.75" x14ac:dyDescent="0.2">
      <c r="R40056" s="1288"/>
    </row>
    <row r="40057" spans="18:18" s="2" customFormat="1" ht="12.75" x14ac:dyDescent="0.2">
      <c r="R40057" s="1288"/>
    </row>
    <row r="40058" spans="18:18" s="2" customFormat="1" ht="12.75" x14ac:dyDescent="0.2">
      <c r="R40058" s="1288"/>
    </row>
    <row r="40059" spans="18:18" s="2" customFormat="1" ht="12.75" x14ac:dyDescent="0.2">
      <c r="R40059" s="1288"/>
    </row>
    <row r="40060" spans="18:18" s="2" customFormat="1" ht="12.75" x14ac:dyDescent="0.2">
      <c r="R40060" s="1288"/>
    </row>
    <row r="40061" spans="18:18" s="2" customFormat="1" ht="12.75" x14ac:dyDescent="0.2">
      <c r="R40061" s="1288"/>
    </row>
    <row r="40062" spans="18:18" s="2" customFormat="1" ht="12.75" x14ac:dyDescent="0.2">
      <c r="R40062" s="1288"/>
    </row>
    <row r="40063" spans="18:18" s="2" customFormat="1" ht="12.75" x14ac:dyDescent="0.2">
      <c r="R40063" s="1288"/>
    </row>
    <row r="40064" spans="18:18" s="2" customFormat="1" ht="12.75" x14ac:dyDescent="0.2">
      <c r="R40064" s="1288"/>
    </row>
    <row r="40065" spans="18:18" s="2" customFormat="1" ht="12.75" x14ac:dyDescent="0.2">
      <c r="R40065" s="1288"/>
    </row>
    <row r="40066" spans="18:18" s="2" customFormat="1" ht="12.75" x14ac:dyDescent="0.2">
      <c r="R40066" s="1288"/>
    </row>
    <row r="40067" spans="18:18" s="2" customFormat="1" ht="12.75" x14ac:dyDescent="0.2">
      <c r="R40067" s="1288"/>
    </row>
    <row r="40068" spans="18:18" s="2" customFormat="1" ht="12.75" x14ac:dyDescent="0.2">
      <c r="R40068" s="1288"/>
    </row>
    <row r="40069" spans="18:18" s="2" customFormat="1" ht="12.75" x14ac:dyDescent="0.2">
      <c r="R40069" s="1288"/>
    </row>
    <row r="40070" spans="18:18" s="2" customFormat="1" ht="12.75" x14ac:dyDescent="0.2">
      <c r="R40070" s="1288"/>
    </row>
    <row r="40071" spans="18:18" s="2" customFormat="1" ht="12.75" x14ac:dyDescent="0.2">
      <c r="R40071" s="1288"/>
    </row>
    <row r="40072" spans="18:18" s="2" customFormat="1" ht="12.75" x14ac:dyDescent="0.2">
      <c r="R40072" s="1288"/>
    </row>
    <row r="40073" spans="18:18" s="2" customFormat="1" ht="12.75" x14ac:dyDescent="0.2">
      <c r="R40073" s="1288"/>
    </row>
    <row r="40074" spans="18:18" s="2" customFormat="1" ht="12.75" x14ac:dyDescent="0.2">
      <c r="R40074" s="1288"/>
    </row>
    <row r="40075" spans="18:18" s="2" customFormat="1" ht="12.75" x14ac:dyDescent="0.2">
      <c r="R40075" s="1288"/>
    </row>
    <row r="40076" spans="18:18" s="2" customFormat="1" ht="12.75" x14ac:dyDescent="0.2">
      <c r="R40076" s="1288"/>
    </row>
    <row r="40077" spans="18:18" s="2" customFormat="1" ht="12.75" x14ac:dyDescent="0.2">
      <c r="R40077" s="1288"/>
    </row>
    <row r="40078" spans="18:18" s="2" customFormat="1" ht="12.75" x14ac:dyDescent="0.2">
      <c r="R40078" s="1288"/>
    </row>
    <row r="40079" spans="18:18" s="2" customFormat="1" ht="12.75" x14ac:dyDescent="0.2">
      <c r="R40079" s="1288"/>
    </row>
    <row r="40080" spans="18:18" s="2" customFormat="1" ht="12.75" x14ac:dyDescent="0.2">
      <c r="R40080" s="1288"/>
    </row>
    <row r="40081" spans="18:18" s="2" customFormat="1" ht="12.75" x14ac:dyDescent="0.2">
      <c r="R40081" s="1288"/>
    </row>
    <row r="40082" spans="18:18" s="2" customFormat="1" ht="12.75" x14ac:dyDescent="0.2">
      <c r="R40082" s="1288"/>
    </row>
    <row r="40083" spans="18:18" s="2" customFormat="1" ht="12.75" x14ac:dyDescent="0.2">
      <c r="R40083" s="1288"/>
    </row>
    <row r="40084" spans="18:18" s="2" customFormat="1" ht="12.75" x14ac:dyDescent="0.2">
      <c r="R40084" s="1288"/>
    </row>
    <row r="40085" spans="18:18" s="2" customFormat="1" ht="12.75" x14ac:dyDescent="0.2">
      <c r="R40085" s="1288"/>
    </row>
    <row r="40086" spans="18:18" s="2" customFormat="1" ht="12.75" x14ac:dyDescent="0.2">
      <c r="R40086" s="1288"/>
    </row>
    <row r="40087" spans="18:18" s="2" customFormat="1" ht="12.75" x14ac:dyDescent="0.2">
      <c r="R40087" s="1288"/>
    </row>
    <row r="40088" spans="18:18" s="2" customFormat="1" ht="12.75" x14ac:dyDescent="0.2">
      <c r="R40088" s="1288"/>
    </row>
    <row r="40089" spans="18:18" s="2" customFormat="1" ht="12.75" x14ac:dyDescent="0.2">
      <c r="R40089" s="1288"/>
    </row>
    <row r="40090" spans="18:18" s="2" customFormat="1" ht="12.75" x14ac:dyDescent="0.2">
      <c r="R40090" s="1288"/>
    </row>
    <row r="40091" spans="18:18" s="2" customFormat="1" ht="12.75" x14ac:dyDescent="0.2">
      <c r="R40091" s="1288"/>
    </row>
    <row r="40092" spans="18:18" s="2" customFormat="1" ht="12.75" x14ac:dyDescent="0.2">
      <c r="R40092" s="1288"/>
    </row>
    <row r="40093" spans="18:18" s="2" customFormat="1" ht="12.75" x14ac:dyDescent="0.2">
      <c r="R40093" s="1288"/>
    </row>
    <row r="40094" spans="18:18" s="2" customFormat="1" ht="12.75" x14ac:dyDescent="0.2">
      <c r="R40094" s="1288"/>
    </row>
    <row r="40095" spans="18:18" s="2" customFormat="1" ht="12.75" x14ac:dyDescent="0.2">
      <c r="R40095" s="1288"/>
    </row>
    <row r="40096" spans="18:18" s="2" customFormat="1" ht="12.75" x14ac:dyDescent="0.2">
      <c r="R40096" s="1288"/>
    </row>
    <row r="40097" spans="18:18" s="2" customFormat="1" ht="12.75" x14ac:dyDescent="0.2">
      <c r="R40097" s="1288"/>
    </row>
    <row r="40098" spans="18:18" s="2" customFormat="1" ht="12.75" x14ac:dyDescent="0.2">
      <c r="R40098" s="1288"/>
    </row>
    <row r="40099" spans="18:18" s="2" customFormat="1" ht="12.75" x14ac:dyDescent="0.2">
      <c r="R40099" s="1288"/>
    </row>
    <row r="40100" spans="18:18" s="2" customFormat="1" ht="12.75" x14ac:dyDescent="0.2">
      <c r="R40100" s="1288"/>
    </row>
    <row r="40101" spans="18:18" s="2" customFormat="1" ht="12.75" x14ac:dyDescent="0.2">
      <c r="R40101" s="1288"/>
    </row>
    <row r="40102" spans="18:18" s="2" customFormat="1" ht="12.75" x14ac:dyDescent="0.2">
      <c r="R40102" s="1288"/>
    </row>
    <row r="40103" spans="18:18" s="2" customFormat="1" ht="12.75" x14ac:dyDescent="0.2">
      <c r="R40103" s="1288"/>
    </row>
    <row r="40104" spans="18:18" s="2" customFormat="1" ht="12.75" x14ac:dyDescent="0.2">
      <c r="R40104" s="1288"/>
    </row>
    <row r="40105" spans="18:18" s="2" customFormat="1" ht="12.75" x14ac:dyDescent="0.2">
      <c r="R40105" s="1288"/>
    </row>
    <row r="40106" spans="18:18" s="2" customFormat="1" ht="12.75" x14ac:dyDescent="0.2">
      <c r="R40106" s="1288"/>
    </row>
    <row r="40107" spans="18:18" s="2" customFormat="1" ht="12.75" x14ac:dyDescent="0.2">
      <c r="R40107" s="1288"/>
    </row>
    <row r="40108" spans="18:18" s="2" customFormat="1" ht="12.75" x14ac:dyDescent="0.2">
      <c r="R40108" s="1288"/>
    </row>
    <row r="40109" spans="18:18" s="2" customFormat="1" ht="12.75" x14ac:dyDescent="0.2">
      <c r="R40109" s="1288"/>
    </row>
    <row r="40110" spans="18:18" s="2" customFormat="1" ht="12.75" x14ac:dyDescent="0.2">
      <c r="R40110" s="1288"/>
    </row>
    <row r="40111" spans="18:18" s="2" customFormat="1" ht="12.75" x14ac:dyDescent="0.2">
      <c r="R40111" s="1288"/>
    </row>
    <row r="40112" spans="18:18" s="2" customFormat="1" ht="12.75" x14ac:dyDescent="0.2">
      <c r="R40112" s="1288"/>
    </row>
    <row r="40113" spans="18:18" s="2" customFormat="1" ht="12.75" x14ac:dyDescent="0.2">
      <c r="R40113" s="1288"/>
    </row>
    <row r="40114" spans="18:18" s="2" customFormat="1" ht="12.75" x14ac:dyDescent="0.2">
      <c r="R40114" s="1288"/>
    </row>
    <row r="40115" spans="18:18" s="2" customFormat="1" ht="12.75" x14ac:dyDescent="0.2">
      <c r="R40115" s="1288"/>
    </row>
    <row r="40116" spans="18:18" s="2" customFormat="1" ht="12.75" x14ac:dyDescent="0.2">
      <c r="R40116" s="1288"/>
    </row>
    <row r="40117" spans="18:18" s="2" customFormat="1" ht="12.75" x14ac:dyDescent="0.2">
      <c r="R40117" s="1288"/>
    </row>
    <row r="40118" spans="18:18" s="2" customFormat="1" ht="12.75" x14ac:dyDescent="0.2">
      <c r="R40118" s="1288"/>
    </row>
    <row r="40119" spans="18:18" s="2" customFormat="1" ht="12.75" x14ac:dyDescent="0.2">
      <c r="R40119" s="1288"/>
    </row>
    <row r="40120" spans="18:18" s="2" customFormat="1" ht="12.75" x14ac:dyDescent="0.2">
      <c r="R40120" s="1288"/>
    </row>
    <row r="40121" spans="18:18" s="2" customFormat="1" ht="12.75" x14ac:dyDescent="0.2">
      <c r="R40121" s="1288"/>
    </row>
    <row r="40122" spans="18:18" s="2" customFormat="1" ht="12.75" x14ac:dyDescent="0.2">
      <c r="R40122" s="1288"/>
    </row>
    <row r="40123" spans="18:18" s="2" customFormat="1" ht="12.75" x14ac:dyDescent="0.2">
      <c r="R40123" s="1288"/>
    </row>
    <row r="40124" spans="18:18" s="2" customFormat="1" ht="12.75" x14ac:dyDescent="0.2">
      <c r="R40124" s="1288"/>
    </row>
    <row r="40125" spans="18:18" s="2" customFormat="1" ht="12.75" x14ac:dyDescent="0.2">
      <c r="R40125" s="1288"/>
    </row>
    <row r="40126" spans="18:18" s="2" customFormat="1" ht="12.75" x14ac:dyDescent="0.2">
      <c r="R40126" s="1288"/>
    </row>
    <row r="40127" spans="18:18" s="2" customFormat="1" ht="12.75" x14ac:dyDescent="0.2">
      <c r="R40127" s="1288"/>
    </row>
    <row r="40128" spans="18:18" s="2" customFormat="1" ht="12.75" x14ac:dyDescent="0.2">
      <c r="R40128" s="1288"/>
    </row>
    <row r="40129" spans="18:18" s="2" customFormat="1" ht="12.75" x14ac:dyDescent="0.2">
      <c r="R40129" s="1288"/>
    </row>
    <row r="40130" spans="18:18" s="2" customFormat="1" ht="12.75" x14ac:dyDescent="0.2">
      <c r="R40130" s="1288"/>
    </row>
    <row r="40131" spans="18:18" s="2" customFormat="1" ht="12.75" x14ac:dyDescent="0.2">
      <c r="R40131" s="1288"/>
    </row>
    <row r="40132" spans="18:18" s="2" customFormat="1" ht="12.75" x14ac:dyDescent="0.2">
      <c r="R40132" s="1288"/>
    </row>
    <row r="40133" spans="18:18" s="2" customFormat="1" ht="12.75" x14ac:dyDescent="0.2">
      <c r="R40133" s="1288"/>
    </row>
    <row r="40134" spans="18:18" s="2" customFormat="1" ht="12.75" x14ac:dyDescent="0.2">
      <c r="R40134" s="1288"/>
    </row>
    <row r="40135" spans="18:18" s="2" customFormat="1" ht="12.75" x14ac:dyDescent="0.2">
      <c r="R40135" s="1288"/>
    </row>
    <row r="40136" spans="18:18" s="2" customFormat="1" ht="12.75" x14ac:dyDescent="0.2">
      <c r="R40136" s="1288"/>
    </row>
    <row r="40137" spans="18:18" s="2" customFormat="1" ht="12.75" x14ac:dyDescent="0.2">
      <c r="R40137" s="1288"/>
    </row>
    <row r="40138" spans="18:18" s="2" customFormat="1" ht="12.75" x14ac:dyDescent="0.2">
      <c r="R40138" s="1288"/>
    </row>
    <row r="40139" spans="18:18" s="2" customFormat="1" ht="12.75" x14ac:dyDescent="0.2">
      <c r="R40139" s="1288"/>
    </row>
    <row r="40140" spans="18:18" s="2" customFormat="1" ht="12.75" x14ac:dyDescent="0.2">
      <c r="R40140" s="1288"/>
    </row>
    <row r="40141" spans="18:18" s="2" customFormat="1" ht="12.75" x14ac:dyDescent="0.2">
      <c r="R40141" s="1288"/>
    </row>
    <row r="40142" spans="18:18" s="2" customFormat="1" ht="12.75" x14ac:dyDescent="0.2">
      <c r="R40142" s="1288"/>
    </row>
    <row r="40143" spans="18:18" s="2" customFormat="1" ht="12.75" x14ac:dyDescent="0.2">
      <c r="R40143" s="1288"/>
    </row>
    <row r="40144" spans="18:18" s="2" customFormat="1" ht="12.75" x14ac:dyDescent="0.2">
      <c r="R40144" s="1288"/>
    </row>
    <row r="40145" spans="18:18" s="2" customFormat="1" ht="12.75" x14ac:dyDescent="0.2">
      <c r="R40145" s="1288"/>
    </row>
    <row r="40146" spans="18:18" s="2" customFormat="1" ht="12.75" x14ac:dyDescent="0.2">
      <c r="R40146" s="1288"/>
    </row>
    <row r="40147" spans="18:18" s="2" customFormat="1" ht="12.75" x14ac:dyDescent="0.2">
      <c r="R40147" s="1288"/>
    </row>
    <row r="40148" spans="18:18" s="2" customFormat="1" ht="12.75" x14ac:dyDescent="0.2">
      <c r="R40148" s="1288"/>
    </row>
    <row r="40149" spans="18:18" s="2" customFormat="1" ht="12.75" x14ac:dyDescent="0.2">
      <c r="R40149" s="1288"/>
    </row>
    <row r="40150" spans="18:18" s="2" customFormat="1" ht="12.75" x14ac:dyDescent="0.2">
      <c r="R40150" s="1288"/>
    </row>
    <row r="40151" spans="18:18" s="2" customFormat="1" ht="12.75" x14ac:dyDescent="0.2">
      <c r="R40151" s="1288"/>
    </row>
    <row r="40152" spans="18:18" s="2" customFormat="1" ht="12.75" x14ac:dyDescent="0.2">
      <c r="R40152" s="1288"/>
    </row>
    <row r="40153" spans="18:18" s="2" customFormat="1" ht="12.75" x14ac:dyDescent="0.2">
      <c r="R40153" s="1288"/>
    </row>
    <row r="40154" spans="18:18" s="2" customFormat="1" ht="12.75" x14ac:dyDescent="0.2">
      <c r="R40154" s="1288"/>
    </row>
    <row r="40155" spans="18:18" s="2" customFormat="1" ht="12.75" x14ac:dyDescent="0.2">
      <c r="R40155" s="1288"/>
    </row>
    <row r="40156" spans="18:18" s="2" customFormat="1" ht="12.75" x14ac:dyDescent="0.2">
      <c r="R40156" s="1288"/>
    </row>
    <row r="40157" spans="18:18" s="2" customFormat="1" ht="12.75" x14ac:dyDescent="0.2">
      <c r="R40157" s="1288"/>
    </row>
    <row r="40158" spans="18:18" s="2" customFormat="1" ht="12.75" x14ac:dyDescent="0.2">
      <c r="R40158" s="1288"/>
    </row>
    <row r="40159" spans="18:18" s="2" customFormat="1" ht="12.75" x14ac:dyDescent="0.2">
      <c r="R40159" s="1288"/>
    </row>
    <row r="40160" spans="18:18" s="2" customFormat="1" ht="12.75" x14ac:dyDescent="0.2">
      <c r="R40160" s="1288"/>
    </row>
    <row r="40161" spans="18:18" s="2" customFormat="1" ht="12.75" x14ac:dyDescent="0.2">
      <c r="R40161" s="1288"/>
    </row>
    <row r="40162" spans="18:18" s="2" customFormat="1" ht="12.75" x14ac:dyDescent="0.2">
      <c r="R40162" s="1288"/>
    </row>
    <row r="40163" spans="18:18" s="2" customFormat="1" ht="12.75" x14ac:dyDescent="0.2">
      <c r="R40163" s="1288"/>
    </row>
    <row r="40164" spans="18:18" s="2" customFormat="1" ht="12.75" x14ac:dyDescent="0.2">
      <c r="R40164" s="1288"/>
    </row>
    <row r="40165" spans="18:18" s="2" customFormat="1" ht="12.75" x14ac:dyDescent="0.2">
      <c r="R40165" s="1288"/>
    </row>
    <row r="40166" spans="18:18" s="2" customFormat="1" ht="12.75" x14ac:dyDescent="0.2">
      <c r="R40166" s="1288"/>
    </row>
    <row r="40167" spans="18:18" s="2" customFormat="1" ht="12.75" x14ac:dyDescent="0.2">
      <c r="R40167" s="1288"/>
    </row>
    <row r="40168" spans="18:18" s="2" customFormat="1" ht="12.75" x14ac:dyDescent="0.2">
      <c r="R40168" s="1288"/>
    </row>
    <row r="40169" spans="18:18" s="2" customFormat="1" ht="12.75" x14ac:dyDescent="0.2">
      <c r="R40169" s="1288"/>
    </row>
    <row r="40170" spans="18:18" s="2" customFormat="1" ht="12.75" x14ac:dyDescent="0.2">
      <c r="R40170" s="1288"/>
    </row>
    <row r="40171" spans="18:18" s="2" customFormat="1" ht="12.75" x14ac:dyDescent="0.2">
      <c r="R40171" s="1288"/>
    </row>
    <row r="40172" spans="18:18" s="2" customFormat="1" ht="12.75" x14ac:dyDescent="0.2">
      <c r="R40172" s="1288"/>
    </row>
    <row r="40173" spans="18:18" s="2" customFormat="1" ht="12.75" x14ac:dyDescent="0.2">
      <c r="R40173" s="1288"/>
    </row>
    <row r="40174" spans="18:18" s="2" customFormat="1" ht="12.75" x14ac:dyDescent="0.2">
      <c r="R40174" s="1288"/>
    </row>
    <row r="40175" spans="18:18" s="2" customFormat="1" ht="12.75" x14ac:dyDescent="0.2">
      <c r="R40175" s="1288"/>
    </row>
    <row r="40176" spans="18:18" s="2" customFormat="1" ht="12.75" x14ac:dyDescent="0.2">
      <c r="R40176" s="1288"/>
    </row>
    <row r="40177" spans="18:18" s="2" customFormat="1" ht="12.75" x14ac:dyDescent="0.2">
      <c r="R40177" s="1288"/>
    </row>
    <row r="40178" spans="18:18" s="2" customFormat="1" ht="12.75" x14ac:dyDescent="0.2">
      <c r="R40178" s="1288"/>
    </row>
    <row r="40179" spans="18:18" s="2" customFormat="1" ht="12.75" x14ac:dyDescent="0.2">
      <c r="R40179" s="1288"/>
    </row>
    <row r="40180" spans="18:18" s="2" customFormat="1" ht="12.75" x14ac:dyDescent="0.2">
      <c r="R40180" s="1288"/>
    </row>
    <row r="40181" spans="18:18" s="2" customFormat="1" ht="12.75" x14ac:dyDescent="0.2">
      <c r="R40181" s="1288"/>
    </row>
    <row r="40182" spans="18:18" s="2" customFormat="1" ht="12.75" x14ac:dyDescent="0.2">
      <c r="R40182" s="1288"/>
    </row>
    <row r="40183" spans="18:18" s="2" customFormat="1" ht="12.75" x14ac:dyDescent="0.2">
      <c r="R40183" s="1288"/>
    </row>
    <row r="40184" spans="18:18" s="2" customFormat="1" ht="12.75" x14ac:dyDescent="0.2">
      <c r="R40184" s="1288"/>
    </row>
    <row r="40185" spans="18:18" s="2" customFormat="1" ht="12.75" x14ac:dyDescent="0.2">
      <c r="R40185" s="1288"/>
    </row>
    <row r="40186" spans="18:18" s="2" customFormat="1" ht="12.75" x14ac:dyDescent="0.2">
      <c r="R40186" s="1288"/>
    </row>
    <row r="40187" spans="18:18" s="2" customFormat="1" ht="12.75" x14ac:dyDescent="0.2">
      <c r="R40187" s="1288"/>
    </row>
    <row r="40188" spans="18:18" s="2" customFormat="1" ht="12.75" x14ac:dyDescent="0.2">
      <c r="R40188" s="1288"/>
    </row>
    <row r="40189" spans="18:18" s="2" customFormat="1" ht="12.75" x14ac:dyDescent="0.2">
      <c r="R40189" s="1288"/>
    </row>
    <row r="40190" spans="18:18" s="2" customFormat="1" ht="12.75" x14ac:dyDescent="0.2">
      <c r="R40190" s="1288"/>
    </row>
    <row r="40191" spans="18:18" s="2" customFormat="1" ht="12.75" x14ac:dyDescent="0.2">
      <c r="R40191" s="1288"/>
    </row>
    <row r="40192" spans="18:18" s="2" customFormat="1" ht="12.75" x14ac:dyDescent="0.2">
      <c r="R40192" s="1288"/>
    </row>
    <row r="40193" spans="18:18" s="2" customFormat="1" ht="12.75" x14ac:dyDescent="0.2">
      <c r="R40193" s="1288"/>
    </row>
    <row r="40194" spans="18:18" s="2" customFormat="1" ht="12.75" x14ac:dyDescent="0.2">
      <c r="R40194" s="1288"/>
    </row>
    <row r="40195" spans="18:18" s="2" customFormat="1" ht="12.75" x14ac:dyDescent="0.2">
      <c r="R40195" s="1288"/>
    </row>
    <row r="40196" spans="18:18" s="2" customFormat="1" ht="12.75" x14ac:dyDescent="0.2">
      <c r="R40196" s="1288"/>
    </row>
    <row r="40197" spans="18:18" s="2" customFormat="1" ht="12.75" x14ac:dyDescent="0.2">
      <c r="R40197" s="1288"/>
    </row>
    <row r="40198" spans="18:18" s="2" customFormat="1" ht="12.75" x14ac:dyDescent="0.2">
      <c r="R40198" s="1288"/>
    </row>
    <row r="40199" spans="18:18" s="2" customFormat="1" ht="12.75" x14ac:dyDescent="0.2">
      <c r="R40199" s="1288"/>
    </row>
    <row r="40200" spans="18:18" s="2" customFormat="1" ht="12.75" x14ac:dyDescent="0.2">
      <c r="R40200" s="1288"/>
    </row>
    <row r="40201" spans="18:18" s="2" customFormat="1" ht="12.75" x14ac:dyDescent="0.2">
      <c r="R40201" s="1288"/>
    </row>
    <row r="40202" spans="18:18" s="2" customFormat="1" ht="12.75" x14ac:dyDescent="0.2">
      <c r="R40202" s="1288"/>
    </row>
    <row r="40203" spans="18:18" s="2" customFormat="1" ht="12.75" x14ac:dyDescent="0.2">
      <c r="R40203" s="1288"/>
    </row>
    <row r="40204" spans="18:18" s="2" customFormat="1" ht="12.75" x14ac:dyDescent="0.2">
      <c r="R40204" s="1288"/>
    </row>
    <row r="40205" spans="18:18" s="2" customFormat="1" ht="12.75" x14ac:dyDescent="0.2">
      <c r="R40205" s="1288"/>
    </row>
    <row r="40206" spans="18:18" s="2" customFormat="1" ht="12.75" x14ac:dyDescent="0.2">
      <c r="R40206" s="1288"/>
    </row>
    <row r="40207" spans="18:18" s="2" customFormat="1" ht="12.75" x14ac:dyDescent="0.2">
      <c r="R40207" s="1288"/>
    </row>
    <row r="40208" spans="18:18" s="2" customFormat="1" ht="12.75" x14ac:dyDescent="0.2">
      <c r="R40208" s="1288"/>
    </row>
    <row r="40209" spans="18:18" s="2" customFormat="1" ht="12.75" x14ac:dyDescent="0.2">
      <c r="R40209" s="1288"/>
    </row>
    <row r="40210" spans="18:18" s="2" customFormat="1" ht="12.75" x14ac:dyDescent="0.2">
      <c r="R40210" s="1288"/>
    </row>
    <row r="40211" spans="18:18" s="2" customFormat="1" ht="12.75" x14ac:dyDescent="0.2">
      <c r="R40211" s="1288"/>
    </row>
    <row r="40212" spans="18:18" s="2" customFormat="1" ht="12.75" x14ac:dyDescent="0.2">
      <c r="R40212" s="1288"/>
    </row>
    <row r="40213" spans="18:18" s="2" customFormat="1" ht="12.75" x14ac:dyDescent="0.2">
      <c r="R40213" s="1288"/>
    </row>
    <row r="40214" spans="18:18" s="2" customFormat="1" ht="12.75" x14ac:dyDescent="0.2">
      <c r="R40214" s="1288"/>
    </row>
    <row r="40215" spans="18:18" s="2" customFormat="1" ht="12.75" x14ac:dyDescent="0.2">
      <c r="R40215" s="1288"/>
    </row>
    <row r="40216" spans="18:18" s="2" customFormat="1" ht="12.75" x14ac:dyDescent="0.2">
      <c r="R40216" s="1288"/>
    </row>
    <row r="40217" spans="18:18" s="2" customFormat="1" ht="12.75" x14ac:dyDescent="0.2">
      <c r="R40217" s="1288"/>
    </row>
    <row r="40218" spans="18:18" s="2" customFormat="1" ht="12.75" x14ac:dyDescent="0.2">
      <c r="R40218" s="1288"/>
    </row>
    <row r="40219" spans="18:18" s="2" customFormat="1" ht="12.75" x14ac:dyDescent="0.2">
      <c r="R40219" s="1288"/>
    </row>
    <row r="40220" spans="18:18" s="2" customFormat="1" ht="12.75" x14ac:dyDescent="0.2">
      <c r="R40220" s="1288"/>
    </row>
    <row r="40221" spans="18:18" s="2" customFormat="1" ht="12.75" x14ac:dyDescent="0.2">
      <c r="R40221" s="1288"/>
    </row>
    <row r="40222" spans="18:18" s="2" customFormat="1" ht="12.75" x14ac:dyDescent="0.2">
      <c r="R40222" s="1288"/>
    </row>
    <row r="40223" spans="18:18" s="2" customFormat="1" ht="12.75" x14ac:dyDescent="0.2">
      <c r="R40223" s="1288"/>
    </row>
    <row r="40224" spans="18:18" s="2" customFormat="1" ht="12.75" x14ac:dyDescent="0.2">
      <c r="R40224" s="1288"/>
    </row>
    <row r="40225" spans="18:18" s="2" customFormat="1" ht="12.75" x14ac:dyDescent="0.2">
      <c r="R40225" s="1288"/>
    </row>
    <row r="40226" spans="18:18" s="2" customFormat="1" ht="12.75" x14ac:dyDescent="0.2">
      <c r="R40226" s="1288"/>
    </row>
    <row r="40227" spans="18:18" s="2" customFormat="1" ht="12.75" x14ac:dyDescent="0.2">
      <c r="R40227" s="1288"/>
    </row>
    <row r="40228" spans="18:18" s="2" customFormat="1" ht="12.75" x14ac:dyDescent="0.2">
      <c r="R40228" s="1288"/>
    </row>
    <row r="40229" spans="18:18" s="2" customFormat="1" ht="12.75" x14ac:dyDescent="0.2">
      <c r="R40229" s="1288"/>
    </row>
    <row r="40230" spans="18:18" s="2" customFormat="1" ht="12.75" x14ac:dyDescent="0.2">
      <c r="R40230" s="1288"/>
    </row>
    <row r="40231" spans="18:18" s="2" customFormat="1" ht="12.75" x14ac:dyDescent="0.2">
      <c r="R40231" s="1288"/>
    </row>
    <row r="40232" spans="18:18" s="2" customFormat="1" ht="12.75" x14ac:dyDescent="0.2">
      <c r="R40232" s="1288"/>
    </row>
    <row r="40233" spans="18:18" s="2" customFormat="1" ht="12.75" x14ac:dyDescent="0.2">
      <c r="R40233" s="1288"/>
    </row>
    <row r="40234" spans="18:18" s="2" customFormat="1" ht="12.75" x14ac:dyDescent="0.2">
      <c r="R40234" s="1288"/>
    </row>
    <row r="40235" spans="18:18" s="2" customFormat="1" ht="12.75" x14ac:dyDescent="0.2">
      <c r="R40235" s="1288"/>
    </row>
    <row r="40236" spans="18:18" s="2" customFormat="1" ht="12.75" x14ac:dyDescent="0.2">
      <c r="R40236" s="1288"/>
    </row>
    <row r="40237" spans="18:18" s="2" customFormat="1" ht="12.75" x14ac:dyDescent="0.2">
      <c r="R40237" s="1288"/>
    </row>
    <row r="40238" spans="18:18" s="2" customFormat="1" ht="12.75" x14ac:dyDescent="0.2">
      <c r="R40238" s="1288"/>
    </row>
    <row r="40239" spans="18:18" s="2" customFormat="1" ht="12.75" x14ac:dyDescent="0.2">
      <c r="R40239" s="1288"/>
    </row>
    <row r="40240" spans="18:18" s="2" customFormat="1" ht="12.75" x14ac:dyDescent="0.2">
      <c r="R40240" s="1288"/>
    </row>
    <row r="40241" spans="18:18" s="2" customFormat="1" ht="12.75" x14ac:dyDescent="0.2">
      <c r="R40241" s="1288"/>
    </row>
    <row r="40242" spans="18:18" s="2" customFormat="1" ht="12.75" x14ac:dyDescent="0.2">
      <c r="R40242" s="1288"/>
    </row>
    <row r="40243" spans="18:18" s="2" customFormat="1" ht="12.75" x14ac:dyDescent="0.2">
      <c r="R40243" s="1288"/>
    </row>
    <row r="40244" spans="18:18" s="2" customFormat="1" ht="12.75" x14ac:dyDescent="0.2">
      <c r="R40244" s="1288"/>
    </row>
    <row r="40245" spans="18:18" s="2" customFormat="1" ht="12.75" x14ac:dyDescent="0.2">
      <c r="R40245" s="1288"/>
    </row>
    <row r="40246" spans="18:18" s="2" customFormat="1" ht="12.75" x14ac:dyDescent="0.2">
      <c r="R40246" s="1288"/>
    </row>
    <row r="40247" spans="18:18" s="2" customFormat="1" ht="12.75" x14ac:dyDescent="0.2">
      <c r="R40247" s="1288"/>
    </row>
    <row r="40248" spans="18:18" s="2" customFormat="1" ht="12.75" x14ac:dyDescent="0.2">
      <c r="R40248" s="1288"/>
    </row>
    <row r="40249" spans="18:18" s="2" customFormat="1" ht="12.75" x14ac:dyDescent="0.2">
      <c r="R40249" s="1288"/>
    </row>
    <row r="40250" spans="18:18" s="2" customFormat="1" ht="12.75" x14ac:dyDescent="0.2">
      <c r="R40250" s="1288"/>
    </row>
    <row r="40251" spans="18:18" s="2" customFormat="1" ht="12.75" x14ac:dyDescent="0.2">
      <c r="R40251" s="1288"/>
    </row>
    <row r="40252" spans="18:18" s="2" customFormat="1" ht="12.75" x14ac:dyDescent="0.2">
      <c r="R40252" s="1288"/>
    </row>
    <row r="40253" spans="18:18" s="2" customFormat="1" ht="12.75" x14ac:dyDescent="0.2">
      <c r="R40253" s="1288"/>
    </row>
    <row r="40254" spans="18:18" s="2" customFormat="1" ht="12.75" x14ac:dyDescent="0.2">
      <c r="R40254" s="1288"/>
    </row>
    <row r="40255" spans="18:18" s="2" customFormat="1" ht="12.75" x14ac:dyDescent="0.2">
      <c r="R40255" s="1288"/>
    </row>
    <row r="40256" spans="18:18" s="2" customFormat="1" ht="12.75" x14ac:dyDescent="0.2">
      <c r="R40256" s="1288"/>
    </row>
    <row r="40257" spans="18:18" s="2" customFormat="1" ht="12.75" x14ac:dyDescent="0.2">
      <c r="R40257" s="1288"/>
    </row>
    <row r="40258" spans="18:18" s="2" customFormat="1" ht="12.75" x14ac:dyDescent="0.2">
      <c r="R40258" s="1288"/>
    </row>
    <row r="40259" spans="18:18" s="2" customFormat="1" ht="12.75" x14ac:dyDescent="0.2">
      <c r="R40259" s="1288"/>
    </row>
    <row r="40260" spans="18:18" s="2" customFormat="1" ht="12.75" x14ac:dyDescent="0.2">
      <c r="R40260" s="1288"/>
    </row>
    <row r="40261" spans="18:18" s="2" customFormat="1" ht="12.75" x14ac:dyDescent="0.2">
      <c r="R40261" s="1288"/>
    </row>
    <row r="40262" spans="18:18" s="2" customFormat="1" ht="12.75" x14ac:dyDescent="0.2">
      <c r="R40262" s="1288"/>
    </row>
    <row r="40263" spans="18:18" s="2" customFormat="1" ht="12.75" x14ac:dyDescent="0.2">
      <c r="R40263" s="1288"/>
    </row>
    <row r="40264" spans="18:18" s="2" customFormat="1" ht="12.75" x14ac:dyDescent="0.2">
      <c r="R40264" s="1288"/>
    </row>
    <row r="40265" spans="18:18" s="2" customFormat="1" ht="12.75" x14ac:dyDescent="0.2">
      <c r="R40265" s="1288"/>
    </row>
    <row r="40266" spans="18:18" s="2" customFormat="1" ht="12.75" x14ac:dyDescent="0.2">
      <c r="R40266" s="1288"/>
    </row>
    <row r="40267" spans="18:18" s="2" customFormat="1" ht="12.75" x14ac:dyDescent="0.2">
      <c r="R40267" s="1288"/>
    </row>
    <row r="40268" spans="18:18" s="2" customFormat="1" ht="12.75" x14ac:dyDescent="0.2">
      <c r="R40268" s="1288"/>
    </row>
    <row r="40269" spans="18:18" s="2" customFormat="1" ht="12.75" x14ac:dyDescent="0.2">
      <c r="R40269" s="1288"/>
    </row>
    <row r="40270" spans="18:18" s="2" customFormat="1" ht="12.75" x14ac:dyDescent="0.2">
      <c r="R40270" s="1288"/>
    </row>
    <row r="40271" spans="18:18" s="2" customFormat="1" ht="12.75" x14ac:dyDescent="0.2">
      <c r="R40271" s="1288"/>
    </row>
    <row r="40272" spans="18:18" s="2" customFormat="1" ht="12.75" x14ac:dyDescent="0.2">
      <c r="R40272" s="1288"/>
    </row>
    <row r="40273" spans="18:18" s="2" customFormat="1" ht="12.75" x14ac:dyDescent="0.2">
      <c r="R40273" s="1288"/>
    </row>
    <row r="40274" spans="18:18" s="2" customFormat="1" ht="12.75" x14ac:dyDescent="0.2">
      <c r="R40274" s="1288"/>
    </row>
    <row r="40275" spans="18:18" s="2" customFormat="1" ht="12.75" x14ac:dyDescent="0.2">
      <c r="R40275" s="1288"/>
    </row>
    <row r="40276" spans="18:18" s="2" customFormat="1" ht="12.75" x14ac:dyDescent="0.2">
      <c r="R40276" s="1288"/>
    </row>
    <row r="40277" spans="18:18" s="2" customFormat="1" ht="12.75" x14ac:dyDescent="0.2">
      <c r="R40277" s="1288"/>
    </row>
    <row r="40278" spans="18:18" s="2" customFormat="1" ht="12.75" x14ac:dyDescent="0.2">
      <c r="R40278" s="1288"/>
    </row>
    <row r="40279" spans="18:18" s="2" customFormat="1" ht="12.75" x14ac:dyDescent="0.2">
      <c r="R40279" s="1288"/>
    </row>
    <row r="40280" spans="18:18" s="2" customFormat="1" ht="12.75" x14ac:dyDescent="0.2">
      <c r="R40280" s="1288"/>
    </row>
    <row r="40281" spans="18:18" s="2" customFormat="1" ht="12.75" x14ac:dyDescent="0.2">
      <c r="R40281" s="1288"/>
    </row>
    <row r="40282" spans="18:18" s="2" customFormat="1" ht="12.75" x14ac:dyDescent="0.2">
      <c r="R40282" s="1288"/>
    </row>
    <row r="40283" spans="18:18" s="2" customFormat="1" ht="12.75" x14ac:dyDescent="0.2">
      <c r="R40283" s="1288"/>
    </row>
    <row r="40284" spans="18:18" s="2" customFormat="1" ht="12.75" x14ac:dyDescent="0.2">
      <c r="R40284" s="1288"/>
    </row>
    <row r="40285" spans="18:18" s="2" customFormat="1" ht="12.75" x14ac:dyDescent="0.2">
      <c r="R40285" s="1288"/>
    </row>
    <row r="40286" spans="18:18" s="2" customFormat="1" ht="12.75" x14ac:dyDescent="0.2">
      <c r="R40286" s="1288"/>
    </row>
    <row r="40287" spans="18:18" s="2" customFormat="1" ht="12.75" x14ac:dyDescent="0.2">
      <c r="R40287" s="1288"/>
    </row>
    <row r="40288" spans="18:18" s="2" customFormat="1" ht="12.75" x14ac:dyDescent="0.2">
      <c r="R40288" s="1288"/>
    </row>
    <row r="40289" spans="18:18" s="2" customFormat="1" ht="12.75" x14ac:dyDescent="0.2">
      <c r="R40289" s="1288"/>
    </row>
    <row r="40290" spans="18:18" s="2" customFormat="1" ht="12.75" x14ac:dyDescent="0.2">
      <c r="R40290" s="1288"/>
    </row>
    <row r="40291" spans="18:18" s="2" customFormat="1" ht="12.75" x14ac:dyDescent="0.2">
      <c r="R40291" s="1288"/>
    </row>
    <row r="40292" spans="18:18" s="2" customFormat="1" ht="12.75" x14ac:dyDescent="0.2">
      <c r="R40292" s="1288"/>
    </row>
    <row r="40293" spans="18:18" s="2" customFormat="1" ht="12.75" x14ac:dyDescent="0.2">
      <c r="R40293" s="1288"/>
    </row>
    <row r="40294" spans="18:18" s="2" customFormat="1" ht="12.75" x14ac:dyDescent="0.2">
      <c r="R40294" s="1288"/>
    </row>
    <row r="40295" spans="18:18" s="2" customFormat="1" ht="12.75" x14ac:dyDescent="0.2">
      <c r="R40295" s="1288"/>
    </row>
    <row r="40296" spans="18:18" s="2" customFormat="1" ht="12.75" x14ac:dyDescent="0.2">
      <c r="R40296" s="1288"/>
    </row>
    <row r="40297" spans="18:18" s="2" customFormat="1" ht="12.75" x14ac:dyDescent="0.2">
      <c r="R40297" s="1288"/>
    </row>
    <row r="40298" spans="18:18" s="2" customFormat="1" ht="12.75" x14ac:dyDescent="0.2">
      <c r="R40298" s="1288"/>
    </row>
    <row r="40299" spans="18:18" s="2" customFormat="1" ht="12.75" x14ac:dyDescent="0.2">
      <c r="R40299" s="1288"/>
    </row>
    <row r="40300" spans="18:18" s="2" customFormat="1" ht="12.75" x14ac:dyDescent="0.2">
      <c r="R40300" s="1288"/>
    </row>
    <row r="40301" spans="18:18" s="2" customFormat="1" ht="12.75" x14ac:dyDescent="0.2">
      <c r="R40301" s="1288"/>
    </row>
    <row r="40302" spans="18:18" s="2" customFormat="1" ht="12.75" x14ac:dyDescent="0.2">
      <c r="R40302" s="1288"/>
    </row>
    <row r="40303" spans="18:18" s="2" customFormat="1" ht="12.75" x14ac:dyDescent="0.2">
      <c r="R40303" s="1288"/>
    </row>
    <row r="40304" spans="18:18" s="2" customFormat="1" ht="12.75" x14ac:dyDescent="0.2">
      <c r="R40304" s="1288"/>
    </row>
    <row r="40305" spans="18:18" s="2" customFormat="1" ht="12.75" x14ac:dyDescent="0.2">
      <c r="R40305" s="1288"/>
    </row>
    <row r="40306" spans="18:18" s="2" customFormat="1" ht="12.75" x14ac:dyDescent="0.2">
      <c r="R40306" s="1288"/>
    </row>
    <row r="40307" spans="18:18" s="2" customFormat="1" ht="12.75" x14ac:dyDescent="0.2">
      <c r="R40307" s="1288"/>
    </row>
    <row r="40308" spans="18:18" s="2" customFormat="1" ht="12.75" x14ac:dyDescent="0.2">
      <c r="R40308" s="1288"/>
    </row>
    <row r="40309" spans="18:18" s="2" customFormat="1" ht="12.75" x14ac:dyDescent="0.2">
      <c r="R40309" s="1288"/>
    </row>
    <row r="40310" spans="18:18" s="2" customFormat="1" ht="12.75" x14ac:dyDescent="0.2">
      <c r="R40310" s="1288"/>
    </row>
    <row r="40311" spans="18:18" s="2" customFormat="1" ht="12.75" x14ac:dyDescent="0.2">
      <c r="R40311" s="1288"/>
    </row>
    <row r="40312" spans="18:18" s="2" customFormat="1" ht="12.75" x14ac:dyDescent="0.2">
      <c r="R40312" s="1288"/>
    </row>
    <row r="40313" spans="18:18" s="2" customFormat="1" ht="12.75" x14ac:dyDescent="0.2">
      <c r="R40313" s="1288"/>
    </row>
    <row r="40314" spans="18:18" s="2" customFormat="1" ht="12.75" x14ac:dyDescent="0.2">
      <c r="R40314" s="1288"/>
    </row>
    <row r="40315" spans="18:18" s="2" customFormat="1" ht="12.75" x14ac:dyDescent="0.2">
      <c r="R40315" s="1288"/>
    </row>
    <row r="40316" spans="18:18" s="2" customFormat="1" ht="12.75" x14ac:dyDescent="0.2">
      <c r="R40316" s="1288"/>
    </row>
    <row r="40317" spans="18:18" s="2" customFormat="1" ht="12.75" x14ac:dyDescent="0.2">
      <c r="R40317" s="1288"/>
    </row>
    <row r="40318" spans="18:18" s="2" customFormat="1" ht="12.75" x14ac:dyDescent="0.2">
      <c r="R40318" s="1288"/>
    </row>
    <row r="40319" spans="18:18" s="2" customFormat="1" ht="12.75" x14ac:dyDescent="0.2">
      <c r="R40319" s="1288"/>
    </row>
    <row r="40320" spans="18:18" s="2" customFormat="1" ht="12.75" x14ac:dyDescent="0.2">
      <c r="R40320" s="1288"/>
    </row>
    <row r="40321" spans="18:18" s="2" customFormat="1" ht="12.75" x14ac:dyDescent="0.2">
      <c r="R40321" s="1288"/>
    </row>
    <row r="40322" spans="18:18" s="2" customFormat="1" ht="12.75" x14ac:dyDescent="0.2">
      <c r="R40322" s="1288"/>
    </row>
    <row r="40323" spans="18:18" s="2" customFormat="1" ht="12.75" x14ac:dyDescent="0.2">
      <c r="R40323" s="1288"/>
    </row>
    <row r="40324" spans="18:18" s="2" customFormat="1" ht="12.75" x14ac:dyDescent="0.2">
      <c r="R40324" s="1288"/>
    </row>
    <row r="40325" spans="18:18" s="2" customFormat="1" ht="12.75" x14ac:dyDescent="0.2">
      <c r="R40325" s="1288"/>
    </row>
    <row r="40326" spans="18:18" s="2" customFormat="1" ht="12.75" x14ac:dyDescent="0.2">
      <c r="R40326" s="1288"/>
    </row>
    <row r="40327" spans="18:18" s="2" customFormat="1" ht="12.75" x14ac:dyDescent="0.2">
      <c r="R40327" s="1288"/>
    </row>
    <row r="40328" spans="18:18" s="2" customFormat="1" ht="12.75" x14ac:dyDescent="0.2">
      <c r="R40328" s="1288"/>
    </row>
    <row r="40329" spans="18:18" s="2" customFormat="1" ht="12.75" x14ac:dyDescent="0.2">
      <c r="R40329" s="1288"/>
    </row>
    <row r="40330" spans="18:18" s="2" customFormat="1" ht="12.75" x14ac:dyDescent="0.2">
      <c r="R40330" s="1288"/>
    </row>
    <row r="40331" spans="18:18" s="2" customFormat="1" ht="12.75" x14ac:dyDescent="0.2">
      <c r="R40331" s="1288"/>
    </row>
    <row r="40332" spans="18:18" s="2" customFormat="1" ht="12.75" x14ac:dyDescent="0.2">
      <c r="R40332" s="1288"/>
    </row>
    <row r="40333" spans="18:18" s="2" customFormat="1" ht="12.75" x14ac:dyDescent="0.2">
      <c r="R40333" s="1288"/>
    </row>
    <row r="40334" spans="18:18" s="2" customFormat="1" ht="12.75" x14ac:dyDescent="0.2">
      <c r="R40334" s="1288"/>
    </row>
    <row r="40335" spans="18:18" s="2" customFormat="1" ht="12.75" x14ac:dyDescent="0.2">
      <c r="R40335" s="1288"/>
    </row>
    <row r="40336" spans="18:18" s="2" customFormat="1" ht="12.75" x14ac:dyDescent="0.2">
      <c r="R40336" s="1288"/>
    </row>
    <row r="40337" spans="18:18" s="2" customFormat="1" ht="12.75" x14ac:dyDescent="0.2">
      <c r="R40337" s="1288"/>
    </row>
    <row r="40338" spans="18:18" s="2" customFormat="1" ht="12.75" x14ac:dyDescent="0.2">
      <c r="R40338" s="1288"/>
    </row>
    <row r="40339" spans="18:18" s="2" customFormat="1" ht="12.75" x14ac:dyDescent="0.2">
      <c r="R40339" s="1288"/>
    </row>
    <row r="40340" spans="18:18" s="2" customFormat="1" ht="12.75" x14ac:dyDescent="0.2">
      <c r="R40340" s="1288"/>
    </row>
    <row r="40341" spans="18:18" s="2" customFormat="1" ht="12.75" x14ac:dyDescent="0.2">
      <c r="R40341" s="1288"/>
    </row>
    <row r="40342" spans="18:18" s="2" customFormat="1" ht="12.75" x14ac:dyDescent="0.2">
      <c r="R40342" s="1288"/>
    </row>
    <row r="40343" spans="18:18" s="2" customFormat="1" ht="12.75" x14ac:dyDescent="0.2">
      <c r="R40343" s="1288"/>
    </row>
    <row r="40344" spans="18:18" s="2" customFormat="1" ht="12.75" x14ac:dyDescent="0.2">
      <c r="R40344" s="1288"/>
    </row>
    <row r="40345" spans="18:18" s="2" customFormat="1" ht="12.75" x14ac:dyDescent="0.2">
      <c r="R40345" s="1288"/>
    </row>
    <row r="40346" spans="18:18" s="2" customFormat="1" ht="12.75" x14ac:dyDescent="0.2">
      <c r="R40346" s="1288"/>
    </row>
    <row r="40347" spans="18:18" s="2" customFormat="1" ht="12.75" x14ac:dyDescent="0.2">
      <c r="R40347" s="1288"/>
    </row>
    <row r="40348" spans="18:18" s="2" customFormat="1" ht="12.75" x14ac:dyDescent="0.2">
      <c r="R40348" s="1288"/>
    </row>
    <row r="40349" spans="18:18" s="2" customFormat="1" ht="12.75" x14ac:dyDescent="0.2">
      <c r="R40349" s="1288"/>
    </row>
    <row r="40350" spans="18:18" s="2" customFormat="1" ht="12.75" x14ac:dyDescent="0.2">
      <c r="R40350" s="1288"/>
    </row>
    <row r="40351" spans="18:18" s="2" customFormat="1" ht="12.75" x14ac:dyDescent="0.2">
      <c r="R40351" s="1288"/>
    </row>
    <row r="40352" spans="18:18" s="2" customFormat="1" ht="12.75" x14ac:dyDescent="0.2">
      <c r="R40352" s="1288"/>
    </row>
    <row r="40353" spans="18:18" s="2" customFormat="1" ht="12.75" x14ac:dyDescent="0.2">
      <c r="R40353" s="1288"/>
    </row>
    <row r="40354" spans="18:18" s="2" customFormat="1" ht="12.75" x14ac:dyDescent="0.2">
      <c r="R40354" s="1288"/>
    </row>
    <row r="40355" spans="18:18" s="2" customFormat="1" ht="12.75" x14ac:dyDescent="0.2">
      <c r="R40355" s="1288"/>
    </row>
    <row r="40356" spans="18:18" s="2" customFormat="1" ht="12.75" x14ac:dyDescent="0.2">
      <c r="R40356" s="1288"/>
    </row>
    <row r="40357" spans="18:18" s="2" customFormat="1" ht="12.75" x14ac:dyDescent="0.2">
      <c r="R40357" s="1288"/>
    </row>
    <row r="40358" spans="18:18" s="2" customFormat="1" ht="12.75" x14ac:dyDescent="0.2">
      <c r="R40358" s="1288"/>
    </row>
    <row r="40359" spans="18:18" s="2" customFormat="1" ht="12.75" x14ac:dyDescent="0.2">
      <c r="R40359" s="1288"/>
    </row>
    <row r="40360" spans="18:18" s="2" customFormat="1" ht="12.75" x14ac:dyDescent="0.2">
      <c r="R40360" s="1288"/>
    </row>
    <row r="40361" spans="18:18" s="2" customFormat="1" ht="12.75" x14ac:dyDescent="0.2">
      <c r="R40361" s="1288"/>
    </row>
    <row r="40362" spans="18:18" s="2" customFormat="1" ht="12.75" x14ac:dyDescent="0.2">
      <c r="R40362" s="1288"/>
    </row>
    <row r="40363" spans="18:18" s="2" customFormat="1" ht="12.75" x14ac:dyDescent="0.2">
      <c r="R40363" s="1288"/>
    </row>
    <row r="40364" spans="18:18" s="2" customFormat="1" ht="12.75" x14ac:dyDescent="0.2">
      <c r="R40364" s="1288"/>
    </row>
    <row r="40365" spans="18:18" s="2" customFormat="1" ht="12.75" x14ac:dyDescent="0.2">
      <c r="R40365" s="1288"/>
    </row>
    <row r="40366" spans="18:18" s="2" customFormat="1" ht="12.75" x14ac:dyDescent="0.2">
      <c r="R40366" s="1288"/>
    </row>
    <row r="40367" spans="18:18" s="2" customFormat="1" ht="12.75" x14ac:dyDescent="0.2">
      <c r="R40367" s="1288"/>
    </row>
    <row r="40368" spans="18:18" s="2" customFormat="1" ht="12.75" x14ac:dyDescent="0.2">
      <c r="R40368" s="1288"/>
    </row>
    <row r="40369" spans="18:18" s="2" customFormat="1" ht="12.75" x14ac:dyDescent="0.2">
      <c r="R40369" s="1288"/>
    </row>
    <row r="40370" spans="18:18" s="2" customFormat="1" ht="12.75" x14ac:dyDescent="0.2">
      <c r="R40370" s="1288"/>
    </row>
    <row r="40371" spans="18:18" s="2" customFormat="1" ht="12.75" x14ac:dyDescent="0.2">
      <c r="R40371" s="1288"/>
    </row>
    <row r="40372" spans="18:18" s="2" customFormat="1" ht="12.75" x14ac:dyDescent="0.2">
      <c r="R40372" s="1288"/>
    </row>
    <row r="40373" spans="18:18" s="2" customFormat="1" ht="12.75" x14ac:dyDescent="0.2">
      <c r="R40373" s="1288"/>
    </row>
    <row r="40374" spans="18:18" s="2" customFormat="1" ht="12.75" x14ac:dyDescent="0.2">
      <c r="R40374" s="1288"/>
    </row>
    <row r="40375" spans="18:18" s="2" customFormat="1" ht="12.75" x14ac:dyDescent="0.2">
      <c r="R40375" s="1288"/>
    </row>
    <row r="40376" spans="18:18" s="2" customFormat="1" ht="12.75" x14ac:dyDescent="0.2">
      <c r="R40376" s="1288"/>
    </row>
    <row r="40377" spans="18:18" s="2" customFormat="1" ht="12.75" x14ac:dyDescent="0.2">
      <c r="R40377" s="1288"/>
    </row>
    <row r="40378" spans="18:18" s="2" customFormat="1" ht="12.75" x14ac:dyDescent="0.2">
      <c r="R40378" s="1288"/>
    </row>
    <row r="40379" spans="18:18" s="2" customFormat="1" ht="12.75" x14ac:dyDescent="0.2">
      <c r="R40379" s="1288"/>
    </row>
    <row r="40380" spans="18:18" s="2" customFormat="1" ht="12.75" x14ac:dyDescent="0.2">
      <c r="R40380" s="1288"/>
    </row>
    <row r="40381" spans="18:18" s="2" customFormat="1" ht="12.75" x14ac:dyDescent="0.2">
      <c r="R40381" s="1288"/>
    </row>
    <row r="40382" spans="18:18" s="2" customFormat="1" ht="12.75" x14ac:dyDescent="0.2">
      <c r="R40382" s="1288"/>
    </row>
    <row r="40383" spans="18:18" s="2" customFormat="1" ht="12.75" x14ac:dyDescent="0.2">
      <c r="R40383" s="1288"/>
    </row>
    <row r="40384" spans="18:18" s="2" customFormat="1" ht="12.75" x14ac:dyDescent="0.2">
      <c r="R40384" s="1288"/>
    </row>
    <row r="40385" spans="18:18" s="2" customFormat="1" ht="12.75" x14ac:dyDescent="0.2">
      <c r="R40385" s="1288"/>
    </row>
    <row r="40386" spans="18:18" s="2" customFormat="1" ht="12.75" x14ac:dyDescent="0.2">
      <c r="R40386" s="1288"/>
    </row>
    <row r="40387" spans="18:18" s="2" customFormat="1" ht="12.75" x14ac:dyDescent="0.2">
      <c r="R40387" s="1288"/>
    </row>
    <row r="40388" spans="18:18" s="2" customFormat="1" ht="12.75" x14ac:dyDescent="0.2">
      <c r="R40388" s="1288"/>
    </row>
    <row r="40389" spans="18:18" s="2" customFormat="1" ht="12.75" x14ac:dyDescent="0.2">
      <c r="R40389" s="1288"/>
    </row>
    <row r="40390" spans="18:18" s="2" customFormat="1" ht="12.75" x14ac:dyDescent="0.2">
      <c r="R40390" s="1288"/>
    </row>
    <row r="40391" spans="18:18" s="2" customFormat="1" ht="12.75" x14ac:dyDescent="0.2">
      <c r="R40391" s="1288"/>
    </row>
    <row r="40392" spans="18:18" s="2" customFormat="1" ht="12.75" x14ac:dyDescent="0.2">
      <c r="R40392" s="1288"/>
    </row>
    <row r="40393" spans="18:18" s="2" customFormat="1" ht="12.75" x14ac:dyDescent="0.2">
      <c r="R40393" s="1288"/>
    </row>
    <row r="40394" spans="18:18" s="2" customFormat="1" ht="12.75" x14ac:dyDescent="0.2">
      <c r="R40394" s="1288"/>
    </row>
    <row r="40395" spans="18:18" s="2" customFormat="1" ht="12.75" x14ac:dyDescent="0.2">
      <c r="R40395" s="1288"/>
    </row>
    <row r="40396" spans="18:18" s="2" customFormat="1" ht="12.75" x14ac:dyDescent="0.2">
      <c r="R40396" s="1288"/>
    </row>
    <row r="40397" spans="18:18" s="2" customFormat="1" ht="12.75" x14ac:dyDescent="0.2">
      <c r="R40397" s="1288"/>
    </row>
    <row r="40398" spans="18:18" s="2" customFormat="1" ht="12.75" x14ac:dyDescent="0.2">
      <c r="R40398" s="1288"/>
    </row>
    <row r="40399" spans="18:18" s="2" customFormat="1" ht="12.75" x14ac:dyDescent="0.2">
      <c r="R40399" s="1288"/>
    </row>
    <row r="40400" spans="18:18" s="2" customFormat="1" ht="12.75" x14ac:dyDescent="0.2">
      <c r="R40400" s="1288"/>
    </row>
    <row r="40401" spans="18:18" s="2" customFormat="1" ht="12.75" x14ac:dyDescent="0.2">
      <c r="R40401" s="1288"/>
    </row>
    <row r="40402" spans="18:18" s="2" customFormat="1" ht="12.75" x14ac:dyDescent="0.2">
      <c r="R40402" s="1288"/>
    </row>
    <row r="40403" spans="18:18" s="2" customFormat="1" ht="12.75" x14ac:dyDescent="0.2">
      <c r="R40403" s="1288"/>
    </row>
    <row r="40404" spans="18:18" s="2" customFormat="1" ht="12.75" x14ac:dyDescent="0.2">
      <c r="R40404" s="1288"/>
    </row>
    <row r="40405" spans="18:18" s="2" customFormat="1" ht="12.75" x14ac:dyDescent="0.2">
      <c r="R40405" s="1288"/>
    </row>
    <row r="40406" spans="18:18" s="2" customFormat="1" ht="12.75" x14ac:dyDescent="0.2">
      <c r="R40406" s="1288"/>
    </row>
    <row r="40407" spans="18:18" s="2" customFormat="1" ht="12.75" x14ac:dyDescent="0.2">
      <c r="R40407" s="1288"/>
    </row>
    <row r="40408" spans="18:18" s="2" customFormat="1" ht="12.75" x14ac:dyDescent="0.2">
      <c r="R40408" s="1288"/>
    </row>
    <row r="40409" spans="18:18" s="2" customFormat="1" ht="12.75" x14ac:dyDescent="0.2">
      <c r="R40409" s="1288"/>
    </row>
    <row r="40410" spans="18:18" s="2" customFormat="1" ht="12.75" x14ac:dyDescent="0.2">
      <c r="R40410" s="1288"/>
    </row>
    <row r="40411" spans="18:18" s="2" customFormat="1" ht="12.75" x14ac:dyDescent="0.2">
      <c r="R40411" s="1288"/>
    </row>
    <row r="40412" spans="18:18" s="2" customFormat="1" ht="12.75" x14ac:dyDescent="0.2">
      <c r="R40412" s="1288"/>
    </row>
    <row r="40413" spans="18:18" s="2" customFormat="1" ht="12.75" x14ac:dyDescent="0.2">
      <c r="R40413" s="1288"/>
    </row>
    <row r="40414" spans="18:18" s="2" customFormat="1" ht="12.75" x14ac:dyDescent="0.2">
      <c r="R40414" s="1288"/>
    </row>
    <row r="40415" spans="18:18" s="2" customFormat="1" ht="12.75" x14ac:dyDescent="0.2">
      <c r="R40415" s="1288"/>
    </row>
    <row r="40416" spans="18:18" s="2" customFormat="1" ht="12.75" x14ac:dyDescent="0.2">
      <c r="R40416" s="1288"/>
    </row>
    <row r="40417" spans="18:18" s="2" customFormat="1" ht="12.75" x14ac:dyDescent="0.2">
      <c r="R40417" s="1288"/>
    </row>
    <row r="40418" spans="18:18" s="2" customFormat="1" ht="12.75" x14ac:dyDescent="0.2">
      <c r="R40418" s="1288"/>
    </row>
    <row r="40419" spans="18:18" s="2" customFormat="1" ht="12.75" x14ac:dyDescent="0.2">
      <c r="R40419" s="1288"/>
    </row>
    <row r="40420" spans="18:18" s="2" customFormat="1" ht="12.75" x14ac:dyDescent="0.2">
      <c r="R40420" s="1288"/>
    </row>
    <row r="40421" spans="18:18" s="2" customFormat="1" ht="12.75" x14ac:dyDescent="0.2">
      <c r="R40421" s="1288"/>
    </row>
    <row r="40422" spans="18:18" s="2" customFormat="1" ht="12.75" x14ac:dyDescent="0.2">
      <c r="R40422" s="1288"/>
    </row>
    <row r="40423" spans="18:18" s="2" customFormat="1" ht="12.75" x14ac:dyDescent="0.2">
      <c r="R40423" s="1288"/>
    </row>
    <row r="40424" spans="18:18" s="2" customFormat="1" ht="12.75" x14ac:dyDescent="0.2">
      <c r="R40424" s="1288"/>
    </row>
    <row r="40425" spans="18:18" s="2" customFormat="1" ht="12.75" x14ac:dyDescent="0.2">
      <c r="R40425" s="1288"/>
    </row>
    <row r="40426" spans="18:18" s="2" customFormat="1" ht="12.75" x14ac:dyDescent="0.2">
      <c r="R40426" s="1288"/>
    </row>
    <row r="40427" spans="18:18" s="2" customFormat="1" ht="12.75" x14ac:dyDescent="0.2">
      <c r="R40427" s="1288"/>
    </row>
    <row r="40428" spans="18:18" s="2" customFormat="1" ht="12.75" x14ac:dyDescent="0.2">
      <c r="R40428" s="1288"/>
    </row>
    <row r="40429" spans="18:18" s="2" customFormat="1" ht="12.75" x14ac:dyDescent="0.2">
      <c r="R40429" s="1288"/>
    </row>
    <row r="40430" spans="18:18" s="2" customFormat="1" ht="12.75" x14ac:dyDescent="0.2">
      <c r="R40430" s="1288"/>
    </row>
    <row r="40431" spans="18:18" s="2" customFormat="1" ht="12.75" x14ac:dyDescent="0.2">
      <c r="R40431" s="1288"/>
    </row>
    <row r="40432" spans="18:18" s="2" customFormat="1" ht="12.75" x14ac:dyDescent="0.2">
      <c r="R40432" s="1288"/>
    </row>
    <row r="40433" spans="18:18" s="2" customFormat="1" ht="12.75" x14ac:dyDescent="0.2">
      <c r="R40433" s="1288"/>
    </row>
    <row r="40434" spans="18:18" s="2" customFormat="1" ht="12.75" x14ac:dyDescent="0.2">
      <c r="R40434" s="1288"/>
    </row>
    <row r="40435" spans="18:18" s="2" customFormat="1" ht="12.75" x14ac:dyDescent="0.2">
      <c r="R40435" s="1288"/>
    </row>
    <row r="40436" spans="18:18" s="2" customFormat="1" ht="12.75" x14ac:dyDescent="0.2">
      <c r="R40436" s="1288"/>
    </row>
    <row r="40437" spans="18:18" s="2" customFormat="1" ht="12.75" x14ac:dyDescent="0.2">
      <c r="R40437" s="1288"/>
    </row>
    <row r="40438" spans="18:18" s="2" customFormat="1" ht="12.75" x14ac:dyDescent="0.2">
      <c r="R40438" s="1288"/>
    </row>
    <row r="40439" spans="18:18" s="2" customFormat="1" ht="12.75" x14ac:dyDescent="0.2">
      <c r="R40439" s="1288"/>
    </row>
    <row r="40440" spans="18:18" s="2" customFormat="1" ht="12.75" x14ac:dyDescent="0.2">
      <c r="R40440" s="1288"/>
    </row>
    <row r="40441" spans="18:18" s="2" customFormat="1" ht="12.75" x14ac:dyDescent="0.2">
      <c r="R40441" s="1288"/>
    </row>
    <row r="40442" spans="18:18" s="2" customFormat="1" ht="12.75" x14ac:dyDescent="0.2">
      <c r="R40442" s="1288"/>
    </row>
    <row r="40443" spans="18:18" s="2" customFormat="1" ht="12.75" x14ac:dyDescent="0.2">
      <c r="R40443" s="1288"/>
    </row>
    <row r="40444" spans="18:18" s="2" customFormat="1" ht="12.75" x14ac:dyDescent="0.2">
      <c r="R40444" s="1288"/>
    </row>
    <row r="40445" spans="18:18" s="2" customFormat="1" ht="12.75" x14ac:dyDescent="0.2">
      <c r="R40445" s="1288"/>
    </row>
    <row r="40446" spans="18:18" s="2" customFormat="1" ht="12.75" x14ac:dyDescent="0.2">
      <c r="R40446" s="1288"/>
    </row>
    <row r="40447" spans="18:18" s="2" customFormat="1" ht="12.75" x14ac:dyDescent="0.2">
      <c r="R40447" s="1288"/>
    </row>
    <row r="40448" spans="18:18" s="2" customFormat="1" ht="12.75" x14ac:dyDescent="0.2">
      <c r="R40448" s="1288"/>
    </row>
    <row r="40449" spans="18:18" s="2" customFormat="1" ht="12.75" x14ac:dyDescent="0.2">
      <c r="R40449" s="1288"/>
    </row>
    <row r="40450" spans="18:18" s="2" customFormat="1" ht="12.75" x14ac:dyDescent="0.2">
      <c r="R40450" s="1288"/>
    </row>
    <row r="40451" spans="18:18" s="2" customFormat="1" ht="12.75" x14ac:dyDescent="0.2">
      <c r="R40451" s="1288"/>
    </row>
    <row r="40452" spans="18:18" s="2" customFormat="1" ht="12.75" x14ac:dyDescent="0.2">
      <c r="R40452" s="1288"/>
    </row>
    <row r="40453" spans="18:18" s="2" customFormat="1" ht="12.75" x14ac:dyDescent="0.2">
      <c r="R40453" s="1288"/>
    </row>
    <row r="40454" spans="18:18" s="2" customFormat="1" ht="12.75" x14ac:dyDescent="0.2">
      <c r="R40454" s="1288"/>
    </row>
    <row r="40455" spans="18:18" s="2" customFormat="1" ht="12.75" x14ac:dyDescent="0.2">
      <c r="R40455" s="1288"/>
    </row>
    <row r="40456" spans="18:18" s="2" customFormat="1" ht="12.75" x14ac:dyDescent="0.2">
      <c r="R40456" s="1288"/>
    </row>
    <row r="40457" spans="18:18" s="2" customFormat="1" ht="12.75" x14ac:dyDescent="0.2">
      <c r="R40457" s="1288"/>
    </row>
    <row r="40458" spans="18:18" s="2" customFormat="1" ht="12.75" x14ac:dyDescent="0.2">
      <c r="R40458" s="1288"/>
    </row>
    <row r="40459" spans="18:18" s="2" customFormat="1" ht="12.75" x14ac:dyDescent="0.2">
      <c r="R40459" s="1288"/>
    </row>
    <row r="40460" spans="18:18" s="2" customFormat="1" ht="12.75" x14ac:dyDescent="0.2">
      <c r="R40460" s="1288"/>
    </row>
    <row r="40461" spans="18:18" s="2" customFormat="1" ht="12.75" x14ac:dyDescent="0.2">
      <c r="R40461" s="1288"/>
    </row>
    <row r="40462" spans="18:18" s="2" customFormat="1" ht="12.75" x14ac:dyDescent="0.2">
      <c r="R40462" s="1288"/>
    </row>
    <row r="40463" spans="18:18" s="2" customFormat="1" ht="12.75" x14ac:dyDescent="0.2">
      <c r="R40463" s="1288"/>
    </row>
    <row r="40464" spans="18:18" s="2" customFormat="1" ht="12.75" x14ac:dyDescent="0.2">
      <c r="R40464" s="1288"/>
    </row>
    <row r="40465" spans="18:18" s="2" customFormat="1" ht="12.75" x14ac:dyDescent="0.2">
      <c r="R40465" s="1288"/>
    </row>
    <row r="40466" spans="18:18" s="2" customFormat="1" ht="12.75" x14ac:dyDescent="0.2">
      <c r="R40466" s="1288"/>
    </row>
    <row r="40467" spans="18:18" s="2" customFormat="1" ht="12.75" x14ac:dyDescent="0.2">
      <c r="R40467" s="1288"/>
    </row>
    <row r="40468" spans="18:18" s="2" customFormat="1" ht="12.75" x14ac:dyDescent="0.2">
      <c r="R40468" s="1288"/>
    </row>
    <row r="40469" spans="18:18" s="2" customFormat="1" ht="12.75" x14ac:dyDescent="0.2">
      <c r="R40469" s="1288"/>
    </row>
    <row r="40470" spans="18:18" s="2" customFormat="1" ht="12.75" x14ac:dyDescent="0.2">
      <c r="R40470" s="1288"/>
    </row>
    <row r="40471" spans="18:18" s="2" customFormat="1" ht="12.75" x14ac:dyDescent="0.2">
      <c r="R40471" s="1288"/>
    </row>
    <row r="40472" spans="18:18" s="2" customFormat="1" ht="12.75" x14ac:dyDescent="0.2">
      <c r="R40472" s="1288"/>
    </row>
    <row r="40473" spans="18:18" s="2" customFormat="1" ht="12.75" x14ac:dyDescent="0.2">
      <c r="R40473" s="1288"/>
    </row>
    <row r="40474" spans="18:18" s="2" customFormat="1" ht="12.75" x14ac:dyDescent="0.2">
      <c r="R40474" s="1288"/>
    </row>
    <row r="40475" spans="18:18" s="2" customFormat="1" ht="12.75" x14ac:dyDescent="0.2">
      <c r="R40475" s="1288"/>
    </row>
    <row r="40476" spans="18:18" s="2" customFormat="1" ht="12.75" x14ac:dyDescent="0.2">
      <c r="R40476" s="1288"/>
    </row>
    <row r="40477" spans="18:18" s="2" customFormat="1" ht="12.75" x14ac:dyDescent="0.2">
      <c r="R40477" s="1288"/>
    </row>
    <row r="40478" spans="18:18" s="2" customFormat="1" ht="12.75" x14ac:dyDescent="0.2">
      <c r="R40478" s="1288"/>
    </row>
    <row r="40479" spans="18:18" s="2" customFormat="1" ht="12.75" x14ac:dyDescent="0.2">
      <c r="R40479" s="1288"/>
    </row>
    <row r="40480" spans="18:18" s="2" customFormat="1" ht="12.75" x14ac:dyDescent="0.2">
      <c r="R40480" s="1288"/>
    </row>
    <row r="40481" spans="18:18" s="2" customFormat="1" ht="12.75" x14ac:dyDescent="0.2">
      <c r="R40481" s="1288"/>
    </row>
    <row r="40482" spans="18:18" s="2" customFormat="1" ht="12.75" x14ac:dyDescent="0.2">
      <c r="R40482" s="1288"/>
    </row>
    <row r="40483" spans="18:18" s="2" customFormat="1" ht="12.75" x14ac:dyDescent="0.2">
      <c r="R40483" s="1288"/>
    </row>
    <row r="40484" spans="18:18" s="2" customFormat="1" ht="12.75" x14ac:dyDescent="0.2">
      <c r="R40484" s="1288"/>
    </row>
    <row r="40485" spans="18:18" s="2" customFormat="1" ht="12.75" x14ac:dyDescent="0.2">
      <c r="R40485" s="1288"/>
    </row>
    <row r="40486" spans="18:18" s="2" customFormat="1" ht="12.75" x14ac:dyDescent="0.2">
      <c r="R40486" s="1288"/>
    </row>
    <row r="40487" spans="18:18" s="2" customFormat="1" ht="12.75" x14ac:dyDescent="0.2">
      <c r="R40487" s="1288"/>
    </row>
    <row r="40488" spans="18:18" s="2" customFormat="1" ht="12.75" x14ac:dyDescent="0.2">
      <c r="R40488" s="1288"/>
    </row>
    <row r="40489" spans="18:18" s="2" customFormat="1" ht="12.75" x14ac:dyDescent="0.2">
      <c r="R40489" s="1288"/>
    </row>
    <row r="40490" spans="18:18" s="2" customFormat="1" ht="12.75" x14ac:dyDescent="0.2">
      <c r="R40490" s="1288"/>
    </row>
    <row r="40491" spans="18:18" s="2" customFormat="1" ht="12.75" x14ac:dyDescent="0.2">
      <c r="R40491" s="1288"/>
    </row>
    <row r="40492" spans="18:18" s="2" customFormat="1" ht="12.75" x14ac:dyDescent="0.2">
      <c r="R40492" s="1288"/>
    </row>
    <row r="40493" spans="18:18" s="2" customFormat="1" ht="12.75" x14ac:dyDescent="0.2">
      <c r="R40493" s="1288"/>
    </row>
    <row r="40494" spans="18:18" s="2" customFormat="1" ht="12.75" x14ac:dyDescent="0.2">
      <c r="R40494" s="1288"/>
    </row>
    <row r="40495" spans="18:18" s="2" customFormat="1" ht="12.75" x14ac:dyDescent="0.2">
      <c r="R40495" s="1288"/>
    </row>
    <row r="40496" spans="18:18" s="2" customFormat="1" ht="12.75" x14ac:dyDescent="0.2">
      <c r="R40496" s="1288"/>
    </row>
    <row r="40497" spans="18:18" s="2" customFormat="1" ht="12.75" x14ac:dyDescent="0.2">
      <c r="R40497" s="1288"/>
    </row>
    <row r="40498" spans="18:18" s="2" customFormat="1" ht="12.75" x14ac:dyDescent="0.2">
      <c r="R40498" s="1288"/>
    </row>
    <row r="40499" spans="18:18" s="2" customFormat="1" ht="12.75" x14ac:dyDescent="0.2">
      <c r="R40499" s="1288"/>
    </row>
    <row r="40500" spans="18:18" s="2" customFormat="1" ht="12.75" x14ac:dyDescent="0.2">
      <c r="R40500" s="1288"/>
    </row>
    <row r="40501" spans="18:18" s="2" customFormat="1" ht="12.75" x14ac:dyDescent="0.2">
      <c r="R40501" s="1288"/>
    </row>
    <row r="40502" spans="18:18" s="2" customFormat="1" ht="12.75" x14ac:dyDescent="0.2">
      <c r="R40502" s="1288"/>
    </row>
    <row r="40503" spans="18:18" s="2" customFormat="1" ht="12.75" x14ac:dyDescent="0.2">
      <c r="R40503" s="1288"/>
    </row>
    <row r="40504" spans="18:18" s="2" customFormat="1" ht="12.75" x14ac:dyDescent="0.2">
      <c r="R40504" s="1288"/>
    </row>
    <row r="40505" spans="18:18" s="2" customFormat="1" ht="12.75" x14ac:dyDescent="0.2">
      <c r="R40505" s="1288"/>
    </row>
    <row r="40506" spans="18:18" s="2" customFormat="1" ht="12.75" x14ac:dyDescent="0.2">
      <c r="R40506" s="1288"/>
    </row>
    <row r="40507" spans="18:18" s="2" customFormat="1" ht="12.75" x14ac:dyDescent="0.2">
      <c r="R40507" s="1288"/>
    </row>
    <row r="40508" spans="18:18" s="2" customFormat="1" ht="12.75" x14ac:dyDescent="0.2">
      <c r="R40508" s="1288"/>
    </row>
    <row r="40509" spans="18:18" s="2" customFormat="1" ht="12.75" x14ac:dyDescent="0.2">
      <c r="R40509" s="1288"/>
    </row>
    <row r="40510" spans="18:18" s="2" customFormat="1" ht="12.75" x14ac:dyDescent="0.2">
      <c r="R40510" s="1288"/>
    </row>
    <row r="40511" spans="18:18" s="2" customFormat="1" ht="12.75" x14ac:dyDescent="0.2">
      <c r="R40511" s="1288"/>
    </row>
    <row r="40512" spans="18:18" s="2" customFormat="1" ht="12.75" x14ac:dyDescent="0.2">
      <c r="R40512" s="1288"/>
    </row>
    <row r="40513" spans="18:18" s="2" customFormat="1" ht="12.75" x14ac:dyDescent="0.2">
      <c r="R40513" s="1288"/>
    </row>
    <row r="40514" spans="18:18" s="2" customFormat="1" ht="12.75" x14ac:dyDescent="0.2">
      <c r="R40514" s="1288"/>
    </row>
    <row r="40515" spans="18:18" s="2" customFormat="1" ht="12.75" x14ac:dyDescent="0.2">
      <c r="R40515" s="1288"/>
    </row>
    <row r="40516" spans="18:18" s="2" customFormat="1" ht="12.75" x14ac:dyDescent="0.2">
      <c r="R40516" s="1288"/>
    </row>
    <row r="40517" spans="18:18" s="2" customFormat="1" ht="12.75" x14ac:dyDescent="0.2">
      <c r="R40517" s="1288"/>
    </row>
    <row r="40518" spans="18:18" s="2" customFormat="1" ht="12.75" x14ac:dyDescent="0.2">
      <c r="R40518" s="1288"/>
    </row>
    <row r="40519" spans="18:18" s="2" customFormat="1" ht="12.75" x14ac:dyDescent="0.2">
      <c r="R40519" s="1288"/>
    </row>
    <row r="40520" spans="18:18" s="2" customFormat="1" ht="12.75" x14ac:dyDescent="0.2">
      <c r="R40520" s="1288"/>
    </row>
    <row r="40521" spans="18:18" s="2" customFormat="1" ht="12.75" x14ac:dyDescent="0.2">
      <c r="R40521" s="1288"/>
    </row>
    <row r="40522" spans="18:18" s="2" customFormat="1" ht="12.75" x14ac:dyDescent="0.2">
      <c r="R40522" s="1288"/>
    </row>
    <row r="40523" spans="18:18" s="2" customFormat="1" ht="12.75" x14ac:dyDescent="0.2">
      <c r="R40523" s="1288"/>
    </row>
    <row r="40524" spans="18:18" s="2" customFormat="1" ht="12.75" x14ac:dyDescent="0.2">
      <c r="R40524" s="1288"/>
    </row>
    <row r="40525" spans="18:18" s="2" customFormat="1" ht="12.75" x14ac:dyDescent="0.2">
      <c r="R40525" s="1288"/>
    </row>
    <row r="40526" spans="18:18" s="2" customFormat="1" ht="12.75" x14ac:dyDescent="0.2">
      <c r="R40526" s="1288"/>
    </row>
    <row r="40527" spans="18:18" s="2" customFormat="1" ht="12.75" x14ac:dyDescent="0.2">
      <c r="R40527" s="1288"/>
    </row>
    <row r="40528" spans="18:18" s="2" customFormat="1" ht="12.75" x14ac:dyDescent="0.2">
      <c r="R40528" s="1288"/>
    </row>
    <row r="40529" spans="18:18" s="2" customFormat="1" ht="12.75" x14ac:dyDescent="0.2">
      <c r="R40529" s="1288"/>
    </row>
    <row r="40530" spans="18:18" s="2" customFormat="1" ht="12.75" x14ac:dyDescent="0.2">
      <c r="R40530" s="1288"/>
    </row>
    <row r="40531" spans="18:18" s="2" customFormat="1" ht="12.75" x14ac:dyDescent="0.2">
      <c r="R40531" s="1288"/>
    </row>
    <row r="40532" spans="18:18" s="2" customFormat="1" ht="12.75" x14ac:dyDescent="0.2">
      <c r="R40532" s="1288"/>
    </row>
    <row r="40533" spans="18:18" s="2" customFormat="1" ht="12.75" x14ac:dyDescent="0.2">
      <c r="R40533" s="1288"/>
    </row>
    <row r="40534" spans="18:18" s="2" customFormat="1" ht="12.75" x14ac:dyDescent="0.2">
      <c r="R40534" s="1288"/>
    </row>
    <row r="40535" spans="18:18" s="2" customFormat="1" ht="12.75" x14ac:dyDescent="0.2">
      <c r="R40535" s="1288"/>
    </row>
    <row r="40536" spans="18:18" s="2" customFormat="1" ht="12.75" x14ac:dyDescent="0.2">
      <c r="R40536" s="1288"/>
    </row>
    <row r="40537" spans="18:18" s="2" customFormat="1" ht="12.75" x14ac:dyDescent="0.2">
      <c r="R40537" s="1288"/>
    </row>
    <row r="40538" spans="18:18" s="2" customFormat="1" ht="12.75" x14ac:dyDescent="0.2">
      <c r="R40538" s="1288"/>
    </row>
    <row r="40539" spans="18:18" s="2" customFormat="1" ht="12.75" x14ac:dyDescent="0.2">
      <c r="R40539" s="1288"/>
    </row>
    <row r="40540" spans="18:18" s="2" customFormat="1" ht="12.75" x14ac:dyDescent="0.2">
      <c r="R40540" s="1288"/>
    </row>
    <row r="40541" spans="18:18" s="2" customFormat="1" ht="12.75" x14ac:dyDescent="0.2">
      <c r="R40541" s="1288"/>
    </row>
    <row r="40542" spans="18:18" s="2" customFormat="1" ht="12.75" x14ac:dyDescent="0.2">
      <c r="R40542" s="1288"/>
    </row>
    <row r="40543" spans="18:18" s="2" customFormat="1" ht="12.75" x14ac:dyDescent="0.2">
      <c r="R40543" s="1288"/>
    </row>
    <row r="40544" spans="18:18" s="2" customFormat="1" ht="12.75" x14ac:dyDescent="0.2">
      <c r="R40544" s="1288"/>
    </row>
    <row r="40545" spans="18:18" s="2" customFormat="1" ht="12.75" x14ac:dyDescent="0.2">
      <c r="R40545" s="1288"/>
    </row>
    <row r="40546" spans="18:18" s="2" customFormat="1" ht="12.75" x14ac:dyDescent="0.2">
      <c r="R40546" s="1288"/>
    </row>
    <row r="40547" spans="18:18" s="2" customFormat="1" ht="12.75" x14ac:dyDescent="0.2">
      <c r="R40547" s="1288"/>
    </row>
    <row r="40548" spans="18:18" s="2" customFormat="1" ht="12.75" x14ac:dyDescent="0.2">
      <c r="R40548" s="1288"/>
    </row>
    <row r="40549" spans="18:18" s="2" customFormat="1" ht="12.75" x14ac:dyDescent="0.2">
      <c r="R40549" s="1288"/>
    </row>
    <row r="40550" spans="18:18" s="2" customFormat="1" ht="12.75" x14ac:dyDescent="0.2">
      <c r="R40550" s="1288"/>
    </row>
    <row r="40551" spans="18:18" s="2" customFormat="1" ht="12.75" x14ac:dyDescent="0.2">
      <c r="R40551" s="1288"/>
    </row>
    <row r="40552" spans="18:18" s="2" customFormat="1" ht="12.75" x14ac:dyDescent="0.2">
      <c r="R40552" s="1288"/>
    </row>
    <row r="40553" spans="18:18" s="2" customFormat="1" ht="12.75" x14ac:dyDescent="0.2">
      <c r="R40553" s="1288"/>
    </row>
    <row r="40554" spans="18:18" s="2" customFormat="1" ht="12.75" x14ac:dyDescent="0.2">
      <c r="R40554" s="1288"/>
    </row>
    <row r="40555" spans="18:18" s="2" customFormat="1" ht="12.75" x14ac:dyDescent="0.2">
      <c r="R40555" s="1288"/>
    </row>
    <row r="40556" spans="18:18" s="2" customFormat="1" ht="12.75" x14ac:dyDescent="0.2">
      <c r="R40556" s="1288"/>
    </row>
    <row r="40557" spans="18:18" s="2" customFormat="1" ht="12.75" x14ac:dyDescent="0.2">
      <c r="R40557" s="1288"/>
    </row>
    <row r="40558" spans="18:18" s="2" customFormat="1" ht="12.75" x14ac:dyDescent="0.2">
      <c r="R40558" s="1288"/>
    </row>
    <row r="40559" spans="18:18" s="2" customFormat="1" ht="12.75" x14ac:dyDescent="0.2">
      <c r="R40559" s="1288"/>
    </row>
    <row r="40560" spans="18:18" s="2" customFormat="1" ht="12.75" x14ac:dyDescent="0.2">
      <c r="R40560" s="1288"/>
    </row>
    <row r="40561" spans="18:18" s="2" customFormat="1" ht="12.75" x14ac:dyDescent="0.2">
      <c r="R40561" s="1288"/>
    </row>
    <row r="40562" spans="18:18" s="2" customFormat="1" ht="12.75" x14ac:dyDescent="0.2">
      <c r="R40562" s="1288"/>
    </row>
    <row r="40563" spans="18:18" s="2" customFormat="1" ht="12.75" x14ac:dyDescent="0.2">
      <c r="R40563" s="1288"/>
    </row>
    <row r="40564" spans="18:18" s="2" customFormat="1" ht="12.75" x14ac:dyDescent="0.2">
      <c r="R40564" s="1288"/>
    </row>
    <row r="40565" spans="18:18" s="2" customFormat="1" ht="12.75" x14ac:dyDescent="0.2">
      <c r="R40565" s="1288"/>
    </row>
    <row r="40566" spans="18:18" s="2" customFormat="1" ht="12.75" x14ac:dyDescent="0.2">
      <c r="R40566" s="1288"/>
    </row>
    <row r="40567" spans="18:18" s="2" customFormat="1" ht="12.75" x14ac:dyDescent="0.2">
      <c r="R40567" s="1288"/>
    </row>
    <row r="40568" spans="18:18" s="2" customFormat="1" ht="12.75" x14ac:dyDescent="0.2">
      <c r="R40568" s="1288"/>
    </row>
    <row r="40569" spans="18:18" s="2" customFormat="1" ht="12.75" x14ac:dyDescent="0.2">
      <c r="R40569" s="1288"/>
    </row>
    <row r="40570" spans="18:18" s="2" customFormat="1" ht="12.75" x14ac:dyDescent="0.2">
      <c r="R40570" s="1288"/>
    </row>
    <row r="40571" spans="18:18" s="2" customFormat="1" ht="12.75" x14ac:dyDescent="0.2">
      <c r="R40571" s="1288"/>
    </row>
    <row r="40572" spans="18:18" s="2" customFormat="1" ht="12.75" x14ac:dyDescent="0.2">
      <c r="R40572" s="1288"/>
    </row>
    <row r="40573" spans="18:18" s="2" customFormat="1" ht="12.75" x14ac:dyDescent="0.2">
      <c r="R40573" s="1288"/>
    </row>
    <row r="40574" spans="18:18" s="2" customFormat="1" ht="12.75" x14ac:dyDescent="0.2">
      <c r="R40574" s="1288"/>
    </row>
    <row r="40575" spans="18:18" s="2" customFormat="1" ht="12.75" x14ac:dyDescent="0.2">
      <c r="R40575" s="1288"/>
    </row>
    <row r="40576" spans="18:18" s="2" customFormat="1" ht="12.75" x14ac:dyDescent="0.2">
      <c r="R40576" s="1288"/>
    </row>
    <row r="40577" spans="18:18" s="2" customFormat="1" ht="12.75" x14ac:dyDescent="0.2">
      <c r="R40577" s="1288"/>
    </row>
    <row r="40578" spans="18:18" s="2" customFormat="1" ht="12.75" x14ac:dyDescent="0.2">
      <c r="R40578" s="1288"/>
    </row>
    <row r="40579" spans="18:18" s="2" customFormat="1" ht="12.75" x14ac:dyDescent="0.2">
      <c r="R40579" s="1288"/>
    </row>
    <row r="40580" spans="18:18" s="2" customFormat="1" ht="12.75" x14ac:dyDescent="0.2">
      <c r="R40580" s="1288"/>
    </row>
    <row r="40581" spans="18:18" s="2" customFormat="1" ht="12.75" x14ac:dyDescent="0.2">
      <c r="R40581" s="1288"/>
    </row>
    <row r="40582" spans="18:18" s="2" customFormat="1" ht="12.75" x14ac:dyDescent="0.2">
      <c r="R40582" s="1288"/>
    </row>
    <row r="40583" spans="18:18" s="2" customFormat="1" ht="12.75" x14ac:dyDescent="0.2">
      <c r="R40583" s="1288"/>
    </row>
    <row r="40584" spans="18:18" s="2" customFormat="1" ht="12.75" x14ac:dyDescent="0.2">
      <c r="R40584" s="1288"/>
    </row>
    <row r="40585" spans="18:18" s="2" customFormat="1" ht="12.75" x14ac:dyDescent="0.2">
      <c r="R40585" s="1288"/>
    </row>
    <row r="40586" spans="18:18" s="2" customFormat="1" ht="12.75" x14ac:dyDescent="0.2">
      <c r="R40586" s="1288"/>
    </row>
    <row r="40587" spans="18:18" s="2" customFormat="1" ht="12.75" x14ac:dyDescent="0.2">
      <c r="R40587" s="1288"/>
    </row>
    <row r="40588" spans="18:18" s="2" customFormat="1" ht="12.75" x14ac:dyDescent="0.2">
      <c r="R40588" s="1288"/>
    </row>
    <row r="40589" spans="18:18" s="2" customFormat="1" ht="12.75" x14ac:dyDescent="0.2">
      <c r="R40589" s="1288"/>
    </row>
    <row r="40590" spans="18:18" s="2" customFormat="1" ht="12.75" x14ac:dyDescent="0.2">
      <c r="R40590" s="1288"/>
    </row>
    <row r="40591" spans="18:18" s="2" customFormat="1" ht="12.75" x14ac:dyDescent="0.2">
      <c r="R40591" s="1288"/>
    </row>
    <row r="40592" spans="18:18" s="2" customFormat="1" ht="12.75" x14ac:dyDescent="0.2">
      <c r="R40592" s="1288"/>
    </row>
    <row r="40593" spans="18:18" s="2" customFormat="1" ht="12.75" x14ac:dyDescent="0.2">
      <c r="R40593" s="1288"/>
    </row>
    <row r="40594" spans="18:18" s="2" customFormat="1" ht="12.75" x14ac:dyDescent="0.2">
      <c r="R40594" s="1288"/>
    </row>
    <row r="40595" spans="18:18" s="2" customFormat="1" ht="12.75" x14ac:dyDescent="0.2">
      <c r="R40595" s="1288"/>
    </row>
    <row r="40596" spans="18:18" s="2" customFormat="1" ht="12.75" x14ac:dyDescent="0.2">
      <c r="R40596" s="1288"/>
    </row>
    <row r="40597" spans="18:18" s="2" customFormat="1" ht="12.75" x14ac:dyDescent="0.2">
      <c r="R40597" s="1288"/>
    </row>
    <row r="40598" spans="18:18" s="2" customFormat="1" ht="12.75" x14ac:dyDescent="0.2">
      <c r="R40598" s="1288"/>
    </row>
    <row r="40599" spans="18:18" s="2" customFormat="1" ht="12.75" x14ac:dyDescent="0.2">
      <c r="R40599" s="1288"/>
    </row>
    <row r="40600" spans="18:18" s="2" customFormat="1" ht="12.75" x14ac:dyDescent="0.2">
      <c r="R40600" s="1288"/>
    </row>
    <row r="40601" spans="18:18" s="2" customFormat="1" ht="12.75" x14ac:dyDescent="0.2">
      <c r="R40601" s="1288"/>
    </row>
    <row r="40602" spans="18:18" s="2" customFormat="1" ht="12.75" x14ac:dyDescent="0.2">
      <c r="R40602" s="1288"/>
    </row>
    <row r="40603" spans="18:18" s="2" customFormat="1" ht="12.75" x14ac:dyDescent="0.2">
      <c r="R40603" s="1288"/>
    </row>
    <row r="40604" spans="18:18" s="2" customFormat="1" ht="12.75" x14ac:dyDescent="0.2">
      <c r="R40604" s="1288"/>
    </row>
    <row r="40605" spans="18:18" s="2" customFormat="1" ht="12.75" x14ac:dyDescent="0.2">
      <c r="R40605" s="1288"/>
    </row>
    <row r="40606" spans="18:18" s="2" customFormat="1" ht="12.75" x14ac:dyDescent="0.2">
      <c r="R40606" s="1288"/>
    </row>
    <row r="40607" spans="18:18" s="2" customFormat="1" ht="12.75" x14ac:dyDescent="0.2">
      <c r="R40607" s="1288"/>
    </row>
    <row r="40608" spans="18:18" s="2" customFormat="1" ht="12.75" x14ac:dyDescent="0.2">
      <c r="R40608" s="1288"/>
    </row>
    <row r="40609" spans="18:18" s="2" customFormat="1" ht="12.75" x14ac:dyDescent="0.2">
      <c r="R40609" s="1288"/>
    </row>
    <row r="40610" spans="18:18" s="2" customFormat="1" ht="12.75" x14ac:dyDescent="0.2">
      <c r="R40610" s="1288"/>
    </row>
    <row r="40611" spans="18:18" s="2" customFormat="1" ht="12.75" x14ac:dyDescent="0.2">
      <c r="R40611" s="1288"/>
    </row>
    <row r="40612" spans="18:18" s="2" customFormat="1" ht="12.75" x14ac:dyDescent="0.2">
      <c r="R40612" s="1288"/>
    </row>
    <row r="40613" spans="18:18" s="2" customFormat="1" ht="12.75" x14ac:dyDescent="0.2">
      <c r="R40613" s="1288"/>
    </row>
    <row r="40614" spans="18:18" s="2" customFormat="1" ht="12.75" x14ac:dyDescent="0.2">
      <c r="R40614" s="1288"/>
    </row>
    <row r="40615" spans="18:18" s="2" customFormat="1" ht="12.75" x14ac:dyDescent="0.2">
      <c r="R40615" s="1288"/>
    </row>
    <row r="40616" spans="18:18" s="2" customFormat="1" ht="12.75" x14ac:dyDescent="0.2">
      <c r="R40616" s="1288"/>
    </row>
    <row r="40617" spans="18:18" s="2" customFormat="1" ht="12.75" x14ac:dyDescent="0.2">
      <c r="R40617" s="1288"/>
    </row>
    <row r="40618" spans="18:18" s="2" customFormat="1" ht="12.75" x14ac:dyDescent="0.2">
      <c r="R40618" s="1288"/>
    </row>
    <row r="40619" spans="18:18" s="2" customFormat="1" ht="12.75" x14ac:dyDescent="0.2">
      <c r="R40619" s="1288"/>
    </row>
    <row r="40620" spans="18:18" s="2" customFormat="1" ht="12.75" x14ac:dyDescent="0.2">
      <c r="R40620" s="1288"/>
    </row>
    <row r="40621" spans="18:18" s="2" customFormat="1" ht="12.75" x14ac:dyDescent="0.2">
      <c r="R40621" s="1288"/>
    </row>
    <row r="40622" spans="18:18" s="2" customFormat="1" ht="12.75" x14ac:dyDescent="0.2">
      <c r="R40622" s="1288"/>
    </row>
    <row r="40623" spans="18:18" s="2" customFormat="1" ht="12.75" x14ac:dyDescent="0.2">
      <c r="R40623" s="1288"/>
    </row>
    <row r="40624" spans="18:18" s="2" customFormat="1" ht="12.75" x14ac:dyDescent="0.2">
      <c r="R40624" s="1288"/>
    </row>
    <row r="40625" spans="18:18" s="2" customFormat="1" ht="12.75" x14ac:dyDescent="0.2">
      <c r="R40625" s="1288"/>
    </row>
    <row r="40626" spans="18:18" s="2" customFormat="1" ht="12.75" x14ac:dyDescent="0.2">
      <c r="R40626" s="1288"/>
    </row>
    <row r="40627" spans="18:18" s="2" customFormat="1" ht="12.75" x14ac:dyDescent="0.2">
      <c r="R40627" s="1288"/>
    </row>
    <row r="40628" spans="18:18" s="2" customFormat="1" ht="12.75" x14ac:dyDescent="0.2">
      <c r="R40628" s="1288"/>
    </row>
    <row r="40629" spans="18:18" s="2" customFormat="1" ht="12.75" x14ac:dyDescent="0.2">
      <c r="R40629" s="1288"/>
    </row>
    <row r="40630" spans="18:18" s="2" customFormat="1" ht="12.75" x14ac:dyDescent="0.2">
      <c r="R40630" s="1288"/>
    </row>
    <row r="40631" spans="18:18" s="2" customFormat="1" ht="12.75" x14ac:dyDescent="0.2">
      <c r="R40631" s="1288"/>
    </row>
    <row r="40632" spans="18:18" s="2" customFormat="1" ht="12.75" x14ac:dyDescent="0.2">
      <c r="R40632" s="1288"/>
    </row>
    <row r="40633" spans="18:18" s="2" customFormat="1" ht="12.75" x14ac:dyDescent="0.2">
      <c r="R40633" s="1288"/>
    </row>
    <row r="40634" spans="18:18" s="2" customFormat="1" ht="12.75" x14ac:dyDescent="0.2">
      <c r="R40634" s="1288"/>
    </row>
    <row r="40635" spans="18:18" s="2" customFormat="1" ht="12.75" x14ac:dyDescent="0.2">
      <c r="R40635" s="1288"/>
    </row>
    <row r="40636" spans="18:18" s="2" customFormat="1" ht="12.75" x14ac:dyDescent="0.2">
      <c r="R40636" s="1288"/>
    </row>
    <row r="40637" spans="18:18" s="2" customFormat="1" ht="12.75" x14ac:dyDescent="0.2">
      <c r="R40637" s="1288"/>
    </row>
    <row r="40638" spans="18:18" s="2" customFormat="1" ht="12.75" x14ac:dyDescent="0.2">
      <c r="R40638" s="1288"/>
    </row>
    <row r="40639" spans="18:18" s="2" customFormat="1" ht="12.75" x14ac:dyDescent="0.2">
      <c r="R40639" s="1288"/>
    </row>
    <row r="40640" spans="18:18" s="2" customFormat="1" ht="12.75" x14ac:dyDescent="0.2">
      <c r="R40640" s="1288"/>
    </row>
    <row r="40641" spans="18:18" s="2" customFormat="1" ht="12.75" x14ac:dyDescent="0.2">
      <c r="R40641" s="1288"/>
    </row>
    <row r="40642" spans="18:18" s="2" customFormat="1" ht="12.75" x14ac:dyDescent="0.2">
      <c r="R40642" s="1288"/>
    </row>
    <row r="40643" spans="18:18" s="2" customFormat="1" ht="12.75" x14ac:dyDescent="0.2">
      <c r="R40643" s="1288"/>
    </row>
    <row r="40644" spans="18:18" s="2" customFormat="1" ht="12.75" x14ac:dyDescent="0.2">
      <c r="R40644" s="1288"/>
    </row>
    <row r="40645" spans="18:18" s="2" customFormat="1" ht="12.75" x14ac:dyDescent="0.2">
      <c r="R40645" s="1288"/>
    </row>
    <row r="40646" spans="18:18" s="2" customFormat="1" ht="12.75" x14ac:dyDescent="0.2">
      <c r="R40646" s="1288"/>
    </row>
    <row r="40647" spans="18:18" s="2" customFormat="1" ht="12.75" x14ac:dyDescent="0.2">
      <c r="R40647" s="1288"/>
    </row>
    <row r="40648" spans="18:18" s="2" customFormat="1" ht="12.75" x14ac:dyDescent="0.2">
      <c r="R40648" s="1288"/>
    </row>
    <row r="40649" spans="18:18" s="2" customFormat="1" ht="12.75" x14ac:dyDescent="0.2">
      <c r="R40649" s="1288"/>
    </row>
    <row r="40650" spans="18:18" s="2" customFormat="1" ht="12.75" x14ac:dyDescent="0.2">
      <c r="R40650" s="1288"/>
    </row>
    <row r="40651" spans="18:18" s="2" customFormat="1" ht="12.75" x14ac:dyDescent="0.2">
      <c r="R40651" s="1288"/>
    </row>
    <row r="40652" spans="18:18" s="2" customFormat="1" ht="12.75" x14ac:dyDescent="0.2">
      <c r="R40652" s="1288"/>
    </row>
    <row r="40653" spans="18:18" s="2" customFormat="1" ht="12.75" x14ac:dyDescent="0.2">
      <c r="R40653" s="1288"/>
    </row>
    <row r="40654" spans="18:18" s="2" customFormat="1" ht="12.75" x14ac:dyDescent="0.2">
      <c r="R40654" s="1288"/>
    </row>
    <row r="40655" spans="18:18" s="2" customFormat="1" ht="12.75" x14ac:dyDescent="0.2">
      <c r="R40655" s="1288"/>
    </row>
    <row r="40656" spans="18:18" s="2" customFormat="1" ht="12.75" x14ac:dyDescent="0.2">
      <c r="R40656" s="1288"/>
    </row>
    <row r="40657" spans="18:18" s="2" customFormat="1" ht="12.75" x14ac:dyDescent="0.2">
      <c r="R40657" s="1288"/>
    </row>
    <row r="40658" spans="18:18" s="2" customFormat="1" ht="12.75" x14ac:dyDescent="0.2">
      <c r="R40658" s="1288"/>
    </row>
    <row r="40659" spans="18:18" s="2" customFormat="1" ht="12.75" x14ac:dyDescent="0.2">
      <c r="R40659" s="1288"/>
    </row>
    <row r="40660" spans="18:18" s="2" customFormat="1" ht="12.75" x14ac:dyDescent="0.2">
      <c r="R40660" s="1288"/>
    </row>
    <row r="40661" spans="18:18" s="2" customFormat="1" ht="12.75" x14ac:dyDescent="0.2">
      <c r="R40661" s="1288"/>
    </row>
    <row r="40662" spans="18:18" s="2" customFormat="1" ht="12.75" x14ac:dyDescent="0.2">
      <c r="R40662" s="1288"/>
    </row>
    <row r="40663" spans="18:18" s="2" customFormat="1" ht="12.75" x14ac:dyDescent="0.2">
      <c r="R40663" s="1288"/>
    </row>
    <row r="40664" spans="18:18" s="2" customFormat="1" ht="12.75" x14ac:dyDescent="0.2">
      <c r="R40664" s="1288"/>
    </row>
    <row r="40665" spans="18:18" s="2" customFormat="1" ht="12.75" x14ac:dyDescent="0.2">
      <c r="R40665" s="1288"/>
    </row>
    <row r="40666" spans="18:18" s="2" customFormat="1" ht="12.75" x14ac:dyDescent="0.2">
      <c r="R40666" s="1288"/>
    </row>
    <row r="40667" spans="18:18" s="2" customFormat="1" ht="12.75" x14ac:dyDescent="0.2">
      <c r="R40667" s="1288"/>
    </row>
    <row r="40668" spans="18:18" s="2" customFormat="1" ht="12.75" x14ac:dyDescent="0.2">
      <c r="R40668" s="1288"/>
    </row>
    <row r="40669" spans="18:18" s="2" customFormat="1" ht="12.75" x14ac:dyDescent="0.2">
      <c r="R40669" s="1288"/>
    </row>
    <row r="40670" spans="18:18" s="2" customFormat="1" ht="12.75" x14ac:dyDescent="0.2">
      <c r="R40670" s="1288"/>
    </row>
    <row r="40671" spans="18:18" s="2" customFormat="1" ht="12.75" x14ac:dyDescent="0.2">
      <c r="R40671" s="1288"/>
    </row>
    <row r="40672" spans="18:18" s="2" customFormat="1" ht="12.75" x14ac:dyDescent="0.2">
      <c r="R40672" s="1288"/>
    </row>
    <row r="40673" spans="18:18" s="2" customFormat="1" ht="12.75" x14ac:dyDescent="0.2">
      <c r="R40673" s="1288"/>
    </row>
    <row r="40674" spans="18:18" s="2" customFormat="1" ht="12.75" x14ac:dyDescent="0.2">
      <c r="R40674" s="1288"/>
    </row>
    <row r="40675" spans="18:18" s="2" customFormat="1" ht="12.75" x14ac:dyDescent="0.2">
      <c r="R40675" s="1288"/>
    </row>
    <row r="40676" spans="18:18" s="2" customFormat="1" ht="12.75" x14ac:dyDescent="0.2">
      <c r="R40676" s="1288"/>
    </row>
    <row r="40677" spans="18:18" s="2" customFormat="1" ht="12.75" x14ac:dyDescent="0.2">
      <c r="R40677" s="1288"/>
    </row>
    <row r="40678" spans="18:18" s="2" customFormat="1" ht="12.75" x14ac:dyDescent="0.2">
      <c r="R40678" s="1288"/>
    </row>
    <row r="40679" spans="18:18" s="2" customFormat="1" ht="12.75" x14ac:dyDescent="0.2">
      <c r="R40679" s="1288"/>
    </row>
    <row r="40680" spans="18:18" s="2" customFormat="1" ht="12.75" x14ac:dyDescent="0.2">
      <c r="R40680" s="1288"/>
    </row>
    <row r="40681" spans="18:18" s="2" customFormat="1" ht="12.75" x14ac:dyDescent="0.2">
      <c r="R40681" s="1288"/>
    </row>
    <row r="40682" spans="18:18" s="2" customFormat="1" ht="12.75" x14ac:dyDescent="0.2">
      <c r="R40682" s="1288"/>
    </row>
    <row r="40683" spans="18:18" s="2" customFormat="1" ht="12.75" x14ac:dyDescent="0.2">
      <c r="R40683" s="1288"/>
    </row>
    <row r="40684" spans="18:18" s="2" customFormat="1" ht="12.75" x14ac:dyDescent="0.2">
      <c r="R40684" s="1288"/>
    </row>
    <row r="40685" spans="18:18" s="2" customFormat="1" ht="12.75" x14ac:dyDescent="0.2">
      <c r="R40685" s="1288"/>
    </row>
    <row r="40686" spans="18:18" s="2" customFormat="1" ht="12.75" x14ac:dyDescent="0.2">
      <c r="R40686" s="1288"/>
    </row>
    <row r="40687" spans="18:18" s="2" customFormat="1" ht="12.75" x14ac:dyDescent="0.2">
      <c r="R40687" s="1288"/>
    </row>
    <row r="40688" spans="18:18" s="2" customFormat="1" ht="12.75" x14ac:dyDescent="0.2">
      <c r="R40688" s="1288"/>
    </row>
    <row r="40689" spans="18:18" s="2" customFormat="1" ht="12.75" x14ac:dyDescent="0.2">
      <c r="R40689" s="1288"/>
    </row>
    <row r="40690" spans="18:18" s="2" customFormat="1" ht="12.75" x14ac:dyDescent="0.2">
      <c r="R40690" s="1288"/>
    </row>
    <row r="40691" spans="18:18" s="2" customFormat="1" ht="12.75" x14ac:dyDescent="0.2">
      <c r="R40691" s="1288"/>
    </row>
    <row r="40692" spans="18:18" s="2" customFormat="1" ht="12.75" x14ac:dyDescent="0.2">
      <c r="R40692" s="1288"/>
    </row>
    <row r="40693" spans="18:18" s="2" customFormat="1" ht="12.75" x14ac:dyDescent="0.2">
      <c r="R40693" s="1288"/>
    </row>
    <row r="40694" spans="18:18" s="2" customFormat="1" ht="12.75" x14ac:dyDescent="0.2">
      <c r="R40694" s="1288"/>
    </row>
    <row r="40695" spans="18:18" s="2" customFormat="1" ht="12.75" x14ac:dyDescent="0.2">
      <c r="R40695" s="1288"/>
    </row>
    <row r="40696" spans="18:18" s="2" customFormat="1" ht="12.75" x14ac:dyDescent="0.2">
      <c r="R40696" s="1288"/>
    </row>
    <row r="40697" spans="18:18" s="2" customFormat="1" ht="12.75" x14ac:dyDescent="0.2">
      <c r="R40697" s="1288"/>
    </row>
    <row r="40698" spans="18:18" s="2" customFormat="1" ht="12.75" x14ac:dyDescent="0.2">
      <c r="R40698" s="1288"/>
    </row>
    <row r="40699" spans="18:18" s="2" customFormat="1" ht="12.75" x14ac:dyDescent="0.2">
      <c r="R40699" s="1288"/>
    </row>
    <row r="40700" spans="18:18" s="2" customFormat="1" ht="12.75" x14ac:dyDescent="0.2">
      <c r="R40700" s="1288"/>
    </row>
    <row r="40701" spans="18:18" s="2" customFormat="1" ht="12.75" x14ac:dyDescent="0.2">
      <c r="R40701" s="1288"/>
    </row>
    <row r="40702" spans="18:18" s="2" customFormat="1" ht="12.75" x14ac:dyDescent="0.2">
      <c r="R40702" s="1288"/>
    </row>
    <row r="40703" spans="18:18" s="2" customFormat="1" ht="12.75" x14ac:dyDescent="0.2">
      <c r="R40703" s="1288"/>
    </row>
    <row r="40704" spans="18:18" s="2" customFormat="1" ht="12.75" x14ac:dyDescent="0.2">
      <c r="R40704" s="1288"/>
    </row>
    <row r="40705" spans="18:18" s="2" customFormat="1" ht="12.75" x14ac:dyDescent="0.2">
      <c r="R40705" s="1288"/>
    </row>
    <row r="40706" spans="18:18" s="2" customFormat="1" ht="12.75" x14ac:dyDescent="0.2">
      <c r="R40706" s="1288"/>
    </row>
    <row r="40707" spans="18:18" s="2" customFormat="1" ht="12.75" x14ac:dyDescent="0.2">
      <c r="R40707" s="1288"/>
    </row>
    <row r="40708" spans="18:18" s="2" customFormat="1" ht="12.75" x14ac:dyDescent="0.2">
      <c r="R40708" s="1288"/>
    </row>
    <row r="40709" spans="18:18" s="2" customFormat="1" ht="12.75" x14ac:dyDescent="0.2">
      <c r="R40709" s="1288"/>
    </row>
    <row r="40710" spans="18:18" s="2" customFormat="1" ht="12.75" x14ac:dyDescent="0.2">
      <c r="R40710" s="1288"/>
    </row>
    <row r="40711" spans="18:18" s="2" customFormat="1" ht="12.75" x14ac:dyDescent="0.2">
      <c r="R40711" s="1288"/>
    </row>
    <row r="40712" spans="18:18" s="2" customFormat="1" ht="12.75" x14ac:dyDescent="0.2">
      <c r="R40712" s="1288"/>
    </row>
    <row r="40713" spans="18:18" s="2" customFormat="1" ht="12.75" x14ac:dyDescent="0.2">
      <c r="R40713" s="1288"/>
    </row>
    <row r="40714" spans="18:18" s="2" customFormat="1" ht="12.75" x14ac:dyDescent="0.2">
      <c r="R40714" s="1288"/>
    </row>
    <row r="40715" spans="18:18" s="2" customFormat="1" ht="12.75" x14ac:dyDescent="0.2">
      <c r="R40715" s="1288"/>
    </row>
    <row r="40716" spans="18:18" s="2" customFormat="1" ht="12.75" x14ac:dyDescent="0.2">
      <c r="R40716" s="1288"/>
    </row>
    <row r="40717" spans="18:18" s="2" customFormat="1" ht="12.75" x14ac:dyDescent="0.2">
      <c r="R40717" s="1288"/>
    </row>
    <row r="40718" spans="18:18" s="2" customFormat="1" ht="12.75" x14ac:dyDescent="0.2">
      <c r="R40718" s="1288"/>
    </row>
    <row r="40719" spans="18:18" s="2" customFormat="1" ht="12.75" x14ac:dyDescent="0.2">
      <c r="R40719" s="1288"/>
    </row>
    <row r="40720" spans="18:18" s="2" customFormat="1" ht="12.75" x14ac:dyDescent="0.2">
      <c r="R40720" s="1288"/>
    </row>
    <row r="40721" spans="18:18" s="2" customFormat="1" ht="12.75" x14ac:dyDescent="0.2">
      <c r="R40721" s="1288"/>
    </row>
    <row r="40722" spans="18:18" s="2" customFormat="1" ht="12.75" x14ac:dyDescent="0.2">
      <c r="R40722" s="1288"/>
    </row>
    <row r="40723" spans="18:18" s="2" customFormat="1" ht="12.75" x14ac:dyDescent="0.2">
      <c r="R40723" s="1288"/>
    </row>
    <row r="40724" spans="18:18" s="2" customFormat="1" ht="12.75" x14ac:dyDescent="0.2">
      <c r="R40724" s="1288"/>
    </row>
    <row r="40725" spans="18:18" s="2" customFormat="1" ht="12.75" x14ac:dyDescent="0.2">
      <c r="R40725" s="1288"/>
    </row>
    <row r="40726" spans="18:18" s="2" customFormat="1" ht="12.75" x14ac:dyDescent="0.2">
      <c r="R40726" s="1288"/>
    </row>
    <row r="40727" spans="18:18" s="2" customFormat="1" ht="12.75" x14ac:dyDescent="0.2">
      <c r="R40727" s="1288"/>
    </row>
    <row r="40728" spans="18:18" s="2" customFormat="1" ht="12.75" x14ac:dyDescent="0.2">
      <c r="R40728" s="1288"/>
    </row>
    <row r="40729" spans="18:18" s="2" customFormat="1" ht="12.75" x14ac:dyDescent="0.2">
      <c r="R40729" s="1288"/>
    </row>
    <row r="40730" spans="18:18" s="2" customFormat="1" ht="12.75" x14ac:dyDescent="0.2">
      <c r="R40730" s="1288"/>
    </row>
    <row r="40731" spans="18:18" s="2" customFormat="1" ht="12.75" x14ac:dyDescent="0.2">
      <c r="R40731" s="1288"/>
    </row>
    <row r="40732" spans="18:18" s="2" customFormat="1" ht="12.75" x14ac:dyDescent="0.2">
      <c r="R40732" s="1288"/>
    </row>
    <row r="40733" spans="18:18" s="2" customFormat="1" ht="12.75" x14ac:dyDescent="0.2">
      <c r="R40733" s="1288"/>
    </row>
    <row r="40734" spans="18:18" s="2" customFormat="1" ht="12.75" x14ac:dyDescent="0.2">
      <c r="R40734" s="1288"/>
    </row>
    <row r="40735" spans="18:18" s="2" customFormat="1" ht="12.75" x14ac:dyDescent="0.2">
      <c r="R40735" s="1288"/>
    </row>
    <row r="40736" spans="18:18" s="2" customFormat="1" ht="12.75" x14ac:dyDescent="0.2">
      <c r="R40736" s="1288"/>
    </row>
    <row r="40737" spans="18:18" s="2" customFormat="1" ht="12.75" x14ac:dyDescent="0.2">
      <c r="R40737" s="1288"/>
    </row>
    <row r="40738" spans="18:18" s="2" customFormat="1" ht="12.75" x14ac:dyDescent="0.2">
      <c r="R40738" s="1288"/>
    </row>
    <row r="40739" spans="18:18" s="2" customFormat="1" ht="12.75" x14ac:dyDescent="0.2">
      <c r="R40739" s="1288"/>
    </row>
    <row r="40740" spans="18:18" s="2" customFormat="1" ht="12.75" x14ac:dyDescent="0.2">
      <c r="R40740" s="1288"/>
    </row>
    <row r="40741" spans="18:18" s="2" customFormat="1" ht="12.75" x14ac:dyDescent="0.2">
      <c r="R40741" s="1288"/>
    </row>
    <row r="40742" spans="18:18" s="2" customFormat="1" ht="12.75" x14ac:dyDescent="0.2">
      <c r="R40742" s="1288"/>
    </row>
    <row r="40743" spans="18:18" s="2" customFormat="1" ht="12.75" x14ac:dyDescent="0.2">
      <c r="R40743" s="1288"/>
    </row>
    <row r="40744" spans="18:18" s="2" customFormat="1" ht="12.75" x14ac:dyDescent="0.2">
      <c r="R40744" s="1288"/>
    </row>
    <row r="40745" spans="18:18" s="2" customFormat="1" ht="12.75" x14ac:dyDescent="0.2">
      <c r="R40745" s="1288"/>
    </row>
    <row r="40746" spans="18:18" s="2" customFormat="1" ht="12.75" x14ac:dyDescent="0.2">
      <c r="R40746" s="1288"/>
    </row>
    <row r="40747" spans="18:18" s="2" customFormat="1" ht="12.75" x14ac:dyDescent="0.2">
      <c r="R40747" s="1288"/>
    </row>
    <row r="40748" spans="18:18" s="2" customFormat="1" ht="12.75" x14ac:dyDescent="0.2">
      <c r="R40748" s="1288"/>
    </row>
    <row r="40749" spans="18:18" s="2" customFormat="1" ht="12.75" x14ac:dyDescent="0.2">
      <c r="R40749" s="1288"/>
    </row>
    <row r="40750" spans="18:18" s="2" customFormat="1" ht="12.75" x14ac:dyDescent="0.2">
      <c r="R40750" s="1288"/>
    </row>
    <row r="40751" spans="18:18" s="2" customFormat="1" ht="12.75" x14ac:dyDescent="0.2">
      <c r="R40751" s="1288"/>
    </row>
    <row r="40752" spans="18:18" s="2" customFormat="1" ht="12.75" x14ac:dyDescent="0.2">
      <c r="R40752" s="1288"/>
    </row>
    <row r="40753" spans="18:18" s="2" customFormat="1" ht="12.75" x14ac:dyDescent="0.2">
      <c r="R40753" s="1288"/>
    </row>
    <row r="40754" spans="18:18" s="2" customFormat="1" ht="12.75" x14ac:dyDescent="0.2">
      <c r="R40754" s="1288"/>
    </row>
    <row r="40755" spans="18:18" s="2" customFormat="1" ht="12.75" x14ac:dyDescent="0.2">
      <c r="R40755" s="1288"/>
    </row>
    <row r="40756" spans="18:18" s="2" customFormat="1" ht="12.75" x14ac:dyDescent="0.2">
      <c r="R40756" s="1288"/>
    </row>
    <row r="40757" spans="18:18" s="2" customFormat="1" ht="12.75" x14ac:dyDescent="0.2">
      <c r="R40757" s="1288"/>
    </row>
    <row r="40758" spans="18:18" s="2" customFormat="1" ht="12.75" x14ac:dyDescent="0.2">
      <c r="R40758" s="1288"/>
    </row>
    <row r="40759" spans="18:18" s="2" customFormat="1" ht="12.75" x14ac:dyDescent="0.2">
      <c r="R40759" s="1288"/>
    </row>
    <row r="40760" spans="18:18" s="2" customFormat="1" ht="12.75" x14ac:dyDescent="0.2">
      <c r="R40760" s="1288"/>
    </row>
    <row r="40761" spans="18:18" s="2" customFormat="1" ht="12.75" x14ac:dyDescent="0.2">
      <c r="R40761" s="1288"/>
    </row>
    <row r="40762" spans="18:18" s="2" customFormat="1" ht="12.75" x14ac:dyDescent="0.2">
      <c r="R40762" s="1288"/>
    </row>
    <row r="40763" spans="18:18" s="2" customFormat="1" ht="12.75" x14ac:dyDescent="0.2">
      <c r="R40763" s="1288"/>
    </row>
    <row r="40764" spans="18:18" s="2" customFormat="1" ht="12.75" x14ac:dyDescent="0.2">
      <c r="R40764" s="1288"/>
    </row>
    <row r="40765" spans="18:18" s="2" customFormat="1" ht="12.75" x14ac:dyDescent="0.2">
      <c r="R40765" s="1288"/>
    </row>
    <row r="40766" spans="18:18" s="2" customFormat="1" ht="12.75" x14ac:dyDescent="0.2">
      <c r="R40766" s="1288"/>
    </row>
    <row r="40767" spans="18:18" s="2" customFormat="1" ht="12.75" x14ac:dyDescent="0.2">
      <c r="R40767" s="1288"/>
    </row>
    <row r="40768" spans="18:18" s="2" customFormat="1" ht="12.75" x14ac:dyDescent="0.2">
      <c r="R40768" s="1288"/>
    </row>
    <row r="40769" spans="18:18" s="2" customFormat="1" ht="12.75" x14ac:dyDescent="0.2">
      <c r="R40769" s="1288"/>
    </row>
    <row r="40770" spans="18:18" s="2" customFormat="1" ht="12.75" x14ac:dyDescent="0.2">
      <c r="R40770" s="1288"/>
    </row>
    <row r="40771" spans="18:18" s="2" customFormat="1" ht="12.75" x14ac:dyDescent="0.2">
      <c r="R40771" s="1288"/>
    </row>
    <row r="40772" spans="18:18" s="2" customFormat="1" ht="12.75" x14ac:dyDescent="0.2">
      <c r="R40772" s="1288"/>
    </row>
    <row r="40773" spans="18:18" s="2" customFormat="1" ht="12.75" x14ac:dyDescent="0.2">
      <c r="R40773" s="1288"/>
    </row>
    <row r="40774" spans="18:18" s="2" customFormat="1" ht="12.75" x14ac:dyDescent="0.2">
      <c r="R40774" s="1288"/>
    </row>
    <row r="40775" spans="18:18" s="2" customFormat="1" ht="12.75" x14ac:dyDescent="0.2">
      <c r="R40775" s="1288"/>
    </row>
    <row r="40776" spans="18:18" s="2" customFormat="1" ht="12.75" x14ac:dyDescent="0.2">
      <c r="R40776" s="1288"/>
    </row>
    <row r="40777" spans="18:18" s="2" customFormat="1" ht="12.75" x14ac:dyDescent="0.2">
      <c r="R40777" s="1288"/>
    </row>
    <row r="40778" spans="18:18" s="2" customFormat="1" ht="12.75" x14ac:dyDescent="0.2">
      <c r="R40778" s="1288"/>
    </row>
    <row r="40779" spans="18:18" s="2" customFormat="1" ht="12.75" x14ac:dyDescent="0.2">
      <c r="R40779" s="1288"/>
    </row>
    <row r="40780" spans="18:18" s="2" customFormat="1" ht="12.75" x14ac:dyDescent="0.2">
      <c r="R40780" s="1288"/>
    </row>
    <row r="40781" spans="18:18" s="2" customFormat="1" ht="12.75" x14ac:dyDescent="0.2">
      <c r="R40781" s="1288"/>
    </row>
    <row r="40782" spans="18:18" s="2" customFormat="1" ht="12.75" x14ac:dyDescent="0.2">
      <c r="R40782" s="1288"/>
    </row>
    <row r="40783" spans="18:18" s="2" customFormat="1" ht="12.75" x14ac:dyDescent="0.2">
      <c r="R40783" s="1288"/>
    </row>
    <row r="40784" spans="18:18" s="2" customFormat="1" ht="12.75" x14ac:dyDescent="0.2">
      <c r="R40784" s="1288"/>
    </row>
    <row r="40785" spans="18:18" s="2" customFormat="1" ht="12.75" x14ac:dyDescent="0.2">
      <c r="R40785" s="1288"/>
    </row>
    <row r="40786" spans="18:18" s="2" customFormat="1" ht="12.75" x14ac:dyDescent="0.2">
      <c r="R40786" s="1288"/>
    </row>
    <row r="40787" spans="18:18" s="2" customFormat="1" ht="12.75" x14ac:dyDescent="0.2">
      <c r="R40787" s="1288"/>
    </row>
    <row r="40788" spans="18:18" s="2" customFormat="1" ht="12.75" x14ac:dyDescent="0.2">
      <c r="R40788" s="1288"/>
    </row>
    <row r="40789" spans="18:18" s="2" customFormat="1" ht="12.75" x14ac:dyDescent="0.2">
      <c r="R40789" s="1288"/>
    </row>
    <row r="40790" spans="18:18" s="2" customFormat="1" ht="12.75" x14ac:dyDescent="0.2">
      <c r="R40790" s="1288"/>
    </row>
    <row r="40791" spans="18:18" s="2" customFormat="1" ht="12.75" x14ac:dyDescent="0.2">
      <c r="R40791" s="1288"/>
    </row>
    <row r="40792" spans="18:18" s="2" customFormat="1" ht="12.75" x14ac:dyDescent="0.2">
      <c r="R40792" s="1288"/>
    </row>
    <row r="40793" spans="18:18" s="2" customFormat="1" ht="12.75" x14ac:dyDescent="0.2">
      <c r="R40793" s="1288"/>
    </row>
    <row r="40794" spans="18:18" s="2" customFormat="1" ht="12.75" x14ac:dyDescent="0.2">
      <c r="R40794" s="1288"/>
    </row>
    <row r="40795" spans="18:18" s="2" customFormat="1" ht="12.75" x14ac:dyDescent="0.2">
      <c r="R40795" s="1288"/>
    </row>
    <row r="40796" spans="18:18" s="2" customFormat="1" ht="12.75" x14ac:dyDescent="0.2">
      <c r="R40796" s="1288"/>
    </row>
    <row r="40797" spans="18:18" s="2" customFormat="1" ht="12.75" x14ac:dyDescent="0.2">
      <c r="R40797" s="1288"/>
    </row>
    <row r="40798" spans="18:18" s="2" customFormat="1" ht="12.75" x14ac:dyDescent="0.2">
      <c r="R40798" s="1288"/>
    </row>
    <row r="40799" spans="18:18" s="2" customFormat="1" ht="12.75" x14ac:dyDescent="0.2">
      <c r="R40799" s="1288"/>
    </row>
    <row r="40800" spans="18:18" s="2" customFormat="1" ht="12.75" x14ac:dyDescent="0.2">
      <c r="R40800" s="1288"/>
    </row>
    <row r="40801" spans="18:18" s="2" customFormat="1" ht="12.75" x14ac:dyDescent="0.2">
      <c r="R40801" s="1288"/>
    </row>
    <row r="40802" spans="18:18" s="2" customFormat="1" ht="12.75" x14ac:dyDescent="0.2">
      <c r="R40802" s="1288"/>
    </row>
    <row r="40803" spans="18:18" s="2" customFormat="1" ht="12.75" x14ac:dyDescent="0.2">
      <c r="R40803" s="1288"/>
    </row>
    <row r="40804" spans="18:18" s="2" customFormat="1" ht="12.75" x14ac:dyDescent="0.2">
      <c r="R40804" s="1288"/>
    </row>
    <row r="40805" spans="18:18" s="2" customFormat="1" ht="12.75" x14ac:dyDescent="0.2">
      <c r="R40805" s="1288"/>
    </row>
    <row r="40806" spans="18:18" s="2" customFormat="1" ht="12.75" x14ac:dyDescent="0.2">
      <c r="R40806" s="1288"/>
    </row>
    <row r="40807" spans="18:18" s="2" customFormat="1" ht="12.75" x14ac:dyDescent="0.2">
      <c r="R40807" s="1288"/>
    </row>
    <row r="40808" spans="18:18" s="2" customFormat="1" ht="12.75" x14ac:dyDescent="0.2">
      <c r="R40808" s="1288"/>
    </row>
    <row r="40809" spans="18:18" s="2" customFormat="1" ht="12.75" x14ac:dyDescent="0.2">
      <c r="R40809" s="1288"/>
    </row>
    <row r="40810" spans="18:18" s="2" customFormat="1" ht="12.75" x14ac:dyDescent="0.2">
      <c r="R40810" s="1288"/>
    </row>
    <row r="40811" spans="18:18" s="2" customFormat="1" ht="12.75" x14ac:dyDescent="0.2">
      <c r="R40811" s="1288"/>
    </row>
    <row r="40812" spans="18:18" s="2" customFormat="1" ht="12.75" x14ac:dyDescent="0.2">
      <c r="R40812" s="1288"/>
    </row>
    <row r="40813" spans="18:18" s="2" customFormat="1" ht="12.75" x14ac:dyDescent="0.2">
      <c r="R40813" s="1288"/>
    </row>
    <row r="40814" spans="18:18" s="2" customFormat="1" ht="12.75" x14ac:dyDescent="0.2">
      <c r="R40814" s="1288"/>
    </row>
    <row r="40815" spans="18:18" s="2" customFormat="1" ht="12.75" x14ac:dyDescent="0.2">
      <c r="R40815" s="1288"/>
    </row>
    <row r="40816" spans="18:18" s="2" customFormat="1" ht="12.75" x14ac:dyDescent="0.2">
      <c r="R40816" s="1288"/>
    </row>
    <row r="40817" spans="18:18" s="2" customFormat="1" ht="12.75" x14ac:dyDescent="0.2">
      <c r="R40817" s="1288"/>
    </row>
    <row r="40818" spans="18:18" s="2" customFormat="1" ht="12.75" x14ac:dyDescent="0.2">
      <c r="R40818" s="1288"/>
    </row>
    <row r="40819" spans="18:18" s="2" customFormat="1" ht="12.75" x14ac:dyDescent="0.2">
      <c r="R40819" s="1288"/>
    </row>
    <row r="40820" spans="18:18" s="2" customFormat="1" ht="12.75" x14ac:dyDescent="0.2">
      <c r="R40820" s="1288"/>
    </row>
    <row r="40821" spans="18:18" s="2" customFormat="1" ht="12.75" x14ac:dyDescent="0.2">
      <c r="R40821" s="1288"/>
    </row>
    <row r="40822" spans="18:18" s="2" customFormat="1" ht="12.75" x14ac:dyDescent="0.2">
      <c r="R40822" s="1288"/>
    </row>
    <row r="40823" spans="18:18" s="2" customFormat="1" ht="12.75" x14ac:dyDescent="0.2">
      <c r="R40823" s="1288"/>
    </row>
    <row r="40824" spans="18:18" s="2" customFormat="1" ht="12.75" x14ac:dyDescent="0.2">
      <c r="R40824" s="1288"/>
    </row>
    <row r="40825" spans="18:18" s="2" customFormat="1" ht="12.75" x14ac:dyDescent="0.2">
      <c r="R40825" s="1288"/>
    </row>
    <row r="40826" spans="18:18" s="2" customFormat="1" ht="12.75" x14ac:dyDescent="0.2">
      <c r="R40826" s="1288"/>
    </row>
    <row r="40827" spans="18:18" s="2" customFormat="1" ht="12.75" x14ac:dyDescent="0.2">
      <c r="R40827" s="1288"/>
    </row>
    <row r="40828" spans="18:18" s="2" customFormat="1" ht="12.75" x14ac:dyDescent="0.2">
      <c r="R40828" s="1288"/>
    </row>
    <row r="40829" spans="18:18" s="2" customFormat="1" ht="12.75" x14ac:dyDescent="0.2">
      <c r="R40829" s="1288"/>
    </row>
    <row r="40830" spans="18:18" s="2" customFormat="1" ht="12.75" x14ac:dyDescent="0.2">
      <c r="R40830" s="1288"/>
    </row>
    <row r="40831" spans="18:18" s="2" customFormat="1" ht="12.75" x14ac:dyDescent="0.2">
      <c r="R40831" s="1288"/>
    </row>
    <row r="40832" spans="18:18" s="2" customFormat="1" ht="12.75" x14ac:dyDescent="0.2">
      <c r="R40832" s="1288"/>
    </row>
    <row r="40833" spans="18:18" s="2" customFormat="1" ht="12.75" x14ac:dyDescent="0.2">
      <c r="R40833" s="1288"/>
    </row>
    <row r="40834" spans="18:18" s="2" customFormat="1" ht="12.75" x14ac:dyDescent="0.2">
      <c r="R40834" s="1288"/>
    </row>
    <row r="40835" spans="18:18" s="2" customFormat="1" ht="12.75" x14ac:dyDescent="0.2">
      <c r="R40835" s="1288"/>
    </row>
    <row r="40836" spans="18:18" s="2" customFormat="1" ht="12.75" x14ac:dyDescent="0.2">
      <c r="R40836" s="1288"/>
    </row>
    <row r="40837" spans="18:18" s="2" customFormat="1" ht="12.75" x14ac:dyDescent="0.2">
      <c r="R40837" s="1288"/>
    </row>
    <row r="40838" spans="18:18" s="2" customFormat="1" ht="12.75" x14ac:dyDescent="0.2">
      <c r="R40838" s="1288"/>
    </row>
    <row r="40839" spans="18:18" s="2" customFormat="1" ht="12.75" x14ac:dyDescent="0.2">
      <c r="R40839" s="1288"/>
    </row>
    <row r="40840" spans="18:18" s="2" customFormat="1" ht="12.75" x14ac:dyDescent="0.2">
      <c r="R40840" s="1288"/>
    </row>
    <row r="40841" spans="18:18" s="2" customFormat="1" ht="12.75" x14ac:dyDescent="0.2">
      <c r="R40841" s="1288"/>
    </row>
    <row r="40842" spans="18:18" s="2" customFormat="1" ht="12.75" x14ac:dyDescent="0.2">
      <c r="R40842" s="1288"/>
    </row>
    <row r="40843" spans="18:18" s="2" customFormat="1" ht="12.75" x14ac:dyDescent="0.2">
      <c r="R40843" s="1288"/>
    </row>
    <row r="40844" spans="18:18" s="2" customFormat="1" ht="12.75" x14ac:dyDescent="0.2">
      <c r="R40844" s="1288"/>
    </row>
    <row r="40845" spans="18:18" s="2" customFormat="1" ht="12.75" x14ac:dyDescent="0.2">
      <c r="R40845" s="1288"/>
    </row>
    <row r="40846" spans="18:18" s="2" customFormat="1" ht="12.75" x14ac:dyDescent="0.2">
      <c r="R40846" s="1288"/>
    </row>
    <row r="40847" spans="18:18" s="2" customFormat="1" ht="12.75" x14ac:dyDescent="0.2">
      <c r="R40847" s="1288"/>
    </row>
    <row r="40848" spans="18:18" s="2" customFormat="1" ht="12.75" x14ac:dyDescent="0.2">
      <c r="R40848" s="1288"/>
    </row>
    <row r="40849" spans="18:18" s="2" customFormat="1" ht="12.75" x14ac:dyDescent="0.2">
      <c r="R40849" s="1288"/>
    </row>
    <row r="40850" spans="18:18" s="2" customFormat="1" ht="12.75" x14ac:dyDescent="0.2">
      <c r="R40850" s="1288"/>
    </row>
    <row r="40851" spans="18:18" s="2" customFormat="1" ht="12.75" x14ac:dyDescent="0.2">
      <c r="R40851" s="1288"/>
    </row>
    <row r="40852" spans="18:18" s="2" customFormat="1" ht="12.75" x14ac:dyDescent="0.2">
      <c r="R40852" s="1288"/>
    </row>
    <row r="40853" spans="18:18" s="2" customFormat="1" ht="12.75" x14ac:dyDescent="0.2">
      <c r="R40853" s="1288"/>
    </row>
    <row r="40854" spans="18:18" s="2" customFormat="1" ht="12.75" x14ac:dyDescent="0.2">
      <c r="R40854" s="1288"/>
    </row>
    <row r="40855" spans="18:18" s="2" customFormat="1" ht="12.75" x14ac:dyDescent="0.2">
      <c r="R40855" s="1288"/>
    </row>
    <row r="40856" spans="18:18" s="2" customFormat="1" ht="12.75" x14ac:dyDescent="0.2">
      <c r="R40856" s="1288"/>
    </row>
    <row r="40857" spans="18:18" s="2" customFormat="1" ht="12.75" x14ac:dyDescent="0.2">
      <c r="R40857" s="1288"/>
    </row>
    <row r="40858" spans="18:18" s="2" customFormat="1" ht="12.75" x14ac:dyDescent="0.2">
      <c r="R40858" s="1288"/>
    </row>
    <row r="40859" spans="18:18" s="2" customFormat="1" ht="12.75" x14ac:dyDescent="0.2">
      <c r="R40859" s="1288"/>
    </row>
    <row r="40860" spans="18:18" s="2" customFormat="1" ht="12.75" x14ac:dyDescent="0.2">
      <c r="R40860" s="1288"/>
    </row>
    <row r="40861" spans="18:18" s="2" customFormat="1" ht="12.75" x14ac:dyDescent="0.2">
      <c r="R40861" s="1288"/>
    </row>
    <row r="40862" spans="18:18" s="2" customFormat="1" ht="12.75" x14ac:dyDescent="0.2">
      <c r="R40862" s="1288"/>
    </row>
    <row r="40863" spans="18:18" s="2" customFormat="1" ht="12.75" x14ac:dyDescent="0.2">
      <c r="R40863" s="1288"/>
    </row>
    <row r="40864" spans="18:18" s="2" customFormat="1" ht="12.75" x14ac:dyDescent="0.2">
      <c r="R40864" s="1288"/>
    </row>
    <row r="40865" spans="18:18" s="2" customFormat="1" ht="12.75" x14ac:dyDescent="0.2">
      <c r="R40865" s="1288"/>
    </row>
    <row r="40866" spans="18:18" s="2" customFormat="1" ht="12.75" x14ac:dyDescent="0.2">
      <c r="R40866" s="1288"/>
    </row>
    <row r="40867" spans="18:18" s="2" customFormat="1" ht="12.75" x14ac:dyDescent="0.2">
      <c r="R40867" s="1288"/>
    </row>
    <row r="40868" spans="18:18" s="2" customFormat="1" ht="12.75" x14ac:dyDescent="0.2">
      <c r="R40868" s="1288"/>
    </row>
    <row r="40869" spans="18:18" s="2" customFormat="1" ht="12.75" x14ac:dyDescent="0.2">
      <c r="R40869" s="1288"/>
    </row>
    <row r="40870" spans="18:18" s="2" customFormat="1" ht="12.75" x14ac:dyDescent="0.2">
      <c r="R40870" s="1288"/>
    </row>
    <row r="40871" spans="18:18" s="2" customFormat="1" ht="12.75" x14ac:dyDescent="0.2">
      <c r="R40871" s="1288"/>
    </row>
    <row r="40872" spans="18:18" s="2" customFormat="1" ht="12.75" x14ac:dyDescent="0.2">
      <c r="R40872" s="1288"/>
    </row>
    <row r="40873" spans="18:18" s="2" customFormat="1" ht="12.75" x14ac:dyDescent="0.2">
      <c r="R40873" s="1288"/>
    </row>
    <row r="40874" spans="18:18" s="2" customFormat="1" ht="12.75" x14ac:dyDescent="0.2">
      <c r="R40874" s="1288"/>
    </row>
    <row r="40875" spans="18:18" s="2" customFormat="1" ht="12.75" x14ac:dyDescent="0.2">
      <c r="R40875" s="1288"/>
    </row>
    <row r="40876" spans="18:18" s="2" customFormat="1" ht="12.75" x14ac:dyDescent="0.2">
      <c r="R40876" s="1288"/>
    </row>
    <row r="40877" spans="18:18" s="2" customFormat="1" ht="12.75" x14ac:dyDescent="0.2">
      <c r="R40877" s="1288"/>
    </row>
    <row r="40878" spans="18:18" s="2" customFormat="1" ht="12.75" x14ac:dyDescent="0.2">
      <c r="R40878" s="1288"/>
    </row>
    <row r="40879" spans="18:18" s="2" customFormat="1" ht="12.75" x14ac:dyDescent="0.2">
      <c r="R40879" s="1288"/>
    </row>
    <row r="40880" spans="18:18" s="2" customFormat="1" ht="12.75" x14ac:dyDescent="0.2">
      <c r="R40880" s="1288"/>
    </row>
    <row r="40881" spans="18:18" s="2" customFormat="1" ht="12.75" x14ac:dyDescent="0.2">
      <c r="R40881" s="1288"/>
    </row>
    <row r="40882" spans="18:18" s="2" customFormat="1" ht="12.75" x14ac:dyDescent="0.2">
      <c r="R40882" s="1288"/>
    </row>
    <row r="40883" spans="18:18" s="2" customFormat="1" ht="12.75" x14ac:dyDescent="0.2">
      <c r="R40883" s="1288"/>
    </row>
    <row r="40884" spans="18:18" s="2" customFormat="1" ht="12.75" x14ac:dyDescent="0.2">
      <c r="R40884" s="1288"/>
    </row>
    <row r="40885" spans="18:18" s="2" customFormat="1" ht="12.75" x14ac:dyDescent="0.2">
      <c r="R40885" s="1288"/>
    </row>
    <row r="40886" spans="18:18" s="2" customFormat="1" ht="12.75" x14ac:dyDescent="0.2">
      <c r="R40886" s="1288"/>
    </row>
    <row r="40887" spans="18:18" s="2" customFormat="1" ht="12.75" x14ac:dyDescent="0.2">
      <c r="R40887" s="1288"/>
    </row>
    <row r="40888" spans="18:18" s="2" customFormat="1" ht="12.75" x14ac:dyDescent="0.2">
      <c r="R40888" s="1288"/>
    </row>
    <row r="40889" spans="18:18" s="2" customFormat="1" ht="12.75" x14ac:dyDescent="0.2">
      <c r="R40889" s="1288"/>
    </row>
    <row r="40890" spans="18:18" s="2" customFormat="1" ht="12.75" x14ac:dyDescent="0.2">
      <c r="R40890" s="1288"/>
    </row>
    <row r="40891" spans="18:18" s="2" customFormat="1" ht="12.75" x14ac:dyDescent="0.2">
      <c r="R40891" s="1288"/>
    </row>
    <row r="40892" spans="18:18" s="2" customFormat="1" ht="12.75" x14ac:dyDescent="0.2">
      <c r="R40892" s="1288"/>
    </row>
    <row r="40893" spans="18:18" s="2" customFormat="1" ht="12.75" x14ac:dyDescent="0.2">
      <c r="R40893" s="1288"/>
    </row>
    <row r="40894" spans="18:18" s="2" customFormat="1" ht="12.75" x14ac:dyDescent="0.2">
      <c r="R40894" s="1288"/>
    </row>
    <row r="40895" spans="18:18" s="2" customFormat="1" ht="12.75" x14ac:dyDescent="0.2">
      <c r="R40895" s="1288"/>
    </row>
    <row r="40896" spans="18:18" s="2" customFormat="1" ht="12.75" x14ac:dyDescent="0.2">
      <c r="R40896" s="1288"/>
    </row>
    <row r="40897" spans="18:18" s="2" customFormat="1" ht="12.75" x14ac:dyDescent="0.2">
      <c r="R40897" s="1288"/>
    </row>
    <row r="40898" spans="18:18" s="2" customFormat="1" ht="12.75" x14ac:dyDescent="0.2">
      <c r="R40898" s="1288"/>
    </row>
    <row r="40899" spans="18:18" s="2" customFormat="1" ht="12.75" x14ac:dyDescent="0.2">
      <c r="R40899" s="1288"/>
    </row>
    <row r="40900" spans="18:18" s="2" customFormat="1" ht="12.75" x14ac:dyDescent="0.2">
      <c r="R40900" s="1288"/>
    </row>
    <row r="40901" spans="18:18" s="2" customFormat="1" ht="12.75" x14ac:dyDescent="0.2">
      <c r="R40901" s="1288"/>
    </row>
    <row r="40902" spans="18:18" s="2" customFormat="1" ht="12.75" x14ac:dyDescent="0.2">
      <c r="R40902" s="1288"/>
    </row>
    <row r="40903" spans="18:18" s="2" customFormat="1" ht="12.75" x14ac:dyDescent="0.2">
      <c r="R40903" s="1288"/>
    </row>
    <row r="40904" spans="18:18" s="2" customFormat="1" ht="12.75" x14ac:dyDescent="0.2">
      <c r="R40904" s="1288"/>
    </row>
    <row r="40905" spans="18:18" s="2" customFormat="1" ht="12.75" x14ac:dyDescent="0.2">
      <c r="R40905" s="1288"/>
    </row>
    <row r="40906" spans="18:18" s="2" customFormat="1" ht="12.75" x14ac:dyDescent="0.2">
      <c r="R40906" s="1288"/>
    </row>
    <row r="40907" spans="18:18" s="2" customFormat="1" ht="12.75" x14ac:dyDescent="0.2">
      <c r="R40907" s="1288"/>
    </row>
    <row r="40908" spans="18:18" s="2" customFormat="1" ht="12.75" x14ac:dyDescent="0.2">
      <c r="R40908" s="1288"/>
    </row>
    <row r="40909" spans="18:18" s="2" customFormat="1" ht="12.75" x14ac:dyDescent="0.2">
      <c r="R40909" s="1288"/>
    </row>
    <row r="40910" spans="18:18" s="2" customFormat="1" ht="12.75" x14ac:dyDescent="0.2">
      <c r="R40910" s="1288"/>
    </row>
    <row r="40911" spans="18:18" s="2" customFormat="1" ht="12.75" x14ac:dyDescent="0.2">
      <c r="R40911" s="1288"/>
    </row>
    <row r="40912" spans="18:18" s="2" customFormat="1" ht="12.75" x14ac:dyDescent="0.2">
      <c r="R40912" s="1288"/>
    </row>
    <row r="40913" spans="18:18" s="2" customFormat="1" ht="12.75" x14ac:dyDescent="0.2">
      <c r="R40913" s="1288"/>
    </row>
    <row r="40914" spans="18:18" s="2" customFormat="1" ht="12.75" x14ac:dyDescent="0.2">
      <c r="R40914" s="1288"/>
    </row>
    <row r="40915" spans="18:18" s="2" customFormat="1" ht="12.75" x14ac:dyDescent="0.2">
      <c r="R40915" s="1288"/>
    </row>
    <row r="40916" spans="18:18" s="2" customFormat="1" ht="12.75" x14ac:dyDescent="0.2">
      <c r="R40916" s="1288"/>
    </row>
    <row r="40917" spans="18:18" s="2" customFormat="1" ht="12.75" x14ac:dyDescent="0.2">
      <c r="R40917" s="1288"/>
    </row>
    <row r="40918" spans="18:18" s="2" customFormat="1" ht="12.75" x14ac:dyDescent="0.2">
      <c r="R40918" s="1288"/>
    </row>
    <row r="40919" spans="18:18" s="2" customFormat="1" ht="12.75" x14ac:dyDescent="0.2">
      <c r="R40919" s="1288"/>
    </row>
    <row r="40920" spans="18:18" s="2" customFormat="1" ht="12.75" x14ac:dyDescent="0.2">
      <c r="R40920" s="1288"/>
    </row>
    <row r="40921" spans="18:18" s="2" customFormat="1" ht="12.75" x14ac:dyDescent="0.2">
      <c r="R40921" s="1288"/>
    </row>
    <row r="40922" spans="18:18" s="2" customFormat="1" ht="12.75" x14ac:dyDescent="0.2">
      <c r="R40922" s="1288"/>
    </row>
    <row r="40923" spans="18:18" s="2" customFormat="1" ht="12.75" x14ac:dyDescent="0.2">
      <c r="R40923" s="1288"/>
    </row>
    <row r="40924" spans="18:18" s="2" customFormat="1" ht="12.75" x14ac:dyDescent="0.2">
      <c r="R40924" s="1288"/>
    </row>
    <row r="40925" spans="18:18" s="2" customFormat="1" ht="12.75" x14ac:dyDescent="0.2">
      <c r="R40925" s="1288"/>
    </row>
    <row r="40926" spans="18:18" s="2" customFormat="1" ht="12.75" x14ac:dyDescent="0.2">
      <c r="R40926" s="1288"/>
    </row>
    <row r="40927" spans="18:18" s="2" customFormat="1" ht="12.75" x14ac:dyDescent="0.2">
      <c r="R40927" s="1288"/>
    </row>
    <row r="40928" spans="18:18" s="2" customFormat="1" ht="12.75" x14ac:dyDescent="0.2">
      <c r="R40928" s="1288"/>
    </row>
    <row r="40929" spans="18:18" s="2" customFormat="1" ht="12.75" x14ac:dyDescent="0.2">
      <c r="R40929" s="1288"/>
    </row>
    <row r="40930" spans="18:18" s="2" customFormat="1" ht="12.75" x14ac:dyDescent="0.2">
      <c r="R40930" s="1288"/>
    </row>
    <row r="40931" spans="18:18" s="2" customFormat="1" ht="12.75" x14ac:dyDescent="0.2">
      <c r="R40931" s="1288"/>
    </row>
    <row r="40932" spans="18:18" s="2" customFormat="1" ht="12.75" x14ac:dyDescent="0.2">
      <c r="R40932" s="1288"/>
    </row>
    <row r="40933" spans="18:18" s="2" customFormat="1" ht="12.75" x14ac:dyDescent="0.2">
      <c r="R40933" s="1288"/>
    </row>
    <row r="40934" spans="18:18" s="2" customFormat="1" ht="12.75" x14ac:dyDescent="0.2">
      <c r="R40934" s="1288"/>
    </row>
    <row r="40935" spans="18:18" s="2" customFormat="1" ht="12.75" x14ac:dyDescent="0.2">
      <c r="R40935" s="1288"/>
    </row>
    <row r="40936" spans="18:18" s="2" customFormat="1" ht="12.75" x14ac:dyDescent="0.2">
      <c r="R40936" s="1288"/>
    </row>
    <row r="40937" spans="18:18" s="2" customFormat="1" ht="12.75" x14ac:dyDescent="0.2">
      <c r="R40937" s="1288"/>
    </row>
    <row r="40938" spans="18:18" s="2" customFormat="1" ht="12.75" x14ac:dyDescent="0.2">
      <c r="R40938" s="1288"/>
    </row>
    <row r="40939" spans="18:18" s="2" customFormat="1" ht="12.75" x14ac:dyDescent="0.2">
      <c r="R40939" s="1288"/>
    </row>
    <row r="40940" spans="18:18" s="2" customFormat="1" ht="12.75" x14ac:dyDescent="0.2">
      <c r="R40940" s="1288"/>
    </row>
    <row r="40941" spans="18:18" s="2" customFormat="1" ht="12.75" x14ac:dyDescent="0.2">
      <c r="R40941" s="1288"/>
    </row>
    <row r="40942" spans="18:18" s="2" customFormat="1" ht="12.75" x14ac:dyDescent="0.2">
      <c r="R40942" s="1288"/>
    </row>
    <row r="40943" spans="18:18" s="2" customFormat="1" ht="12.75" x14ac:dyDescent="0.2">
      <c r="R40943" s="1288"/>
    </row>
    <row r="40944" spans="18:18" s="2" customFormat="1" ht="12.75" x14ac:dyDescent="0.2">
      <c r="R40944" s="1288"/>
    </row>
    <row r="40945" spans="18:18" s="2" customFormat="1" ht="12.75" x14ac:dyDescent="0.2">
      <c r="R40945" s="1288"/>
    </row>
    <row r="40946" spans="18:18" s="2" customFormat="1" ht="12.75" x14ac:dyDescent="0.2">
      <c r="R40946" s="1288"/>
    </row>
    <row r="40947" spans="18:18" s="2" customFormat="1" ht="12.75" x14ac:dyDescent="0.2">
      <c r="R40947" s="1288"/>
    </row>
    <row r="40948" spans="18:18" s="2" customFormat="1" ht="12.75" x14ac:dyDescent="0.2">
      <c r="R40948" s="1288"/>
    </row>
    <row r="40949" spans="18:18" s="2" customFormat="1" ht="12.75" x14ac:dyDescent="0.2">
      <c r="R40949" s="1288"/>
    </row>
    <row r="40950" spans="18:18" s="2" customFormat="1" ht="12.75" x14ac:dyDescent="0.2">
      <c r="R40950" s="1288"/>
    </row>
    <row r="40951" spans="18:18" s="2" customFormat="1" ht="12.75" x14ac:dyDescent="0.2">
      <c r="R40951" s="1288"/>
    </row>
    <row r="40952" spans="18:18" s="2" customFormat="1" ht="12.75" x14ac:dyDescent="0.2">
      <c r="R40952" s="1288"/>
    </row>
    <row r="40953" spans="18:18" s="2" customFormat="1" ht="12.75" x14ac:dyDescent="0.2">
      <c r="R40953" s="1288"/>
    </row>
    <row r="40954" spans="18:18" s="2" customFormat="1" ht="12.75" x14ac:dyDescent="0.2">
      <c r="R40954" s="1288"/>
    </row>
    <row r="40955" spans="18:18" s="2" customFormat="1" ht="12.75" x14ac:dyDescent="0.2">
      <c r="R40955" s="1288"/>
    </row>
    <row r="40956" spans="18:18" s="2" customFormat="1" ht="12.75" x14ac:dyDescent="0.2">
      <c r="R40956" s="1288"/>
    </row>
    <row r="40957" spans="18:18" s="2" customFormat="1" ht="12.75" x14ac:dyDescent="0.2">
      <c r="R40957" s="1288"/>
    </row>
    <row r="40958" spans="18:18" s="2" customFormat="1" ht="12.75" x14ac:dyDescent="0.2">
      <c r="R40958" s="1288"/>
    </row>
    <row r="40959" spans="18:18" s="2" customFormat="1" ht="12.75" x14ac:dyDescent="0.2">
      <c r="R40959" s="1288"/>
    </row>
    <row r="40960" spans="18:18" s="2" customFormat="1" ht="12.75" x14ac:dyDescent="0.2">
      <c r="R40960" s="1288"/>
    </row>
    <row r="40961" spans="18:18" s="2" customFormat="1" ht="12.75" x14ac:dyDescent="0.2">
      <c r="R40961" s="1288"/>
    </row>
    <row r="40962" spans="18:18" s="2" customFormat="1" ht="12.75" x14ac:dyDescent="0.2">
      <c r="R40962" s="1288"/>
    </row>
    <row r="40963" spans="18:18" s="2" customFormat="1" ht="12.75" x14ac:dyDescent="0.2">
      <c r="R40963" s="1288"/>
    </row>
    <row r="40964" spans="18:18" s="2" customFormat="1" ht="12.75" x14ac:dyDescent="0.2">
      <c r="R40964" s="1288"/>
    </row>
    <row r="40965" spans="18:18" s="2" customFormat="1" ht="12.75" x14ac:dyDescent="0.2">
      <c r="R40965" s="1288"/>
    </row>
    <row r="40966" spans="18:18" s="2" customFormat="1" ht="12.75" x14ac:dyDescent="0.2">
      <c r="R40966" s="1288"/>
    </row>
    <row r="40967" spans="18:18" s="2" customFormat="1" ht="12.75" x14ac:dyDescent="0.2">
      <c r="R40967" s="1288"/>
    </row>
    <row r="40968" spans="18:18" s="2" customFormat="1" ht="12.75" x14ac:dyDescent="0.2">
      <c r="R40968" s="1288"/>
    </row>
    <row r="40969" spans="18:18" s="2" customFormat="1" ht="12.75" x14ac:dyDescent="0.2">
      <c r="R40969" s="1288"/>
    </row>
    <row r="40970" spans="18:18" s="2" customFormat="1" ht="12.75" x14ac:dyDescent="0.2">
      <c r="R40970" s="1288"/>
    </row>
    <row r="40971" spans="18:18" s="2" customFormat="1" ht="12.75" x14ac:dyDescent="0.2">
      <c r="R40971" s="1288"/>
    </row>
    <row r="40972" spans="18:18" s="2" customFormat="1" ht="12.75" x14ac:dyDescent="0.2">
      <c r="R40972" s="1288"/>
    </row>
    <row r="40973" spans="18:18" s="2" customFormat="1" ht="12.75" x14ac:dyDescent="0.2">
      <c r="R40973" s="1288"/>
    </row>
    <row r="40974" spans="18:18" s="2" customFormat="1" ht="12.75" x14ac:dyDescent="0.2">
      <c r="R40974" s="1288"/>
    </row>
    <row r="40975" spans="18:18" s="2" customFormat="1" ht="12.75" x14ac:dyDescent="0.2">
      <c r="R40975" s="1288"/>
    </row>
    <row r="40976" spans="18:18" s="2" customFormat="1" ht="12.75" x14ac:dyDescent="0.2">
      <c r="R40976" s="1288"/>
    </row>
    <row r="40977" spans="18:18" s="2" customFormat="1" ht="12.75" x14ac:dyDescent="0.2">
      <c r="R40977" s="1288"/>
    </row>
    <row r="40978" spans="18:18" s="2" customFormat="1" ht="12.75" x14ac:dyDescent="0.2">
      <c r="R40978" s="1288"/>
    </row>
    <row r="40979" spans="18:18" s="2" customFormat="1" ht="12.75" x14ac:dyDescent="0.2">
      <c r="R40979" s="1288"/>
    </row>
    <row r="40980" spans="18:18" s="2" customFormat="1" ht="12.75" x14ac:dyDescent="0.2">
      <c r="R40980" s="1288"/>
    </row>
    <row r="40981" spans="18:18" s="2" customFormat="1" ht="12.75" x14ac:dyDescent="0.2">
      <c r="R40981" s="1288"/>
    </row>
    <row r="40982" spans="18:18" s="2" customFormat="1" ht="12.75" x14ac:dyDescent="0.2">
      <c r="R40982" s="1288"/>
    </row>
    <row r="40983" spans="18:18" s="2" customFormat="1" ht="12.75" x14ac:dyDescent="0.2">
      <c r="R40983" s="1288"/>
    </row>
    <row r="40984" spans="18:18" s="2" customFormat="1" ht="12.75" x14ac:dyDescent="0.2">
      <c r="R40984" s="1288"/>
    </row>
    <row r="40985" spans="18:18" s="2" customFormat="1" ht="12.75" x14ac:dyDescent="0.2">
      <c r="R40985" s="1288"/>
    </row>
    <row r="40986" spans="18:18" s="2" customFormat="1" ht="12.75" x14ac:dyDescent="0.2">
      <c r="R40986" s="1288"/>
    </row>
    <row r="40987" spans="18:18" s="2" customFormat="1" ht="12.75" x14ac:dyDescent="0.2">
      <c r="R40987" s="1288"/>
    </row>
    <row r="40988" spans="18:18" s="2" customFormat="1" ht="12.75" x14ac:dyDescent="0.2">
      <c r="R40988" s="1288"/>
    </row>
    <row r="40989" spans="18:18" s="2" customFormat="1" ht="12.75" x14ac:dyDescent="0.2">
      <c r="R40989" s="1288"/>
    </row>
    <row r="40990" spans="18:18" s="2" customFormat="1" ht="12.75" x14ac:dyDescent="0.2">
      <c r="R40990" s="1288"/>
    </row>
    <row r="40991" spans="18:18" s="2" customFormat="1" ht="12.75" x14ac:dyDescent="0.2">
      <c r="R40991" s="1288"/>
    </row>
    <row r="40992" spans="18:18" s="2" customFormat="1" ht="12.75" x14ac:dyDescent="0.2">
      <c r="R40992" s="1288"/>
    </row>
    <row r="40993" spans="18:18" s="2" customFormat="1" ht="12.75" x14ac:dyDescent="0.2">
      <c r="R40993" s="1288"/>
    </row>
    <row r="40994" spans="18:18" s="2" customFormat="1" ht="12.75" x14ac:dyDescent="0.2">
      <c r="R40994" s="1288"/>
    </row>
    <row r="40995" spans="18:18" s="2" customFormat="1" ht="12.75" x14ac:dyDescent="0.2">
      <c r="R40995" s="1288"/>
    </row>
    <row r="40996" spans="18:18" s="2" customFormat="1" ht="12.75" x14ac:dyDescent="0.2">
      <c r="R40996" s="1288"/>
    </row>
    <row r="40997" spans="18:18" s="2" customFormat="1" ht="12.75" x14ac:dyDescent="0.2">
      <c r="R40997" s="1288"/>
    </row>
    <row r="40998" spans="18:18" s="2" customFormat="1" ht="12.75" x14ac:dyDescent="0.2">
      <c r="R40998" s="1288"/>
    </row>
    <row r="40999" spans="18:18" s="2" customFormat="1" ht="12.75" x14ac:dyDescent="0.2">
      <c r="R40999" s="1288"/>
    </row>
    <row r="41000" spans="18:18" s="2" customFormat="1" ht="12.75" x14ac:dyDescent="0.2">
      <c r="R41000" s="1288"/>
    </row>
    <row r="41001" spans="18:18" s="2" customFormat="1" ht="12.75" x14ac:dyDescent="0.2">
      <c r="R41001" s="1288"/>
    </row>
    <row r="41002" spans="18:18" s="2" customFormat="1" ht="12.75" x14ac:dyDescent="0.2">
      <c r="R41002" s="1288"/>
    </row>
    <row r="41003" spans="18:18" s="2" customFormat="1" ht="12.75" x14ac:dyDescent="0.2">
      <c r="R41003" s="1288"/>
    </row>
    <row r="41004" spans="18:18" s="2" customFormat="1" ht="12.75" x14ac:dyDescent="0.2">
      <c r="R41004" s="1288"/>
    </row>
    <row r="41005" spans="18:18" s="2" customFormat="1" ht="12.75" x14ac:dyDescent="0.2">
      <c r="R41005" s="1288"/>
    </row>
    <row r="41006" spans="18:18" s="2" customFormat="1" ht="12.75" x14ac:dyDescent="0.2">
      <c r="R41006" s="1288"/>
    </row>
    <row r="41007" spans="18:18" s="2" customFormat="1" ht="12.75" x14ac:dyDescent="0.2">
      <c r="R41007" s="1288"/>
    </row>
    <row r="41008" spans="18:18" s="2" customFormat="1" ht="12.75" x14ac:dyDescent="0.2">
      <c r="R41008" s="1288"/>
    </row>
    <row r="41009" spans="18:18" s="2" customFormat="1" ht="12.75" x14ac:dyDescent="0.2">
      <c r="R41009" s="1288"/>
    </row>
    <row r="41010" spans="18:18" s="2" customFormat="1" ht="12.75" x14ac:dyDescent="0.2">
      <c r="R41010" s="1288"/>
    </row>
    <row r="41011" spans="18:18" s="2" customFormat="1" ht="12.75" x14ac:dyDescent="0.2">
      <c r="R41011" s="1288"/>
    </row>
    <row r="41012" spans="18:18" s="2" customFormat="1" ht="12.75" x14ac:dyDescent="0.2">
      <c r="R41012" s="1288"/>
    </row>
    <row r="41013" spans="18:18" s="2" customFormat="1" ht="12.75" x14ac:dyDescent="0.2">
      <c r="R41013" s="1288"/>
    </row>
    <row r="41014" spans="18:18" s="2" customFormat="1" ht="12.75" x14ac:dyDescent="0.2">
      <c r="R41014" s="1288"/>
    </row>
    <row r="41015" spans="18:18" s="2" customFormat="1" ht="12.75" x14ac:dyDescent="0.2">
      <c r="R41015" s="1288"/>
    </row>
    <row r="41016" spans="18:18" s="2" customFormat="1" ht="12.75" x14ac:dyDescent="0.2">
      <c r="R41016" s="1288"/>
    </row>
    <row r="41017" spans="18:18" s="2" customFormat="1" ht="12.75" x14ac:dyDescent="0.2">
      <c r="R41017" s="1288"/>
    </row>
    <row r="41018" spans="18:18" s="2" customFormat="1" ht="12.75" x14ac:dyDescent="0.2">
      <c r="R41018" s="1288"/>
    </row>
    <row r="41019" spans="18:18" s="2" customFormat="1" ht="12.75" x14ac:dyDescent="0.2">
      <c r="R41019" s="1288"/>
    </row>
    <row r="41020" spans="18:18" s="2" customFormat="1" ht="12.75" x14ac:dyDescent="0.2">
      <c r="R41020" s="1288"/>
    </row>
    <row r="41021" spans="18:18" s="2" customFormat="1" ht="12.75" x14ac:dyDescent="0.2">
      <c r="R41021" s="1288"/>
    </row>
    <row r="41022" spans="18:18" s="2" customFormat="1" ht="12.75" x14ac:dyDescent="0.2">
      <c r="R41022" s="1288"/>
    </row>
    <row r="41023" spans="18:18" s="2" customFormat="1" ht="12.75" x14ac:dyDescent="0.2">
      <c r="R41023" s="1288"/>
    </row>
    <row r="41024" spans="18:18" s="2" customFormat="1" ht="12.75" x14ac:dyDescent="0.2">
      <c r="R41024" s="1288"/>
    </row>
    <row r="41025" spans="18:18" s="2" customFormat="1" ht="12.75" x14ac:dyDescent="0.2">
      <c r="R41025" s="1288"/>
    </row>
    <row r="41026" spans="18:18" s="2" customFormat="1" ht="12.75" x14ac:dyDescent="0.2">
      <c r="R41026" s="1288"/>
    </row>
    <row r="41027" spans="18:18" s="2" customFormat="1" ht="12.75" x14ac:dyDescent="0.2">
      <c r="R41027" s="1288"/>
    </row>
    <row r="41028" spans="18:18" s="2" customFormat="1" ht="12.75" x14ac:dyDescent="0.2">
      <c r="R41028" s="1288"/>
    </row>
    <row r="41029" spans="18:18" s="2" customFormat="1" ht="12.75" x14ac:dyDescent="0.2">
      <c r="R41029" s="1288"/>
    </row>
    <row r="41030" spans="18:18" s="2" customFormat="1" ht="12.75" x14ac:dyDescent="0.2">
      <c r="R41030" s="1288"/>
    </row>
    <row r="41031" spans="18:18" s="2" customFormat="1" ht="12.75" x14ac:dyDescent="0.2">
      <c r="R41031" s="1288"/>
    </row>
    <row r="41032" spans="18:18" s="2" customFormat="1" ht="12.75" x14ac:dyDescent="0.2">
      <c r="R41032" s="1288"/>
    </row>
    <row r="41033" spans="18:18" s="2" customFormat="1" ht="12.75" x14ac:dyDescent="0.2">
      <c r="R41033" s="1288"/>
    </row>
    <row r="41034" spans="18:18" s="2" customFormat="1" ht="12.75" x14ac:dyDescent="0.2">
      <c r="R41034" s="1288"/>
    </row>
    <row r="41035" spans="18:18" s="2" customFormat="1" ht="12.75" x14ac:dyDescent="0.2">
      <c r="R41035" s="1288"/>
    </row>
    <row r="41036" spans="18:18" s="2" customFormat="1" ht="12.75" x14ac:dyDescent="0.2">
      <c r="R41036" s="1288"/>
    </row>
    <row r="41037" spans="18:18" s="2" customFormat="1" ht="12.75" x14ac:dyDescent="0.2">
      <c r="R41037" s="1288"/>
    </row>
    <row r="41038" spans="18:18" s="2" customFormat="1" ht="12.75" x14ac:dyDescent="0.2">
      <c r="R41038" s="1288"/>
    </row>
    <row r="41039" spans="18:18" s="2" customFormat="1" ht="12.75" x14ac:dyDescent="0.2">
      <c r="R41039" s="1288"/>
    </row>
    <row r="41040" spans="18:18" s="2" customFormat="1" ht="12.75" x14ac:dyDescent="0.2">
      <c r="R41040" s="1288"/>
    </row>
    <row r="41041" spans="18:18" s="2" customFormat="1" ht="12.75" x14ac:dyDescent="0.2">
      <c r="R41041" s="1288"/>
    </row>
    <row r="41042" spans="18:18" s="2" customFormat="1" ht="12.75" x14ac:dyDescent="0.2">
      <c r="R41042" s="1288"/>
    </row>
    <row r="41043" spans="18:18" s="2" customFormat="1" ht="12.75" x14ac:dyDescent="0.2">
      <c r="R41043" s="1288"/>
    </row>
    <row r="41044" spans="18:18" s="2" customFormat="1" ht="12.75" x14ac:dyDescent="0.2">
      <c r="R41044" s="1288"/>
    </row>
    <row r="41045" spans="18:18" s="2" customFormat="1" ht="12.75" x14ac:dyDescent="0.2">
      <c r="R41045" s="1288"/>
    </row>
    <row r="41046" spans="18:18" s="2" customFormat="1" ht="12.75" x14ac:dyDescent="0.2">
      <c r="R41046" s="1288"/>
    </row>
    <row r="41047" spans="18:18" s="2" customFormat="1" ht="12.75" x14ac:dyDescent="0.2">
      <c r="R41047" s="1288"/>
    </row>
    <row r="41048" spans="18:18" s="2" customFormat="1" ht="12.75" x14ac:dyDescent="0.2">
      <c r="R41048" s="1288"/>
    </row>
    <row r="41049" spans="18:18" s="2" customFormat="1" ht="12.75" x14ac:dyDescent="0.2">
      <c r="R41049" s="1288"/>
    </row>
    <row r="41050" spans="18:18" s="2" customFormat="1" ht="12.75" x14ac:dyDescent="0.2">
      <c r="R41050" s="1288"/>
    </row>
    <row r="41051" spans="18:18" s="2" customFormat="1" ht="12.75" x14ac:dyDescent="0.2">
      <c r="R41051" s="1288"/>
    </row>
    <row r="41052" spans="18:18" s="2" customFormat="1" ht="12.75" x14ac:dyDescent="0.2">
      <c r="R41052" s="1288"/>
    </row>
    <row r="41053" spans="18:18" s="2" customFormat="1" ht="12.75" x14ac:dyDescent="0.2">
      <c r="R41053" s="1288"/>
    </row>
    <row r="41054" spans="18:18" s="2" customFormat="1" ht="12.75" x14ac:dyDescent="0.2">
      <c r="R41054" s="1288"/>
    </row>
    <row r="41055" spans="18:18" s="2" customFormat="1" ht="12.75" x14ac:dyDescent="0.2">
      <c r="R41055" s="1288"/>
    </row>
    <row r="41056" spans="18:18" s="2" customFormat="1" ht="12.75" x14ac:dyDescent="0.2">
      <c r="R41056" s="1288"/>
    </row>
    <row r="41057" spans="18:18" s="2" customFormat="1" ht="12.75" x14ac:dyDescent="0.2">
      <c r="R41057" s="1288"/>
    </row>
    <row r="41058" spans="18:18" s="2" customFormat="1" ht="12.75" x14ac:dyDescent="0.2">
      <c r="R41058" s="1288"/>
    </row>
    <row r="41059" spans="18:18" s="2" customFormat="1" ht="12.75" x14ac:dyDescent="0.2">
      <c r="R41059" s="1288"/>
    </row>
    <row r="41060" spans="18:18" s="2" customFormat="1" ht="12.75" x14ac:dyDescent="0.2">
      <c r="R41060" s="1288"/>
    </row>
    <row r="41061" spans="18:18" s="2" customFormat="1" ht="12.75" x14ac:dyDescent="0.2">
      <c r="R41061" s="1288"/>
    </row>
    <row r="41062" spans="18:18" s="2" customFormat="1" ht="12.75" x14ac:dyDescent="0.2">
      <c r="R41062" s="1288"/>
    </row>
    <row r="41063" spans="18:18" s="2" customFormat="1" ht="12.75" x14ac:dyDescent="0.2">
      <c r="R41063" s="1288"/>
    </row>
    <row r="41064" spans="18:18" s="2" customFormat="1" ht="12.75" x14ac:dyDescent="0.2">
      <c r="R41064" s="1288"/>
    </row>
    <row r="41065" spans="18:18" s="2" customFormat="1" ht="12.75" x14ac:dyDescent="0.2">
      <c r="R41065" s="1288"/>
    </row>
    <row r="41066" spans="18:18" s="2" customFormat="1" ht="12.75" x14ac:dyDescent="0.2">
      <c r="R41066" s="1288"/>
    </row>
    <row r="41067" spans="18:18" s="2" customFormat="1" ht="12.75" x14ac:dyDescent="0.2">
      <c r="R41067" s="1288"/>
    </row>
    <row r="41068" spans="18:18" s="2" customFormat="1" ht="12.75" x14ac:dyDescent="0.2">
      <c r="R41068" s="1288"/>
    </row>
    <row r="41069" spans="18:18" s="2" customFormat="1" ht="12.75" x14ac:dyDescent="0.2">
      <c r="R41069" s="1288"/>
    </row>
    <row r="41070" spans="18:18" s="2" customFormat="1" ht="12.75" x14ac:dyDescent="0.2">
      <c r="R41070" s="1288"/>
    </row>
    <row r="41071" spans="18:18" s="2" customFormat="1" ht="12.75" x14ac:dyDescent="0.2">
      <c r="R41071" s="1288"/>
    </row>
    <row r="41072" spans="18:18" s="2" customFormat="1" ht="12.75" x14ac:dyDescent="0.2">
      <c r="R41072" s="1288"/>
    </row>
    <row r="41073" spans="18:18" s="2" customFormat="1" ht="12.75" x14ac:dyDescent="0.2">
      <c r="R41073" s="1288"/>
    </row>
    <row r="41074" spans="18:18" s="2" customFormat="1" ht="12.75" x14ac:dyDescent="0.2">
      <c r="R41074" s="1288"/>
    </row>
    <row r="41075" spans="18:18" s="2" customFormat="1" ht="12.75" x14ac:dyDescent="0.2">
      <c r="R41075" s="1288"/>
    </row>
    <row r="41076" spans="18:18" s="2" customFormat="1" ht="12.75" x14ac:dyDescent="0.2">
      <c r="R41076" s="1288"/>
    </row>
    <row r="41077" spans="18:18" s="2" customFormat="1" ht="12.75" x14ac:dyDescent="0.2">
      <c r="R41077" s="1288"/>
    </row>
    <row r="41078" spans="18:18" s="2" customFormat="1" ht="12.75" x14ac:dyDescent="0.2">
      <c r="R41078" s="1288"/>
    </row>
    <row r="41079" spans="18:18" s="2" customFormat="1" ht="12.75" x14ac:dyDescent="0.2">
      <c r="R41079" s="1288"/>
    </row>
    <row r="41080" spans="18:18" s="2" customFormat="1" ht="12.75" x14ac:dyDescent="0.2">
      <c r="R41080" s="1288"/>
    </row>
    <row r="41081" spans="18:18" s="2" customFormat="1" ht="12.75" x14ac:dyDescent="0.2">
      <c r="R41081" s="1288"/>
    </row>
    <row r="41082" spans="18:18" s="2" customFormat="1" ht="12.75" x14ac:dyDescent="0.2">
      <c r="R41082" s="1288"/>
    </row>
    <row r="41083" spans="18:18" s="2" customFormat="1" ht="12.75" x14ac:dyDescent="0.2">
      <c r="R41083" s="1288"/>
    </row>
    <row r="41084" spans="18:18" s="2" customFormat="1" ht="12.75" x14ac:dyDescent="0.2">
      <c r="R41084" s="1288"/>
    </row>
    <row r="41085" spans="18:18" s="2" customFormat="1" ht="12.75" x14ac:dyDescent="0.2">
      <c r="R41085" s="1288"/>
    </row>
    <row r="41086" spans="18:18" s="2" customFormat="1" ht="12.75" x14ac:dyDescent="0.2">
      <c r="R41086" s="1288"/>
    </row>
    <row r="41087" spans="18:18" s="2" customFormat="1" ht="12.75" x14ac:dyDescent="0.2">
      <c r="R41087" s="1288"/>
    </row>
    <row r="41088" spans="18:18" s="2" customFormat="1" ht="12.75" x14ac:dyDescent="0.2">
      <c r="R41088" s="1288"/>
    </row>
    <row r="41089" spans="18:18" s="2" customFormat="1" ht="12.75" x14ac:dyDescent="0.2">
      <c r="R41089" s="1288"/>
    </row>
    <row r="41090" spans="18:18" s="2" customFormat="1" ht="12.75" x14ac:dyDescent="0.2">
      <c r="R41090" s="1288"/>
    </row>
    <row r="41091" spans="18:18" s="2" customFormat="1" ht="12.75" x14ac:dyDescent="0.2">
      <c r="R41091" s="1288"/>
    </row>
    <row r="41092" spans="18:18" s="2" customFormat="1" ht="12.75" x14ac:dyDescent="0.2">
      <c r="R41092" s="1288"/>
    </row>
    <row r="41093" spans="18:18" s="2" customFormat="1" ht="12.75" x14ac:dyDescent="0.2">
      <c r="R41093" s="1288"/>
    </row>
    <row r="41094" spans="18:18" s="2" customFormat="1" ht="12.75" x14ac:dyDescent="0.2">
      <c r="R41094" s="1288"/>
    </row>
    <row r="41095" spans="18:18" s="2" customFormat="1" ht="12.75" x14ac:dyDescent="0.2">
      <c r="R41095" s="1288"/>
    </row>
    <row r="41096" spans="18:18" s="2" customFormat="1" ht="12.75" x14ac:dyDescent="0.2">
      <c r="R41096" s="1288"/>
    </row>
    <row r="41097" spans="18:18" s="2" customFormat="1" ht="12.75" x14ac:dyDescent="0.2">
      <c r="R41097" s="1288"/>
    </row>
    <row r="41098" spans="18:18" s="2" customFormat="1" ht="12.75" x14ac:dyDescent="0.2">
      <c r="R41098" s="1288"/>
    </row>
    <row r="41099" spans="18:18" s="2" customFormat="1" ht="12.75" x14ac:dyDescent="0.2">
      <c r="R41099" s="1288"/>
    </row>
    <row r="41100" spans="18:18" s="2" customFormat="1" ht="12.75" x14ac:dyDescent="0.2">
      <c r="R41100" s="1288"/>
    </row>
    <row r="41101" spans="18:18" s="2" customFormat="1" ht="12.75" x14ac:dyDescent="0.2">
      <c r="R41101" s="1288"/>
    </row>
    <row r="41102" spans="18:18" s="2" customFormat="1" ht="12.75" x14ac:dyDescent="0.2">
      <c r="R41102" s="1288"/>
    </row>
    <row r="41103" spans="18:18" s="2" customFormat="1" ht="12.75" x14ac:dyDescent="0.2">
      <c r="R41103" s="1288"/>
    </row>
    <row r="41104" spans="18:18" s="2" customFormat="1" ht="12.75" x14ac:dyDescent="0.2">
      <c r="R41104" s="1288"/>
    </row>
    <row r="41105" spans="18:18" s="2" customFormat="1" ht="12.75" x14ac:dyDescent="0.2">
      <c r="R41105" s="1288"/>
    </row>
    <row r="41106" spans="18:18" s="2" customFormat="1" ht="12.75" x14ac:dyDescent="0.2">
      <c r="R41106" s="1288"/>
    </row>
    <row r="41107" spans="18:18" s="2" customFormat="1" ht="12.75" x14ac:dyDescent="0.2">
      <c r="R41107" s="1288"/>
    </row>
    <row r="41108" spans="18:18" s="2" customFormat="1" ht="12.75" x14ac:dyDescent="0.2">
      <c r="R41108" s="1288"/>
    </row>
    <row r="41109" spans="18:18" s="2" customFormat="1" ht="12.75" x14ac:dyDescent="0.2">
      <c r="R41109" s="1288"/>
    </row>
    <row r="41110" spans="18:18" s="2" customFormat="1" ht="12.75" x14ac:dyDescent="0.2">
      <c r="R41110" s="1288"/>
    </row>
    <row r="41111" spans="18:18" s="2" customFormat="1" ht="12.75" x14ac:dyDescent="0.2">
      <c r="R41111" s="1288"/>
    </row>
    <row r="41112" spans="18:18" s="2" customFormat="1" ht="12.75" x14ac:dyDescent="0.2">
      <c r="R41112" s="1288"/>
    </row>
    <row r="41113" spans="18:18" s="2" customFormat="1" ht="12.75" x14ac:dyDescent="0.2">
      <c r="R41113" s="1288"/>
    </row>
    <row r="41114" spans="18:18" s="2" customFormat="1" ht="12.75" x14ac:dyDescent="0.2">
      <c r="R41114" s="1288"/>
    </row>
    <row r="41115" spans="18:18" s="2" customFormat="1" ht="12.75" x14ac:dyDescent="0.2">
      <c r="R41115" s="1288"/>
    </row>
    <row r="41116" spans="18:18" s="2" customFormat="1" ht="12.75" x14ac:dyDescent="0.2">
      <c r="R41116" s="1288"/>
    </row>
    <row r="41117" spans="18:18" s="2" customFormat="1" ht="12.75" x14ac:dyDescent="0.2">
      <c r="R41117" s="1288"/>
    </row>
    <row r="41118" spans="18:18" s="2" customFormat="1" ht="12.75" x14ac:dyDescent="0.2">
      <c r="R41118" s="1288"/>
    </row>
    <row r="41119" spans="18:18" s="2" customFormat="1" ht="12.75" x14ac:dyDescent="0.2">
      <c r="R41119" s="1288"/>
    </row>
    <row r="41120" spans="18:18" s="2" customFormat="1" ht="12.75" x14ac:dyDescent="0.2">
      <c r="R41120" s="1288"/>
    </row>
    <row r="41121" spans="18:18" s="2" customFormat="1" ht="12.75" x14ac:dyDescent="0.2">
      <c r="R41121" s="1288"/>
    </row>
    <row r="41122" spans="18:18" s="2" customFormat="1" ht="12.75" x14ac:dyDescent="0.2">
      <c r="R41122" s="1288"/>
    </row>
    <row r="41123" spans="18:18" s="2" customFormat="1" ht="12.75" x14ac:dyDescent="0.2">
      <c r="R41123" s="1288"/>
    </row>
    <row r="41124" spans="18:18" s="2" customFormat="1" ht="12.75" x14ac:dyDescent="0.2">
      <c r="R41124" s="1288"/>
    </row>
    <row r="41125" spans="18:18" s="2" customFormat="1" ht="12.75" x14ac:dyDescent="0.2">
      <c r="R41125" s="1288"/>
    </row>
    <row r="41126" spans="18:18" s="2" customFormat="1" ht="12.75" x14ac:dyDescent="0.2">
      <c r="R41126" s="1288"/>
    </row>
    <row r="41127" spans="18:18" s="2" customFormat="1" ht="12.75" x14ac:dyDescent="0.2">
      <c r="R41127" s="1288"/>
    </row>
    <row r="41128" spans="18:18" s="2" customFormat="1" ht="12.75" x14ac:dyDescent="0.2">
      <c r="R41128" s="1288"/>
    </row>
    <row r="41129" spans="18:18" s="2" customFormat="1" ht="12.75" x14ac:dyDescent="0.2">
      <c r="R41129" s="1288"/>
    </row>
    <row r="41130" spans="18:18" s="2" customFormat="1" ht="12.75" x14ac:dyDescent="0.2">
      <c r="R41130" s="1288"/>
    </row>
    <row r="41131" spans="18:18" s="2" customFormat="1" ht="12.75" x14ac:dyDescent="0.2">
      <c r="R41131" s="1288"/>
    </row>
    <row r="41132" spans="18:18" s="2" customFormat="1" ht="12.75" x14ac:dyDescent="0.2">
      <c r="R41132" s="1288"/>
    </row>
    <row r="41133" spans="18:18" s="2" customFormat="1" ht="12.75" x14ac:dyDescent="0.2">
      <c r="R41133" s="1288"/>
    </row>
    <row r="41134" spans="18:18" s="2" customFormat="1" ht="12.75" x14ac:dyDescent="0.2">
      <c r="R41134" s="1288"/>
    </row>
    <row r="41135" spans="18:18" s="2" customFormat="1" ht="12.75" x14ac:dyDescent="0.2">
      <c r="R41135" s="1288"/>
    </row>
    <row r="41136" spans="18:18" s="2" customFormat="1" ht="12.75" x14ac:dyDescent="0.2">
      <c r="R41136" s="1288"/>
    </row>
    <row r="41137" spans="18:18" s="2" customFormat="1" ht="12.75" x14ac:dyDescent="0.2">
      <c r="R41137" s="1288"/>
    </row>
    <row r="41138" spans="18:18" s="2" customFormat="1" ht="12.75" x14ac:dyDescent="0.2">
      <c r="R41138" s="1288"/>
    </row>
    <row r="41139" spans="18:18" s="2" customFormat="1" ht="12.75" x14ac:dyDescent="0.2">
      <c r="R41139" s="1288"/>
    </row>
    <row r="41140" spans="18:18" s="2" customFormat="1" ht="12.75" x14ac:dyDescent="0.2">
      <c r="R41140" s="1288"/>
    </row>
    <row r="41141" spans="18:18" s="2" customFormat="1" ht="12.75" x14ac:dyDescent="0.2">
      <c r="R41141" s="1288"/>
    </row>
    <row r="41142" spans="18:18" s="2" customFormat="1" ht="12.75" x14ac:dyDescent="0.2">
      <c r="R41142" s="1288"/>
    </row>
    <row r="41143" spans="18:18" s="2" customFormat="1" ht="12.75" x14ac:dyDescent="0.2">
      <c r="R41143" s="1288"/>
    </row>
    <row r="41144" spans="18:18" s="2" customFormat="1" ht="12.75" x14ac:dyDescent="0.2">
      <c r="R41144" s="1288"/>
    </row>
    <row r="41145" spans="18:18" s="2" customFormat="1" ht="12.75" x14ac:dyDescent="0.2">
      <c r="R41145" s="1288"/>
    </row>
    <row r="41146" spans="18:18" s="2" customFormat="1" ht="12.75" x14ac:dyDescent="0.2">
      <c r="R41146" s="1288"/>
    </row>
    <row r="41147" spans="18:18" s="2" customFormat="1" ht="12.75" x14ac:dyDescent="0.2">
      <c r="R41147" s="1288"/>
    </row>
    <row r="41148" spans="18:18" s="2" customFormat="1" ht="12.75" x14ac:dyDescent="0.2">
      <c r="R41148" s="1288"/>
    </row>
    <row r="41149" spans="18:18" s="2" customFormat="1" ht="12.75" x14ac:dyDescent="0.2">
      <c r="R41149" s="1288"/>
    </row>
    <row r="41150" spans="18:18" s="2" customFormat="1" ht="12.75" x14ac:dyDescent="0.2">
      <c r="R41150" s="1288"/>
    </row>
    <row r="41151" spans="18:18" s="2" customFormat="1" ht="12.75" x14ac:dyDescent="0.2">
      <c r="R41151" s="1288"/>
    </row>
    <row r="41152" spans="18:18" s="2" customFormat="1" ht="12.75" x14ac:dyDescent="0.2">
      <c r="R41152" s="1288"/>
    </row>
    <row r="41153" spans="18:18" s="2" customFormat="1" ht="12.75" x14ac:dyDescent="0.2">
      <c r="R41153" s="1288"/>
    </row>
    <row r="41154" spans="18:18" s="2" customFormat="1" ht="12.75" x14ac:dyDescent="0.2">
      <c r="R41154" s="1288"/>
    </row>
    <row r="41155" spans="18:18" s="2" customFormat="1" ht="12.75" x14ac:dyDescent="0.2">
      <c r="R41155" s="1288"/>
    </row>
    <row r="41156" spans="18:18" s="2" customFormat="1" ht="12.75" x14ac:dyDescent="0.2">
      <c r="R41156" s="1288"/>
    </row>
    <row r="41157" spans="18:18" s="2" customFormat="1" ht="12.75" x14ac:dyDescent="0.2">
      <c r="R41157" s="1288"/>
    </row>
    <row r="41158" spans="18:18" s="2" customFormat="1" ht="12.75" x14ac:dyDescent="0.2">
      <c r="R41158" s="1288"/>
    </row>
    <row r="41159" spans="18:18" s="2" customFormat="1" ht="12.75" x14ac:dyDescent="0.2">
      <c r="R41159" s="1288"/>
    </row>
    <row r="41160" spans="18:18" s="2" customFormat="1" ht="12.75" x14ac:dyDescent="0.2">
      <c r="R41160" s="1288"/>
    </row>
    <row r="41161" spans="18:18" s="2" customFormat="1" ht="12.75" x14ac:dyDescent="0.2">
      <c r="R41161" s="1288"/>
    </row>
    <row r="41162" spans="18:18" s="2" customFormat="1" ht="12.75" x14ac:dyDescent="0.2">
      <c r="R41162" s="1288"/>
    </row>
    <row r="41163" spans="18:18" s="2" customFormat="1" ht="12.75" x14ac:dyDescent="0.2">
      <c r="R41163" s="1288"/>
    </row>
    <row r="41164" spans="18:18" s="2" customFormat="1" ht="12.75" x14ac:dyDescent="0.2">
      <c r="R41164" s="1288"/>
    </row>
    <row r="41165" spans="18:18" s="2" customFormat="1" ht="12.75" x14ac:dyDescent="0.2">
      <c r="R41165" s="1288"/>
    </row>
    <row r="41166" spans="18:18" s="2" customFormat="1" ht="12.75" x14ac:dyDescent="0.2">
      <c r="R41166" s="1288"/>
    </row>
    <row r="41167" spans="18:18" s="2" customFormat="1" ht="12.75" x14ac:dyDescent="0.2">
      <c r="R41167" s="1288"/>
    </row>
    <row r="41168" spans="18:18" s="2" customFormat="1" ht="12.75" x14ac:dyDescent="0.2">
      <c r="R41168" s="1288"/>
    </row>
    <row r="41169" spans="18:18" s="2" customFormat="1" ht="12.75" x14ac:dyDescent="0.2">
      <c r="R41169" s="1288"/>
    </row>
    <row r="41170" spans="18:18" s="2" customFormat="1" ht="12.75" x14ac:dyDescent="0.2">
      <c r="R41170" s="1288"/>
    </row>
    <row r="41171" spans="18:18" s="2" customFormat="1" ht="12.75" x14ac:dyDescent="0.2">
      <c r="R41171" s="1288"/>
    </row>
    <row r="41172" spans="18:18" s="2" customFormat="1" ht="12.75" x14ac:dyDescent="0.2">
      <c r="R41172" s="1288"/>
    </row>
    <row r="41173" spans="18:18" s="2" customFormat="1" ht="12.75" x14ac:dyDescent="0.2">
      <c r="R41173" s="1288"/>
    </row>
    <row r="41174" spans="18:18" s="2" customFormat="1" ht="12.75" x14ac:dyDescent="0.2">
      <c r="R41174" s="1288"/>
    </row>
    <row r="41175" spans="18:18" s="2" customFormat="1" ht="12.75" x14ac:dyDescent="0.2">
      <c r="R41175" s="1288"/>
    </row>
    <row r="41176" spans="18:18" s="2" customFormat="1" ht="12.75" x14ac:dyDescent="0.2">
      <c r="R41176" s="1288"/>
    </row>
    <row r="41177" spans="18:18" s="2" customFormat="1" ht="12.75" x14ac:dyDescent="0.2">
      <c r="R41177" s="1288"/>
    </row>
    <row r="41178" spans="18:18" s="2" customFormat="1" ht="12.75" x14ac:dyDescent="0.2">
      <c r="R41178" s="1288"/>
    </row>
    <row r="41179" spans="18:18" s="2" customFormat="1" ht="12.75" x14ac:dyDescent="0.2">
      <c r="R41179" s="1288"/>
    </row>
    <row r="41180" spans="18:18" s="2" customFormat="1" ht="12.75" x14ac:dyDescent="0.2">
      <c r="R41180" s="1288"/>
    </row>
    <row r="41181" spans="18:18" s="2" customFormat="1" ht="12.75" x14ac:dyDescent="0.2">
      <c r="R41181" s="1288"/>
    </row>
    <row r="41182" spans="18:18" s="2" customFormat="1" ht="12.75" x14ac:dyDescent="0.2">
      <c r="R41182" s="1288"/>
    </row>
    <row r="41183" spans="18:18" s="2" customFormat="1" ht="12.75" x14ac:dyDescent="0.2">
      <c r="R41183" s="1288"/>
    </row>
    <row r="41184" spans="18:18" s="2" customFormat="1" ht="12.75" x14ac:dyDescent="0.2">
      <c r="R41184" s="1288"/>
    </row>
    <row r="41185" spans="18:18" s="2" customFormat="1" ht="12.75" x14ac:dyDescent="0.2">
      <c r="R41185" s="1288"/>
    </row>
    <row r="41186" spans="18:18" s="2" customFormat="1" ht="12.75" x14ac:dyDescent="0.2">
      <c r="R41186" s="1288"/>
    </row>
    <row r="41187" spans="18:18" s="2" customFormat="1" ht="12.75" x14ac:dyDescent="0.2">
      <c r="R41187" s="1288"/>
    </row>
    <row r="41188" spans="18:18" s="2" customFormat="1" ht="12.75" x14ac:dyDescent="0.2">
      <c r="R41188" s="1288"/>
    </row>
    <row r="41189" spans="18:18" s="2" customFormat="1" ht="12.75" x14ac:dyDescent="0.2">
      <c r="R41189" s="1288"/>
    </row>
    <row r="41190" spans="18:18" s="2" customFormat="1" ht="12.75" x14ac:dyDescent="0.2">
      <c r="R41190" s="1288"/>
    </row>
    <row r="41191" spans="18:18" s="2" customFormat="1" ht="12.75" x14ac:dyDescent="0.2">
      <c r="R41191" s="1288"/>
    </row>
    <row r="41192" spans="18:18" s="2" customFormat="1" ht="12.75" x14ac:dyDescent="0.2">
      <c r="R41192" s="1288"/>
    </row>
    <row r="41193" spans="18:18" s="2" customFormat="1" ht="12.75" x14ac:dyDescent="0.2">
      <c r="R41193" s="1288"/>
    </row>
    <row r="41194" spans="18:18" s="2" customFormat="1" ht="12.75" x14ac:dyDescent="0.2">
      <c r="R41194" s="1288"/>
    </row>
    <row r="41195" spans="18:18" s="2" customFormat="1" ht="12.75" x14ac:dyDescent="0.2">
      <c r="R41195" s="1288"/>
    </row>
    <row r="41196" spans="18:18" s="2" customFormat="1" ht="12.75" x14ac:dyDescent="0.2">
      <c r="R41196" s="1288"/>
    </row>
    <row r="41197" spans="18:18" s="2" customFormat="1" ht="12.75" x14ac:dyDescent="0.2">
      <c r="R41197" s="1288"/>
    </row>
    <row r="41198" spans="18:18" s="2" customFormat="1" ht="12.75" x14ac:dyDescent="0.2">
      <c r="R41198" s="1288"/>
    </row>
    <row r="41199" spans="18:18" s="2" customFormat="1" ht="12.75" x14ac:dyDescent="0.2">
      <c r="R41199" s="1288"/>
    </row>
    <row r="41200" spans="18:18" s="2" customFormat="1" ht="12.75" x14ac:dyDescent="0.2">
      <c r="R41200" s="1288"/>
    </row>
    <row r="41201" spans="18:18" s="2" customFormat="1" ht="12.75" x14ac:dyDescent="0.2">
      <c r="R41201" s="1288"/>
    </row>
    <row r="41202" spans="18:18" s="2" customFormat="1" ht="12.75" x14ac:dyDescent="0.2">
      <c r="R41202" s="1288"/>
    </row>
    <row r="41203" spans="18:18" s="2" customFormat="1" ht="12.75" x14ac:dyDescent="0.2">
      <c r="R41203" s="1288"/>
    </row>
    <row r="41204" spans="18:18" s="2" customFormat="1" ht="12.75" x14ac:dyDescent="0.2">
      <c r="R41204" s="1288"/>
    </row>
    <row r="41205" spans="18:18" s="2" customFormat="1" ht="12.75" x14ac:dyDescent="0.2">
      <c r="R41205" s="1288"/>
    </row>
    <row r="41206" spans="18:18" s="2" customFormat="1" ht="12.75" x14ac:dyDescent="0.2">
      <c r="R41206" s="1288"/>
    </row>
    <row r="41207" spans="18:18" s="2" customFormat="1" ht="12.75" x14ac:dyDescent="0.2">
      <c r="R41207" s="1288"/>
    </row>
    <row r="41208" spans="18:18" s="2" customFormat="1" ht="12.75" x14ac:dyDescent="0.2">
      <c r="R41208" s="1288"/>
    </row>
    <row r="41209" spans="18:18" s="2" customFormat="1" ht="12.75" x14ac:dyDescent="0.2">
      <c r="R41209" s="1288"/>
    </row>
    <row r="41210" spans="18:18" s="2" customFormat="1" ht="12.75" x14ac:dyDescent="0.2">
      <c r="R41210" s="1288"/>
    </row>
    <row r="41211" spans="18:18" s="2" customFormat="1" ht="12.75" x14ac:dyDescent="0.2">
      <c r="R41211" s="1288"/>
    </row>
    <row r="41212" spans="18:18" s="2" customFormat="1" ht="12.75" x14ac:dyDescent="0.2">
      <c r="R41212" s="1288"/>
    </row>
    <row r="41213" spans="18:18" s="2" customFormat="1" ht="12.75" x14ac:dyDescent="0.2">
      <c r="R41213" s="1288"/>
    </row>
    <row r="41214" spans="18:18" s="2" customFormat="1" ht="12.75" x14ac:dyDescent="0.2">
      <c r="R41214" s="1288"/>
    </row>
    <row r="41215" spans="18:18" s="2" customFormat="1" ht="12.75" x14ac:dyDescent="0.2">
      <c r="R41215" s="1288"/>
    </row>
    <row r="41216" spans="18:18" s="2" customFormat="1" ht="12.75" x14ac:dyDescent="0.2">
      <c r="R41216" s="1288"/>
    </row>
    <row r="41217" spans="18:18" s="2" customFormat="1" ht="12.75" x14ac:dyDescent="0.2">
      <c r="R41217" s="1288"/>
    </row>
    <row r="41218" spans="18:18" s="2" customFormat="1" ht="12.75" x14ac:dyDescent="0.2">
      <c r="R41218" s="1288"/>
    </row>
    <row r="41219" spans="18:18" s="2" customFormat="1" ht="12.75" x14ac:dyDescent="0.2">
      <c r="R41219" s="1288"/>
    </row>
    <row r="41220" spans="18:18" s="2" customFormat="1" ht="12.75" x14ac:dyDescent="0.2">
      <c r="R41220" s="1288"/>
    </row>
    <row r="41221" spans="18:18" s="2" customFormat="1" ht="12.75" x14ac:dyDescent="0.2">
      <c r="R41221" s="1288"/>
    </row>
    <row r="41222" spans="18:18" s="2" customFormat="1" ht="12.75" x14ac:dyDescent="0.2">
      <c r="R41222" s="1288"/>
    </row>
    <row r="41223" spans="18:18" s="2" customFormat="1" ht="12.75" x14ac:dyDescent="0.2">
      <c r="R41223" s="1288"/>
    </row>
    <row r="41224" spans="18:18" s="2" customFormat="1" ht="12.75" x14ac:dyDescent="0.2">
      <c r="R41224" s="1288"/>
    </row>
    <row r="41225" spans="18:18" s="2" customFormat="1" ht="12.75" x14ac:dyDescent="0.2">
      <c r="R41225" s="1288"/>
    </row>
    <row r="41226" spans="18:18" s="2" customFormat="1" ht="12.75" x14ac:dyDescent="0.2">
      <c r="R41226" s="1288"/>
    </row>
    <row r="41227" spans="18:18" s="2" customFormat="1" ht="12.75" x14ac:dyDescent="0.2">
      <c r="R41227" s="1288"/>
    </row>
    <row r="41228" spans="18:18" s="2" customFormat="1" ht="12.75" x14ac:dyDescent="0.2">
      <c r="R41228" s="1288"/>
    </row>
    <row r="41229" spans="18:18" s="2" customFormat="1" ht="12.75" x14ac:dyDescent="0.2">
      <c r="R41229" s="1288"/>
    </row>
    <row r="41230" spans="18:18" s="2" customFormat="1" ht="12.75" x14ac:dyDescent="0.2">
      <c r="R41230" s="1288"/>
    </row>
    <row r="41231" spans="18:18" s="2" customFormat="1" ht="12.75" x14ac:dyDescent="0.2">
      <c r="R41231" s="1288"/>
    </row>
    <row r="41232" spans="18:18" s="2" customFormat="1" ht="12.75" x14ac:dyDescent="0.2">
      <c r="R41232" s="1288"/>
    </row>
    <row r="41233" spans="18:18" s="2" customFormat="1" ht="12.75" x14ac:dyDescent="0.2">
      <c r="R41233" s="1288"/>
    </row>
    <row r="41234" spans="18:18" s="2" customFormat="1" ht="12.75" x14ac:dyDescent="0.2">
      <c r="R41234" s="1288"/>
    </row>
    <row r="41235" spans="18:18" s="2" customFormat="1" ht="12.75" x14ac:dyDescent="0.2">
      <c r="R41235" s="1288"/>
    </row>
    <row r="41236" spans="18:18" s="2" customFormat="1" ht="12.75" x14ac:dyDescent="0.2">
      <c r="R41236" s="1288"/>
    </row>
    <row r="41237" spans="18:18" s="2" customFormat="1" ht="12.75" x14ac:dyDescent="0.2">
      <c r="R41237" s="1288"/>
    </row>
    <row r="41238" spans="18:18" s="2" customFormat="1" ht="12.75" x14ac:dyDescent="0.2">
      <c r="R41238" s="1288"/>
    </row>
    <row r="41239" spans="18:18" s="2" customFormat="1" ht="12.75" x14ac:dyDescent="0.2">
      <c r="R41239" s="1288"/>
    </row>
    <row r="41240" spans="18:18" s="2" customFormat="1" ht="12.75" x14ac:dyDescent="0.2">
      <c r="R41240" s="1288"/>
    </row>
    <row r="41241" spans="18:18" s="2" customFormat="1" ht="12.75" x14ac:dyDescent="0.2">
      <c r="R41241" s="1288"/>
    </row>
    <row r="41242" spans="18:18" s="2" customFormat="1" ht="12.75" x14ac:dyDescent="0.2">
      <c r="R41242" s="1288"/>
    </row>
    <row r="41243" spans="18:18" s="2" customFormat="1" ht="12.75" x14ac:dyDescent="0.2">
      <c r="R41243" s="1288"/>
    </row>
    <row r="41244" spans="18:18" s="2" customFormat="1" ht="12.75" x14ac:dyDescent="0.2">
      <c r="R41244" s="1288"/>
    </row>
    <row r="41245" spans="18:18" s="2" customFormat="1" ht="12.75" x14ac:dyDescent="0.2">
      <c r="R41245" s="1288"/>
    </row>
    <row r="41246" spans="18:18" s="2" customFormat="1" ht="12.75" x14ac:dyDescent="0.2">
      <c r="R41246" s="1288"/>
    </row>
    <row r="41247" spans="18:18" s="2" customFormat="1" ht="12.75" x14ac:dyDescent="0.2">
      <c r="R41247" s="1288"/>
    </row>
    <row r="41248" spans="18:18" s="2" customFormat="1" ht="12.75" x14ac:dyDescent="0.2">
      <c r="R41248" s="1288"/>
    </row>
    <row r="41249" spans="18:18" s="2" customFormat="1" ht="12.75" x14ac:dyDescent="0.2">
      <c r="R41249" s="1288"/>
    </row>
    <row r="41250" spans="18:18" s="2" customFormat="1" ht="12.75" x14ac:dyDescent="0.2">
      <c r="R41250" s="1288"/>
    </row>
    <row r="41251" spans="18:18" s="2" customFormat="1" ht="12.75" x14ac:dyDescent="0.2">
      <c r="R41251" s="1288"/>
    </row>
    <row r="41252" spans="18:18" s="2" customFormat="1" ht="12.75" x14ac:dyDescent="0.2">
      <c r="R41252" s="1288"/>
    </row>
    <row r="41253" spans="18:18" s="2" customFormat="1" ht="12.75" x14ac:dyDescent="0.2">
      <c r="R41253" s="1288"/>
    </row>
    <row r="41254" spans="18:18" s="2" customFormat="1" ht="12.75" x14ac:dyDescent="0.2">
      <c r="R41254" s="1288"/>
    </row>
    <row r="41255" spans="18:18" s="2" customFormat="1" ht="12.75" x14ac:dyDescent="0.2">
      <c r="R41255" s="1288"/>
    </row>
    <row r="41256" spans="18:18" s="2" customFormat="1" ht="12.75" x14ac:dyDescent="0.2">
      <c r="R41256" s="1288"/>
    </row>
    <row r="41257" spans="18:18" s="2" customFormat="1" ht="12.75" x14ac:dyDescent="0.2">
      <c r="R41257" s="1288"/>
    </row>
    <row r="41258" spans="18:18" s="2" customFormat="1" ht="12.75" x14ac:dyDescent="0.2">
      <c r="R41258" s="1288"/>
    </row>
    <row r="41259" spans="18:18" s="2" customFormat="1" ht="12.75" x14ac:dyDescent="0.2">
      <c r="R41259" s="1288"/>
    </row>
    <row r="41260" spans="18:18" s="2" customFormat="1" ht="12.75" x14ac:dyDescent="0.2">
      <c r="R41260" s="1288"/>
    </row>
    <row r="41261" spans="18:18" s="2" customFormat="1" ht="12.75" x14ac:dyDescent="0.2">
      <c r="R41261" s="1288"/>
    </row>
    <row r="41262" spans="18:18" s="2" customFormat="1" ht="12.75" x14ac:dyDescent="0.2">
      <c r="R41262" s="1288"/>
    </row>
    <row r="41263" spans="18:18" s="2" customFormat="1" ht="12.75" x14ac:dyDescent="0.2">
      <c r="R41263" s="1288"/>
    </row>
    <row r="41264" spans="18:18" s="2" customFormat="1" ht="12.75" x14ac:dyDescent="0.2">
      <c r="R41264" s="1288"/>
    </row>
    <row r="41265" spans="18:18" s="2" customFormat="1" ht="12.75" x14ac:dyDescent="0.2">
      <c r="R41265" s="1288"/>
    </row>
    <row r="41266" spans="18:18" s="2" customFormat="1" ht="12.75" x14ac:dyDescent="0.2">
      <c r="R41266" s="1288"/>
    </row>
    <row r="41267" spans="18:18" s="2" customFormat="1" ht="12.75" x14ac:dyDescent="0.2">
      <c r="R41267" s="1288"/>
    </row>
    <row r="41268" spans="18:18" s="2" customFormat="1" ht="12.75" x14ac:dyDescent="0.2">
      <c r="R41268" s="1288"/>
    </row>
    <row r="41269" spans="18:18" s="2" customFormat="1" ht="12.75" x14ac:dyDescent="0.2">
      <c r="R41269" s="1288"/>
    </row>
    <row r="41270" spans="18:18" s="2" customFormat="1" ht="12.75" x14ac:dyDescent="0.2">
      <c r="R41270" s="1288"/>
    </row>
    <row r="41271" spans="18:18" s="2" customFormat="1" ht="12.75" x14ac:dyDescent="0.2">
      <c r="R41271" s="1288"/>
    </row>
    <row r="41272" spans="18:18" s="2" customFormat="1" ht="12.75" x14ac:dyDescent="0.2">
      <c r="R41272" s="1288"/>
    </row>
    <row r="41273" spans="18:18" s="2" customFormat="1" ht="12.75" x14ac:dyDescent="0.2">
      <c r="R41273" s="1288"/>
    </row>
    <row r="41274" spans="18:18" s="2" customFormat="1" ht="12.75" x14ac:dyDescent="0.2">
      <c r="R41274" s="1288"/>
    </row>
    <row r="41275" spans="18:18" s="2" customFormat="1" ht="12.75" x14ac:dyDescent="0.2">
      <c r="R41275" s="1288"/>
    </row>
    <row r="41276" spans="18:18" s="2" customFormat="1" ht="12.75" x14ac:dyDescent="0.2">
      <c r="R41276" s="1288"/>
    </row>
    <row r="41277" spans="18:18" s="2" customFormat="1" ht="12.75" x14ac:dyDescent="0.2">
      <c r="R41277" s="1288"/>
    </row>
    <row r="41278" spans="18:18" s="2" customFormat="1" ht="12.75" x14ac:dyDescent="0.2">
      <c r="R41278" s="1288"/>
    </row>
    <row r="41279" spans="18:18" s="2" customFormat="1" ht="12.75" x14ac:dyDescent="0.2">
      <c r="R41279" s="1288"/>
    </row>
    <row r="41280" spans="18:18" s="2" customFormat="1" ht="12.75" x14ac:dyDescent="0.2">
      <c r="R41280" s="1288"/>
    </row>
    <row r="41281" spans="18:18" s="2" customFormat="1" ht="12.75" x14ac:dyDescent="0.2">
      <c r="R41281" s="1288"/>
    </row>
    <row r="41282" spans="18:18" s="2" customFormat="1" ht="12.75" x14ac:dyDescent="0.2">
      <c r="R41282" s="1288"/>
    </row>
    <row r="41283" spans="18:18" s="2" customFormat="1" ht="12.75" x14ac:dyDescent="0.2">
      <c r="R41283" s="1288"/>
    </row>
    <row r="41284" spans="18:18" s="2" customFormat="1" ht="12.75" x14ac:dyDescent="0.2">
      <c r="R41284" s="1288"/>
    </row>
    <row r="41285" spans="18:18" s="2" customFormat="1" ht="12.75" x14ac:dyDescent="0.2">
      <c r="R41285" s="1288"/>
    </row>
    <row r="41286" spans="18:18" s="2" customFormat="1" ht="12.75" x14ac:dyDescent="0.2">
      <c r="R41286" s="1288"/>
    </row>
    <row r="41287" spans="18:18" s="2" customFormat="1" ht="12.75" x14ac:dyDescent="0.2">
      <c r="R41287" s="1288"/>
    </row>
    <row r="41288" spans="18:18" s="2" customFormat="1" ht="12.75" x14ac:dyDescent="0.2">
      <c r="R41288" s="1288"/>
    </row>
    <row r="41289" spans="18:18" s="2" customFormat="1" ht="12.75" x14ac:dyDescent="0.2">
      <c r="R41289" s="1288"/>
    </row>
    <row r="41290" spans="18:18" s="2" customFormat="1" ht="12.75" x14ac:dyDescent="0.2">
      <c r="R41290" s="1288"/>
    </row>
    <row r="41291" spans="18:18" s="2" customFormat="1" ht="12.75" x14ac:dyDescent="0.2">
      <c r="R41291" s="1288"/>
    </row>
    <row r="41292" spans="18:18" s="2" customFormat="1" ht="12.75" x14ac:dyDescent="0.2">
      <c r="R41292" s="1288"/>
    </row>
    <row r="41293" spans="18:18" s="2" customFormat="1" ht="12.75" x14ac:dyDescent="0.2">
      <c r="R41293" s="1288"/>
    </row>
    <row r="41294" spans="18:18" s="2" customFormat="1" ht="12.75" x14ac:dyDescent="0.2">
      <c r="R41294" s="1288"/>
    </row>
    <row r="41295" spans="18:18" s="2" customFormat="1" ht="12.75" x14ac:dyDescent="0.2">
      <c r="R41295" s="1288"/>
    </row>
    <row r="41296" spans="18:18" s="2" customFormat="1" ht="12.75" x14ac:dyDescent="0.2">
      <c r="R41296" s="1288"/>
    </row>
    <row r="41297" spans="18:18" s="2" customFormat="1" ht="12.75" x14ac:dyDescent="0.2">
      <c r="R41297" s="1288"/>
    </row>
    <row r="41298" spans="18:18" s="2" customFormat="1" ht="12.75" x14ac:dyDescent="0.2">
      <c r="R41298" s="1288"/>
    </row>
    <row r="41299" spans="18:18" s="2" customFormat="1" ht="12.75" x14ac:dyDescent="0.2">
      <c r="R41299" s="1288"/>
    </row>
    <row r="41300" spans="18:18" s="2" customFormat="1" ht="12.75" x14ac:dyDescent="0.2">
      <c r="R41300" s="1288"/>
    </row>
    <row r="41301" spans="18:18" s="2" customFormat="1" ht="12.75" x14ac:dyDescent="0.2">
      <c r="R41301" s="1288"/>
    </row>
    <row r="41302" spans="18:18" s="2" customFormat="1" ht="12.75" x14ac:dyDescent="0.2">
      <c r="R41302" s="1288"/>
    </row>
    <row r="41303" spans="18:18" s="2" customFormat="1" ht="12.75" x14ac:dyDescent="0.2">
      <c r="R41303" s="1288"/>
    </row>
    <row r="41304" spans="18:18" s="2" customFormat="1" ht="12.75" x14ac:dyDescent="0.2">
      <c r="R41304" s="1288"/>
    </row>
    <row r="41305" spans="18:18" s="2" customFormat="1" ht="12.75" x14ac:dyDescent="0.2">
      <c r="R41305" s="1288"/>
    </row>
    <row r="41306" spans="18:18" s="2" customFormat="1" ht="12.75" x14ac:dyDescent="0.2">
      <c r="R41306" s="1288"/>
    </row>
    <row r="41307" spans="18:18" s="2" customFormat="1" ht="12.75" x14ac:dyDescent="0.2">
      <c r="R41307" s="1288"/>
    </row>
    <row r="41308" spans="18:18" s="2" customFormat="1" ht="12.75" x14ac:dyDescent="0.2">
      <c r="R41308" s="1288"/>
    </row>
    <row r="41309" spans="18:18" s="2" customFormat="1" ht="12.75" x14ac:dyDescent="0.2">
      <c r="R41309" s="1288"/>
    </row>
    <row r="41310" spans="18:18" s="2" customFormat="1" ht="12.75" x14ac:dyDescent="0.2">
      <c r="R41310" s="1288"/>
    </row>
    <row r="41311" spans="18:18" s="2" customFormat="1" ht="12.75" x14ac:dyDescent="0.2">
      <c r="R41311" s="1288"/>
    </row>
    <row r="41312" spans="18:18" s="2" customFormat="1" ht="12.75" x14ac:dyDescent="0.2">
      <c r="R41312" s="1288"/>
    </row>
    <row r="41313" spans="18:18" s="2" customFormat="1" ht="12.75" x14ac:dyDescent="0.2">
      <c r="R41313" s="1288"/>
    </row>
    <row r="41314" spans="18:18" s="2" customFormat="1" ht="12.75" x14ac:dyDescent="0.2">
      <c r="R41314" s="1288"/>
    </row>
    <row r="41315" spans="18:18" s="2" customFormat="1" ht="12.75" x14ac:dyDescent="0.2">
      <c r="R41315" s="1288"/>
    </row>
    <row r="41316" spans="18:18" s="2" customFormat="1" ht="12.75" x14ac:dyDescent="0.2">
      <c r="R41316" s="1288"/>
    </row>
    <row r="41317" spans="18:18" s="2" customFormat="1" ht="12.75" x14ac:dyDescent="0.2">
      <c r="R41317" s="1288"/>
    </row>
    <row r="41318" spans="18:18" s="2" customFormat="1" ht="12.75" x14ac:dyDescent="0.2">
      <c r="R41318" s="1288"/>
    </row>
    <row r="41319" spans="18:18" s="2" customFormat="1" ht="12.75" x14ac:dyDescent="0.2">
      <c r="R41319" s="1288"/>
    </row>
    <row r="41320" spans="18:18" s="2" customFormat="1" ht="12.75" x14ac:dyDescent="0.2">
      <c r="R41320" s="1288"/>
    </row>
    <row r="41321" spans="18:18" s="2" customFormat="1" ht="12.75" x14ac:dyDescent="0.2">
      <c r="R41321" s="1288"/>
    </row>
    <row r="41322" spans="18:18" s="2" customFormat="1" ht="12.75" x14ac:dyDescent="0.2">
      <c r="R41322" s="1288"/>
    </row>
    <row r="41323" spans="18:18" s="2" customFormat="1" ht="12.75" x14ac:dyDescent="0.2">
      <c r="R41323" s="1288"/>
    </row>
    <row r="41324" spans="18:18" s="2" customFormat="1" ht="12.75" x14ac:dyDescent="0.2">
      <c r="R41324" s="1288"/>
    </row>
    <row r="41325" spans="18:18" s="2" customFormat="1" ht="12.75" x14ac:dyDescent="0.2">
      <c r="R41325" s="1288"/>
    </row>
    <row r="41326" spans="18:18" s="2" customFormat="1" ht="12.75" x14ac:dyDescent="0.2">
      <c r="R41326" s="1288"/>
    </row>
    <row r="41327" spans="18:18" s="2" customFormat="1" ht="12.75" x14ac:dyDescent="0.2">
      <c r="R41327" s="1288"/>
    </row>
    <row r="41328" spans="18:18" s="2" customFormat="1" ht="12.75" x14ac:dyDescent="0.2">
      <c r="R41328" s="1288"/>
    </row>
    <row r="41329" spans="18:18" s="2" customFormat="1" ht="12.75" x14ac:dyDescent="0.2">
      <c r="R41329" s="1288"/>
    </row>
    <row r="41330" spans="18:18" s="2" customFormat="1" ht="12.75" x14ac:dyDescent="0.2">
      <c r="R41330" s="1288"/>
    </row>
    <row r="41331" spans="18:18" s="2" customFormat="1" ht="12.75" x14ac:dyDescent="0.2">
      <c r="R41331" s="1288"/>
    </row>
    <row r="41332" spans="18:18" s="2" customFormat="1" ht="12.75" x14ac:dyDescent="0.2">
      <c r="R41332" s="1288"/>
    </row>
    <row r="41333" spans="18:18" s="2" customFormat="1" ht="12.75" x14ac:dyDescent="0.2">
      <c r="R41333" s="1288"/>
    </row>
    <row r="41334" spans="18:18" s="2" customFormat="1" ht="12.75" x14ac:dyDescent="0.2">
      <c r="R41334" s="1288"/>
    </row>
    <row r="41335" spans="18:18" s="2" customFormat="1" ht="12.75" x14ac:dyDescent="0.2">
      <c r="R41335" s="1288"/>
    </row>
    <row r="41336" spans="18:18" s="2" customFormat="1" ht="12.75" x14ac:dyDescent="0.2">
      <c r="R41336" s="1288"/>
    </row>
    <row r="41337" spans="18:18" s="2" customFormat="1" ht="12.75" x14ac:dyDescent="0.2">
      <c r="R41337" s="1288"/>
    </row>
    <row r="41338" spans="18:18" s="2" customFormat="1" ht="12.75" x14ac:dyDescent="0.2">
      <c r="R41338" s="1288"/>
    </row>
    <row r="41339" spans="18:18" s="2" customFormat="1" ht="12.75" x14ac:dyDescent="0.2">
      <c r="R41339" s="1288"/>
    </row>
    <row r="41340" spans="18:18" s="2" customFormat="1" ht="12.75" x14ac:dyDescent="0.2">
      <c r="R41340" s="1288"/>
    </row>
    <row r="41341" spans="18:18" s="2" customFormat="1" ht="12.75" x14ac:dyDescent="0.2">
      <c r="R41341" s="1288"/>
    </row>
    <row r="41342" spans="18:18" s="2" customFormat="1" ht="12.75" x14ac:dyDescent="0.2">
      <c r="R41342" s="1288"/>
    </row>
    <row r="41343" spans="18:18" s="2" customFormat="1" ht="12.75" x14ac:dyDescent="0.2">
      <c r="R41343" s="1288"/>
    </row>
    <row r="41344" spans="18:18" s="2" customFormat="1" ht="12.75" x14ac:dyDescent="0.2">
      <c r="R41344" s="1288"/>
    </row>
    <row r="41345" spans="18:18" s="2" customFormat="1" ht="12.75" x14ac:dyDescent="0.2">
      <c r="R41345" s="1288"/>
    </row>
    <row r="41346" spans="18:18" s="2" customFormat="1" ht="12.75" x14ac:dyDescent="0.2">
      <c r="R41346" s="1288"/>
    </row>
    <row r="41347" spans="18:18" s="2" customFormat="1" ht="12.75" x14ac:dyDescent="0.2">
      <c r="R41347" s="1288"/>
    </row>
    <row r="41348" spans="18:18" s="2" customFormat="1" ht="12.75" x14ac:dyDescent="0.2">
      <c r="R41348" s="1288"/>
    </row>
    <row r="41349" spans="18:18" s="2" customFormat="1" ht="12.75" x14ac:dyDescent="0.2">
      <c r="R41349" s="1288"/>
    </row>
    <row r="41350" spans="18:18" s="2" customFormat="1" ht="12.75" x14ac:dyDescent="0.2">
      <c r="R41350" s="1288"/>
    </row>
    <row r="41351" spans="18:18" s="2" customFormat="1" ht="12.75" x14ac:dyDescent="0.2">
      <c r="R41351" s="1288"/>
    </row>
    <row r="41352" spans="18:18" s="2" customFormat="1" ht="12.75" x14ac:dyDescent="0.2">
      <c r="R41352" s="1288"/>
    </row>
    <row r="41353" spans="18:18" s="2" customFormat="1" ht="12.75" x14ac:dyDescent="0.2">
      <c r="R41353" s="1288"/>
    </row>
    <row r="41354" spans="18:18" s="2" customFormat="1" ht="12.75" x14ac:dyDescent="0.2">
      <c r="R41354" s="1288"/>
    </row>
    <row r="41355" spans="18:18" s="2" customFormat="1" ht="12.75" x14ac:dyDescent="0.2">
      <c r="R41355" s="1288"/>
    </row>
    <row r="41356" spans="18:18" s="2" customFormat="1" ht="12.75" x14ac:dyDescent="0.2">
      <c r="R41356" s="1288"/>
    </row>
    <row r="41357" spans="18:18" s="2" customFormat="1" ht="12.75" x14ac:dyDescent="0.2">
      <c r="R41357" s="1288"/>
    </row>
    <row r="41358" spans="18:18" s="2" customFormat="1" ht="12.75" x14ac:dyDescent="0.2">
      <c r="R41358" s="1288"/>
    </row>
    <row r="41359" spans="18:18" s="2" customFormat="1" ht="12.75" x14ac:dyDescent="0.2">
      <c r="R41359" s="1288"/>
    </row>
    <row r="41360" spans="18:18" s="2" customFormat="1" ht="12.75" x14ac:dyDescent="0.2">
      <c r="R41360" s="1288"/>
    </row>
    <row r="41361" spans="18:18" s="2" customFormat="1" ht="12.75" x14ac:dyDescent="0.2">
      <c r="R41361" s="1288"/>
    </row>
    <row r="41362" spans="18:18" s="2" customFormat="1" ht="12.75" x14ac:dyDescent="0.2">
      <c r="R41362" s="1288"/>
    </row>
    <row r="41363" spans="18:18" s="2" customFormat="1" ht="12.75" x14ac:dyDescent="0.2">
      <c r="R41363" s="1288"/>
    </row>
    <row r="41364" spans="18:18" s="2" customFormat="1" ht="12.75" x14ac:dyDescent="0.2">
      <c r="R41364" s="1288"/>
    </row>
    <row r="41365" spans="18:18" s="2" customFormat="1" ht="12.75" x14ac:dyDescent="0.2">
      <c r="R41365" s="1288"/>
    </row>
    <row r="41366" spans="18:18" s="2" customFormat="1" ht="12.75" x14ac:dyDescent="0.2">
      <c r="R41366" s="1288"/>
    </row>
    <row r="41367" spans="18:18" s="2" customFormat="1" ht="12.75" x14ac:dyDescent="0.2">
      <c r="R41367" s="1288"/>
    </row>
    <row r="41368" spans="18:18" s="2" customFormat="1" ht="12.75" x14ac:dyDescent="0.2">
      <c r="R41368" s="1288"/>
    </row>
    <row r="41369" spans="18:18" s="2" customFormat="1" ht="12.75" x14ac:dyDescent="0.2">
      <c r="R41369" s="1288"/>
    </row>
    <row r="41370" spans="18:18" s="2" customFormat="1" ht="12.75" x14ac:dyDescent="0.2">
      <c r="R41370" s="1288"/>
    </row>
    <row r="41371" spans="18:18" s="2" customFormat="1" ht="12.75" x14ac:dyDescent="0.2">
      <c r="R41371" s="1288"/>
    </row>
    <row r="41372" spans="18:18" s="2" customFormat="1" ht="12.75" x14ac:dyDescent="0.2">
      <c r="R41372" s="1288"/>
    </row>
    <row r="41373" spans="18:18" s="2" customFormat="1" ht="12.75" x14ac:dyDescent="0.2">
      <c r="R41373" s="1288"/>
    </row>
    <row r="41374" spans="18:18" s="2" customFormat="1" ht="12.75" x14ac:dyDescent="0.2">
      <c r="R41374" s="1288"/>
    </row>
    <row r="41375" spans="18:18" s="2" customFormat="1" ht="12.75" x14ac:dyDescent="0.2">
      <c r="R41375" s="1288"/>
    </row>
    <row r="41376" spans="18:18" s="2" customFormat="1" ht="12.75" x14ac:dyDescent="0.2">
      <c r="R41376" s="1288"/>
    </row>
    <row r="41377" spans="18:18" s="2" customFormat="1" ht="12.75" x14ac:dyDescent="0.2">
      <c r="R41377" s="1288"/>
    </row>
    <row r="41378" spans="18:18" s="2" customFormat="1" ht="12.75" x14ac:dyDescent="0.2">
      <c r="R41378" s="1288"/>
    </row>
    <row r="41379" spans="18:18" s="2" customFormat="1" ht="12.75" x14ac:dyDescent="0.2">
      <c r="R41379" s="1288"/>
    </row>
    <row r="41380" spans="18:18" s="2" customFormat="1" ht="12.75" x14ac:dyDescent="0.2">
      <c r="R41380" s="1288"/>
    </row>
    <row r="41381" spans="18:18" s="2" customFormat="1" ht="12.75" x14ac:dyDescent="0.2">
      <c r="R41381" s="1288"/>
    </row>
    <row r="41382" spans="18:18" s="2" customFormat="1" ht="12.75" x14ac:dyDescent="0.2">
      <c r="R41382" s="1288"/>
    </row>
    <row r="41383" spans="18:18" s="2" customFormat="1" ht="12.75" x14ac:dyDescent="0.2">
      <c r="R41383" s="1288"/>
    </row>
    <row r="41384" spans="18:18" s="2" customFormat="1" ht="12.75" x14ac:dyDescent="0.2">
      <c r="R41384" s="1288"/>
    </row>
    <row r="41385" spans="18:18" s="2" customFormat="1" ht="12.75" x14ac:dyDescent="0.2">
      <c r="R41385" s="1288"/>
    </row>
    <row r="41386" spans="18:18" s="2" customFormat="1" ht="12.75" x14ac:dyDescent="0.2">
      <c r="R41386" s="1288"/>
    </row>
    <row r="41387" spans="18:18" s="2" customFormat="1" ht="12.75" x14ac:dyDescent="0.2">
      <c r="R41387" s="1288"/>
    </row>
    <row r="41388" spans="18:18" s="2" customFormat="1" ht="12.75" x14ac:dyDescent="0.2">
      <c r="R41388" s="1288"/>
    </row>
    <row r="41389" spans="18:18" s="2" customFormat="1" ht="12.75" x14ac:dyDescent="0.2">
      <c r="R41389" s="1288"/>
    </row>
    <row r="41390" spans="18:18" s="2" customFormat="1" ht="12.75" x14ac:dyDescent="0.2">
      <c r="R41390" s="1288"/>
    </row>
    <row r="41391" spans="18:18" s="2" customFormat="1" ht="12.75" x14ac:dyDescent="0.2">
      <c r="R41391" s="1288"/>
    </row>
    <row r="41392" spans="18:18" s="2" customFormat="1" ht="12.75" x14ac:dyDescent="0.2">
      <c r="R41392" s="1288"/>
    </row>
    <row r="41393" spans="18:18" s="2" customFormat="1" ht="12.75" x14ac:dyDescent="0.2">
      <c r="R41393" s="1288"/>
    </row>
    <row r="41394" spans="18:18" s="2" customFormat="1" ht="12.75" x14ac:dyDescent="0.2">
      <c r="R41394" s="1288"/>
    </row>
    <row r="41395" spans="18:18" s="2" customFormat="1" ht="12.75" x14ac:dyDescent="0.2">
      <c r="R41395" s="1288"/>
    </row>
    <row r="41396" spans="18:18" s="2" customFormat="1" ht="12.75" x14ac:dyDescent="0.2">
      <c r="R41396" s="1288"/>
    </row>
    <row r="41397" spans="18:18" s="2" customFormat="1" ht="12.75" x14ac:dyDescent="0.2">
      <c r="R41397" s="1288"/>
    </row>
    <row r="41398" spans="18:18" s="2" customFormat="1" ht="12.75" x14ac:dyDescent="0.2">
      <c r="R41398" s="1288"/>
    </row>
    <row r="41399" spans="18:18" s="2" customFormat="1" ht="12.75" x14ac:dyDescent="0.2">
      <c r="R41399" s="1288"/>
    </row>
    <row r="41400" spans="18:18" s="2" customFormat="1" ht="12.75" x14ac:dyDescent="0.2">
      <c r="R41400" s="1288"/>
    </row>
    <row r="41401" spans="18:18" s="2" customFormat="1" ht="12.75" x14ac:dyDescent="0.2">
      <c r="R41401" s="1288"/>
    </row>
    <row r="41402" spans="18:18" s="2" customFormat="1" ht="12.75" x14ac:dyDescent="0.2">
      <c r="R41402" s="1288"/>
    </row>
    <row r="41403" spans="18:18" s="2" customFormat="1" ht="12.75" x14ac:dyDescent="0.2">
      <c r="R41403" s="1288"/>
    </row>
    <row r="41404" spans="18:18" s="2" customFormat="1" ht="12.75" x14ac:dyDescent="0.2">
      <c r="R41404" s="1288"/>
    </row>
    <row r="41405" spans="18:18" s="2" customFormat="1" ht="12.75" x14ac:dyDescent="0.2">
      <c r="R41405" s="1288"/>
    </row>
    <row r="41406" spans="18:18" s="2" customFormat="1" ht="12.75" x14ac:dyDescent="0.2">
      <c r="R41406" s="1288"/>
    </row>
    <row r="41407" spans="18:18" s="2" customFormat="1" ht="12.75" x14ac:dyDescent="0.2">
      <c r="R41407" s="1288"/>
    </row>
    <row r="41408" spans="18:18" s="2" customFormat="1" ht="12.75" x14ac:dyDescent="0.2">
      <c r="R41408" s="1288"/>
    </row>
    <row r="41409" spans="18:18" s="2" customFormat="1" ht="12.75" x14ac:dyDescent="0.2">
      <c r="R41409" s="1288"/>
    </row>
    <row r="41410" spans="18:18" s="2" customFormat="1" ht="12.75" x14ac:dyDescent="0.2">
      <c r="R41410" s="1288"/>
    </row>
    <row r="41411" spans="18:18" s="2" customFormat="1" ht="12.75" x14ac:dyDescent="0.2">
      <c r="R41411" s="1288"/>
    </row>
    <row r="41412" spans="18:18" s="2" customFormat="1" ht="12.75" x14ac:dyDescent="0.2">
      <c r="R41412" s="1288"/>
    </row>
    <row r="41413" spans="18:18" s="2" customFormat="1" ht="12.75" x14ac:dyDescent="0.2">
      <c r="R41413" s="1288"/>
    </row>
    <row r="41414" spans="18:18" s="2" customFormat="1" ht="12.75" x14ac:dyDescent="0.2">
      <c r="R41414" s="1288"/>
    </row>
    <row r="41415" spans="18:18" s="2" customFormat="1" ht="12.75" x14ac:dyDescent="0.2">
      <c r="R41415" s="1288"/>
    </row>
    <row r="41416" spans="18:18" s="2" customFormat="1" ht="12.75" x14ac:dyDescent="0.2">
      <c r="R41416" s="1288"/>
    </row>
    <row r="41417" spans="18:18" s="2" customFormat="1" ht="12.75" x14ac:dyDescent="0.2">
      <c r="R41417" s="1288"/>
    </row>
    <row r="41418" spans="18:18" s="2" customFormat="1" ht="12.75" x14ac:dyDescent="0.2">
      <c r="R41418" s="1288"/>
    </row>
    <row r="41419" spans="18:18" s="2" customFormat="1" ht="12.75" x14ac:dyDescent="0.2">
      <c r="R41419" s="1288"/>
    </row>
    <row r="41420" spans="18:18" s="2" customFormat="1" ht="12.75" x14ac:dyDescent="0.2">
      <c r="R41420" s="1288"/>
    </row>
    <row r="41421" spans="18:18" s="2" customFormat="1" ht="12.75" x14ac:dyDescent="0.2">
      <c r="R41421" s="1288"/>
    </row>
    <row r="41422" spans="18:18" s="2" customFormat="1" ht="12.75" x14ac:dyDescent="0.2">
      <c r="R41422" s="1288"/>
    </row>
    <row r="41423" spans="18:18" s="2" customFormat="1" ht="12.75" x14ac:dyDescent="0.2">
      <c r="R41423" s="1288"/>
    </row>
    <row r="41424" spans="18:18" s="2" customFormat="1" ht="12.75" x14ac:dyDescent="0.2">
      <c r="R41424" s="1288"/>
    </row>
    <row r="41425" spans="18:18" s="2" customFormat="1" ht="12.75" x14ac:dyDescent="0.2">
      <c r="R41425" s="1288"/>
    </row>
    <row r="41426" spans="18:18" s="2" customFormat="1" ht="12.75" x14ac:dyDescent="0.2">
      <c r="R41426" s="1288"/>
    </row>
    <row r="41427" spans="18:18" s="2" customFormat="1" ht="12.75" x14ac:dyDescent="0.2">
      <c r="R41427" s="1288"/>
    </row>
    <row r="41428" spans="18:18" s="2" customFormat="1" ht="12.75" x14ac:dyDescent="0.2">
      <c r="R41428" s="1288"/>
    </row>
    <row r="41429" spans="18:18" s="2" customFormat="1" ht="12.75" x14ac:dyDescent="0.2">
      <c r="R41429" s="1288"/>
    </row>
    <row r="41430" spans="18:18" s="2" customFormat="1" ht="12.75" x14ac:dyDescent="0.2">
      <c r="R41430" s="1288"/>
    </row>
    <row r="41431" spans="18:18" s="2" customFormat="1" ht="12.75" x14ac:dyDescent="0.2">
      <c r="R41431" s="1288"/>
    </row>
    <row r="41432" spans="18:18" s="2" customFormat="1" ht="12.75" x14ac:dyDescent="0.2">
      <c r="R41432" s="1288"/>
    </row>
    <row r="41433" spans="18:18" s="2" customFormat="1" ht="12.75" x14ac:dyDescent="0.2">
      <c r="R41433" s="1288"/>
    </row>
    <row r="41434" spans="18:18" s="2" customFormat="1" ht="12.75" x14ac:dyDescent="0.2">
      <c r="R41434" s="1288"/>
    </row>
    <row r="41435" spans="18:18" s="2" customFormat="1" ht="12.75" x14ac:dyDescent="0.2">
      <c r="R41435" s="1288"/>
    </row>
    <row r="41436" spans="18:18" s="2" customFormat="1" ht="12.75" x14ac:dyDescent="0.2">
      <c r="R41436" s="1288"/>
    </row>
    <row r="41437" spans="18:18" s="2" customFormat="1" ht="12.75" x14ac:dyDescent="0.2">
      <c r="R41437" s="1288"/>
    </row>
    <row r="41438" spans="18:18" s="2" customFormat="1" ht="12.75" x14ac:dyDescent="0.2">
      <c r="R41438" s="1288"/>
    </row>
    <row r="41439" spans="18:18" s="2" customFormat="1" ht="12.75" x14ac:dyDescent="0.2">
      <c r="R41439" s="1288"/>
    </row>
    <row r="41440" spans="18:18" s="2" customFormat="1" ht="12.75" x14ac:dyDescent="0.2">
      <c r="R41440" s="1288"/>
    </row>
    <row r="41441" spans="18:18" s="2" customFormat="1" ht="12.75" x14ac:dyDescent="0.2">
      <c r="R41441" s="1288"/>
    </row>
    <row r="41442" spans="18:18" s="2" customFormat="1" ht="12.75" x14ac:dyDescent="0.2">
      <c r="R41442" s="1288"/>
    </row>
    <row r="41443" spans="18:18" s="2" customFormat="1" ht="12.75" x14ac:dyDescent="0.2">
      <c r="R41443" s="1288"/>
    </row>
    <row r="41444" spans="18:18" s="2" customFormat="1" ht="12.75" x14ac:dyDescent="0.2">
      <c r="R41444" s="1288"/>
    </row>
    <row r="41445" spans="18:18" s="2" customFormat="1" ht="12.75" x14ac:dyDescent="0.2">
      <c r="R41445" s="1288"/>
    </row>
    <row r="41446" spans="18:18" s="2" customFormat="1" ht="12.75" x14ac:dyDescent="0.2">
      <c r="R41446" s="1288"/>
    </row>
    <row r="41447" spans="18:18" s="2" customFormat="1" ht="12.75" x14ac:dyDescent="0.2">
      <c r="R41447" s="1288"/>
    </row>
    <row r="41448" spans="18:18" s="2" customFormat="1" ht="12.75" x14ac:dyDescent="0.2">
      <c r="R41448" s="1288"/>
    </row>
    <row r="41449" spans="18:18" s="2" customFormat="1" ht="12.75" x14ac:dyDescent="0.2">
      <c r="R41449" s="1288"/>
    </row>
    <row r="41450" spans="18:18" s="2" customFormat="1" ht="12.75" x14ac:dyDescent="0.2">
      <c r="R41450" s="1288"/>
    </row>
    <row r="41451" spans="18:18" s="2" customFormat="1" ht="12.75" x14ac:dyDescent="0.2">
      <c r="R41451" s="1288"/>
    </row>
    <row r="41452" spans="18:18" s="2" customFormat="1" ht="12.75" x14ac:dyDescent="0.2">
      <c r="R41452" s="1288"/>
    </row>
    <row r="41453" spans="18:18" s="2" customFormat="1" ht="12.75" x14ac:dyDescent="0.2">
      <c r="R41453" s="1288"/>
    </row>
    <row r="41454" spans="18:18" s="2" customFormat="1" ht="12.75" x14ac:dyDescent="0.2">
      <c r="R41454" s="1288"/>
    </row>
    <row r="41455" spans="18:18" s="2" customFormat="1" ht="12.75" x14ac:dyDescent="0.2">
      <c r="R41455" s="1288"/>
    </row>
    <row r="41456" spans="18:18" s="2" customFormat="1" ht="12.75" x14ac:dyDescent="0.2">
      <c r="R41456" s="1288"/>
    </row>
    <row r="41457" spans="18:18" s="2" customFormat="1" ht="12.75" x14ac:dyDescent="0.2">
      <c r="R41457" s="1288"/>
    </row>
    <row r="41458" spans="18:18" s="2" customFormat="1" ht="12.75" x14ac:dyDescent="0.2">
      <c r="R41458" s="1288"/>
    </row>
    <row r="41459" spans="18:18" s="2" customFormat="1" ht="12.75" x14ac:dyDescent="0.2">
      <c r="R41459" s="1288"/>
    </row>
    <row r="41460" spans="18:18" s="2" customFormat="1" ht="12.75" x14ac:dyDescent="0.2">
      <c r="R41460" s="1288"/>
    </row>
    <row r="41461" spans="18:18" s="2" customFormat="1" ht="12.75" x14ac:dyDescent="0.2">
      <c r="R41461" s="1288"/>
    </row>
    <row r="41462" spans="18:18" s="2" customFormat="1" ht="12.75" x14ac:dyDescent="0.2">
      <c r="R41462" s="1288"/>
    </row>
    <row r="41463" spans="18:18" s="2" customFormat="1" ht="12.75" x14ac:dyDescent="0.2">
      <c r="R41463" s="1288"/>
    </row>
    <row r="41464" spans="18:18" s="2" customFormat="1" ht="12.75" x14ac:dyDescent="0.2">
      <c r="R41464" s="1288"/>
    </row>
    <row r="41465" spans="18:18" s="2" customFormat="1" ht="12.75" x14ac:dyDescent="0.2">
      <c r="R41465" s="1288"/>
    </row>
    <row r="41466" spans="18:18" s="2" customFormat="1" ht="12.75" x14ac:dyDescent="0.2">
      <c r="R41466" s="1288"/>
    </row>
    <row r="41467" spans="18:18" s="2" customFormat="1" ht="12.75" x14ac:dyDescent="0.2">
      <c r="R41467" s="1288"/>
    </row>
    <row r="41468" spans="18:18" s="2" customFormat="1" ht="12.75" x14ac:dyDescent="0.2">
      <c r="R41468" s="1288"/>
    </row>
    <row r="41469" spans="18:18" s="2" customFormat="1" ht="12.75" x14ac:dyDescent="0.2">
      <c r="R41469" s="1288"/>
    </row>
    <row r="41470" spans="18:18" s="2" customFormat="1" ht="12.75" x14ac:dyDescent="0.2">
      <c r="R41470" s="1288"/>
    </row>
    <row r="41471" spans="18:18" s="2" customFormat="1" ht="12.75" x14ac:dyDescent="0.2">
      <c r="R41471" s="1288"/>
    </row>
    <row r="41472" spans="18:18" s="2" customFormat="1" ht="12.75" x14ac:dyDescent="0.2">
      <c r="R41472" s="1288"/>
    </row>
    <row r="41473" spans="18:18" s="2" customFormat="1" ht="12.75" x14ac:dyDescent="0.2">
      <c r="R41473" s="1288"/>
    </row>
    <row r="41474" spans="18:18" s="2" customFormat="1" ht="12.75" x14ac:dyDescent="0.2">
      <c r="R41474" s="1288"/>
    </row>
    <row r="41475" spans="18:18" s="2" customFormat="1" ht="12.75" x14ac:dyDescent="0.2">
      <c r="R41475" s="1288"/>
    </row>
    <row r="41476" spans="18:18" s="2" customFormat="1" ht="12.75" x14ac:dyDescent="0.2">
      <c r="R41476" s="1288"/>
    </row>
    <row r="41477" spans="18:18" s="2" customFormat="1" ht="12.75" x14ac:dyDescent="0.2">
      <c r="R41477" s="1288"/>
    </row>
    <row r="41478" spans="18:18" s="2" customFormat="1" ht="12.75" x14ac:dyDescent="0.2">
      <c r="R41478" s="1288"/>
    </row>
    <row r="41479" spans="18:18" s="2" customFormat="1" ht="12.75" x14ac:dyDescent="0.2">
      <c r="R41479" s="1288"/>
    </row>
    <row r="41480" spans="18:18" s="2" customFormat="1" ht="12.75" x14ac:dyDescent="0.2">
      <c r="R41480" s="1288"/>
    </row>
    <row r="41481" spans="18:18" s="2" customFormat="1" ht="12.75" x14ac:dyDescent="0.2">
      <c r="R41481" s="1288"/>
    </row>
    <row r="41482" spans="18:18" s="2" customFormat="1" ht="12.75" x14ac:dyDescent="0.2">
      <c r="R41482" s="1288"/>
    </row>
    <row r="41483" spans="18:18" s="2" customFormat="1" ht="12.75" x14ac:dyDescent="0.2">
      <c r="R41483" s="1288"/>
    </row>
    <row r="41484" spans="18:18" s="2" customFormat="1" ht="12.75" x14ac:dyDescent="0.2">
      <c r="R41484" s="1288"/>
    </row>
    <row r="41485" spans="18:18" s="2" customFormat="1" ht="12.75" x14ac:dyDescent="0.2">
      <c r="R41485" s="1288"/>
    </row>
    <row r="41486" spans="18:18" s="2" customFormat="1" ht="12.75" x14ac:dyDescent="0.2">
      <c r="R41486" s="1288"/>
    </row>
    <row r="41487" spans="18:18" s="2" customFormat="1" ht="12.75" x14ac:dyDescent="0.2">
      <c r="R41487" s="1288"/>
    </row>
    <row r="41488" spans="18:18" s="2" customFormat="1" ht="12.75" x14ac:dyDescent="0.2">
      <c r="R41488" s="1288"/>
    </row>
    <row r="41489" spans="18:18" s="2" customFormat="1" ht="12.75" x14ac:dyDescent="0.2">
      <c r="R41489" s="1288"/>
    </row>
    <row r="41490" spans="18:18" s="2" customFormat="1" ht="12.75" x14ac:dyDescent="0.2">
      <c r="R41490" s="1288"/>
    </row>
    <row r="41491" spans="18:18" s="2" customFormat="1" ht="12.75" x14ac:dyDescent="0.2">
      <c r="R41491" s="1288"/>
    </row>
    <row r="41492" spans="18:18" s="2" customFormat="1" ht="12.75" x14ac:dyDescent="0.2">
      <c r="R41492" s="1288"/>
    </row>
    <row r="41493" spans="18:18" s="2" customFormat="1" ht="12.75" x14ac:dyDescent="0.2">
      <c r="R41493" s="1288"/>
    </row>
    <row r="41494" spans="18:18" s="2" customFormat="1" ht="12.75" x14ac:dyDescent="0.2">
      <c r="R41494" s="1288"/>
    </row>
    <row r="41495" spans="18:18" s="2" customFormat="1" ht="12.75" x14ac:dyDescent="0.2">
      <c r="R41495" s="1288"/>
    </row>
    <row r="41496" spans="18:18" s="2" customFormat="1" ht="12.75" x14ac:dyDescent="0.2">
      <c r="R41496" s="1288"/>
    </row>
    <row r="41497" spans="18:18" s="2" customFormat="1" ht="12.75" x14ac:dyDescent="0.2">
      <c r="R41497" s="1288"/>
    </row>
    <row r="41498" spans="18:18" s="2" customFormat="1" ht="12.75" x14ac:dyDescent="0.2">
      <c r="R41498" s="1288"/>
    </row>
    <row r="41499" spans="18:18" s="2" customFormat="1" ht="12.75" x14ac:dyDescent="0.2">
      <c r="R41499" s="1288"/>
    </row>
    <row r="41500" spans="18:18" s="2" customFormat="1" ht="12.75" x14ac:dyDescent="0.2">
      <c r="R41500" s="1288"/>
    </row>
    <row r="41501" spans="18:18" s="2" customFormat="1" ht="12.75" x14ac:dyDescent="0.2">
      <c r="R41501" s="1288"/>
    </row>
    <row r="41502" spans="18:18" s="2" customFormat="1" ht="12.75" x14ac:dyDescent="0.2">
      <c r="R41502" s="1288"/>
    </row>
    <row r="41503" spans="18:18" s="2" customFormat="1" ht="12.75" x14ac:dyDescent="0.2">
      <c r="R41503" s="1288"/>
    </row>
    <row r="41504" spans="18:18" s="2" customFormat="1" ht="12.75" x14ac:dyDescent="0.2">
      <c r="R41504" s="1288"/>
    </row>
    <row r="41505" spans="18:18" s="2" customFormat="1" ht="12.75" x14ac:dyDescent="0.2">
      <c r="R41505" s="1288"/>
    </row>
    <row r="41506" spans="18:18" s="2" customFormat="1" ht="12.75" x14ac:dyDescent="0.2">
      <c r="R41506" s="1288"/>
    </row>
    <row r="41507" spans="18:18" s="2" customFormat="1" ht="12.75" x14ac:dyDescent="0.2">
      <c r="R41507" s="1288"/>
    </row>
    <row r="41508" spans="18:18" s="2" customFormat="1" ht="12.75" x14ac:dyDescent="0.2">
      <c r="R41508" s="1288"/>
    </row>
    <row r="41509" spans="18:18" s="2" customFormat="1" ht="12.75" x14ac:dyDescent="0.2">
      <c r="R41509" s="1288"/>
    </row>
    <row r="41510" spans="18:18" s="2" customFormat="1" ht="12.75" x14ac:dyDescent="0.2">
      <c r="R41510" s="1288"/>
    </row>
    <row r="41511" spans="18:18" s="2" customFormat="1" ht="12.75" x14ac:dyDescent="0.2">
      <c r="R41511" s="1288"/>
    </row>
    <row r="41512" spans="18:18" s="2" customFormat="1" ht="12.75" x14ac:dyDescent="0.2">
      <c r="R41512" s="1288"/>
    </row>
    <row r="41513" spans="18:18" s="2" customFormat="1" ht="12.75" x14ac:dyDescent="0.2">
      <c r="R41513" s="1288"/>
    </row>
    <row r="41514" spans="18:18" s="2" customFormat="1" ht="12.75" x14ac:dyDescent="0.2">
      <c r="R41514" s="1288"/>
    </row>
    <row r="41515" spans="18:18" s="2" customFormat="1" ht="12.75" x14ac:dyDescent="0.2">
      <c r="R41515" s="1288"/>
    </row>
    <row r="41516" spans="18:18" s="2" customFormat="1" ht="12.75" x14ac:dyDescent="0.2">
      <c r="R41516" s="1288"/>
    </row>
    <row r="41517" spans="18:18" s="2" customFormat="1" ht="12.75" x14ac:dyDescent="0.2">
      <c r="R41517" s="1288"/>
    </row>
    <row r="41518" spans="18:18" s="2" customFormat="1" ht="12.75" x14ac:dyDescent="0.2">
      <c r="R41518" s="1288"/>
    </row>
    <row r="41519" spans="18:18" s="2" customFormat="1" ht="12.75" x14ac:dyDescent="0.2">
      <c r="R41519" s="1288"/>
    </row>
    <row r="41520" spans="18:18" s="2" customFormat="1" ht="12.75" x14ac:dyDescent="0.2">
      <c r="R41520" s="1288"/>
    </row>
    <row r="41521" spans="18:18" s="2" customFormat="1" ht="12.75" x14ac:dyDescent="0.2">
      <c r="R41521" s="1288"/>
    </row>
    <row r="41522" spans="18:18" s="2" customFormat="1" ht="12.75" x14ac:dyDescent="0.2">
      <c r="R41522" s="1288"/>
    </row>
    <row r="41523" spans="18:18" s="2" customFormat="1" ht="12.75" x14ac:dyDescent="0.2">
      <c r="R41523" s="1288"/>
    </row>
    <row r="41524" spans="18:18" s="2" customFormat="1" ht="12.75" x14ac:dyDescent="0.2">
      <c r="R41524" s="1288"/>
    </row>
    <row r="41525" spans="18:18" s="2" customFormat="1" ht="12.75" x14ac:dyDescent="0.2">
      <c r="R41525" s="1288"/>
    </row>
    <row r="41526" spans="18:18" s="2" customFormat="1" ht="12.75" x14ac:dyDescent="0.2">
      <c r="R41526" s="1288"/>
    </row>
    <row r="41527" spans="18:18" s="2" customFormat="1" ht="12.75" x14ac:dyDescent="0.2">
      <c r="R41527" s="1288"/>
    </row>
    <row r="41528" spans="18:18" s="2" customFormat="1" ht="12.75" x14ac:dyDescent="0.2">
      <c r="R41528" s="1288"/>
    </row>
    <row r="41529" spans="18:18" s="2" customFormat="1" ht="12.75" x14ac:dyDescent="0.2">
      <c r="R41529" s="1288"/>
    </row>
    <row r="41530" spans="18:18" s="2" customFormat="1" ht="12.75" x14ac:dyDescent="0.2">
      <c r="R41530" s="1288"/>
    </row>
    <row r="41531" spans="18:18" s="2" customFormat="1" ht="12.75" x14ac:dyDescent="0.2">
      <c r="R41531" s="1288"/>
    </row>
    <row r="41532" spans="18:18" s="2" customFormat="1" ht="12.75" x14ac:dyDescent="0.2">
      <c r="R41532" s="1288"/>
    </row>
    <row r="41533" spans="18:18" s="2" customFormat="1" ht="12.75" x14ac:dyDescent="0.2">
      <c r="R41533" s="1288"/>
    </row>
    <row r="41534" spans="18:18" s="2" customFormat="1" ht="12.75" x14ac:dyDescent="0.2">
      <c r="R41534" s="1288"/>
    </row>
    <row r="41535" spans="18:18" s="2" customFormat="1" ht="12.75" x14ac:dyDescent="0.2">
      <c r="R41535" s="1288"/>
    </row>
    <row r="41536" spans="18:18" s="2" customFormat="1" ht="12.75" x14ac:dyDescent="0.2">
      <c r="R41536" s="1288"/>
    </row>
    <row r="41537" spans="18:18" s="2" customFormat="1" ht="12.75" x14ac:dyDescent="0.2">
      <c r="R41537" s="1288"/>
    </row>
    <row r="41538" spans="18:18" s="2" customFormat="1" ht="12.75" x14ac:dyDescent="0.2">
      <c r="R41538" s="1288"/>
    </row>
    <row r="41539" spans="18:18" s="2" customFormat="1" ht="12.75" x14ac:dyDescent="0.2">
      <c r="R41539" s="1288"/>
    </row>
    <row r="41540" spans="18:18" s="2" customFormat="1" ht="12.75" x14ac:dyDescent="0.2">
      <c r="R41540" s="1288"/>
    </row>
    <row r="41541" spans="18:18" s="2" customFormat="1" ht="12.75" x14ac:dyDescent="0.2">
      <c r="R41541" s="1288"/>
    </row>
    <row r="41542" spans="18:18" s="2" customFormat="1" ht="12.75" x14ac:dyDescent="0.2">
      <c r="R41542" s="1288"/>
    </row>
    <row r="41543" spans="18:18" s="2" customFormat="1" ht="12.75" x14ac:dyDescent="0.2">
      <c r="R41543" s="1288"/>
    </row>
    <row r="41544" spans="18:18" s="2" customFormat="1" ht="12.75" x14ac:dyDescent="0.2">
      <c r="R41544" s="1288"/>
    </row>
    <row r="41545" spans="18:18" s="2" customFormat="1" ht="12.75" x14ac:dyDescent="0.2">
      <c r="R41545" s="1288"/>
    </row>
    <row r="41546" spans="18:18" s="2" customFormat="1" ht="12.75" x14ac:dyDescent="0.2">
      <c r="R41546" s="1288"/>
    </row>
    <row r="41547" spans="18:18" s="2" customFormat="1" ht="12.75" x14ac:dyDescent="0.2">
      <c r="R41547" s="1288"/>
    </row>
    <row r="41548" spans="18:18" s="2" customFormat="1" ht="12.75" x14ac:dyDescent="0.2">
      <c r="R41548" s="1288"/>
    </row>
    <row r="41549" spans="18:18" s="2" customFormat="1" ht="12.75" x14ac:dyDescent="0.2">
      <c r="R41549" s="1288"/>
    </row>
    <row r="41550" spans="18:18" s="2" customFormat="1" ht="12.75" x14ac:dyDescent="0.2">
      <c r="R41550" s="1288"/>
    </row>
    <row r="41551" spans="18:18" s="2" customFormat="1" ht="12.75" x14ac:dyDescent="0.2">
      <c r="R41551" s="1288"/>
    </row>
    <row r="41552" spans="18:18" s="2" customFormat="1" ht="12.75" x14ac:dyDescent="0.2">
      <c r="R41552" s="1288"/>
    </row>
    <row r="41553" spans="18:18" s="2" customFormat="1" ht="12.75" x14ac:dyDescent="0.2">
      <c r="R41553" s="1288"/>
    </row>
    <row r="41554" spans="18:18" s="2" customFormat="1" ht="12.75" x14ac:dyDescent="0.2">
      <c r="R41554" s="1288"/>
    </row>
    <row r="41555" spans="18:18" s="2" customFormat="1" ht="12.75" x14ac:dyDescent="0.2">
      <c r="R41555" s="1288"/>
    </row>
    <row r="41556" spans="18:18" s="2" customFormat="1" ht="12.75" x14ac:dyDescent="0.2">
      <c r="R41556" s="1288"/>
    </row>
    <row r="41557" spans="18:18" s="2" customFormat="1" ht="12.75" x14ac:dyDescent="0.2">
      <c r="R41557" s="1288"/>
    </row>
    <row r="41558" spans="18:18" s="2" customFormat="1" ht="12.75" x14ac:dyDescent="0.2">
      <c r="R41558" s="1288"/>
    </row>
    <row r="41559" spans="18:18" s="2" customFormat="1" ht="12.75" x14ac:dyDescent="0.2">
      <c r="R41559" s="1288"/>
    </row>
    <row r="41560" spans="18:18" s="2" customFormat="1" ht="12.75" x14ac:dyDescent="0.2">
      <c r="R41560" s="1288"/>
    </row>
    <row r="41561" spans="18:18" s="2" customFormat="1" ht="12.75" x14ac:dyDescent="0.2">
      <c r="R41561" s="1288"/>
    </row>
    <row r="41562" spans="18:18" s="2" customFormat="1" ht="12.75" x14ac:dyDescent="0.2">
      <c r="R41562" s="1288"/>
    </row>
    <row r="41563" spans="18:18" s="2" customFormat="1" ht="12.75" x14ac:dyDescent="0.2">
      <c r="R41563" s="1288"/>
    </row>
    <row r="41564" spans="18:18" s="2" customFormat="1" ht="12.75" x14ac:dyDescent="0.2">
      <c r="R41564" s="1288"/>
    </row>
    <row r="41565" spans="18:18" s="2" customFormat="1" ht="12.75" x14ac:dyDescent="0.2">
      <c r="R41565" s="1288"/>
    </row>
    <row r="41566" spans="18:18" s="2" customFormat="1" ht="12.75" x14ac:dyDescent="0.2">
      <c r="R41566" s="1288"/>
    </row>
    <row r="41567" spans="18:18" s="2" customFormat="1" ht="12.75" x14ac:dyDescent="0.2">
      <c r="R41567" s="1288"/>
    </row>
    <row r="41568" spans="18:18" s="2" customFormat="1" ht="12.75" x14ac:dyDescent="0.2">
      <c r="R41568" s="1288"/>
    </row>
    <row r="41569" spans="18:18" s="2" customFormat="1" ht="12.75" x14ac:dyDescent="0.2">
      <c r="R41569" s="1288"/>
    </row>
    <row r="41570" spans="18:18" s="2" customFormat="1" ht="12.75" x14ac:dyDescent="0.2">
      <c r="R41570" s="1288"/>
    </row>
    <row r="41571" spans="18:18" s="2" customFormat="1" ht="12.75" x14ac:dyDescent="0.2">
      <c r="R41571" s="1288"/>
    </row>
    <row r="41572" spans="18:18" s="2" customFormat="1" ht="12.75" x14ac:dyDescent="0.2">
      <c r="R41572" s="1288"/>
    </row>
    <row r="41573" spans="18:18" s="2" customFormat="1" ht="12.75" x14ac:dyDescent="0.2">
      <c r="R41573" s="1288"/>
    </row>
    <row r="41574" spans="18:18" s="2" customFormat="1" ht="12.75" x14ac:dyDescent="0.2">
      <c r="R41574" s="1288"/>
    </row>
    <row r="41575" spans="18:18" s="2" customFormat="1" ht="12.75" x14ac:dyDescent="0.2">
      <c r="R41575" s="1288"/>
    </row>
    <row r="41576" spans="18:18" s="2" customFormat="1" ht="12.75" x14ac:dyDescent="0.2">
      <c r="R41576" s="1288"/>
    </row>
    <row r="41577" spans="18:18" s="2" customFormat="1" ht="12.75" x14ac:dyDescent="0.2">
      <c r="R41577" s="1288"/>
    </row>
    <row r="41578" spans="18:18" s="2" customFormat="1" ht="12.75" x14ac:dyDescent="0.2">
      <c r="R41578" s="1288"/>
    </row>
    <row r="41579" spans="18:18" s="2" customFormat="1" ht="12.75" x14ac:dyDescent="0.2">
      <c r="R41579" s="1288"/>
    </row>
    <row r="41580" spans="18:18" s="2" customFormat="1" ht="12.75" x14ac:dyDescent="0.2">
      <c r="R41580" s="1288"/>
    </row>
    <row r="41581" spans="18:18" s="2" customFormat="1" ht="12.75" x14ac:dyDescent="0.2">
      <c r="R41581" s="1288"/>
    </row>
    <row r="41582" spans="18:18" s="2" customFormat="1" ht="12.75" x14ac:dyDescent="0.2">
      <c r="R41582" s="1288"/>
    </row>
    <row r="41583" spans="18:18" s="2" customFormat="1" ht="12.75" x14ac:dyDescent="0.2">
      <c r="R41583" s="1288"/>
    </row>
    <row r="41584" spans="18:18" s="2" customFormat="1" ht="12.75" x14ac:dyDescent="0.2">
      <c r="R41584" s="1288"/>
    </row>
    <row r="41585" spans="18:18" s="2" customFormat="1" ht="12.75" x14ac:dyDescent="0.2">
      <c r="R41585" s="1288"/>
    </row>
    <row r="41586" spans="18:18" s="2" customFormat="1" ht="12.75" x14ac:dyDescent="0.2">
      <c r="R41586" s="1288"/>
    </row>
    <row r="41587" spans="18:18" s="2" customFormat="1" ht="12.75" x14ac:dyDescent="0.2">
      <c r="R41587" s="1288"/>
    </row>
    <row r="41588" spans="18:18" s="2" customFormat="1" ht="12.75" x14ac:dyDescent="0.2">
      <c r="R41588" s="1288"/>
    </row>
    <row r="41589" spans="18:18" s="2" customFormat="1" ht="12.75" x14ac:dyDescent="0.2">
      <c r="R41589" s="1288"/>
    </row>
    <row r="41590" spans="18:18" s="2" customFormat="1" ht="12.75" x14ac:dyDescent="0.2">
      <c r="R41590" s="1288"/>
    </row>
    <row r="41591" spans="18:18" s="2" customFormat="1" ht="12.75" x14ac:dyDescent="0.2">
      <c r="R41591" s="1288"/>
    </row>
    <row r="41592" spans="18:18" s="2" customFormat="1" ht="12.75" x14ac:dyDescent="0.2">
      <c r="R41592" s="1288"/>
    </row>
    <row r="41593" spans="18:18" s="2" customFormat="1" ht="12.75" x14ac:dyDescent="0.2">
      <c r="R41593" s="1288"/>
    </row>
    <row r="41594" spans="18:18" s="2" customFormat="1" ht="12.75" x14ac:dyDescent="0.2">
      <c r="R41594" s="1288"/>
    </row>
    <row r="41595" spans="18:18" s="2" customFormat="1" ht="12.75" x14ac:dyDescent="0.2">
      <c r="R41595" s="1288"/>
    </row>
    <row r="41596" spans="18:18" s="2" customFormat="1" ht="12.75" x14ac:dyDescent="0.2">
      <c r="R41596" s="1288"/>
    </row>
    <row r="41597" spans="18:18" s="2" customFormat="1" ht="12.75" x14ac:dyDescent="0.2">
      <c r="R41597" s="1288"/>
    </row>
    <row r="41598" spans="18:18" s="2" customFormat="1" ht="12.75" x14ac:dyDescent="0.2">
      <c r="R41598" s="1288"/>
    </row>
    <row r="41599" spans="18:18" s="2" customFormat="1" ht="12.75" x14ac:dyDescent="0.2">
      <c r="R41599" s="1288"/>
    </row>
    <row r="41600" spans="18:18" s="2" customFormat="1" ht="12.75" x14ac:dyDescent="0.2">
      <c r="R41600" s="1288"/>
    </row>
    <row r="41601" spans="18:18" s="2" customFormat="1" ht="12.75" x14ac:dyDescent="0.2">
      <c r="R41601" s="1288"/>
    </row>
    <row r="41602" spans="18:18" s="2" customFormat="1" ht="12.75" x14ac:dyDescent="0.2">
      <c r="R41602" s="1288"/>
    </row>
    <row r="41603" spans="18:18" s="2" customFormat="1" ht="12.75" x14ac:dyDescent="0.2">
      <c r="R41603" s="1288"/>
    </row>
    <row r="41604" spans="18:18" s="2" customFormat="1" ht="12.75" x14ac:dyDescent="0.2">
      <c r="R41604" s="1288"/>
    </row>
    <row r="41605" spans="18:18" s="2" customFormat="1" ht="12.75" x14ac:dyDescent="0.2">
      <c r="R41605" s="1288"/>
    </row>
    <row r="41606" spans="18:18" s="2" customFormat="1" ht="12.75" x14ac:dyDescent="0.2">
      <c r="R41606" s="1288"/>
    </row>
    <row r="41607" spans="18:18" s="2" customFormat="1" ht="12.75" x14ac:dyDescent="0.2">
      <c r="R41607" s="1288"/>
    </row>
    <row r="41608" spans="18:18" s="2" customFormat="1" ht="12.75" x14ac:dyDescent="0.2">
      <c r="R41608" s="1288"/>
    </row>
    <row r="41609" spans="18:18" s="2" customFormat="1" ht="12.75" x14ac:dyDescent="0.2">
      <c r="R41609" s="1288"/>
    </row>
    <row r="41610" spans="18:18" s="2" customFormat="1" ht="12.75" x14ac:dyDescent="0.2">
      <c r="R41610" s="1288"/>
    </row>
    <row r="41611" spans="18:18" s="2" customFormat="1" ht="12.75" x14ac:dyDescent="0.2">
      <c r="R41611" s="1288"/>
    </row>
    <row r="41612" spans="18:18" s="2" customFormat="1" ht="12.75" x14ac:dyDescent="0.2">
      <c r="R41612" s="1288"/>
    </row>
    <row r="41613" spans="18:18" s="2" customFormat="1" ht="12.75" x14ac:dyDescent="0.2">
      <c r="R41613" s="1288"/>
    </row>
    <row r="41614" spans="18:18" s="2" customFormat="1" ht="12.75" x14ac:dyDescent="0.2">
      <c r="R41614" s="1288"/>
    </row>
    <row r="41615" spans="18:18" s="2" customFormat="1" ht="12.75" x14ac:dyDescent="0.2">
      <c r="R41615" s="1288"/>
    </row>
    <row r="41616" spans="18:18" s="2" customFormat="1" ht="12.75" x14ac:dyDescent="0.2">
      <c r="R41616" s="1288"/>
    </row>
    <row r="41617" spans="18:18" s="2" customFormat="1" ht="12.75" x14ac:dyDescent="0.2">
      <c r="R41617" s="1288"/>
    </row>
    <row r="41618" spans="18:18" s="2" customFormat="1" ht="12.75" x14ac:dyDescent="0.2">
      <c r="R41618" s="1288"/>
    </row>
    <row r="41619" spans="18:18" s="2" customFormat="1" ht="12.75" x14ac:dyDescent="0.2">
      <c r="R41619" s="1288"/>
    </row>
    <row r="41620" spans="18:18" s="2" customFormat="1" ht="12.75" x14ac:dyDescent="0.2">
      <c r="R41620" s="1288"/>
    </row>
    <row r="41621" spans="18:18" s="2" customFormat="1" ht="12.75" x14ac:dyDescent="0.2">
      <c r="R41621" s="1288"/>
    </row>
    <row r="41622" spans="18:18" s="2" customFormat="1" ht="12.75" x14ac:dyDescent="0.2">
      <c r="R41622" s="1288"/>
    </row>
    <row r="41623" spans="18:18" s="2" customFormat="1" ht="12.75" x14ac:dyDescent="0.2">
      <c r="R41623" s="1288"/>
    </row>
    <row r="41624" spans="18:18" s="2" customFormat="1" ht="12.75" x14ac:dyDescent="0.2">
      <c r="R41624" s="1288"/>
    </row>
    <row r="41625" spans="18:18" s="2" customFormat="1" ht="12.75" x14ac:dyDescent="0.2">
      <c r="R41625" s="1288"/>
    </row>
    <row r="41626" spans="18:18" s="2" customFormat="1" ht="12.75" x14ac:dyDescent="0.2">
      <c r="R41626" s="1288"/>
    </row>
    <row r="41627" spans="18:18" s="2" customFormat="1" ht="12.75" x14ac:dyDescent="0.2">
      <c r="R41627" s="1288"/>
    </row>
    <row r="41628" spans="18:18" s="2" customFormat="1" ht="12.75" x14ac:dyDescent="0.2">
      <c r="R41628" s="1288"/>
    </row>
    <row r="41629" spans="18:18" s="2" customFormat="1" ht="12.75" x14ac:dyDescent="0.2">
      <c r="R41629" s="1288"/>
    </row>
    <row r="41630" spans="18:18" s="2" customFormat="1" ht="12.75" x14ac:dyDescent="0.2">
      <c r="R41630" s="1288"/>
    </row>
    <row r="41631" spans="18:18" s="2" customFormat="1" ht="12.75" x14ac:dyDescent="0.2">
      <c r="R41631" s="1288"/>
    </row>
    <row r="41632" spans="18:18" s="2" customFormat="1" ht="12.75" x14ac:dyDescent="0.2">
      <c r="R41632" s="1288"/>
    </row>
    <row r="41633" spans="18:18" s="2" customFormat="1" ht="12.75" x14ac:dyDescent="0.2">
      <c r="R41633" s="1288"/>
    </row>
    <row r="41634" spans="18:18" s="2" customFormat="1" ht="12.75" x14ac:dyDescent="0.2">
      <c r="R41634" s="1288"/>
    </row>
    <row r="41635" spans="18:18" s="2" customFormat="1" ht="12.75" x14ac:dyDescent="0.2">
      <c r="R41635" s="1288"/>
    </row>
    <row r="41636" spans="18:18" s="2" customFormat="1" ht="12.75" x14ac:dyDescent="0.2">
      <c r="R41636" s="1288"/>
    </row>
    <row r="41637" spans="18:18" s="2" customFormat="1" ht="12.75" x14ac:dyDescent="0.2">
      <c r="R41637" s="1288"/>
    </row>
    <row r="41638" spans="18:18" s="2" customFormat="1" ht="12.75" x14ac:dyDescent="0.2">
      <c r="R41638" s="1288"/>
    </row>
    <row r="41639" spans="18:18" s="2" customFormat="1" ht="12.75" x14ac:dyDescent="0.2">
      <c r="R41639" s="1288"/>
    </row>
    <row r="41640" spans="18:18" s="2" customFormat="1" ht="12.75" x14ac:dyDescent="0.2">
      <c r="R41640" s="1288"/>
    </row>
    <row r="41641" spans="18:18" s="2" customFormat="1" ht="12.75" x14ac:dyDescent="0.2">
      <c r="R41641" s="1288"/>
    </row>
    <row r="41642" spans="18:18" s="2" customFormat="1" ht="12.75" x14ac:dyDescent="0.2">
      <c r="R41642" s="1288"/>
    </row>
    <row r="41643" spans="18:18" s="2" customFormat="1" ht="12.75" x14ac:dyDescent="0.2">
      <c r="R41643" s="1288"/>
    </row>
    <row r="41644" spans="18:18" s="2" customFormat="1" ht="12.75" x14ac:dyDescent="0.2">
      <c r="R41644" s="1288"/>
    </row>
    <row r="41645" spans="18:18" s="2" customFormat="1" ht="12.75" x14ac:dyDescent="0.2">
      <c r="R41645" s="1288"/>
    </row>
    <row r="41646" spans="18:18" s="2" customFormat="1" ht="12.75" x14ac:dyDescent="0.2">
      <c r="R41646" s="1288"/>
    </row>
    <row r="41647" spans="18:18" s="2" customFormat="1" ht="12.75" x14ac:dyDescent="0.2">
      <c r="R41647" s="1288"/>
    </row>
    <row r="41648" spans="18:18" s="2" customFormat="1" ht="12.75" x14ac:dyDescent="0.2">
      <c r="R41648" s="1288"/>
    </row>
    <row r="41649" spans="18:18" s="2" customFormat="1" ht="12.75" x14ac:dyDescent="0.2">
      <c r="R41649" s="1288"/>
    </row>
    <row r="41650" spans="18:18" s="2" customFormat="1" ht="12.75" x14ac:dyDescent="0.2">
      <c r="R41650" s="1288"/>
    </row>
    <row r="41651" spans="18:18" s="2" customFormat="1" ht="12.75" x14ac:dyDescent="0.2">
      <c r="R41651" s="1288"/>
    </row>
    <row r="41652" spans="18:18" s="2" customFormat="1" ht="12.75" x14ac:dyDescent="0.2">
      <c r="R41652" s="1288"/>
    </row>
    <row r="41653" spans="18:18" s="2" customFormat="1" ht="12.75" x14ac:dyDescent="0.2">
      <c r="R41653" s="1288"/>
    </row>
    <row r="41654" spans="18:18" s="2" customFormat="1" ht="12.75" x14ac:dyDescent="0.2">
      <c r="R41654" s="1288"/>
    </row>
    <row r="41655" spans="18:18" s="2" customFormat="1" ht="12.75" x14ac:dyDescent="0.2">
      <c r="R41655" s="1288"/>
    </row>
    <row r="41656" spans="18:18" s="2" customFormat="1" ht="12.75" x14ac:dyDescent="0.2">
      <c r="R41656" s="1288"/>
    </row>
    <row r="41657" spans="18:18" s="2" customFormat="1" ht="12.75" x14ac:dyDescent="0.2">
      <c r="R41657" s="1288"/>
    </row>
    <row r="41658" spans="18:18" s="2" customFormat="1" ht="12.75" x14ac:dyDescent="0.2">
      <c r="R41658" s="1288"/>
    </row>
    <row r="41659" spans="18:18" s="2" customFormat="1" ht="12.75" x14ac:dyDescent="0.2">
      <c r="R41659" s="1288"/>
    </row>
    <row r="41660" spans="18:18" s="2" customFormat="1" ht="12.75" x14ac:dyDescent="0.2">
      <c r="R41660" s="1288"/>
    </row>
    <row r="41661" spans="18:18" s="2" customFormat="1" ht="12.75" x14ac:dyDescent="0.2">
      <c r="R41661" s="1288"/>
    </row>
    <row r="41662" spans="18:18" s="2" customFormat="1" ht="12.75" x14ac:dyDescent="0.2">
      <c r="R41662" s="1288"/>
    </row>
    <row r="41663" spans="18:18" s="2" customFormat="1" ht="12.75" x14ac:dyDescent="0.2">
      <c r="R41663" s="1288"/>
    </row>
    <row r="41664" spans="18:18" s="2" customFormat="1" ht="12.75" x14ac:dyDescent="0.2">
      <c r="R41664" s="1288"/>
    </row>
    <row r="41665" spans="18:18" s="2" customFormat="1" ht="12.75" x14ac:dyDescent="0.2">
      <c r="R41665" s="1288"/>
    </row>
    <row r="41666" spans="18:18" s="2" customFormat="1" ht="12.75" x14ac:dyDescent="0.2">
      <c r="R41666" s="1288"/>
    </row>
    <row r="41667" spans="18:18" s="2" customFormat="1" ht="12.75" x14ac:dyDescent="0.2">
      <c r="R41667" s="1288"/>
    </row>
    <row r="41668" spans="18:18" s="2" customFormat="1" ht="12.75" x14ac:dyDescent="0.2">
      <c r="R41668" s="1288"/>
    </row>
    <row r="41669" spans="18:18" s="2" customFormat="1" ht="12.75" x14ac:dyDescent="0.2">
      <c r="R41669" s="1288"/>
    </row>
    <row r="41670" spans="18:18" s="2" customFormat="1" ht="12.75" x14ac:dyDescent="0.2">
      <c r="R41670" s="1288"/>
    </row>
    <row r="41671" spans="18:18" s="2" customFormat="1" ht="12.75" x14ac:dyDescent="0.2">
      <c r="R41671" s="1288"/>
    </row>
    <row r="41672" spans="18:18" s="2" customFormat="1" ht="12.75" x14ac:dyDescent="0.2">
      <c r="R41672" s="1288"/>
    </row>
    <row r="41673" spans="18:18" s="2" customFormat="1" ht="12.75" x14ac:dyDescent="0.2">
      <c r="R41673" s="1288"/>
    </row>
    <row r="41674" spans="18:18" s="2" customFormat="1" ht="12.75" x14ac:dyDescent="0.2">
      <c r="R41674" s="1288"/>
    </row>
    <row r="41675" spans="18:18" s="2" customFormat="1" ht="12.75" x14ac:dyDescent="0.2">
      <c r="R41675" s="1288"/>
    </row>
    <row r="41676" spans="18:18" s="2" customFormat="1" ht="12.75" x14ac:dyDescent="0.2">
      <c r="R41676" s="1288"/>
    </row>
    <row r="41677" spans="18:18" s="2" customFormat="1" ht="12.75" x14ac:dyDescent="0.2">
      <c r="R41677" s="1288"/>
    </row>
    <row r="41678" spans="18:18" s="2" customFormat="1" ht="12.75" x14ac:dyDescent="0.2">
      <c r="R41678" s="1288"/>
    </row>
    <row r="41679" spans="18:18" s="2" customFormat="1" ht="12.75" x14ac:dyDescent="0.2">
      <c r="R41679" s="1288"/>
    </row>
    <row r="41680" spans="18:18" s="2" customFormat="1" ht="12.75" x14ac:dyDescent="0.2">
      <c r="R41680" s="1288"/>
    </row>
    <row r="41681" spans="18:18" s="2" customFormat="1" ht="12.75" x14ac:dyDescent="0.2">
      <c r="R41681" s="1288"/>
    </row>
    <row r="41682" spans="18:18" s="2" customFormat="1" ht="12.75" x14ac:dyDescent="0.2">
      <c r="R41682" s="1288"/>
    </row>
    <row r="41683" spans="18:18" s="2" customFormat="1" ht="12.75" x14ac:dyDescent="0.2">
      <c r="R41683" s="1288"/>
    </row>
    <row r="41684" spans="18:18" s="2" customFormat="1" ht="12.75" x14ac:dyDescent="0.2">
      <c r="R41684" s="1288"/>
    </row>
    <row r="41685" spans="18:18" s="2" customFormat="1" ht="12.75" x14ac:dyDescent="0.2">
      <c r="R41685" s="1288"/>
    </row>
    <row r="41686" spans="18:18" s="2" customFormat="1" ht="12.75" x14ac:dyDescent="0.2">
      <c r="R41686" s="1288"/>
    </row>
    <row r="41687" spans="18:18" s="2" customFormat="1" ht="12.75" x14ac:dyDescent="0.2">
      <c r="R41687" s="1288"/>
    </row>
    <row r="41688" spans="18:18" s="2" customFormat="1" ht="12.75" x14ac:dyDescent="0.2">
      <c r="R41688" s="1288"/>
    </row>
    <row r="41689" spans="18:18" s="2" customFormat="1" ht="12.75" x14ac:dyDescent="0.2">
      <c r="R41689" s="1288"/>
    </row>
    <row r="41690" spans="18:18" s="2" customFormat="1" ht="12.75" x14ac:dyDescent="0.2">
      <c r="R41690" s="1288"/>
    </row>
    <row r="41691" spans="18:18" s="2" customFormat="1" ht="12.75" x14ac:dyDescent="0.2">
      <c r="R41691" s="1288"/>
    </row>
    <row r="41692" spans="18:18" s="2" customFormat="1" ht="12.75" x14ac:dyDescent="0.2">
      <c r="R41692" s="1288"/>
    </row>
    <row r="41693" spans="18:18" s="2" customFormat="1" ht="12.75" x14ac:dyDescent="0.2">
      <c r="R41693" s="1288"/>
    </row>
    <row r="41694" spans="18:18" s="2" customFormat="1" ht="12.75" x14ac:dyDescent="0.2">
      <c r="R41694" s="1288"/>
    </row>
    <row r="41695" spans="18:18" s="2" customFormat="1" ht="12.75" x14ac:dyDescent="0.2">
      <c r="R41695" s="1288"/>
    </row>
    <row r="41696" spans="18:18" s="2" customFormat="1" ht="12.75" x14ac:dyDescent="0.2">
      <c r="R41696" s="1288"/>
    </row>
    <row r="41697" spans="18:18" s="2" customFormat="1" ht="12.75" x14ac:dyDescent="0.2">
      <c r="R41697" s="1288"/>
    </row>
    <row r="41698" spans="18:18" s="2" customFormat="1" ht="12.75" x14ac:dyDescent="0.2">
      <c r="R41698" s="1288"/>
    </row>
    <row r="41699" spans="18:18" s="2" customFormat="1" ht="12.75" x14ac:dyDescent="0.2">
      <c r="R41699" s="1288"/>
    </row>
    <row r="41700" spans="18:18" s="2" customFormat="1" ht="12.75" x14ac:dyDescent="0.2">
      <c r="R41700" s="1288"/>
    </row>
    <row r="41701" spans="18:18" s="2" customFormat="1" ht="12.75" x14ac:dyDescent="0.2">
      <c r="R41701" s="1288"/>
    </row>
    <row r="41702" spans="18:18" s="2" customFormat="1" ht="12.75" x14ac:dyDescent="0.2">
      <c r="R41702" s="1288"/>
    </row>
    <row r="41703" spans="18:18" s="2" customFormat="1" ht="12.75" x14ac:dyDescent="0.2">
      <c r="R41703" s="1288"/>
    </row>
    <row r="41704" spans="18:18" s="2" customFormat="1" ht="12.75" x14ac:dyDescent="0.2">
      <c r="R41704" s="1288"/>
    </row>
    <row r="41705" spans="18:18" s="2" customFormat="1" ht="12.75" x14ac:dyDescent="0.2">
      <c r="R41705" s="1288"/>
    </row>
    <row r="41706" spans="18:18" s="2" customFormat="1" ht="12.75" x14ac:dyDescent="0.2">
      <c r="R41706" s="1288"/>
    </row>
    <row r="41707" spans="18:18" s="2" customFormat="1" ht="12.75" x14ac:dyDescent="0.2">
      <c r="R41707" s="1288"/>
    </row>
    <row r="41708" spans="18:18" s="2" customFormat="1" ht="12.75" x14ac:dyDescent="0.2">
      <c r="R41708" s="1288"/>
    </row>
    <row r="41709" spans="18:18" s="2" customFormat="1" ht="12.75" x14ac:dyDescent="0.2">
      <c r="R41709" s="1288"/>
    </row>
    <row r="41710" spans="18:18" s="2" customFormat="1" ht="12.75" x14ac:dyDescent="0.2">
      <c r="R41710" s="1288"/>
    </row>
    <row r="41711" spans="18:18" s="2" customFormat="1" ht="12.75" x14ac:dyDescent="0.2">
      <c r="R41711" s="1288"/>
    </row>
    <row r="41712" spans="18:18" s="2" customFormat="1" ht="12.75" x14ac:dyDescent="0.2">
      <c r="R41712" s="1288"/>
    </row>
    <row r="41713" spans="18:18" s="2" customFormat="1" ht="12.75" x14ac:dyDescent="0.2">
      <c r="R41713" s="1288"/>
    </row>
    <row r="41714" spans="18:18" s="2" customFormat="1" ht="12.75" x14ac:dyDescent="0.2">
      <c r="R41714" s="1288"/>
    </row>
    <row r="41715" spans="18:18" s="2" customFormat="1" ht="12.75" x14ac:dyDescent="0.2">
      <c r="R41715" s="1288"/>
    </row>
    <row r="41716" spans="18:18" s="2" customFormat="1" ht="12.75" x14ac:dyDescent="0.2">
      <c r="R41716" s="1288"/>
    </row>
    <row r="41717" spans="18:18" s="2" customFormat="1" ht="12.75" x14ac:dyDescent="0.2">
      <c r="R41717" s="1288"/>
    </row>
    <row r="41718" spans="18:18" s="2" customFormat="1" ht="12.75" x14ac:dyDescent="0.2">
      <c r="R41718" s="1288"/>
    </row>
    <row r="41719" spans="18:18" s="2" customFormat="1" ht="12.75" x14ac:dyDescent="0.2">
      <c r="R41719" s="1288"/>
    </row>
    <row r="41720" spans="18:18" s="2" customFormat="1" ht="12.75" x14ac:dyDescent="0.2">
      <c r="R41720" s="1288"/>
    </row>
    <row r="41721" spans="18:18" s="2" customFormat="1" ht="12.75" x14ac:dyDescent="0.2">
      <c r="R41721" s="1288"/>
    </row>
    <row r="41722" spans="18:18" s="2" customFormat="1" ht="12.75" x14ac:dyDescent="0.2">
      <c r="R41722" s="1288"/>
    </row>
    <row r="41723" spans="18:18" s="2" customFormat="1" ht="12.75" x14ac:dyDescent="0.2">
      <c r="R41723" s="1288"/>
    </row>
    <row r="41724" spans="18:18" s="2" customFormat="1" ht="12.75" x14ac:dyDescent="0.2">
      <c r="R41724" s="1288"/>
    </row>
    <row r="41725" spans="18:18" s="2" customFormat="1" ht="12.75" x14ac:dyDescent="0.2">
      <c r="R41725" s="1288"/>
    </row>
    <row r="41726" spans="18:18" s="2" customFormat="1" ht="12.75" x14ac:dyDescent="0.2">
      <c r="R41726" s="1288"/>
    </row>
    <row r="41727" spans="18:18" s="2" customFormat="1" ht="12.75" x14ac:dyDescent="0.2">
      <c r="R41727" s="1288"/>
    </row>
    <row r="41728" spans="18:18" s="2" customFormat="1" ht="12.75" x14ac:dyDescent="0.2">
      <c r="R41728" s="1288"/>
    </row>
    <row r="41729" spans="18:18" s="2" customFormat="1" ht="12.75" x14ac:dyDescent="0.2">
      <c r="R41729" s="1288"/>
    </row>
    <row r="41730" spans="18:18" s="2" customFormat="1" ht="12.75" x14ac:dyDescent="0.2">
      <c r="R41730" s="1288"/>
    </row>
    <row r="41731" spans="18:18" s="2" customFormat="1" ht="12.75" x14ac:dyDescent="0.2">
      <c r="R41731" s="1288"/>
    </row>
    <row r="41732" spans="18:18" s="2" customFormat="1" ht="12.75" x14ac:dyDescent="0.2">
      <c r="R41732" s="1288"/>
    </row>
    <row r="41733" spans="18:18" s="2" customFormat="1" ht="12.75" x14ac:dyDescent="0.2">
      <c r="R41733" s="1288"/>
    </row>
    <row r="41734" spans="18:18" s="2" customFormat="1" ht="12.75" x14ac:dyDescent="0.2">
      <c r="R41734" s="1288"/>
    </row>
    <row r="41735" spans="18:18" s="2" customFormat="1" ht="12.75" x14ac:dyDescent="0.2">
      <c r="R41735" s="1288"/>
    </row>
    <row r="41736" spans="18:18" s="2" customFormat="1" ht="12.75" x14ac:dyDescent="0.2">
      <c r="R41736" s="1288"/>
    </row>
    <row r="41737" spans="18:18" s="2" customFormat="1" ht="12.75" x14ac:dyDescent="0.2">
      <c r="R41737" s="1288"/>
    </row>
    <row r="41738" spans="18:18" s="2" customFormat="1" ht="12.75" x14ac:dyDescent="0.2">
      <c r="R41738" s="1288"/>
    </row>
    <row r="41739" spans="18:18" s="2" customFormat="1" ht="12.75" x14ac:dyDescent="0.2">
      <c r="R41739" s="1288"/>
    </row>
    <row r="41740" spans="18:18" s="2" customFormat="1" ht="12.75" x14ac:dyDescent="0.2">
      <c r="R41740" s="1288"/>
    </row>
    <row r="41741" spans="18:18" s="2" customFormat="1" ht="12.75" x14ac:dyDescent="0.2">
      <c r="R41741" s="1288"/>
    </row>
    <row r="41742" spans="18:18" s="2" customFormat="1" ht="12.75" x14ac:dyDescent="0.2">
      <c r="R41742" s="1288"/>
    </row>
    <row r="41743" spans="18:18" s="2" customFormat="1" ht="12.75" x14ac:dyDescent="0.2">
      <c r="R41743" s="1288"/>
    </row>
    <row r="41744" spans="18:18" s="2" customFormat="1" ht="12.75" x14ac:dyDescent="0.2">
      <c r="R41744" s="1288"/>
    </row>
    <row r="41745" spans="18:18" s="2" customFormat="1" ht="12.75" x14ac:dyDescent="0.2">
      <c r="R41745" s="1288"/>
    </row>
    <row r="41746" spans="18:18" s="2" customFormat="1" ht="12.75" x14ac:dyDescent="0.2">
      <c r="R41746" s="1288"/>
    </row>
    <row r="41747" spans="18:18" s="2" customFormat="1" ht="12.75" x14ac:dyDescent="0.2">
      <c r="R41747" s="1288"/>
    </row>
    <row r="41748" spans="18:18" s="2" customFormat="1" ht="12.75" x14ac:dyDescent="0.2">
      <c r="R41748" s="1288"/>
    </row>
    <row r="41749" spans="18:18" s="2" customFormat="1" ht="12.75" x14ac:dyDescent="0.2">
      <c r="R41749" s="1288"/>
    </row>
    <row r="41750" spans="18:18" s="2" customFormat="1" ht="12.75" x14ac:dyDescent="0.2">
      <c r="R41750" s="1288"/>
    </row>
    <row r="41751" spans="18:18" s="2" customFormat="1" ht="12.75" x14ac:dyDescent="0.2">
      <c r="R41751" s="1288"/>
    </row>
    <row r="41752" spans="18:18" s="2" customFormat="1" ht="12.75" x14ac:dyDescent="0.2">
      <c r="R41752" s="1288"/>
    </row>
    <row r="41753" spans="18:18" s="2" customFormat="1" ht="12.75" x14ac:dyDescent="0.2">
      <c r="R41753" s="1288"/>
    </row>
    <row r="41754" spans="18:18" s="2" customFormat="1" ht="12.75" x14ac:dyDescent="0.2">
      <c r="R41754" s="1288"/>
    </row>
    <row r="41755" spans="18:18" s="2" customFormat="1" ht="12.75" x14ac:dyDescent="0.2">
      <c r="R41755" s="1288"/>
    </row>
    <row r="41756" spans="18:18" s="2" customFormat="1" ht="12.75" x14ac:dyDescent="0.2">
      <c r="R41756" s="1288"/>
    </row>
    <row r="41757" spans="18:18" s="2" customFormat="1" ht="12.75" x14ac:dyDescent="0.2">
      <c r="R41757" s="1288"/>
    </row>
    <row r="41758" spans="18:18" s="2" customFormat="1" ht="12.75" x14ac:dyDescent="0.2">
      <c r="R41758" s="1288"/>
    </row>
    <row r="41759" spans="18:18" s="2" customFormat="1" ht="12.75" x14ac:dyDescent="0.2">
      <c r="R41759" s="1288"/>
    </row>
    <row r="41760" spans="18:18" s="2" customFormat="1" ht="12.75" x14ac:dyDescent="0.2">
      <c r="R41760" s="1288"/>
    </row>
    <row r="41761" spans="18:18" s="2" customFormat="1" ht="12.75" x14ac:dyDescent="0.2">
      <c r="R41761" s="1288"/>
    </row>
    <row r="41762" spans="18:18" s="2" customFormat="1" ht="12.75" x14ac:dyDescent="0.2">
      <c r="R41762" s="1288"/>
    </row>
    <row r="41763" spans="18:18" s="2" customFormat="1" ht="12.75" x14ac:dyDescent="0.2">
      <c r="R41763" s="1288"/>
    </row>
    <row r="41764" spans="18:18" s="2" customFormat="1" ht="12.75" x14ac:dyDescent="0.2">
      <c r="R41764" s="1288"/>
    </row>
    <row r="41765" spans="18:18" s="2" customFormat="1" ht="12.75" x14ac:dyDescent="0.2">
      <c r="R41765" s="1288"/>
    </row>
    <row r="41766" spans="18:18" s="2" customFormat="1" ht="12.75" x14ac:dyDescent="0.2">
      <c r="R41766" s="1288"/>
    </row>
    <row r="41767" spans="18:18" s="2" customFormat="1" ht="12.75" x14ac:dyDescent="0.2">
      <c r="R41767" s="1288"/>
    </row>
    <row r="41768" spans="18:18" s="2" customFormat="1" ht="12.75" x14ac:dyDescent="0.2">
      <c r="R41768" s="1288"/>
    </row>
    <row r="41769" spans="18:18" s="2" customFormat="1" ht="12.75" x14ac:dyDescent="0.2">
      <c r="R41769" s="1288"/>
    </row>
    <row r="41770" spans="18:18" s="2" customFormat="1" ht="12.75" x14ac:dyDescent="0.2">
      <c r="R41770" s="1288"/>
    </row>
    <row r="41771" spans="18:18" s="2" customFormat="1" ht="12.75" x14ac:dyDescent="0.2">
      <c r="R41771" s="1288"/>
    </row>
    <row r="41772" spans="18:18" s="2" customFormat="1" ht="12.75" x14ac:dyDescent="0.2">
      <c r="R41772" s="1288"/>
    </row>
    <row r="41773" spans="18:18" s="2" customFormat="1" ht="12.75" x14ac:dyDescent="0.2">
      <c r="R41773" s="1288"/>
    </row>
    <row r="41774" spans="18:18" s="2" customFormat="1" ht="12.75" x14ac:dyDescent="0.2">
      <c r="R41774" s="1288"/>
    </row>
    <row r="41775" spans="18:18" s="2" customFormat="1" ht="12.75" x14ac:dyDescent="0.2">
      <c r="R41775" s="1288"/>
    </row>
    <row r="41776" spans="18:18" s="2" customFormat="1" ht="12.75" x14ac:dyDescent="0.2">
      <c r="R41776" s="1288"/>
    </row>
    <row r="41777" spans="18:18" s="2" customFormat="1" ht="12.75" x14ac:dyDescent="0.2">
      <c r="R41777" s="1288"/>
    </row>
    <row r="41778" spans="18:18" s="2" customFormat="1" ht="12.75" x14ac:dyDescent="0.2">
      <c r="R41778" s="1288"/>
    </row>
    <row r="41779" spans="18:18" s="2" customFormat="1" ht="12.75" x14ac:dyDescent="0.2">
      <c r="R41779" s="1288"/>
    </row>
    <row r="41780" spans="18:18" s="2" customFormat="1" ht="12.75" x14ac:dyDescent="0.2">
      <c r="R41780" s="1288"/>
    </row>
    <row r="41781" spans="18:18" s="2" customFormat="1" ht="12.75" x14ac:dyDescent="0.2">
      <c r="R41781" s="1288"/>
    </row>
    <row r="41782" spans="18:18" s="2" customFormat="1" ht="12.75" x14ac:dyDescent="0.2">
      <c r="R41782" s="1288"/>
    </row>
    <row r="41783" spans="18:18" s="2" customFormat="1" ht="12.75" x14ac:dyDescent="0.2">
      <c r="R41783" s="1288"/>
    </row>
    <row r="41784" spans="18:18" s="2" customFormat="1" ht="12.75" x14ac:dyDescent="0.2">
      <c r="R41784" s="1288"/>
    </row>
    <row r="41785" spans="18:18" s="2" customFormat="1" ht="12.75" x14ac:dyDescent="0.2">
      <c r="R41785" s="1288"/>
    </row>
    <row r="41786" spans="18:18" s="2" customFormat="1" ht="12.75" x14ac:dyDescent="0.2">
      <c r="R41786" s="1288"/>
    </row>
    <row r="41787" spans="18:18" s="2" customFormat="1" ht="12.75" x14ac:dyDescent="0.2">
      <c r="R41787" s="1288"/>
    </row>
    <row r="41788" spans="18:18" s="2" customFormat="1" ht="12.75" x14ac:dyDescent="0.2">
      <c r="R41788" s="1288"/>
    </row>
    <row r="41789" spans="18:18" s="2" customFormat="1" ht="12.75" x14ac:dyDescent="0.2">
      <c r="R41789" s="1288"/>
    </row>
    <row r="41790" spans="18:18" s="2" customFormat="1" ht="12.75" x14ac:dyDescent="0.2">
      <c r="R41790" s="1288"/>
    </row>
    <row r="41791" spans="18:18" s="2" customFormat="1" ht="12.75" x14ac:dyDescent="0.2">
      <c r="R41791" s="1288"/>
    </row>
    <row r="41792" spans="18:18" s="2" customFormat="1" ht="12.75" x14ac:dyDescent="0.2">
      <c r="R41792" s="1288"/>
    </row>
    <row r="41793" spans="18:18" s="2" customFormat="1" ht="12.75" x14ac:dyDescent="0.2">
      <c r="R41793" s="1288"/>
    </row>
    <row r="41794" spans="18:18" s="2" customFormat="1" ht="12.75" x14ac:dyDescent="0.2">
      <c r="R41794" s="1288"/>
    </row>
    <row r="41795" spans="18:18" s="2" customFormat="1" ht="12.75" x14ac:dyDescent="0.2">
      <c r="R41795" s="1288"/>
    </row>
    <row r="41796" spans="18:18" s="2" customFormat="1" ht="12.75" x14ac:dyDescent="0.2">
      <c r="R41796" s="1288"/>
    </row>
    <row r="41797" spans="18:18" s="2" customFormat="1" ht="12.75" x14ac:dyDescent="0.2">
      <c r="R41797" s="1288"/>
    </row>
    <row r="41798" spans="18:18" s="2" customFormat="1" ht="12.75" x14ac:dyDescent="0.2">
      <c r="R41798" s="1288"/>
    </row>
    <row r="41799" spans="18:18" s="2" customFormat="1" ht="12.75" x14ac:dyDescent="0.2">
      <c r="R41799" s="1288"/>
    </row>
    <row r="41800" spans="18:18" s="2" customFormat="1" ht="12.75" x14ac:dyDescent="0.2">
      <c r="R41800" s="1288"/>
    </row>
    <row r="41801" spans="18:18" s="2" customFormat="1" ht="12.75" x14ac:dyDescent="0.2">
      <c r="R41801" s="1288"/>
    </row>
    <row r="41802" spans="18:18" s="2" customFormat="1" ht="12.75" x14ac:dyDescent="0.2">
      <c r="R41802" s="1288"/>
    </row>
    <row r="41803" spans="18:18" s="2" customFormat="1" ht="12.75" x14ac:dyDescent="0.2">
      <c r="R41803" s="1288"/>
    </row>
    <row r="41804" spans="18:18" s="2" customFormat="1" ht="12.75" x14ac:dyDescent="0.2">
      <c r="R41804" s="1288"/>
    </row>
    <row r="41805" spans="18:18" s="2" customFormat="1" ht="12.75" x14ac:dyDescent="0.2">
      <c r="R41805" s="1288"/>
    </row>
    <row r="41806" spans="18:18" s="2" customFormat="1" ht="12.75" x14ac:dyDescent="0.2">
      <c r="R41806" s="1288"/>
    </row>
    <row r="41807" spans="18:18" s="2" customFormat="1" ht="12.75" x14ac:dyDescent="0.2">
      <c r="R41807" s="1288"/>
    </row>
    <row r="41808" spans="18:18" s="2" customFormat="1" ht="12.75" x14ac:dyDescent="0.2">
      <c r="R41808" s="1288"/>
    </row>
    <row r="41809" spans="18:18" s="2" customFormat="1" ht="12.75" x14ac:dyDescent="0.2">
      <c r="R41809" s="1288"/>
    </row>
    <row r="41810" spans="18:18" s="2" customFormat="1" ht="12.75" x14ac:dyDescent="0.2">
      <c r="R41810" s="1288"/>
    </row>
    <row r="41811" spans="18:18" s="2" customFormat="1" ht="12.75" x14ac:dyDescent="0.2">
      <c r="R41811" s="1288"/>
    </row>
    <row r="41812" spans="18:18" s="2" customFormat="1" ht="12.75" x14ac:dyDescent="0.2">
      <c r="R41812" s="1288"/>
    </row>
    <row r="41813" spans="18:18" s="2" customFormat="1" ht="12.75" x14ac:dyDescent="0.2">
      <c r="R41813" s="1288"/>
    </row>
    <row r="41814" spans="18:18" s="2" customFormat="1" ht="12.75" x14ac:dyDescent="0.2">
      <c r="R41814" s="1288"/>
    </row>
    <row r="41815" spans="18:18" s="2" customFormat="1" ht="12.75" x14ac:dyDescent="0.2">
      <c r="R41815" s="1288"/>
    </row>
    <row r="41816" spans="18:18" s="2" customFormat="1" ht="12.75" x14ac:dyDescent="0.2">
      <c r="R41816" s="1288"/>
    </row>
    <row r="41817" spans="18:18" s="2" customFormat="1" ht="12.75" x14ac:dyDescent="0.2">
      <c r="R41817" s="1288"/>
    </row>
    <row r="41818" spans="18:18" s="2" customFormat="1" ht="12.75" x14ac:dyDescent="0.2">
      <c r="R41818" s="1288"/>
    </row>
    <row r="41819" spans="18:18" s="2" customFormat="1" ht="12.75" x14ac:dyDescent="0.2">
      <c r="R41819" s="1288"/>
    </row>
    <row r="41820" spans="18:18" s="2" customFormat="1" ht="12.75" x14ac:dyDescent="0.2">
      <c r="R41820" s="1288"/>
    </row>
    <row r="41821" spans="18:18" s="2" customFormat="1" ht="12.75" x14ac:dyDescent="0.2">
      <c r="R41821" s="1288"/>
    </row>
    <row r="41822" spans="18:18" s="2" customFormat="1" ht="12.75" x14ac:dyDescent="0.2">
      <c r="R41822" s="1288"/>
    </row>
    <row r="41823" spans="18:18" s="2" customFormat="1" ht="12.75" x14ac:dyDescent="0.2">
      <c r="R41823" s="1288"/>
    </row>
    <row r="41824" spans="18:18" s="2" customFormat="1" ht="12.75" x14ac:dyDescent="0.2">
      <c r="R41824" s="1288"/>
    </row>
    <row r="41825" spans="18:18" s="2" customFormat="1" ht="12.75" x14ac:dyDescent="0.2">
      <c r="R41825" s="1288"/>
    </row>
    <row r="41826" spans="18:18" s="2" customFormat="1" ht="12.75" x14ac:dyDescent="0.2">
      <c r="R41826" s="1288"/>
    </row>
    <row r="41827" spans="18:18" s="2" customFormat="1" ht="12.75" x14ac:dyDescent="0.2">
      <c r="R41827" s="1288"/>
    </row>
    <row r="41828" spans="18:18" s="2" customFormat="1" ht="12.75" x14ac:dyDescent="0.2">
      <c r="R41828" s="1288"/>
    </row>
    <row r="41829" spans="18:18" s="2" customFormat="1" ht="12.75" x14ac:dyDescent="0.2">
      <c r="R41829" s="1288"/>
    </row>
    <row r="41830" spans="18:18" s="2" customFormat="1" ht="12.75" x14ac:dyDescent="0.2">
      <c r="R41830" s="1288"/>
    </row>
    <row r="41831" spans="18:18" s="2" customFormat="1" ht="12.75" x14ac:dyDescent="0.2">
      <c r="R41831" s="1288"/>
    </row>
    <row r="41832" spans="18:18" s="2" customFormat="1" ht="12.75" x14ac:dyDescent="0.2">
      <c r="R41832" s="1288"/>
    </row>
    <row r="41833" spans="18:18" s="2" customFormat="1" ht="12.75" x14ac:dyDescent="0.2">
      <c r="R41833" s="1288"/>
    </row>
    <row r="41834" spans="18:18" s="2" customFormat="1" ht="12.75" x14ac:dyDescent="0.2">
      <c r="R41834" s="1288"/>
    </row>
    <row r="41835" spans="18:18" s="2" customFormat="1" ht="12.75" x14ac:dyDescent="0.2">
      <c r="R41835" s="1288"/>
    </row>
    <row r="41836" spans="18:18" s="2" customFormat="1" ht="12.75" x14ac:dyDescent="0.2">
      <c r="R41836" s="1288"/>
    </row>
    <row r="41837" spans="18:18" s="2" customFormat="1" ht="12.75" x14ac:dyDescent="0.2">
      <c r="R41837" s="1288"/>
    </row>
    <row r="41838" spans="18:18" s="2" customFormat="1" ht="12.75" x14ac:dyDescent="0.2">
      <c r="R41838" s="1288"/>
    </row>
    <row r="41839" spans="18:18" s="2" customFormat="1" ht="12.75" x14ac:dyDescent="0.2">
      <c r="R41839" s="1288"/>
    </row>
    <row r="41840" spans="18:18" s="2" customFormat="1" ht="12.75" x14ac:dyDescent="0.2">
      <c r="R41840" s="1288"/>
    </row>
    <row r="41841" spans="18:18" s="2" customFormat="1" ht="12.75" x14ac:dyDescent="0.2">
      <c r="R41841" s="1288"/>
    </row>
    <row r="41842" spans="18:18" s="2" customFormat="1" ht="12.75" x14ac:dyDescent="0.2">
      <c r="R41842" s="1288"/>
    </row>
    <row r="41843" spans="18:18" s="2" customFormat="1" ht="12.75" x14ac:dyDescent="0.2">
      <c r="R41843" s="1288"/>
    </row>
    <row r="41844" spans="18:18" s="2" customFormat="1" ht="12.75" x14ac:dyDescent="0.2">
      <c r="R41844" s="1288"/>
    </row>
    <row r="41845" spans="18:18" s="2" customFormat="1" ht="12.75" x14ac:dyDescent="0.2">
      <c r="R41845" s="1288"/>
    </row>
    <row r="41846" spans="18:18" s="2" customFormat="1" ht="12.75" x14ac:dyDescent="0.2">
      <c r="R41846" s="1288"/>
    </row>
    <row r="41847" spans="18:18" s="2" customFormat="1" ht="12.75" x14ac:dyDescent="0.2">
      <c r="R41847" s="1288"/>
    </row>
    <row r="41848" spans="18:18" s="2" customFormat="1" ht="12.75" x14ac:dyDescent="0.2">
      <c r="R41848" s="1288"/>
    </row>
    <row r="41849" spans="18:18" s="2" customFormat="1" ht="12.75" x14ac:dyDescent="0.2">
      <c r="R41849" s="1288"/>
    </row>
    <row r="41850" spans="18:18" s="2" customFormat="1" ht="12.75" x14ac:dyDescent="0.2">
      <c r="R41850" s="1288"/>
    </row>
    <row r="41851" spans="18:18" s="2" customFormat="1" ht="12.75" x14ac:dyDescent="0.2">
      <c r="R41851" s="1288"/>
    </row>
    <row r="41852" spans="18:18" s="2" customFormat="1" ht="12.75" x14ac:dyDescent="0.2">
      <c r="R41852" s="1288"/>
    </row>
    <row r="41853" spans="18:18" s="2" customFormat="1" ht="12.75" x14ac:dyDescent="0.2">
      <c r="R41853" s="1288"/>
    </row>
    <row r="41854" spans="18:18" s="2" customFormat="1" ht="12.75" x14ac:dyDescent="0.2">
      <c r="R41854" s="1288"/>
    </row>
    <row r="41855" spans="18:18" s="2" customFormat="1" ht="12.75" x14ac:dyDescent="0.2">
      <c r="R41855" s="1288"/>
    </row>
    <row r="41856" spans="18:18" s="2" customFormat="1" ht="12.75" x14ac:dyDescent="0.2">
      <c r="R41856" s="1288"/>
    </row>
    <row r="41857" spans="18:18" s="2" customFormat="1" ht="12.75" x14ac:dyDescent="0.2">
      <c r="R41857" s="1288"/>
    </row>
    <row r="41858" spans="18:18" s="2" customFormat="1" ht="12.75" x14ac:dyDescent="0.2">
      <c r="R41858" s="1288"/>
    </row>
    <row r="41859" spans="18:18" s="2" customFormat="1" ht="12.75" x14ac:dyDescent="0.2">
      <c r="R41859" s="1288"/>
    </row>
    <row r="41860" spans="18:18" s="2" customFormat="1" ht="12.75" x14ac:dyDescent="0.2">
      <c r="R41860" s="1288"/>
    </row>
    <row r="41861" spans="18:18" s="2" customFormat="1" ht="12.75" x14ac:dyDescent="0.2">
      <c r="R41861" s="1288"/>
    </row>
    <row r="41862" spans="18:18" s="2" customFormat="1" ht="12.75" x14ac:dyDescent="0.2">
      <c r="R41862" s="1288"/>
    </row>
    <row r="41863" spans="18:18" s="2" customFormat="1" ht="12.75" x14ac:dyDescent="0.2">
      <c r="R41863" s="1288"/>
    </row>
    <row r="41864" spans="18:18" s="2" customFormat="1" ht="12.75" x14ac:dyDescent="0.2">
      <c r="R41864" s="1288"/>
    </row>
    <row r="41865" spans="18:18" s="2" customFormat="1" ht="12.75" x14ac:dyDescent="0.2">
      <c r="R41865" s="1288"/>
    </row>
    <row r="41866" spans="18:18" s="2" customFormat="1" ht="12.75" x14ac:dyDescent="0.2">
      <c r="R41866" s="1288"/>
    </row>
    <row r="41867" spans="18:18" s="2" customFormat="1" ht="12.75" x14ac:dyDescent="0.2">
      <c r="R41867" s="1288"/>
    </row>
    <row r="41868" spans="18:18" s="2" customFormat="1" ht="12.75" x14ac:dyDescent="0.2">
      <c r="R41868" s="1288"/>
    </row>
    <row r="41869" spans="18:18" s="2" customFormat="1" ht="12.75" x14ac:dyDescent="0.2">
      <c r="R41869" s="1288"/>
    </row>
    <row r="41870" spans="18:18" s="2" customFormat="1" ht="12.75" x14ac:dyDescent="0.2">
      <c r="R41870" s="1288"/>
    </row>
    <row r="41871" spans="18:18" s="2" customFormat="1" ht="12.75" x14ac:dyDescent="0.2">
      <c r="R41871" s="1288"/>
    </row>
    <row r="41872" spans="18:18" s="2" customFormat="1" ht="12.75" x14ac:dyDescent="0.2">
      <c r="R41872" s="1288"/>
    </row>
    <row r="41873" spans="18:18" s="2" customFormat="1" ht="12.75" x14ac:dyDescent="0.2">
      <c r="R41873" s="1288"/>
    </row>
    <row r="41874" spans="18:18" s="2" customFormat="1" ht="12.75" x14ac:dyDescent="0.2">
      <c r="R41874" s="1288"/>
    </row>
    <row r="41875" spans="18:18" s="2" customFormat="1" ht="12.75" x14ac:dyDescent="0.2">
      <c r="R41875" s="1288"/>
    </row>
    <row r="41876" spans="18:18" s="2" customFormat="1" ht="12.75" x14ac:dyDescent="0.2">
      <c r="R41876" s="1288"/>
    </row>
    <row r="41877" spans="18:18" s="2" customFormat="1" ht="12.75" x14ac:dyDescent="0.2">
      <c r="R41877" s="1288"/>
    </row>
    <row r="41878" spans="18:18" s="2" customFormat="1" ht="12.75" x14ac:dyDescent="0.2">
      <c r="R41878" s="1288"/>
    </row>
    <row r="41879" spans="18:18" s="2" customFormat="1" ht="12.75" x14ac:dyDescent="0.2">
      <c r="R41879" s="1288"/>
    </row>
    <row r="41880" spans="18:18" s="2" customFormat="1" ht="12.75" x14ac:dyDescent="0.2">
      <c r="R41880" s="1288"/>
    </row>
    <row r="41881" spans="18:18" s="2" customFormat="1" ht="12.75" x14ac:dyDescent="0.2">
      <c r="R41881" s="1288"/>
    </row>
    <row r="41882" spans="18:18" s="2" customFormat="1" ht="12.75" x14ac:dyDescent="0.2">
      <c r="R41882" s="1288"/>
    </row>
    <row r="41883" spans="18:18" s="2" customFormat="1" ht="12.75" x14ac:dyDescent="0.2">
      <c r="R41883" s="1288"/>
    </row>
    <row r="41884" spans="18:18" s="2" customFormat="1" ht="12.75" x14ac:dyDescent="0.2">
      <c r="R41884" s="1288"/>
    </row>
    <row r="41885" spans="18:18" s="2" customFormat="1" ht="12.75" x14ac:dyDescent="0.2">
      <c r="R41885" s="1288"/>
    </row>
    <row r="41886" spans="18:18" s="2" customFormat="1" ht="12.75" x14ac:dyDescent="0.2">
      <c r="R41886" s="1288"/>
    </row>
    <row r="41887" spans="18:18" s="2" customFormat="1" ht="12.75" x14ac:dyDescent="0.2">
      <c r="R41887" s="1288"/>
    </row>
    <row r="41888" spans="18:18" s="2" customFormat="1" ht="12.75" x14ac:dyDescent="0.2">
      <c r="R41888" s="1288"/>
    </row>
    <row r="41889" spans="18:18" s="2" customFormat="1" ht="12.75" x14ac:dyDescent="0.2">
      <c r="R41889" s="1288"/>
    </row>
    <row r="41890" spans="18:18" s="2" customFormat="1" ht="12.75" x14ac:dyDescent="0.2">
      <c r="R41890" s="1288"/>
    </row>
    <row r="41891" spans="18:18" s="2" customFormat="1" ht="12.75" x14ac:dyDescent="0.2">
      <c r="R41891" s="1288"/>
    </row>
    <row r="41892" spans="18:18" s="2" customFormat="1" ht="12.75" x14ac:dyDescent="0.2">
      <c r="R41892" s="1288"/>
    </row>
    <row r="41893" spans="18:18" s="2" customFormat="1" ht="12.75" x14ac:dyDescent="0.2">
      <c r="R41893" s="1288"/>
    </row>
    <row r="41894" spans="18:18" s="2" customFormat="1" ht="12.75" x14ac:dyDescent="0.2">
      <c r="R41894" s="1288"/>
    </row>
    <row r="41895" spans="18:18" s="2" customFormat="1" ht="12.75" x14ac:dyDescent="0.2">
      <c r="R41895" s="1288"/>
    </row>
    <row r="41896" spans="18:18" s="2" customFormat="1" ht="12.75" x14ac:dyDescent="0.2">
      <c r="R41896" s="1288"/>
    </row>
    <row r="41897" spans="18:18" s="2" customFormat="1" ht="12.75" x14ac:dyDescent="0.2">
      <c r="R41897" s="1288"/>
    </row>
    <row r="41898" spans="18:18" s="2" customFormat="1" ht="12.75" x14ac:dyDescent="0.2">
      <c r="R41898" s="1288"/>
    </row>
    <row r="41899" spans="18:18" s="2" customFormat="1" ht="12.75" x14ac:dyDescent="0.2">
      <c r="R41899" s="1288"/>
    </row>
    <row r="41900" spans="18:18" s="2" customFormat="1" ht="12.75" x14ac:dyDescent="0.2">
      <c r="R41900" s="1288"/>
    </row>
    <row r="41901" spans="18:18" s="2" customFormat="1" ht="12.75" x14ac:dyDescent="0.2">
      <c r="R41901" s="1288"/>
    </row>
    <row r="41902" spans="18:18" s="2" customFormat="1" ht="12.75" x14ac:dyDescent="0.2">
      <c r="R41902" s="1288"/>
    </row>
    <row r="41903" spans="18:18" s="2" customFormat="1" ht="12.75" x14ac:dyDescent="0.2">
      <c r="R41903" s="1288"/>
    </row>
    <row r="41904" spans="18:18" s="2" customFormat="1" ht="12.75" x14ac:dyDescent="0.2">
      <c r="R41904" s="1288"/>
    </row>
    <row r="41905" spans="18:18" s="2" customFormat="1" ht="12.75" x14ac:dyDescent="0.2">
      <c r="R41905" s="1288"/>
    </row>
    <row r="41906" spans="18:18" s="2" customFormat="1" ht="12.75" x14ac:dyDescent="0.2">
      <c r="R41906" s="1288"/>
    </row>
    <row r="41907" spans="18:18" s="2" customFormat="1" ht="12.75" x14ac:dyDescent="0.2">
      <c r="R41907" s="1288"/>
    </row>
    <row r="41908" spans="18:18" s="2" customFormat="1" ht="12.75" x14ac:dyDescent="0.2">
      <c r="R41908" s="1288"/>
    </row>
    <row r="41909" spans="18:18" s="2" customFormat="1" ht="12.75" x14ac:dyDescent="0.2">
      <c r="R41909" s="1288"/>
    </row>
    <row r="41910" spans="18:18" s="2" customFormat="1" ht="12.75" x14ac:dyDescent="0.2">
      <c r="R41910" s="1288"/>
    </row>
    <row r="41911" spans="18:18" s="2" customFormat="1" ht="12.75" x14ac:dyDescent="0.2">
      <c r="R41911" s="1288"/>
    </row>
    <row r="41912" spans="18:18" s="2" customFormat="1" ht="12.75" x14ac:dyDescent="0.2">
      <c r="R41912" s="1288"/>
    </row>
    <row r="41913" spans="18:18" s="2" customFormat="1" ht="12.75" x14ac:dyDescent="0.2">
      <c r="R41913" s="1288"/>
    </row>
    <row r="41914" spans="18:18" s="2" customFormat="1" ht="12.75" x14ac:dyDescent="0.2">
      <c r="R41914" s="1288"/>
    </row>
    <row r="41915" spans="18:18" s="2" customFormat="1" ht="12.75" x14ac:dyDescent="0.2">
      <c r="R41915" s="1288"/>
    </row>
    <row r="41916" spans="18:18" s="2" customFormat="1" ht="12.75" x14ac:dyDescent="0.2">
      <c r="R41916" s="1288"/>
    </row>
    <row r="41917" spans="18:18" s="2" customFormat="1" ht="12.75" x14ac:dyDescent="0.2">
      <c r="R41917" s="1288"/>
    </row>
    <row r="41918" spans="18:18" s="2" customFormat="1" ht="12.75" x14ac:dyDescent="0.2">
      <c r="R41918" s="1288"/>
    </row>
    <row r="41919" spans="18:18" s="2" customFormat="1" ht="12.75" x14ac:dyDescent="0.2">
      <c r="R41919" s="1288"/>
    </row>
    <row r="41920" spans="18:18" s="2" customFormat="1" ht="12.75" x14ac:dyDescent="0.2">
      <c r="R41920" s="1288"/>
    </row>
    <row r="41921" spans="18:18" s="2" customFormat="1" ht="12.75" x14ac:dyDescent="0.2">
      <c r="R41921" s="1288"/>
    </row>
    <row r="41922" spans="18:18" s="2" customFormat="1" ht="12.75" x14ac:dyDescent="0.2">
      <c r="R41922" s="1288"/>
    </row>
    <row r="41923" spans="18:18" s="2" customFormat="1" ht="12.75" x14ac:dyDescent="0.2">
      <c r="R41923" s="1288"/>
    </row>
    <row r="41924" spans="18:18" s="2" customFormat="1" ht="12.75" x14ac:dyDescent="0.2">
      <c r="R41924" s="1288"/>
    </row>
    <row r="41925" spans="18:18" s="2" customFormat="1" ht="12.75" x14ac:dyDescent="0.2">
      <c r="R41925" s="1288"/>
    </row>
    <row r="41926" spans="18:18" s="2" customFormat="1" ht="12.75" x14ac:dyDescent="0.2">
      <c r="R41926" s="1288"/>
    </row>
    <row r="41927" spans="18:18" s="2" customFormat="1" ht="12.75" x14ac:dyDescent="0.2">
      <c r="R41927" s="1288"/>
    </row>
    <row r="41928" spans="18:18" s="2" customFormat="1" ht="12.75" x14ac:dyDescent="0.2">
      <c r="R41928" s="1288"/>
    </row>
    <row r="41929" spans="18:18" s="2" customFormat="1" ht="12.75" x14ac:dyDescent="0.2">
      <c r="R41929" s="1288"/>
    </row>
    <row r="41930" spans="18:18" s="2" customFormat="1" ht="12.75" x14ac:dyDescent="0.2">
      <c r="R41930" s="1288"/>
    </row>
    <row r="41931" spans="18:18" s="2" customFormat="1" ht="12.75" x14ac:dyDescent="0.2">
      <c r="R41931" s="1288"/>
    </row>
    <row r="41932" spans="18:18" s="2" customFormat="1" ht="12.75" x14ac:dyDescent="0.2">
      <c r="R41932" s="1288"/>
    </row>
    <row r="41933" spans="18:18" s="2" customFormat="1" ht="12.75" x14ac:dyDescent="0.2">
      <c r="R41933" s="1288"/>
    </row>
    <row r="41934" spans="18:18" s="2" customFormat="1" ht="12.75" x14ac:dyDescent="0.2">
      <c r="R41934" s="1288"/>
    </row>
    <row r="41935" spans="18:18" s="2" customFormat="1" ht="12.75" x14ac:dyDescent="0.2">
      <c r="R41935" s="1288"/>
    </row>
    <row r="41936" spans="18:18" s="2" customFormat="1" ht="12.75" x14ac:dyDescent="0.2">
      <c r="R41936" s="1288"/>
    </row>
    <row r="41937" spans="18:18" s="2" customFormat="1" ht="12.75" x14ac:dyDescent="0.2">
      <c r="R41937" s="1288"/>
    </row>
    <row r="41938" spans="18:18" s="2" customFormat="1" ht="12.75" x14ac:dyDescent="0.2">
      <c r="R41938" s="1288"/>
    </row>
    <row r="41939" spans="18:18" s="2" customFormat="1" ht="12.75" x14ac:dyDescent="0.2">
      <c r="R41939" s="1288"/>
    </row>
    <row r="41940" spans="18:18" s="2" customFormat="1" ht="12.75" x14ac:dyDescent="0.2">
      <c r="R41940" s="1288"/>
    </row>
    <row r="41941" spans="18:18" s="2" customFormat="1" ht="12.75" x14ac:dyDescent="0.2">
      <c r="R41941" s="1288"/>
    </row>
    <row r="41942" spans="18:18" s="2" customFormat="1" ht="12.75" x14ac:dyDescent="0.2">
      <c r="R41942" s="1288"/>
    </row>
    <row r="41943" spans="18:18" s="2" customFormat="1" ht="12.75" x14ac:dyDescent="0.2">
      <c r="R41943" s="1288"/>
    </row>
    <row r="41944" spans="18:18" s="2" customFormat="1" ht="12.75" x14ac:dyDescent="0.2">
      <c r="R41944" s="1288"/>
    </row>
    <row r="41945" spans="18:18" s="2" customFormat="1" ht="12.75" x14ac:dyDescent="0.2">
      <c r="R41945" s="1288"/>
    </row>
    <row r="41946" spans="18:18" s="2" customFormat="1" ht="12.75" x14ac:dyDescent="0.2">
      <c r="R41946" s="1288"/>
    </row>
    <row r="41947" spans="18:18" s="2" customFormat="1" ht="12.75" x14ac:dyDescent="0.2">
      <c r="R41947" s="1288"/>
    </row>
    <row r="41948" spans="18:18" s="2" customFormat="1" ht="12.75" x14ac:dyDescent="0.2">
      <c r="R41948" s="1288"/>
    </row>
    <row r="41949" spans="18:18" s="2" customFormat="1" ht="12.75" x14ac:dyDescent="0.2">
      <c r="R41949" s="1288"/>
    </row>
    <row r="41950" spans="18:18" s="2" customFormat="1" ht="12.75" x14ac:dyDescent="0.2">
      <c r="R41950" s="1288"/>
    </row>
    <row r="41951" spans="18:18" s="2" customFormat="1" ht="12.75" x14ac:dyDescent="0.2">
      <c r="R41951" s="1288"/>
    </row>
    <row r="41952" spans="18:18" s="2" customFormat="1" ht="12.75" x14ac:dyDescent="0.2">
      <c r="R41952" s="1288"/>
    </row>
    <row r="41953" spans="18:18" s="2" customFormat="1" ht="12.75" x14ac:dyDescent="0.2">
      <c r="R41953" s="1288"/>
    </row>
    <row r="41954" spans="18:18" s="2" customFormat="1" ht="12.75" x14ac:dyDescent="0.2">
      <c r="R41954" s="1288"/>
    </row>
    <row r="41955" spans="18:18" s="2" customFormat="1" ht="12.75" x14ac:dyDescent="0.2">
      <c r="R41955" s="1288"/>
    </row>
    <row r="41956" spans="18:18" s="2" customFormat="1" ht="12.75" x14ac:dyDescent="0.2">
      <c r="R41956" s="1288"/>
    </row>
    <row r="41957" spans="18:18" s="2" customFormat="1" ht="12.75" x14ac:dyDescent="0.2">
      <c r="R41957" s="1288"/>
    </row>
    <row r="41958" spans="18:18" s="2" customFormat="1" ht="12.75" x14ac:dyDescent="0.2">
      <c r="R41958" s="1288"/>
    </row>
    <row r="41959" spans="18:18" s="2" customFormat="1" ht="12.75" x14ac:dyDescent="0.2">
      <c r="R41959" s="1288"/>
    </row>
    <row r="41960" spans="18:18" s="2" customFormat="1" ht="12.75" x14ac:dyDescent="0.2">
      <c r="R41960" s="1288"/>
    </row>
    <row r="41961" spans="18:18" s="2" customFormat="1" ht="12.75" x14ac:dyDescent="0.2">
      <c r="R41961" s="1288"/>
    </row>
    <row r="41962" spans="18:18" s="2" customFormat="1" ht="12.75" x14ac:dyDescent="0.2">
      <c r="R41962" s="1288"/>
    </row>
    <row r="41963" spans="18:18" s="2" customFormat="1" ht="12.75" x14ac:dyDescent="0.2">
      <c r="R41963" s="1288"/>
    </row>
    <row r="41964" spans="18:18" s="2" customFormat="1" ht="12.75" x14ac:dyDescent="0.2">
      <c r="R41964" s="1288"/>
    </row>
    <row r="41965" spans="18:18" s="2" customFormat="1" ht="12.75" x14ac:dyDescent="0.2">
      <c r="R41965" s="1288"/>
    </row>
    <row r="41966" spans="18:18" s="2" customFormat="1" ht="12.75" x14ac:dyDescent="0.2">
      <c r="R41966" s="1288"/>
    </row>
    <row r="41967" spans="18:18" s="2" customFormat="1" ht="12.75" x14ac:dyDescent="0.2">
      <c r="R41967" s="1288"/>
    </row>
    <row r="41968" spans="18:18" s="2" customFormat="1" ht="12.75" x14ac:dyDescent="0.2">
      <c r="R41968" s="1288"/>
    </row>
    <row r="41969" spans="18:18" s="2" customFormat="1" ht="12.75" x14ac:dyDescent="0.2">
      <c r="R41969" s="1288"/>
    </row>
    <row r="41970" spans="18:18" s="2" customFormat="1" ht="12.75" x14ac:dyDescent="0.2">
      <c r="R41970" s="1288"/>
    </row>
    <row r="41971" spans="18:18" s="2" customFormat="1" ht="12.75" x14ac:dyDescent="0.2">
      <c r="R41971" s="1288"/>
    </row>
    <row r="41972" spans="18:18" s="2" customFormat="1" ht="12.75" x14ac:dyDescent="0.2">
      <c r="R41972" s="1288"/>
    </row>
    <row r="41973" spans="18:18" s="2" customFormat="1" ht="12.75" x14ac:dyDescent="0.2">
      <c r="R41973" s="1288"/>
    </row>
    <row r="41974" spans="18:18" s="2" customFormat="1" ht="12.75" x14ac:dyDescent="0.2">
      <c r="R41974" s="1288"/>
    </row>
    <row r="41975" spans="18:18" s="2" customFormat="1" ht="12.75" x14ac:dyDescent="0.2">
      <c r="R41975" s="1288"/>
    </row>
    <row r="41976" spans="18:18" s="2" customFormat="1" ht="12.75" x14ac:dyDescent="0.2">
      <c r="R41976" s="1288"/>
    </row>
    <row r="41977" spans="18:18" s="2" customFormat="1" ht="12.75" x14ac:dyDescent="0.2">
      <c r="R41977" s="1288"/>
    </row>
    <row r="41978" spans="18:18" s="2" customFormat="1" ht="12.75" x14ac:dyDescent="0.2">
      <c r="R41978" s="1288"/>
    </row>
    <row r="41979" spans="18:18" s="2" customFormat="1" ht="12.75" x14ac:dyDescent="0.2">
      <c r="R41979" s="1288"/>
    </row>
    <row r="41980" spans="18:18" s="2" customFormat="1" ht="12.75" x14ac:dyDescent="0.2">
      <c r="R41980" s="1288"/>
    </row>
    <row r="41981" spans="18:18" s="2" customFormat="1" ht="12.75" x14ac:dyDescent="0.2">
      <c r="R41981" s="1288"/>
    </row>
    <row r="41982" spans="18:18" s="2" customFormat="1" ht="12.75" x14ac:dyDescent="0.2">
      <c r="R41982" s="1288"/>
    </row>
    <row r="41983" spans="18:18" s="2" customFormat="1" ht="12.75" x14ac:dyDescent="0.2">
      <c r="R41983" s="1288"/>
    </row>
    <row r="41984" spans="18:18" s="2" customFormat="1" ht="12.75" x14ac:dyDescent="0.2">
      <c r="R41984" s="1288"/>
    </row>
    <row r="41985" spans="18:18" s="2" customFormat="1" ht="12.75" x14ac:dyDescent="0.2">
      <c r="R41985" s="1288"/>
    </row>
    <row r="41986" spans="18:18" s="2" customFormat="1" ht="12.75" x14ac:dyDescent="0.2">
      <c r="R41986" s="1288"/>
    </row>
    <row r="41987" spans="18:18" s="2" customFormat="1" ht="12.75" x14ac:dyDescent="0.2">
      <c r="R41987" s="1288"/>
    </row>
    <row r="41988" spans="18:18" s="2" customFormat="1" ht="12.75" x14ac:dyDescent="0.2">
      <c r="R41988" s="1288"/>
    </row>
    <row r="41989" spans="18:18" s="2" customFormat="1" ht="12.75" x14ac:dyDescent="0.2">
      <c r="R41989" s="1288"/>
    </row>
    <row r="41990" spans="18:18" s="2" customFormat="1" ht="12.75" x14ac:dyDescent="0.2">
      <c r="R41990" s="1288"/>
    </row>
    <row r="41991" spans="18:18" s="2" customFormat="1" ht="12.75" x14ac:dyDescent="0.2">
      <c r="R41991" s="1288"/>
    </row>
    <row r="41992" spans="18:18" s="2" customFormat="1" ht="12.75" x14ac:dyDescent="0.2">
      <c r="R41992" s="1288"/>
    </row>
    <row r="41993" spans="18:18" s="2" customFormat="1" ht="12.75" x14ac:dyDescent="0.2">
      <c r="R41993" s="1288"/>
    </row>
    <row r="41994" spans="18:18" s="2" customFormat="1" ht="12.75" x14ac:dyDescent="0.2">
      <c r="R41994" s="1288"/>
    </row>
    <row r="41995" spans="18:18" s="2" customFormat="1" ht="12.75" x14ac:dyDescent="0.2">
      <c r="R41995" s="1288"/>
    </row>
    <row r="41996" spans="18:18" s="2" customFormat="1" ht="12.75" x14ac:dyDescent="0.2">
      <c r="R41996" s="1288"/>
    </row>
    <row r="41997" spans="18:18" s="2" customFormat="1" ht="12.75" x14ac:dyDescent="0.2">
      <c r="R41997" s="1288"/>
    </row>
    <row r="41998" spans="18:18" s="2" customFormat="1" ht="12.75" x14ac:dyDescent="0.2">
      <c r="R41998" s="1288"/>
    </row>
    <row r="41999" spans="18:18" s="2" customFormat="1" ht="12.75" x14ac:dyDescent="0.2">
      <c r="R41999" s="1288"/>
    </row>
    <row r="42000" spans="18:18" s="2" customFormat="1" ht="12.75" x14ac:dyDescent="0.2">
      <c r="R42000" s="1288"/>
    </row>
    <row r="42001" spans="18:18" s="2" customFormat="1" ht="12.75" x14ac:dyDescent="0.2">
      <c r="R42001" s="1288"/>
    </row>
    <row r="42002" spans="18:18" s="2" customFormat="1" ht="12.75" x14ac:dyDescent="0.2">
      <c r="R42002" s="1288"/>
    </row>
    <row r="42003" spans="18:18" s="2" customFormat="1" ht="12.75" x14ac:dyDescent="0.2">
      <c r="R42003" s="1288"/>
    </row>
    <row r="42004" spans="18:18" s="2" customFormat="1" ht="12.75" x14ac:dyDescent="0.2">
      <c r="R42004" s="1288"/>
    </row>
    <row r="42005" spans="18:18" s="2" customFormat="1" ht="12.75" x14ac:dyDescent="0.2">
      <c r="R42005" s="1288"/>
    </row>
    <row r="42006" spans="18:18" s="2" customFormat="1" ht="12.75" x14ac:dyDescent="0.2">
      <c r="R42006" s="1288"/>
    </row>
    <row r="42007" spans="18:18" s="2" customFormat="1" ht="12.75" x14ac:dyDescent="0.2">
      <c r="R42007" s="1288"/>
    </row>
    <row r="42008" spans="18:18" s="2" customFormat="1" ht="12.75" x14ac:dyDescent="0.2">
      <c r="R42008" s="1288"/>
    </row>
    <row r="42009" spans="18:18" s="2" customFormat="1" ht="12.75" x14ac:dyDescent="0.2">
      <c r="R42009" s="1288"/>
    </row>
    <row r="42010" spans="18:18" s="2" customFormat="1" ht="12.75" x14ac:dyDescent="0.2">
      <c r="R42010" s="1288"/>
    </row>
    <row r="42011" spans="18:18" s="2" customFormat="1" ht="12.75" x14ac:dyDescent="0.2">
      <c r="R42011" s="1288"/>
    </row>
    <row r="42012" spans="18:18" s="2" customFormat="1" ht="12.75" x14ac:dyDescent="0.2">
      <c r="R42012" s="1288"/>
    </row>
    <row r="42013" spans="18:18" s="2" customFormat="1" ht="12.75" x14ac:dyDescent="0.2">
      <c r="R42013" s="1288"/>
    </row>
    <row r="42014" spans="18:18" s="2" customFormat="1" ht="12.75" x14ac:dyDescent="0.2">
      <c r="R42014" s="1288"/>
    </row>
    <row r="42015" spans="18:18" s="2" customFormat="1" ht="12.75" x14ac:dyDescent="0.2">
      <c r="R42015" s="1288"/>
    </row>
    <row r="42016" spans="18:18" s="2" customFormat="1" ht="12.75" x14ac:dyDescent="0.2">
      <c r="R42016" s="1288"/>
    </row>
    <row r="42017" spans="18:18" s="2" customFormat="1" ht="12.75" x14ac:dyDescent="0.2">
      <c r="R42017" s="1288"/>
    </row>
    <row r="42018" spans="18:18" s="2" customFormat="1" ht="12.75" x14ac:dyDescent="0.2">
      <c r="R42018" s="1288"/>
    </row>
    <row r="42019" spans="18:18" s="2" customFormat="1" ht="12.75" x14ac:dyDescent="0.2">
      <c r="R42019" s="1288"/>
    </row>
    <row r="42020" spans="18:18" s="2" customFormat="1" ht="12.75" x14ac:dyDescent="0.2">
      <c r="R42020" s="1288"/>
    </row>
    <row r="42021" spans="18:18" s="2" customFormat="1" ht="12.75" x14ac:dyDescent="0.2">
      <c r="R42021" s="1288"/>
    </row>
    <row r="42022" spans="18:18" s="2" customFormat="1" ht="12.75" x14ac:dyDescent="0.2">
      <c r="R42022" s="1288"/>
    </row>
    <row r="42023" spans="18:18" s="2" customFormat="1" ht="12.75" x14ac:dyDescent="0.2">
      <c r="R42023" s="1288"/>
    </row>
    <row r="42024" spans="18:18" s="2" customFormat="1" ht="12.75" x14ac:dyDescent="0.2">
      <c r="R42024" s="1288"/>
    </row>
    <row r="42025" spans="18:18" s="2" customFormat="1" ht="12.75" x14ac:dyDescent="0.2">
      <c r="R42025" s="1288"/>
    </row>
    <row r="42026" spans="18:18" s="2" customFormat="1" ht="12.75" x14ac:dyDescent="0.2">
      <c r="R42026" s="1288"/>
    </row>
    <row r="42027" spans="18:18" s="2" customFormat="1" ht="12.75" x14ac:dyDescent="0.2">
      <c r="R42027" s="1288"/>
    </row>
    <row r="42028" spans="18:18" s="2" customFormat="1" ht="12.75" x14ac:dyDescent="0.2">
      <c r="R42028" s="1288"/>
    </row>
    <row r="42029" spans="18:18" s="2" customFormat="1" ht="12.75" x14ac:dyDescent="0.2">
      <c r="R42029" s="1288"/>
    </row>
    <row r="42030" spans="18:18" s="2" customFormat="1" ht="12.75" x14ac:dyDescent="0.2">
      <c r="R42030" s="1288"/>
    </row>
    <row r="42031" spans="18:18" s="2" customFormat="1" ht="12.75" x14ac:dyDescent="0.2">
      <c r="R42031" s="1288"/>
    </row>
    <row r="42032" spans="18:18" s="2" customFormat="1" ht="12.75" x14ac:dyDescent="0.2">
      <c r="R42032" s="1288"/>
    </row>
    <row r="42033" spans="18:18" s="2" customFormat="1" ht="12.75" x14ac:dyDescent="0.2">
      <c r="R42033" s="1288"/>
    </row>
    <row r="42034" spans="18:18" s="2" customFormat="1" ht="12.75" x14ac:dyDescent="0.2">
      <c r="R42034" s="1288"/>
    </row>
    <row r="42035" spans="18:18" s="2" customFormat="1" ht="12.75" x14ac:dyDescent="0.2">
      <c r="R42035" s="1288"/>
    </row>
    <row r="42036" spans="18:18" s="2" customFormat="1" ht="12.75" x14ac:dyDescent="0.2">
      <c r="R42036" s="1288"/>
    </row>
    <row r="42037" spans="18:18" s="2" customFormat="1" ht="12.75" x14ac:dyDescent="0.2">
      <c r="R42037" s="1288"/>
    </row>
    <row r="42038" spans="18:18" s="2" customFormat="1" ht="12.75" x14ac:dyDescent="0.2">
      <c r="R42038" s="1288"/>
    </row>
    <row r="42039" spans="18:18" s="2" customFormat="1" ht="12.75" x14ac:dyDescent="0.2">
      <c r="R42039" s="1288"/>
    </row>
    <row r="42040" spans="18:18" s="2" customFormat="1" ht="12.75" x14ac:dyDescent="0.2">
      <c r="R42040" s="1288"/>
    </row>
    <row r="42041" spans="18:18" s="2" customFormat="1" ht="12.75" x14ac:dyDescent="0.2">
      <c r="R42041" s="1288"/>
    </row>
    <row r="42042" spans="18:18" s="2" customFormat="1" ht="12.75" x14ac:dyDescent="0.2">
      <c r="R42042" s="1288"/>
    </row>
    <row r="42043" spans="18:18" s="2" customFormat="1" ht="12.75" x14ac:dyDescent="0.2">
      <c r="R42043" s="1288"/>
    </row>
    <row r="42044" spans="18:18" s="2" customFormat="1" ht="12.75" x14ac:dyDescent="0.2">
      <c r="R42044" s="1288"/>
    </row>
    <row r="42045" spans="18:18" s="2" customFormat="1" ht="12.75" x14ac:dyDescent="0.2">
      <c r="R42045" s="1288"/>
    </row>
    <row r="42046" spans="18:18" s="2" customFormat="1" ht="12.75" x14ac:dyDescent="0.2">
      <c r="R42046" s="1288"/>
    </row>
    <row r="42047" spans="18:18" s="2" customFormat="1" ht="12.75" x14ac:dyDescent="0.2">
      <c r="R42047" s="1288"/>
    </row>
    <row r="42048" spans="18:18" s="2" customFormat="1" ht="12.75" x14ac:dyDescent="0.2">
      <c r="R42048" s="1288"/>
    </row>
    <row r="42049" spans="18:18" s="2" customFormat="1" ht="12.75" x14ac:dyDescent="0.2">
      <c r="R42049" s="1288"/>
    </row>
    <row r="42050" spans="18:18" s="2" customFormat="1" ht="12.75" x14ac:dyDescent="0.2">
      <c r="R42050" s="1288"/>
    </row>
    <row r="42051" spans="18:18" s="2" customFormat="1" ht="12.75" x14ac:dyDescent="0.2">
      <c r="R42051" s="1288"/>
    </row>
    <row r="42052" spans="18:18" s="2" customFormat="1" ht="12.75" x14ac:dyDescent="0.2">
      <c r="R42052" s="1288"/>
    </row>
    <row r="42053" spans="18:18" s="2" customFormat="1" ht="12.75" x14ac:dyDescent="0.2">
      <c r="R42053" s="1288"/>
    </row>
    <row r="42054" spans="18:18" s="2" customFormat="1" ht="12.75" x14ac:dyDescent="0.2">
      <c r="R42054" s="1288"/>
    </row>
    <row r="42055" spans="18:18" s="2" customFormat="1" ht="12.75" x14ac:dyDescent="0.2">
      <c r="R42055" s="1288"/>
    </row>
    <row r="42056" spans="18:18" s="2" customFormat="1" ht="12.75" x14ac:dyDescent="0.2">
      <c r="R42056" s="1288"/>
    </row>
    <row r="42057" spans="18:18" s="2" customFormat="1" ht="12.75" x14ac:dyDescent="0.2">
      <c r="R42057" s="1288"/>
    </row>
    <row r="42058" spans="18:18" s="2" customFormat="1" ht="12.75" x14ac:dyDescent="0.2">
      <c r="R42058" s="1288"/>
    </row>
    <row r="42059" spans="18:18" s="2" customFormat="1" ht="12.75" x14ac:dyDescent="0.2">
      <c r="R42059" s="1288"/>
    </row>
    <row r="42060" spans="18:18" s="2" customFormat="1" ht="12.75" x14ac:dyDescent="0.2">
      <c r="R42060" s="1288"/>
    </row>
    <row r="42061" spans="18:18" s="2" customFormat="1" ht="12.75" x14ac:dyDescent="0.2">
      <c r="R42061" s="1288"/>
    </row>
    <row r="42062" spans="18:18" s="2" customFormat="1" ht="12.75" x14ac:dyDescent="0.2">
      <c r="R42062" s="1288"/>
    </row>
    <row r="42063" spans="18:18" s="2" customFormat="1" ht="12.75" x14ac:dyDescent="0.2">
      <c r="R42063" s="1288"/>
    </row>
    <row r="42064" spans="18:18" s="2" customFormat="1" ht="12.75" x14ac:dyDescent="0.2">
      <c r="R42064" s="1288"/>
    </row>
    <row r="42065" spans="18:18" s="2" customFormat="1" ht="12.75" x14ac:dyDescent="0.2">
      <c r="R42065" s="1288"/>
    </row>
    <row r="42066" spans="18:18" s="2" customFormat="1" ht="12.75" x14ac:dyDescent="0.2">
      <c r="R42066" s="1288"/>
    </row>
    <row r="42067" spans="18:18" s="2" customFormat="1" ht="12.75" x14ac:dyDescent="0.2">
      <c r="R42067" s="1288"/>
    </row>
    <row r="42068" spans="18:18" s="2" customFormat="1" ht="12.75" x14ac:dyDescent="0.2">
      <c r="R42068" s="1288"/>
    </row>
    <row r="42069" spans="18:18" s="2" customFormat="1" ht="12.75" x14ac:dyDescent="0.2">
      <c r="R42069" s="1288"/>
    </row>
    <row r="42070" spans="18:18" s="2" customFormat="1" ht="12.75" x14ac:dyDescent="0.2">
      <c r="R42070" s="1288"/>
    </row>
    <row r="42071" spans="18:18" s="2" customFormat="1" ht="12.75" x14ac:dyDescent="0.2">
      <c r="R42071" s="1288"/>
    </row>
    <row r="42072" spans="18:18" s="2" customFormat="1" ht="12.75" x14ac:dyDescent="0.2">
      <c r="R42072" s="1288"/>
    </row>
    <row r="42073" spans="18:18" s="2" customFormat="1" ht="12.75" x14ac:dyDescent="0.2">
      <c r="R42073" s="1288"/>
    </row>
    <row r="42074" spans="18:18" s="2" customFormat="1" ht="12.75" x14ac:dyDescent="0.2">
      <c r="R42074" s="1288"/>
    </row>
    <row r="42075" spans="18:18" s="2" customFormat="1" ht="12.75" x14ac:dyDescent="0.2">
      <c r="R42075" s="1288"/>
    </row>
    <row r="42076" spans="18:18" s="2" customFormat="1" ht="12.75" x14ac:dyDescent="0.2">
      <c r="R42076" s="1288"/>
    </row>
    <row r="42077" spans="18:18" s="2" customFormat="1" ht="12.75" x14ac:dyDescent="0.2">
      <c r="R42077" s="1288"/>
    </row>
    <row r="42078" spans="18:18" s="2" customFormat="1" ht="12.75" x14ac:dyDescent="0.2">
      <c r="R42078" s="1288"/>
    </row>
    <row r="42079" spans="18:18" s="2" customFormat="1" ht="12.75" x14ac:dyDescent="0.2">
      <c r="R42079" s="1288"/>
    </row>
    <row r="42080" spans="18:18" s="2" customFormat="1" ht="12.75" x14ac:dyDescent="0.2">
      <c r="R42080" s="1288"/>
    </row>
    <row r="42081" spans="18:18" s="2" customFormat="1" ht="12.75" x14ac:dyDescent="0.2">
      <c r="R42081" s="1288"/>
    </row>
    <row r="42082" spans="18:18" s="2" customFormat="1" ht="12.75" x14ac:dyDescent="0.2">
      <c r="R42082" s="1288"/>
    </row>
    <row r="42083" spans="18:18" s="2" customFormat="1" ht="12.75" x14ac:dyDescent="0.2">
      <c r="R42083" s="1288"/>
    </row>
    <row r="42084" spans="18:18" s="2" customFormat="1" ht="12.75" x14ac:dyDescent="0.2">
      <c r="R42084" s="1288"/>
    </row>
    <row r="42085" spans="18:18" s="2" customFormat="1" ht="12.75" x14ac:dyDescent="0.2">
      <c r="R42085" s="1288"/>
    </row>
    <row r="42086" spans="18:18" s="2" customFormat="1" ht="12.75" x14ac:dyDescent="0.2">
      <c r="R42086" s="1288"/>
    </row>
    <row r="42087" spans="18:18" s="2" customFormat="1" ht="12.75" x14ac:dyDescent="0.2">
      <c r="R42087" s="1288"/>
    </row>
    <row r="42088" spans="18:18" s="2" customFormat="1" ht="12.75" x14ac:dyDescent="0.2">
      <c r="R42088" s="1288"/>
    </row>
    <row r="42089" spans="18:18" s="2" customFormat="1" ht="12.75" x14ac:dyDescent="0.2">
      <c r="R42089" s="1288"/>
    </row>
    <row r="42090" spans="18:18" s="2" customFormat="1" ht="12.75" x14ac:dyDescent="0.2">
      <c r="R42090" s="1288"/>
    </row>
    <row r="42091" spans="18:18" s="2" customFormat="1" ht="12.75" x14ac:dyDescent="0.2">
      <c r="R42091" s="1288"/>
    </row>
    <row r="42092" spans="18:18" s="2" customFormat="1" ht="12.75" x14ac:dyDescent="0.2">
      <c r="R42092" s="1288"/>
    </row>
    <row r="42093" spans="18:18" s="2" customFormat="1" ht="12.75" x14ac:dyDescent="0.2">
      <c r="R42093" s="1288"/>
    </row>
    <row r="42094" spans="18:18" s="2" customFormat="1" ht="12.75" x14ac:dyDescent="0.2">
      <c r="R42094" s="1288"/>
    </row>
    <row r="42095" spans="18:18" s="2" customFormat="1" ht="12.75" x14ac:dyDescent="0.2">
      <c r="R42095" s="1288"/>
    </row>
    <row r="42096" spans="18:18" s="2" customFormat="1" ht="12.75" x14ac:dyDescent="0.2">
      <c r="R42096" s="1288"/>
    </row>
    <row r="42097" spans="18:18" s="2" customFormat="1" ht="12.75" x14ac:dyDescent="0.2">
      <c r="R42097" s="1288"/>
    </row>
    <row r="42098" spans="18:18" s="2" customFormat="1" ht="12.75" x14ac:dyDescent="0.2">
      <c r="R42098" s="1288"/>
    </row>
    <row r="42099" spans="18:18" s="2" customFormat="1" ht="12.75" x14ac:dyDescent="0.2">
      <c r="R42099" s="1288"/>
    </row>
    <row r="42100" spans="18:18" s="2" customFormat="1" ht="12.75" x14ac:dyDescent="0.2">
      <c r="R42100" s="1288"/>
    </row>
    <row r="42101" spans="18:18" s="2" customFormat="1" ht="12.75" x14ac:dyDescent="0.2">
      <c r="R42101" s="1288"/>
    </row>
    <row r="42102" spans="18:18" s="2" customFormat="1" ht="12.75" x14ac:dyDescent="0.2">
      <c r="R42102" s="1288"/>
    </row>
    <row r="42103" spans="18:18" s="2" customFormat="1" ht="12.75" x14ac:dyDescent="0.2">
      <c r="R42103" s="1288"/>
    </row>
    <row r="42104" spans="18:18" s="2" customFormat="1" ht="12.75" x14ac:dyDescent="0.2">
      <c r="R42104" s="1288"/>
    </row>
    <row r="42105" spans="18:18" s="2" customFormat="1" ht="12.75" x14ac:dyDescent="0.2">
      <c r="R42105" s="1288"/>
    </row>
    <row r="42106" spans="18:18" s="2" customFormat="1" ht="12.75" x14ac:dyDescent="0.2">
      <c r="R42106" s="1288"/>
    </row>
    <row r="42107" spans="18:18" s="2" customFormat="1" ht="12.75" x14ac:dyDescent="0.2">
      <c r="R42107" s="1288"/>
    </row>
    <row r="42108" spans="18:18" s="2" customFormat="1" ht="12.75" x14ac:dyDescent="0.2">
      <c r="R42108" s="1288"/>
    </row>
    <row r="42109" spans="18:18" s="2" customFormat="1" ht="12.75" x14ac:dyDescent="0.2">
      <c r="R42109" s="1288"/>
    </row>
    <row r="42110" spans="18:18" s="2" customFormat="1" ht="12.75" x14ac:dyDescent="0.2">
      <c r="R42110" s="1288"/>
    </row>
    <row r="42111" spans="18:18" s="2" customFormat="1" ht="12.75" x14ac:dyDescent="0.2">
      <c r="R42111" s="1288"/>
    </row>
    <row r="42112" spans="18:18" s="2" customFormat="1" ht="12.75" x14ac:dyDescent="0.2">
      <c r="R42112" s="1288"/>
    </row>
    <row r="42113" spans="18:18" s="2" customFormat="1" ht="12.75" x14ac:dyDescent="0.2">
      <c r="R42113" s="1288"/>
    </row>
    <row r="42114" spans="18:18" s="2" customFormat="1" ht="12.75" x14ac:dyDescent="0.2">
      <c r="R42114" s="1288"/>
    </row>
    <row r="42115" spans="18:18" s="2" customFormat="1" ht="12.75" x14ac:dyDescent="0.2">
      <c r="R42115" s="1288"/>
    </row>
    <row r="42116" spans="18:18" s="2" customFormat="1" ht="12.75" x14ac:dyDescent="0.2">
      <c r="R42116" s="1288"/>
    </row>
    <row r="42117" spans="18:18" s="2" customFormat="1" ht="12.75" x14ac:dyDescent="0.2">
      <c r="R42117" s="1288"/>
    </row>
    <row r="42118" spans="18:18" s="2" customFormat="1" ht="12.75" x14ac:dyDescent="0.2">
      <c r="R42118" s="1288"/>
    </row>
    <row r="42119" spans="18:18" s="2" customFormat="1" ht="12.75" x14ac:dyDescent="0.2">
      <c r="R42119" s="1288"/>
    </row>
    <row r="42120" spans="18:18" s="2" customFormat="1" ht="12.75" x14ac:dyDescent="0.2">
      <c r="R42120" s="1288"/>
    </row>
    <row r="42121" spans="18:18" s="2" customFormat="1" ht="12.75" x14ac:dyDescent="0.2">
      <c r="R42121" s="1288"/>
    </row>
    <row r="42122" spans="18:18" s="2" customFormat="1" ht="12.75" x14ac:dyDescent="0.2">
      <c r="R42122" s="1288"/>
    </row>
    <row r="42123" spans="18:18" s="2" customFormat="1" ht="12.75" x14ac:dyDescent="0.2">
      <c r="R42123" s="1288"/>
    </row>
    <row r="42124" spans="18:18" s="2" customFormat="1" ht="12.75" x14ac:dyDescent="0.2">
      <c r="R42124" s="1288"/>
    </row>
    <row r="42125" spans="18:18" s="2" customFormat="1" ht="12.75" x14ac:dyDescent="0.2">
      <c r="R42125" s="1288"/>
    </row>
    <row r="42126" spans="18:18" s="2" customFormat="1" ht="12.75" x14ac:dyDescent="0.2">
      <c r="R42126" s="1288"/>
    </row>
    <row r="42127" spans="18:18" s="2" customFormat="1" ht="12.75" x14ac:dyDescent="0.2">
      <c r="R42127" s="1288"/>
    </row>
    <row r="42128" spans="18:18" s="2" customFormat="1" ht="12.75" x14ac:dyDescent="0.2">
      <c r="R42128" s="1288"/>
    </row>
    <row r="42129" spans="18:18" s="2" customFormat="1" ht="12.75" x14ac:dyDescent="0.2">
      <c r="R42129" s="1288"/>
    </row>
    <row r="42130" spans="18:18" s="2" customFormat="1" ht="12.75" x14ac:dyDescent="0.2">
      <c r="R42130" s="1288"/>
    </row>
    <row r="42131" spans="18:18" s="2" customFormat="1" ht="12.75" x14ac:dyDescent="0.2">
      <c r="R42131" s="1288"/>
    </row>
    <row r="42132" spans="18:18" s="2" customFormat="1" ht="12.75" x14ac:dyDescent="0.2">
      <c r="R42132" s="1288"/>
    </row>
    <row r="42133" spans="18:18" s="2" customFormat="1" ht="12.75" x14ac:dyDescent="0.2">
      <c r="R42133" s="1288"/>
    </row>
    <row r="42134" spans="18:18" s="2" customFormat="1" ht="12.75" x14ac:dyDescent="0.2">
      <c r="R42134" s="1288"/>
    </row>
    <row r="42135" spans="18:18" s="2" customFormat="1" ht="12.75" x14ac:dyDescent="0.2">
      <c r="R42135" s="1288"/>
    </row>
    <row r="42136" spans="18:18" s="2" customFormat="1" ht="12.75" x14ac:dyDescent="0.2">
      <c r="R42136" s="1288"/>
    </row>
    <row r="42137" spans="18:18" s="2" customFormat="1" ht="12.75" x14ac:dyDescent="0.2">
      <c r="R42137" s="1288"/>
    </row>
    <row r="42138" spans="18:18" s="2" customFormat="1" ht="12.75" x14ac:dyDescent="0.2">
      <c r="R42138" s="1288"/>
    </row>
    <row r="42139" spans="18:18" s="2" customFormat="1" ht="12.75" x14ac:dyDescent="0.2">
      <c r="R42139" s="1288"/>
    </row>
    <row r="42140" spans="18:18" s="2" customFormat="1" ht="12.75" x14ac:dyDescent="0.2">
      <c r="R42140" s="1288"/>
    </row>
    <row r="42141" spans="18:18" s="2" customFormat="1" ht="12.75" x14ac:dyDescent="0.2">
      <c r="R42141" s="1288"/>
    </row>
    <row r="42142" spans="18:18" s="2" customFormat="1" ht="12.75" x14ac:dyDescent="0.2">
      <c r="R42142" s="1288"/>
    </row>
    <row r="42143" spans="18:18" s="2" customFormat="1" ht="12.75" x14ac:dyDescent="0.2">
      <c r="R42143" s="1288"/>
    </row>
    <row r="42144" spans="18:18" s="2" customFormat="1" ht="12.75" x14ac:dyDescent="0.2">
      <c r="R42144" s="1288"/>
    </row>
    <row r="42145" spans="18:18" s="2" customFormat="1" ht="12.75" x14ac:dyDescent="0.2">
      <c r="R42145" s="1288"/>
    </row>
    <row r="42146" spans="18:18" s="2" customFormat="1" ht="12.75" x14ac:dyDescent="0.2">
      <c r="R42146" s="1288"/>
    </row>
    <row r="42147" spans="18:18" s="2" customFormat="1" ht="12.75" x14ac:dyDescent="0.2">
      <c r="R42147" s="1288"/>
    </row>
    <row r="42148" spans="18:18" s="2" customFormat="1" ht="12.75" x14ac:dyDescent="0.2">
      <c r="R42148" s="1288"/>
    </row>
    <row r="42149" spans="18:18" s="2" customFormat="1" ht="12.75" x14ac:dyDescent="0.2">
      <c r="R42149" s="1288"/>
    </row>
    <row r="42150" spans="18:18" s="2" customFormat="1" ht="12.75" x14ac:dyDescent="0.2">
      <c r="R42150" s="1288"/>
    </row>
    <row r="42151" spans="18:18" s="2" customFormat="1" ht="12.75" x14ac:dyDescent="0.2">
      <c r="R42151" s="1288"/>
    </row>
    <row r="42152" spans="18:18" s="2" customFormat="1" ht="12.75" x14ac:dyDescent="0.2">
      <c r="R42152" s="1288"/>
    </row>
    <row r="42153" spans="18:18" s="2" customFormat="1" ht="12.75" x14ac:dyDescent="0.2">
      <c r="R42153" s="1288"/>
    </row>
    <row r="42154" spans="18:18" s="2" customFormat="1" ht="12.75" x14ac:dyDescent="0.2">
      <c r="R42154" s="1288"/>
    </row>
    <row r="42155" spans="18:18" s="2" customFormat="1" ht="12.75" x14ac:dyDescent="0.2">
      <c r="R42155" s="1288"/>
    </row>
    <row r="42156" spans="18:18" s="2" customFormat="1" ht="12.75" x14ac:dyDescent="0.2">
      <c r="R42156" s="1288"/>
    </row>
    <row r="42157" spans="18:18" s="2" customFormat="1" ht="12.75" x14ac:dyDescent="0.2">
      <c r="R42157" s="1288"/>
    </row>
    <row r="42158" spans="18:18" s="2" customFormat="1" ht="12.75" x14ac:dyDescent="0.2">
      <c r="R42158" s="1288"/>
    </row>
    <row r="42159" spans="18:18" s="2" customFormat="1" ht="12.75" x14ac:dyDescent="0.2">
      <c r="R42159" s="1288"/>
    </row>
    <row r="42160" spans="18:18" s="2" customFormat="1" ht="12.75" x14ac:dyDescent="0.2">
      <c r="R42160" s="1288"/>
    </row>
    <row r="42161" spans="18:18" s="2" customFormat="1" ht="12.75" x14ac:dyDescent="0.2">
      <c r="R42161" s="1288"/>
    </row>
    <row r="42162" spans="18:18" s="2" customFormat="1" ht="12.75" x14ac:dyDescent="0.2">
      <c r="R42162" s="1288"/>
    </row>
    <row r="42163" spans="18:18" s="2" customFormat="1" ht="12.75" x14ac:dyDescent="0.2">
      <c r="R42163" s="1288"/>
    </row>
    <row r="42164" spans="18:18" s="2" customFormat="1" ht="12.75" x14ac:dyDescent="0.2">
      <c r="R42164" s="1288"/>
    </row>
    <row r="42165" spans="18:18" s="2" customFormat="1" ht="12.75" x14ac:dyDescent="0.2">
      <c r="R42165" s="1288"/>
    </row>
    <row r="42166" spans="18:18" s="2" customFormat="1" ht="12.75" x14ac:dyDescent="0.2">
      <c r="R42166" s="1288"/>
    </row>
    <row r="42167" spans="18:18" s="2" customFormat="1" ht="12.75" x14ac:dyDescent="0.2">
      <c r="R42167" s="1288"/>
    </row>
    <row r="42168" spans="18:18" s="2" customFormat="1" ht="12.75" x14ac:dyDescent="0.2">
      <c r="R42168" s="1288"/>
    </row>
    <row r="42169" spans="18:18" s="2" customFormat="1" ht="12.75" x14ac:dyDescent="0.2">
      <c r="R42169" s="1288"/>
    </row>
    <row r="42170" spans="18:18" s="2" customFormat="1" ht="12.75" x14ac:dyDescent="0.2">
      <c r="R42170" s="1288"/>
    </row>
    <row r="42171" spans="18:18" s="2" customFormat="1" ht="12.75" x14ac:dyDescent="0.2">
      <c r="R42171" s="1288"/>
    </row>
    <row r="42172" spans="18:18" s="2" customFormat="1" ht="12.75" x14ac:dyDescent="0.2">
      <c r="R42172" s="1288"/>
    </row>
    <row r="42173" spans="18:18" s="2" customFormat="1" ht="12.75" x14ac:dyDescent="0.2">
      <c r="R42173" s="1288"/>
    </row>
    <row r="42174" spans="18:18" s="2" customFormat="1" ht="12.75" x14ac:dyDescent="0.2">
      <c r="R42174" s="1288"/>
    </row>
    <row r="42175" spans="18:18" s="2" customFormat="1" ht="12.75" x14ac:dyDescent="0.2">
      <c r="R42175" s="1288"/>
    </row>
    <row r="42176" spans="18:18" s="2" customFormat="1" ht="12.75" x14ac:dyDescent="0.2">
      <c r="R42176" s="1288"/>
    </row>
    <row r="42177" spans="18:18" s="2" customFormat="1" ht="12.75" x14ac:dyDescent="0.2">
      <c r="R42177" s="1288"/>
    </row>
    <row r="42178" spans="18:18" s="2" customFormat="1" ht="12.75" x14ac:dyDescent="0.2">
      <c r="R42178" s="1288"/>
    </row>
    <row r="42179" spans="18:18" s="2" customFormat="1" ht="12.75" x14ac:dyDescent="0.2">
      <c r="R42179" s="1288"/>
    </row>
    <row r="42180" spans="18:18" s="2" customFormat="1" ht="12.75" x14ac:dyDescent="0.2">
      <c r="R42180" s="1288"/>
    </row>
    <row r="42181" spans="18:18" s="2" customFormat="1" ht="12.75" x14ac:dyDescent="0.2">
      <c r="R42181" s="1288"/>
    </row>
    <row r="42182" spans="18:18" s="2" customFormat="1" ht="12.75" x14ac:dyDescent="0.2">
      <c r="R42182" s="1288"/>
    </row>
    <row r="42183" spans="18:18" s="2" customFormat="1" ht="12.75" x14ac:dyDescent="0.2">
      <c r="R42183" s="1288"/>
    </row>
    <row r="42184" spans="18:18" s="2" customFormat="1" ht="12.75" x14ac:dyDescent="0.2">
      <c r="R42184" s="1288"/>
    </row>
    <row r="42185" spans="18:18" s="2" customFormat="1" ht="12.75" x14ac:dyDescent="0.2">
      <c r="R42185" s="1288"/>
    </row>
    <row r="42186" spans="18:18" s="2" customFormat="1" ht="12.75" x14ac:dyDescent="0.2">
      <c r="R42186" s="1288"/>
    </row>
    <row r="42187" spans="18:18" s="2" customFormat="1" ht="12.75" x14ac:dyDescent="0.2">
      <c r="R42187" s="1288"/>
    </row>
    <row r="42188" spans="18:18" s="2" customFormat="1" ht="12.75" x14ac:dyDescent="0.2">
      <c r="R42188" s="1288"/>
    </row>
    <row r="42189" spans="18:18" s="2" customFormat="1" ht="12.75" x14ac:dyDescent="0.2">
      <c r="R42189" s="1288"/>
    </row>
    <row r="42190" spans="18:18" s="2" customFormat="1" ht="12.75" x14ac:dyDescent="0.2">
      <c r="R42190" s="1288"/>
    </row>
    <row r="42191" spans="18:18" s="2" customFormat="1" ht="12.75" x14ac:dyDescent="0.2">
      <c r="R42191" s="1288"/>
    </row>
    <row r="42192" spans="18:18" s="2" customFormat="1" ht="12.75" x14ac:dyDescent="0.2">
      <c r="R42192" s="1288"/>
    </row>
    <row r="42193" spans="18:18" s="2" customFormat="1" ht="12.75" x14ac:dyDescent="0.2">
      <c r="R42193" s="1288"/>
    </row>
    <row r="42194" spans="18:18" s="2" customFormat="1" ht="12.75" x14ac:dyDescent="0.2">
      <c r="R42194" s="1288"/>
    </row>
    <row r="42195" spans="18:18" s="2" customFormat="1" ht="12.75" x14ac:dyDescent="0.2">
      <c r="R42195" s="1288"/>
    </row>
    <row r="42196" spans="18:18" s="2" customFormat="1" ht="12.75" x14ac:dyDescent="0.2">
      <c r="R42196" s="1288"/>
    </row>
    <row r="42197" spans="18:18" s="2" customFormat="1" ht="12.75" x14ac:dyDescent="0.2">
      <c r="R42197" s="1288"/>
    </row>
    <row r="42198" spans="18:18" s="2" customFormat="1" ht="12.75" x14ac:dyDescent="0.2">
      <c r="R42198" s="1288"/>
    </row>
    <row r="42199" spans="18:18" s="2" customFormat="1" ht="12.75" x14ac:dyDescent="0.2">
      <c r="R42199" s="1288"/>
    </row>
    <row r="42200" spans="18:18" s="2" customFormat="1" ht="12.75" x14ac:dyDescent="0.2">
      <c r="R42200" s="1288"/>
    </row>
    <row r="42201" spans="18:18" s="2" customFormat="1" ht="12.75" x14ac:dyDescent="0.2">
      <c r="R42201" s="1288"/>
    </row>
    <row r="42202" spans="18:18" s="2" customFormat="1" ht="12.75" x14ac:dyDescent="0.2">
      <c r="R42202" s="1288"/>
    </row>
    <row r="42203" spans="18:18" s="2" customFormat="1" ht="12.75" x14ac:dyDescent="0.2">
      <c r="R42203" s="1288"/>
    </row>
    <row r="42204" spans="18:18" s="2" customFormat="1" ht="12.75" x14ac:dyDescent="0.2">
      <c r="R42204" s="1288"/>
    </row>
    <row r="42205" spans="18:18" s="2" customFormat="1" ht="12.75" x14ac:dyDescent="0.2">
      <c r="R42205" s="1288"/>
    </row>
    <row r="42206" spans="18:18" s="2" customFormat="1" ht="12.75" x14ac:dyDescent="0.2">
      <c r="R42206" s="1288"/>
    </row>
    <row r="42207" spans="18:18" s="2" customFormat="1" ht="12.75" x14ac:dyDescent="0.2">
      <c r="R42207" s="1288"/>
    </row>
    <row r="42208" spans="18:18" s="2" customFormat="1" ht="12.75" x14ac:dyDescent="0.2">
      <c r="R42208" s="1288"/>
    </row>
    <row r="42209" spans="18:18" s="2" customFormat="1" ht="12.75" x14ac:dyDescent="0.2">
      <c r="R42209" s="1288"/>
    </row>
    <row r="42210" spans="18:18" s="2" customFormat="1" ht="12.75" x14ac:dyDescent="0.2">
      <c r="R42210" s="1288"/>
    </row>
    <row r="42211" spans="18:18" s="2" customFormat="1" ht="12.75" x14ac:dyDescent="0.2">
      <c r="R42211" s="1288"/>
    </row>
    <row r="42212" spans="18:18" s="2" customFormat="1" ht="12.75" x14ac:dyDescent="0.2">
      <c r="R42212" s="1288"/>
    </row>
    <row r="42213" spans="18:18" s="2" customFormat="1" ht="12.75" x14ac:dyDescent="0.2">
      <c r="R42213" s="1288"/>
    </row>
    <row r="42214" spans="18:18" s="2" customFormat="1" ht="12.75" x14ac:dyDescent="0.2">
      <c r="R42214" s="1288"/>
    </row>
    <row r="42215" spans="18:18" s="2" customFormat="1" ht="12.75" x14ac:dyDescent="0.2">
      <c r="R42215" s="1288"/>
    </row>
    <row r="42216" spans="18:18" s="2" customFormat="1" ht="12.75" x14ac:dyDescent="0.2">
      <c r="R42216" s="1288"/>
    </row>
    <row r="42217" spans="18:18" s="2" customFormat="1" ht="12.75" x14ac:dyDescent="0.2">
      <c r="R42217" s="1288"/>
    </row>
    <row r="42218" spans="18:18" s="2" customFormat="1" ht="12.75" x14ac:dyDescent="0.2">
      <c r="R42218" s="1288"/>
    </row>
    <row r="42219" spans="18:18" s="2" customFormat="1" ht="12.75" x14ac:dyDescent="0.2">
      <c r="R42219" s="1288"/>
    </row>
    <row r="42220" spans="18:18" s="2" customFormat="1" ht="12.75" x14ac:dyDescent="0.2">
      <c r="R42220" s="1288"/>
    </row>
    <row r="42221" spans="18:18" s="2" customFormat="1" ht="12.75" x14ac:dyDescent="0.2">
      <c r="R42221" s="1288"/>
    </row>
    <row r="42222" spans="18:18" s="2" customFormat="1" ht="12.75" x14ac:dyDescent="0.2">
      <c r="R42222" s="1288"/>
    </row>
    <row r="42223" spans="18:18" s="2" customFormat="1" ht="12.75" x14ac:dyDescent="0.2">
      <c r="R42223" s="1288"/>
    </row>
    <row r="42224" spans="18:18" s="2" customFormat="1" ht="12.75" x14ac:dyDescent="0.2">
      <c r="R42224" s="1288"/>
    </row>
    <row r="42225" spans="18:18" s="2" customFormat="1" ht="12.75" x14ac:dyDescent="0.2">
      <c r="R42225" s="1288"/>
    </row>
    <row r="42226" spans="18:18" s="2" customFormat="1" ht="12.75" x14ac:dyDescent="0.2">
      <c r="R42226" s="1288"/>
    </row>
    <row r="42227" spans="18:18" s="2" customFormat="1" ht="12.75" x14ac:dyDescent="0.2">
      <c r="R42227" s="1288"/>
    </row>
    <row r="42228" spans="18:18" s="2" customFormat="1" ht="12.75" x14ac:dyDescent="0.2">
      <c r="R42228" s="1288"/>
    </row>
    <row r="42229" spans="18:18" s="2" customFormat="1" ht="12.75" x14ac:dyDescent="0.2">
      <c r="R42229" s="1288"/>
    </row>
    <row r="42230" spans="18:18" s="2" customFormat="1" ht="12.75" x14ac:dyDescent="0.2">
      <c r="R42230" s="1288"/>
    </row>
    <row r="42231" spans="18:18" s="2" customFormat="1" ht="12.75" x14ac:dyDescent="0.2">
      <c r="R42231" s="1288"/>
    </row>
    <row r="42232" spans="18:18" s="2" customFormat="1" ht="12.75" x14ac:dyDescent="0.2">
      <c r="R42232" s="1288"/>
    </row>
    <row r="42233" spans="18:18" s="2" customFormat="1" ht="12.75" x14ac:dyDescent="0.2">
      <c r="R42233" s="1288"/>
    </row>
    <row r="42234" spans="18:18" s="2" customFormat="1" ht="12.75" x14ac:dyDescent="0.2">
      <c r="R42234" s="1288"/>
    </row>
    <row r="42235" spans="18:18" s="2" customFormat="1" ht="12.75" x14ac:dyDescent="0.2">
      <c r="R42235" s="1288"/>
    </row>
    <row r="42236" spans="18:18" s="2" customFormat="1" ht="12.75" x14ac:dyDescent="0.2">
      <c r="R42236" s="1288"/>
    </row>
    <row r="42237" spans="18:18" s="2" customFormat="1" ht="12.75" x14ac:dyDescent="0.2">
      <c r="R42237" s="1288"/>
    </row>
    <row r="42238" spans="18:18" s="2" customFormat="1" ht="12.75" x14ac:dyDescent="0.2">
      <c r="R42238" s="1288"/>
    </row>
    <row r="42239" spans="18:18" s="2" customFormat="1" ht="12.75" x14ac:dyDescent="0.2">
      <c r="R42239" s="1288"/>
    </row>
    <row r="42240" spans="18:18" s="2" customFormat="1" ht="12.75" x14ac:dyDescent="0.2">
      <c r="R42240" s="1288"/>
    </row>
    <row r="42241" spans="18:18" s="2" customFormat="1" ht="12.75" x14ac:dyDescent="0.2">
      <c r="R42241" s="1288"/>
    </row>
    <row r="42242" spans="18:18" s="2" customFormat="1" ht="12.75" x14ac:dyDescent="0.2">
      <c r="R42242" s="1288"/>
    </row>
    <row r="42243" spans="18:18" s="2" customFormat="1" ht="12.75" x14ac:dyDescent="0.2">
      <c r="R42243" s="1288"/>
    </row>
    <row r="42244" spans="18:18" s="2" customFormat="1" ht="12.75" x14ac:dyDescent="0.2">
      <c r="R42244" s="1288"/>
    </row>
    <row r="42245" spans="18:18" s="2" customFormat="1" ht="12.75" x14ac:dyDescent="0.2">
      <c r="R42245" s="1288"/>
    </row>
    <row r="42246" spans="18:18" s="2" customFormat="1" ht="12.75" x14ac:dyDescent="0.2">
      <c r="R42246" s="1288"/>
    </row>
    <row r="42247" spans="18:18" s="2" customFormat="1" ht="12.75" x14ac:dyDescent="0.2">
      <c r="R42247" s="1288"/>
    </row>
    <row r="42248" spans="18:18" s="2" customFormat="1" ht="12.75" x14ac:dyDescent="0.2">
      <c r="R42248" s="1288"/>
    </row>
    <row r="42249" spans="18:18" s="2" customFormat="1" ht="12.75" x14ac:dyDescent="0.2">
      <c r="R42249" s="1288"/>
    </row>
    <row r="42250" spans="18:18" s="2" customFormat="1" ht="12.75" x14ac:dyDescent="0.2">
      <c r="R42250" s="1288"/>
    </row>
    <row r="42251" spans="18:18" s="2" customFormat="1" ht="12.75" x14ac:dyDescent="0.2">
      <c r="R42251" s="1288"/>
    </row>
    <row r="42252" spans="18:18" s="2" customFormat="1" ht="12.75" x14ac:dyDescent="0.2">
      <c r="R42252" s="1288"/>
    </row>
    <row r="42253" spans="18:18" s="2" customFormat="1" ht="12.75" x14ac:dyDescent="0.2">
      <c r="R42253" s="1288"/>
    </row>
    <row r="42254" spans="18:18" s="2" customFormat="1" ht="12.75" x14ac:dyDescent="0.2">
      <c r="R42254" s="1288"/>
    </row>
    <row r="42255" spans="18:18" s="2" customFormat="1" ht="12.75" x14ac:dyDescent="0.2">
      <c r="R42255" s="1288"/>
    </row>
    <row r="42256" spans="18:18" s="2" customFormat="1" ht="12.75" x14ac:dyDescent="0.2">
      <c r="R42256" s="1288"/>
    </row>
    <row r="42257" spans="18:18" s="2" customFormat="1" ht="12.75" x14ac:dyDescent="0.2">
      <c r="R42257" s="1288"/>
    </row>
    <row r="42258" spans="18:18" s="2" customFormat="1" ht="12.75" x14ac:dyDescent="0.2">
      <c r="R42258" s="1288"/>
    </row>
    <row r="42259" spans="18:18" s="2" customFormat="1" ht="12.75" x14ac:dyDescent="0.2">
      <c r="R42259" s="1288"/>
    </row>
    <row r="42260" spans="18:18" s="2" customFormat="1" ht="12.75" x14ac:dyDescent="0.2">
      <c r="R42260" s="1288"/>
    </row>
    <row r="42261" spans="18:18" s="2" customFormat="1" ht="12.75" x14ac:dyDescent="0.2">
      <c r="R42261" s="1288"/>
    </row>
    <row r="42262" spans="18:18" s="2" customFormat="1" ht="12.75" x14ac:dyDescent="0.2">
      <c r="R42262" s="1288"/>
    </row>
    <row r="42263" spans="18:18" s="2" customFormat="1" ht="12.75" x14ac:dyDescent="0.2">
      <c r="R42263" s="1288"/>
    </row>
    <row r="42264" spans="18:18" s="2" customFormat="1" ht="12.75" x14ac:dyDescent="0.2">
      <c r="R42264" s="1288"/>
    </row>
    <row r="42265" spans="18:18" s="2" customFormat="1" ht="12.75" x14ac:dyDescent="0.2">
      <c r="R42265" s="1288"/>
    </row>
    <row r="42266" spans="18:18" s="2" customFormat="1" ht="12.75" x14ac:dyDescent="0.2">
      <c r="R42266" s="1288"/>
    </row>
    <row r="42267" spans="18:18" s="2" customFormat="1" ht="12.75" x14ac:dyDescent="0.2">
      <c r="R42267" s="1288"/>
    </row>
    <row r="42268" spans="18:18" s="2" customFormat="1" ht="12.75" x14ac:dyDescent="0.2">
      <c r="R42268" s="1288"/>
    </row>
    <row r="42269" spans="18:18" s="2" customFormat="1" ht="12.75" x14ac:dyDescent="0.2">
      <c r="R42269" s="1288"/>
    </row>
    <row r="42270" spans="18:18" s="2" customFormat="1" ht="12.75" x14ac:dyDescent="0.2">
      <c r="R42270" s="1288"/>
    </row>
    <row r="42271" spans="18:18" s="2" customFormat="1" ht="12.75" x14ac:dyDescent="0.2">
      <c r="R42271" s="1288"/>
    </row>
    <row r="42272" spans="18:18" s="2" customFormat="1" ht="12.75" x14ac:dyDescent="0.2">
      <c r="R42272" s="1288"/>
    </row>
    <row r="42273" spans="18:18" s="2" customFormat="1" ht="12.75" x14ac:dyDescent="0.2">
      <c r="R42273" s="1288"/>
    </row>
    <row r="42274" spans="18:18" s="2" customFormat="1" ht="12.75" x14ac:dyDescent="0.2">
      <c r="R42274" s="1288"/>
    </row>
    <row r="42275" spans="18:18" s="2" customFormat="1" ht="12.75" x14ac:dyDescent="0.2">
      <c r="R42275" s="1288"/>
    </row>
    <row r="42276" spans="18:18" s="2" customFormat="1" ht="12.75" x14ac:dyDescent="0.2">
      <c r="R42276" s="1288"/>
    </row>
    <row r="42277" spans="18:18" s="2" customFormat="1" ht="12.75" x14ac:dyDescent="0.2">
      <c r="R42277" s="1288"/>
    </row>
    <row r="42278" spans="18:18" s="2" customFormat="1" ht="12.75" x14ac:dyDescent="0.2">
      <c r="R42278" s="1288"/>
    </row>
    <row r="42279" spans="18:18" s="2" customFormat="1" ht="12.75" x14ac:dyDescent="0.2">
      <c r="R42279" s="1288"/>
    </row>
    <row r="42280" spans="18:18" s="2" customFormat="1" ht="12.75" x14ac:dyDescent="0.2">
      <c r="R42280" s="1288"/>
    </row>
    <row r="42281" spans="18:18" s="2" customFormat="1" ht="12.75" x14ac:dyDescent="0.2">
      <c r="R42281" s="1288"/>
    </row>
    <row r="42282" spans="18:18" s="2" customFormat="1" ht="12.75" x14ac:dyDescent="0.2">
      <c r="R42282" s="1288"/>
    </row>
    <row r="42283" spans="18:18" s="2" customFormat="1" ht="12.75" x14ac:dyDescent="0.2">
      <c r="R42283" s="1288"/>
    </row>
    <row r="42284" spans="18:18" s="2" customFormat="1" ht="12.75" x14ac:dyDescent="0.2">
      <c r="R42284" s="1288"/>
    </row>
    <row r="42285" spans="18:18" s="2" customFormat="1" ht="12.75" x14ac:dyDescent="0.2">
      <c r="R42285" s="1288"/>
    </row>
    <row r="42286" spans="18:18" s="2" customFormat="1" ht="12.75" x14ac:dyDescent="0.2">
      <c r="R42286" s="1288"/>
    </row>
    <row r="42287" spans="18:18" s="2" customFormat="1" ht="12.75" x14ac:dyDescent="0.2">
      <c r="R42287" s="1288"/>
    </row>
    <row r="42288" spans="18:18" s="2" customFormat="1" ht="12.75" x14ac:dyDescent="0.2">
      <c r="R42288" s="1288"/>
    </row>
    <row r="42289" spans="18:18" s="2" customFormat="1" ht="12.75" x14ac:dyDescent="0.2">
      <c r="R42289" s="1288"/>
    </row>
    <row r="42290" spans="18:18" s="2" customFormat="1" ht="12.75" x14ac:dyDescent="0.2">
      <c r="R42290" s="1288"/>
    </row>
    <row r="42291" spans="18:18" s="2" customFormat="1" ht="12.75" x14ac:dyDescent="0.2">
      <c r="R42291" s="1288"/>
    </row>
    <row r="42292" spans="18:18" s="2" customFormat="1" ht="12.75" x14ac:dyDescent="0.2">
      <c r="R42292" s="1288"/>
    </row>
    <row r="42293" spans="18:18" s="2" customFormat="1" ht="12.75" x14ac:dyDescent="0.2">
      <c r="R42293" s="1288"/>
    </row>
    <row r="42294" spans="18:18" s="2" customFormat="1" ht="12.75" x14ac:dyDescent="0.2">
      <c r="R42294" s="1288"/>
    </row>
    <row r="42295" spans="18:18" s="2" customFormat="1" ht="12.75" x14ac:dyDescent="0.2">
      <c r="R42295" s="1288"/>
    </row>
    <row r="42296" spans="18:18" s="2" customFormat="1" ht="12.75" x14ac:dyDescent="0.2">
      <c r="R42296" s="1288"/>
    </row>
    <row r="42297" spans="18:18" s="2" customFormat="1" ht="12.75" x14ac:dyDescent="0.2">
      <c r="R42297" s="1288"/>
    </row>
    <row r="42298" spans="18:18" s="2" customFormat="1" ht="12.75" x14ac:dyDescent="0.2">
      <c r="R42298" s="1288"/>
    </row>
    <row r="42299" spans="18:18" s="2" customFormat="1" ht="12.75" x14ac:dyDescent="0.2">
      <c r="R42299" s="1288"/>
    </row>
    <row r="42300" spans="18:18" s="2" customFormat="1" ht="12.75" x14ac:dyDescent="0.2">
      <c r="R42300" s="1288"/>
    </row>
    <row r="42301" spans="18:18" s="2" customFormat="1" ht="12.75" x14ac:dyDescent="0.2">
      <c r="R42301" s="1288"/>
    </row>
    <row r="42302" spans="18:18" s="2" customFormat="1" ht="12.75" x14ac:dyDescent="0.2">
      <c r="R42302" s="1288"/>
    </row>
    <row r="42303" spans="18:18" s="2" customFormat="1" ht="12.75" x14ac:dyDescent="0.2">
      <c r="R42303" s="1288"/>
    </row>
    <row r="42304" spans="18:18" s="2" customFormat="1" ht="12.75" x14ac:dyDescent="0.2">
      <c r="R42304" s="1288"/>
    </row>
    <row r="42305" spans="18:18" s="2" customFormat="1" ht="12.75" x14ac:dyDescent="0.2">
      <c r="R42305" s="1288"/>
    </row>
    <row r="42306" spans="18:18" s="2" customFormat="1" ht="12.75" x14ac:dyDescent="0.2">
      <c r="R42306" s="1288"/>
    </row>
    <row r="42307" spans="18:18" s="2" customFormat="1" ht="12.75" x14ac:dyDescent="0.2">
      <c r="R42307" s="1288"/>
    </row>
    <row r="42308" spans="18:18" s="2" customFormat="1" ht="12.75" x14ac:dyDescent="0.2">
      <c r="R42308" s="1288"/>
    </row>
    <row r="42309" spans="18:18" s="2" customFormat="1" ht="12.75" x14ac:dyDescent="0.2">
      <c r="R42309" s="1288"/>
    </row>
    <row r="42310" spans="18:18" s="2" customFormat="1" ht="12.75" x14ac:dyDescent="0.2">
      <c r="R42310" s="1288"/>
    </row>
    <row r="42311" spans="18:18" s="2" customFormat="1" ht="12.75" x14ac:dyDescent="0.2">
      <c r="R42311" s="1288"/>
    </row>
    <row r="42312" spans="18:18" s="2" customFormat="1" ht="12.75" x14ac:dyDescent="0.2">
      <c r="R42312" s="1288"/>
    </row>
    <row r="42313" spans="18:18" s="2" customFormat="1" ht="12.75" x14ac:dyDescent="0.2">
      <c r="R42313" s="1288"/>
    </row>
    <row r="42314" spans="18:18" s="2" customFormat="1" ht="12.75" x14ac:dyDescent="0.2">
      <c r="R42314" s="1288"/>
    </row>
    <row r="42315" spans="18:18" s="2" customFormat="1" ht="12.75" x14ac:dyDescent="0.2">
      <c r="R42315" s="1288"/>
    </row>
    <row r="42316" spans="18:18" s="2" customFormat="1" ht="12.75" x14ac:dyDescent="0.2">
      <c r="R42316" s="1288"/>
    </row>
    <row r="42317" spans="18:18" s="2" customFormat="1" ht="12.75" x14ac:dyDescent="0.2">
      <c r="R42317" s="1288"/>
    </row>
    <row r="42318" spans="18:18" s="2" customFormat="1" ht="12.75" x14ac:dyDescent="0.2">
      <c r="R42318" s="1288"/>
    </row>
    <row r="42319" spans="18:18" s="2" customFormat="1" ht="12.75" x14ac:dyDescent="0.2">
      <c r="R42319" s="1288"/>
    </row>
    <row r="42320" spans="18:18" s="2" customFormat="1" ht="12.75" x14ac:dyDescent="0.2">
      <c r="R42320" s="1288"/>
    </row>
    <row r="42321" spans="18:18" s="2" customFormat="1" ht="12.75" x14ac:dyDescent="0.2">
      <c r="R42321" s="1288"/>
    </row>
    <row r="42322" spans="18:18" s="2" customFormat="1" ht="12.75" x14ac:dyDescent="0.2">
      <c r="R42322" s="1288"/>
    </row>
    <row r="42323" spans="18:18" s="2" customFormat="1" ht="12.75" x14ac:dyDescent="0.2">
      <c r="R42323" s="1288"/>
    </row>
    <row r="42324" spans="18:18" s="2" customFormat="1" ht="12.75" x14ac:dyDescent="0.2">
      <c r="R42324" s="1288"/>
    </row>
    <row r="42325" spans="18:18" s="2" customFormat="1" ht="12.75" x14ac:dyDescent="0.2">
      <c r="R42325" s="1288"/>
    </row>
    <row r="42326" spans="18:18" s="2" customFormat="1" ht="12.75" x14ac:dyDescent="0.2">
      <c r="R42326" s="1288"/>
    </row>
    <row r="42327" spans="18:18" s="2" customFormat="1" ht="12.75" x14ac:dyDescent="0.2">
      <c r="R42327" s="1288"/>
    </row>
    <row r="42328" spans="18:18" s="2" customFormat="1" ht="12.75" x14ac:dyDescent="0.2">
      <c r="R42328" s="1288"/>
    </row>
    <row r="42329" spans="18:18" s="2" customFormat="1" ht="12.75" x14ac:dyDescent="0.2">
      <c r="R42329" s="1288"/>
    </row>
    <row r="42330" spans="18:18" s="2" customFormat="1" ht="12.75" x14ac:dyDescent="0.2">
      <c r="R42330" s="1288"/>
    </row>
    <row r="42331" spans="18:18" s="2" customFormat="1" ht="12.75" x14ac:dyDescent="0.2">
      <c r="R42331" s="1288"/>
    </row>
    <row r="42332" spans="18:18" s="2" customFormat="1" ht="12.75" x14ac:dyDescent="0.2">
      <c r="R42332" s="1288"/>
    </row>
    <row r="42333" spans="18:18" s="2" customFormat="1" ht="12.75" x14ac:dyDescent="0.2">
      <c r="R42333" s="1288"/>
    </row>
    <row r="42334" spans="18:18" s="2" customFormat="1" ht="12.75" x14ac:dyDescent="0.2">
      <c r="R42334" s="1288"/>
    </row>
    <row r="42335" spans="18:18" s="2" customFormat="1" ht="12.75" x14ac:dyDescent="0.2">
      <c r="R42335" s="1288"/>
    </row>
    <row r="42336" spans="18:18" s="2" customFormat="1" ht="12.75" x14ac:dyDescent="0.2">
      <c r="R42336" s="1288"/>
    </row>
    <row r="42337" spans="18:18" s="2" customFormat="1" ht="12.75" x14ac:dyDescent="0.2">
      <c r="R42337" s="1288"/>
    </row>
    <row r="42338" spans="18:18" s="2" customFormat="1" ht="12.75" x14ac:dyDescent="0.2">
      <c r="R42338" s="1288"/>
    </row>
    <row r="42339" spans="18:18" s="2" customFormat="1" ht="12.75" x14ac:dyDescent="0.2">
      <c r="R42339" s="1288"/>
    </row>
    <row r="42340" spans="18:18" s="2" customFormat="1" ht="12.75" x14ac:dyDescent="0.2">
      <c r="R42340" s="1288"/>
    </row>
    <row r="42341" spans="18:18" s="2" customFormat="1" ht="12.75" x14ac:dyDescent="0.2">
      <c r="R42341" s="1288"/>
    </row>
    <row r="42342" spans="18:18" s="2" customFormat="1" ht="12.75" x14ac:dyDescent="0.2">
      <c r="R42342" s="1288"/>
    </row>
    <row r="42343" spans="18:18" s="2" customFormat="1" ht="12.75" x14ac:dyDescent="0.2">
      <c r="R42343" s="1288"/>
    </row>
    <row r="42344" spans="18:18" s="2" customFormat="1" ht="12.75" x14ac:dyDescent="0.2">
      <c r="R42344" s="1288"/>
    </row>
    <row r="42345" spans="18:18" s="2" customFormat="1" ht="12.75" x14ac:dyDescent="0.2">
      <c r="R42345" s="1288"/>
    </row>
    <row r="42346" spans="18:18" s="2" customFormat="1" ht="12.75" x14ac:dyDescent="0.2">
      <c r="R42346" s="1288"/>
    </row>
    <row r="42347" spans="18:18" s="2" customFormat="1" ht="12.75" x14ac:dyDescent="0.2">
      <c r="R42347" s="1288"/>
    </row>
    <row r="42348" spans="18:18" s="2" customFormat="1" ht="12.75" x14ac:dyDescent="0.2">
      <c r="R42348" s="1288"/>
    </row>
    <row r="42349" spans="18:18" s="2" customFormat="1" ht="12.75" x14ac:dyDescent="0.2">
      <c r="R42349" s="1288"/>
    </row>
    <row r="42350" spans="18:18" s="2" customFormat="1" ht="12.75" x14ac:dyDescent="0.2">
      <c r="R42350" s="1288"/>
    </row>
    <row r="42351" spans="18:18" s="2" customFormat="1" ht="12.75" x14ac:dyDescent="0.2">
      <c r="R42351" s="1288"/>
    </row>
    <row r="42352" spans="18:18" s="2" customFormat="1" ht="12.75" x14ac:dyDescent="0.2">
      <c r="R42352" s="1288"/>
    </row>
    <row r="42353" spans="18:18" s="2" customFormat="1" ht="12.75" x14ac:dyDescent="0.2">
      <c r="R42353" s="1288"/>
    </row>
    <row r="42354" spans="18:18" s="2" customFormat="1" ht="12.75" x14ac:dyDescent="0.2">
      <c r="R42354" s="1288"/>
    </row>
    <row r="42355" spans="18:18" s="2" customFormat="1" ht="12.75" x14ac:dyDescent="0.2">
      <c r="R42355" s="1288"/>
    </row>
    <row r="42356" spans="18:18" s="2" customFormat="1" ht="12.75" x14ac:dyDescent="0.2">
      <c r="R42356" s="1288"/>
    </row>
    <row r="42357" spans="18:18" s="2" customFormat="1" ht="12.75" x14ac:dyDescent="0.2">
      <c r="R42357" s="1288"/>
    </row>
    <row r="42358" spans="18:18" s="2" customFormat="1" ht="12.75" x14ac:dyDescent="0.2">
      <c r="R42358" s="1288"/>
    </row>
    <row r="42359" spans="18:18" s="2" customFormat="1" ht="12.75" x14ac:dyDescent="0.2">
      <c r="R42359" s="1288"/>
    </row>
    <row r="42360" spans="18:18" s="2" customFormat="1" ht="12.75" x14ac:dyDescent="0.2">
      <c r="R42360" s="1288"/>
    </row>
    <row r="42361" spans="18:18" s="2" customFormat="1" ht="12.75" x14ac:dyDescent="0.2">
      <c r="R42361" s="1288"/>
    </row>
    <row r="42362" spans="18:18" s="2" customFormat="1" ht="12.75" x14ac:dyDescent="0.2">
      <c r="R42362" s="1288"/>
    </row>
    <row r="42363" spans="18:18" s="2" customFormat="1" ht="12.75" x14ac:dyDescent="0.2">
      <c r="R42363" s="1288"/>
    </row>
    <row r="42364" spans="18:18" s="2" customFormat="1" ht="12.75" x14ac:dyDescent="0.2">
      <c r="R42364" s="1288"/>
    </row>
    <row r="42365" spans="18:18" s="2" customFormat="1" ht="12.75" x14ac:dyDescent="0.2">
      <c r="R42365" s="1288"/>
    </row>
    <row r="42366" spans="18:18" s="2" customFormat="1" ht="12.75" x14ac:dyDescent="0.2">
      <c r="R42366" s="1288"/>
    </row>
    <row r="42367" spans="18:18" s="2" customFormat="1" ht="12.75" x14ac:dyDescent="0.2">
      <c r="R42367" s="1288"/>
    </row>
    <row r="42368" spans="18:18" s="2" customFormat="1" ht="12.75" x14ac:dyDescent="0.2">
      <c r="R42368" s="1288"/>
    </row>
    <row r="42369" spans="18:18" s="2" customFormat="1" ht="12.75" x14ac:dyDescent="0.2">
      <c r="R42369" s="1288"/>
    </row>
    <row r="42370" spans="18:18" s="2" customFormat="1" ht="12.75" x14ac:dyDescent="0.2">
      <c r="R42370" s="1288"/>
    </row>
    <row r="42371" spans="18:18" s="2" customFormat="1" ht="12.75" x14ac:dyDescent="0.2">
      <c r="R42371" s="1288"/>
    </row>
    <row r="42372" spans="18:18" s="2" customFormat="1" ht="12.75" x14ac:dyDescent="0.2">
      <c r="R42372" s="1288"/>
    </row>
    <row r="42373" spans="18:18" s="2" customFormat="1" ht="12.75" x14ac:dyDescent="0.2">
      <c r="R42373" s="1288"/>
    </row>
    <row r="42374" spans="18:18" s="2" customFormat="1" ht="12.75" x14ac:dyDescent="0.2">
      <c r="R42374" s="1288"/>
    </row>
    <row r="42375" spans="18:18" s="2" customFormat="1" ht="12.75" x14ac:dyDescent="0.2">
      <c r="R42375" s="1288"/>
    </row>
    <row r="42376" spans="18:18" s="2" customFormat="1" ht="12.75" x14ac:dyDescent="0.2">
      <c r="R42376" s="1288"/>
    </row>
    <row r="42377" spans="18:18" s="2" customFormat="1" ht="12.75" x14ac:dyDescent="0.2">
      <c r="R42377" s="1288"/>
    </row>
    <row r="42378" spans="18:18" s="2" customFormat="1" ht="12.75" x14ac:dyDescent="0.2">
      <c r="R42378" s="1288"/>
    </row>
    <row r="42379" spans="18:18" s="2" customFormat="1" ht="12.75" x14ac:dyDescent="0.2">
      <c r="R42379" s="1288"/>
    </row>
    <row r="42380" spans="18:18" s="2" customFormat="1" ht="12.75" x14ac:dyDescent="0.2">
      <c r="R42380" s="1288"/>
    </row>
    <row r="42381" spans="18:18" s="2" customFormat="1" ht="12.75" x14ac:dyDescent="0.2">
      <c r="R42381" s="1288"/>
    </row>
    <row r="42382" spans="18:18" s="2" customFormat="1" ht="12.75" x14ac:dyDescent="0.2">
      <c r="R42382" s="1288"/>
    </row>
    <row r="42383" spans="18:18" s="2" customFormat="1" ht="12.75" x14ac:dyDescent="0.2">
      <c r="R42383" s="1288"/>
    </row>
    <row r="42384" spans="18:18" s="2" customFormat="1" ht="12.75" x14ac:dyDescent="0.2">
      <c r="R42384" s="1288"/>
    </row>
    <row r="42385" spans="18:18" s="2" customFormat="1" ht="12.75" x14ac:dyDescent="0.2">
      <c r="R42385" s="1288"/>
    </row>
    <row r="42386" spans="18:18" s="2" customFormat="1" ht="12.75" x14ac:dyDescent="0.2">
      <c r="R42386" s="1288"/>
    </row>
    <row r="42387" spans="18:18" s="2" customFormat="1" ht="12.75" x14ac:dyDescent="0.2">
      <c r="R42387" s="1288"/>
    </row>
    <row r="42388" spans="18:18" s="2" customFormat="1" ht="12.75" x14ac:dyDescent="0.2">
      <c r="R42388" s="1288"/>
    </row>
    <row r="42389" spans="18:18" s="2" customFormat="1" ht="12.75" x14ac:dyDescent="0.2">
      <c r="R42389" s="1288"/>
    </row>
    <row r="42390" spans="18:18" s="2" customFormat="1" ht="12.75" x14ac:dyDescent="0.2">
      <c r="R42390" s="1288"/>
    </row>
    <row r="42391" spans="18:18" s="2" customFormat="1" ht="12.75" x14ac:dyDescent="0.2">
      <c r="R42391" s="1288"/>
    </row>
    <row r="42392" spans="18:18" s="2" customFormat="1" ht="12.75" x14ac:dyDescent="0.2">
      <c r="R42392" s="1288"/>
    </row>
    <row r="42393" spans="18:18" s="2" customFormat="1" ht="12.75" x14ac:dyDescent="0.2">
      <c r="R42393" s="1288"/>
    </row>
    <row r="42394" spans="18:18" s="2" customFormat="1" ht="12.75" x14ac:dyDescent="0.2">
      <c r="R42394" s="1288"/>
    </row>
    <row r="42395" spans="18:18" s="2" customFormat="1" ht="12.75" x14ac:dyDescent="0.2">
      <c r="R42395" s="1288"/>
    </row>
    <row r="42396" spans="18:18" s="2" customFormat="1" ht="12.75" x14ac:dyDescent="0.2">
      <c r="R42396" s="1288"/>
    </row>
    <row r="42397" spans="18:18" s="2" customFormat="1" ht="12.75" x14ac:dyDescent="0.2">
      <c r="R42397" s="1288"/>
    </row>
    <row r="42398" spans="18:18" s="2" customFormat="1" ht="12.75" x14ac:dyDescent="0.2">
      <c r="R42398" s="1288"/>
    </row>
    <row r="42399" spans="18:18" s="2" customFormat="1" ht="12.75" x14ac:dyDescent="0.2">
      <c r="R42399" s="1288"/>
    </row>
    <row r="42400" spans="18:18" s="2" customFormat="1" ht="12.75" x14ac:dyDescent="0.2">
      <c r="R42400" s="1288"/>
    </row>
    <row r="42401" spans="18:18" s="2" customFormat="1" ht="12.75" x14ac:dyDescent="0.2">
      <c r="R42401" s="1288"/>
    </row>
    <row r="42402" spans="18:18" s="2" customFormat="1" ht="12.75" x14ac:dyDescent="0.2">
      <c r="R42402" s="1288"/>
    </row>
    <row r="42403" spans="18:18" s="2" customFormat="1" ht="12.75" x14ac:dyDescent="0.2">
      <c r="R42403" s="1288"/>
    </row>
    <row r="42404" spans="18:18" s="2" customFormat="1" ht="12.75" x14ac:dyDescent="0.2">
      <c r="R42404" s="1288"/>
    </row>
    <row r="42405" spans="18:18" s="2" customFormat="1" ht="12.75" x14ac:dyDescent="0.2">
      <c r="R42405" s="1288"/>
    </row>
    <row r="42406" spans="18:18" s="2" customFormat="1" ht="12.75" x14ac:dyDescent="0.2">
      <c r="R42406" s="1288"/>
    </row>
    <row r="42407" spans="18:18" s="2" customFormat="1" ht="12.75" x14ac:dyDescent="0.2">
      <c r="R42407" s="1288"/>
    </row>
    <row r="42408" spans="18:18" s="2" customFormat="1" ht="12.75" x14ac:dyDescent="0.2">
      <c r="R42408" s="1288"/>
    </row>
    <row r="42409" spans="18:18" s="2" customFormat="1" ht="12.75" x14ac:dyDescent="0.2">
      <c r="R42409" s="1288"/>
    </row>
    <row r="42410" spans="18:18" s="2" customFormat="1" ht="12.75" x14ac:dyDescent="0.2">
      <c r="R42410" s="1288"/>
    </row>
    <row r="42411" spans="18:18" s="2" customFormat="1" ht="12.75" x14ac:dyDescent="0.2">
      <c r="R42411" s="1288"/>
    </row>
    <row r="42412" spans="18:18" s="2" customFormat="1" ht="12.75" x14ac:dyDescent="0.2">
      <c r="R42412" s="1288"/>
    </row>
    <row r="42413" spans="18:18" s="2" customFormat="1" ht="12.75" x14ac:dyDescent="0.2">
      <c r="R42413" s="1288"/>
    </row>
    <row r="42414" spans="18:18" s="2" customFormat="1" ht="12.75" x14ac:dyDescent="0.2">
      <c r="R42414" s="1288"/>
    </row>
    <row r="42415" spans="18:18" s="2" customFormat="1" ht="12.75" x14ac:dyDescent="0.2">
      <c r="R42415" s="1288"/>
    </row>
    <row r="42416" spans="18:18" s="2" customFormat="1" ht="12.75" x14ac:dyDescent="0.2">
      <c r="R42416" s="1288"/>
    </row>
    <row r="42417" spans="18:18" s="2" customFormat="1" ht="12.75" x14ac:dyDescent="0.2">
      <c r="R42417" s="1288"/>
    </row>
    <row r="42418" spans="18:18" s="2" customFormat="1" ht="12.75" x14ac:dyDescent="0.2">
      <c r="R42418" s="1288"/>
    </row>
    <row r="42419" spans="18:18" s="2" customFormat="1" ht="12.75" x14ac:dyDescent="0.2">
      <c r="R42419" s="1288"/>
    </row>
    <row r="42420" spans="18:18" s="2" customFormat="1" ht="12.75" x14ac:dyDescent="0.2">
      <c r="R42420" s="1288"/>
    </row>
    <row r="42421" spans="18:18" s="2" customFormat="1" ht="12.75" x14ac:dyDescent="0.2">
      <c r="R42421" s="1288"/>
    </row>
    <row r="42422" spans="18:18" s="2" customFormat="1" ht="12.75" x14ac:dyDescent="0.2">
      <c r="R42422" s="1288"/>
    </row>
    <row r="42423" spans="18:18" s="2" customFormat="1" ht="12.75" x14ac:dyDescent="0.2">
      <c r="R42423" s="1288"/>
    </row>
    <row r="42424" spans="18:18" s="2" customFormat="1" ht="12.75" x14ac:dyDescent="0.2">
      <c r="R42424" s="1288"/>
    </row>
    <row r="42425" spans="18:18" s="2" customFormat="1" ht="12.75" x14ac:dyDescent="0.2">
      <c r="R42425" s="1288"/>
    </row>
    <row r="42426" spans="18:18" s="2" customFormat="1" ht="12.75" x14ac:dyDescent="0.2">
      <c r="R42426" s="1288"/>
    </row>
    <row r="42427" spans="18:18" s="2" customFormat="1" ht="12.75" x14ac:dyDescent="0.2">
      <c r="R42427" s="1288"/>
    </row>
    <row r="42428" spans="18:18" s="2" customFormat="1" ht="12.75" x14ac:dyDescent="0.2">
      <c r="R42428" s="1288"/>
    </row>
    <row r="42429" spans="18:18" s="2" customFormat="1" ht="12.75" x14ac:dyDescent="0.2">
      <c r="R42429" s="1288"/>
    </row>
    <row r="42430" spans="18:18" s="2" customFormat="1" ht="12.75" x14ac:dyDescent="0.2">
      <c r="R42430" s="1288"/>
    </row>
    <row r="42431" spans="18:18" s="2" customFormat="1" ht="12.75" x14ac:dyDescent="0.2">
      <c r="R42431" s="1288"/>
    </row>
    <row r="42432" spans="18:18" s="2" customFormat="1" ht="12.75" x14ac:dyDescent="0.2">
      <c r="R42432" s="1288"/>
    </row>
    <row r="42433" spans="18:18" s="2" customFormat="1" ht="12.75" x14ac:dyDescent="0.2">
      <c r="R42433" s="1288"/>
    </row>
    <row r="42434" spans="18:18" s="2" customFormat="1" ht="12.75" x14ac:dyDescent="0.2">
      <c r="R42434" s="1288"/>
    </row>
    <row r="42435" spans="18:18" s="2" customFormat="1" ht="12.75" x14ac:dyDescent="0.2">
      <c r="R42435" s="1288"/>
    </row>
    <row r="42436" spans="18:18" s="2" customFormat="1" ht="12.75" x14ac:dyDescent="0.2">
      <c r="R42436" s="1288"/>
    </row>
    <row r="42437" spans="18:18" s="2" customFormat="1" ht="12.75" x14ac:dyDescent="0.2">
      <c r="R42437" s="1288"/>
    </row>
    <row r="42438" spans="18:18" s="2" customFormat="1" ht="12.75" x14ac:dyDescent="0.2">
      <c r="R42438" s="1288"/>
    </row>
    <row r="42439" spans="18:18" s="2" customFormat="1" ht="12.75" x14ac:dyDescent="0.2">
      <c r="R42439" s="1288"/>
    </row>
    <row r="42440" spans="18:18" s="2" customFormat="1" ht="12.75" x14ac:dyDescent="0.2">
      <c r="R42440" s="1288"/>
    </row>
    <row r="42441" spans="18:18" s="2" customFormat="1" ht="12.75" x14ac:dyDescent="0.2">
      <c r="R42441" s="1288"/>
    </row>
    <row r="42442" spans="18:18" s="2" customFormat="1" ht="12.75" x14ac:dyDescent="0.2">
      <c r="R42442" s="1288"/>
    </row>
    <row r="42443" spans="18:18" s="2" customFormat="1" ht="12.75" x14ac:dyDescent="0.2">
      <c r="R42443" s="1288"/>
    </row>
    <row r="42444" spans="18:18" s="2" customFormat="1" ht="12.75" x14ac:dyDescent="0.2">
      <c r="R42444" s="1288"/>
    </row>
    <row r="42445" spans="18:18" s="2" customFormat="1" ht="12.75" x14ac:dyDescent="0.2">
      <c r="R42445" s="1288"/>
    </row>
    <row r="42446" spans="18:18" s="2" customFormat="1" ht="12.75" x14ac:dyDescent="0.2">
      <c r="R42446" s="1288"/>
    </row>
    <row r="42447" spans="18:18" s="2" customFormat="1" ht="12.75" x14ac:dyDescent="0.2">
      <c r="R42447" s="1288"/>
    </row>
    <row r="42448" spans="18:18" s="2" customFormat="1" ht="12.75" x14ac:dyDescent="0.2">
      <c r="R42448" s="1288"/>
    </row>
    <row r="42449" spans="18:18" s="2" customFormat="1" ht="12.75" x14ac:dyDescent="0.2">
      <c r="R42449" s="1288"/>
    </row>
    <row r="42450" spans="18:18" s="2" customFormat="1" ht="12.75" x14ac:dyDescent="0.2">
      <c r="R42450" s="1288"/>
    </row>
    <row r="42451" spans="18:18" s="2" customFormat="1" ht="12.75" x14ac:dyDescent="0.2">
      <c r="R42451" s="1288"/>
    </row>
    <row r="42452" spans="18:18" s="2" customFormat="1" ht="12.75" x14ac:dyDescent="0.2">
      <c r="R42452" s="1288"/>
    </row>
    <row r="42453" spans="18:18" s="2" customFormat="1" ht="12.75" x14ac:dyDescent="0.2">
      <c r="R42453" s="1288"/>
    </row>
    <row r="42454" spans="18:18" s="2" customFormat="1" ht="12.75" x14ac:dyDescent="0.2">
      <c r="R42454" s="1288"/>
    </row>
    <row r="42455" spans="18:18" s="2" customFormat="1" ht="12.75" x14ac:dyDescent="0.2">
      <c r="R42455" s="1288"/>
    </row>
    <row r="42456" spans="18:18" s="2" customFormat="1" ht="12.75" x14ac:dyDescent="0.2">
      <c r="R42456" s="1288"/>
    </row>
    <row r="42457" spans="18:18" s="2" customFormat="1" ht="12.75" x14ac:dyDescent="0.2">
      <c r="R42457" s="1288"/>
    </row>
    <row r="42458" spans="18:18" s="2" customFormat="1" ht="12.75" x14ac:dyDescent="0.2">
      <c r="R42458" s="1288"/>
    </row>
    <row r="42459" spans="18:18" s="2" customFormat="1" ht="12.75" x14ac:dyDescent="0.2">
      <c r="R42459" s="1288"/>
    </row>
    <row r="42460" spans="18:18" s="2" customFormat="1" ht="12.75" x14ac:dyDescent="0.2">
      <c r="R42460" s="1288"/>
    </row>
    <row r="42461" spans="18:18" s="2" customFormat="1" ht="12.75" x14ac:dyDescent="0.2">
      <c r="R42461" s="1288"/>
    </row>
    <row r="42462" spans="18:18" s="2" customFormat="1" ht="12.75" x14ac:dyDescent="0.2">
      <c r="R42462" s="1288"/>
    </row>
    <row r="42463" spans="18:18" s="2" customFormat="1" ht="12.75" x14ac:dyDescent="0.2">
      <c r="R42463" s="1288"/>
    </row>
    <row r="42464" spans="18:18" s="2" customFormat="1" ht="12.75" x14ac:dyDescent="0.2">
      <c r="R42464" s="1288"/>
    </row>
    <row r="42465" spans="18:18" s="2" customFormat="1" ht="12.75" x14ac:dyDescent="0.2">
      <c r="R42465" s="1288"/>
    </row>
    <row r="42466" spans="18:18" s="2" customFormat="1" ht="12.75" x14ac:dyDescent="0.2">
      <c r="R42466" s="1288"/>
    </row>
    <row r="42467" spans="18:18" s="2" customFormat="1" ht="12.75" x14ac:dyDescent="0.2">
      <c r="R42467" s="1288"/>
    </row>
    <row r="42468" spans="18:18" s="2" customFormat="1" ht="12.75" x14ac:dyDescent="0.2">
      <c r="R42468" s="1288"/>
    </row>
    <row r="42469" spans="18:18" s="2" customFormat="1" ht="12.75" x14ac:dyDescent="0.2">
      <c r="R42469" s="1288"/>
    </row>
    <row r="42470" spans="18:18" s="2" customFormat="1" ht="12.75" x14ac:dyDescent="0.2">
      <c r="R42470" s="1288"/>
    </row>
    <row r="42471" spans="18:18" s="2" customFormat="1" ht="12.75" x14ac:dyDescent="0.2">
      <c r="R42471" s="1288"/>
    </row>
    <row r="42472" spans="18:18" s="2" customFormat="1" ht="12.75" x14ac:dyDescent="0.2">
      <c r="R42472" s="1288"/>
    </row>
    <row r="42473" spans="18:18" s="2" customFormat="1" ht="12.75" x14ac:dyDescent="0.2">
      <c r="R42473" s="1288"/>
    </row>
    <row r="42474" spans="18:18" s="2" customFormat="1" ht="12.75" x14ac:dyDescent="0.2">
      <c r="R42474" s="1288"/>
    </row>
    <row r="42475" spans="18:18" s="2" customFormat="1" ht="12.75" x14ac:dyDescent="0.2">
      <c r="R42475" s="1288"/>
    </row>
    <row r="42476" spans="18:18" s="2" customFormat="1" ht="12.75" x14ac:dyDescent="0.2">
      <c r="R42476" s="1288"/>
    </row>
    <row r="42477" spans="18:18" s="2" customFormat="1" ht="12.75" x14ac:dyDescent="0.2">
      <c r="R42477" s="1288"/>
    </row>
    <row r="42478" spans="18:18" s="2" customFormat="1" ht="12.75" x14ac:dyDescent="0.2">
      <c r="R42478" s="1288"/>
    </row>
    <row r="42479" spans="18:18" s="2" customFormat="1" ht="12.75" x14ac:dyDescent="0.2">
      <c r="R42479" s="1288"/>
    </row>
    <row r="42480" spans="18:18" s="2" customFormat="1" ht="12.75" x14ac:dyDescent="0.2">
      <c r="R42480" s="1288"/>
    </row>
    <row r="42481" spans="18:18" s="2" customFormat="1" ht="12.75" x14ac:dyDescent="0.2">
      <c r="R42481" s="1288"/>
    </row>
    <row r="42482" spans="18:18" s="2" customFormat="1" ht="12.75" x14ac:dyDescent="0.2">
      <c r="R42482" s="1288"/>
    </row>
    <row r="42483" spans="18:18" s="2" customFormat="1" ht="12.75" x14ac:dyDescent="0.2">
      <c r="R42483" s="1288"/>
    </row>
    <row r="42484" spans="18:18" s="2" customFormat="1" ht="12.75" x14ac:dyDescent="0.2">
      <c r="R42484" s="1288"/>
    </row>
    <row r="42485" spans="18:18" s="2" customFormat="1" ht="12.75" x14ac:dyDescent="0.2">
      <c r="R42485" s="1288"/>
    </row>
    <row r="42486" spans="18:18" s="2" customFormat="1" ht="12.75" x14ac:dyDescent="0.2">
      <c r="R42486" s="1288"/>
    </row>
    <row r="42487" spans="18:18" s="2" customFormat="1" ht="12.75" x14ac:dyDescent="0.2">
      <c r="R42487" s="1288"/>
    </row>
    <row r="42488" spans="18:18" s="2" customFormat="1" ht="12.75" x14ac:dyDescent="0.2">
      <c r="R42488" s="1288"/>
    </row>
    <row r="42489" spans="18:18" s="2" customFormat="1" ht="12.75" x14ac:dyDescent="0.2">
      <c r="R42489" s="1288"/>
    </row>
    <row r="42490" spans="18:18" s="2" customFormat="1" ht="12.75" x14ac:dyDescent="0.2">
      <c r="R42490" s="1288"/>
    </row>
    <row r="42491" spans="18:18" s="2" customFormat="1" ht="12.75" x14ac:dyDescent="0.2">
      <c r="R42491" s="1288"/>
    </row>
    <row r="42492" spans="18:18" s="2" customFormat="1" ht="12.75" x14ac:dyDescent="0.2">
      <c r="R42492" s="1288"/>
    </row>
    <row r="42493" spans="18:18" s="2" customFormat="1" ht="12.75" x14ac:dyDescent="0.2">
      <c r="R42493" s="1288"/>
    </row>
    <row r="42494" spans="18:18" s="2" customFormat="1" ht="12.75" x14ac:dyDescent="0.2">
      <c r="R42494" s="1288"/>
    </row>
    <row r="42495" spans="18:18" s="2" customFormat="1" ht="12.75" x14ac:dyDescent="0.2">
      <c r="R42495" s="1288"/>
    </row>
    <row r="42496" spans="18:18" s="2" customFormat="1" ht="12.75" x14ac:dyDescent="0.2">
      <c r="R42496" s="1288"/>
    </row>
    <row r="42497" spans="18:18" s="2" customFormat="1" ht="12.75" x14ac:dyDescent="0.2">
      <c r="R42497" s="1288"/>
    </row>
    <row r="42498" spans="18:18" s="2" customFormat="1" ht="12.75" x14ac:dyDescent="0.2">
      <c r="R42498" s="1288"/>
    </row>
    <row r="42499" spans="18:18" s="2" customFormat="1" ht="12.75" x14ac:dyDescent="0.2">
      <c r="R42499" s="1288"/>
    </row>
    <row r="42500" spans="18:18" s="2" customFormat="1" ht="12.75" x14ac:dyDescent="0.2">
      <c r="R42500" s="1288"/>
    </row>
    <row r="42501" spans="18:18" s="2" customFormat="1" ht="12.75" x14ac:dyDescent="0.2">
      <c r="R42501" s="1288"/>
    </row>
    <row r="42502" spans="18:18" s="2" customFormat="1" ht="12.75" x14ac:dyDescent="0.2">
      <c r="R42502" s="1288"/>
    </row>
    <row r="42503" spans="18:18" s="2" customFormat="1" ht="12.75" x14ac:dyDescent="0.2">
      <c r="R42503" s="1288"/>
    </row>
    <row r="42504" spans="18:18" s="2" customFormat="1" ht="12.75" x14ac:dyDescent="0.2">
      <c r="R42504" s="1288"/>
    </row>
    <row r="42505" spans="18:18" s="2" customFormat="1" ht="12.75" x14ac:dyDescent="0.2">
      <c r="R42505" s="1288"/>
    </row>
    <row r="42506" spans="18:18" s="2" customFormat="1" ht="12.75" x14ac:dyDescent="0.2">
      <c r="R42506" s="1288"/>
    </row>
    <row r="42507" spans="18:18" s="2" customFormat="1" ht="12.75" x14ac:dyDescent="0.2">
      <c r="R42507" s="1288"/>
    </row>
    <row r="42508" spans="18:18" s="2" customFormat="1" ht="12.75" x14ac:dyDescent="0.2">
      <c r="R42508" s="1288"/>
    </row>
    <row r="42509" spans="18:18" s="2" customFormat="1" ht="12.75" x14ac:dyDescent="0.2">
      <c r="R42509" s="1288"/>
    </row>
    <row r="42510" spans="18:18" s="2" customFormat="1" ht="12.75" x14ac:dyDescent="0.2">
      <c r="R42510" s="1288"/>
    </row>
    <row r="42511" spans="18:18" s="2" customFormat="1" ht="12.75" x14ac:dyDescent="0.2">
      <c r="R42511" s="1288"/>
    </row>
    <row r="42512" spans="18:18" s="2" customFormat="1" ht="12.75" x14ac:dyDescent="0.2">
      <c r="R42512" s="1288"/>
    </row>
    <row r="42513" spans="18:18" s="2" customFormat="1" ht="12.75" x14ac:dyDescent="0.2">
      <c r="R42513" s="1288"/>
    </row>
    <row r="42514" spans="18:18" s="2" customFormat="1" ht="12.75" x14ac:dyDescent="0.2">
      <c r="R42514" s="1288"/>
    </row>
    <row r="42515" spans="18:18" s="2" customFormat="1" ht="12.75" x14ac:dyDescent="0.2">
      <c r="R42515" s="1288"/>
    </row>
    <row r="42516" spans="18:18" s="2" customFormat="1" ht="12.75" x14ac:dyDescent="0.2">
      <c r="R42516" s="1288"/>
    </row>
    <row r="42517" spans="18:18" s="2" customFormat="1" ht="12.75" x14ac:dyDescent="0.2">
      <c r="R42517" s="1288"/>
    </row>
    <row r="42518" spans="18:18" s="2" customFormat="1" ht="12.75" x14ac:dyDescent="0.2">
      <c r="R42518" s="1288"/>
    </row>
    <row r="42519" spans="18:18" s="2" customFormat="1" ht="12.75" x14ac:dyDescent="0.2">
      <c r="R42519" s="1288"/>
    </row>
    <row r="42520" spans="18:18" s="2" customFormat="1" ht="12.75" x14ac:dyDescent="0.2">
      <c r="R42520" s="1288"/>
    </row>
    <row r="42521" spans="18:18" s="2" customFormat="1" ht="12.75" x14ac:dyDescent="0.2">
      <c r="R42521" s="1288"/>
    </row>
    <row r="42522" spans="18:18" s="2" customFormat="1" ht="12.75" x14ac:dyDescent="0.2">
      <c r="R42522" s="1288"/>
    </row>
    <row r="42523" spans="18:18" s="2" customFormat="1" ht="12.75" x14ac:dyDescent="0.2">
      <c r="R42523" s="1288"/>
    </row>
    <row r="42524" spans="18:18" s="2" customFormat="1" ht="12.75" x14ac:dyDescent="0.2">
      <c r="R42524" s="1288"/>
    </row>
    <row r="42525" spans="18:18" s="2" customFormat="1" ht="12.75" x14ac:dyDescent="0.2">
      <c r="R42525" s="1288"/>
    </row>
    <row r="42526" spans="18:18" s="2" customFormat="1" ht="12.75" x14ac:dyDescent="0.2">
      <c r="R42526" s="1288"/>
    </row>
    <row r="42527" spans="18:18" s="2" customFormat="1" ht="12.75" x14ac:dyDescent="0.2">
      <c r="R42527" s="1288"/>
    </row>
    <row r="42528" spans="18:18" s="2" customFormat="1" ht="12.75" x14ac:dyDescent="0.2">
      <c r="R42528" s="1288"/>
    </row>
    <row r="42529" spans="18:18" s="2" customFormat="1" ht="12.75" x14ac:dyDescent="0.2">
      <c r="R42529" s="1288"/>
    </row>
    <row r="42530" spans="18:18" s="2" customFormat="1" ht="12.75" x14ac:dyDescent="0.2">
      <c r="R42530" s="1288"/>
    </row>
    <row r="42531" spans="18:18" s="2" customFormat="1" ht="12.75" x14ac:dyDescent="0.2">
      <c r="R42531" s="1288"/>
    </row>
    <row r="42532" spans="18:18" s="2" customFormat="1" ht="12.75" x14ac:dyDescent="0.2">
      <c r="R42532" s="1288"/>
    </row>
    <row r="42533" spans="18:18" s="2" customFormat="1" ht="12.75" x14ac:dyDescent="0.2">
      <c r="R42533" s="1288"/>
    </row>
    <row r="42534" spans="18:18" s="2" customFormat="1" ht="12.75" x14ac:dyDescent="0.2">
      <c r="R42534" s="1288"/>
    </row>
    <row r="42535" spans="18:18" s="2" customFormat="1" ht="12.75" x14ac:dyDescent="0.2">
      <c r="R42535" s="1288"/>
    </row>
    <row r="42536" spans="18:18" s="2" customFormat="1" ht="12.75" x14ac:dyDescent="0.2">
      <c r="R42536" s="1288"/>
    </row>
    <row r="42537" spans="18:18" s="2" customFormat="1" ht="12.75" x14ac:dyDescent="0.2">
      <c r="R42537" s="1288"/>
    </row>
    <row r="42538" spans="18:18" s="2" customFormat="1" ht="12.75" x14ac:dyDescent="0.2">
      <c r="R42538" s="1288"/>
    </row>
    <row r="42539" spans="18:18" s="2" customFormat="1" ht="12.75" x14ac:dyDescent="0.2">
      <c r="R42539" s="1288"/>
    </row>
    <row r="42540" spans="18:18" s="2" customFormat="1" ht="12.75" x14ac:dyDescent="0.2">
      <c r="R42540" s="1288"/>
    </row>
    <row r="42541" spans="18:18" s="2" customFormat="1" ht="12.75" x14ac:dyDescent="0.2">
      <c r="R42541" s="1288"/>
    </row>
    <row r="42542" spans="18:18" s="2" customFormat="1" ht="12.75" x14ac:dyDescent="0.2">
      <c r="R42542" s="1288"/>
    </row>
    <row r="42543" spans="18:18" s="2" customFormat="1" ht="12.75" x14ac:dyDescent="0.2">
      <c r="R42543" s="1288"/>
    </row>
    <row r="42544" spans="18:18" s="2" customFormat="1" ht="12.75" x14ac:dyDescent="0.2">
      <c r="R42544" s="1288"/>
    </row>
    <row r="42545" spans="18:18" s="2" customFormat="1" ht="12.75" x14ac:dyDescent="0.2">
      <c r="R42545" s="1288"/>
    </row>
    <row r="42546" spans="18:18" s="2" customFormat="1" ht="12.75" x14ac:dyDescent="0.2">
      <c r="R42546" s="1288"/>
    </row>
    <row r="42547" spans="18:18" s="2" customFormat="1" ht="12.75" x14ac:dyDescent="0.2">
      <c r="R42547" s="1288"/>
    </row>
    <row r="42548" spans="18:18" s="2" customFormat="1" ht="12.75" x14ac:dyDescent="0.2">
      <c r="R42548" s="1288"/>
    </row>
    <row r="42549" spans="18:18" s="2" customFormat="1" ht="12.75" x14ac:dyDescent="0.2">
      <c r="R42549" s="1288"/>
    </row>
    <row r="42550" spans="18:18" s="2" customFormat="1" ht="12.75" x14ac:dyDescent="0.2">
      <c r="R42550" s="1288"/>
    </row>
    <row r="42551" spans="18:18" s="2" customFormat="1" ht="12.75" x14ac:dyDescent="0.2">
      <c r="R42551" s="1288"/>
    </row>
    <row r="42552" spans="18:18" s="2" customFormat="1" ht="12.75" x14ac:dyDescent="0.2">
      <c r="R42552" s="1288"/>
    </row>
    <row r="42553" spans="18:18" s="2" customFormat="1" ht="12.75" x14ac:dyDescent="0.2">
      <c r="R42553" s="1288"/>
    </row>
    <row r="42554" spans="18:18" s="2" customFormat="1" ht="12.75" x14ac:dyDescent="0.2">
      <c r="R42554" s="1288"/>
    </row>
    <row r="42555" spans="18:18" s="2" customFormat="1" ht="12.75" x14ac:dyDescent="0.2">
      <c r="R42555" s="1288"/>
    </row>
    <row r="42556" spans="18:18" s="2" customFormat="1" ht="12.75" x14ac:dyDescent="0.2">
      <c r="R42556" s="1288"/>
    </row>
    <row r="42557" spans="18:18" s="2" customFormat="1" ht="12.75" x14ac:dyDescent="0.2">
      <c r="R42557" s="1288"/>
    </row>
    <row r="42558" spans="18:18" s="2" customFormat="1" ht="12.75" x14ac:dyDescent="0.2">
      <c r="R42558" s="1288"/>
    </row>
    <row r="42559" spans="18:18" s="2" customFormat="1" ht="12.75" x14ac:dyDescent="0.2">
      <c r="R42559" s="1288"/>
    </row>
    <row r="42560" spans="18:18" s="2" customFormat="1" ht="12.75" x14ac:dyDescent="0.2">
      <c r="R42560" s="1288"/>
    </row>
    <row r="42561" spans="18:18" s="2" customFormat="1" ht="12.75" x14ac:dyDescent="0.2">
      <c r="R42561" s="1288"/>
    </row>
    <row r="42562" spans="18:18" s="2" customFormat="1" ht="12.75" x14ac:dyDescent="0.2">
      <c r="R42562" s="1288"/>
    </row>
    <row r="42563" spans="18:18" s="2" customFormat="1" ht="12.75" x14ac:dyDescent="0.2">
      <c r="R42563" s="1288"/>
    </row>
    <row r="42564" spans="18:18" s="2" customFormat="1" ht="12.75" x14ac:dyDescent="0.2">
      <c r="R42564" s="1288"/>
    </row>
    <row r="42565" spans="18:18" s="2" customFormat="1" ht="12.75" x14ac:dyDescent="0.2">
      <c r="R42565" s="1288"/>
    </row>
    <row r="42566" spans="18:18" s="2" customFormat="1" ht="12.75" x14ac:dyDescent="0.2">
      <c r="R42566" s="1288"/>
    </row>
    <row r="42567" spans="18:18" s="2" customFormat="1" ht="12.75" x14ac:dyDescent="0.2">
      <c r="R42567" s="1288"/>
    </row>
    <row r="42568" spans="18:18" s="2" customFormat="1" ht="12.75" x14ac:dyDescent="0.2">
      <c r="R42568" s="1288"/>
    </row>
    <row r="42569" spans="18:18" s="2" customFormat="1" ht="12.75" x14ac:dyDescent="0.2">
      <c r="R42569" s="1288"/>
    </row>
    <row r="42570" spans="18:18" s="2" customFormat="1" ht="12.75" x14ac:dyDescent="0.2">
      <c r="R42570" s="1288"/>
    </row>
    <row r="42571" spans="18:18" s="2" customFormat="1" ht="12.75" x14ac:dyDescent="0.2">
      <c r="R42571" s="1288"/>
    </row>
    <row r="42572" spans="18:18" s="2" customFormat="1" ht="12.75" x14ac:dyDescent="0.2">
      <c r="R42572" s="1288"/>
    </row>
    <row r="42573" spans="18:18" s="2" customFormat="1" ht="12.75" x14ac:dyDescent="0.2">
      <c r="R42573" s="1288"/>
    </row>
    <row r="42574" spans="18:18" s="2" customFormat="1" ht="12.75" x14ac:dyDescent="0.2">
      <c r="R42574" s="1288"/>
    </row>
    <row r="42575" spans="18:18" s="2" customFormat="1" ht="12.75" x14ac:dyDescent="0.2">
      <c r="R42575" s="1288"/>
    </row>
    <row r="42576" spans="18:18" s="2" customFormat="1" ht="12.75" x14ac:dyDescent="0.2">
      <c r="R42576" s="1288"/>
    </row>
    <row r="42577" spans="18:18" s="2" customFormat="1" ht="12.75" x14ac:dyDescent="0.2">
      <c r="R42577" s="1288"/>
    </row>
    <row r="42578" spans="18:18" s="2" customFormat="1" ht="12.75" x14ac:dyDescent="0.2">
      <c r="R42578" s="1288"/>
    </row>
    <row r="42579" spans="18:18" s="2" customFormat="1" ht="12.75" x14ac:dyDescent="0.2">
      <c r="R42579" s="1288"/>
    </row>
    <row r="42580" spans="18:18" s="2" customFormat="1" ht="12.75" x14ac:dyDescent="0.2">
      <c r="R42580" s="1288"/>
    </row>
    <row r="42581" spans="18:18" s="2" customFormat="1" ht="12.75" x14ac:dyDescent="0.2">
      <c r="R42581" s="1288"/>
    </row>
    <row r="42582" spans="18:18" s="2" customFormat="1" ht="12.75" x14ac:dyDescent="0.2">
      <c r="R42582" s="1288"/>
    </row>
    <row r="42583" spans="18:18" s="2" customFormat="1" ht="12.75" x14ac:dyDescent="0.2">
      <c r="R42583" s="1288"/>
    </row>
    <row r="42584" spans="18:18" s="2" customFormat="1" ht="12.75" x14ac:dyDescent="0.2">
      <c r="R42584" s="1288"/>
    </row>
    <row r="42585" spans="18:18" s="2" customFormat="1" ht="12.75" x14ac:dyDescent="0.2">
      <c r="R42585" s="1288"/>
    </row>
    <row r="42586" spans="18:18" s="2" customFormat="1" ht="12.75" x14ac:dyDescent="0.2">
      <c r="R42586" s="1288"/>
    </row>
    <row r="42587" spans="18:18" s="2" customFormat="1" ht="12.75" x14ac:dyDescent="0.2">
      <c r="R42587" s="1288"/>
    </row>
    <row r="42588" spans="18:18" s="2" customFormat="1" ht="12.75" x14ac:dyDescent="0.2">
      <c r="R42588" s="1288"/>
    </row>
    <row r="42589" spans="18:18" s="2" customFormat="1" ht="12.75" x14ac:dyDescent="0.2">
      <c r="R42589" s="1288"/>
    </row>
    <row r="42590" spans="18:18" s="2" customFormat="1" ht="12.75" x14ac:dyDescent="0.2">
      <c r="R42590" s="1288"/>
    </row>
    <row r="42591" spans="18:18" s="2" customFormat="1" ht="12.75" x14ac:dyDescent="0.2">
      <c r="R42591" s="1288"/>
    </row>
    <row r="42592" spans="18:18" s="2" customFormat="1" ht="12.75" x14ac:dyDescent="0.2">
      <c r="R42592" s="1288"/>
    </row>
    <row r="42593" spans="18:18" s="2" customFormat="1" ht="12.75" x14ac:dyDescent="0.2">
      <c r="R42593" s="1288"/>
    </row>
    <row r="42594" spans="18:18" s="2" customFormat="1" ht="12.75" x14ac:dyDescent="0.2">
      <c r="R42594" s="1288"/>
    </row>
    <row r="42595" spans="18:18" s="2" customFormat="1" ht="12.75" x14ac:dyDescent="0.2">
      <c r="R42595" s="1288"/>
    </row>
    <row r="42596" spans="18:18" s="2" customFormat="1" ht="12.75" x14ac:dyDescent="0.2">
      <c r="R42596" s="1288"/>
    </row>
    <row r="42597" spans="18:18" s="2" customFormat="1" ht="12.75" x14ac:dyDescent="0.2">
      <c r="R42597" s="1288"/>
    </row>
    <row r="42598" spans="18:18" s="2" customFormat="1" ht="12.75" x14ac:dyDescent="0.2">
      <c r="R42598" s="1288"/>
    </row>
    <row r="42599" spans="18:18" s="2" customFormat="1" ht="12.75" x14ac:dyDescent="0.2">
      <c r="R42599" s="1288"/>
    </row>
    <row r="42600" spans="18:18" s="2" customFormat="1" ht="12.75" x14ac:dyDescent="0.2">
      <c r="R42600" s="1288"/>
    </row>
    <row r="42601" spans="18:18" s="2" customFormat="1" ht="12.75" x14ac:dyDescent="0.2">
      <c r="R42601" s="1288"/>
    </row>
    <row r="42602" spans="18:18" s="2" customFormat="1" ht="12.75" x14ac:dyDescent="0.2">
      <c r="R42602" s="1288"/>
    </row>
    <row r="42603" spans="18:18" s="2" customFormat="1" ht="12.75" x14ac:dyDescent="0.2">
      <c r="R42603" s="1288"/>
    </row>
    <row r="42604" spans="18:18" s="2" customFormat="1" ht="12.75" x14ac:dyDescent="0.2">
      <c r="R42604" s="1288"/>
    </row>
    <row r="42605" spans="18:18" s="2" customFormat="1" ht="12.75" x14ac:dyDescent="0.2">
      <c r="R42605" s="1288"/>
    </row>
    <row r="42606" spans="18:18" s="2" customFormat="1" ht="12.75" x14ac:dyDescent="0.2">
      <c r="R42606" s="1288"/>
    </row>
    <row r="42607" spans="18:18" s="2" customFormat="1" ht="12.75" x14ac:dyDescent="0.2">
      <c r="R42607" s="1288"/>
    </row>
    <row r="42608" spans="18:18" s="2" customFormat="1" ht="12.75" x14ac:dyDescent="0.2">
      <c r="R42608" s="1288"/>
    </row>
    <row r="42609" spans="18:18" s="2" customFormat="1" ht="12.75" x14ac:dyDescent="0.2">
      <c r="R42609" s="1288"/>
    </row>
    <row r="42610" spans="18:18" s="2" customFormat="1" ht="12.75" x14ac:dyDescent="0.2">
      <c r="R42610" s="1288"/>
    </row>
    <row r="42611" spans="18:18" s="2" customFormat="1" ht="12.75" x14ac:dyDescent="0.2">
      <c r="R42611" s="1288"/>
    </row>
    <row r="42612" spans="18:18" s="2" customFormat="1" ht="12.75" x14ac:dyDescent="0.2">
      <c r="R42612" s="1288"/>
    </row>
    <row r="42613" spans="18:18" s="2" customFormat="1" ht="12.75" x14ac:dyDescent="0.2">
      <c r="R42613" s="1288"/>
    </row>
    <row r="42614" spans="18:18" s="2" customFormat="1" ht="12.75" x14ac:dyDescent="0.2">
      <c r="R42614" s="1288"/>
    </row>
    <row r="42615" spans="18:18" s="2" customFormat="1" ht="12.75" x14ac:dyDescent="0.2">
      <c r="R42615" s="1288"/>
    </row>
    <row r="42616" spans="18:18" s="2" customFormat="1" ht="12.75" x14ac:dyDescent="0.2">
      <c r="R42616" s="1288"/>
    </row>
    <row r="42617" spans="18:18" s="2" customFormat="1" ht="12.75" x14ac:dyDescent="0.2">
      <c r="R42617" s="1288"/>
    </row>
    <row r="42618" spans="18:18" s="2" customFormat="1" ht="12.75" x14ac:dyDescent="0.2">
      <c r="R42618" s="1288"/>
    </row>
    <row r="42619" spans="18:18" s="2" customFormat="1" ht="12.75" x14ac:dyDescent="0.2">
      <c r="R42619" s="1288"/>
    </row>
    <row r="42620" spans="18:18" s="2" customFormat="1" ht="12.75" x14ac:dyDescent="0.2">
      <c r="R42620" s="1288"/>
    </row>
    <row r="42621" spans="18:18" s="2" customFormat="1" ht="12.75" x14ac:dyDescent="0.2">
      <c r="R42621" s="1288"/>
    </row>
    <row r="42622" spans="18:18" s="2" customFormat="1" ht="12.75" x14ac:dyDescent="0.2">
      <c r="R42622" s="1288"/>
    </row>
    <row r="42623" spans="18:18" s="2" customFormat="1" ht="12.75" x14ac:dyDescent="0.2">
      <c r="R42623" s="1288"/>
    </row>
    <row r="42624" spans="18:18" s="2" customFormat="1" ht="12.75" x14ac:dyDescent="0.2">
      <c r="R42624" s="1288"/>
    </row>
    <row r="42625" spans="18:18" s="2" customFormat="1" ht="12.75" x14ac:dyDescent="0.2">
      <c r="R42625" s="1288"/>
    </row>
    <row r="42626" spans="18:18" s="2" customFormat="1" ht="12.75" x14ac:dyDescent="0.2">
      <c r="R42626" s="1288"/>
    </row>
    <row r="42627" spans="18:18" s="2" customFormat="1" ht="12.75" x14ac:dyDescent="0.2">
      <c r="R42627" s="1288"/>
    </row>
    <row r="42628" spans="18:18" s="2" customFormat="1" ht="12.75" x14ac:dyDescent="0.2">
      <c r="R42628" s="1288"/>
    </row>
    <row r="42629" spans="18:18" s="2" customFormat="1" ht="12.75" x14ac:dyDescent="0.2">
      <c r="R42629" s="1288"/>
    </row>
    <row r="42630" spans="18:18" s="2" customFormat="1" ht="12.75" x14ac:dyDescent="0.2">
      <c r="R42630" s="1288"/>
    </row>
    <row r="42631" spans="18:18" s="2" customFormat="1" ht="12.75" x14ac:dyDescent="0.2">
      <c r="R42631" s="1288"/>
    </row>
    <row r="42632" spans="18:18" s="2" customFormat="1" ht="12.75" x14ac:dyDescent="0.2">
      <c r="R42632" s="1288"/>
    </row>
    <row r="42633" spans="18:18" s="2" customFormat="1" ht="12.75" x14ac:dyDescent="0.2">
      <c r="R42633" s="1288"/>
    </row>
    <row r="42634" spans="18:18" s="2" customFormat="1" ht="12.75" x14ac:dyDescent="0.2">
      <c r="R42634" s="1288"/>
    </row>
    <row r="42635" spans="18:18" s="2" customFormat="1" ht="12.75" x14ac:dyDescent="0.2">
      <c r="R42635" s="1288"/>
    </row>
    <row r="42636" spans="18:18" s="2" customFormat="1" ht="12.75" x14ac:dyDescent="0.2">
      <c r="R42636" s="1288"/>
    </row>
    <row r="42637" spans="18:18" s="2" customFormat="1" ht="12.75" x14ac:dyDescent="0.2">
      <c r="R42637" s="1288"/>
    </row>
    <row r="42638" spans="18:18" s="2" customFormat="1" ht="12.75" x14ac:dyDescent="0.2">
      <c r="R42638" s="1288"/>
    </row>
    <row r="42639" spans="18:18" s="2" customFormat="1" ht="12.75" x14ac:dyDescent="0.2">
      <c r="R42639" s="1288"/>
    </row>
    <row r="42640" spans="18:18" s="2" customFormat="1" ht="12.75" x14ac:dyDescent="0.2">
      <c r="R42640" s="1288"/>
    </row>
    <row r="42641" spans="18:18" s="2" customFormat="1" ht="12.75" x14ac:dyDescent="0.2">
      <c r="R42641" s="1288"/>
    </row>
    <row r="42642" spans="18:18" s="2" customFormat="1" ht="12.75" x14ac:dyDescent="0.2">
      <c r="R42642" s="1288"/>
    </row>
    <row r="42643" spans="18:18" s="2" customFormat="1" ht="12.75" x14ac:dyDescent="0.2">
      <c r="R42643" s="1288"/>
    </row>
    <row r="42644" spans="18:18" s="2" customFormat="1" ht="12.75" x14ac:dyDescent="0.2">
      <c r="R42644" s="1288"/>
    </row>
    <row r="42645" spans="18:18" s="2" customFormat="1" ht="12.75" x14ac:dyDescent="0.2">
      <c r="R42645" s="1288"/>
    </row>
    <row r="42646" spans="18:18" s="2" customFormat="1" ht="12.75" x14ac:dyDescent="0.2">
      <c r="R42646" s="1288"/>
    </row>
    <row r="42647" spans="18:18" s="2" customFormat="1" ht="12.75" x14ac:dyDescent="0.2">
      <c r="R42647" s="1288"/>
    </row>
    <row r="42648" spans="18:18" s="2" customFormat="1" ht="12.75" x14ac:dyDescent="0.2">
      <c r="R42648" s="1288"/>
    </row>
    <row r="42649" spans="18:18" s="2" customFormat="1" ht="12.75" x14ac:dyDescent="0.2">
      <c r="R42649" s="1288"/>
    </row>
    <row r="42650" spans="18:18" s="2" customFormat="1" ht="12.75" x14ac:dyDescent="0.2">
      <c r="R42650" s="1288"/>
    </row>
    <row r="42651" spans="18:18" s="2" customFormat="1" ht="12.75" x14ac:dyDescent="0.2">
      <c r="R42651" s="1288"/>
    </row>
    <row r="42652" spans="18:18" s="2" customFormat="1" ht="12.75" x14ac:dyDescent="0.2">
      <c r="R42652" s="1288"/>
    </row>
    <row r="42653" spans="18:18" s="2" customFormat="1" ht="12.75" x14ac:dyDescent="0.2">
      <c r="R42653" s="1288"/>
    </row>
    <row r="42654" spans="18:18" s="2" customFormat="1" ht="12.75" x14ac:dyDescent="0.2">
      <c r="R42654" s="1288"/>
    </row>
    <row r="42655" spans="18:18" s="2" customFormat="1" ht="12.75" x14ac:dyDescent="0.2">
      <c r="R42655" s="1288"/>
    </row>
    <row r="42656" spans="18:18" s="2" customFormat="1" ht="12.75" x14ac:dyDescent="0.2">
      <c r="R42656" s="1288"/>
    </row>
    <row r="42657" spans="18:18" s="2" customFormat="1" ht="12.75" x14ac:dyDescent="0.2">
      <c r="R42657" s="1288"/>
    </row>
    <row r="42658" spans="18:18" s="2" customFormat="1" ht="12.75" x14ac:dyDescent="0.2">
      <c r="R42658" s="1288"/>
    </row>
    <row r="42659" spans="18:18" s="2" customFormat="1" ht="12.75" x14ac:dyDescent="0.2">
      <c r="R42659" s="1288"/>
    </row>
    <row r="42660" spans="18:18" s="2" customFormat="1" ht="12.75" x14ac:dyDescent="0.2">
      <c r="R42660" s="1288"/>
    </row>
    <row r="42661" spans="18:18" s="2" customFormat="1" ht="12.75" x14ac:dyDescent="0.2">
      <c r="R42661" s="1288"/>
    </row>
    <row r="42662" spans="18:18" s="2" customFormat="1" ht="12.75" x14ac:dyDescent="0.2">
      <c r="R42662" s="1288"/>
    </row>
    <row r="42663" spans="18:18" s="2" customFormat="1" ht="12.75" x14ac:dyDescent="0.2">
      <c r="R42663" s="1288"/>
    </row>
    <row r="42664" spans="18:18" s="2" customFormat="1" ht="12.75" x14ac:dyDescent="0.2">
      <c r="R42664" s="1288"/>
    </row>
    <row r="42665" spans="18:18" s="2" customFormat="1" ht="12.75" x14ac:dyDescent="0.2">
      <c r="R42665" s="1288"/>
    </row>
    <row r="42666" spans="18:18" s="2" customFormat="1" ht="12.75" x14ac:dyDescent="0.2">
      <c r="R42666" s="1288"/>
    </row>
    <row r="42667" spans="18:18" s="2" customFormat="1" ht="12.75" x14ac:dyDescent="0.2">
      <c r="R42667" s="1288"/>
    </row>
    <row r="42668" spans="18:18" s="2" customFormat="1" ht="12.75" x14ac:dyDescent="0.2">
      <c r="R42668" s="1288"/>
    </row>
    <row r="42669" spans="18:18" s="2" customFormat="1" ht="12.75" x14ac:dyDescent="0.2">
      <c r="R42669" s="1288"/>
    </row>
    <row r="42670" spans="18:18" s="2" customFormat="1" ht="12.75" x14ac:dyDescent="0.2">
      <c r="R42670" s="1288"/>
    </row>
    <row r="42671" spans="18:18" s="2" customFormat="1" ht="12.75" x14ac:dyDescent="0.2">
      <c r="R42671" s="1288"/>
    </row>
    <row r="42672" spans="18:18" s="2" customFormat="1" ht="12.75" x14ac:dyDescent="0.2">
      <c r="R42672" s="1288"/>
    </row>
    <row r="42673" spans="18:18" s="2" customFormat="1" ht="12.75" x14ac:dyDescent="0.2">
      <c r="R42673" s="1288"/>
    </row>
    <row r="42674" spans="18:18" s="2" customFormat="1" ht="12.75" x14ac:dyDescent="0.2">
      <c r="R42674" s="1288"/>
    </row>
    <row r="42675" spans="18:18" s="2" customFormat="1" ht="12.75" x14ac:dyDescent="0.2">
      <c r="R42675" s="1288"/>
    </row>
    <row r="42676" spans="18:18" s="2" customFormat="1" ht="12.75" x14ac:dyDescent="0.2">
      <c r="R42676" s="1288"/>
    </row>
    <row r="42677" spans="18:18" s="2" customFormat="1" ht="12.75" x14ac:dyDescent="0.2">
      <c r="R42677" s="1288"/>
    </row>
    <row r="42678" spans="18:18" s="2" customFormat="1" ht="12.75" x14ac:dyDescent="0.2">
      <c r="R42678" s="1288"/>
    </row>
    <row r="42679" spans="18:18" s="2" customFormat="1" ht="12.75" x14ac:dyDescent="0.2">
      <c r="R42679" s="1288"/>
    </row>
    <row r="42680" spans="18:18" s="2" customFormat="1" ht="12.75" x14ac:dyDescent="0.2">
      <c r="R42680" s="1288"/>
    </row>
    <row r="42681" spans="18:18" s="2" customFormat="1" ht="12.75" x14ac:dyDescent="0.2">
      <c r="R42681" s="1288"/>
    </row>
    <row r="42682" spans="18:18" s="2" customFormat="1" ht="12.75" x14ac:dyDescent="0.2">
      <c r="R42682" s="1288"/>
    </row>
    <row r="42683" spans="18:18" s="2" customFormat="1" ht="12.75" x14ac:dyDescent="0.2">
      <c r="R42683" s="1288"/>
    </row>
    <row r="42684" spans="18:18" s="2" customFormat="1" ht="12.75" x14ac:dyDescent="0.2">
      <c r="R42684" s="1288"/>
    </row>
    <row r="42685" spans="18:18" s="2" customFormat="1" ht="12.75" x14ac:dyDescent="0.2">
      <c r="R42685" s="1288"/>
    </row>
    <row r="42686" spans="18:18" s="2" customFormat="1" ht="12.75" x14ac:dyDescent="0.2">
      <c r="R42686" s="1288"/>
    </row>
    <row r="42687" spans="18:18" s="2" customFormat="1" ht="12.75" x14ac:dyDescent="0.2">
      <c r="R42687" s="1288"/>
    </row>
    <row r="42688" spans="18:18" s="2" customFormat="1" ht="12.75" x14ac:dyDescent="0.2">
      <c r="R42688" s="1288"/>
    </row>
    <row r="42689" spans="18:18" s="2" customFormat="1" ht="12.75" x14ac:dyDescent="0.2">
      <c r="R42689" s="1288"/>
    </row>
    <row r="42690" spans="18:18" s="2" customFormat="1" ht="12.75" x14ac:dyDescent="0.2">
      <c r="R42690" s="1288"/>
    </row>
    <row r="42691" spans="18:18" s="2" customFormat="1" ht="12.75" x14ac:dyDescent="0.2">
      <c r="R42691" s="1288"/>
    </row>
    <row r="42692" spans="18:18" s="2" customFormat="1" ht="12.75" x14ac:dyDescent="0.2">
      <c r="R42692" s="1288"/>
    </row>
    <row r="42693" spans="18:18" s="2" customFormat="1" ht="12.75" x14ac:dyDescent="0.2">
      <c r="R42693" s="1288"/>
    </row>
    <row r="42694" spans="18:18" s="2" customFormat="1" ht="12.75" x14ac:dyDescent="0.2">
      <c r="R42694" s="1288"/>
    </row>
    <row r="42695" spans="18:18" s="2" customFormat="1" ht="12.75" x14ac:dyDescent="0.2">
      <c r="R42695" s="1288"/>
    </row>
    <row r="42696" spans="18:18" s="2" customFormat="1" ht="12.75" x14ac:dyDescent="0.2">
      <c r="R42696" s="1288"/>
    </row>
    <row r="42697" spans="18:18" s="2" customFormat="1" ht="12.75" x14ac:dyDescent="0.2">
      <c r="R42697" s="1288"/>
    </row>
    <row r="42698" spans="18:18" s="2" customFormat="1" ht="12.75" x14ac:dyDescent="0.2">
      <c r="R42698" s="1288"/>
    </row>
    <row r="42699" spans="18:18" s="2" customFormat="1" ht="12.75" x14ac:dyDescent="0.2">
      <c r="R42699" s="1288"/>
    </row>
    <row r="42700" spans="18:18" s="2" customFormat="1" ht="12.75" x14ac:dyDescent="0.2">
      <c r="R42700" s="1288"/>
    </row>
    <row r="42701" spans="18:18" s="2" customFormat="1" ht="12.75" x14ac:dyDescent="0.2">
      <c r="R42701" s="1288"/>
    </row>
    <row r="42702" spans="18:18" s="2" customFormat="1" ht="12.75" x14ac:dyDescent="0.2">
      <c r="R42702" s="1288"/>
    </row>
    <row r="42703" spans="18:18" s="2" customFormat="1" ht="12.75" x14ac:dyDescent="0.2">
      <c r="R42703" s="1288"/>
    </row>
    <row r="42704" spans="18:18" s="2" customFormat="1" ht="12.75" x14ac:dyDescent="0.2">
      <c r="R42704" s="1288"/>
    </row>
    <row r="42705" spans="18:18" s="2" customFormat="1" ht="12.75" x14ac:dyDescent="0.2">
      <c r="R42705" s="1288"/>
    </row>
    <row r="42706" spans="18:18" s="2" customFormat="1" ht="12.75" x14ac:dyDescent="0.2">
      <c r="R42706" s="1288"/>
    </row>
    <row r="42707" spans="18:18" s="2" customFormat="1" ht="12.75" x14ac:dyDescent="0.2">
      <c r="R42707" s="1288"/>
    </row>
    <row r="42708" spans="18:18" s="2" customFormat="1" ht="12.75" x14ac:dyDescent="0.2">
      <c r="R42708" s="1288"/>
    </row>
    <row r="42709" spans="18:18" s="2" customFormat="1" ht="12.75" x14ac:dyDescent="0.2">
      <c r="R42709" s="1288"/>
    </row>
    <row r="42710" spans="18:18" s="2" customFormat="1" ht="12.75" x14ac:dyDescent="0.2">
      <c r="R42710" s="1288"/>
    </row>
    <row r="42711" spans="18:18" s="2" customFormat="1" ht="12.75" x14ac:dyDescent="0.2">
      <c r="R42711" s="1288"/>
    </row>
    <row r="42712" spans="18:18" s="2" customFormat="1" ht="12.75" x14ac:dyDescent="0.2">
      <c r="R42712" s="1288"/>
    </row>
    <row r="42713" spans="18:18" s="2" customFormat="1" ht="12.75" x14ac:dyDescent="0.2">
      <c r="R42713" s="1288"/>
    </row>
    <row r="42714" spans="18:18" s="2" customFormat="1" ht="12.75" x14ac:dyDescent="0.2">
      <c r="R42714" s="1288"/>
    </row>
    <row r="42715" spans="18:18" s="2" customFormat="1" ht="12.75" x14ac:dyDescent="0.2">
      <c r="R42715" s="1288"/>
    </row>
    <row r="42716" spans="18:18" s="2" customFormat="1" ht="12.75" x14ac:dyDescent="0.2">
      <c r="R42716" s="1288"/>
    </row>
    <row r="42717" spans="18:18" s="2" customFormat="1" ht="12.75" x14ac:dyDescent="0.2">
      <c r="R42717" s="1288"/>
    </row>
    <row r="42718" spans="18:18" s="2" customFormat="1" ht="12.75" x14ac:dyDescent="0.2">
      <c r="R42718" s="1288"/>
    </row>
    <row r="42719" spans="18:18" s="2" customFormat="1" ht="12.75" x14ac:dyDescent="0.2">
      <c r="R42719" s="1288"/>
    </row>
    <row r="42720" spans="18:18" s="2" customFormat="1" ht="12.75" x14ac:dyDescent="0.2">
      <c r="R42720" s="1288"/>
    </row>
    <row r="42721" spans="18:18" s="2" customFormat="1" ht="12.75" x14ac:dyDescent="0.2">
      <c r="R42721" s="1288"/>
    </row>
    <row r="42722" spans="18:18" s="2" customFormat="1" ht="12.75" x14ac:dyDescent="0.2">
      <c r="R42722" s="1288"/>
    </row>
    <row r="42723" spans="18:18" s="2" customFormat="1" ht="12.75" x14ac:dyDescent="0.2">
      <c r="R42723" s="1288"/>
    </row>
    <row r="42724" spans="18:18" s="2" customFormat="1" ht="12.75" x14ac:dyDescent="0.2">
      <c r="R42724" s="1288"/>
    </row>
    <row r="42725" spans="18:18" s="2" customFormat="1" ht="12.75" x14ac:dyDescent="0.2">
      <c r="R42725" s="1288"/>
    </row>
    <row r="42726" spans="18:18" s="2" customFormat="1" ht="12.75" x14ac:dyDescent="0.2">
      <c r="R42726" s="1288"/>
    </row>
    <row r="42727" spans="18:18" s="2" customFormat="1" ht="12.75" x14ac:dyDescent="0.2">
      <c r="R42727" s="1288"/>
    </row>
    <row r="42728" spans="18:18" s="2" customFormat="1" ht="12.75" x14ac:dyDescent="0.2">
      <c r="R42728" s="1288"/>
    </row>
    <row r="42729" spans="18:18" s="2" customFormat="1" ht="12.75" x14ac:dyDescent="0.2">
      <c r="R42729" s="1288"/>
    </row>
    <row r="42730" spans="18:18" s="2" customFormat="1" ht="12.75" x14ac:dyDescent="0.2">
      <c r="R42730" s="1288"/>
    </row>
    <row r="42731" spans="18:18" s="2" customFormat="1" ht="12.75" x14ac:dyDescent="0.2">
      <c r="R42731" s="1288"/>
    </row>
    <row r="42732" spans="18:18" s="2" customFormat="1" ht="12.75" x14ac:dyDescent="0.2">
      <c r="R42732" s="1288"/>
    </row>
    <row r="42733" spans="18:18" s="2" customFormat="1" ht="12.75" x14ac:dyDescent="0.2">
      <c r="R42733" s="1288"/>
    </row>
    <row r="42734" spans="18:18" s="2" customFormat="1" ht="12.75" x14ac:dyDescent="0.2">
      <c r="R42734" s="1288"/>
    </row>
    <row r="42735" spans="18:18" s="2" customFormat="1" ht="12.75" x14ac:dyDescent="0.2">
      <c r="R42735" s="1288"/>
    </row>
    <row r="42736" spans="18:18" s="2" customFormat="1" ht="12.75" x14ac:dyDescent="0.2">
      <c r="R42736" s="1288"/>
    </row>
    <row r="42737" spans="18:18" s="2" customFormat="1" ht="12.75" x14ac:dyDescent="0.2">
      <c r="R42737" s="1288"/>
    </row>
    <row r="42738" spans="18:18" s="2" customFormat="1" ht="12.75" x14ac:dyDescent="0.2">
      <c r="R42738" s="1288"/>
    </row>
    <row r="42739" spans="18:18" s="2" customFormat="1" ht="12.75" x14ac:dyDescent="0.2">
      <c r="R42739" s="1288"/>
    </row>
    <row r="42740" spans="18:18" s="2" customFormat="1" ht="12.75" x14ac:dyDescent="0.2">
      <c r="R42740" s="1288"/>
    </row>
    <row r="42741" spans="18:18" s="2" customFormat="1" ht="12.75" x14ac:dyDescent="0.2">
      <c r="R42741" s="1288"/>
    </row>
    <row r="42742" spans="18:18" s="2" customFormat="1" ht="12.75" x14ac:dyDescent="0.2">
      <c r="R42742" s="1288"/>
    </row>
    <row r="42743" spans="18:18" s="2" customFormat="1" ht="12.75" x14ac:dyDescent="0.2">
      <c r="R42743" s="1288"/>
    </row>
    <row r="42744" spans="18:18" s="2" customFormat="1" ht="12.75" x14ac:dyDescent="0.2">
      <c r="R42744" s="1288"/>
    </row>
    <row r="42745" spans="18:18" s="2" customFormat="1" ht="12.75" x14ac:dyDescent="0.2">
      <c r="R42745" s="1288"/>
    </row>
    <row r="42746" spans="18:18" s="2" customFormat="1" ht="12.75" x14ac:dyDescent="0.2">
      <c r="R42746" s="1288"/>
    </row>
    <row r="42747" spans="18:18" s="2" customFormat="1" ht="12.75" x14ac:dyDescent="0.2">
      <c r="R42747" s="1288"/>
    </row>
    <row r="42748" spans="18:18" s="2" customFormat="1" ht="12.75" x14ac:dyDescent="0.2">
      <c r="R42748" s="1288"/>
    </row>
    <row r="42749" spans="18:18" s="2" customFormat="1" ht="12.75" x14ac:dyDescent="0.2">
      <c r="R42749" s="1288"/>
    </row>
    <row r="42750" spans="18:18" s="2" customFormat="1" ht="12.75" x14ac:dyDescent="0.2">
      <c r="R42750" s="1288"/>
    </row>
    <row r="42751" spans="18:18" s="2" customFormat="1" ht="12.75" x14ac:dyDescent="0.2">
      <c r="R42751" s="1288"/>
    </row>
    <row r="42752" spans="18:18" s="2" customFormat="1" ht="12.75" x14ac:dyDescent="0.2">
      <c r="R42752" s="1288"/>
    </row>
    <row r="42753" spans="18:18" s="2" customFormat="1" ht="12.75" x14ac:dyDescent="0.2">
      <c r="R42753" s="1288"/>
    </row>
    <row r="42754" spans="18:18" s="2" customFormat="1" ht="12.75" x14ac:dyDescent="0.2">
      <c r="R42754" s="1288"/>
    </row>
    <row r="42755" spans="18:18" s="2" customFormat="1" ht="12.75" x14ac:dyDescent="0.2">
      <c r="R42755" s="1288"/>
    </row>
    <row r="42756" spans="18:18" s="2" customFormat="1" ht="12.75" x14ac:dyDescent="0.2">
      <c r="R42756" s="1288"/>
    </row>
    <row r="42757" spans="18:18" s="2" customFormat="1" ht="12.75" x14ac:dyDescent="0.2">
      <c r="R42757" s="1288"/>
    </row>
    <row r="42758" spans="18:18" s="2" customFormat="1" ht="12.75" x14ac:dyDescent="0.2">
      <c r="R42758" s="1288"/>
    </row>
    <row r="42759" spans="18:18" s="2" customFormat="1" ht="12.75" x14ac:dyDescent="0.2">
      <c r="R42759" s="1288"/>
    </row>
    <row r="42760" spans="18:18" s="2" customFormat="1" ht="12.75" x14ac:dyDescent="0.2">
      <c r="R42760" s="1288"/>
    </row>
    <row r="42761" spans="18:18" s="2" customFormat="1" ht="12.75" x14ac:dyDescent="0.2">
      <c r="R42761" s="1288"/>
    </row>
    <row r="42762" spans="18:18" s="2" customFormat="1" ht="12.75" x14ac:dyDescent="0.2">
      <c r="R42762" s="1288"/>
    </row>
    <row r="42763" spans="18:18" s="2" customFormat="1" ht="12.75" x14ac:dyDescent="0.2">
      <c r="R42763" s="1288"/>
    </row>
    <row r="42764" spans="18:18" s="2" customFormat="1" ht="12.75" x14ac:dyDescent="0.2">
      <c r="R42764" s="1288"/>
    </row>
    <row r="42765" spans="18:18" s="2" customFormat="1" ht="12.75" x14ac:dyDescent="0.2">
      <c r="R42765" s="1288"/>
    </row>
    <row r="42766" spans="18:18" s="2" customFormat="1" ht="12.75" x14ac:dyDescent="0.2">
      <c r="R42766" s="1288"/>
    </row>
    <row r="42767" spans="18:18" s="2" customFormat="1" ht="12.75" x14ac:dyDescent="0.2">
      <c r="R42767" s="1288"/>
    </row>
    <row r="42768" spans="18:18" s="2" customFormat="1" ht="12.75" x14ac:dyDescent="0.2">
      <c r="R42768" s="1288"/>
    </row>
    <row r="42769" spans="18:18" s="2" customFormat="1" ht="12.75" x14ac:dyDescent="0.2">
      <c r="R42769" s="1288"/>
    </row>
    <row r="42770" spans="18:18" s="2" customFormat="1" ht="12.75" x14ac:dyDescent="0.2">
      <c r="R42770" s="1288"/>
    </row>
    <row r="42771" spans="18:18" s="2" customFormat="1" ht="12.75" x14ac:dyDescent="0.2">
      <c r="R42771" s="1288"/>
    </row>
    <row r="42772" spans="18:18" s="2" customFormat="1" ht="12.75" x14ac:dyDescent="0.2">
      <c r="R42772" s="1288"/>
    </row>
    <row r="42773" spans="18:18" s="2" customFormat="1" ht="12.75" x14ac:dyDescent="0.2">
      <c r="R42773" s="1288"/>
    </row>
    <row r="42774" spans="18:18" s="2" customFormat="1" ht="12.75" x14ac:dyDescent="0.2">
      <c r="R42774" s="1288"/>
    </row>
    <row r="42775" spans="18:18" s="2" customFormat="1" ht="12.75" x14ac:dyDescent="0.2">
      <c r="R42775" s="1288"/>
    </row>
    <row r="42776" spans="18:18" s="2" customFormat="1" ht="12.75" x14ac:dyDescent="0.2">
      <c r="R42776" s="1288"/>
    </row>
    <row r="42777" spans="18:18" s="2" customFormat="1" ht="12.75" x14ac:dyDescent="0.2">
      <c r="R42777" s="1288"/>
    </row>
    <row r="42778" spans="18:18" s="2" customFormat="1" ht="12.75" x14ac:dyDescent="0.2">
      <c r="R42778" s="1288"/>
    </row>
    <row r="42779" spans="18:18" s="2" customFormat="1" ht="12.75" x14ac:dyDescent="0.2">
      <c r="R42779" s="1288"/>
    </row>
    <row r="42780" spans="18:18" s="2" customFormat="1" ht="12.75" x14ac:dyDescent="0.2">
      <c r="R42780" s="1288"/>
    </row>
    <row r="42781" spans="18:18" s="2" customFormat="1" ht="12.75" x14ac:dyDescent="0.2">
      <c r="R42781" s="1288"/>
    </row>
    <row r="42782" spans="18:18" s="2" customFormat="1" ht="12.75" x14ac:dyDescent="0.2">
      <c r="R42782" s="1288"/>
    </row>
    <row r="42783" spans="18:18" s="2" customFormat="1" ht="12.75" x14ac:dyDescent="0.2">
      <c r="R42783" s="1288"/>
    </row>
    <row r="42784" spans="18:18" s="2" customFormat="1" ht="12.75" x14ac:dyDescent="0.2">
      <c r="R42784" s="1288"/>
    </row>
    <row r="42785" spans="18:18" s="2" customFormat="1" ht="12.75" x14ac:dyDescent="0.2">
      <c r="R42785" s="1288"/>
    </row>
    <row r="42786" spans="18:18" s="2" customFormat="1" ht="12.75" x14ac:dyDescent="0.2">
      <c r="R42786" s="1288"/>
    </row>
    <row r="42787" spans="18:18" s="2" customFormat="1" ht="12.75" x14ac:dyDescent="0.2">
      <c r="R42787" s="1288"/>
    </row>
    <row r="42788" spans="18:18" s="2" customFormat="1" ht="12.75" x14ac:dyDescent="0.2">
      <c r="R42788" s="1288"/>
    </row>
    <row r="42789" spans="18:18" s="2" customFormat="1" ht="12.75" x14ac:dyDescent="0.2">
      <c r="R42789" s="1288"/>
    </row>
    <row r="42790" spans="18:18" s="2" customFormat="1" ht="12.75" x14ac:dyDescent="0.2">
      <c r="R42790" s="1288"/>
    </row>
    <row r="42791" spans="18:18" s="2" customFormat="1" ht="12.75" x14ac:dyDescent="0.2">
      <c r="R42791" s="1288"/>
    </row>
    <row r="42792" spans="18:18" s="2" customFormat="1" ht="12.75" x14ac:dyDescent="0.2">
      <c r="R42792" s="1288"/>
    </row>
    <row r="42793" spans="18:18" s="2" customFormat="1" ht="12.75" x14ac:dyDescent="0.2">
      <c r="R42793" s="1288"/>
    </row>
    <row r="42794" spans="18:18" s="2" customFormat="1" ht="12.75" x14ac:dyDescent="0.2">
      <c r="R42794" s="1288"/>
    </row>
    <row r="42795" spans="18:18" s="2" customFormat="1" ht="12.75" x14ac:dyDescent="0.2">
      <c r="R42795" s="1288"/>
    </row>
    <row r="42796" spans="18:18" s="2" customFormat="1" ht="12.75" x14ac:dyDescent="0.2">
      <c r="R42796" s="1288"/>
    </row>
    <row r="42797" spans="18:18" s="2" customFormat="1" ht="12.75" x14ac:dyDescent="0.2">
      <c r="R42797" s="1288"/>
    </row>
    <row r="42798" spans="18:18" s="2" customFormat="1" ht="12.75" x14ac:dyDescent="0.2">
      <c r="R42798" s="1288"/>
    </row>
    <row r="42799" spans="18:18" s="2" customFormat="1" ht="12.75" x14ac:dyDescent="0.2">
      <c r="R42799" s="1288"/>
    </row>
    <row r="42800" spans="18:18" s="2" customFormat="1" ht="12.75" x14ac:dyDescent="0.2">
      <c r="R42800" s="1288"/>
    </row>
    <row r="42801" spans="18:18" s="2" customFormat="1" ht="12.75" x14ac:dyDescent="0.2">
      <c r="R42801" s="1288"/>
    </row>
    <row r="42802" spans="18:18" s="2" customFormat="1" ht="12.75" x14ac:dyDescent="0.2">
      <c r="R42802" s="1288"/>
    </row>
    <row r="42803" spans="18:18" s="2" customFormat="1" ht="12.75" x14ac:dyDescent="0.2">
      <c r="R42803" s="1288"/>
    </row>
    <row r="42804" spans="18:18" s="2" customFormat="1" ht="12.75" x14ac:dyDescent="0.2">
      <c r="R42804" s="1288"/>
    </row>
    <row r="42805" spans="18:18" s="2" customFormat="1" ht="12.75" x14ac:dyDescent="0.2">
      <c r="R42805" s="1288"/>
    </row>
    <row r="42806" spans="18:18" s="2" customFormat="1" ht="12.75" x14ac:dyDescent="0.2">
      <c r="R42806" s="1288"/>
    </row>
    <row r="42807" spans="18:18" s="2" customFormat="1" ht="12.75" x14ac:dyDescent="0.2">
      <c r="R42807" s="1288"/>
    </row>
    <row r="42808" spans="18:18" s="2" customFormat="1" ht="12.75" x14ac:dyDescent="0.2">
      <c r="R42808" s="1288"/>
    </row>
    <row r="42809" spans="18:18" s="2" customFormat="1" ht="12.75" x14ac:dyDescent="0.2">
      <c r="R42809" s="1288"/>
    </row>
    <row r="42810" spans="18:18" s="2" customFormat="1" ht="12.75" x14ac:dyDescent="0.2">
      <c r="R42810" s="1288"/>
    </row>
    <row r="42811" spans="18:18" s="2" customFormat="1" ht="12.75" x14ac:dyDescent="0.2">
      <c r="R42811" s="1288"/>
    </row>
    <row r="42812" spans="18:18" s="2" customFormat="1" ht="12.75" x14ac:dyDescent="0.2">
      <c r="R42812" s="1288"/>
    </row>
    <row r="42813" spans="18:18" s="2" customFormat="1" ht="12.75" x14ac:dyDescent="0.2">
      <c r="R42813" s="1288"/>
    </row>
    <row r="42814" spans="18:18" s="2" customFormat="1" ht="12.75" x14ac:dyDescent="0.2">
      <c r="R42814" s="1288"/>
    </row>
    <row r="42815" spans="18:18" s="2" customFormat="1" ht="12.75" x14ac:dyDescent="0.2">
      <c r="R42815" s="1288"/>
    </row>
    <row r="42816" spans="18:18" s="2" customFormat="1" ht="12.75" x14ac:dyDescent="0.2">
      <c r="R42816" s="1288"/>
    </row>
    <row r="42817" spans="18:18" s="2" customFormat="1" ht="12.75" x14ac:dyDescent="0.2">
      <c r="R42817" s="1288"/>
    </row>
    <row r="42818" spans="18:18" s="2" customFormat="1" ht="12.75" x14ac:dyDescent="0.2">
      <c r="R42818" s="1288"/>
    </row>
    <row r="42819" spans="18:18" s="2" customFormat="1" ht="12.75" x14ac:dyDescent="0.2">
      <c r="R42819" s="1288"/>
    </row>
    <row r="42820" spans="18:18" s="2" customFormat="1" ht="12.75" x14ac:dyDescent="0.2">
      <c r="R42820" s="1288"/>
    </row>
    <row r="42821" spans="18:18" s="2" customFormat="1" ht="12.75" x14ac:dyDescent="0.2">
      <c r="R42821" s="1288"/>
    </row>
    <row r="42822" spans="18:18" s="2" customFormat="1" ht="12.75" x14ac:dyDescent="0.2">
      <c r="R42822" s="1288"/>
    </row>
    <row r="42823" spans="18:18" s="2" customFormat="1" ht="12.75" x14ac:dyDescent="0.2">
      <c r="R42823" s="1288"/>
    </row>
    <row r="42824" spans="18:18" s="2" customFormat="1" ht="12.75" x14ac:dyDescent="0.2">
      <c r="R42824" s="1288"/>
    </row>
    <row r="42825" spans="18:18" s="2" customFormat="1" ht="12.75" x14ac:dyDescent="0.2">
      <c r="R42825" s="1288"/>
    </row>
    <row r="42826" spans="18:18" s="2" customFormat="1" ht="12.75" x14ac:dyDescent="0.2">
      <c r="R42826" s="1288"/>
    </row>
    <row r="42827" spans="18:18" s="2" customFormat="1" ht="12.75" x14ac:dyDescent="0.2">
      <c r="R42827" s="1288"/>
    </row>
    <row r="42828" spans="18:18" s="2" customFormat="1" ht="12.75" x14ac:dyDescent="0.2">
      <c r="R42828" s="1288"/>
    </row>
    <row r="42829" spans="18:18" s="2" customFormat="1" ht="12.75" x14ac:dyDescent="0.2">
      <c r="R42829" s="1288"/>
    </row>
    <row r="42830" spans="18:18" s="2" customFormat="1" ht="12.75" x14ac:dyDescent="0.2">
      <c r="R42830" s="1288"/>
    </row>
    <row r="42831" spans="18:18" s="2" customFormat="1" ht="12.75" x14ac:dyDescent="0.2">
      <c r="R42831" s="1288"/>
    </row>
    <row r="42832" spans="18:18" s="2" customFormat="1" ht="12.75" x14ac:dyDescent="0.2">
      <c r="R42832" s="1288"/>
    </row>
    <row r="42833" spans="18:18" s="2" customFormat="1" ht="12.75" x14ac:dyDescent="0.2">
      <c r="R42833" s="1288"/>
    </row>
    <row r="42834" spans="18:18" s="2" customFormat="1" ht="12.75" x14ac:dyDescent="0.2">
      <c r="R42834" s="1288"/>
    </row>
    <row r="42835" spans="18:18" s="2" customFormat="1" ht="12.75" x14ac:dyDescent="0.2">
      <c r="R42835" s="1288"/>
    </row>
    <row r="42836" spans="18:18" s="2" customFormat="1" ht="12.75" x14ac:dyDescent="0.2">
      <c r="R42836" s="1288"/>
    </row>
    <row r="42837" spans="18:18" s="2" customFormat="1" ht="12.75" x14ac:dyDescent="0.2">
      <c r="R42837" s="1288"/>
    </row>
    <row r="42838" spans="18:18" s="2" customFormat="1" ht="12.75" x14ac:dyDescent="0.2">
      <c r="R42838" s="1288"/>
    </row>
    <row r="42839" spans="18:18" s="2" customFormat="1" ht="12.75" x14ac:dyDescent="0.2">
      <c r="R42839" s="1288"/>
    </row>
    <row r="42840" spans="18:18" s="2" customFormat="1" ht="12.75" x14ac:dyDescent="0.2">
      <c r="R42840" s="1288"/>
    </row>
    <row r="42841" spans="18:18" s="2" customFormat="1" ht="12.75" x14ac:dyDescent="0.2">
      <c r="R42841" s="1288"/>
    </row>
    <row r="42842" spans="18:18" s="2" customFormat="1" ht="12.75" x14ac:dyDescent="0.2">
      <c r="R42842" s="1288"/>
    </row>
    <row r="42843" spans="18:18" s="2" customFormat="1" ht="12.75" x14ac:dyDescent="0.2">
      <c r="R42843" s="1288"/>
    </row>
    <row r="42844" spans="18:18" s="2" customFormat="1" ht="12.75" x14ac:dyDescent="0.2">
      <c r="R42844" s="1288"/>
    </row>
    <row r="42845" spans="18:18" s="2" customFormat="1" ht="12.75" x14ac:dyDescent="0.2">
      <c r="R42845" s="1288"/>
    </row>
    <row r="42846" spans="18:18" s="2" customFormat="1" ht="12.75" x14ac:dyDescent="0.2">
      <c r="R42846" s="1288"/>
    </row>
    <row r="42847" spans="18:18" s="2" customFormat="1" ht="12.75" x14ac:dyDescent="0.2">
      <c r="R42847" s="1288"/>
    </row>
    <row r="42848" spans="18:18" s="2" customFormat="1" ht="12.75" x14ac:dyDescent="0.2">
      <c r="R42848" s="1288"/>
    </row>
    <row r="42849" spans="18:18" s="2" customFormat="1" ht="12.75" x14ac:dyDescent="0.2">
      <c r="R42849" s="1288"/>
    </row>
    <row r="42850" spans="18:18" s="2" customFormat="1" ht="12.75" x14ac:dyDescent="0.2">
      <c r="R42850" s="1288"/>
    </row>
    <row r="42851" spans="18:18" s="2" customFormat="1" ht="12.75" x14ac:dyDescent="0.2">
      <c r="R42851" s="1288"/>
    </row>
    <row r="42852" spans="18:18" s="2" customFormat="1" ht="12.75" x14ac:dyDescent="0.2">
      <c r="R42852" s="1288"/>
    </row>
    <row r="42853" spans="18:18" s="2" customFormat="1" ht="12.75" x14ac:dyDescent="0.2">
      <c r="R42853" s="1288"/>
    </row>
    <row r="42854" spans="18:18" s="2" customFormat="1" ht="12.75" x14ac:dyDescent="0.2">
      <c r="R42854" s="1288"/>
    </row>
    <row r="42855" spans="18:18" s="2" customFormat="1" ht="12.75" x14ac:dyDescent="0.2">
      <c r="R42855" s="1288"/>
    </row>
    <row r="42856" spans="18:18" s="2" customFormat="1" ht="12.75" x14ac:dyDescent="0.2">
      <c r="R42856" s="1288"/>
    </row>
    <row r="42857" spans="18:18" s="2" customFormat="1" ht="12.75" x14ac:dyDescent="0.2">
      <c r="R42857" s="1288"/>
    </row>
    <row r="42858" spans="18:18" s="2" customFormat="1" ht="12.75" x14ac:dyDescent="0.2">
      <c r="R42858" s="1288"/>
    </row>
    <row r="42859" spans="18:18" s="2" customFormat="1" ht="12.75" x14ac:dyDescent="0.2">
      <c r="R42859" s="1288"/>
    </row>
    <row r="42860" spans="18:18" s="2" customFormat="1" ht="12.75" x14ac:dyDescent="0.2">
      <c r="R42860" s="1288"/>
    </row>
    <row r="42861" spans="18:18" s="2" customFormat="1" ht="12.75" x14ac:dyDescent="0.2">
      <c r="R42861" s="1288"/>
    </row>
    <row r="42862" spans="18:18" s="2" customFormat="1" ht="12.75" x14ac:dyDescent="0.2">
      <c r="R42862" s="1288"/>
    </row>
    <row r="42863" spans="18:18" s="2" customFormat="1" ht="12.75" x14ac:dyDescent="0.2">
      <c r="R42863" s="1288"/>
    </row>
    <row r="42864" spans="18:18" s="2" customFormat="1" ht="12.75" x14ac:dyDescent="0.2">
      <c r="R42864" s="1288"/>
    </row>
    <row r="42865" spans="18:18" s="2" customFormat="1" ht="12.75" x14ac:dyDescent="0.2">
      <c r="R42865" s="1288"/>
    </row>
    <row r="42866" spans="18:18" s="2" customFormat="1" ht="12.75" x14ac:dyDescent="0.2">
      <c r="R42866" s="1288"/>
    </row>
    <row r="42867" spans="18:18" s="2" customFormat="1" ht="12.75" x14ac:dyDescent="0.2">
      <c r="R42867" s="1288"/>
    </row>
    <row r="42868" spans="18:18" s="2" customFormat="1" ht="12.75" x14ac:dyDescent="0.2">
      <c r="R42868" s="1288"/>
    </row>
    <row r="42869" spans="18:18" s="2" customFormat="1" ht="12.75" x14ac:dyDescent="0.2">
      <c r="R42869" s="1288"/>
    </row>
    <row r="42870" spans="18:18" s="2" customFormat="1" ht="12.75" x14ac:dyDescent="0.2">
      <c r="R42870" s="1288"/>
    </row>
    <row r="42871" spans="18:18" s="2" customFormat="1" ht="12.75" x14ac:dyDescent="0.2">
      <c r="R42871" s="1288"/>
    </row>
    <row r="42872" spans="18:18" s="2" customFormat="1" ht="12.75" x14ac:dyDescent="0.2">
      <c r="R42872" s="1288"/>
    </row>
    <row r="42873" spans="18:18" s="2" customFormat="1" ht="12.75" x14ac:dyDescent="0.2">
      <c r="R42873" s="1288"/>
    </row>
    <row r="42874" spans="18:18" s="2" customFormat="1" ht="12.75" x14ac:dyDescent="0.2">
      <c r="R42874" s="1288"/>
    </row>
    <row r="42875" spans="18:18" s="2" customFormat="1" ht="12.75" x14ac:dyDescent="0.2">
      <c r="R42875" s="1288"/>
    </row>
    <row r="42876" spans="18:18" s="2" customFormat="1" ht="12.75" x14ac:dyDescent="0.2">
      <c r="R42876" s="1288"/>
    </row>
    <row r="42877" spans="18:18" s="2" customFormat="1" ht="12.75" x14ac:dyDescent="0.2">
      <c r="R42877" s="1288"/>
    </row>
    <row r="42878" spans="18:18" s="2" customFormat="1" ht="12.75" x14ac:dyDescent="0.2">
      <c r="R42878" s="1288"/>
    </row>
    <row r="42879" spans="18:18" s="2" customFormat="1" ht="12.75" x14ac:dyDescent="0.2">
      <c r="R42879" s="1288"/>
    </row>
    <row r="42880" spans="18:18" s="2" customFormat="1" ht="12.75" x14ac:dyDescent="0.2">
      <c r="R42880" s="1288"/>
    </row>
    <row r="42881" spans="18:18" s="2" customFormat="1" ht="12.75" x14ac:dyDescent="0.2">
      <c r="R42881" s="1288"/>
    </row>
    <row r="42882" spans="18:18" s="2" customFormat="1" ht="12.75" x14ac:dyDescent="0.2">
      <c r="R42882" s="1288"/>
    </row>
    <row r="42883" spans="18:18" s="2" customFormat="1" ht="12.75" x14ac:dyDescent="0.2">
      <c r="R42883" s="1288"/>
    </row>
    <row r="42884" spans="18:18" s="2" customFormat="1" ht="12.75" x14ac:dyDescent="0.2">
      <c r="R42884" s="1288"/>
    </row>
    <row r="42885" spans="18:18" s="2" customFormat="1" ht="12.75" x14ac:dyDescent="0.2">
      <c r="R42885" s="1288"/>
    </row>
    <row r="42886" spans="18:18" s="2" customFormat="1" ht="12.75" x14ac:dyDescent="0.2">
      <c r="R42886" s="1288"/>
    </row>
    <row r="42887" spans="18:18" s="2" customFormat="1" ht="12.75" x14ac:dyDescent="0.2">
      <c r="R42887" s="1288"/>
    </row>
    <row r="42888" spans="18:18" s="2" customFormat="1" ht="12.75" x14ac:dyDescent="0.2">
      <c r="R42888" s="1288"/>
    </row>
    <row r="42889" spans="18:18" s="2" customFormat="1" ht="12.75" x14ac:dyDescent="0.2">
      <c r="R42889" s="1288"/>
    </row>
    <row r="42890" spans="18:18" s="2" customFormat="1" ht="12.75" x14ac:dyDescent="0.2">
      <c r="R42890" s="1288"/>
    </row>
    <row r="42891" spans="18:18" s="2" customFormat="1" ht="12.75" x14ac:dyDescent="0.2">
      <c r="R42891" s="1288"/>
    </row>
    <row r="42892" spans="18:18" s="2" customFormat="1" ht="12.75" x14ac:dyDescent="0.2">
      <c r="R42892" s="1288"/>
    </row>
    <row r="42893" spans="18:18" s="2" customFormat="1" ht="12.75" x14ac:dyDescent="0.2">
      <c r="R42893" s="1288"/>
    </row>
    <row r="42894" spans="18:18" s="2" customFormat="1" ht="12.75" x14ac:dyDescent="0.2">
      <c r="R42894" s="1288"/>
    </row>
    <row r="42895" spans="18:18" s="2" customFormat="1" ht="12.75" x14ac:dyDescent="0.2">
      <c r="R42895" s="1288"/>
    </row>
    <row r="42896" spans="18:18" s="2" customFormat="1" ht="12.75" x14ac:dyDescent="0.2">
      <c r="R42896" s="1288"/>
    </row>
    <row r="42897" spans="18:18" s="2" customFormat="1" ht="12.75" x14ac:dyDescent="0.2">
      <c r="R42897" s="1288"/>
    </row>
    <row r="42898" spans="18:18" s="2" customFormat="1" ht="12.75" x14ac:dyDescent="0.2">
      <c r="R42898" s="1288"/>
    </row>
    <row r="42899" spans="18:18" s="2" customFormat="1" ht="12.75" x14ac:dyDescent="0.2">
      <c r="R42899" s="1288"/>
    </row>
    <row r="42900" spans="18:18" s="2" customFormat="1" ht="12.75" x14ac:dyDescent="0.2">
      <c r="R42900" s="1288"/>
    </row>
    <row r="42901" spans="18:18" s="2" customFormat="1" ht="12.75" x14ac:dyDescent="0.2">
      <c r="R42901" s="1288"/>
    </row>
    <row r="42902" spans="18:18" s="2" customFormat="1" ht="12.75" x14ac:dyDescent="0.2">
      <c r="R42902" s="1288"/>
    </row>
    <row r="42903" spans="18:18" s="2" customFormat="1" ht="12.75" x14ac:dyDescent="0.2">
      <c r="R42903" s="1288"/>
    </row>
    <row r="42904" spans="18:18" s="2" customFormat="1" ht="12.75" x14ac:dyDescent="0.2">
      <c r="R42904" s="1288"/>
    </row>
    <row r="42905" spans="18:18" s="2" customFormat="1" ht="12.75" x14ac:dyDescent="0.2">
      <c r="R42905" s="1288"/>
    </row>
    <row r="42906" spans="18:18" s="2" customFormat="1" ht="12.75" x14ac:dyDescent="0.2">
      <c r="R42906" s="1288"/>
    </row>
    <row r="42907" spans="18:18" s="2" customFormat="1" ht="12.75" x14ac:dyDescent="0.2">
      <c r="R42907" s="1288"/>
    </row>
    <row r="42908" spans="18:18" s="2" customFormat="1" ht="12.75" x14ac:dyDescent="0.2">
      <c r="R42908" s="1288"/>
    </row>
    <row r="42909" spans="18:18" s="2" customFormat="1" ht="12.75" x14ac:dyDescent="0.2">
      <c r="R42909" s="1288"/>
    </row>
    <row r="42910" spans="18:18" s="2" customFormat="1" ht="12.75" x14ac:dyDescent="0.2">
      <c r="R42910" s="1288"/>
    </row>
    <row r="42911" spans="18:18" s="2" customFormat="1" ht="12.75" x14ac:dyDescent="0.2">
      <c r="R42911" s="1288"/>
    </row>
    <row r="42912" spans="18:18" s="2" customFormat="1" ht="12.75" x14ac:dyDescent="0.2">
      <c r="R42912" s="1288"/>
    </row>
    <row r="42913" spans="18:18" s="2" customFormat="1" ht="12.75" x14ac:dyDescent="0.2">
      <c r="R42913" s="1288"/>
    </row>
    <row r="42914" spans="18:18" s="2" customFormat="1" ht="12.75" x14ac:dyDescent="0.2">
      <c r="R42914" s="1288"/>
    </row>
    <row r="42915" spans="18:18" s="2" customFormat="1" ht="12.75" x14ac:dyDescent="0.2">
      <c r="R42915" s="1288"/>
    </row>
    <row r="42916" spans="18:18" s="2" customFormat="1" ht="12.75" x14ac:dyDescent="0.2">
      <c r="R42916" s="1288"/>
    </row>
    <row r="42917" spans="18:18" s="2" customFormat="1" ht="12.75" x14ac:dyDescent="0.2">
      <c r="R42917" s="1288"/>
    </row>
    <row r="42918" spans="18:18" s="2" customFormat="1" ht="12.75" x14ac:dyDescent="0.2">
      <c r="R42918" s="1288"/>
    </row>
    <row r="42919" spans="18:18" s="2" customFormat="1" ht="12.75" x14ac:dyDescent="0.2">
      <c r="R42919" s="1288"/>
    </row>
    <row r="42920" spans="18:18" s="2" customFormat="1" ht="12.75" x14ac:dyDescent="0.2">
      <c r="R42920" s="1288"/>
    </row>
    <row r="42921" spans="18:18" s="2" customFormat="1" ht="12.75" x14ac:dyDescent="0.2">
      <c r="R42921" s="1288"/>
    </row>
    <row r="42922" spans="18:18" s="2" customFormat="1" ht="12.75" x14ac:dyDescent="0.2">
      <c r="R42922" s="1288"/>
    </row>
    <row r="42923" spans="18:18" s="2" customFormat="1" ht="12.75" x14ac:dyDescent="0.2">
      <c r="R42923" s="1288"/>
    </row>
    <row r="42924" spans="18:18" s="2" customFormat="1" ht="12.75" x14ac:dyDescent="0.2">
      <c r="R42924" s="1288"/>
    </row>
    <row r="42925" spans="18:18" s="2" customFormat="1" ht="12.75" x14ac:dyDescent="0.2">
      <c r="R42925" s="1288"/>
    </row>
    <row r="42926" spans="18:18" s="2" customFormat="1" ht="12.75" x14ac:dyDescent="0.2">
      <c r="R42926" s="1288"/>
    </row>
    <row r="42927" spans="18:18" s="2" customFormat="1" ht="12.75" x14ac:dyDescent="0.2">
      <c r="R42927" s="1288"/>
    </row>
    <row r="42928" spans="18:18" s="2" customFormat="1" ht="12.75" x14ac:dyDescent="0.2">
      <c r="R42928" s="1288"/>
    </row>
    <row r="42929" spans="18:18" s="2" customFormat="1" ht="12.75" x14ac:dyDescent="0.2">
      <c r="R42929" s="1288"/>
    </row>
    <row r="42930" spans="18:18" s="2" customFormat="1" ht="12.75" x14ac:dyDescent="0.2">
      <c r="R42930" s="1288"/>
    </row>
    <row r="42931" spans="18:18" s="2" customFormat="1" ht="12.75" x14ac:dyDescent="0.2">
      <c r="R42931" s="1288"/>
    </row>
    <row r="42932" spans="18:18" s="2" customFormat="1" ht="12.75" x14ac:dyDescent="0.2">
      <c r="R42932" s="1288"/>
    </row>
    <row r="42933" spans="18:18" s="2" customFormat="1" ht="12.75" x14ac:dyDescent="0.2">
      <c r="R42933" s="1288"/>
    </row>
    <row r="42934" spans="18:18" s="2" customFormat="1" ht="12.75" x14ac:dyDescent="0.2">
      <c r="R42934" s="1288"/>
    </row>
    <row r="42935" spans="18:18" s="2" customFormat="1" ht="12.75" x14ac:dyDescent="0.2">
      <c r="R42935" s="1288"/>
    </row>
    <row r="42936" spans="18:18" s="2" customFormat="1" ht="12.75" x14ac:dyDescent="0.2">
      <c r="R42936" s="1288"/>
    </row>
    <row r="42937" spans="18:18" s="2" customFormat="1" ht="12.75" x14ac:dyDescent="0.2">
      <c r="R42937" s="1288"/>
    </row>
    <row r="42938" spans="18:18" s="2" customFormat="1" ht="12.75" x14ac:dyDescent="0.2">
      <c r="R42938" s="1288"/>
    </row>
    <row r="42939" spans="18:18" s="2" customFormat="1" ht="12.75" x14ac:dyDescent="0.2">
      <c r="R42939" s="1288"/>
    </row>
    <row r="42940" spans="18:18" s="2" customFormat="1" ht="12.75" x14ac:dyDescent="0.2">
      <c r="R42940" s="1288"/>
    </row>
    <row r="42941" spans="18:18" s="2" customFormat="1" ht="12.75" x14ac:dyDescent="0.2">
      <c r="R42941" s="1288"/>
    </row>
    <row r="42942" spans="18:18" s="2" customFormat="1" ht="12.75" x14ac:dyDescent="0.2">
      <c r="R42942" s="1288"/>
    </row>
    <row r="42943" spans="18:18" s="2" customFormat="1" ht="12.75" x14ac:dyDescent="0.2">
      <c r="R42943" s="1288"/>
    </row>
    <row r="42944" spans="18:18" s="2" customFormat="1" ht="12.75" x14ac:dyDescent="0.2">
      <c r="R42944" s="1288"/>
    </row>
    <row r="42945" spans="18:18" s="2" customFormat="1" ht="12.75" x14ac:dyDescent="0.2">
      <c r="R42945" s="1288"/>
    </row>
    <row r="42946" spans="18:18" s="2" customFormat="1" ht="12.75" x14ac:dyDescent="0.2">
      <c r="R42946" s="1288"/>
    </row>
    <row r="42947" spans="18:18" s="2" customFormat="1" ht="12.75" x14ac:dyDescent="0.2">
      <c r="R42947" s="1288"/>
    </row>
    <row r="42948" spans="18:18" s="2" customFormat="1" ht="12.75" x14ac:dyDescent="0.2">
      <c r="R42948" s="1288"/>
    </row>
    <row r="42949" spans="18:18" s="2" customFormat="1" ht="12.75" x14ac:dyDescent="0.2">
      <c r="R42949" s="1288"/>
    </row>
    <row r="42950" spans="18:18" s="2" customFormat="1" ht="12.75" x14ac:dyDescent="0.2">
      <c r="R42950" s="1288"/>
    </row>
    <row r="42951" spans="18:18" s="2" customFormat="1" ht="12.75" x14ac:dyDescent="0.2">
      <c r="R42951" s="1288"/>
    </row>
    <row r="42952" spans="18:18" s="2" customFormat="1" ht="12.75" x14ac:dyDescent="0.2">
      <c r="R42952" s="1288"/>
    </row>
    <row r="42953" spans="18:18" s="2" customFormat="1" ht="12.75" x14ac:dyDescent="0.2">
      <c r="R42953" s="1288"/>
    </row>
    <row r="42954" spans="18:18" s="2" customFormat="1" ht="12.75" x14ac:dyDescent="0.2">
      <c r="R42954" s="1288"/>
    </row>
    <row r="42955" spans="18:18" s="2" customFormat="1" ht="12.75" x14ac:dyDescent="0.2">
      <c r="R42955" s="1288"/>
    </row>
    <row r="42956" spans="18:18" s="2" customFormat="1" ht="12.75" x14ac:dyDescent="0.2">
      <c r="R42956" s="1288"/>
    </row>
    <row r="42957" spans="18:18" s="2" customFormat="1" ht="12.75" x14ac:dyDescent="0.2">
      <c r="R42957" s="1288"/>
    </row>
    <row r="42958" spans="18:18" s="2" customFormat="1" ht="12.75" x14ac:dyDescent="0.2">
      <c r="R42958" s="1288"/>
    </row>
    <row r="42959" spans="18:18" s="2" customFormat="1" ht="12.75" x14ac:dyDescent="0.2">
      <c r="R42959" s="1288"/>
    </row>
    <row r="42960" spans="18:18" s="2" customFormat="1" ht="12.75" x14ac:dyDescent="0.2">
      <c r="R42960" s="1288"/>
    </row>
    <row r="42961" spans="18:18" s="2" customFormat="1" ht="12.75" x14ac:dyDescent="0.2">
      <c r="R42961" s="1288"/>
    </row>
    <row r="42962" spans="18:18" s="2" customFormat="1" ht="12.75" x14ac:dyDescent="0.2">
      <c r="R42962" s="1288"/>
    </row>
    <row r="42963" spans="18:18" s="2" customFormat="1" ht="12.75" x14ac:dyDescent="0.2">
      <c r="R42963" s="1288"/>
    </row>
    <row r="42964" spans="18:18" s="2" customFormat="1" ht="12.75" x14ac:dyDescent="0.2">
      <c r="R42964" s="1288"/>
    </row>
    <row r="42965" spans="18:18" s="2" customFormat="1" ht="12.75" x14ac:dyDescent="0.2">
      <c r="R42965" s="1288"/>
    </row>
    <row r="42966" spans="18:18" s="2" customFormat="1" ht="12.75" x14ac:dyDescent="0.2">
      <c r="R42966" s="1288"/>
    </row>
    <row r="42967" spans="18:18" s="2" customFormat="1" ht="12.75" x14ac:dyDescent="0.2">
      <c r="R42967" s="1288"/>
    </row>
    <row r="42968" spans="18:18" s="2" customFormat="1" ht="12.75" x14ac:dyDescent="0.2">
      <c r="R42968" s="1288"/>
    </row>
    <row r="42969" spans="18:18" s="2" customFormat="1" ht="12.75" x14ac:dyDescent="0.2">
      <c r="R42969" s="1288"/>
    </row>
    <row r="42970" spans="18:18" s="2" customFormat="1" ht="12.75" x14ac:dyDescent="0.2">
      <c r="R42970" s="1288"/>
    </row>
    <row r="42971" spans="18:18" s="2" customFormat="1" ht="12.75" x14ac:dyDescent="0.2">
      <c r="R42971" s="1288"/>
    </row>
    <row r="42972" spans="18:18" s="2" customFormat="1" ht="12.75" x14ac:dyDescent="0.2">
      <c r="R42972" s="1288"/>
    </row>
    <row r="42973" spans="18:18" s="2" customFormat="1" ht="12.75" x14ac:dyDescent="0.2">
      <c r="R42973" s="1288"/>
    </row>
    <row r="42974" spans="18:18" s="2" customFormat="1" ht="12.75" x14ac:dyDescent="0.2">
      <c r="R42974" s="1288"/>
    </row>
    <row r="42975" spans="18:18" s="2" customFormat="1" ht="12.75" x14ac:dyDescent="0.2">
      <c r="R42975" s="1288"/>
    </row>
    <row r="42976" spans="18:18" s="2" customFormat="1" ht="12.75" x14ac:dyDescent="0.2">
      <c r="R42976" s="1288"/>
    </row>
    <row r="42977" spans="18:18" s="2" customFormat="1" ht="12.75" x14ac:dyDescent="0.2">
      <c r="R42977" s="1288"/>
    </row>
    <row r="42978" spans="18:18" s="2" customFormat="1" ht="12.75" x14ac:dyDescent="0.2">
      <c r="R42978" s="1288"/>
    </row>
    <row r="42979" spans="18:18" s="2" customFormat="1" ht="12.75" x14ac:dyDescent="0.2">
      <c r="R42979" s="1288"/>
    </row>
    <row r="42980" spans="18:18" s="2" customFormat="1" ht="12.75" x14ac:dyDescent="0.2">
      <c r="R42980" s="1288"/>
    </row>
    <row r="42981" spans="18:18" s="2" customFormat="1" ht="12.75" x14ac:dyDescent="0.2">
      <c r="R42981" s="1288"/>
    </row>
    <row r="42982" spans="18:18" s="2" customFormat="1" ht="12.75" x14ac:dyDescent="0.2">
      <c r="R42982" s="1288"/>
    </row>
    <row r="42983" spans="18:18" s="2" customFormat="1" ht="12.75" x14ac:dyDescent="0.2">
      <c r="R42983" s="1288"/>
    </row>
    <row r="42984" spans="18:18" s="2" customFormat="1" ht="12.75" x14ac:dyDescent="0.2">
      <c r="R42984" s="1288"/>
    </row>
    <row r="42985" spans="18:18" s="2" customFormat="1" ht="12.75" x14ac:dyDescent="0.2">
      <c r="R42985" s="1288"/>
    </row>
    <row r="42986" spans="18:18" s="2" customFormat="1" ht="12.75" x14ac:dyDescent="0.2">
      <c r="R42986" s="1288"/>
    </row>
    <row r="42987" spans="18:18" s="2" customFormat="1" ht="12.75" x14ac:dyDescent="0.2">
      <c r="R42987" s="1288"/>
    </row>
    <row r="42988" spans="18:18" s="2" customFormat="1" ht="12.75" x14ac:dyDescent="0.2">
      <c r="R42988" s="1288"/>
    </row>
    <row r="42989" spans="18:18" s="2" customFormat="1" ht="12.75" x14ac:dyDescent="0.2">
      <c r="R42989" s="1288"/>
    </row>
    <row r="42990" spans="18:18" s="2" customFormat="1" ht="12.75" x14ac:dyDescent="0.2">
      <c r="R42990" s="1288"/>
    </row>
    <row r="42991" spans="18:18" s="2" customFormat="1" ht="12.75" x14ac:dyDescent="0.2">
      <c r="R42991" s="1288"/>
    </row>
    <row r="42992" spans="18:18" s="2" customFormat="1" ht="12.75" x14ac:dyDescent="0.2">
      <c r="R42992" s="1288"/>
    </row>
    <row r="42993" spans="18:18" s="2" customFormat="1" ht="12.75" x14ac:dyDescent="0.2">
      <c r="R42993" s="1288"/>
    </row>
    <row r="42994" spans="18:18" s="2" customFormat="1" ht="12.75" x14ac:dyDescent="0.2">
      <c r="R42994" s="1288"/>
    </row>
    <row r="42995" spans="18:18" s="2" customFormat="1" ht="12.75" x14ac:dyDescent="0.2">
      <c r="R42995" s="1288"/>
    </row>
    <row r="42996" spans="18:18" s="2" customFormat="1" ht="12.75" x14ac:dyDescent="0.2">
      <c r="R42996" s="1288"/>
    </row>
    <row r="42997" spans="18:18" s="2" customFormat="1" ht="12.75" x14ac:dyDescent="0.2">
      <c r="R42997" s="1288"/>
    </row>
    <row r="42998" spans="18:18" s="2" customFormat="1" ht="12.75" x14ac:dyDescent="0.2">
      <c r="R42998" s="1288"/>
    </row>
    <row r="42999" spans="18:18" s="2" customFormat="1" ht="12.75" x14ac:dyDescent="0.2">
      <c r="R42999" s="1288"/>
    </row>
    <row r="43000" spans="18:18" s="2" customFormat="1" ht="12.75" x14ac:dyDescent="0.2">
      <c r="R43000" s="1288"/>
    </row>
    <row r="43001" spans="18:18" s="2" customFormat="1" ht="12.75" x14ac:dyDescent="0.2">
      <c r="R43001" s="1288"/>
    </row>
    <row r="43002" spans="18:18" s="2" customFormat="1" ht="12.75" x14ac:dyDescent="0.2">
      <c r="R43002" s="1288"/>
    </row>
    <row r="43003" spans="18:18" s="2" customFormat="1" ht="12.75" x14ac:dyDescent="0.2">
      <c r="R43003" s="1288"/>
    </row>
    <row r="43004" spans="18:18" s="2" customFormat="1" ht="12.75" x14ac:dyDescent="0.2">
      <c r="R43004" s="1288"/>
    </row>
    <row r="43005" spans="18:18" s="2" customFormat="1" ht="12.75" x14ac:dyDescent="0.2">
      <c r="R43005" s="1288"/>
    </row>
    <row r="43006" spans="18:18" s="2" customFormat="1" ht="12.75" x14ac:dyDescent="0.2">
      <c r="R43006" s="1288"/>
    </row>
    <row r="43007" spans="18:18" s="2" customFormat="1" ht="12.75" x14ac:dyDescent="0.2">
      <c r="R43007" s="1288"/>
    </row>
    <row r="43008" spans="18:18" s="2" customFormat="1" ht="12.75" x14ac:dyDescent="0.2">
      <c r="R43008" s="1288"/>
    </row>
    <row r="43009" spans="18:18" s="2" customFormat="1" ht="12.75" x14ac:dyDescent="0.2">
      <c r="R43009" s="1288"/>
    </row>
    <row r="43010" spans="18:18" s="2" customFormat="1" ht="12.75" x14ac:dyDescent="0.2">
      <c r="R43010" s="1288"/>
    </row>
    <row r="43011" spans="18:18" s="2" customFormat="1" ht="12.75" x14ac:dyDescent="0.2">
      <c r="R43011" s="1288"/>
    </row>
    <row r="43012" spans="18:18" s="2" customFormat="1" ht="12.75" x14ac:dyDescent="0.2">
      <c r="R43012" s="1288"/>
    </row>
    <row r="43013" spans="18:18" s="2" customFormat="1" ht="12.75" x14ac:dyDescent="0.2">
      <c r="R43013" s="1288"/>
    </row>
    <row r="43014" spans="18:18" s="2" customFormat="1" ht="12.75" x14ac:dyDescent="0.2">
      <c r="R43014" s="1288"/>
    </row>
    <row r="43015" spans="18:18" s="2" customFormat="1" ht="12.75" x14ac:dyDescent="0.2">
      <c r="R43015" s="1288"/>
    </row>
    <row r="43016" spans="18:18" s="2" customFormat="1" ht="12.75" x14ac:dyDescent="0.2">
      <c r="R43016" s="1288"/>
    </row>
    <row r="43017" spans="18:18" s="2" customFormat="1" ht="12.75" x14ac:dyDescent="0.2">
      <c r="R43017" s="1288"/>
    </row>
    <row r="43018" spans="18:18" s="2" customFormat="1" ht="12.75" x14ac:dyDescent="0.2">
      <c r="R43018" s="1288"/>
    </row>
    <row r="43019" spans="18:18" s="2" customFormat="1" ht="12.75" x14ac:dyDescent="0.2">
      <c r="R43019" s="1288"/>
    </row>
    <row r="43020" spans="18:18" s="2" customFormat="1" ht="12.75" x14ac:dyDescent="0.2">
      <c r="R43020" s="1288"/>
    </row>
    <row r="43021" spans="18:18" s="2" customFormat="1" ht="12.75" x14ac:dyDescent="0.2">
      <c r="R43021" s="1288"/>
    </row>
    <row r="43022" spans="18:18" s="2" customFormat="1" ht="12.75" x14ac:dyDescent="0.2">
      <c r="R43022" s="1288"/>
    </row>
    <row r="43023" spans="18:18" s="2" customFormat="1" ht="12.75" x14ac:dyDescent="0.2">
      <c r="R43023" s="1288"/>
    </row>
    <row r="43024" spans="18:18" s="2" customFormat="1" ht="12.75" x14ac:dyDescent="0.2">
      <c r="R43024" s="1288"/>
    </row>
    <row r="43025" spans="18:18" s="2" customFormat="1" ht="12.75" x14ac:dyDescent="0.2">
      <c r="R43025" s="1288"/>
    </row>
    <row r="43026" spans="18:18" s="2" customFormat="1" ht="12.75" x14ac:dyDescent="0.2">
      <c r="R43026" s="1288"/>
    </row>
    <row r="43027" spans="18:18" s="2" customFormat="1" ht="12.75" x14ac:dyDescent="0.2">
      <c r="R43027" s="1288"/>
    </row>
    <row r="43028" spans="18:18" s="2" customFormat="1" ht="12.75" x14ac:dyDescent="0.2">
      <c r="R43028" s="1288"/>
    </row>
    <row r="43029" spans="18:18" s="2" customFormat="1" ht="12.75" x14ac:dyDescent="0.2">
      <c r="R43029" s="1288"/>
    </row>
    <row r="43030" spans="18:18" s="2" customFormat="1" ht="12.75" x14ac:dyDescent="0.2">
      <c r="R43030" s="1288"/>
    </row>
    <row r="43031" spans="18:18" s="2" customFormat="1" ht="12.75" x14ac:dyDescent="0.2">
      <c r="R43031" s="1288"/>
    </row>
    <row r="43032" spans="18:18" s="2" customFormat="1" ht="12.75" x14ac:dyDescent="0.2">
      <c r="R43032" s="1288"/>
    </row>
    <row r="43033" spans="18:18" s="2" customFormat="1" ht="12.75" x14ac:dyDescent="0.2">
      <c r="R43033" s="1288"/>
    </row>
    <row r="43034" spans="18:18" s="2" customFormat="1" ht="12.75" x14ac:dyDescent="0.2">
      <c r="R43034" s="1288"/>
    </row>
    <row r="43035" spans="18:18" s="2" customFormat="1" ht="12.75" x14ac:dyDescent="0.2">
      <c r="R43035" s="1288"/>
    </row>
    <row r="43036" spans="18:18" s="2" customFormat="1" ht="12.75" x14ac:dyDescent="0.2">
      <c r="R43036" s="1288"/>
    </row>
    <row r="43037" spans="18:18" s="2" customFormat="1" ht="12.75" x14ac:dyDescent="0.2">
      <c r="R43037" s="1288"/>
    </row>
    <row r="43038" spans="18:18" s="2" customFormat="1" ht="12.75" x14ac:dyDescent="0.2">
      <c r="R43038" s="1288"/>
    </row>
    <row r="43039" spans="18:18" s="2" customFormat="1" ht="12.75" x14ac:dyDescent="0.2">
      <c r="R43039" s="1288"/>
    </row>
    <row r="43040" spans="18:18" s="2" customFormat="1" ht="12.75" x14ac:dyDescent="0.2">
      <c r="R43040" s="1288"/>
    </row>
    <row r="43041" spans="18:18" s="2" customFormat="1" ht="12.75" x14ac:dyDescent="0.2">
      <c r="R43041" s="1288"/>
    </row>
    <row r="43042" spans="18:18" s="2" customFormat="1" ht="12.75" x14ac:dyDescent="0.2">
      <c r="R43042" s="1288"/>
    </row>
    <row r="43043" spans="18:18" s="2" customFormat="1" ht="12.75" x14ac:dyDescent="0.2">
      <c r="R43043" s="1288"/>
    </row>
    <row r="43044" spans="18:18" s="2" customFormat="1" ht="12.75" x14ac:dyDescent="0.2">
      <c r="R43044" s="1288"/>
    </row>
    <row r="43045" spans="18:18" s="2" customFormat="1" ht="12.75" x14ac:dyDescent="0.2">
      <c r="R43045" s="1288"/>
    </row>
    <row r="43046" spans="18:18" s="2" customFormat="1" ht="12.75" x14ac:dyDescent="0.2">
      <c r="R43046" s="1288"/>
    </row>
    <row r="43047" spans="18:18" s="2" customFormat="1" ht="12.75" x14ac:dyDescent="0.2">
      <c r="R43047" s="1288"/>
    </row>
    <row r="43048" spans="18:18" s="2" customFormat="1" ht="12.75" x14ac:dyDescent="0.2">
      <c r="R43048" s="1288"/>
    </row>
    <row r="43049" spans="18:18" s="2" customFormat="1" ht="12.75" x14ac:dyDescent="0.2">
      <c r="R43049" s="1288"/>
    </row>
    <row r="43050" spans="18:18" s="2" customFormat="1" ht="12.75" x14ac:dyDescent="0.2">
      <c r="R43050" s="1288"/>
    </row>
    <row r="43051" spans="18:18" s="2" customFormat="1" ht="12.75" x14ac:dyDescent="0.2">
      <c r="R43051" s="1288"/>
    </row>
    <row r="43052" spans="18:18" s="2" customFormat="1" ht="12.75" x14ac:dyDescent="0.2">
      <c r="R43052" s="1288"/>
    </row>
    <row r="43053" spans="18:18" s="2" customFormat="1" ht="12.75" x14ac:dyDescent="0.2">
      <c r="R43053" s="1288"/>
    </row>
    <row r="43054" spans="18:18" s="2" customFormat="1" ht="12.75" x14ac:dyDescent="0.2">
      <c r="R43054" s="1288"/>
    </row>
    <row r="43055" spans="18:18" s="2" customFormat="1" ht="12.75" x14ac:dyDescent="0.2">
      <c r="R43055" s="1288"/>
    </row>
    <row r="43056" spans="18:18" s="2" customFormat="1" ht="12.75" x14ac:dyDescent="0.2">
      <c r="R43056" s="1288"/>
    </row>
    <row r="43057" spans="18:18" s="2" customFormat="1" ht="12.75" x14ac:dyDescent="0.2">
      <c r="R43057" s="1288"/>
    </row>
    <row r="43058" spans="18:18" s="2" customFormat="1" ht="12.75" x14ac:dyDescent="0.2">
      <c r="R43058" s="1288"/>
    </row>
    <row r="43059" spans="18:18" s="2" customFormat="1" ht="12.75" x14ac:dyDescent="0.2">
      <c r="R43059" s="1288"/>
    </row>
    <row r="43060" spans="18:18" s="2" customFormat="1" ht="12.75" x14ac:dyDescent="0.2">
      <c r="R43060" s="1288"/>
    </row>
    <row r="43061" spans="18:18" s="2" customFormat="1" ht="12.75" x14ac:dyDescent="0.2">
      <c r="R43061" s="1288"/>
    </row>
    <row r="43062" spans="18:18" s="2" customFormat="1" ht="12.75" x14ac:dyDescent="0.2">
      <c r="R43062" s="1288"/>
    </row>
    <row r="43063" spans="18:18" s="2" customFormat="1" ht="12.75" x14ac:dyDescent="0.2">
      <c r="R43063" s="1288"/>
    </row>
    <row r="43064" spans="18:18" s="2" customFormat="1" ht="12.75" x14ac:dyDescent="0.2">
      <c r="R43064" s="1288"/>
    </row>
    <row r="43065" spans="18:18" s="2" customFormat="1" ht="12.75" x14ac:dyDescent="0.2">
      <c r="R43065" s="1288"/>
    </row>
    <row r="43066" spans="18:18" s="2" customFormat="1" ht="12.75" x14ac:dyDescent="0.2">
      <c r="R43066" s="1288"/>
    </row>
    <row r="43067" spans="18:18" s="2" customFormat="1" ht="12.75" x14ac:dyDescent="0.2">
      <c r="R43067" s="1288"/>
    </row>
    <row r="43068" spans="18:18" s="2" customFormat="1" ht="12.75" x14ac:dyDescent="0.2">
      <c r="R43068" s="1288"/>
    </row>
    <row r="43069" spans="18:18" s="2" customFormat="1" ht="12.75" x14ac:dyDescent="0.2">
      <c r="R43069" s="1288"/>
    </row>
    <row r="43070" spans="18:18" s="2" customFormat="1" ht="12.75" x14ac:dyDescent="0.2">
      <c r="R43070" s="1288"/>
    </row>
    <row r="43071" spans="18:18" s="2" customFormat="1" ht="12.75" x14ac:dyDescent="0.2">
      <c r="R43071" s="1288"/>
    </row>
    <row r="43072" spans="18:18" s="2" customFormat="1" ht="12.75" x14ac:dyDescent="0.2">
      <c r="R43072" s="1288"/>
    </row>
    <row r="43073" spans="18:18" s="2" customFormat="1" ht="12.75" x14ac:dyDescent="0.2">
      <c r="R43073" s="1288"/>
    </row>
    <row r="43074" spans="18:18" s="2" customFormat="1" ht="12.75" x14ac:dyDescent="0.2">
      <c r="R43074" s="1288"/>
    </row>
    <row r="43075" spans="18:18" s="2" customFormat="1" ht="12.75" x14ac:dyDescent="0.2">
      <c r="R43075" s="1288"/>
    </row>
    <row r="43076" spans="18:18" s="2" customFormat="1" ht="12.75" x14ac:dyDescent="0.2">
      <c r="R43076" s="1288"/>
    </row>
    <row r="43077" spans="18:18" s="2" customFormat="1" ht="12.75" x14ac:dyDescent="0.2">
      <c r="R43077" s="1288"/>
    </row>
    <row r="43078" spans="18:18" s="2" customFormat="1" ht="12.75" x14ac:dyDescent="0.2">
      <c r="R43078" s="1288"/>
    </row>
    <row r="43079" spans="18:18" s="2" customFormat="1" ht="12.75" x14ac:dyDescent="0.2">
      <c r="R43079" s="1288"/>
    </row>
    <row r="43080" spans="18:18" s="2" customFormat="1" ht="12.75" x14ac:dyDescent="0.2">
      <c r="R43080" s="1288"/>
    </row>
    <row r="43081" spans="18:18" s="2" customFormat="1" ht="12.75" x14ac:dyDescent="0.2">
      <c r="R43081" s="1288"/>
    </row>
    <row r="43082" spans="18:18" s="2" customFormat="1" ht="12.75" x14ac:dyDescent="0.2">
      <c r="R43082" s="1288"/>
    </row>
    <row r="43083" spans="18:18" s="2" customFormat="1" ht="12.75" x14ac:dyDescent="0.2">
      <c r="R43083" s="1288"/>
    </row>
    <row r="43084" spans="18:18" s="2" customFormat="1" ht="12.75" x14ac:dyDescent="0.2">
      <c r="R43084" s="1288"/>
    </row>
    <row r="43085" spans="18:18" s="2" customFormat="1" ht="12.75" x14ac:dyDescent="0.2">
      <c r="R43085" s="1288"/>
    </row>
    <row r="43086" spans="18:18" s="2" customFormat="1" ht="12.75" x14ac:dyDescent="0.2">
      <c r="R43086" s="1288"/>
    </row>
    <row r="43087" spans="18:18" s="2" customFormat="1" ht="12.75" x14ac:dyDescent="0.2">
      <c r="R43087" s="1288"/>
    </row>
    <row r="43088" spans="18:18" s="2" customFormat="1" ht="12.75" x14ac:dyDescent="0.2">
      <c r="R43088" s="1288"/>
    </row>
    <row r="43089" spans="18:18" s="2" customFormat="1" ht="12.75" x14ac:dyDescent="0.2">
      <c r="R43089" s="1288"/>
    </row>
    <row r="43090" spans="18:18" s="2" customFormat="1" ht="12.75" x14ac:dyDescent="0.2">
      <c r="R43090" s="1288"/>
    </row>
    <row r="43091" spans="18:18" s="2" customFormat="1" ht="12.75" x14ac:dyDescent="0.2">
      <c r="R43091" s="1288"/>
    </row>
    <row r="43092" spans="18:18" s="2" customFormat="1" ht="12.75" x14ac:dyDescent="0.2">
      <c r="R43092" s="1288"/>
    </row>
    <row r="43093" spans="18:18" s="2" customFormat="1" ht="12.75" x14ac:dyDescent="0.2">
      <c r="R43093" s="1288"/>
    </row>
    <row r="43094" spans="18:18" s="2" customFormat="1" ht="12.75" x14ac:dyDescent="0.2">
      <c r="R43094" s="1288"/>
    </row>
    <row r="43095" spans="18:18" s="2" customFormat="1" ht="12.75" x14ac:dyDescent="0.2">
      <c r="R43095" s="1288"/>
    </row>
    <row r="43096" spans="18:18" s="2" customFormat="1" ht="12.75" x14ac:dyDescent="0.2">
      <c r="R43096" s="1288"/>
    </row>
    <row r="43097" spans="18:18" s="2" customFormat="1" ht="12.75" x14ac:dyDescent="0.2">
      <c r="R43097" s="1288"/>
    </row>
    <row r="43098" spans="18:18" s="2" customFormat="1" ht="12.75" x14ac:dyDescent="0.2">
      <c r="R43098" s="1288"/>
    </row>
    <row r="43099" spans="18:18" s="2" customFormat="1" ht="12.75" x14ac:dyDescent="0.2">
      <c r="R43099" s="1288"/>
    </row>
    <row r="43100" spans="18:18" s="2" customFormat="1" ht="12.75" x14ac:dyDescent="0.2">
      <c r="R43100" s="1288"/>
    </row>
    <row r="43101" spans="18:18" s="2" customFormat="1" ht="12.75" x14ac:dyDescent="0.2">
      <c r="R43101" s="1288"/>
    </row>
    <row r="43102" spans="18:18" s="2" customFormat="1" ht="12.75" x14ac:dyDescent="0.2">
      <c r="R43102" s="1288"/>
    </row>
    <row r="43103" spans="18:18" s="2" customFormat="1" ht="12.75" x14ac:dyDescent="0.2">
      <c r="R43103" s="1288"/>
    </row>
    <row r="43104" spans="18:18" s="2" customFormat="1" ht="12.75" x14ac:dyDescent="0.2">
      <c r="R43104" s="1288"/>
    </row>
    <row r="43105" spans="18:18" s="2" customFormat="1" ht="12.75" x14ac:dyDescent="0.2">
      <c r="R43105" s="1288"/>
    </row>
    <row r="43106" spans="18:18" s="2" customFormat="1" ht="12.75" x14ac:dyDescent="0.2">
      <c r="R43106" s="1288"/>
    </row>
    <row r="43107" spans="18:18" s="2" customFormat="1" ht="12.75" x14ac:dyDescent="0.2">
      <c r="R43107" s="1288"/>
    </row>
    <row r="43108" spans="18:18" s="2" customFormat="1" ht="12.75" x14ac:dyDescent="0.2">
      <c r="R43108" s="1288"/>
    </row>
    <row r="43109" spans="18:18" s="2" customFormat="1" ht="12.75" x14ac:dyDescent="0.2">
      <c r="R43109" s="1288"/>
    </row>
    <row r="43110" spans="18:18" s="2" customFormat="1" ht="12.75" x14ac:dyDescent="0.2">
      <c r="R43110" s="1288"/>
    </row>
    <row r="43111" spans="18:18" s="2" customFormat="1" ht="12.75" x14ac:dyDescent="0.2">
      <c r="R43111" s="1288"/>
    </row>
    <row r="43112" spans="18:18" s="2" customFormat="1" ht="12.75" x14ac:dyDescent="0.2">
      <c r="R43112" s="1288"/>
    </row>
    <row r="43113" spans="18:18" s="2" customFormat="1" ht="12.75" x14ac:dyDescent="0.2">
      <c r="R43113" s="1288"/>
    </row>
    <row r="43114" spans="18:18" s="2" customFormat="1" ht="12.75" x14ac:dyDescent="0.2">
      <c r="R43114" s="1288"/>
    </row>
    <row r="43115" spans="18:18" s="2" customFormat="1" ht="12.75" x14ac:dyDescent="0.2">
      <c r="R43115" s="1288"/>
    </row>
    <row r="43116" spans="18:18" s="2" customFormat="1" ht="12.75" x14ac:dyDescent="0.2">
      <c r="R43116" s="1288"/>
    </row>
    <row r="43117" spans="18:18" s="2" customFormat="1" ht="12.75" x14ac:dyDescent="0.2">
      <c r="R43117" s="1288"/>
    </row>
    <row r="43118" spans="18:18" s="2" customFormat="1" ht="12.75" x14ac:dyDescent="0.2">
      <c r="R43118" s="1288"/>
    </row>
    <row r="43119" spans="18:18" s="2" customFormat="1" ht="12.75" x14ac:dyDescent="0.2">
      <c r="R43119" s="1288"/>
    </row>
    <row r="43120" spans="18:18" s="2" customFormat="1" ht="12.75" x14ac:dyDescent="0.2">
      <c r="R43120" s="1288"/>
    </row>
    <row r="43121" spans="18:18" s="2" customFormat="1" ht="12.75" x14ac:dyDescent="0.2">
      <c r="R43121" s="1288"/>
    </row>
    <row r="43122" spans="18:18" s="2" customFormat="1" ht="12.75" x14ac:dyDescent="0.2">
      <c r="R43122" s="1288"/>
    </row>
    <row r="43123" spans="18:18" s="2" customFormat="1" ht="12.75" x14ac:dyDescent="0.2">
      <c r="R43123" s="1288"/>
    </row>
    <row r="43124" spans="18:18" s="2" customFormat="1" ht="12.75" x14ac:dyDescent="0.2">
      <c r="R43124" s="1288"/>
    </row>
    <row r="43125" spans="18:18" s="2" customFormat="1" ht="12.75" x14ac:dyDescent="0.2">
      <c r="R43125" s="1288"/>
    </row>
    <row r="43126" spans="18:18" s="2" customFormat="1" ht="12.75" x14ac:dyDescent="0.2">
      <c r="R43126" s="1288"/>
    </row>
    <row r="43127" spans="18:18" s="2" customFormat="1" ht="12.75" x14ac:dyDescent="0.2">
      <c r="R43127" s="1288"/>
    </row>
    <row r="43128" spans="18:18" s="2" customFormat="1" ht="12.75" x14ac:dyDescent="0.2">
      <c r="R43128" s="1288"/>
    </row>
    <row r="43129" spans="18:18" s="2" customFormat="1" ht="12.75" x14ac:dyDescent="0.2">
      <c r="R43129" s="1288"/>
    </row>
    <row r="43130" spans="18:18" s="2" customFormat="1" ht="12.75" x14ac:dyDescent="0.2">
      <c r="R43130" s="1288"/>
    </row>
    <row r="43131" spans="18:18" s="2" customFormat="1" ht="12.75" x14ac:dyDescent="0.2">
      <c r="R43131" s="1288"/>
    </row>
    <row r="43132" spans="18:18" s="2" customFormat="1" ht="12.75" x14ac:dyDescent="0.2">
      <c r="R43132" s="1288"/>
    </row>
    <row r="43133" spans="18:18" s="2" customFormat="1" ht="12.75" x14ac:dyDescent="0.2">
      <c r="R43133" s="1288"/>
    </row>
    <row r="43134" spans="18:18" s="2" customFormat="1" ht="12.75" x14ac:dyDescent="0.2">
      <c r="R43134" s="1288"/>
    </row>
    <row r="43135" spans="18:18" s="2" customFormat="1" ht="12.75" x14ac:dyDescent="0.2">
      <c r="R43135" s="1288"/>
    </row>
    <row r="43136" spans="18:18" s="2" customFormat="1" ht="12.75" x14ac:dyDescent="0.2">
      <c r="R43136" s="1288"/>
    </row>
    <row r="43137" spans="18:18" s="2" customFormat="1" ht="12.75" x14ac:dyDescent="0.2">
      <c r="R43137" s="1288"/>
    </row>
    <row r="43138" spans="18:18" s="2" customFormat="1" ht="12.75" x14ac:dyDescent="0.2">
      <c r="R43138" s="1288"/>
    </row>
    <row r="43139" spans="18:18" s="2" customFormat="1" ht="12.75" x14ac:dyDescent="0.2">
      <c r="R43139" s="1288"/>
    </row>
    <row r="43140" spans="18:18" s="2" customFormat="1" ht="12.75" x14ac:dyDescent="0.2">
      <c r="R43140" s="1288"/>
    </row>
    <row r="43141" spans="18:18" s="2" customFormat="1" ht="12.75" x14ac:dyDescent="0.2">
      <c r="R43141" s="1288"/>
    </row>
    <row r="43142" spans="18:18" s="2" customFormat="1" ht="12.75" x14ac:dyDescent="0.2">
      <c r="R43142" s="1288"/>
    </row>
    <row r="43143" spans="18:18" s="2" customFormat="1" ht="12.75" x14ac:dyDescent="0.2">
      <c r="R43143" s="1288"/>
    </row>
    <row r="43144" spans="18:18" s="2" customFormat="1" ht="12.75" x14ac:dyDescent="0.2">
      <c r="R43144" s="1288"/>
    </row>
    <row r="43145" spans="18:18" s="2" customFormat="1" ht="12.75" x14ac:dyDescent="0.2">
      <c r="R43145" s="1288"/>
    </row>
    <row r="43146" spans="18:18" s="2" customFormat="1" ht="12.75" x14ac:dyDescent="0.2">
      <c r="R43146" s="1288"/>
    </row>
    <row r="43147" spans="18:18" s="2" customFormat="1" ht="12.75" x14ac:dyDescent="0.2">
      <c r="R43147" s="1288"/>
    </row>
    <row r="43148" spans="18:18" s="2" customFormat="1" ht="12.75" x14ac:dyDescent="0.2">
      <c r="R43148" s="1288"/>
    </row>
    <row r="43149" spans="18:18" s="2" customFormat="1" ht="12.75" x14ac:dyDescent="0.2">
      <c r="R43149" s="1288"/>
    </row>
    <row r="43150" spans="18:18" s="2" customFormat="1" ht="12.75" x14ac:dyDescent="0.2">
      <c r="R43150" s="1288"/>
    </row>
    <row r="43151" spans="18:18" s="2" customFormat="1" ht="12.75" x14ac:dyDescent="0.2">
      <c r="R43151" s="1288"/>
    </row>
    <row r="43152" spans="18:18" s="2" customFormat="1" ht="12.75" x14ac:dyDescent="0.2">
      <c r="R43152" s="1288"/>
    </row>
    <row r="43153" spans="18:18" s="2" customFormat="1" ht="12.75" x14ac:dyDescent="0.2">
      <c r="R43153" s="1288"/>
    </row>
    <row r="43154" spans="18:18" s="2" customFormat="1" ht="12.75" x14ac:dyDescent="0.2">
      <c r="R43154" s="1288"/>
    </row>
    <row r="43155" spans="18:18" s="2" customFormat="1" ht="12.75" x14ac:dyDescent="0.2">
      <c r="R43155" s="1288"/>
    </row>
    <row r="43156" spans="18:18" s="2" customFormat="1" ht="12.75" x14ac:dyDescent="0.2">
      <c r="R43156" s="1288"/>
    </row>
    <row r="43157" spans="18:18" s="2" customFormat="1" ht="12.75" x14ac:dyDescent="0.2">
      <c r="R43157" s="1288"/>
    </row>
    <row r="43158" spans="18:18" s="2" customFormat="1" ht="12.75" x14ac:dyDescent="0.2">
      <c r="R43158" s="1288"/>
    </row>
    <row r="43159" spans="18:18" s="2" customFormat="1" ht="12.75" x14ac:dyDescent="0.2">
      <c r="R43159" s="1288"/>
    </row>
    <row r="43160" spans="18:18" s="2" customFormat="1" ht="12.75" x14ac:dyDescent="0.2">
      <c r="R43160" s="1288"/>
    </row>
    <row r="43161" spans="18:18" s="2" customFormat="1" ht="12.75" x14ac:dyDescent="0.2">
      <c r="R43161" s="1288"/>
    </row>
    <row r="43162" spans="18:18" s="2" customFormat="1" ht="12.75" x14ac:dyDescent="0.2">
      <c r="R43162" s="1288"/>
    </row>
    <row r="43163" spans="18:18" s="2" customFormat="1" ht="12.75" x14ac:dyDescent="0.2">
      <c r="R43163" s="1288"/>
    </row>
    <row r="43164" spans="18:18" s="2" customFormat="1" ht="12.75" x14ac:dyDescent="0.2">
      <c r="R43164" s="1288"/>
    </row>
    <row r="43165" spans="18:18" s="2" customFormat="1" ht="12.75" x14ac:dyDescent="0.2">
      <c r="R43165" s="1288"/>
    </row>
    <row r="43166" spans="18:18" s="2" customFormat="1" ht="12.75" x14ac:dyDescent="0.2">
      <c r="R43166" s="1288"/>
    </row>
    <row r="43167" spans="18:18" s="2" customFormat="1" ht="12.75" x14ac:dyDescent="0.2">
      <c r="R43167" s="1288"/>
    </row>
    <row r="43168" spans="18:18" s="2" customFormat="1" ht="12.75" x14ac:dyDescent="0.2">
      <c r="R43168" s="1288"/>
    </row>
    <row r="43169" spans="18:18" s="2" customFormat="1" ht="12.75" x14ac:dyDescent="0.2">
      <c r="R43169" s="1288"/>
    </row>
    <row r="43170" spans="18:18" s="2" customFormat="1" ht="12.75" x14ac:dyDescent="0.2">
      <c r="R43170" s="1288"/>
    </row>
    <row r="43171" spans="18:18" s="2" customFormat="1" ht="12.75" x14ac:dyDescent="0.2">
      <c r="R43171" s="1288"/>
    </row>
    <row r="43172" spans="18:18" s="2" customFormat="1" ht="12.75" x14ac:dyDescent="0.2">
      <c r="R43172" s="1288"/>
    </row>
    <row r="43173" spans="18:18" s="2" customFormat="1" ht="12.75" x14ac:dyDescent="0.2">
      <c r="R43173" s="1288"/>
    </row>
    <row r="43174" spans="18:18" s="2" customFormat="1" ht="12.75" x14ac:dyDescent="0.2">
      <c r="R43174" s="1288"/>
    </row>
    <row r="43175" spans="18:18" s="2" customFormat="1" ht="12.75" x14ac:dyDescent="0.2">
      <c r="R43175" s="1288"/>
    </row>
    <row r="43176" spans="18:18" s="2" customFormat="1" ht="12.75" x14ac:dyDescent="0.2">
      <c r="R43176" s="1288"/>
    </row>
    <row r="43177" spans="18:18" s="2" customFormat="1" ht="12.75" x14ac:dyDescent="0.2">
      <c r="R43177" s="1288"/>
    </row>
    <row r="43178" spans="18:18" s="2" customFormat="1" ht="12.75" x14ac:dyDescent="0.2">
      <c r="R43178" s="1288"/>
    </row>
    <row r="43179" spans="18:18" s="2" customFormat="1" ht="12.75" x14ac:dyDescent="0.2">
      <c r="R43179" s="1288"/>
    </row>
    <row r="43180" spans="18:18" s="2" customFormat="1" ht="12.75" x14ac:dyDescent="0.2">
      <c r="R43180" s="1288"/>
    </row>
    <row r="43181" spans="18:18" s="2" customFormat="1" ht="12.75" x14ac:dyDescent="0.2">
      <c r="R43181" s="1288"/>
    </row>
    <row r="43182" spans="18:18" s="2" customFormat="1" ht="12.75" x14ac:dyDescent="0.2">
      <c r="R43182" s="1288"/>
    </row>
    <row r="43183" spans="18:18" s="2" customFormat="1" ht="12.75" x14ac:dyDescent="0.2">
      <c r="R43183" s="1288"/>
    </row>
    <row r="43184" spans="18:18" s="2" customFormat="1" ht="12.75" x14ac:dyDescent="0.2">
      <c r="R43184" s="1288"/>
    </row>
    <row r="43185" spans="18:18" s="2" customFormat="1" ht="12.75" x14ac:dyDescent="0.2">
      <c r="R43185" s="1288"/>
    </row>
    <row r="43186" spans="18:18" s="2" customFormat="1" ht="12.75" x14ac:dyDescent="0.2">
      <c r="R43186" s="1288"/>
    </row>
    <row r="43187" spans="18:18" s="2" customFormat="1" ht="12.75" x14ac:dyDescent="0.2">
      <c r="R43187" s="1288"/>
    </row>
    <row r="43188" spans="18:18" s="2" customFormat="1" ht="12.75" x14ac:dyDescent="0.2">
      <c r="R43188" s="1288"/>
    </row>
    <row r="43189" spans="18:18" s="2" customFormat="1" ht="12.75" x14ac:dyDescent="0.2">
      <c r="R43189" s="1288"/>
    </row>
    <row r="43190" spans="18:18" s="2" customFormat="1" ht="12.75" x14ac:dyDescent="0.2">
      <c r="R43190" s="1288"/>
    </row>
    <row r="43191" spans="18:18" s="2" customFormat="1" ht="12.75" x14ac:dyDescent="0.2">
      <c r="R43191" s="1288"/>
    </row>
    <row r="43192" spans="18:18" s="2" customFormat="1" ht="12.75" x14ac:dyDescent="0.2">
      <c r="R43192" s="1288"/>
    </row>
    <row r="43193" spans="18:18" s="2" customFormat="1" ht="12.75" x14ac:dyDescent="0.2">
      <c r="R43193" s="1288"/>
    </row>
    <row r="43194" spans="18:18" s="2" customFormat="1" ht="12.75" x14ac:dyDescent="0.2">
      <c r="R43194" s="1288"/>
    </row>
    <row r="43195" spans="18:18" s="2" customFormat="1" ht="12.75" x14ac:dyDescent="0.2">
      <c r="R43195" s="1288"/>
    </row>
    <row r="43196" spans="18:18" s="2" customFormat="1" ht="12.75" x14ac:dyDescent="0.2">
      <c r="R43196" s="1288"/>
    </row>
    <row r="43197" spans="18:18" s="2" customFormat="1" ht="12.75" x14ac:dyDescent="0.2">
      <c r="R43197" s="1288"/>
    </row>
    <row r="43198" spans="18:18" s="2" customFormat="1" ht="12.75" x14ac:dyDescent="0.2">
      <c r="R43198" s="1288"/>
    </row>
    <row r="43199" spans="18:18" s="2" customFormat="1" ht="12.75" x14ac:dyDescent="0.2">
      <c r="R43199" s="1288"/>
    </row>
    <row r="43200" spans="18:18" s="2" customFormat="1" ht="12.75" x14ac:dyDescent="0.2">
      <c r="R43200" s="1288"/>
    </row>
    <row r="43201" spans="18:18" s="2" customFormat="1" ht="12.75" x14ac:dyDescent="0.2">
      <c r="R43201" s="1288"/>
    </row>
    <row r="43202" spans="18:18" s="2" customFormat="1" ht="12.75" x14ac:dyDescent="0.2">
      <c r="R43202" s="1288"/>
    </row>
    <row r="43203" spans="18:18" s="2" customFormat="1" ht="12.75" x14ac:dyDescent="0.2">
      <c r="R43203" s="1288"/>
    </row>
    <row r="43204" spans="18:18" s="2" customFormat="1" ht="12.75" x14ac:dyDescent="0.2">
      <c r="R43204" s="1288"/>
    </row>
    <row r="43205" spans="18:18" s="2" customFormat="1" ht="12.75" x14ac:dyDescent="0.2">
      <c r="R43205" s="1288"/>
    </row>
    <row r="43206" spans="18:18" s="2" customFormat="1" ht="12.75" x14ac:dyDescent="0.2">
      <c r="R43206" s="1288"/>
    </row>
    <row r="43207" spans="18:18" s="2" customFormat="1" ht="12.75" x14ac:dyDescent="0.2">
      <c r="R43207" s="1288"/>
    </row>
    <row r="43208" spans="18:18" s="2" customFormat="1" ht="12.75" x14ac:dyDescent="0.2">
      <c r="R43208" s="1288"/>
    </row>
    <row r="43209" spans="18:18" s="2" customFormat="1" ht="12.75" x14ac:dyDescent="0.2">
      <c r="R43209" s="1288"/>
    </row>
    <row r="43210" spans="18:18" s="2" customFormat="1" ht="12.75" x14ac:dyDescent="0.2">
      <c r="R43210" s="1288"/>
    </row>
    <row r="43211" spans="18:18" s="2" customFormat="1" ht="12.75" x14ac:dyDescent="0.2">
      <c r="R43211" s="1288"/>
    </row>
    <row r="43212" spans="18:18" s="2" customFormat="1" ht="12.75" x14ac:dyDescent="0.2">
      <c r="R43212" s="1288"/>
    </row>
    <row r="43213" spans="18:18" s="2" customFormat="1" ht="12.75" x14ac:dyDescent="0.2">
      <c r="R43213" s="1288"/>
    </row>
    <row r="43214" spans="18:18" s="2" customFormat="1" ht="12.75" x14ac:dyDescent="0.2">
      <c r="R43214" s="1288"/>
    </row>
    <row r="43215" spans="18:18" s="2" customFormat="1" ht="12.75" x14ac:dyDescent="0.2">
      <c r="R43215" s="1288"/>
    </row>
    <row r="43216" spans="18:18" s="2" customFormat="1" ht="12.75" x14ac:dyDescent="0.2">
      <c r="R43216" s="1288"/>
    </row>
    <row r="43217" spans="18:18" s="2" customFormat="1" ht="12.75" x14ac:dyDescent="0.2">
      <c r="R43217" s="1288"/>
    </row>
    <row r="43218" spans="18:18" s="2" customFormat="1" ht="12.75" x14ac:dyDescent="0.2">
      <c r="R43218" s="1288"/>
    </row>
    <row r="43219" spans="18:18" s="2" customFormat="1" ht="12.75" x14ac:dyDescent="0.2">
      <c r="R43219" s="1288"/>
    </row>
    <row r="43220" spans="18:18" s="2" customFormat="1" ht="12.75" x14ac:dyDescent="0.2">
      <c r="R43220" s="1288"/>
    </row>
    <row r="43221" spans="18:18" s="2" customFormat="1" ht="12.75" x14ac:dyDescent="0.2">
      <c r="R43221" s="1288"/>
    </row>
    <row r="43222" spans="18:18" s="2" customFormat="1" ht="12.75" x14ac:dyDescent="0.2">
      <c r="R43222" s="1288"/>
    </row>
    <row r="43223" spans="18:18" s="2" customFormat="1" ht="12.75" x14ac:dyDescent="0.2">
      <c r="R43223" s="1288"/>
    </row>
    <row r="43224" spans="18:18" s="2" customFormat="1" ht="12.75" x14ac:dyDescent="0.2">
      <c r="R43224" s="1288"/>
    </row>
    <row r="43225" spans="18:18" s="2" customFormat="1" ht="12.75" x14ac:dyDescent="0.2">
      <c r="R43225" s="1288"/>
    </row>
    <row r="43226" spans="18:18" s="2" customFormat="1" ht="12.75" x14ac:dyDescent="0.2">
      <c r="R43226" s="1288"/>
    </row>
    <row r="43227" spans="18:18" s="2" customFormat="1" ht="12.75" x14ac:dyDescent="0.2">
      <c r="R43227" s="1288"/>
    </row>
    <row r="43228" spans="18:18" s="2" customFormat="1" ht="12.75" x14ac:dyDescent="0.2">
      <c r="R43228" s="1288"/>
    </row>
    <row r="43229" spans="18:18" s="2" customFormat="1" ht="12.75" x14ac:dyDescent="0.2">
      <c r="R43229" s="1288"/>
    </row>
    <row r="43230" spans="18:18" s="2" customFormat="1" ht="12.75" x14ac:dyDescent="0.2">
      <c r="R43230" s="1288"/>
    </row>
    <row r="43231" spans="18:18" s="2" customFormat="1" ht="12.75" x14ac:dyDescent="0.2">
      <c r="R43231" s="1288"/>
    </row>
    <row r="43232" spans="18:18" s="2" customFormat="1" ht="12.75" x14ac:dyDescent="0.2">
      <c r="R43232" s="1288"/>
    </row>
    <row r="43233" spans="18:18" s="2" customFormat="1" ht="12.75" x14ac:dyDescent="0.2">
      <c r="R43233" s="1288"/>
    </row>
    <row r="43234" spans="18:18" s="2" customFormat="1" ht="12.75" x14ac:dyDescent="0.2">
      <c r="R43234" s="1288"/>
    </row>
    <row r="43235" spans="18:18" s="2" customFormat="1" ht="12.75" x14ac:dyDescent="0.2">
      <c r="R43235" s="1288"/>
    </row>
    <row r="43236" spans="18:18" s="2" customFormat="1" ht="12.75" x14ac:dyDescent="0.2">
      <c r="R43236" s="1288"/>
    </row>
    <row r="43237" spans="18:18" s="2" customFormat="1" ht="12.75" x14ac:dyDescent="0.2">
      <c r="R43237" s="1288"/>
    </row>
    <row r="43238" spans="18:18" s="2" customFormat="1" ht="12.75" x14ac:dyDescent="0.2">
      <c r="R43238" s="1288"/>
    </row>
    <row r="43239" spans="18:18" s="2" customFormat="1" ht="12.75" x14ac:dyDescent="0.2">
      <c r="R43239" s="1288"/>
    </row>
    <row r="43240" spans="18:18" s="2" customFormat="1" ht="12.75" x14ac:dyDescent="0.2">
      <c r="R43240" s="1288"/>
    </row>
    <row r="43241" spans="18:18" s="2" customFormat="1" ht="12.75" x14ac:dyDescent="0.2">
      <c r="R43241" s="1288"/>
    </row>
    <row r="43242" spans="18:18" s="2" customFormat="1" ht="12.75" x14ac:dyDescent="0.2">
      <c r="R43242" s="1288"/>
    </row>
    <row r="43243" spans="18:18" s="2" customFormat="1" ht="12.75" x14ac:dyDescent="0.2">
      <c r="R43243" s="1288"/>
    </row>
    <row r="43244" spans="18:18" s="2" customFormat="1" ht="12.75" x14ac:dyDescent="0.2">
      <c r="R43244" s="1288"/>
    </row>
    <row r="43245" spans="18:18" s="2" customFormat="1" ht="12.75" x14ac:dyDescent="0.2">
      <c r="R43245" s="1288"/>
    </row>
    <row r="43246" spans="18:18" s="2" customFormat="1" ht="12.75" x14ac:dyDescent="0.2">
      <c r="R43246" s="1288"/>
    </row>
    <row r="43247" spans="18:18" s="2" customFormat="1" ht="12.75" x14ac:dyDescent="0.2">
      <c r="R43247" s="1288"/>
    </row>
    <row r="43248" spans="18:18" s="2" customFormat="1" ht="12.75" x14ac:dyDescent="0.2">
      <c r="R43248" s="1288"/>
    </row>
    <row r="43249" spans="18:18" s="2" customFormat="1" ht="12.75" x14ac:dyDescent="0.2">
      <c r="R43249" s="1288"/>
    </row>
    <row r="43250" spans="18:18" s="2" customFormat="1" ht="12.75" x14ac:dyDescent="0.2">
      <c r="R43250" s="1288"/>
    </row>
    <row r="43251" spans="18:18" s="2" customFormat="1" ht="12.75" x14ac:dyDescent="0.2">
      <c r="R43251" s="1288"/>
    </row>
    <row r="43252" spans="18:18" s="2" customFormat="1" ht="12.75" x14ac:dyDescent="0.2">
      <c r="R43252" s="1288"/>
    </row>
    <row r="43253" spans="18:18" s="2" customFormat="1" ht="12.75" x14ac:dyDescent="0.2">
      <c r="R43253" s="1288"/>
    </row>
    <row r="43254" spans="18:18" s="2" customFormat="1" ht="12.75" x14ac:dyDescent="0.2">
      <c r="R43254" s="1288"/>
    </row>
    <row r="43255" spans="18:18" s="2" customFormat="1" ht="12.75" x14ac:dyDescent="0.2">
      <c r="R43255" s="1288"/>
    </row>
    <row r="43256" spans="18:18" s="2" customFormat="1" ht="12.75" x14ac:dyDescent="0.2">
      <c r="R43256" s="1288"/>
    </row>
    <row r="43257" spans="18:18" s="2" customFormat="1" ht="12.75" x14ac:dyDescent="0.2">
      <c r="R43257" s="1288"/>
    </row>
    <row r="43258" spans="18:18" s="2" customFormat="1" ht="12.75" x14ac:dyDescent="0.2">
      <c r="R43258" s="1288"/>
    </row>
    <row r="43259" spans="18:18" s="2" customFormat="1" ht="12.75" x14ac:dyDescent="0.2">
      <c r="R43259" s="1288"/>
    </row>
    <row r="43260" spans="18:18" s="2" customFormat="1" ht="12.75" x14ac:dyDescent="0.2">
      <c r="R43260" s="1288"/>
    </row>
    <row r="43261" spans="18:18" s="2" customFormat="1" ht="12.75" x14ac:dyDescent="0.2">
      <c r="R43261" s="1288"/>
    </row>
    <row r="43262" spans="18:18" s="2" customFormat="1" ht="12.75" x14ac:dyDescent="0.2">
      <c r="R43262" s="1288"/>
    </row>
    <row r="43263" spans="18:18" s="2" customFormat="1" ht="12.75" x14ac:dyDescent="0.2">
      <c r="R43263" s="1288"/>
    </row>
    <row r="43264" spans="18:18" s="2" customFormat="1" ht="12.75" x14ac:dyDescent="0.2">
      <c r="R43264" s="1288"/>
    </row>
    <row r="43265" spans="18:18" s="2" customFormat="1" ht="12.75" x14ac:dyDescent="0.2">
      <c r="R43265" s="1288"/>
    </row>
    <row r="43266" spans="18:18" s="2" customFormat="1" ht="12.75" x14ac:dyDescent="0.2">
      <c r="R43266" s="1288"/>
    </row>
    <row r="43267" spans="18:18" s="2" customFormat="1" ht="12.75" x14ac:dyDescent="0.2">
      <c r="R43267" s="1288"/>
    </row>
    <row r="43268" spans="18:18" s="2" customFormat="1" ht="12.75" x14ac:dyDescent="0.2">
      <c r="R43268" s="1288"/>
    </row>
    <row r="43269" spans="18:18" s="2" customFormat="1" ht="12.75" x14ac:dyDescent="0.2">
      <c r="R43269" s="1288"/>
    </row>
    <row r="43270" spans="18:18" s="2" customFormat="1" ht="12.75" x14ac:dyDescent="0.2">
      <c r="R43270" s="1288"/>
    </row>
    <row r="43271" spans="18:18" s="2" customFormat="1" ht="12.75" x14ac:dyDescent="0.2">
      <c r="R43271" s="1288"/>
    </row>
    <row r="43272" spans="18:18" s="2" customFormat="1" ht="12.75" x14ac:dyDescent="0.2">
      <c r="R43272" s="1288"/>
    </row>
    <row r="43273" spans="18:18" s="2" customFormat="1" ht="12.75" x14ac:dyDescent="0.2">
      <c r="R43273" s="1288"/>
    </row>
    <row r="43274" spans="18:18" s="2" customFormat="1" ht="12.75" x14ac:dyDescent="0.2">
      <c r="R43274" s="1288"/>
    </row>
    <row r="43275" spans="18:18" s="2" customFormat="1" ht="12.75" x14ac:dyDescent="0.2">
      <c r="R43275" s="1288"/>
    </row>
    <row r="43276" spans="18:18" s="2" customFormat="1" ht="12.75" x14ac:dyDescent="0.2">
      <c r="R43276" s="1288"/>
    </row>
    <row r="43277" spans="18:18" s="2" customFormat="1" ht="12.75" x14ac:dyDescent="0.2">
      <c r="R43277" s="1288"/>
    </row>
    <row r="43278" spans="18:18" s="2" customFormat="1" ht="12.75" x14ac:dyDescent="0.2">
      <c r="R43278" s="1288"/>
    </row>
    <row r="43279" spans="18:18" s="2" customFormat="1" ht="12.75" x14ac:dyDescent="0.2">
      <c r="R43279" s="1288"/>
    </row>
    <row r="43280" spans="18:18" s="2" customFormat="1" ht="12.75" x14ac:dyDescent="0.2">
      <c r="R43280" s="1288"/>
    </row>
    <row r="43281" spans="18:18" s="2" customFormat="1" ht="12.75" x14ac:dyDescent="0.2">
      <c r="R43281" s="1288"/>
    </row>
    <row r="43282" spans="18:18" s="2" customFormat="1" ht="12.75" x14ac:dyDescent="0.2">
      <c r="R43282" s="1288"/>
    </row>
    <row r="43283" spans="18:18" s="2" customFormat="1" ht="12.75" x14ac:dyDescent="0.2">
      <c r="R43283" s="1288"/>
    </row>
    <row r="43284" spans="18:18" s="2" customFormat="1" ht="12.75" x14ac:dyDescent="0.2">
      <c r="R43284" s="1288"/>
    </row>
    <row r="43285" spans="18:18" s="2" customFormat="1" ht="12.75" x14ac:dyDescent="0.2">
      <c r="R43285" s="1288"/>
    </row>
    <row r="43286" spans="18:18" s="2" customFormat="1" ht="12.75" x14ac:dyDescent="0.2">
      <c r="R43286" s="1288"/>
    </row>
    <row r="43287" spans="18:18" s="2" customFormat="1" ht="12.75" x14ac:dyDescent="0.2">
      <c r="R43287" s="1288"/>
    </row>
    <row r="43288" spans="18:18" s="2" customFormat="1" ht="12.75" x14ac:dyDescent="0.2">
      <c r="R43288" s="1288"/>
    </row>
    <row r="43289" spans="18:18" s="2" customFormat="1" ht="12.75" x14ac:dyDescent="0.2">
      <c r="R43289" s="1288"/>
    </row>
    <row r="43290" spans="18:18" s="2" customFormat="1" ht="12.75" x14ac:dyDescent="0.2">
      <c r="R43290" s="1288"/>
    </row>
    <row r="43291" spans="18:18" s="2" customFormat="1" ht="12.75" x14ac:dyDescent="0.2">
      <c r="R43291" s="1288"/>
    </row>
    <row r="43292" spans="18:18" s="2" customFormat="1" ht="12.75" x14ac:dyDescent="0.2">
      <c r="R43292" s="1288"/>
    </row>
    <row r="43293" spans="18:18" s="2" customFormat="1" ht="12.75" x14ac:dyDescent="0.2">
      <c r="R43293" s="1288"/>
    </row>
    <row r="43294" spans="18:18" s="2" customFormat="1" ht="12.75" x14ac:dyDescent="0.2">
      <c r="R43294" s="1288"/>
    </row>
    <row r="43295" spans="18:18" s="2" customFormat="1" ht="12.75" x14ac:dyDescent="0.2">
      <c r="R43295" s="1288"/>
    </row>
    <row r="43296" spans="18:18" s="2" customFormat="1" ht="12.75" x14ac:dyDescent="0.2">
      <c r="R43296" s="1288"/>
    </row>
    <row r="43297" spans="18:18" s="2" customFormat="1" ht="12.75" x14ac:dyDescent="0.2">
      <c r="R43297" s="1288"/>
    </row>
    <row r="43298" spans="18:18" s="2" customFormat="1" ht="12.75" x14ac:dyDescent="0.2">
      <c r="R43298" s="1288"/>
    </row>
    <row r="43299" spans="18:18" s="2" customFormat="1" ht="12.75" x14ac:dyDescent="0.2">
      <c r="R43299" s="1288"/>
    </row>
    <row r="43300" spans="18:18" s="2" customFormat="1" ht="12.75" x14ac:dyDescent="0.2">
      <c r="R43300" s="1288"/>
    </row>
    <row r="43301" spans="18:18" s="2" customFormat="1" ht="12.75" x14ac:dyDescent="0.2">
      <c r="R43301" s="1288"/>
    </row>
    <row r="43302" spans="18:18" s="2" customFormat="1" ht="12.75" x14ac:dyDescent="0.2">
      <c r="R43302" s="1288"/>
    </row>
    <row r="43303" spans="18:18" s="2" customFormat="1" ht="12.75" x14ac:dyDescent="0.2">
      <c r="R43303" s="1288"/>
    </row>
    <row r="43304" spans="18:18" s="2" customFormat="1" ht="12.75" x14ac:dyDescent="0.2">
      <c r="R43304" s="1288"/>
    </row>
    <row r="43305" spans="18:18" s="2" customFormat="1" ht="12.75" x14ac:dyDescent="0.2">
      <c r="R43305" s="1288"/>
    </row>
    <row r="43306" spans="18:18" s="2" customFormat="1" ht="12.75" x14ac:dyDescent="0.2">
      <c r="R43306" s="1288"/>
    </row>
    <row r="43307" spans="18:18" s="2" customFormat="1" ht="12.75" x14ac:dyDescent="0.2">
      <c r="R43307" s="1288"/>
    </row>
    <row r="43308" spans="18:18" s="2" customFormat="1" ht="12.75" x14ac:dyDescent="0.2">
      <c r="R43308" s="1288"/>
    </row>
    <row r="43309" spans="18:18" s="2" customFormat="1" ht="12.75" x14ac:dyDescent="0.2">
      <c r="R43309" s="1288"/>
    </row>
    <row r="43310" spans="18:18" s="2" customFormat="1" ht="12.75" x14ac:dyDescent="0.2">
      <c r="R43310" s="1288"/>
    </row>
    <row r="43311" spans="18:18" s="2" customFormat="1" ht="12.75" x14ac:dyDescent="0.2">
      <c r="R43311" s="1288"/>
    </row>
    <row r="43312" spans="18:18" s="2" customFormat="1" ht="12.75" x14ac:dyDescent="0.2">
      <c r="R43312" s="1288"/>
    </row>
    <row r="43313" spans="18:18" s="2" customFormat="1" ht="12.75" x14ac:dyDescent="0.2">
      <c r="R43313" s="1288"/>
    </row>
    <row r="43314" spans="18:18" s="2" customFormat="1" ht="12.75" x14ac:dyDescent="0.2">
      <c r="R43314" s="1288"/>
    </row>
    <row r="43315" spans="18:18" s="2" customFormat="1" ht="12.75" x14ac:dyDescent="0.2">
      <c r="R43315" s="1288"/>
    </row>
    <row r="43316" spans="18:18" s="2" customFormat="1" ht="12.75" x14ac:dyDescent="0.2">
      <c r="R43316" s="1288"/>
    </row>
    <row r="43317" spans="18:18" s="2" customFormat="1" ht="12.75" x14ac:dyDescent="0.2">
      <c r="R43317" s="1288"/>
    </row>
    <row r="43318" spans="18:18" s="2" customFormat="1" ht="12.75" x14ac:dyDescent="0.2">
      <c r="R43318" s="1288"/>
    </row>
    <row r="43319" spans="18:18" s="2" customFormat="1" ht="12.75" x14ac:dyDescent="0.2">
      <c r="R43319" s="1288"/>
    </row>
    <row r="43320" spans="18:18" s="2" customFormat="1" ht="12.75" x14ac:dyDescent="0.2">
      <c r="R43320" s="1288"/>
    </row>
    <row r="43321" spans="18:18" s="2" customFormat="1" ht="12.75" x14ac:dyDescent="0.2">
      <c r="R43321" s="1288"/>
    </row>
    <row r="43322" spans="18:18" s="2" customFormat="1" ht="12.75" x14ac:dyDescent="0.2">
      <c r="R43322" s="1288"/>
    </row>
    <row r="43323" spans="18:18" s="2" customFormat="1" ht="12.75" x14ac:dyDescent="0.2">
      <c r="R43323" s="1288"/>
    </row>
    <row r="43324" spans="18:18" s="2" customFormat="1" ht="12.75" x14ac:dyDescent="0.2">
      <c r="R43324" s="1288"/>
    </row>
    <row r="43325" spans="18:18" s="2" customFormat="1" ht="12.75" x14ac:dyDescent="0.2">
      <c r="R43325" s="1288"/>
    </row>
    <row r="43326" spans="18:18" s="2" customFormat="1" ht="12.75" x14ac:dyDescent="0.2">
      <c r="R43326" s="1288"/>
    </row>
    <row r="43327" spans="18:18" s="2" customFormat="1" ht="12.75" x14ac:dyDescent="0.2">
      <c r="R43327" s="1288"/>
    </row>
    <row r="43328" spans="18:18" s="2" customFormat="1" ht="12.75" x14ac:dyDescent="0.2">
      <c r="R43328" s="1288"/>
    </row>
    <row r="43329" spans="18:18" s="2" customFormat="1" ht="12.75" x14ac:dyDescent="0.2">
      <c r="R43329" s="1288"/>
    </row>
    <row r="43330" spans="18:18" s="2" customFormat="1" ht="12.75" x14ac:dyDescent="0.2">
      <c r="R43330" s="1288"/>
    </row>
    <row r="43331" spans="18:18" s="2" customFormat="1" ht="12.75" x14ac:dyDescent="0.2">
      <c r="R43331" s="1288"/>
    </row>
    <row r="43332" spans="18:18" s="2" customFormat="1" ht="12.75" x14ac:dyDescent="0.2">
      <c r="R43332" s="1288"/>
    </row>
    <row r="43333" spans="18:18" s="2" customFormat="1" ht="12.75" x14ac:dyDescent="0.2">
      <c r="R43333" s="1288"/>
    </row>
    <row r="43334" spans="18:18" s="2" customFormat="1" ht="12.75" x14ac:dyDescent="0.2">
      <c r="R43334" s="1288"/>
    </row>
    <row r="43335" spans="18:18" s="2" customFormat="1" ht="12.75" x14ac:dyDescent="0.2">
      <c r="R43335" s="1288"/>
    </row>
    <row r="43336" spans="18:18" s="2" customFormat="1" ht="12.75" x14ac:dyDescent="0.2">
      <c r="R43336" s="1288"/>
    </row>
    <row r="43337" spans="18:18" s="2" customFormat="1" ht="12.75" x14ac:dyDescent="0.2">
      <c r="R43337" s="1288"/>
    </row>
    <row r="43338" spans="18:18" s="2" customFormat="1" ht="12.75" x14ac:dyDescent="0.2">
      <c r="R43338" s="1288"/>
    </row>
    <row r="43339" spans="18:18" s="2" customFormat="1" ht="12.75" x14ac:dyDescent="0.2">
      <c r="R43339" s="1288"/>
    </row>
    <row r="43340" spans="18:18" s="2" customFormat="1" ht="12.75" x14ac:dyDescent="0.2">
      <c r="R43340" s="1288"/>
    </row>
    <row r="43341" spans="18:18" s="2" customFormat="1" ht="12.75" x14ac:dyDescent="0.2">
      <c r="R43341" s="1288"/>
    </row>
    <row r="43342" spans="18:18" s="2" customFormat="1" ht="12.75" x14ac:dyDescent="0.2">
      <c r="R43342" s="1288"/>
    </row>
    <row r="43343" spans="18:18" s="2" customFormat="1" ht="12.75" x14ac:dyDescent="0.2">
      <c r="R43343" s="1288"/>
    </row>
    <row r="43344" spans="18:18" s="2" customFormat="1" ht="12.75" x14ac:dyDescent="0.2">
      <c r="R43344" s="1288"/>
    </row>
    <row r="43345" spans="18:18" s="2" customFormat="1" ht="12.75" x14ac:dyDescent="0.2">
      <c r="R43345" s="1288"/>
    </row>
    <row r="43346" spans="18:18" s="2" customFormat="1" ht="12.75" x14ac:dyDescent="0.2">
      <c r="R43346" s="1288"/>
    </row>
    <row r="43347" spans="18:18" s="2" customFormat="1" ht="12.75" x14ac:dyDescent="0.2">
      <c r="R43347" s="1288"/>
    </row>
    <row r="43348" spans="18:18" s="2" customFormat="1" ht="12.75" x14ac:dyDescent="0.2">
      <c r="R43348" s="1288"/>
    </row>
    <row r="43349" spans="18:18" s="2" customFormat="1" ht="12.75" x14ac:dyDescent="0.2">
      <c r="R43349" s="1288"/>
    </row>
    <row r="43350" spans="18:18" s="2" customFormat="1" ht="12.75" x14ac:dyDescent="0.2">
      <c r="R43350" s="1288"/>
    </row>
    <row r="43351" spans="18:18" s="2" customFormat="1" ht="12.75" x14ac:dyDescent="0.2">
      <c r="R43351" s="1288"/>
    </row>
    <row r="43352" spans="18:18" s="2" customFormat="1" ht="12.75" x14ac:dyDescent="0.2">
      <c r="R43352" s="1288"/>
    </row>
    <row r="43353" spans="18:18" s="2" customFormat="1" ht="12.75" x14ac:dyDescent="0.2">
      <c r="R43353" s="1288"/>
    </row>
    <row r="43354" spans="18:18" s="2" customFormat="1" ht="12.75" x14ac:dyDescent="0.2">
      <c r="R43354" s="1288"/>
    </row>
    <row r="43355" spans="18:18" s="2" customFormat="1" ht="12.75" x14ac:dyDescent="0.2">
      <c r="R43355" s="1288"/>
    </row>
    <row r="43356" spans="18:18" s="2" customFormat="1" ht="12.75" x14ac:dyDescent="0.2">
      <c r="R43356" s="1288"/>
    </row>
    <row r="43357" spans="18:18" s="2" customFormat="1" ht="12.75" x14ac:dyDescent="0.2">
      <c r="R43357" s="1288"/>
    </row>
    <row r="43358" spans="18:18" s="2" customFormat="1" ht="12.75" x14ac:dyDescent="0.2">
      <c r="R43358" s="1288"/>
    </row>
    <row r="43359" spans="18:18" s="2" customFormat="1" ht="12.75" x14ac:dyDescent="0.2">
      <c r="R43359" s="1288"/>
    </row>
    <row r="43360" spans="18:18" s="2" customFormat="1" ht="12.75" x14ac:dyDescent="0.2">
      <c r="R43360" s="1288"/>
    </row>
    <row r="43361" spans="18:18" s="2" customFormat="1" ht="12.75" x14ac:dyDescent="0.2">
      <c r="R43361" s="1288"/>
    </row>
    <row r="43362" spans="18:18" s="2" customFormat="1" ht="12.75" x14ac:dyDescent="0.2">
      <c r="R43362" s="1288"/>
    </row>
    <row r="43363" spans="18:18" s="2" customFormat="1" ht="12.75" x14ac:dyDescent="0.2">
      <c r="R43363" s="1288"/>
    </row>
    <row r="43364" spans="18:18" s="2" customFormat="1" ht="12.75" x14ac:dyDescent="0.2">
      <c r="R43364" s="1288"/>
    </row>
    <row r="43365" spans="18:18" s="2" customFormat="1" ht="12.75" x14ac:dyDescent="0.2">
      <c r="R43365" s="1288"/>
    </row>
    <row r="43366" spans="18:18" s="2" customFormat="1" ht="12.75" x14ac:dyDescent="0.2">
      <c r="R43366" s="1288"/>
    </row>
    <row r="43367" spans="18:18" s="2" customFormat="1" ht="12.75" x14ac:dyDescent="0.2">
      <c r="R43367" s="1288"/>
    </row>
    <row r="43368" spans="18:18" s="2" customFormat="1" ht="12.75" x14ac:dyDescent="0.2">
      <c r="R43368" s="1288"/>
    </row>
    <row r="43369" spans="18:18" s="2" customFormat="1" ht="12.75" x14ac:dyDescent="0.2">
      <c r="R43369" s="1288"/>
    </row>
    <row r="43370" spans="18:18" s="2" customFormat="1" ht="12.75" x14ac:dyDescent="0.2">
      <c r="R43370" s="1288"/>
    </row>
    <row r="43371" spans="18:18" s="2" customFormat="1" ht="12.75" x14ac:dyDescent="0.2">
      <c r="R43371" s="1288"/>
    </row>
    <row r="43372" spans="18:18" s="2" customFormat="1" ht="12.75" x14ac:dyDescent="0.2">
      <c r="R43372" s="1288"/>
    </row>
    <row r="43373" spans="18:18" s="2" customFormat="1" ht="12.75" x14ac:dyDescent="0.2">
      <c r="R43373" s="1288"/>
    </row>
    <row r="43374" spans="18:18" s="2" customFormat="1" ht="12.75" x14ac:dyDescent="0.2">
      <c r="R43374" s="1288"/>
    </row>
    <row r="43375" spans="18:18" s="2" customFormat="1" ht="12.75" x14ac:dyDescent="0.2">
      <c r="R43375" s="1288"/>
    </row>
    <row r="43376" spans="18:18" s="2" customFormat="1" ht="12.75" x14ac:dyDescent="0.2">
      <c r="R43376" s="1288"/>
    </row>
    <row r="43377" spans="18:18" s="2" customFormat="1" ht="12.75" x14ac:dyDescent="0.2">
      <c r="R43377" s="1288"/>
    </row>
    <row r="43378" spans="18:18" s="2" customFormat="1" ht="12.75" x14ac:dyDescent="0.2">
      <c r="R43378" s="1288"/>
    </row>
    <row r="43379" spans="18:18" s="2" customFormat="1" ht="12.75" x14ac:dyDescent="0.2">
      <c r="R43379" s="1288"/>
    </row>
    <row r="43380" spans="18:18" s="2" customFormat="1" ht="12.75" x14ac:dyDescent="0.2">
      <c r="R43380" s="1288"/>
    </row>
    <row r="43381" spans="18:18" s="2" customFormat="1" ht="12.75" x14ac:dyDescent="0.2">
      <c r="R43381" s="1288"/>
    </row>
    <row r="43382" spans="18:18" s="2" customFormat="1" ht="12.75" x14ac:dyDescent="0.2">
      <c r="R43382" s="1288"/>
    </row>
    <row r="43383" spans="18:18" s="2" customFormat="1" ht="12.75" x14ac:dyDescent="0.2">
      <c r="R43383" s="1288"/>
    </row>
    <row r="43384" spans="18:18" s="2" customFormat="1" ht="12.75" x14ac:dyDescent="0.2">
      <c r="R43384" s="1288"/>
    </row>
    <row r="43385" spans="18:18" s="2" customFormat="1" ht="12.75" x14ac:dyDescent="0.2">
      <c r="R43385" s="1288"/>
    </row>
    <row r="43386" spans="18:18" s="2" customFormat="1" ht="12.75" x14ac:dyDescent="0.2">
      <c r="R43386" s="1288"/>
    </row>
    <row r="43387" spans="18:18" s="2" customFormat="1" ht="12.75" x14ac:dyDescent="0.2">
      <c r="R43387" s="1288"/>
    </row>
    <row r="43388" spans="18:18" s="2" customFormat="1" ht="12.75" x14ac:dyDescent="0.2">
      <c r="R43388" s="1288"/>
    </row>
    <row r="43389" spans="18:18" s="2" customFormat="1" ht="12.75" x14ac:dyDescent="0.2">
      <c r="R43389" s="1288"/>
    </row>
    <row r="43390" spans="18:18" s="2" customFormat="1" ht="12.75" x14ac:dyDescent="0.2">
      <c r="R43390" s="1288"/>
    </row>
    <row r="43391" spans="18:18" s="2" customFormat="1" ht="12.75" x14ac:dyDescent="0.2">
      <c r="R43391" s="1288"/>
    </row>
    <row r="43392" spans="18:18" s="2" customFormat="1" ht="12.75" x14ac:dyDescent="0.2">
      <c r="R43392" s="1288"/>
    </row>
    <row r="43393" spans="18:18" s="2" customFormat="1" ht="12.75" x14ac:dyDescent="0.2">
      <c r="R43393" s="1288"/>
    </row>
    <row r="43394" spans="18:18" s="2" customFormat="1" ht="12.75" x14ac:dyDescent="0.2">
      <c r="R43394" s="1288"/>
    </row>
    <row r="43395" spans="18:18" s="2" customFormat="1" ht="12.75" x14ac:dyDescent="0.2">
      <c r="R43395" s="1288"/>
    </row>
    <row r="43396" spans="18:18" s="2" customFormat="1" ht="12.75" x14ac:dyDescent="0.2">
      <c r="R43396" s="1288"/>
    </row>
    <row r="43397" spans="18:18" s="2" customFormat="1" ht="12.75" x14ac:dyDescent="0.2">
      <c r="R43397" s="1288"/>
    </row>
    <row r="43398" spans="18:18" s="2" customFormat="1" ht="12.75" x14ac:dyDescent="0.2">
      <c r="R43398" s="1288"/>
    </row>
    <row r="43399" spans="18:18" s="2" customFormat="1" ht="12.75" x14ac:dyDescent="0.2">
      <c r="R43399" s="1288"/>
    </row>
    <row r="43400" spans="18:18" s="2" customFormat="1" ht="12.75" x14ac:dyDescent="0.2">
      <c r="R43400" s="1288"/>
    </row>
    <row r="43401" spans="18:18" s="2" customFormat="1" ht="12.75" x14ac:dyDescent="0.2">
      <c r="R43401" s="1288"/>
    </row>
    <row r="43402" spans="18:18" s="2" customFormat="1" ht="12.75" x14ac:dyDescent="0.2">
      <c r="R43402" s="1288"/>
    </row>
    <row r="43403" spans="18:18" s="2" customFormat="1" ht="12.75" x14ac:dyDescent="0.2">
      <c r="R43403" s="1288"/>
    </row>
    <row r="43404" spans="18:18" s="2" customFormat="1" ht="12.75" x14ac:dyDescent="0.2">
      <c r="R43404" s="1288"/>
    </row>
    <row r="43405" spans="18:18" s="2" customFormat="1" ht="12.75" x14ac:dyDescent="0.2">
      <c r="R43405" s="1288"/>
    </row>
    <row r="43406" spans="18:18" s="2" customFormat="1" ht="12.75" x14ac:dyDescent="0.2">
      <c r="R43406" s="1288"/>
    </row>
    <row r="43407" spans="18:18" s="2" customFormat="1" ht="12.75" x14ac:dyDescent="0.2">
      <c r="R43407" s="1288"/>
    </row>
    <row r="43408" spans="18:18" s="2" customFormat="1" ht="12.75" x14ac:dyDescent="0.2">
      <c r="R43408" s="1288"/>
    </row>
    <row r="43409" spans="18:18" s="2" customFormat="1" ht="12.75" x14ac:dyDescent="0.2">
      <c r="R43409" s="1288"/>
    </row>
    <row r="43410" spans="18:18" s="2" customFormat="1" ht="12.75" x14ac:dyDescent="0.2">
      <c r="R43410" s="1288"/>
    </row>
    <row r="43411" spans="18:18" s="2" customFormat="1" ht="12.75" x14ac:dyDescent="0.2">
      <c r="R43411" s="1288"/>
    </row>
    <row r="43412" spans="18:18" s="2" customFormat="1" ht="12.75" x14ac:dyDescent="0.2">
      <c r="R43412" s="1288"/>
    </row>
    <row r="43413" spans="18:18" s="2" customFormat="1" ht="12.75" x14ac:dyDescent="0.2">
      <c r="R43413" s="1288"/>
    </row>
    <row r="43414" spans="18:18" s="2" customFormat="1" ht="12.75" x14ac:dyDescent="0.2">
      <c r="R43414" s="1288"/>
    </row>
    <row r="43415" spans="18:18" s="2" customFormat="1" ht="12.75" x14ac:dyDescent="0.2">
      <c r="R43415" s="1288"/>
    </row>
    <row r="43416" spans="18:18" s="2" customFormat="1" ht="12.75" x14ac:dyDescent="0.2">
      <c r="R43416" s="1288"/>
    </row>
    <row r="43417" spans="18:18" s="2" customFormat="1" ht="12.75" x14ac:dyDescent="0.2">
      <c r="R43417" s="1288"/>
    </row>
    <row r="43418" spans="18:18" s="2" customFormat="1" ht="12.75" x14ac:dyDescent="0.2">
      <c r="R43418" s="1288"/>
    </row>
    <row r="43419" spans="18:18" s="2" customFormat="1" ht="12.75" x14ac:dyDescent="0.2">
      <c r="R43419" s="1288"/>
    </row>
    <row r="43420" spans="18:18" s="2" customFormat="1" ht="12.75" x14ac:dyDescent="0.2">
      <c r="R43420" s="1288"/>
    </row>
    <row r="43421" spans="18:18" s="2" customFormat="1" ht="12.75" x14ac:dyDescent="0.2">
      <c r="R43421" s="1288"/>
    </row>
    <row r="43422" spans="18:18" s="2" customFormat="1" ht="12.75" x14ac:dyDescent="0.2">
      <c r="R43422" s="1288"/>
    </row>
    <row r="43423" spans="18:18" s="2" customFormat="1" ht="12.75" x14ac:dyDescent="0.2">
      <c r="R43423" s="1288"/>
    </row>
    <row r="43424" spans="18:18" s="2" customFormat="1" ht="12.75" x14ac:dyDescent="0.2">
      <c r="R43424" s="1288"/>
    </row>
    <row r="43425" spans="18:18" s="2" customFormat="1" ht="12.75" x14ac:dyDescent="0.2">
      <c r="R43425" s="1288"/>
    </row>
    <row r="43426" spans="18:18" s="2" customFormat="1" ht="12.75" x14ac:dyDescent="0.2">
      <c r="R43426" s="1288"/>
    </row>
    <row r="43427" spans="18:18" s="2" customFormat="1" ht="12.75" x14ac:dyDescent="0.2">
      <c r="R43427" s="1288"/>
    </row>
    <row r="43428" spans="18:18" s="2" customFormat="1" ht="12.75" x14ac:dyDescent="0.2">
      <c r="R43428" s="1288"/>
    </row>
    <row r="43429" spans="18:18" s="2" customFormat="1" ht="12.75" x14ac:dyDescent="0.2">
      <c r="R43429" s="1288"/>
    </row>
    <row r="43430" spans="18:18" s="2" customFormat="1" ht="12.75" x14ac:dyDescent="0.2">
      <c r="R43430" s="1288"/>
    </row>
    <row r="43431" spans="18:18" s="2" customFormat="1" ht="12.75" x14ac:dyDescent="0.2">
      <c r="R43431" s="1288"/>
    </row>
    <row r="43432" spans="18:18" s="2" customFormat="1" ht="12.75" x14ac:dyDescent="0.2">
      <c r="R43432" s="1288"/>
    </row>
    <row r="43433" spans="18:18" s="2" customFormat="1" ht="12.75" x14ac:dyDescent="0.2">
      <c r="R43433" s="1288"/>
    </row>
    <row r="43434" spans="18:18" s="2" customFormat="1" ht="12.75" x14ac:dyDescent="0.2">
      <c r="R43434" s="1288"/>
    </row>
    <row r="43435" spans="18:18" s="2" customFormat="1" ht="12.75" x14ac:dyDescent="0.2">
      <c r="R43435" s="1288"/>
    </row>
    <row r="43436" spans="18:18" s="2" customFormat="1" ht="12.75" x14ac:dyDescent="0.2">
      <c r="R43436" s="1288"/>
    </row>
    <row r="43437" spans="18:18" s="2" customFormat="1" ht="12.75" x14ac:dyDescent="0.2">
      <c r="R43437" s="1288"/>
    </row>
    <row r="43438" spans="18:18" s="2" customFormat="1" ht="12.75" x14ac:dyDescent="0.2">
      <c r="R43438" s="1288"/>
    </row>
    <row r="43439" spans="18:18" s="2" customFormat="1" ht="12.75" x14ac:dyDescent="0.2">
      <c r="R43439" s="1288"/>
    </row>
    <row r="43440" spans="18:18" s="2" customFormat="1" ht="12.75" x14ac:dyDescent="0.2">
      <c r="R43440" s="1288"/>
    </row>
    <row r="43441" spans="18:18" s="2" customFormat="1" ht="12.75" x14ac:dyDescent="0.2">
      <c r="R43441" s="1288"/>
    </row>
    <row r="43442" spans="18:18" s="2" customFormat="1" ht="12.75" x14ac:dyDescent="0.2">
      <c r="R43442" s="1288"/>
    </row>
    <row r="43443" spans="18:18" s="2" customFormat="1" ht="12.75" x14ac:dyDescent="0.2">
      <c r="R43443" s="1288"/>
    </row>
    <row r="43444" spans="18:18" s="2" customFormat="1" ht="12.75" x14ac:dyDescent="0.2">
      <c r="R43444" s="1288"/>
    </row>
    <row r="43445" spans="18:18" s="2" customFormat="1" ht="12.75" x14ac:dyDescent="0.2">
      <c r="R43445" s="1288"/>
    </row>
    <row r="43446" spans="18:18" s="2" customFormat="1" ht="12.75" x14ac:dyDescent="0.2">
      <c r="R43446" s="1288"/>
    </row>
    <row r="43447" spans="18:18" s="2" customFormat="1" ht="12.75" x14ac:dyDescent="0.2">
      <c r="R43447" s="1288"/>
    </row>
    <row r="43448" spans="18:18" s="2" customFormat="1" ht="12.75" x14ac:dyDescent="0.2">
      <c r="R43448" s="1288"/>
    </row>
    <row r="43449" spans="18:18" s="2" customFormat="1" ht="12.75" x14ac:dyDescent="0.2">
      <c r="R43449" s="1288"/>
    </row>
    <row r="43450" spans="18:18" s="2" customFormat="1" ht="12.75" x14ac:dyDescent="0.2">
      <c r="R43450" s="1288"/>
    </row>
    <row r="43451" spans="18:18" s="2" customFormat="1" ht="12.75" x14ac:dyDescent="0.2">
      <c r="R43451" s="1288"/>
    </row>
    <row r="43452" spans="18:18" s="2" customFormat="1" ht="12.75" x14ac:dyDescent="0.2">
      <c r="R43452" s="1288"/>
    </row>
    <row r="43453" spans="18:18" s="2" customFormat="1" ht="12.75" x14ac:dyDescent="0.2">
      <c r="R43453" s="1288"/>
    </row>
    <row r="43454" spans="18:18" s="2" customFormat="1" ht="12.75" x14ac:dyDescent="0.2">
      <c r="R43454" s="1288"/>
    </row>
    <row r="43455" spans="18:18" s="2" customFormat="1" ht="12.75" x14ac:dyDescent="0.2">
      <c r="R43455" s="1288"/>
    </row>
    <row r="43456" spans="18:18" s="2" customFormat="1" ht="12.75" x14ac:dyDescent="0.2">
      <c r="R43456" s="1288"/>
    </row>
    <row r="43457" spans="18:18" s="2" customFormat="1" ht="12.75" x14ac:dyDescent="0.2">
      <c r="R43457" s="1288"/>
    </row>
    <row r="43458" spans="18:18" s="2" customFormat="1" ht="12.75" x14ac:dyDescent="0.2">
      <c r="R43458" s="1288"/>
    </row>
    <row r="43459" spans="18:18" s="2" customFormat="1" ht="12.75" x14ac:dyDescent="0.2">
      <c r="R43459" s="1288"/>
    </row>
    <row r="43460" spans="18:18" s="2" customFormat="1" ht="12.75" x14ac:dyDescent="0.2">
      <c r="R43460" s="1288"/>
    </row>
    <row r="43461" spans="18:18" s="2" customFormat="1" ht="12.75" x14ac:dyDescent="0.2">
      <c r="R43461" s="1288"/>
    </row>
    <row r="43462" spans="18:18" s="2" customFormat="1" ht="12.75" x14ac:dyDescent="0.2">
      <c r="R43462" s="1288"/>
    </row>
    <row r="43463" spans="18:18" s="2" customFormat="1" ht="12.75" x14ac:dyDescent="0.2">
      <c r="R43463" s="1288"/>
    </row>
    <row r="43464" spans="18:18" s="2" customFormat="1" ht="12.75" x14ac:dyDescent="0.2">
      <c r="R43464" s="1288"/>
    </row>
    <row r="43465" spans="18:18" s="2" customFormat="1" ht="12.75" x14ac:dyDescent="0.2">
      <c r="R43465" s="1288"/>
    </row>
    <row r="43466" spans="18:18" s="2" customFormat="1" ht="12.75" x14ac:dyDescent="0.2">
      <c r="R43466" s="1288"/>
    </row>
    <row r="43467" spans="18:18" s="2" customFormat="1" ht="12.75" x14ac:dyDescent="0.2">
      <c r="R43467" s="1288"/>
    </row>
    <row r="43468" spans="18:18" s="2" customFormat="1" ht="12.75" x14ac:dyDescent="0.2">
      <c r="R43468" s="1288"/>
    </row>
    <row r="43469" spans="18:18" s="2" customFormat="1" ht="12.75" x14ac:dyDescent="0.2">
      <c r="R43469" s="1288"/>
    </row>
    <row r="43470" spans="18:18" s="2" customFormat="1" ht="12.75" x14ac:dyDescent="0.2">
      <c r="R43470" s="1288"/>
    </row>
    <row r="43471" spans="18:18" s="2" customFormat="1" ht="12.75" x14ac:dyDescent="0.2">
      <c r="R43471" s="1288"/>
    </row>
    <row r="43472" spans="18:18" s="2" customFormat="1" ht="12.75" x14ac:dyDescent="0.2">
      <c r="R43472" s="1288"/>
    </row>
    <row r="43473" spans="18:18" s="2" customFormat="1" ht="12.75" x14ac:dyDescent="0.2">
      <c r="R43473" s="1288"/>
    </row>
    <row r="43474" spans="18:18" s="2" customFormat="1" ht="12.75" x14ac:dyDescent="0.2">
      <c r="R43474" s="1288"/>
    </row>
    <row r="43475" spans="18:18" s="2" customFormat="1" ht="12.75" x14ac:dyDescent="0.2">
      <c r="R43475" s="1288"/>
    </row>
    <row r="43476" spans="18:18" s="2" customFormat="1" ht="12.75" x14ac:dyDescent="0.2">
      <c r="R43476" s="1288"/>
    </row>
    <row r="43477" spans="18:18" s="2" customFormat="1" ht="12.75" x14ac:dyDescent="0.2">
      <c r="R43477" s="1288"/>
    </row>
    <row r="43478" spans="18:18" s="2" customFormat="1" ht="12.75" x14ac:dyDescent="0.2">
      <c r="R43478" s="1288"/>
    </row>
    <row r="43479" spans="18:18" s="2" customFormat="1" ht="12.75" x14ac:dyDescent="0.2">
      <c r="R43479" s="1288"/>
    </row>
    <row r="43480" spans="18:18" s="2" customFormat="1" ht="12.75" x14ac:dyDescent="0.2">
      <c r="R43480" s="1288"/>
    </row>
    <row r="43481" spans="18:18" s="2" customFormat="1" ht="12.75" x14ac:dyDescent="0.2">
      <c r="R43481" s="1288"/>
    </row>
    <row r="43482" spans="18:18" s="2" customFormat="1" ht="12.75" x14ac:dyDescent="0.2">
      <c r="R43482" s="1288"/>
    </row>
    <row r="43483" spans="18:18" s="2" customFormat="1" ht="12.75" x14ac:dyDescent="0.2">
      <c r="R43483" s="1288"/>
    </row>
    <row r="43484" spans="18:18" s="2" customFormat="1" ht="12.75" x14ac:dyDescent="0.2">
      <c r="R43484" s="1288"/>
    </row>
    <row r="43485" spans="18:18" s="2" customFormat="1" ht="12.75" x14ac:dyDescent="0.2">
      <c r="R43485" s="1288"/>
    </row>
    <row r="43486" spans="18:18" s="2" customFormat="1" ht="12.75" x14ac:dyDescent="0.2">
      <c r="R43486" s="1288"/>
    </row>
    <row r="43487" spans="18:18" s="2" customFormat="1" ht="12.75" x14ac:dyDescent="0.2">
      <c r="R43487" s="1288"/>
    </row>
    <row r="43488" spans="18:18" s="2" customFormat="1" ht="12.75" x14ac:dyDescent="0.2">
      <c r="R43488" s="1288"/>
    </row>
    <row r="43489" spans="18:18" s="2" customFormat="1" ht="12.75" x14ac:dyDescent="0.2">
      <c r="R43489" s="1288"/>
    </row>
    <row r="43490" spans="18:18" s="2" customFormat="1" ht="12.75" x14ac:dyDescent="0.2">
      <c r="R43490" s="1288"/>
    </row>
    <row r="43491" spans="18:18" s="2" customFormat="1" ht="12.75" x14ac:dyDescent="0.2">
      <c r="R43491" s="1288"/>
    </row>
    <row r="43492" spans="18:18" s="2" customFormat="1" ht="12.75" x14ac:dyDescent="0.2">
      <c r="R43492" s="1288"/>
    </row>
    <row r="43493" spans="18:18" s="2" customFormat="1" ht="12.75" x14ac:dyDescent="0.2">
      <c r="R43493" s="1288"/>
    </row>
    <row r="43494" spans="18:18" s="2" customFormat="1" ht="12.75" x14ac:dyDescent="0.2">
      <c r="R43494" s="1288"/>
    </row>
    <row r="43495" spans="18:18" s="2" customFormat="1" ht="12.75" x14ac:dyDescent="0.2">
      <c r="R43495" s="1288"/>
    </row>
    <row r="43496" spans="18:18" s="2" customFormat="1" ht="12.75" x14ac:dyDescent="0.2">
      <c r="R43496" s="1288"/>
    </row>
    <row r="43497" spans="18:18" s="2" customFormat="1" ht="12.75" x14ac:dyDescent="0.2">
      <c r="R43497" s="1288"/>
    </row>
    <row r="43498" spans="18:18" s="2" customFormat="1" ht="12.75" x14ac:dyDescent="0.2">
      <c r="R43498" s="1288"/>
    </row>
    <row r="43499" spans="18:18" s="2" customFormat="1" ht="12.75" x14ac:dyDescent="0.2">
      <c r="R43499" s="1288"/>
    </row>
    <row r="43500" spans="18:18" s="2" customFormat="1" ht="12.75" x14ac:dyDescent="0.2">
      <c r="R43500" s="1288"/>
    </row>
    <row r="43501" spans="18:18" s="2" customFormat="1" ht="12.75" x14ac:dyDescent="0.2">
      <c r="R43501" s="1288"/>
    </row>
    <row r="43502" spans="18:18" s="2" customFormat="1" ht="12.75" x14ac:dyDescent="0.2">
      <c r="R43502" s="1288"/>
    </row>
    <row r="43503" spans="18:18" s="2" customFormat="1" ht="12.75" x14ac:dyDescent="0.2">
      <c r="R43503" s="1288"/>
    </row>
    <row r="43504" spans="18:18" s="2" customFormat="1" ht="12.75" x14ac:dyDescent="0.2">
      <c r="R43504" s="1288"/>
    </row>
    <row r="43505" spans="18:18" s="2" customFormat="1" ht="12.75" x14ac:dyDescent="0.2">
      <c r="R43505" s="1288"/>
    </row>
    <row r="43506" spans="18:18" s="2" customFormat="1" ht="12.75" x14ac:dyDescent="0.2">
      <c r="R43506" s="1288"/>
    </row>
    <row r="43507" spans="18:18" s="2" customFormat="1" ht="12.75" x14ac:dyDescent="0.2">
      <c r="R43507" s="1288"/>
    </row>
    <row r="43508" spans="18:18" s="2" customFormat="1" ht="12.75" x14ac:dyDescent="0.2">
      <c r="R43508" s="1288"/>
    </row>
    <row r="43509" spans="18:18" s="2" customFormat="1" ht="12.75" x14ac:dyDescent="0.2">
      <c r="R43509" s="1288"/>
    </row>
    <row r="43510" spans="18:18" s="2" customFormat="1" ht="12.75" x14ac:dyDescent="0.2">
      <c r="R43510" s="1288"/>
    </row>
    <row r="43511" spans="18:18" s="2" customFormat="1" ht="12.75" x14ac:dyDescent="0.2">
      <c r="R43511" s="1288"/>
    </row>
    <row r="43512" spans="18:18" s="2" customFormat="1" ht="12.75" x14ac:dyDescent="0.2">
      <c r="R43512" s="1288"/>
    </row>
    <row r="43513" spans="18:18" s="2" customFormat="1" ht="12.75" x14ac:dyDescent="0.2">
      <c r="R43513" s="1288"/>
    </row>
    <row r="43514" spans="18:18" s="2" customFormat="1" ht="12.75" x14ac:dyDescent="0.2">
      <c r="R43514" s="1288"/>
    </row>
    <row r="43515" spans="18:18" s="2" customFormat="1" ht="12.75" x14ac:dyDescent="0.2">
      <c r="R43515" s="1288"/>
    </row>
    <row r="43516" spans="18:18" s="2" customFormat="1" ht="12.75" x14ac:dyDescent="0.2">
      <c r="R43516" s="1288"/>
    </row>
    <row r="43517" spans="18:18" s="2" customFormat="1" ht="12.75" x14ac:dyDescent="0.2">
      <c r="R43517" s="1288"/>
    </row>
    <row r="43518" spans="18:18" s="2" customFormat="1" ht="12.75" x14ac:dyDescent="0.2">
      <c r="R43518" s="1288"/>
    </row>
    <row r="43519" spans="18:18" s="2" customFormat="1" ht="12.75" x14ac:dyDescent="0.2">
      <c r="R43519" s="1288"/>
    </row>
    <row r="43520" spans="18:18" s="2" customFormat="1" ht="12.75" x14ac:dyDescent="0.2">
      <c r="R43520" s="1288"/>
    </row>
    <row r="43521" spans="18:18" s="2" customFormat="1" ht="12.75" x14ac:dyDescent="0.2">
      <c r="R43521" s="1288"/>
    </row>
    <row r="43522" spans="18:18" s="2" customFormat="1" ht="12.75" x14ac:dyDescent="0.2">
      <c r="R43522" s="1288"/>
    </row>
    <row r="43523" spans="18:18" s="2" customFormat="1" ht="12.75" x14ac:dyDescent="0.2">
      <c r="R43523" s="1288"/>
    </row>
    <row r="43524" spans="18:18" s="2" customFormat="1" ht="12.75" x14ac:dyDescent="0.2">
      <c r="R43524" s="1288"/>
    </row>
    <row r="43525" spans="18:18" s="2" customFormat="1" ht="12.75" x14ac:dyDescent="0.2">
      <c r="R43525" s="1288"/>
    </row>
    <row r="43526" spans="18:18" s="2" customFormat="1" ht="12.75" x14ac:dyDescent="0.2">
      <c r="R43526" s="1288"/>
    </row>
    <row r="43527" spans="18:18" s="2" customFormat="1" ht="12.75" x14ac:dyDescent="0.2">
      <c r="R43527" s="1288"/>
    </row>
    <row r="43528" spans="18:18" s="2" customFormat="1" ht="12.75" x14ac:dyDescent="0.2">
      <c r="R43528" s="1288"/>
    </row>
    <row r="43529" spans="18:18" s="2" customFormat="1" ht="12.75" x14ac:dyDescent="0.2">
      <c r="R43529" s="1288"/>
    </row>
    <row r="43530" spans="18:18" s="2" customFormat="1" ht="12.75" x14ac:dyDescent="0.2">
      <c r="R43530" s="1288"/>
    </row>
    <row r="43531" spans="18:18" s="2" customFormat="1" ht="12.75" x14ac:dyDescent="0.2">
      <c r="R43531" s="1288"/>
    </row>
    <row r="43532" spans="18:18" s="2" customFormat="1" ht="12.75" x14ac:dyDescent="0.2">
      <c r="R43532" s="1288"/>
    </row>
    <row r="43533" spans="18:18" s="2" customFormat="1" ht="12.75" x14ac:dyDescent="0.2">
      <c r="R43533" s="1288"/>
    </row>
    <row r="43534" spans="18:18" s="2" customFormat="1" ht="12.75" x14ac:dyDescent="0.2">
      <c r="R43534" s="1288"/>
    </row>
    <row r="43535" spans="18:18" s="2" customFormat="1" ht="12.75" x14ac:dyDescent="0.2">
      <c r="R43535" s="1288"/>
    </row>
    <row r="43536" spans="18:18" s="2" customFormat="1" ht="12.75" x14ac:dyDescent="0.2">
      <c r="R43536" s="1288"/>
    </row>
    <row r="43537" spans="18:18" s="2" customFormat="1" ht="12.75" x14ac:dyDescent="0.2">
      <c r="R43537" s="1288"/>
    </row>
    <row r="43538" spans="18:18" s="2" customFormat="1" ht="12.75" x14ac:dyDescent="0.2">
      <c r="R43538" s="1288"/>
    </row>
    <row r="43539" spans="18:18" s="2" customFormat="1" ht="12.75" x14ac:dyDescent="0.2">
      <c r="R43539" s="1288"/>
    </row>
    <row r="43540" spans="18:18" s="2" customFormat="1" ht="12.75" x14ac:dyDescent="0.2">
      <c r="R43540" s="1288"/>
    </row>
    <row r="43541" spans="18:18" s="2" customFormat="1" ht="12.75" x14ac:dyDescent="0.2">
      <c r="R43541" s="1288"/>
    </row>
    <row r="43542" spans="18:18" s="2" customFormat="1" ht="12.75" x14ac:dyDescent="0.2">
      <c r="R43542" s="1288"/>
    </row>
    <row r="43543" spans="18:18" s="2" customFormat="1" ht="12.75" x14ac:dyDescent="0.2">
      <c r="R43543" s="1288"/>
    </row>
    <row r="43544" spans="18:18" s="2" customFormat="1" ht="12.75" x14ac:dyDescent="0.2">
      <c r="R43544" s="1288"/>
    </row>
    <row r="43545" spans="18:18" s="2" customFormat="1" ht="12.75" x14ac:dyDescent="0.2">
      <c r="R43545" s="1288"/>
    </row>
    <row r="43546" spans="18:18" s="2" customFormat="1" ht="12.75" x14ac:dyDescent="0.2">
      <c r="R43546" s="1288"/>
    </row>
    <row r="43547" spans="18:18" s="2" customFormat="1" ht="12.75" x14ac:dyDescent="0.2">
      <c r="R43547" s="1288"/>
    </row>
    <row r="43548" spans="18:18" s="2" customFormat="1" ht="12.75" x14ac:dyDescent="0.2">
      <c r="R43548" s="1288"/>
    </row>
    <row r="43549" spans="18:18" s="2" customFormat="1" ht="12.75" x14ac:dyDescent="0.2">
      <c r="R43549" s="1288"/>
    </row>
    <row r="43550" spans="18:18" s="2" customFormat="1" ht="12.75" x14ac:dyDescent="0.2">
      <c r="R43550" s="1288"/>
    </row>
    <row r="43551" spans="18:18" s="2" customFormat="1" ht="12.75" x14ac:dyDescent="0.2">
      <c r="R43551" s="1288"/>
    </row>
    <row r="43552" spans="18:18" s="2" customFormat="1" ht="12.75" x14ac:dyDescent="0.2">
      <c r="R43552" s="1288"/>
    </row>
    <row r="43553" spans="18:18" s="2" customFormat="1" ht="12.75" x14ac:dyDescent="0.2">
      <c r="R43553" s="1288"/>
    </row>
    <row r="43554" spans="18:18" s="2" customFormat="1" ht="12.75" x14ac:dyDescent="0.2">
      <c r="R43554" s="1288"/>
    </row>
    <row r="43555" spans="18:18" s="2" customFormat="1" ht="12.75" x14ac:dyDescent="0.2">
      <c r="R43555" s="1288"/>
    </row>
    <row r="43556" spans="18:18" s="2" customFormat="1" ht="12.75" x14ac:dyDescent="0.2">
      <c r="R43556" s="1288"/>
    </row>
    <row r="43557" spans="18:18" s="2" customFormat="1" ht="12.75" x14ac:dyDescent="0.2">
      <c r="R43557" s="1288"/>
    </row>
    <row r="43558" spans="18:18" s="2" customFormat="1" ht="12.75" x14ac:dyDescent="0.2">
      <c r="R43558" s="1288"/>
    </row>
    <row r="43559" spans="18:18" s="2" customFormat="1" ht="12.75" x14ac:dyDescent="0.2">
      <c r="R43559" s="1288"/>
    </row>
    <row r="43560" spans="18:18" s="2" customFormat="1" ht="12.75" x14ac:dyDescent="0.2">
      <c r="R43560" s="1288"/>
    </row>
    <row r="43561" spans="18:18" s="2" customFormat="1" ht="12.75" x14ac:dyDescent="0.2">
      <c r="R43561" s="1288"/>
    </row>
    <row r="43562" spans="18:18" s="2" customFormat="1" ht="12.75" x14ac:dyDescent="0.2">
      <c r="R43562" s="1288"/>
    </row>
    <row r="43563" spans="18:18" s="2" customFormat="1" ht="12.75" x14ac:dyDescent="0.2">
      <c r="R43563" s="1288"/>
    </row>
    <row r="43564" spans="18:18" s="2" customFormat="1" ht="12.75" x14ac:dyDescent="0.2">
      <c r="R43564" s="1288"/>
    </row>
    <row r="43565" spans="18:18" s="2" customFormat="1" ht="12.75" x14ac:dyDescent="0.2">
      <c r="R43565" s="1288"/>
    </row>
    <row r="43566" spans="18:18" s="2" customFormat="1" ht="12.75" x14ac:dyDescent="0.2">
      <c r="R43566" s="1288"/>
    </row>
    <row r="43567" spans="18:18" s="2" customFormat="1" ht="12.75" x14ac:dyDescent="0.2">
      <c r="R43567" s="1288"/>
    </row>
    <row r="43568" spans="18:18" s="2" customFormat="1" ht="12.75" x14ac:dyDescent="0.2">
      <c r="R43568" s="1288"/>
    </row>
    <row r="43569" spans="18:18" s="2" customFormat="1" ht="12.75" x14ac:dyDescent="0.2">
      <c r="R43569" s="1288"/>
    </row>
    <row r="43570" spans="18:18" s="2" customFormat="1" ht="12.75" x14ac:dyDescent="0.2">
      <c r="R43570" s="1288"/>
    </row>
    <row r="43571" spans="18:18" s="2" customFormat="1" ht="12.75" x14ac:dyDescent="0.2">
      <c r="R43571" s="1288"/>
    </row>
    <row r="43572" spans="18:18" s="2" customFormat="1" ht="12.75" x14ac:dyDescent="0.2">
      <c r="R43572" s="1288"/>
    </row>
    <row r="43573" spans="18:18" s="2" customFormat="1" ht="12.75" x14ac:dyDescent="0.2">
      <c r="R43573" s="1288"/>
    </row>
    <row r="43574" spans="18:18" s="2" customFormat="1" ht="12.75" x14ac:dyDescent="0.2">
      <c r="R43574" s="1288"/>
    </row>
    <row r="43575" spans="18:18" s="2" customFormat="1" ht="12.75" x14ac:dyDescent="0.2">
      <c r="R43575" s="1288"/>
    </row>
    <row r="43576" spans="18:18" s="2" customFormat="1" ht="12.75" x14ac:dyDescent="0.2">
      <c r="R43576" s="1288"/>
    </row>
    <row r="43577" spans="18:18" s="2" customFormat="1" ht="12.75" x14ac:dyDescent="0.2">
      <c r="R43577" s="1288"/>
    </row>
    <row r="43578" spans="18:18" s="2" customFormat="1" ht="12.75" x14ac:dyDescent="0.2">
      <c r="R43578" s="1288"/>
    </row>
    <row r="43579" spans="18:18" s="2" customFormat="1" ht="12.75" x14ac:dyDescent="0.2">
      <c r="R43579" s="1288"/>
    </row>
    <row r="43580" spans="18:18" s="2" customFormat="1" ht="12.75" x14ac:dyDescent="0.2">
      <c r="R43580" s="1288"/>
    </row>
    <row r="43581" spans="18:18" s="2" customFormat="1" ht="12.75" x14ac:dyDescent="0.2">
      <c r="R43581" s="1288"/>
    </row>
    <row r="43582" spans="18:18" s="2" customFormat="1" ht="12.75" x14ac:dyDescent="0.2">
      <c r="R43582" s="1288"/>
    </row>
    <row r="43583" spans="18:18" s="2" customFormat="1" ht="12.75" x14ac:dyDescent="0.2">
      <c r="R43583" s="1288"/>
    </row>
    <row r="43584" spans="18:18" s="2" customFormat="1" ht="12.75" x14ac:dyDescent="0.2">
      <c r="R43584" s="1288"/>
    </row>
    <row r="43585" spans="18:18" s="2" customFormat="1" ht="12.75" x14ac:dyDescent="0.2">
      <c r="R43585" s="1288"/>
    </row>
    <row r="43586" spans="18:18" s="2" customFormat="1" ht="12.75" x14ac:dyDescent="0.2">
      <c r="R43586" s="1288"/>
    </row>
    <row r="43587" spans="18:18" s="2" customFormat="1" ht="12.75" x14ac:dyDescent="0.2">
      <c r="R43587" s="1288"/>
    </row>
    <row r="43588" spans="18:18" s="2" customFormat="1" ht="12.75" x14ac:dyDescent="0.2">
      <c r="R43588" s="1288"/>
    </row>
    <row r="43589" spans="18:18" s="2" customFormat="1" ht="12.75" x14ac:dyDescent="0.2">
      <c r="R43589" s="1288"/>
    </row>
    <row r="43590" spans="18:18" s="2" customFormat="1" ht="12.75" x14ac:dyDescent="0.2">
      <c r="R43590" s="1288"/>
    </row>
    <row r="43591" spans="18:18" s="2" customFormat="1" ht="12.75" x14ac:dyDescent="0.2">
      <c r="R43591" s="1288"/>
    </row>
    <row r="43592" spans="18:18" s="2" customFormat="1" ht="12.75" x14ac:dyDescent="0.2">
      <c r="R43592" s="1288"/>
    </row>
    <row r="43593" spans="18:18" s="2" customFormat="1" ht="12.75" x14ac:dyDescent="0.2">
      <c r="R43593" s="1288"/>
    </row>
    <row r="43594" spans="18:18" s="2" customFormat="1" ht="12.75" x14ac:dyDescent="0.2">
      <c r="R43594" s="1288"/>
    </row>
    <row r="43595" spans="18:18" s="2" customFormat="1" ht="12.75" x14ac:dyDescent="0.2">
      <c r="R43595" s="1288"/>
    </row>
    <row r="43596" spans="18:18" s="2" customFormat="1" ht="12.75" x14ac:dyDescent="0.2">
      <c r="R43596" s="1288"/>
    </row>
    <row r="43597" spans="18:18" s="2" customFormat="1" ht="12.75" x14ac:dyDescent="0.2">
      <c r="R43597" s="1288"/>
    </row>
    <row r="43598" spans="18:18" s="2" customFormat="1" ht="12.75" x14ac:dyDescent="0.2">
      <c r="R43598" s="1288"/>
    </row>
    <row r="43599" spans="18:18" s="2" customFormat="1" ht="12.75" x14ac:dyDescent="0.2">
      <c r="R43599" s="1288"/>
    </row>
    <row r="43600" spans="18:18" s="2" customFormat="1" ht="12.75" x14ac:dyDescent="0.2">
      <c r="R43600" s="1288"/>
    </row>
    <row r="43601" spans="18:18" s="2" customFormat="1" ht="12.75" x14ac:dyDescent="0.2">
      <c r="R43601" s="1288"/>
    </row>
    <row r="43602" spans="18:18" s="2" customFormat="1" ht="12.75" x14ac:dyDescent="0.2">
      <c r="R43602" s="1288"/>
    </row>
    <row r="43603" spans="18:18" s="2" customFormat="1" ht="12.75" x14ac:dyDescent="0.2">
      <c r="R43603" s="1288"/>
    </row>
    <row r="43604" spans="18:18" s="2" customFormat="1" ht="12.75" x14ac:dyDescent="0.2">
      <c r="R43604" s="1288"/>
    </row>
    <row r="43605" spans="18:18" s="2" customFormat="1" ht="12.75" x14ac:dyDescent="0.2">
      <c r="R43605" s="1288"/>
    </row>
    <row r="43606" spans="18:18" s="2" customFormat="1" ht="12.75" x14ac:dyDescent="0.2">
      <c r="R43606" s="1288"/>
    </row>
    <row r="43607" spans="18:18" s="2" customFormat="1" ht="12.75" x14ac:dyDescent="0.2">
      <c r="R43607" s="1288"/>
    </row>
    <row r="43608" spans="18:18" s="2" customFormat="1" ht="12.75" x14ac:dyDescent="0.2">
      <c r="R43608" s="1288"/>
    </row>
    <row r="43609" spans="18:18" s="2" customFormat="1" ht="12.75" x14ac:dyDescent="0.2">
      <c r="R43609" s="1288"/>
    </row>
    <row r="43610" spans="18:18" s="2" customFormat="1" ht="12.75" x14ac:dyDescent="0.2">
      <c r="R43610" s="1288"/>
    </row>
    <row r="43611" spans="18:18" s="2" customFormat="1" ht="12.75" x14ac:dyDescent="0.2">
      <c r="R43611" s="1288"/>
    </row>
    <row r="43612" spans="18:18" s="2" customFormat="1" ht="12.75" x14ac:dyDescent="0.2">
      <c r="R43612" s="1288"/>
    </row>
    <row r="43613" spans="18:18" s="2" customFormat="1" ht="12.75" x14ac:dyDescent="0.2">
      <c r="R43613" s="1288"/>
    </row>
    <row r="43614" spans="18:18" s="2" customFormat="1" ht="12.75" x14ac:dyDescent="0.2">
      <c r="R43614" s="1288"/>
    </row>
    <row r="43615" spans="18:18" s="2" customFormat="1" ht="12.75" x14ac:dyDescent="0.2">
      <c r="R43615" s="1288"/>
    </row>
    <row r="43616" spans="18:18" s="2" customFormat="1" ht="12.75" x14ac:dyDescent="0.2">
      <c r="R43616" s="1288"/>
    </row>
    <row r="43617" spans="18:18" s="2" customFormat="1" ht="12.75" x14ac:dyDescent="0.2">
      <c r="R43617" s="1288"/>
    </row>
    <row r="43618" spans="18:18" s="2" customFormat="1" ht="12.75" x14ac:dyDescent="0.2">
      <c r="R43618" s="1288"/>
    </row>
    <row r="43619" spans="18:18" s="2" customFormat="1" ht="12.75" x14ac:dyDescent="0.2">
      <c r="R43619" s="1288"/>
    </row>
    <row r="43620" spans="18:18" s="2" customFormat="1" ht="12.75" x14ac:dyDescent="0.2">
      <c r="R43620" s="1288"/>
    </row>
    <row r="43621" spans="18:18" s="2" customFormat="1" ht="12.75" x14ac:dyDescent="0.2">
      <c r="R43621" s="1288"/>
    </row>
    <row r="43622" spans="18:18" s="2" customFormat="1" ht="12.75" x14ac:dyDescent="0.2">
      <c r="R43622" s="1288"/>
    </row>
    <row r="43623" spans="18:18" s="2" customFormat="1" ht="12.75" x14ac:dyDescent="0.2">
      <c r="R43623" s="1288"/>
    </row>
    <row r="43624" spans="18:18" s="2" customFormat="1" ht="12.75" x14ac:dyDescent="0.2">
      <c r="R43624" s="1288"/>
    </row>
    <row r="43625" spans="18:18" s="2" customFormat="1" ht="12.75" x14ac:dyDescent="0.2">
      <c r="R43625" s="1288"/>
    </row>
    <row r="43626" spans="18:18" s="2" customFormat="1" ht="12.75" x14ac:dyDescent="0.2">
      <c r="R43626" s="1288"/>
    </row>
    <row r="43627" spans="18:18" s="2" customFormat="1" ht="12.75" x14ac:dyDescent="0.2">
      <c r="R43627" s="1288"/>
    </row>
    <row r="43628" spans="18:18" s="2" customFormat="1" ht="12.75" x14ac:dyDescent="0.2">
      <c r="R43628" s="1288"/>
    </row>
    <row r="43629" spans="18:18" s="2" customFormat="1" ht="12.75" x14ac:dyDescent="0.2">
      <c r="R43629" s="1288"/>
    </row>
    <row r="43630" spans="18:18" s="2" customFormat="1" ht="12.75" x14ac:dyDescent="0.2">
      <c r="R43630" s="1288"/>
    </row>
    <row r="43631" spans="18:18" s="2" customFormat="1" ht="12.75" x14ac:dyDescent="0.2">
      <c r="R43631" s="1288"/>
    </row>
    <row r="43632" spans="18:18" s="2" customFormat="1" ht="12.75" x14ac:dyDescent="0.2">
      <c r="R43632" s="1288"/>
    </row>
    <row r="43633" spans="18:18" s="2" customFormat="1" ht="12.75" x14ac:dyDescent="0.2">
      <c r="R43633" s="1288"/>
    </row>
    <row r="43634" spans="18:18" s="2" customFormat="1" ht="12.75" x14ac:dyDescent="0.2">
      <c r="R43634" s="1288"/>
    </row>
    <row r="43635" spans="18:18" s="2" customFormat="1" ht="12.75" x14ac:dyDescent="0.2">
      <c r="R43635" s="1288"/>
    </row>
    <row r="43636" spans="18:18" s="2" customFormat="1" ht="12.75" x14ac:dyDescent="0.2">
      <c r="R43636" s="1288"/>
    </row>
    <row r="43637" spans="18:18" s="2" customFormat="1" ht="12.75" x14ac:dyDescent="0.2">
      <c r="R43637" s="1288"/>
    </row>
    <row r="43638" spans="18:18" s="2" customFormat="1" ht="12.75" x14ac:dyDescent="0.2">
      <c r="R43638" s="1288"/>
    </row>
    <row r="43639" spans="18:18" s="2" customFormat="1" ht="12.75" x14ac:dyDescent="0.2">
      <c r="R43639" s="1288"/>
    </row>
    <row r="43640" spans="18:18" s="2" customFormat="1" ht="12.75" x14ac:dyDescent="0.2">
      <c r="R43640" s="1288"/>
    </row>
    <row r="43641" spans="18:18" s="2" customFormat="1" ht="12.75" x14ac:dyDescent="0.2">
      <c r="R43641" s="1288"/>
    </row>
    <row r="43642" spans="18:18" s="2" customFormat="1" ht="12.75" x14ac:dyDescent="0.2">
      <c r="R43642" s="1288"/>
    </row>
    <row r="43643" spans="18:18" s="2" customFormat="1" ht="12.75" x14ac:dyDescent="0.2">
      <c r="R43643" s="1288"/>
    </row>
    <row r="43644" spans="18:18" s="2" customFormat="1" ht="12.75" x14ac:dyDescent="0.2">
      <c r="R43644" s="1288"/>
    </row>
    <row r="43645" spans="18:18" s="2" customFormat="1" ht="12.75" x14ac:dyDescent="0.2">
      <c r="R43645" s="1288"/>
    </row>
    <row r="43646" spans="18:18" s="2" customFormat="1" ht="12.75" x14ac:dyDescent="0.2">
      <c r="R43646" s="1288"/>
    </row>
    <row r="43647" spans="18:18" s="2" customFormat="1" ht="12.75" x14ac:dyDescent="0.2">
      <c r="R43647" s="1288"/>
    </row>
    <row r="43648" spans="18:18" s="2" customFormat="1" ht="12.75" x14ac:dyDescent="0.2">
      <c r="R43648" s="1288"/>
    </row>
    <row r="43649" spans="18:18" s="2" customFormat="1" ht="12.75" x14ac:dyDescent="0.2">
      <c r="R43649" s="1288"/>
    </row>
    <row r="43650" spans="18:18" s="2" customFormat="1" ht="12.75" x14ac:dyDescent="0.2">
      <c r="R43650" s="1288"/>
    </row>
    <row r="43651" spans="18:18" s="2" customFormat="1" ht="12.75" x14ac:dyDescent="0.2">
      <c r="R43651" s="1288"/>
    </row>
    <row r="43652" spans="18:18" s="2" customFormat="1" ht="12.75" x14ac:dyDescent="0.2">
      <c r="R43652" s="1288"/>
    </row>
    <row r="43653" spans="18:18" s="2" customFormat="1" ht="12.75" x14ac:dyDescent="0.2">
      <c r="R43653" s="1288"/>
    </row>
    <row r="43654" spans="18:18" s="2" customFormat="1" ht="12.75" x14ac:dyDescent="0.2">
      <c r="R43654" s="1288"/>
    </row>
    <row r="43655" spans="18:18" s="2" customFormat="1" ht="12.75" x14ac:dyDescent="0.2">
      <c r="R43655" s="1288"/>
    </row>
    <row r="43656" spans="18:18" s="2" customFormat="1" ht="12.75" x14ac:dyDescent="0.2">
      <c r="R43656" s="1288"/>
    </row>
    <row r="43657" spans="18:18" s="2" customFormat="1" ht="12.75" x14ac:dyDescent="0.2">
      <c r="R43657" s="1288"/>
    </row>
    <row r="43658" spans="18:18" s="2" customFormat="1" ht="12.75" x14ac:dyDescent="0.2">
      <c r="R43658" s="1288"/>
    </row>
    <row r="43659" spans="18:18" s="2" customFormat="1" ht="12.75" x14ac:dyDescent="0.2">
      <c r="R43659" s="1288"/>
    </row>
    <row r="43660" spans="18:18" s="2" customFormat="1" ht="12.75" x14ac:dyDescent="0.2">
      <c r="R43660" s="1288"/>
    </row>
    <row r="43661" spans="18:18" s="2" customFormat="1" ht="12.75" x14ac:dyDescent="0.2">
      <c r="R43661" s="1288"/>
    </row>
    <row r="43662" spans="18:18" s="2" customFormat="1" ht="12.75" x14ac:dyDescent="0.2">
      <c r="R43662" s="1288"/>
    </row>
    <row r="43663" spans="18:18" s="2" customFormat="1" ht="12.75" x14ac:dyDescent="0.2">
      <c r="R43663" s="1288"/>
    </row>
    <row r="43664" spans="18:18" s="2" customFormat="1" ht="12.75" x14ac:dyDescent="0.2">
      <c r="R43664" s="1288"/>
    </row>
    <row r="43665" spans="18:18" s="2" customFormat="1" ht="12.75" x14ac:dyDescent="0.2">
      <c r="R43665" s="1288"/>
    </row>
    <row r="43666" spans="18:18" s="2" customFormat="1" ht="12.75" x14ac:dyDescent="0.2">
      <c r="R43666" s="1288"/>
    </row>
    <row r="43667" spans="18:18" s="2" customFormat="1" ht="12.75" x14ac:dyDescent="0.2">
      <c r="R43667" s="1288"/>
    </row>
    <row r="43668" spans="18:18" s="2" customFormat="1" ht="12.75" x14ac:dyDescent="0.2">
      <c r="R43668" s="1288"/>
    </row>
    <row r="43669" spans="18:18" s="2" customFormat="1" ht="12.75" x14ac:dyDescent="0.2">
      <c r="R43669" s="1288"/>
    </row>
    <row r="43670" spans="18:18" s="2" customFormat="1" ht="12.75" x14ac:dyDescent="0.2">
      <c r="R43670" s="1288"/>
    </row>
    <row r="43671" spans="18:18" s="2" customFormat="1" ht="12.75" x14ac:dyDescent="0.2">
      <c r="R43671" s="1288"/>
    </row>
    <row r="43672" spans="18:18" s="2" customFormat="1" ht="12.75" x14ac:dyDescent="0.2">
      <c r="R43672" s="1288"/>
    </row>
    <row r="43673" spans="18:18" s="2" customFormat="1" ht="12.75" x14ac:dyDescent="0.2">
      <c r="R43673" s="1288"/>
    </row>
    <row r="43674" spans="18:18" s="2" customFormat="1" ht="12.75" x14ac:dyDescent="0.2">
      <c r="R43674" s="1288"/>
    </row>
    <row r="43675" spans="18:18" s="2" customFormat="1" ht="12.75" x14ac:dyDescent="0.2">
      <c r="R43675" s="1288"/>
    </row>
    <row r="43676" spans="18:18" s="2" customFormat="1" ht="12.75" x14ac:dyDescent="0.2">
      <c r="R43676" s="1288"/>
    </row>
    <row r="43677" spans="18:18" s="2" customFormat="1" ht="12.75" x14ac:dyDescent="0.2">
      <c r="R43677" s="1288"/>
    </row>
    <row r="43678" spans="18:18" s="2" customFormat="1" ht="12.75" x14ac:dyDescent="0.2">
      <c r="R43678" s="1288"/>
    </row>
    <row r="43679" spans="18:18" s="2" customFormat="1" ht="12.75" x14ac:dyDescent="0.2">
      <c r="R43679" s="1288"/>
    </row>
    <row r="43680" spans="18:18" s="2" customFormat="1" ht="12.75" x14ac:dyDescent="0.2">
      <c r="R43680" s="1288"/>
    </row>
    <row r="43681" spans="18:18" s="2" customFormat="1" ht="12.75" x14ac:dyDescent="0.2">
      <c r="R43681" s="1288"/>
    </row>
    <row r="43682" spans="18:18" s="2" customFormat="1" ht="12.75" x14ac:dyDescent="0.2">
      <c r="R43682" s="1288"/>
    </row>
    <row r="43683" spans="18:18" s="2" customFormat="1" ht="12.75" x14ac:dyDescent="0.2">
      <c r="R43683" s="1288"/>
    </row>
    <row r="43684" spans="18:18" s="2" customFormat="1" ht="12.75" x14ac:dyDescent="0.2">
      <c r="R43684" s="1288"/>
    </row>
    <row r="43685" spans="18:18" s="2" customFormat="1" ht="12.75" x14ac:dyDescent="0.2">
      <c r="R43685" s="1288"/>
    </row>
    <row r="43686" spans="18:18" s="2" customFormat="1" ht="12.75" x14ac:dyDescent="0.2">
      <c r="R43686" s="1288"/>
    </row>
    <row r="43687" spans="18:18" s="2" customFormat="1" ht="12.75" x14ac:dyDescent="0.2">
      <c r="R43687" s="1288"/>
    </row>
    <row r="43688" spans="18:18" s="2" customFormat="1" ht="12.75" x14ac:dyDescent="0.2">
      <c r="R43688" s="1288"/>
    </row>
    <row r="43689" spans="18:18" s="2" customFormat="1" ht="12.75" x14ac:dyDescent="0.2">
      <c r="R43689" s="1288"/>
    </row>
    <row r="43690" spans="18:18" s="2" customFormat="1" ht="12.75" x14ac:dyDescent="0.2">
      <c r="R43690" s="1288"/>
    </row>
    <row r="43691" spans="18:18" s="2" customFormat="1" ht="12.75" x14ac:dyDescent="0.2">
      <c r="R43691" s="1288"/>
    </row>
    <row r="43692" spans="18:18" s="2" customFormat="1" ht="12.75" x14ac:dyDescent="0.2">
      <c r="R43692" s="1288"/>
    </row>
    <row r="43693" spans="18:18" s="2" customFormat="1" ht="12.75" x14ac:dyDescent="0.2">
      <c r="R43693" s="1288"/>
    </row>
    <row r="43694" spans="18:18" s="2" customFormat="1" ht="12.75" x14ac:dyDescent="0.2">
      <c r="R43694" s="1288"/>
    </row>
    <row r="43695" spans="18:18" s="2" customFormat="1" ht="12.75" x14ac:dyDescent="0.2">
      <c r="R43695" s="1288"/>
    </row>
    <row r="43696" spans="18:18" s="2" customFormat="1" ht="12.75" x14ac:dyDescent="0.2">
      <c r="R43696" s="1288"/>
    </row>
    <row r="43697" spans="18:18" s="2" customFormat="1" ht="12.75" x14ac:dyDescent="0.2">
      <c r="R43697" s="1288"/>
    </row>
    <row r="43698" spans="18:18" s="2" customFormat="1" ht="12.75" x14ac:dyDescent="0.2">
      <c r="R43698" s="1288"/>
    </row>
    <row r="43699" spans="18:18" s="2" customFormat="1" ht="12.75" x14ac:dyDescent="0.2">
      <c r="R43699" s="1288"/>
    </row>
    <row r="43700" spans="18:18" s="2" customFormat="1" ht="12.75" x14ac:dyDescent="0.2">
      <c r="R43700" s="1288"/>
    </row>
    <row r="43701" spans="18:18" s="2" customFormat="1" ht="12.75" x14ac:dyDescent="0.2">
      <c r="R43701" s="1288"/>
    </row>
    <row r="43702" spans="18:18" s="2" customFormat="1" ht="12.75" x14ac:dyDescent="0.2">
      <c r="R43702" s="1288"/>
    </row>
    <row r="43703" spans="18:18" s="2" customFormat="1" ht="12.75" x14ac:dyDescent="0.2">
      <c r="R43703" s="1288"/>
    </row>
    <row r="43704" spans="18:18" s="2" customFormat="1" ht="12.75" x14ac:dyDescent="0.2">
      <c r="R43704" s="1288"/>
    </row>
    <row r="43705" spans="18:18" s="2" customFormat="1" ht="12.75" x14ac:dyDescent="0.2">
      <c r="R43705" s="1288"/>
    </row>
    <row r="43706" spans="18:18" s="2" customFormat="1" ht="12.75" x14ac:dyDescent="0.2">
      <c r="R43706" s="1288"/>
    </row>
    <row r="43707" spans="18:18" s="2" customFormat="1" ht="12.75" x14ac:dyDescent="0.2">
      <c r="R43707" s="1288"/>
    </row>
    <row r="43708" spans="18:18" s="2" customFormat="1" ht="12.75" x14ac:dyDescent="0.2">
      <c r="R43708" s="1288"/>
    </row>
    <row r="43709" spans="18:18" s="2" customFormat="1" ht="12.75" x14ac:dyDescent="0.2">
      <c r="R43709" s="1288"/>
    </row>
    <row r="43710" spans="18:18" s="2" customFormat="1" ht="12.75" x14ac:dyDescent="0.2">
      <c r="R43710" s="1288"/>
    </row>
    <row r="43711" spans="18:18" s="2" customFormat="1" ht="12.75" x14ac:dyDescent="0.2">
      <c r="R43711" s="1288"/>
    </row>
    <row r="43712" spans="18:18" s="2" customFormat="1" ht="12.75" x14ac:dyDescent="0.2">
      <c r="R43712" s="1288"/>
    </row>
    <row r="43713" spans="18:18" s="2" customFormat="1" ht="12.75" x14ac:dyDescent="0.2">
      <c r="R43713" s="1288"/>
    </row>
    <row r="43714" spans="18:18" s="2" customFormat="1" ht="12.75" x14ac:dyDescent="0.2">
      <c r="R43714" s="1288"/>
    </row>
    <row r="43715" spans="18:18" s="2" customFormat="1" ht="12.75" x14ac:dyDescent="0.2">
      <c r="R43715" s="1288"/>
    </row>
    <row r="43716" spans="18:18" s="2" customFormat="1" ht="12.75" x14ac:dyDescent="0.2">
      <c r="R43716" s="1288"/>
    </row>
    <row r="43717" spans="18:18" s="2" customFormat="1" ht="12.75" x14ac:dyDescent="0.2">
      <c r="R43717" s="1288"/>
    </row>
    <row r="43718" spans="18:18" s="2" customFormat="1" ht="12.75" x14ac:dyDescent="0.2">
      <c r="R43718" s="1288"/>
    </row>
    <row r="43719" spans="18:18" s="2" customFormat="1" ht="12.75" x14ac:dyDescent="0.2">
      <c r="R43719" s="1288"/>
    </row>
    <row r="43720" spans="18:18" s="2" customFormat="1" ht="12.75" x14ac:dyDescent="0.2">
      <c r="R43720" s="1288"/>
    </row>
    <row r="43721" spans="18:18" s="2" customFormat="1" ht="12.75" x14ac:dyDescent="0.2">
      <c r="R43721" s="1288"/>
    </row>
    <row r="43722" spans="18:18" s="2" customFormat="1" ht="12.75" x14ac:dyDescent="0.2">
      <c r="R43722" s="1288"/>
    </row>
    <row r="43723" spans="18:18" s="2" customFormat="1" ht="12.75" x14ac:dyDescent="0.2">
      <c r="R43723" s="1288"/>
    </row>
    <row r="43724" spans="18:18" s="2" customFormat="1" ht="12.75" x14ac:dyDescent="0.2">
      <c r="R43724" s="1288"/>
    </row>
    <row r="43725" spans="18:18" s="2" customFormat="1" ht="12.75" x14ac:dyDescent="0.2">
      <c r="R43725" s="1288"/>
    </row>
    <row r="43726" spans="18:18" s="2" customFormat="1" ht="12.75" x14ac:dyDescent="0.2">
      <c r="R43726" s="1288"/>
    </row>
    <row r="43727" spans="18:18" s="2" customFormat="1" ht="12.75" x14ac:dyDescent="0.2">
      <c r="R43727" s="1288"/>
    </row>
    <row r="43728" spans="18:18" s="2" customFormat="1" ht="12.75" x14ac:dyDescent="0.2">
      <c r="R43728" s="1288"/>
    </row>
    <row r="43729" spans="18:18" s="2" customFormat="1" ht="12.75" x14ac:dyDescent="0.2">
      <c r="R43729" s="1288"/>
    </row>
    <row r="43730" spans="18:18" s="2" customFormat="1" ht="12.75" x14ac:dyDescent="0.2">
      <c r="R43730" s="1288"/>
    </row>
    <row r="43731" spans="18:18" s="2" customFormat="1" ht="12.75" x14ac:dyDescent="0.2">
      <c r="R43731" s="1288"/>
    </row>
    <row r="43732" spans="18:18" s="2" customFormat="1" ht="12.75" x14ac:dyDescent="0.2">
      <c r="R43732" s="1288"/>
    </row>
    <row r="43733" spans="18:18" s="2" customFormat="1" ht="12.75" x14ac:dyDescent="0.2">
      <c r="R43733" s="1288"/>
    </row>
    <row r="43734" spans="18:18" s="2" customFormat="1" ht="12.75" x14ac:dyDescent="0.2">
      <c r="R43734" s="1288"/>
    </row>
    <row r="43735" spans="18:18" s="2" customFormat="1" ht="12.75" x14ac:dyDescent="0.2">
      <c r="R43735" s="1288"/>
    </row>
    <row r="43736" spans="18:18" s="2" customFormat="1" ht="12.75" x14ac:dyDescent="0.2">
      <c r="R43736" s="1288"/>
    </row>
    <row r="43737" spans="18:18" s="2" customFormat="1" ht="12.75" x14ac:dyDescent="0.2">
      <c r="R43737" s="1288"/>
    </row>
    <row r="43738" spans="18:18" s="2" customFormat="1" ht="12.75" x14ac:dyDescent="0.2">
      <c r="R43738" s="1288"/>
    </row>
    <row r="43739" spans="18:18" s="2" customFormat="1" ht="12.75" x14ac:dyDescent="0.2">
      <c r="R43739" s="1288"/>
    </row>
    <row r="43740" spans="18:18" s="2" customFormat="1" ht="12.75" x14ac:dyDescent="0.2">
      <c r="R43740" s="1288"/>
    </row>
    <row r="43741" spans="18:18" s="2" customFormat="1" ht="12.75" x14ac:dyDescent="0.2">
      <c r="R43741" s="1288"/>
    </row>
    <row r="43742" spans="18:18" s="2" customFormat="1" ht="12.75" x14ac:dyDescent="0.2">
      <c r="R43742" s="1288"/>
    </row>
    <row r="43743" spans="18:18" s="2" customFormat="1" ht="12.75" x14ac:dyDescent="0.2">
      <c r="R43743" s="1288"/>
    </row>
    <row r="43744" spans="18:18" s="2" customFormat="1" ht="12.75" x14ac:dyDescent="0.2">
      <c r="R43744" s="1288"/>
    </row>
    <row r="43745" spans="18:18" s="2" customFormat="1" ht="12.75" x14ac:dyDescent="0.2">
      <c r="R43745" s="1288"/>
    </row>
    <row r="43746" spans="18:18" s="2" customFormat="1" ht="12.75" x14ac:dyDescent="0.2">
      <c r="R43746" s="1288"/>
    </row>
    <row r="43747" spans="18:18" s="2" customFormat="1" ht="12.75" x14ac:dyDescent="0.2">
      <c r="R43747" s="1288"/>
    </row>
    <row r="43748" spans="18:18" s="2" customFormat="1" ht="12.75" x14ac:dyDescent="0.2">
      <c r="R43748" s="1288"/>
    </row>
    <row r="43749" spans="18:18" s="2" customFormat="1" ht="12.75" x14ac:dyDescent="0.2">
      <c r="R43749" s="1288"/>
    </row>
    <row r="43750" spans="18:18" s="2" customFormat="1" ht="12.75" x14ac:dyDescent="0.2">
      <c r="R43750" s="1288"/>
    </row>
    <row r="43751" spans="18:18" s="2" customFormat="1" ht="12.75" x14ac:dyDescent="0.2">
      <c r="R43751" s="1288"/>
    </row>
    <row r="43752" spans="18:18" s="2" customFormat="1" ht="12.75" x14ac:dyDescent="0.2">
      <c r="R43752" s="1288"/>
    </row>
    <row r="43753" spans="18:18" s="2" customFormat="1" ht="12.75" x14ac:dyDescent="0.2">
      <c r="R43753" s="1288"/>
    </row>
    <row r="43754" spans="18:18" s="2" customFormat="1" ht="12.75" x14ac:dyDescent="0.2">
      <c r="R43754" s="1288"/>
    </row>
    <row r="43755" spans="18:18" s="2" customFormat="1" ht="12.75" x14ac:dyDescent="0.2">
      <c r="R43755" s="1288"/>
    </row>
    <row r="43756" spans="18:18" s="2" customFormat="1" ht="12.75" x14ac:dyDescent="0.2">
      <c r="R43756" s="1288"/>
    </row>
    <row r="43757" spans="18:18" s="2" customFormat="1" ht="12.75" x14ac:dyDescent="0.2">
      <c r="R43757" s="1288"/>
    </row>
    <row r="43758" spans="18:18" s="2" customFormat="1" ht="12.75" x14ac:dyDescent="0.2">
      <c r="R43758" s="1288"/>
    </row>
    <row r="43759" spans="18:18" s="2" customFormat="1" ht="12.75" x14ac:dyDescent="0.2">
      <c r="R43759" s="1288"/>
    </row>
    <row r="43760" spans="18:18" s="2" customFormat="1" ht="12.75" x14ac:dyDescent="0.2">
      <c r="R43760" s="1288"/>
    </row>
    <row r="43761" spans="18:18" s="2" customFormat="1" ht="12.75" x14ac:dyDescent="0.2">
      <c r="R43761" s="1288"/>
    </row>
    <row r="43762" spans="18:18" s="2" customFormat="1" ht="12.75" x14ac:dyDescent="0.2">
      <c r="R43762" s="1288"/>
    </row>
    <row r="43763" spans="18:18" s="2" customFormat="1" ht="12.75" x14ac:dyDescent="0.2">
      <c r="R43763" s="1288"/>
    </row>
    <row r="43764" spans="18:18" s="2" customFormat="1" ht="12.75" x14ac:dyDescent="0.2">
      <c r="R43764" s="1288"/>
    </row>
    <row r="43765" spans="18:18" s="2" customFormat="1" ht="12.75" x14ac:dyDescent="0.2">
      <c r="R43765" s="1288"/>
    </row>
    <row r="43766" spans="18:18" s="2" customFormat="1" ht="12.75" x14ac:dyDescent="0.2">
      <c r="R43766" s="1288"/>
    </row>
    <row r="43767" spans="18:18" s="2" customFormat="1" ht="12.75" x14ac:dyDescent="0.2">
      <c r="R43767" s="1288"/>
    </row>
    <row r="43768" spans="18:18" s="2" customFormat="1" ht="12.75" x14ac:dyDescent="0.2">
      <c r="R43768" s="1288"/>
    </row>
    <row r="43769" spans="18:18" s="2" customFormat="1" ht="12.75" x14ac:dyDescent="0.2">
      <c r="R43769" s="1288"/>
    </row>
    <row r="43770" spans="18:18" s="2" customFormat="1" ht="12.75" x14ac:dyDescent="0.2">
      <c r="R43770" s="1288"/>
    </row>
    <row r="43771" spans="18:18" s="2" customFormat="1" ht="12.75" x14ac:dyDescent="0.2">
      <c r="R43771" s="1288"/>
    </row>
    <row r="43772" spans="18:18" s="2" customFormat="1" ht="12.75" x14ac:dyDescent="0.2">
      <c r="R43772" s="1288"/>
    </row>
    <row r="43773" spans="18:18" s="2" customFormat="1" ht="12.75" x14ac:dyDescent="0.2">
      <c r="R43773" s="1288"/>
    </row>
    <row r="43774" spans="18:18" s="2" customFormat="1" ht="12.75" x14ac:dyDescent="0.2">
      <c r="R43774" s="1288"/>
    </row>
    <row r="43775" spans="18:18" s="2" customFormat="1" ht="12.75" x14ac:dyDescent="0.2">
      <c r="R43775" s="1288"/>
    </row>
    <row r="43776" spans="18:18" s="2" customFormat="1" ht="12.75" x14ac:dyDescent="0.2">
      <c r="R43776" s="1288"/>
    </row>
    <row r="43777" spans="18:18" s="2" customFormat="1" ht="12.75" x14ac:dyDescent="0.2">
      <c r="R43777" s="1288"/>
    </row>
    <row r="43778" spans="18:18" s="2" customFormat="1" ht="12.75" x14ac:dyDescent="0.2">
      <c r="R43778" s="1288"/>
    </row>
    <row r="43779" spans="18:18" s="2" customFormat="1" ht="12.75" x14ac:dyDescent="0.2">
      <c r="R43779" s="1288"/>
    </row>
    <row r="43780" spans="18:18" s="2" customFormat="1" ht="12.75" x14ac:dyDescent="0.2">
      <c r="R43780" s="1288"/>
    </row>
    <row r="43781" spans="18:18" s="2" customFormat="1" ht="12.75" x14ac:dyDescent="0.2">
      <c r="R43781" s="1288"/>
    </row>
    <row r="43782" spans="18:18" s="2" customFormat="1" ht="12.75" x14ac:dyDescent="0.2">
      <c r="R43782" s="1288"/>
    </row>
    <row r="43783" spans="18:18" s="2" customFormat="1" ht="12.75" x14ac:dyDescent="0.2">
      <c r="R43783" s="1288"/>
    </row>
    <row r="43784" spans="18:18" s="2" customFormat="1" ht="12.75" x14ac:dyDescent="0.2">
      <c r="R43784" s="1288"/>
    </row>
    <row r="43785" spans="18:18" s="2" customFormat="1" ht="12.75" x14ac:dyDescent="0.2">
      <c r="R43785" s="1288"/>
    </row>
    <row r="43786" spans="18:18" s="2" customFormat="1" ht="12.75" x14ac:dyDescent="0.2">
      <c r="R43786" s="1288"/>
    </row>
    <row r="43787" spans="18:18" s="2" customFormat="1" ht="12.75" x14ac:dyDescent="0.2">
      <c r="R43787" s="1288"/>
    </row>
    <row r="43788" spans="18:18" s="2" customFormat="1" ht="12.75" x14ac:dyDescent="0.2">
      <c r="R43788" s="1288"/>
    </row>
    <row r="43789" spans="18:18" s="2" customFormat="1" ht="12.75" x14ac:dyDescent="0.2">
      <c r="R43789" s="1288"/>
    </row>
    <row r="43790" spans="18:18" s="2" customFormat="1" ht="12.75" x14ac:dyDescent="0.2">
      <c r="R43790" s="1288"/>
    </row>
    <row r="43791" spans="18:18" s="2" customFormat="1" ht="12.75" x14ac:dyDescent="0.2">
      <c r="R43791" s="1288"/>
    </row>
    <row r="43792" spans="18:18" s="2" customFormat="1" ht="12.75" x14ac:dyDescent="0.2">
      <c r="R43792" s="1288"/>
    </row>
    <row r="43793" spans="18:18" s="2" customFormat="1" ht="12.75" x14ac:dyDescent="0.2">
      <c r="R43793" s="1288"/>
    </row>
    <row r="43794" spans="18:18" s="2" customFormat="1" ht="12.75" x14ac:dyDescent="0.2">
      <c r="R43794" s="1288"/>
    </row>
    <row r="43795" spans="18:18" s="2" customFormat="1" ht="12.75" x14ac:dyDescent="0.2">
      <c r="R43795" s="1288"/>
    </row>
    <row r="43796" spans="18:18" s="2" customFormat="1" ht="12.75" x14ac:dyDescent="0.2">
      <c r="R43796" s="1288"/>
    </row>
    <row r="43797" spans="18:18" s="2" customFormat="1" ht="12.75" x14ac:dyDescent="0.2">
      <c r="R43797" s="1288"/>
    </row>
    <row r="43798" spans="18:18" s="2" customFormat="1" ht="12.75" x14ac:dyDescent="0.2">
      <c r="R43798" s="1288"/>
    </row>
    <row r="43799" spans="18:18" s="2" customFormat="1" ht="12.75" x14ac:dyDescent="0.2">
      <c r="R43799" s="1288"/>
    </row>
    <row r="43800" spans="18:18" s="2" customFormat="1" ht="12.75" x14ac:dyDescent="0.2">
      <c r="R43800" s="1288"/>
    </row>
    <row r="43801" spans="18:18" s="2" customFormat="1" ht="12.75" x14ac:dyDescent="0.2">
      <c r="R43801" s="1288"/>
    </row>
    <row r="43802" spans="18:18" s="2" customFormat="1" ht="12.75" x14ac:dyDescent="0.2">
      <c r="R43802" s="1288"/>
    </row>
    <row r="43803" spans="18:18" s="2" customFormat="1" ht="12.75" x14ac:dyDescent="0.2">
      <c r="R43803" s="1288"/>
    </row>
    <row r="43804" spans="18:18" s="2" customFormat="1" ht="12.75" x14ac:dyDescent="0.2">
      <c r="R43804" s="1288"/>
    </row>
    <row r="43805" spans="18:18" s="2" customFormat="1" ht="12.75" x14ac:dyDescent="0.2">
      <c r="R43805" s="1288"/>
    </row>
    <row r="43806" spans="18:18" s="2" customFormat="1" ht="12.75" x14ac:dyDescent="0.2">
      <c r="R43806" s="1288"/>
    </row>
    <row r="43807" spans="18:18" s="2" customFormat="1" ht="12.75" x14ac:dyDescent="0.2">
      <c r="R43807" s="1288"/>
    </row>
    <row r="43808" spans="18:18" s="2" customFormat="1" ht="12.75" x14ac:dyDescent="0.2">
      <c r="R43808" s="1288"/>
    </row>
    <row r="43809" spans="18:18" s="2" customFormat="1" ht="12.75" x14ac:dyDescent="0.2">
      <c r="R43809" s="1288"/>
    </row>
    <row r="43810" spans="18:18" s="2" customFormat="1" ht="12.75" x14ac:dyDescent="0.2">
      <c r="R43810" s="1288"/>
    </row>
    <row r="43811" spans="18:18" s="2" customFormat="1" ht="12.75" x14ac:dyDescent="0.2">
      <c r="R43811" s="1288"/>
    </row>
    <row r="43812" spans="18:18" s="2" customFormat="1" ht="12.75" x14ac:dyDescent="0.2">
      <c r="R43812" s="1288"/>
    </row>
    <row r="43813" spans="18:18" s="2" customFormat="1" ht="12.75" x14ac:dyDescent="0.2">
      <c r="R43813" s="1288"/>
    </row>
    <row r="43814" spans="18:18" s="2" customFormat="1" ht="12.75" x14ac:dyDescent="0.2">
      <c r="R43814" s="1288"/>
    </row>
    <row r="43815" spans="18:18" s="2" customFormat="1" ht="12.75" x14ac:dyDescent="0.2">
      <c r="R43815" s="1288"/>
    </row>
    <row r="43816" spans="18:18" s="2" customFormat="1" ht="12.75" x14ac:dyDescent="0.2">
      <c r="R43816" s="1288"/>
    </row>
    <row r="43817" spans="18:18" s="2" customFormat="1" ht="12.75" x14ac:dyDescent="0.2">
      <c r="R43817" s="1288"/>
    </row>
    <row r="43818" spans="18:18" s="2" customFormat="1" ht="12.75" x14ac:dyDescent="0.2">
      <c r="R43818" s="1288"/>
    </row>
    <row r="43819" spans="18:18" s="2" customFormat="1" ht="12.75" x14ac:dyDescent="0.2">
      <c r="R43819" s="1288"/>
    </row>
    <row r="43820" spans="18:18" s="2" customFormat="1" ht="12.75" x14ac:dyDescent="0.2">
      <c r="R43820" s="1288"/>
    </row>
    <row r="43821" spans="18:18" s="2" customFormat="1" ht="12.75" x14ac:dyDescent="0.2">
      <c r="R43821" s="1288"/>
    </row>
    <row r="43822" spans="18:18" s="2" customFormat="1" ht="12.75" x14ac:dyDescent="0.2">
      <c r="R43822" s="1288"/>
    </row>
    <row r="43823" spans="18:18" s="2" customFormat="1" ht="12.75" x14ac:dyDescent="0.2">
      <c r="R43823" s="1288"/>
    </row>
    <row r="43824" spans="18:18" s="2" customFormat="1" ht="12.75" x14ac:dyDescent="0.2">
      <c r="R43824" s="1288"/>
    </row>
    <row r="43825" spans="18:18" s="2" customFormat="1" ht="12.75" x14ac:dyDescent="0.2">
      <c r="R43825" s="1288"/>
    </row>
    <row r="43826" spans="18:18" s="2" customFormat="1" ht="12.75" x14ac:dyDescent="0.2">
      <c r="R43826" s="1288"/>
    </row>
    <row r="43827" spans="18:18" s="2" customFormat="1" ht="12.75" x14ac:dyDescent="0.2">
      <c r="R43827" s="1288"/>
    </row>
    <row r="43828" spans="18:18" s="2" customFormat="1" ht="12.75" x14ac:dyDescent="0.2">
      <c r="R43828" s="1288"/>
    </row>
    <row r="43829" spans="18:18" s="2" customFormat="1" ht="12.75" x14ac:dyDescent="0.2">
      <c r="R43829" s="1288"/>
    </row>
    <row r="43830" spans="18:18" s="2" customFormat="1" ht="12.75" x14ac:dyDescent="0.2">
      <c r="R43830" s="1288"/>
    </row>
    <row r="43831" spans="18:18" s="2" customFormat="1" ht="12.75" x14ac:dyDescent="0.2">
      <c r="R43831" s="1288"/>
    </row>
    <row r="43832" spans="18:18" s="2" customFormat="1" ht="12.75" x14ac:dyDescent="0.2">
      <c r="R43832" s="1288"/>
    </row>
    <row r="43833" spans="18:18" s="2" customFormat="1" ht="12.75" x14ac:dyDescent="0.2">
      <c r="R43833" s="1288"/>
    </row>
    <row r="43834" spans="18:18" s="2" customFormat="1" ht="12.75" x14ac:dyDescent="0.2">
      <c r="R43834" s="1288"/>
    </row>
    <row r="43835" spans="18:18" s="2" customFormat="1" ht="12.75" x14ac:dyDescent="0.2">
      <c r="R43835" s="1288"/>
    </row>
    <row r="43836" spans="18:18" s="2" customFormat="1" ht="12.75" x14ac:dyDescent="0.2">
      <c r="R43836" s="1288"/>
    </row>
    <row r="43837" spans="18:18" s="2" customFormat="1" ht="12.75" x14ac:dyDescent="0.2">
      <c r="R43837" s="1288"/>
    </row>
    <row r="43838" spans="18:18" s="2" customFormat="1" ht="12.75" x14ac:dyDescent="0.2">
      <c r="R43838" s="1288"/>
    </row>
    <row r="43839" spans="18:18" s="2" customFormat="1" ht="12.75" x14ac:dyDescent="0.2">
      <c r="R43839" s="1288"/>
    </row>
    <row r="43840" spans="18:18" s="2" customFormat="1" ht="12.75" x14ac:dyDescent="0.2">
      <c r="R43840" s="1288"/>
    </row>
    <row r="43841" spans="18:18" s="2" customFormat="1" ht="12.75" x14ac:dyDescent="0.2">
      <c r="R43841" s="1288"/>
    </row>
    <row r="43842" spans="18:18" s="2" customFormat="1" ht="12.75" x14ac:dyDescent="0.2">
      <c r="R43842" s="1288"/>
    </row>
    <row r="43843" spans="18:18" s="2" customFormat="1" ht="12.75" x14ac:dyDescent="0.2">
      <c r="R43843" s="1288"/>
    </row>
    <row r="43844" spans="18:18" s="2" customFormat="1" ht="12.75" x14ac:dyDescent="0.2">
      <c r="R43844" s="1288"/>
    </row>
    <row r="43845" spans="18:18" s="2" customFormat="1" ht="12.75" x14ac:dyDescent="0.2">
      <c r="R43845" s="1288"/>
    </row>
    <row r="43846" spans="18:18" s="2" customFormat="1" ht="12.75" x14ac:dyDescent="0.2">
      <c r="R43846" s="1288"/>
    </row>
    <row r="43847" spans="18:18" s="2" customFormat="1" ht="12.75" x14ac:dyDescent="0.2">
      <c r="R43847" s="1288"/>
    </row>
    <row r="43848" spans="18:18" s="2" customFormat="1" ht="12.75" x14ac:dyDescent="0.2">
      <c r="R43848" s="1288"/>
    </row>
    <row r="43849" spans="18:18" s="2" customFormat="1" ht="12.75" x14ac:dyDescent="0.2">
      <c r="R43849" s="1288"/>
    </row>
    <row r="43850" spans="18:18" s="2" customFormat="1" ht="12.75" x14ac:dyDescent="0.2">
      <c r="R43850" s="1288"/>
    </row>
    <row r="43851" spans="18:18" s="2" customFormat="1" ht="12.75" x14ac:dyDescent="0.2">
      <c r="R43851" s="1288"/>
    </row>
    <row r="43852" spans="18:18" s="2" customFormat="1" ht="12.75" x14ac:dyDescent="0.2">
      <c r="R43852" s="1288"/>
    </row>
    <row r="43853" spans="18:18" s="2" customFormat="1" ht="12.75" x14ac:dyDescent="0.2">
      <c r="R43853" s="1288"/>
    </row>
    <row r="43854" spans="18:18" s="2" customFormat="1" ht="12.75" x14ac:dyDescent="0.2">
      <c r="R43854" s="1288"/>
    </row>
    <row r="43855" spans="18:18" s="2" customFormat="1" ht="12.75" x14ac:dyDescent="0.2">
      <c r="R43855" s="1288"/>
    </row>
    <row r="43856" spans="18:18" s="2" customFormat="1" ht="12.75" x14ac:dyDescent="0.2">
      <c r="R43856" s="1288"/>
    </row>
    <row r="43857" spans="18:18" s="2" customFormat="1" ht="12.75" x14ac:dyDescent="0.2">
      <c r="R43857" s="1288"/>
    </row>
    <row r="43858" spans="18:18" s="2" customFormat="1" ht="12.75" x14ac:dyDescent="0.2">
      <c r="R43858" s="1288"/>
    </row>
    <row r="43859" spans="18:18" s="2" customFormat="1" ht="12.75" x14ac:dyDescent="0.2">
      <c r="R43859" s="1288"/>
    </row>
    <row r="43860" spans="18:18" s="2" customFormat="1" ht="12.75" x14ac:dyDescent="0.2">
      <c r="R43860" s="1288"/>
    </row>
    <row r="43861" spans="18:18" s="2" customFormat="1" ht="12.75" x14ac:dyDescent="0.2">
      <c r="R43861" s="1288"/>
    </row>
    <row r="43862" spans="18:18" s="2" customFormat="1" ht="12.75" x14ac:dyDescent="0.2">
      <c r="R43862" s="1288"/>
    </row>
    <row r="43863" spans="18:18" s="2" customFormat="1" ht="12.75" x14ac:dyDescent="0.2">
      <c r="R43863" s="1288"/>
    </row>
    <row r="43864" spans="18:18" s="2" customFormat="1" ht="12.75" x14ac:dyDescent="0.2">
      <c r="R43864" s="1288"/>
    </row>
    <row r="43865" spans="18:18" s="2" customFormat="1" ht="12.75" x14ac:dyDescent="0.2">
      <c r="R43865" s="1288"/>
    </row>
    <row r="43866" spans="18:18" s="2" customFormat="1" ht="12.75" x14ac:dyDescent="0.2">
      <c r="R43866" s="1288"/>
    </row>
    <row r="43867" spans="18:18" s="2" customFormat="1" ht="12.75" x14ac:dyDescent="0.2">
      <c r="R43867" s="1288"/>
    </row>
    <row r="43868" spans="18:18" s="2" customFormat="1" ht="12.75" x14ac:dyDescent="0.2">
      <c r="R43868" s="1288"/>
    </row>
    <row r="43869" spans="18:18" s="2" customFormat="1" ht="12.75" x14ac:dyDescent="0.2">
      <c r="R43869" s="1288"/>
    </row>
    <row r="43870" spans="18:18" s="2" customFormat="1" ht="12.75" x14ac:dyDescent="0.2">
      <c r="R43870" s="1288"/>
    </row>
    <row r="43871" spans="18:18" s="2" customFormat="1" ht="12.75" x14ac:dyDescent="0.2">
      <c r="R43871" s="1288"/>
    </row>
    <row r="43872" spans="18:18" s="2" customFormat="1" ht="12.75" x14ac:dyDescent="0.2">
      <c r="R43872" s="1288"/>
    </row>
    <row r="43873" spans="18:18" s="2" customFormat="1" ht="12.75" x14ac:dyDescent="0.2">
      <c r="R43873" s="1288"/>
    </row>
    <row r="43874" spans="18:18" s="2" customFormat="1" ht="12.75" x14ac:dyDescent="0.2">
      <c r="R43874" s="1288"/>
    </row>
    <row r="43875" spans="18:18" s="2" customFormat="1" ht="12.75" x14ac:dyDescent="0.2">
      <c r="R43875" s="1288"/>
    </row>
    <row r="43876" spans="18:18" s="2" customFormat="1" ht="12.75" x14ac:dyDescent="0.2">
      <c r="R43876" s="1288"/>
    </row>
    <row r="43877" spans="18:18" s="2" customFormat="1" ht="12.75" x14ac:dyDescent="0.2">
      <c r="R43877" s="1288"/>
    </row>
    <row r="43878" spans="18:18" s="2" customFormat="1" ht="12.75" x14ac:dyDescent="0.2">
      <c r="R43878" s="1288"/>
    </row>
    <row r="43879" spans="18:18" s="2" customFormat="1" ht="12.75" x14ac:dyDescent="0.2">
      <c r="R43879" s="1288"/>
    </row>
    <row r="43880" spans="18:18" s="2" customFormat="1" ht="12.75" x14ac:dyDescent="0.2">
      <c r="R43880" s="1288"/>
    </row>
    <row r="43881" spans="18:18" s="2" customFormat="1" ht="12.75" x14ac:dyDescent="0.2">
      <c r="R43881" s="1288"/>
    </row>
    <row r="43882" spans="18:18" s="2" customFormat="1" ht="12.75" x14ac:dyDescent="0.2">
      <c r="R43882" s="1288"/>
    </row>
    <row r="43883" spans="18:18" s="2" customFormat="1" ht="12.75" x14ac:dyDescent="0.2">
      <c r="R43883" s="1288"/>
    </row>
    <row r="43884" spans="18:18" s="2" customFormat="1" ht="12.75" x14ac:dyDescent="0.2">
      <c r="R43884" s="1288"/>
    </row>
    <row r="43885" spans="18:18" s="2" customFormat="1" ht="12.75" x14ac:dyDescent="0.2">
      <c r="R43885" s="1288"/>
    </row>
    <row r="43886" spans="18:18" s="2" customFormat="1" ht="12.75" x14ac:dyDescent="0.2">
      <c r="R43886" s="1288"/>
    </row>
    <row r="43887" spans="18:18" s="2" customFormat="1" ht="12.75" x14ac:dyDescent="0.2">
      <c r="R43887" s="1288"/>
    </row>
    <row r="43888" spans="18:18" s="2" customFormat="1" ht="12.75" x14ac:dyDescent="0.2">
      <c r="R43888" s="1288"/>
    </row>
    <row r="43889" spans="18:18" s="2" customFormat="1" ht="12.75" x14ac:dyDescent="0.2">
      <c r="R43889" s="1288"/>
    </row>
    <row r="43890" spans="18:18" s="2" customFormat="1" ht="12.75" x14ac:dyDescent="0.2">
      <c r="R43890" s="1288"/>
    </row>
    <row r="43891" spans="18:18" s="2" customFormat="1" ht="12.75" x14ac:dyDescent="0.2">
      <c r="R43891" s="1288"/>
    </row>
    <row r="43892" spans="18:18" s="2" customFormat="1" ht="12.75" x14ac:dyDescent="0.2">
      <c r="R43892" s="1288"/>
    </row>
    <row r="43893" spans="18:18" s="2" customFormat="1" ht="12.75" x14ac:dyDescent="0.2">
      <c r="R43893" s="1288"/>
    </row>
    <row r="43894" spans="18:18" s="2" customFormat="1" ht="12.75" x14ac:dyDescent="0.2">
      <c r="R43894" s="1288"/>
    </row>
    <row r="43895" spans="18:18" s="2" customFormat="1" ht="12.75" x14ac:dyDescent="0.2">
      <c r="R43895" s="1288"/>
    </row>
    <row r="43896" spans="18:18" s="2" customFormat="1" ht="12.75" x14ac:dyDescent="0.2">
      <c r="R43896" s="1288"/>
    </row>
    <row r="43897" spans="18:18" s="2" customFormat="1" ht="12.75" x14ac:dyDescent="0.2">
      <c r="R43897" s="1288"/>
    </row>
    <row r="43898" spans="18:18" s="2" customFormat="1" ht="12.75" x14ac:dyDescent="0.2">
      <c r="R43898" s="1288"/>
    </row>
    <row r="43899" spans="18:18" s="2" customFormat="1" ht="12.75" x14ac:dyDescent="0.2">
      <c r="R43899" s="1288"/>
    </row>
    <row r="43900" spans="18:18" s="2" customFormat="1" ht="12.75" x14ac:dyDescent="0.2">
      <c r="R43900" s="1288"/>
    </row>
    <row r="43901" spans="18:18" s="2" customFormat="1" ht="12.75" x14ac:dyDescent="0.2">
      <c r="R43901" s="1288"/>
    </row>
    <row r="43902" spans="18:18" s="2" customFormat="1" ht="12.75" x14ac:dyDescent="0.2">
      <c r="R43902" s="1288"/>
    </row>
    <row r="43903" spans="18:18" s="2" customFormat="1" ht="12.75" x14ac:dyDescent="0.2">
      <c r="R43903" s="1288"/>
    </row>
    <row r="43904" spans="18:18" s="2" customFormat="1" ht="12.75" x14ac:dyDescent="0.2">
      <c r="R43904" s="1288"/>
    </row>
    <row r="43905" spans="18:18" s="2" customFormat="1" ht="12.75" x14ac:dyDescent="0.2">
      <c r="R43905" s="1288"/>
    </row>
    <row r="43906" spans="18:18" s="2" customFormat="1" ht="12.75" x14ac:dyDescent="0.2">
      <c r="R43906" s="1288"/>
    </row>
    <row r="43907" spans="18:18" s="2" customFormat="1" ht="12.75" x14ac:dyDescent="0.2">
      <c r="R43907" s="1288"/>
    </row>
    <row r="43908" spans="18:18" s="2" customFormat="1" ht="12.75" x14ac:dyDescent="0.2">
      <c r="R43908" s="1288"/>
    </row>
    <row r="43909" spans="18:18" s="2" customFormat="1" ht="12.75" x14ac:dyDescent="0.2">
      <c r="R43909" s="1288"/>
    </row>
    <row r="43910" spans="18:18" s="2" customFormat="1" ht="12.75" x14ac:dyDescent="0.2">
      <c r="R43910" s="1288"/>
    </row>
    <row r="43911" spans="18:18" s="2" customFormat="1" ht="12.75" x14ac:dyDescent="0.2">
      <c r="R43911" s="1288"/>
    </row>
    <row r="43912" spans="18:18" s="2" customFormat="1" ht="12.75" x14ac:dyDescent="0.2">
      <c r="R43912" s="1288"/>
    </row>
    <row r="43913" spans="18:18" s="2" customFormat="1" ht="12.75" x14ac:dyDescent="0.2">
      <c r="R43913" s="1288"/>
    </row>
    <row r="43914" spans="18:18" s="2" customFormat="1" ht="12.75" x14ac:dyDescent="0.2">
      <c r="R43914" s="1288"/>
    </row>
    <row r="43915" spans="18:18" s="2" customFormat="1" ht="12.75" x14ac:dyDescent="0.2">
      <c r="R43915" s="1288"/>
    </row>
    <row r="43916" spans="18:18" s="2" customFormat="1" ht="12.75" x14ac:dyDescent="0.2">
      <c r="R43916" s="1288"/>
    </row>
    <row r="43917" spans="18:18" s="2" customFormat="1" ht="12.75" x14ac:dyDescent="0.2">
      <c r="R43917" s="1288"/>
    </row>
    <row r="43918" spans="18:18" s="2" customFormat="1" ht="12.75" x14ac:dyDescent="0.2">
      <c r="R43918" s="1288"/>
    </row>
    <row r="43919" spans="18:18" s="2" customFormat="1" ht="12.75" x14ac:dyDescent="0.2">
      <c r="R43919" s="1288"/>
    </row>
    <row r="43920" spans="18:18" s="2" customFormat="1" ht="12.75" x14ac:dyDescent="0.2">
      <c r="R43920" s="1288"/>
    </row>
    <row r="43921" spans="18:18" s="2" customFormat="1" ht="12.75" x14ac:dyDescent="0.2">
      <c r="R43921" s="1288"/>
    </row>
    <row r="43922" spans="18:18" s="2" customFormat="1" ht="12.75" x14ac:dyDescent="0.2">
      <c r="R43922" s="1288"/>
    </row>
    <row r="43923" spans="18:18" s="2" customFormat="1" ht="12.75" x14ac:dyDescent="0.2">
      <c r="R43923" s="1288"/>
    </row>
    <row r="43924" spans="18:18" s="2" customFormat="1" ht="12.75" x14ac:dyDescent="0.2">
      <c r="R43924" s="1288"/>
    </row>
    <row r="43925" spans="18:18" s="2" customFormat="1" ht="12.75" x14ac:dyDescent="0.2">
      <c r="R43925" s="1288"/>
    </row>
    <row r="43926" spans="18:18" s="2" customFormat="1" ht="12.75" x14ac:dyDescent="0.2">
      <c r="R43926" s="1288"/>
    </row>
    <row r="43927" spans="18:18" s="2" customFormat="1" ht="12.75" x14ac:dyDescent="0.2">
      <c r="R43927" s="1288"/>
    </row>
    <row r="43928" spans="18:18" s="2" customFormat="1" ht="12.75" x14ac:dyDescent="0.2">
      <c r="R43928" s="1288"/>
    </row>
    <row r="43929" spans="18:18" s="2" customFormat="1" ht="12.75" x14ac:dyDescent="0.2">
      <c r="R43929" s="1288"/>
    </row>
    <row r="43930" spans="18:18" s="2" customFormat="1" ht="12.75" x14ac:dyDescent="0.2">
      <c r="R43930" s="1288"/>
    </row>
    <row r="43931" spans="18:18" s="2" customFormat="1" ht="12.75" x14ac:dyDescent="0.2">
      <c r="R43931" s="1288"/>
    </row>
    <row r="43932" spans="18:18" s="2" customFormat="1" ht="12.75" x14ac:dyDescent="0.2">
      <c r="R43932" s="1288"/>
    </row>
    <row r="43933" spans="18:18" s="2" customFormat="1" ht="12.75" x14ac:dyDescent="0.2">
      <c r="R43933" s="1288"/>
    </row>
    <row r="43934" spans="18:18" s="2" customFormat="1" ht="12.75" x14ac:dyDescent="0.2">
      <c r="R43934" s="1288"/>
    </row>
    <row r="43935" spans="18:18" s="2" customFormat="1" ht="12.75" x14ac:dyDescent="0.2">
      <c r="R43935" s="1288"/>
    </row>
    <row r="43936" spans="18:18" s="2" customFormat="1" ht="12.75" x14ac:dyDescent="0.2">
      <c r="R43936" s="1288"/>
    </row>
    <row r="43937" spans="18:18" s="2" customFormat="1" ht="12.75" x14ac:dyDescent="0.2">
      <c r="R43937" s="1288"/>
    </row>
    <row r="43938" spans="18:18" s="2" customFormat="1" ht="12.75" x14ac:dyDescent="0.2">
      <c r="R43938" s="1288"/>
    </row>
    <row r="43939" spans="18:18" s="2" customFormat="1" ht="12.75" x14ac:dyDescent="0.2">
      <c r="R43939" s="1288"/>
    </row>
    <row r="43940" spans="18:18" s="2" customFormat="1" ht="12.75" x14ac:dyDescent="0.2">
      <c r="R43940" s="1288"/>
    </row>
    <row r="43941" spans="18:18" s="2" customFormat="1" ht="12.75" x14ac:dyDescent="0.2">
      <c r="R43941" s="1288"/>
    </row>
    <row r="43942" spans="18:18" s="2" customFormat="1" ht="12.75" x14ac:dyDescent="0.2">
      <c r="R43942" s="1288"/>
    </row>
    <row r="43943" spans="18:18" s="2" customFormat="1" ht="12.75" x14ac:dyDescent="0.2">
      <c r="R43943" s="1288"/>
    </row>
    <row r="43944" spans="18:18" s="2" customFormat="1" ht="12.75" x14ac:dyDescent="0.2">
      <c r="R43944" s="1288"/>
    </row>
    <row r="43945" spans="18:18" s="2" customFormat="1" ht="12.75" x14ac:dyDescent="0.2">
      <c r="R43945" s="1288"/>
    </row>
    <row r="43946" spans="18:18" s="2" customFormat="1" ht="12.75" x14ac:dyDescent="0.2">
      <c r="R43946" s="1288"/>
    </row>
    <row r="43947" spans="18:18" s="2" customFormat="1" ht="12.75" x14ac:dyDescent="0.2">
      <c r="R43947" s="1288"/>
    </row>
    <row r="43948" spans="18:18" s="2" customFormat="1" ht="12.75" x14ac:dyDescent="0.2">
      <c r="R43948" s="1288"/>
    </row>
    <row r="43949" spans="18:18" s="2" customFormat="1" ht="12.75" x14ac:dyDescent="0.2">
      <c r="R43949" s="1288"/>
    </row>
    <row r="43950" spans="18:18" s="2" customFormat="1" ht="12.75" x14ac:dyDescent="0.2">
      <c r="R43950" s="1288"/>
    </row>
    <row r="43951" spans="18:18" s="2" customFormat="1" ht="12.75" x14ac:dyDescent="0.2">
      <c r="R43951" s="1288"/>
    </row>
    <row r="43952" spans="18:18" s="2" customFormat="1" ht="12.75" x14ac:dyDescent="0.2">
      <c r="R43952" s="1288"/>
    </row>
    <row r="43953" spans="18:18" s="2" customFormat="1" ht="12.75" x14ac:dyDescent="0.2">
      <c r="R43953" s="1288"/>
    </row>
    <row r="43954" spans="18:18" s="2" customFormat="1" ht="12.75" x14ac:dyDescent="0.2">
      <c r="R43954" s="1288"/>
    </row>
    <row r="43955" spans="18:18" s="2" customFormat="1" ht="12.75" x14ac:dyDescent="0.2">
      <c r="R43955" s="1288"/>
    </row>
    <row r="43956" spans="18:18" s="2" customFormat="1" ht="12.75" x14ac:dyDescent="0.2">
      <c r="R43956" s="1288"/>
    </row>
    <row r="43957" spans="18:18" s="2" customFormat="1" ht="12.75" x14ac:dyDescent="0.2">
      <c r="R43957" s="1288"/>
    </row>
    <row r="43958" spans="18:18" s="2" customFormat="1" ht="12.75" x14ac:dyDescent="0.2">
      <c r="R43958" s="1288"/>
    </row>
    <row r="43959" spans="18:18" s="2" customFormat="1" ht="12.75" x14ac:dyDescent="0.2">
      <c r="R43959" s="1288"/>
    </row>
    <row r="43960" spans="18:18" s="2" customFormat="1" ht="12.75" x14ac:dyDescent="0.2">
      <c r="R43960" s="1288"/>
    </row>
    <row r="43961" spans="18:18" s="2" customFormat="1" ht="12.75" x14ac:dyDescent="0.2">
      <c r="R43961" s="1288"/>
    </row>
    <row r="43962" spans="18:18" s="2" customFormat="1" ht="12.75" x14ac:dyDescent="0.2">
      <c r="R43962" s="1288"/>
    </row>
    <row r="43963" spans="18:18" s="2" customFormat="1" ht="12.75" x14ac:dyDescent="0.2">
      <c r="R43963" s="1288"/>
    </row>
    <row r="43964" spans="18:18" s="2" customFormat="1" ht="12.75" x14ac:dyDescent="0.2">
      <c r="R43964" s="1288"/>
    </row>
    <row r="43965" spans="18:18" s="2" customFormat="1" ht="12.75" x14ac:dyDescent="0.2">
      <c r="R43965" s="1288"/>
    </row>
    <row r="43966" spans="18:18" s="2" customFormat="1" ht="12.75" x14ac:dyDescent="0.2">
      <c r="R43966" s="1288"/>
    </row>
    <row r="43967" spans="18:18" s="2" customFormat="1" ht="12.75" x14ac:dyDescent="0.2">
      <c r="R43967" s="1288"/>
    </row>
    <row r="43968" spans="18:18" s="2" customFormat="1" ht="12.75" x14ac:dyDescent="0.2">
      <c r="R43968" s="1288"/>
    </row>
    <row r="43969" spans="18:18" s="2" customFormat="1" ht="12.75" x14ac:dyDescent="0.2">
      <c r="R43969" s="1288"/>
    </row>
    <row r="43970" spans="18:18" s="2" customFormat="1" ht="12.75" x14ac:dyDescent="0.2">
      <c r="R43970" s="1288"/>
    </row>
    <row r="43971" spans="18:18" s="2" customFormat="1" ht="12.75" x14ac:dyDescent="0.2">
      <c r="R43971" s="1288"/>
    </row>
    <row r="43972" spans="18:18" s="2" customFormat="1" ht="12.75" x14ac:dyDescent="0.2">
      <c r="R43972" s="1288"/>
    </row>
    <row r="43973" spans="18:18" s="2" customFormat="1" ht="12.75" x14ac:dyDescent="0.2">
      <c r="R43973" s="1288"/>
    </row>
    <row r="43974" spans="18:18" s="2" customFormat="1" ht="12.75" x14ac:dyDescent="0.2">
      <c r="R43974" s="1288"/>
    </row>
    <row r="43975" spans="18:18" s="2" customFormat="1" ht="12.75" x14ac:dyDescent="0.2">
      <c r="R43975" s="1288"/>
    </row>
    <row r="43976" spans="18:18" s="2" customFormat="1" ht="12.75" x14ac:dyDescent="0.2">
      <c r="R43976" s="1288"/>
    </row>
    <row r="43977" spans="18:18" s="2" customFormat="1" ht="12.75" x14ac:dyDescent="0.2">
      <c r="R43977" s="1288"/>
    </row>
    <row r="43978" spans="18:18" s="2" customFormat="1" ht="12.75" x14ac:dyDescent="0.2">
      <c r="R43978" s="1288"/>
    </row>
    <row r="43979" spans="18:18" s="2" customFormat="1" ht="12.75" x14ac:dyDescent="0.2">
      <c r="R43979" s="1288"/>
    </row>
    <row r="43980" spans="18:18" s="2" customFormat="1" ht="12.75" x14ac:dyDescent="0.2">
      <c r="R43980" s="1288"/>
    </row>
    <row r="43981" spans="18:18" s="2" customFormat="1" ht="12.75" x14ac:dyDescent="0.2">
      <c r="R43981" s="1288"/>
    </row>
    <row r="43982" spans="18:18" s="2" customFormat="1" ht="12.75" x14ac:dyDescent="0.2">
      <c r="R43982" s="1288"/>
    </row>
    <row r="43983" spans="18:18" s="2" customFormat="1" ht="12.75" x14ac:dyDescent="0.2">
      <c r="R43983" s="1288"/>
    </row>
    <row r="43984" spans="18:18" s="2" customFormat="1" ht="12.75" x14ac:dyDescent="0.2">
      <c r="R43984" s="1288"/>
    </row>
    <row r="43985" spans="18:18" s="2" customFormat="1" ht="12.75" x14ac:dyDescent="0.2">
      <c r="R43985" s="1288"/>
    </row>
    <row r="43986" spans="18:18" s="2" customFormat="1" ht="12.75" x14ac:dyDescent="0.2">
      <c r="R43986" s="1288"/>
    </row>
    <row r="43987" spans="18:18" s="2" customFormat="1" ht="12.75" x14ac:dyDescent="0.2">
      <c r="R43987" s="1288"/>
    </row>
    <row r="43988" spans="18:18" s="2" customFormat="1" ht="12.75" x14ac:dyDescent="0.2">
      <c r="R43988" s="1288"/>
    </row>
    <row r="43989" spans="18:18" s="2" customFormat="1" ht="12.75" x14ac:dyDescent="0.2">
      <c r="R43989" s="1288"/>
    </row>
    <row r="43990" spans="18:18" s="2" customFormat="1" ht="12.75" x14ac:dyDescent="0.2">
      <c r="R43990" s="1288"/>
    </row>
    <row r="43991" spans="18:18" s="2" customFormat="1" ht="12.75" x14ac:dyDescent="0.2">
      <c r="R43991" s="1288"/>
    </row>
    <row r="43992" spans="18:18" s="2" customFormat="1" ht="12.75" x14ac:dyDescent="0.2">
      <c r="R43992" s="1288"/>
    </row>
    <row r="43993" spans="18:18" s="2" customFormat="1" ht="12.75" x14ac:dyDescent="0.2">
      <c r="R43993" s="1288"/>
    </row>
    <row r="43994" spans="18:18" s="2" customFormat="1" ht="12.75" x14ac:dyDescent="0.2">
      <c r="R43994" s="1288"/>
    </row>
    <row r="43995" spans="18:18" s="2" customFormat="1" ht="12.75" x14ac:dyDescent="0.2">
      <c r="R43995" s="1288"/>
    </row>
    <row r="43996" spans="18:18" s="2" customFormat="1" ht="12.75" x14ac:dyDescent="0.2">
      <c r="R43996" s="1288"/>
    </row>
    <row r="43997" spans="18:18" s="2" customFormat="1" ht="12.75" x14ac:dyDescent="0.2">
      <c r="R43997" s="1288"/>
    </row>
    <row r="43998" spans="18:18" s="2" customFormat="1" ht="12.75" x14ac:dyDescent="0.2">
      <c r="R43998" s="1288"/>
    </row>
    <row r="43999" spans="18:18" s="2" customFormat="1" ht="12.75" x14ac:dyDescent="0.2">
      <c r="R43999" s="1288"/>
    </row>
    <row r="44000" spans="18:18" s="2" customFormat="1" ht="12.75" x14ac:dyDescent="0.2">
      <c r="R44000" s="1288"/>
    </row>
    <row r="44001" spans="18:18" s="2" customFormat="1" ht="12.75" x14ac:dyDescent="0.2">
      <c r="R44001" s="1288"/>
    </row>
    <row r="44002" spans="18:18" s="2" customFormat="1" ht="12.75" x14ac:dyDescent="0.2">
      <c r="R44002" s="1288"/>
    </row>
    <row r="44003" spans="18:18" s="2" customFormat="1" ht="12.75" x14ac:dyDescent="0.2">
      <c r="R44003" s="1288"/>
    </row>
    <row r="44004" spans="18:18" s="2" customFormat="1" ht="12.75" x14ac:dyDescent="0.2">
      <c r="R44004" s="1288"/>
    </row>
    <row r="44005" spans="18:18" s="2" customFormat="1" ht="12.75" x14ac:dyDescent="0.2">
      <c r="R44005" s="1288"/>
    </row>
    <row r="44006" spans="18:18" s="2" customFormat="1" ht="12.75" x14ac:dyDescent="0.2">
      <c r="R44006" s="1288"/>
    </row>
    <row r="44007" spans="18:18" s="2" customFormat="1" ht="12.75" x14ac:dyDescent="0.2">
      <c r="R44007" s="1288"/>
    </row>
    <row r="44008" spans="18:18" s="2" customFormat="1" ht="12.75" x14ac:dyDescent="0.2">
      <c r="R44008" s="1288"/>
    </row>
    <row r="44009" spans="18:18" s="2" customFormat="1" ht="12.75" x14ac:dyDescent="0.2">
      <c r="R44009" s="1288"/>
    </row>
    <row r="44010" spans="18:18" s="2" customFormat="1" ht="12.75" x14ac:dyDescent="0.2">
      <c r="R44010" s="1288"/>
    </row>
    <row r="44011" spans="18:18" s="2" customFormat="1" ht="12.75" x14ac:dyDescent="0.2">
      <c r="R44011" s="1288"/>
    </row>
    <row r="44012" spans="18:18" s="2" customFormat="1" ht="12.75" x14ac:dyDescent="0.2">
      <c r="R44012" s="1288"/>
    </row>
    <row r="44013" spans="18:18" s="2" customFormat="1" ht="12.75" x14ac:dyDescent="0.2">
      <c r="R44013" s="1288"/>
    </row>
    <row r="44014" spans="18:18" s="2" customFormat="1" ht="12.75" x14ac:dyDescent="0.2">
      <c r="R44014" s="1288"/>
    </row>
    <row r="44015" spans="18:18" s="2" customFormat="1" ht="12.75" x14ac:dyDescent="0.2">
      <c r="R44015" s="1288"/>
    </row>
    <row r="44016" spans="18:18" s="2" customFormat="1" ht="12.75" x14ac:dyDescent="0.2">
      <c r="R44016" s="1288"/>
    </row>
    <row r="44017" spans="18:18" s="2" customFormat="1" ht="12.75" x14ac:dyDescent="0.2">
      <c r="R44017" s="1288"/>
    </row>
    <row r="44018" spans="18:18" s="2" customFormat="1" ht="12.75" x14ac:dyDescent="0.2">
      <c r="R44018" s="1288"/>
    </row>
    <row r="44019" spans="18:18" s="2" customFormat="1" ht="12.75" x14ac:dyDescent="0.2">
      <c r="R44019" s="1288"/>
    </row>
    <row r="44020" spans="18:18" s="2" customFormat="1" ht="12.75" x14ac:dyDescent="0.2">
      <c r="R44020" s="1288"/>
    </row>
    <row r="44021" spans="18:18" s="2" customFormat="1" ht="12.75" x14ac:dyDescent="0.2">
      <c r="R44021" s="1288"/>
    </row>
    <row r="44022" spans="18:18" s="2" customFormat="1" ht="12.75" x14ac:dyDescent="0.2">
      <c r="R44022" s="1288"/>
    </row>
    <row r="44023" spans="18:18" s="2" customFormat="1" ht="12.75" x14ac:dyDescent="0.2">
      <c r="R44023" s="1288"/>
    </row>
    <row r="44024" spans="18:18" s="2" customFormat="1" ht="12.75" x14ac:dyDescent="0.2">
      <c r="R44024" s="1288"/>
    </row>
    <row r="44025" spans="18:18" s="2" customFormat="1" ht="12.75" x14ac:dyDescent="0.2">
      <c r="R44025" s="1288"/>
    </row>
    <row r="44026" spans="18:18" s="2" customFormat="1" ht="12.75" x14ac:dyDescent="0.2">
      <c r="R44026" s="1288"/>
    </row>
    <row r="44027" spans="18:18" s="2" customFormat="1" ht="12.75" x14ac:dyDescent="0.2">
      <c r="R44027" s="1288"/>
    </row>
    <row r="44028" spans="18:18" s="2" customFormat="1" ht="12.75" x14ac:dyDescent="0.2">
      <c r="R44028" s="1288"/>
    </row>
    <row r="44029" spans="18:18" s="2" customFormat="1" ht="12.75" x14ac:dyDescent="0.2">
      <c r="R44029" s="1288"/>
    </row>
    <row r="44030" spans="18:18" s="2" customFormat="1" ht="12.75" x14ac:dyDescent="0.2">
      <c r="R44030" s="1288"/>
    </row>
    <row r="44031" spans="18:18" s="2" customFormat="1" ht="12.75" x14ac:dyDescent="0.2">
      <c r="R44031" s="1288"/>
    </row>
    <row r="44032" spans="18:18" s="2" customFormat="1" ht="12.75" x14ac:dyDescent="0.2">
      <c r="R44032" s="1288"/>
    </row>
    <row r="44033" spans="18:18" s="2" customFormat="1" ht="12.75" x14ac:dyDescent="0.2">
      <c r="R44033" s="1288"/>
    </row>
    <row r="44034" spans="18:18" s="2" customFormat="1" ht="12.75" x14ac:dyDescent="0.2">
      <c r="R44034" s="1288"/>
    </row>
    <row r="44035" spans="18:18" s="2" customFormat="1" ht="12.75" x14ac:dyDescent="0.2">
      <c r="R44035" s="1288"/>
    </row>
    <row r="44036" spans="18:18" s="2" customFormat="1" ht="12.75" x14ac:dyDescent="0.2">
      <c r="R44036" s="1288"/>
    </row>
    <row r="44037" spans="18:18" s="2" customFormat="1" ht="12.75" x14ac:dyDescent="0.2">
      <c r="R44037" s="1288"/>
    </row>
    <row r="44038" spans="18:18" s="2" customFormat="1" ht="12.75" x14ac:dyDescent="0.2">
      <c r="R44038" s="1288"/>
    </row>
    <row r="44039" spans="18:18" s="2" customFormat="1" ht="12.75" x14ac:dyDescent="0.2">
      <c r="R44039" s="1288"/>
    </row>
    <row r="44040" spans="18:18" s="2" customFormat="1" ht="12.75" x14ac:dyDescent="0.2">
      <c r="R44040" s="1288"/>
    </row>
    <row r="44041" spans="18:18" s="2" customFormat="1" ht="12.75" x14ac:dyDescent="0.2">
      <c r="R44041" s="1288"/>
    </row>
    <row r="44042" spans="18:18" s="2" customFormat="1" ht="12.75" x14ac:dyDescent="0.2">
      <c r="R44042" s="1288"/>
    </row>
    <row r="44043" spans="18:18" s="2" customFormat="1" ht="12.75" x14ac:dyDescent="0.2">
      <c r="R44043" s="1288"/>
    </row>
    <row r="44044" spans="18:18" s="2" customFormat="1" ht="12.75" x14ac:dyDescent="0.2">
      <c r="R44044" s="1288"/>
    </row>
    <row r="44045" spans="18:18" s="2" customFormat="1" ht="12.75" x14ac:dyDescent="0.2">
      <c r="R44045" s="1288"/>
    </row>
    <row r="44046" spans="18:18" s="2" customFormat="1" ht="12.75" x14ac:dyDescent="0.2">
      <c r="R44046" s="1288"/>
    </row>
    <row r="44047" spans="18:18" s="2" customFormat="1" ht="12.75" x14ac:dyDescent="0.2">
      <c r="R44047" s="1288"/>
    </row>
    <row r="44048" spans="18:18" s="2" customFormat="1" ht="12.75" x14ac:dyDescent="0.2">
      <c r="R44048" s="1288"/>
    </row>
    <row r="44049" spans="18:18" s="2" customFormat="1" ht="12.75" x14ac:dyDescent="0.2">
      <c r="R44049" s="1288"/>
    </row>
    <row r="44050" spans="18:18" s="2" customFormat="1" ht="12.75" x14ac:dyDescent="0.2">
      <c r="R44050" s="1288"/>
    </row>
    <row r="44051" spans="18:18" s="2" customFormat="1" ht="12.75" x14ac:dyDescent="0.2">
      <c r="R44051" s="1288"/>
    </row>
    <row r="44052" spans="18:18" s="2" customFormat="1" ht="12.75" x14ac:dyDescent="0.2">
      <c r="R44052" s="1288"/>
    </row>
    <row r="44053" spans="18:18" s="2" customFormat="1" ht="12.75" x14ac:dyDescent="0.2">
      <c r="R44053" s="1288"/>
    </row>
    <row r="44054" spans="18:18" s="2" customFormat="1" ht="12.75" x14ac:dyDescent="0.2">
      <c r="R44054" s="1288"/>
    </row>
    <row r="44055" spans="18:18" s="2" customFormat="1" ht="12.75" x14ac:dyDescent="0.2">
      <c r="R44055" s="1288"/>
    </row>
    <row r="44056" spans="18:18" s="2" customFormat="1" ht="12.75" x14ac:dyDescent="0.2">
      <c r="R44056" s="1288"/>
    </row>
    <row r="44057" spans="18:18" s="2" customFormat="1" ht="12.75" x14ac:dyDescent="0.2">
      <c r="R44057" s="1288"/>
    </row>
    <row r="44058" spans="18:18" s="2" customFormat="1" ht="12.75" x14ac:dyDescent="0.2">
      <c r="R44058" s="1288"/>
    </row>
    <row r="44059" spans="18:18" s="2" customFormat="1" ht="12.75" x14ac:dyDescent="0.2">
      <c r="R44059" s="1288"/>
    </row>
    <row r="44060" spans="18:18" s="2" customFormat="1" ht="12.75" x14ac:dyDescent="0.2">
      <c r="R44060" s="1288"/>
    </row>
    <row r="44061" spans="18:18" s="2" customFormat="1" ht="12.75" x14ac:dyDescent="0.2">
      <c r="R44061" s="1288"/>
    </row>
    <row r="44062" spans="18:18" s="2" customFormat="1" ht="12.75" x14ac:dyDescent="0.2">
      <c r="R44062" s="1288"/>
    </row>
    <row r="44063" spans="18:18" s="2" customFormat="1" ht="12.75" x14ac:dyDescent="0.2">
      <c r="R44063" s="1288"/>
    </row>
    <row r="44064" spans="18:18" s="2" customFormat="1" ht="12.75" x14ac:dyDescent="0.2">
      <c r="R44064" s="1288"/>
    </row>
    <row r="44065" spans="18:18" s="2" customFormat="1" ht="12.75" x14ac:dyDescent="0.2">
      <c r="R44065" s="1288"/>
    </row>
    <row r="44066" spans="18:18" s="2" customFormat="1" ht="12.75" x14ac:dyDescent="0.2">
      <c r="R44066" s="1288"/>
    </row>
    <row r="44067" spans="18:18" s="2" customFormat="1" ht="12.75" x14ac:dyDescent="0.2">
      <c r="R44067" s="1288"/>
    </row>
    <row r="44068" spans="18:18" s="2" customFormat="1" ht="12.75" x14ac:dyDescent="0.2">
      <c r="R44068" s="1288"/>
    </row>
    <row r="44069" spans="18:18" s="2" customFormat="1" ht="12.75" x14ac:dyDescent="0.2">
      <c r="R44069" s="1288"/>
    </row>
    <row r="44070" spans="18:18" s="2" customFormat="1" ht="12.75" x14ac:dyDescent="0.2">
      <c r="R44070" s="1288"/>
    </row>
    <row r="44071" spans="18:18" s="2" customFormat="1" ht="12.75" x14ac:dyDescent="0.2">
      <c r="R44071" s="1288"/>
    </row>
    <row r="44072" spans="18:18" s="2" customFormat="1" ht="12.75" x14ac:dyDescent="0.2">
      <c r="R44072" s="1288"/>
    </row>
    <row r="44073" spans="18:18" s="2" customFormat="1" ht="12.75" x14ac:dyDescent="0.2">
      <c r="R44073" s="1288"/>
    </row>
    <row r="44074" spans="18:18" s="2" customFormat="1" ht="12.75" x14ac:dyDescent="0.2">
      <c r="R44074" s="1288"/>
    </row>
    <row r="44075" spans="18:18" s="2" customFormat="1" ht="12.75" x14ac:dyDescent="0.2">
      <c r="R44075" s="1288"/>
    </row>
    <row r="44076" spans="18:18" s="2" customFormat="1" ht="12.75" x14ac:dyDescent="0.2">
      <c r="R44076" s="1288"/>
    </row>
    <row r="44077" spans="18:18" s="2" customFormat="1" ht="12.75" x14ac:dyDescent="0.2">
      <c r="R44077" s="1288"/>
    </row>
    <row r="44078" spans="18:18" s="2" customFormat="1" ht="12.75" x14ac:dyDescent="0.2">
      <c r="R44078" s="1288"/>
    </row>
    <row r="44079" spans="18:18" s="2" customFormat="1" ht="12.75" x14ac:dyDescent="0.2">
      <c r="R44079" s="1288"/>
    </row>
    <row r="44080" spans="18:18" s="2" customFormat="1" ht="12.75" x14ac:dyDescent="0.2">
      <c r="R44080" s="1288"/>
    </row>
    <row r="44081" spans="18:18" s="2" customFormat="1" ht="12.75" x14ac:dyDescent="0.2">
      <c r="R44081" s="1288"/>
    </row>
    <row r="44082" spans="18:18" s="2" customFormat="1" ht="12.75" x14ac:dyDescent="0.2">
      <c r="R44082" s="1288"/>
    </row>
    <row r="44083" spans="18:18" s="2" customFormat="1" ht="12.75" x14ac:dyDescent="0.2">
      <c r="R44083" s="1288"/>
    </row>
    <row r="44084" spans="18:18" s="2" customFormat="1" ht="12.75" x14ac:dyDescent="0.2">
      <c r="R44084" s="1288"/>
    </row>
    <row r="44085" spans="18:18" s="2" customFormat="1" ht="12.75" x14ac:dyDescent="0.2">
      <c r="R44085" s="1288"/>
    </row>
    <row r="44086" spans="18:18" s="2" customFormat="1" ht="12.75" x14ac:dyDescent="0.2">
      <c r="R44086" s="1288"/>
    </row>
    <row r="44087" spans="18:18" s="2" customFormat="1" ht="12.75" x14ac:dyDescent="0.2">
      <c r="R44087" s="1288"/>
    </row>
    <row r="44088" spans="18:18" s="2" customFormat="1" ht="12.75" x14ac:dyDescent="0.2">
      <c r="R44088" s="1288"/>
    </row>
    <row r="44089" spans="18:18" s="2" customFormat="1" ht="12.75" x14ac:dyDescent="0.2">
      <c r="R44089" s="1288"/>
    </row>
    <row r="44090" spans="18:18" s="2" customFormat="1" ht="12.75" x14ac:dyDescent="0.2">
      <c r="R44090" s="1288"/>
    </row>
    <row r="44091" spans="18:18" s="2" customFormat="1" ht="12.75" x14ac:dyDescent="0.2">
      <c r="R44091" s="1288"/>
    </row>
    <row r="44092" spans="18:18" s="2" customFormat="1" ht="12.75" x14ac:dyDescent="0.2">
      <c r="R44092" s="1288"/>
    </row>
    <row r="44093" spans="18:18" s="2" customFormat="1" ht="12.75" x14ac:dyDescent="0.2">
      <c r="R44093" s="1288"/>
    </row>
    <row r="44094" spans="18:18" s="2" customFormat="1" ht="12.75" x14ac:dyDescent="0.2">
      <c r="R44094" s="1288"/>
    </row>
    <row r="44095" spans="18:18" s="2" customFormat="1" ht="12.75" x14ac:dyDescent="0.2">
      <c r="R44095" s="1288"/>
    </row>
    <row r="44096" spans="18:18" s="2" customFormat="1" ht="12.75" x14ac:dyDescent="0.2">
      <c r="R44096" s="1288"/>
    </row>
    <row r="44097" spans="18:18" s="2" customFormat="1" ht="12.75" x14ac:dyDescent="0.2">
      <c r="R44097" s="1288"/>
    </row>
    <row r="44098" spans="18:18" s="2" customFormat="1" ht="12.75" x14ac:dyDescent="0.2">
      <c r="R44098" s="1288"/>
    </row>
    <row r="44099" spans="18:18" s="2" customFormat="1" ht="12.75" x14ac:dyDescent="0.2">
      <c r="R44099" s="1288"/>
    </row>
    <row r="44100" spans="18:18" s="2" customFormat="1" ht="12.75" x14ac:dyDescent="0.2">
      <c r="R44100" s="1288"/>
    </row>
    <row r="44101" spans="18:18" s="2" customFormat="1" ht="12.75" x14ac:dyDescent="0.2">
      <c r="R44101" s="1288"/>
    </row>
    <row r="44102" spans="18:18" s="2" customFormat="1" ht="12.75" x14ac:dyDescent="0.2">
      <c r="R44102" s="1288"/>
    </row>
    <row r="44103" spans="18:18" s="2" customFormat="1" ht="12.75" x14ac:dyDescent="0.2">
      <c r="R44103" s="1288"/>
    </row>
    <row r="44104" spans="18:18" s="2" customFormat="1" ht="12.75" x14ac:dyDescent="0.2">
      <c r="R44104" s="1288"/>
    </row>
    <row r="44105" spans="18:18" s="2" customFormat="1" ht="12.75" x14ac:dyDescent="0.2">
      <c r="R44105" s="1288"/>
    </row>
    <row r="44106" spans="18:18" s="2" customFormat="1" ht="12.75" x14ac:dyDescent="0.2">
      <c r="R44106" s="1288"/>
    </row>
    <row r="44107" spans="18:18" s="2" customFormat="1" ht="12.75" x14ac:dyDescent="0.2">
      <c r="R44107" s="1288"/>
    </row>
    <row r="44108" spans="18:18" s="2" customFormat="1" ht="12.75" x14ac:dyDescent="0.2">
      <c r="R44108" s="1288"/>
    </row>
    <row r="44109" spans="18:18" s="2" customFormat="1" ht="12.75" x14ac:dyDescent="0.2">
      <c r="R44109" s="1288"/>
    </row>
    <row r="44110" spans="18:18" s="2" customFormat="1" ht="12.75" x14ac:dyDescent="0.2">
      <c r="R44110" s="1288"/>
    </row>
    <row r="44111" spans="18:18" s="2" customFormat="1" ht="12.75" x14ac:dyDescent="0.2">
      <c r="R44111" s="1288"/>
    </row>
    <row r="44112" spans="18:18" s="2" customFormat="1" ht="12.75" x14ac:dyDescent="0.2">
      <c r="R44112" s="1288"/>
    </row>
    <row r="44113" spans="18:18" s="2" customFormat="1" ht="12.75" x14ac:dyDescent="0.2">
      <c r="R44113" s="1288"/>
    </row>
    <row r="44114" spans="18:18" s="2" customFormat="1" ht="12.75" x14ac:dyDescent="0.2">
      <c r="R44114" s="1288"/>
    </row>
    <row r="44115" spans="18:18" s="2" customFormat="1" ht="12.75" x14ac:dyDescent="0.2">
      <c r="R44115" s="1288"/>
    </row>
    <row r="44116" spans="18:18" s="2" customFormat="1" ht="12.75" x14ac:dyDescent="0.2">
      <c r="R44116" s="1288"/>
    </row>
    <row r="44117" spans="18:18" s="2" customFormat="1" ht="12.75" x14ac:dyDescent="0.2">
      <c r="R44117" s="1288"/>
    </row>
    <row r="44118" spans="18:18" s="2" customFormat="1" ht="12.75" x14ac:dyDescent="0.2">
      <c r="R44118" s="1288"/>
    </row>
    <row r="44119" spans="18:18" s="2" customFormat="1" ht="12.75" x14ac:dyDescent="0.2">
      <c r="R44119" s="1288"/>
    </row>
    <row r="44120" spans="18:18" s="2" customFormat="1" ht="12.75" x14ac:dyDescent="0.2">
      <c r="R44120" s="1288"/>
    </row>
    <row r="44121" spans="18:18" s="2" customFormat="1" ht="12.75" x14ac:dyDescent="0.2">
      <c r="R44121" s="1288"/>
    </row>
    <row r="44122" spans="18:18" s="2" customFormat="1" ht="12.75" x14ac:dyDescent="0.2">
      <c r="R44122" s="1288"/>
    </row>
    <row r="44123" spans="18:18" s="2" customFormat="1" ht="12.75" x14ac:dyDescent="0.2">
      <c r="R44123" s="1288"/>
    </row>
    <row r="44124" spans="18:18" s="2" customFormat="1" ht="12.75" x14ac:dyDescent="0.2">
      <c r="R44124" s="1288"/>
    </row>
    <row r="44125" spans="18:18" s="2" customFormat="1" ht="12.75" x14ac:dyDescent="0.2">
      <c r="R44125" s="1288"/>
    </row>
    <row r="44126" spans="18:18" s="2" customFormat="1" ht="12.75" x14ac:dyDescent="0.2">
      <c r="R44126" s="1288"/>
    </row>
    <row r="44127" spans="18:18" s="2" customFormat="1" ht="12.75" x14ac:dyDescent="0.2">
      <c r="R44127" s="1288"/>
    </row>
    <row r="44128" spans="18:18" s="2" customFormat="1" ht="12.75" x14ac:dyDescent="0.2">
      <c r="R44128" s="1288"/>
    </row>
    <row r="44129" spans="18:18" s="2" customFormat="1" ht="12.75" x14ac:dyDescent="0.2">
      <c r="R44129" s="1288"/>
    </row>
    <row r="44130" spans="18:18" s="2" customFormat="1" ht="12.75" x14ac:dyDescent="0.2">
      <c r="R44130" s="1288"/>
    </row>
    <row r="44131" spans="18:18" s="2" customFormat="1" ht="12.75" x14ac:dyDescent="0.2">
      <c r="R44131" s="1288"/>
    </row>
    <row r="44132" spans="18:18" s="2" customFormat="1" ht="12.75" x14ac:dyDescent="0.2">
      <c r="R44132" s="1288"/>
    </row>
    <row r="44133" spans="18:18" s="2" customFormat="1" ht="12.75" x14ac:dyDescent="0.2">
      <c r="R44133" s="1288"/>
    </row>
    <row r="44134" spans="18:18" s="2" customFormat="1" ht="12.75" x14ac:dyDescent="0.2">
      <c r="R44134" s="1288"/>
    </row>
    <row r="44135" spans="18:18" s="2" customFormat="1" ht="12.75" x14ac:dyDescent="0.2">
      <c r="R44135" s="1288"/>
    </row>
    <row r="44136" spans="18:18" s="2" customFormat="1" ht="12.75" x14ac:dyDescent="0.2">
      <c r="R44136" s="1288"/>
    </row>
    <row r="44137" spans="18:18" s="2" customFormat="1" ht="12.75" x14ac:dyDescent="0.2">
      <c r="R44137" s="1288"/>
    </row>
    <row r="44138" spans="18:18" s="2" customFormat="1" ht="12.75" x14ac:dyDescent="0.2">
      <c r="R44138" s="1288"/>
    </row>
    <row r="44139" spans="18:18" s="2" customFormat="1" ht="12.75" x14ac:dyDescent="0.2">
      <c r="R44139" s="1288"/>
    </row>
    <row r="44140" spans="18:18" s="2" customFormat="1" ht="12.75" x14ac:dyDescent="0.2">
      <c r="R44140" s="1288"/>
    </row>
    <row r="44141" spans="18:18" s="2" customFormat="1" ht="12.75" x14ac:dyDescent="0.2">
      <c r="R44141" s="1288"/>
    </row>
    <row r="44142" spans="18:18" s="2" customFormat="1" ht="12.75" x14ac:dyDescent="0.2">
      <c r="R44142" s="1288"/>
    </row>
    <row r="44143" spans="18:18" s="2" customFormat="1" ht="12.75" x14ac:dyDescent="0.2">
      <c r="R44143" s="1288"/>
    </row>
    <row r="44144" spans="18:18" s="2" customFormat="1" ht="12.75" x14ac:dyDescent="0.2">
      <c r="R44144" s="1288"/>
    </row>
    <row r="44145" spans="18:18" s="2" customFormat="1" ht="12.75" x14ac:dyDescent="0.2">
      <c r="R44145" s="1288"/>
    </row>
    <row r="44146" spans="18:18" s="2" customFormat="1" ht="12.75" x14ac:dyDescent="0.2">
      <c r="R44146" s="1288"/>
    </row>
    <row r="44147" spans="18:18" s="2" customFormat="1" ht="12.75" x14ac:dyDescent="0.2">
      <c r="R44147" s="1288"/>
    </row>
    <row r="44148" spans="18:18" s="2" customFormat="1" ht="12.75" x14ac:dyDescent="0.2">
      <c r="R44148" s="1288"/>
    </row>
    <row r="44149" spans="18:18" s="2" customFormat="1" ht="12.75" x14ac:dyDescent="0.2">
      <c r="R44149" s="1288"/>
    </row>
    <row r="44150" spans="18:18" s="2" customFormat="1" ht="12.75" x14ac:dyDescent="0.2">
      <c r="R44150" s="1288"/>
    </row>
    <row r="44151" spans="18:18" s="2" customFormat="1" ht="12.75" x14ac:dyDescent="0.2">
      <c r="R44151" s="1288"/>
    </row>
    <row r="44152" spans="18:18" s="2" customFormat="1" ht="12.75" x14ac:dyDescent="0.2">
      <c r="R44152" s="1288"/>
    </row>
    <row r="44153" spans="18:18" s="2" customFormat="1" ht="12.75" x14ac:dyDescent="0.2">
      <c r="R44153" s="1288"/>
    </row>
    <row r="44154" spans="18:18" s="2" customFormat="1" ht="12.75" x14ac:dyDescent="0.2">
      <c r="R44154" s="1288"/>
    </row>
    <row r="44155" spans="18:18" s="2" customFormat="1" ht="12.75" x14ac:dyDescent="0.2">
      <c r="R44155" s="1288"/>
    </row>
    <row r="44156" spans="18:18" s="2" customFormat="1" ht="12.75" x14ac:dyDescent="0.2">
      <c r="R44156" s="1288"/>
    </row>
    <row r="44157" spans="18:18" s="2" customFormat="1" ht="12.75" x14ac:dyDescent="0.2">
      <c r="R44157" s="1288"/>
    </row>
    <row r="44158" spans="18:18" s="2" customFormat="1" ht="12.75" x14ac:dyDescent="0.2">
      <c r="R44158" s="1288"/>
    </row>
    <row r="44159" spans="18:18" s="2" customFormat="1" ht="12.75" x14ac:dyDescent="0.2">
      <c r="R44159" s="1288"/>
    </row>
    <row r="44160" spans="18:18" s="2" customFormat="1" ht="12.75" x14ac:dyDescent="0.2">
      <c r="R44160" s="1288"/>
    </row>
    <row r="44161" spans="18:18" s="2" customFormat="1" ht="12.75" x14ac:dyDescent="0.2">
      <c r="R44161" s="1288"/>
    </row>
    <row r="44162" spans="18:18" s="2" customFormat="1" ht="12.75" x14ac:dyDescent="0.2">
      <c r="R44162" s="1288"/>
    </row>
    <row r="44163" spans="18:18" s="2" customFormat="1" ht="12.75" x14ac:dyDescent="0.2">
      <c r="R44163" s="1288"/>
    </row>
    <row r="44164" spans="18:18" s="2" customFormat="1" ht="12.75" x14ac:dyDescent="0.2">
      <c r="R44164" s="1288"/>
    </row>
    <row r="44165" spans="18:18" s="2" customFormat="1" ht="12.75" x14ac:dyDescent="0.2">
      <c r="R44165" s="1288"/>
    </row>
    <row r="44166" spans="18:18" s="2" customFormat="1" ht="12.75" x14ac:dyDescent="0.2">
      <c r="R44166" s="1288"/>
    </row>
    <row r="44167" spans="18:18" s="2" customFormat="1" ht="12.75" x14ac:dyDescent="0.2">
      <c r="R44167" s="1288"/>
    </row>
    <row r="44168" spans="18:18" s="2" customFormat="1" ht="12.75" x14ac:dyDescent="0.2">
      <c r="R44168" s="1288"/>
    </row>
    <row r="44169" spans="18:18" s="2" customFormat="1" ht="12.75" x14ac:dyDescent="0.2">
      <c r="R44169" s="1288"/>
    </row>
    <row r="44170" spans="18:18" s="2" customFormat="1" ht="12.75" x14ac:dyDescent="0.2">
      <c r="R44170" s="1288"/>
    </row>
    <row r="44171" spans="18:18" s="2" customFormat="1" ht="12.75" x14ac:dyDescent="0.2">
      <c r="R44171" s="1288"/>
    </row>
    <row r="44172" spans="18:18" s="2" customFormat="1" ht="12.75" x14ac:dyDescent="0.2">
      <c r="R44172" s="1288"/>
    </row>
    <row r="44173" spans="18:18" s="2" customFormat="1" ht="12.75" x14ac:dyDescent="0.2">
      <c r="R44173" s="1288"/>
    </row>
    <row r="44174" spans="18:18" s="2" customFormat="1" ht="12.75" x14ac:dyDescent="0.2">
      <c r="R44174" s="1288"/>
    </row>
    <row r="44175" spans="18:18" s="2" customFormat="1" ht="12.75" x14ac:dyDescent="0.2">
      <c r="R44175" s="1288"/>
    </row>
    <row r="44176" spans="18:18" s="2" customFormat="1" ht="12.75" x14ac:dyDescent="0.2">
      <c r="R44176" s="1288"/>
    </row>
    <row r="44177" spans="18:18" s="2" customFormat="1" ht="12.75" x14ac:dyDescent="0.2">
      <c r="R44177" s="1288"/>
    </row>
    <row r="44178" spans="18:18" s="2" customFormat="1" ht="12.75" x14ac:dyDescent="0.2">
      <c r="R44178" s="1288"/>
    </row>
    <row r="44179" spans="18:18" s="2" customFormat="1" ht="12.75" x14ac:dyDescent="0.2">
      <c r="R44179" s="1288"/>
    </row>
    <row r="44180" spans="18:18" s="2" customFormat="1" ht="12.75" x14ac:dyDescent="0.2">
      <c r="R44180" s="1288"/>
    </row>
    <row r="44181" spans="18:18" s="2" customFormat="1" ht="12.75" x14ac:dyDescent="0.2">
      <c r="R44181" s="1288"/>
    </row>
    <row r="44182" spans="18:18" s="2" customFormat="1" ht="12.75" x14ac:dyDescent="0.2">
      <c r="R44182" s="1288"/>
    </row>
    <row r="44183" spans="18:18" s="2" customFormat="1" ht="12.75" x14ac:dyDescent="0.2">
      <c r="R44183" s="1288"/>
    </row>
    <row r="44184" spans="18:18" s="2" customFormat="1" ht="12.75" x14ac:dyDescent="0.2">
      <c r="R44184" s="1288"/>
    </row>
    <row r="44185" spans="18:18" s="2" customFormat="1" ht="12.75" x14ac:dyDescent="0.2">
      <c r="R44185" s="1288"/>
    </row>
    <row r="44186" spans="18:18" s="2" customFormat="1" ht="12.75" x14ac:dyDescent="0.2">
      <c r="R44186" s="1288"/>
    </row>
    <row r="44187" spans="18:18" s="2" customFormat="1" ht="12.75" x14ac:dyDescent="0.2">
      <c r="R44187" s="1288"/>
    </row>
    <row r="44188" spans="18:18" s="2" customFormat="1" ht="12.75" x14ac:dyDescent="0.2">
      <c r="R44188" s="1288"/>
    </row>
    <row r="44189" spans="18:18" s="2" customFormat="1" ht="12.75" x14ac:dyDescent="0.2">
      <c r="R44189" s="1288"/>
    </row>
    <row r="44190" spans="18:18" s="2" customFormat="1" ht="12.75" x14ac:dyDescent="0.2">
      <c r="R44190" s="1288"/>
    </row>
    <row r="44191" spans="18:18" s="2" customFormat="1" ht="12.75" x14ac:dyDescent="0.2">
      <c r="R44191" s="1288"/>
    </row>
    <row r="44192" spans="18:18" s="2" customFormat="1" ht="12.75" x14ac:dyDescent="0.2">
      <c r="R44192" s="1288"/>
    </row>
    <row r="44193" spans="18:18" s="2" customFormat="1" ht="12.75" x14ac:dyDescent="0.2">
      <c r="R44193" s="1288"/>
    </row>
    <row r="44194" spans="18:18" s="2" customFormat="1" ht="12.75" x14ac:dyDescent="0.2">
      <c r="R44194" s="1288"/>
    </row>
    <row r="44195" spans="18:18" s="2" customFormat="1" ht="12.75" x14ac:dyDescent="0.2">
      <c r="R44195" s="1288"/>
    </row>
    <row r="44196" spans="18:18" s="2" customFormat="1" ht="12.75" x14ac:dyDescent="0.2">
      <c r="R44196" s="1288"/>
    </row>
    <row r="44197" spans="18:18" s="2" customFormat="1" ht="12.75" x14ac:dyDescent="0.2">
      <c r="R44197" s="1288"/>
    </row>
    <row r="44198" spans="18:18" s="2" customFormat="1" ht="12.75" x14ac:dyDescent="0.2">
      <c r="R44198" s="1288"/>
    </row>
    <row r="44199" spans="18:18" s="2" customFormat="1" ht="12.75" x14ac:dyDescent="0.2">
      <c r="R44199" s="1288"/>
    </row>
    <row r="44200" spans="18:18" s="2" customFormat="1" ht="12.75" x14ac:dyDescent="0.2">
      <c r="R44200" s="1288"/>
    </row>
    <row r="44201" spans="18:18" s="2" customFormat="1" ht="12.75" x14ac:dyDescent="0.2">
      <c r="R44201" s="1288"/>
    </row>
    <row r="44202" spans="18:18" s="2" customFormat="1" ht="12.75" x14ac:dyDescent="0.2">
      <c r="R44202" s="1288"/>
    </row>
    <row r="44203" spans="18:18" s="2" customFormat="1" ht="12.75" x14ac:dyDescent="0.2">
      <c r="R44203" s="1288"/>
    </row>
    <row r="44204" spans="18:18" s="2" customFormat="1" ht="12.75" x14ac:dyDescent="0.2">
      <c r="R44204" s="1288"/>
    </row>
    <row r="44205" spans="18:18" s="2" customFormat="1" ht="12.75" x14ac:dyDescent="0.2">
      <c r="R44205" s="1288"/>
    </row>
    <row r="44206" spans="18:18" s="2" customFormat="1" ht="12.75" x14ac:dyDescent="0.2">
      <c r="R44206" s="1288"/>
    </row>
    <row r="44207" spans="18:18" s="2" customFormat="1" ht="12.75" x14ac:dyDescent="0.2">
      <c r="R44207" s="1288"/>
    </row>
    <row r="44208" spans="18:18" s="2" customFormat="1" ht="12.75" x14ac:dyDescent="0.2">
      <c r="R44208" s="1288"/>
    </row>
    <row r="44209" spans="18:18" s="2" customFormat="1" ht="12.75" x14ac:dyDescent="0.2">
      <c r="R44209" s="1288"/>
    </row>
    <row r="44210" spans="18:18" s="2" customFormat="1" ht="12.75" x14ac:dyDescent="0.2">
      <c r="R44210" s="1288"/>
    </row>
    <row r="44211" spans="18:18" s="2" customFormat="1" ht="12.75" x14ac:dyDescent="0.2">
      <c r="R44211" s="1288"/>
    </row>
    <row r="44212" spans="18:18" s="2" customFormat="1" ht="12.75" x14ac:dyDescent="0.2">
      <c r="R44212" s="1288"/>
    </row>
    <row r="44213" spans="18:18" s="2" customFormat="1" ht="12.75" x14ac:dyDescent="0.2">
      <c r="R44213" s="1288"/>
    </row>
    <row r="44214" spans="18:18" s="2" customFormat="1" ht="12.75" x14ac:dyDescent="0.2">
      <c r="R44214" s="1288"/>
    </row>
    <row r="44215" spans="18:18" s="2" customFormat="1" ht="12.75" x14ac:dyDescent="0.2">
      <c r="R44215" s="1288"/>
    </row>
    <row r="44216" spans="18:18" s="2" customFormat="1" ht="12.75" x14ac:dyDescent="0.2">
      <c r="R44216" s="1288"/>
    </row>
    <row r="44217" spans="18:18" s="2" customFormat="1" ht="12.75" x14ac:dyDescent="0.2">
      <c r="R44217" s="1288"/>
    </row>
    <row r="44218" spans="18:18" s="2" customFormat="1" ht="12.75" x14ac:dyDescent="0.2">
      <c r="R44218" s="1288"/>
    </row>
    <row r="44219" spans="18:18" s="2" customFormat="1" ht="12.75" x14ac:dyDescent="0.2">
      <c r="R44219" s="1288"/>
    </row>
    <row r="44220" spans="18:18" s="2" customFormat="1" ht="12.75" x14ac:dyDescent="0.2">
      <c r="R44220" s="1288"/>
    </row>
    <row r="44221" spans="18:18" s="2" customFormat="1" ht="12.75" x14ac:dyDescent="0.2">
      <c r="R44221" s="1288"/>
    </row>
    <row r="44222" spans="18:18" s="2" customFormat="1" ht="12.75" x14ac:dyDescent="0.2">
      <c r="R44222" s="1288"/>
    </row>
    <row r="44223" spans="18:18" s="2" customFormat="1" ht="12.75" x14ac:dyDescent="0.2">
      <c r="R44223" s="1288"/>
    </row>
    <row r="44224" spans="18:18" s="2" customFormat="1" ht="12.75" x14ac:dyDescent="0.2">
      <c r="R44224" s="1288"/>
    </row>
    <row r="44225" spans="18:18" s="2" customFormat="1" ht="12.75" x14ac:dyDescent="0.2">
      <c r="R44225" s="1288"/>
    </row>
    <row r="44226" spans="18:18" s="2" customFormat="1" ht="12.75" x14ac:dyDescent="0.2">
      <c r="R44226" s="1288"/>
    </row>
    <row r="44227" spans="18:18" s="2" customFormat="1" ht="12.75" x14ac:dyDescent="0.2">
      <c r="R44227" s="1288"/>
    </row>
    <row r="44228" spans="18:18" s="2" customFormat="1" ht="12.75" x14ac:dyDescent="0.2">
      <c r="R44228" s="1288"/>
    </row>
    <row r="44229" spans="18:18" s="2" customFormat="1" ht="12.75" x14ac:dyDescent="0.2">
      <c r="R44229" s="1288"/>
    </row>
    <row r="44230" spans="18:18" s="2" customFormat="1" ht="12.75" x14ac:dyDescent="0.2">
      <c r="R44230" s="1288"/>
    </row>
    <row r="44231" spans="18:18" s="2" customFormat="1" ht="12.75" x14ac:dyDescent="0.2">
      <c r="R44231" s="1288"/>
    </row>
    <row r="44232" spans="18:18" s="2" customFormat="1" ht="12.75" x14ac:dyDescent="0.2">
      <c r="R44232" s="1288"/>
    </row>
    <row r="44233" spans="18:18" s="2" customFormat="1" ht="12.75" x14ac:dyDescent="0.2">
      <c r="R44233" s="1288"/>
    </row>
    <row r="44234" spans="18:18" s="2" customFormat="1" ht="12.75" x14ac:dyDescent="0.2">
      <c r="R44234" s="1288"/>
    </row>
    <row r="44235" spans="18:18" s="2" customFormat="1" ht="12.75" x14ac:dyDescent="0.2">
      <c r="R44235" s="1288"/>
    </row>
    <row r="44236" spans="18:18" s="2" customFormat="1" ht="12.75" x14ac:dyDescent="0.2">
      <c r="R44236" s="1288"/>
    </row>
    <row r="44237" spans="18:18" s="2" customFormat="1" ht="12.75" x14ac:dyDescent="0.2">
      <c r="R44237" s="1288"/>
    </row>
    <row r="44238" spans="18:18" s="2" customFormat="1" ht="12.75" x14ac:dyDescent="0.2">
      <c r="R44238" s="1288"/>
    </row>
    <row r="44239" spans="18:18" s="2" customFormat="1" ht="12.75" x14ac:dyDescent="0.2">
      <c r="R44239" s="1288"/>
    </row>
    <row r="44240" spans="18:18" s="2" customFormat="1" ht="12.75" x14ac:dyDescent="0.2">
      <c r="R44240" s="1288"/>
    </row>
    <row r="44241" spans="18:18" s="2" customFormat="1" ht="12.75" x14ac:dyDescent="0.2">
      <c r="R44241" s="1288"/>
    </row>
    <row r="44242" spans="18:18" s="2" customFormat="1" ht="12.75" x14ac:dyDescent="0.2">
      <c r="R44242" s="1288"/>
    </row>
    <row r="44243" spans="18:18" s="2" customFormat="1" ht="12.75" x14ac:dyDescent="0.2">
      <c r="R44243" s="1288"/>
    </row>
    <row r="44244" spans="18:18" s="2" customFormat="1" ht="12.75" x14ac:dyDescent="0.2">
      <c r="R44244" s="1288"/>
    </row>
    <row r="44245" spans="18:18" s="2" customFormat="1" ht="12.75" x14ac:dyDescent="0.2">
      <c r="R44245" s="1288"/>
    </row>
    <row r="44246" spans="18:18" s="2" customFormat="1" ht="12.75" x14ac:dyDescent="0.2">
      <c r="R44246" s="1288"/>
    </row>
    <row r="44247" spans="18:18" s="2" customFormat="1" ht="12.75" x14ac:dyDescent="0.2">
      <c r="R44247" s="1288"/>
    </row>
    <row r="44248" spans="18:18" s="2" customFormat="1" ht="12.75" x14ac:dyDescent="0.2">
      <c r="R44248" s="1288"/>
    </row>
    <row r="44249" spans="18:18" s="2" customFormat="1" ht="12.75" x14ac:dyDescent="0.2">
      <c r="R44249" s="1288"/>
    </row>
    <row r="44250" spans="18:18" s="2" customFormat="1" ht="12.75" x14ac:dyDescent="0.2">
      <c r="R44250" s="1288"/>
    </row>
    <row r="44251" spans="18:18" s="2" customFormat="1" ht="12.75" x14ac:dyDescent="0.2">
      <c r="R44251" s="1288"/>
    </row>
    <row r="44252" spans="18:18" s="2" customFormat="1" ht="12.75" x14ac:dyDescent="0.2">
      <c r="R44252" s="1288"/>
    </row>
    <row r="44253" spans="18:18" s="2" customFormat="1" ht="12.75" x14ac:dyDescent="0.2">
      <c r="R44253" s="1288"/>
    </row>
    <row r="44254" spans="18:18" s="2" customFormat="1" ht="12.75" x14ac:dyDescent="0.2">
      <c r="R44254" s="1288"/>
    </row>
    <row r="44255" spans="18:18" s="2" customFormat="1" ht="12.75" x14ac:dyDescent="0.2">
      <c r="R44255" s="1288"/>
    </row>
    <row r="44256" spans="18:18" s="2" customFormat="1" ht="12.75" x14ac:dyDescent="0.2">
      <c r="R44256" s="1288"/>
    </row>
    <row r="44257" spans="18:18" s="2" customFormat="1" ht="12.75" x14ac:dyDescent="0.2">
      <c r="R44257" s="1288"/>
    </row>
    <row r="44258" spans="18:18" s="2" customFormat="1" ht="12.75" x14ac:dyDescent="0.2">
      <c r="R44258" s="1288"/>
    </row>
    <row r="44259" spans="18:18" s="2" customFormat="1" ht="12.75" x14ac:dyDescent="0.2">
      <c r="R44259" s="1288"/>
    </row>
    <row r="44260" spans="18:18" s="2" customFormat="1" ht="12.75" x14ac:dyDescent="0.2">
      <c r="R44260" s="1288"/>
    </row>
    <row r="44261" spans="18:18" s="2" customFormat="1" ht="12.75" x14ac:dyDescent="0.2">
      <c r="R44261" s="1288"/>
    </row>
    <row r="44262" spans="18:18" s="2" customFormat="1" ht="12.75" x14ac:dyDescent="0.2">
      <c r="R44262" s="1288"/>
    </row>
    <row r="44263" spans="18:18" s="2" customFormat="1" ht="12.75" x14ac:dyDescent="0.2">
      <c r="R44263" s="1288"/>
    </row>
    <row r="44264" spans="18:18" s="2" customFormat="1" ht="12.75" x14ac:dyDescent="0.2">
      <c r="R44264" s="1288"/>
    </row>
    <row r="44265" spans="18:18" s="2" customFormat="1" ht="12.75" x14ac:dyDescent="0.2">
      <c r="R44265" s="1288"/>
    </row>
    <row r="44266" spans="18:18" s="2" customFormat="1" ht="12.75" x14ac:dyDescent="0.2">
      <c r="R44266" s="1288"/>
    </row>
    <row r="44267" spans="18:18" s="2" customFormat="1" ht="12.75" x14ac:dyDescent="0.2">
      <c r="R44267" s="1288"/>
    </row>
    <row r="44268" spans="18:18" s="2" customFormat="1" ht="12.75" x14ac:dyDescent="0.2">
      <c r="R44268" s="1288"/>
    </row>
    <row r="44269" spans="18:18" s="2" customFormat="1" ht="12.75" x14ac:dyDescent="0.2">
      <c r="R44269" s="1288"/>
    </row>
    <row r="44270" spans="18:18" s="2" customFormat="1" ht="12.75" x14ac:dyDescent="0.2">
      <c r="R44270" s="1288"/>
    </row>
    <row r="44271" spans="18:18" s="2" customFormat="1" ht="12.75" x14ac:dyDescent="0.2">
      <c r="R44271" s="1288"/>
    </row>
    <row r="44272" spans="18:18" s="2" customFormat="1" ht="12.75" x14ac:dyDescent="0.2">
      <c r="R44272" s="1288"/>
    </row>
    <row r="44273" spans="18:18" s="2" customFormat="1" ht="12.75" x14ac:dyDescent="0.2">
      <c r="R44273" s="1288"/>
    </row>
    <row r="44274" spans="18:18" s="2" customFormat="1" ht="12.75" x14ac:dyDescent="0.2">
      <c r="R44274" s="1288"/>
    </row>
    <row r="44275" spans="18:18" s="2" customFormat="1" ht="12.75" x14ac:dyDescent="0.2">
      <c r="R44275" s="1288"/>
    </row>
    <row r="44276" spans="18:18" s="2" customFormat="1" ht="12.75" x14ac:dyDescent="0.2">
      <c r="R44276" s="1288"/>
    </row>
    <row r="44277" spans="18:18" s="2" customFormat="1" ht="12.75" x14ac:dyDescent="0.2">
      <c r="R44277" s="1288"/>
    </row>
    <row r="44278" spans="18:18" s="2" customFormat="1" ht="12.75" x14ac:dyDescent="0.2">
      <c r="R44278" s="1288"/>
    </row>
    <row r="44279" spans="18:18" s="2" customFormat="1" ht="12.75" x14ac:dyDescent="0.2">
      <c r="R44279" s="1288"/>
    </row>
    <row r="44280" spans="18:18" s="2" customFormat="1" ht="12.75" x14ac:dyDescent="0.2">
      <c r="R44280" s="1288"/>
    </row>
    <row r="44281" spans="18:18" s="2" customFormat="1" ht="12.75" x14ac:dyDescent="0.2">
      <c r="R44281" s="1288"/>
    </row>
    <row r="44282" spans="18:18" s="2" customFormat="1" ht="12.75" x14ac:dyDescent="0.2">
      <c r="R44282" s="1288"/>
    </row>
    <row r="44283" spans="18:18" s="2" customFormat="1" ht="12.75" x14ac:dyDescent="0.2">
      <c r="R44283" s="1288"/>
    </row>
    <row r="44284" spans="18:18" s="2" customFormat="1" ht="12.75" x14ac:dyDescent="0.2">
      <c r="R44284" s="1288"/>
    </row>
    <row r="44285" spans="18:18" s="2" customFormat="1" ht="12.75" x14ac:dyDescent="0.2">
      <c r="R44285" s="1288"/>
    </row>
    <row r="44286" spans="18:18" s="2" customFormat="1" ht="12.75" x14ac:dyDescent="0.2">
      <c r="R44286" s="1288"/>
    </row>
    <row r="44287" spans="18:18" s="2" customFormat="1" ht="12.75" x14ac:dyDescent="0.2">
      <c r="R44287" s="1288"/>
    </row>
    <row r="44288" spans="18:18" s="2" customFormat="1" ht="12.75" x14ac:dyDescent="0.2">
      <c r="R44288" s="1288"/>
    </row>
    <row r="44289" spans="18:18" s="2" customFormat="1" ht="12.75" x14ac:dyDescent="0.2">
      <c r="R44289" s="1288"/>
    </row>
    <row r="44290" spans="18:18" s="2" customFormat="1" ht="12.75" x14ac:dyDescent="0.2">
      <c r="R44290" s="1288"/>
    </row>
    <row r="44291" spans="18:18" s="2" customFormat="1" ht="12.75" x14ac:dyDescent="0.2">
      <c r="R44291" s="1288"/>
    </row>
    <row r="44292" spans="18:18" s="2" customFormat="1" ht="12.75" x14ac:dyDescent="0.2">
      <c r="R44292" s="1288"/>
    </row>
    <row r="44293" spans="18:18" s="2" customFormat="1" ht="12.75" x14ac:dyDescent="0.2">
      <c r="R44293" s="1288"/>
    </row>
    <row r="44294" spans="18:18" s="2" customFormat="1" ht="12.75" x14ac:dyDescent="0.2">
      <c r="R44294" s="1288"/>
    </row>
    <row r="44295" spans="18:18" s="2" customFormat="1" ht="12.75" x14ac:dyDescent="0.2">
      <c r="R44295" s="1288"/>
    </row>
    <row r="44296" spans="18:18" s="2" customFormat="1" ht="12.75" x14ac:dyDescent="0.2">
      <c r="R44296" s="1288"/>
    </row>
    <row r="44297" spans="18:18" s="2" customFormat="1" ht="12.75" x14ac:dyDescent="0.2">
      <c r="R44297" s="1288"/>
    </row>
    <row r="44298" spans="18:18" s="2" customFormat="1" ht="12.75" x14ac:dyDescent="0.2">
      <c r="R44298" s="1288"/>
    </row>
    <row r="44299" spans="18:18" s="2" customFormat="1" ht="12.75" x14ac:dyDescent="0.2">
      <c r="R44299" s="1288"/>
    </row>
    <row r="44300" spans="18:18" s="2" customFormat="1" ht="12.75" x14ac:dyDescent="0.2">
      <c r="R44300" s="1288"/>
    </row>
    <row r="44301" spans="18:18" s="2" customFormat="1" ht="12.75" x14ac:dyDescent="0.2">
      <c r="R44301" s="1288"/>
    </row>
    <row r="44302" spans="18:18" s="2" customFormat="1" ht="12.75" x14ac:dyDescent="0.2">
      <c r="R44302" s="1288"/>
    </row>
    <row r="44303" spans="18:18" s="2" customFormat="1" ht="12.75" x14ac:dyDescent="0.2">
      <c r="R44303" s="1288"/>
    </row>
    <row r="44304" spans="18:18" s="2" customFormat="1" ht="12.75" x14ac:dyDescent="0.2">
      <c r="R44304" s="1288"/>
    </row>
    <row r="44305" spans="18:18" s="2" customFormat="1" ht="12.75" x14ac:dyDescent="0.2">
      <c r="R44305" s="1288"/>
    </row>
    <row r="44306" spans="18:18" s="2" customFormat="1" ht="12.75" x14ac:dyDescent="0.2">
      <c r="R44306" s="1288"/>
    </row>
    <row r="44307" spans="18:18" s="2" customFormat="1" ht="12.75" x14ac:dyDescent="0.2">
      <c r="R44307" s="1288"/>
    </row>
    <row r="44308" spans="18:18" s="2" customFormat="1" ht="12.75" x14ac:dyDescent="0.2">
      <c r="R44308" s="1288"/>
    </row>
    <row r="44309" spans="18:18" s="2" customFormat="1" ht="12.75" x14ac:dyDescent="0.2">
      <c r="R44309" s="1288"/>
    </row>
    <row r="44310" spans="18:18" s="2" customFormat="1" ht="12.75" x14ac:dyDescent="0.2">
      <c r="R44310" s="1288"/>
    </row>
    <row r="44311" spans="18:18" s="2" customFormat="1" ht="12.75" x14ac:dyDescent="0.2">
      <c r="R44311" s="1288"/>
    </row>
    <row r="44312" spans="18:18" s="2" customFormat="1" ht="12.75" x14ac:dyDescent="0.2">
      <c r="R44312" s="1288"/>
    </row>
    <row r="44313" spans="18:18" s="2" customFormat="1" ht="12.75" x14ac:dyDescent="0.2">
      <c r="R44313" s="1288"/>
    </row>
    <row r="44314" spans="18:18" s="2" customFormat="1" ht="12.75" x14ac:dyDescent="0.2">
      <c r="R44314" s="1288"/>
    </row>
    <row r="44315" spans="18:18" s="2" customFormat="1" ht="12.75" x14ac:dyDescent="0.2">
      <c r="R44315" s="1288"/>
    </row>
    <row r="44316" spans="18:18" s="2" customFormat="1" ht="12.75" x14ac:dyDescent="0.2">
      <c r="R44316" s="1288"/>
    </row>
    <row r="44317" spans="18:18" s="2" customFormat="1" ht="12.75" x14ac:dyDescent="0.2">
      <c r="R44317" s="1288"/>
    </row>
    <row r="44318" spans="18:18" s="2" customFormat="1" ht="12.75" x14ac:dyDescent="0.2">
      <c r="R44318" s="1288"/>
    </row>
    <row r="44319" spans="18:18" s="2" customFormat="1" ht="12.75" x14ac:dyDescent="0.2">
      <c r="R44319" s="1288"/>
    </row>
    <row r="44320" spans="18:18" s="2" customFormat="1" ht="12.75" x14ac:dyDescent="0.2">
      <c r="R44320" s="1288"/>
    </row>
    <row r="44321" spans="18:18" s="2" customFormat="1" ht="12.75" x14ac:dyDescent="0.2">
      <c r="R44321" s="1288"/>
    </row>
    <row r="44322" spans="18:18" s="2" customFormat="1" ht="12.75" x14ac:dyDescent="0.2">
      <c r="R44322" s="1288"/>
    </row>
    <row r="44323" spans="18:18" s="2" customFormat="1" ht="12.75" x14ac:dyDescent="0.2">
      <c r="R44323" s="1288"/>
    </row>
    <row r="44324" spans="18:18" s="2" customFormat="1" ht="12.75" x14ac:dyDescent="0.2">
      <c r="R44324" s="1288"/>
    </row>
    <row r="44325" spans="18:18" s="2" customFormat="1" ht="12.75" x14ac:dyDescent="0.2">
      <c r="R44325" s="1288"/>
    </row>
    <row r="44326" spans="18:18" s="2" customFormat="1" ht="12.75" x14ac:dyDescent="0.2">
      <c r="R44326" s="1288"/>
    </row>
    <row r="44327" spans="18:18" s="2" customFormat="1" ht="12.75" x14ac:dyDescent="0.2">
      <c r="R44327" s="1288"/>
    </row>
    <row r="44328" spans="18:18" s="2" customFormat="1" ht="12.75" x14ac:dyDescent="0.2">
      <c r="R44328" s="1288"/>
    </row>
    <row r="44329" spans="18:18" s="2" customFormat="1" ht="12.75" x14ac:dyDescent="0.2">
      <c r="R44329" s="1288"/>
    </row>
    <row r="44330" spans="18:18" s="2" customFormat="1" ht="12.75" x14ac:dyDescent="0.2">
      <c r="R44330" s="1288"/>
    </row>
    <row r="44331" spans="18:18" s="2" customFormat="1" ht="12.75" x14ac:dyDescent="0.2">
      <c r="R44331" s="1288"/>
    </row>
    <row r="44332" spans="18:18" s="2" customFormat="1" ht="12.75" x14ac:dyDescent="0.2">
      <c r="R44332" s="1288"/>
    </row>
    <row r="44333" spans="18:18" s="2" customFormat="1" ht="12.75" x14ac:dyDescent="0.2">
      <c r="R44333" s="1288"/>
    </row>
    <row r="44334" spans="18:18" s="2" customFormat="1" ht="12.75" x14ac:dyDescent="0.2">
      <c r="R44334" s="1288"/>
    </row>
    <row r="44335" spans="18:18" s="2" customFormat="1" ht="12.75" x14ac:dyDescent="0.2">
      <c r="R44335" s="1288"/>
    </row>
    <row r="44336" spans="18:18" s="2" customFormat="1" ht="12.75" x14ac:dyDescent="0.2">
      <c r="R44336" s="1288"/>
    </row>
    <row r="44337" spans="18:18" s="2" customFormat="1" ht="12.75" x14ac:dyDescent="0.2">
      <c r="R44337" s="1288"/>
    </row>
    <row r="44338" spans="18:18" s="2" customFormat="1" ht="12.75" x14ac:dyDescent="0.2">
      <c r="R44338" s="1288"/>
    </row>
    <row r="44339" spans="18:18" s="2" customFormat="1" ht="12.75" x14ac:dyDescent="0.2">
      <c r="R44339" s="1288"/>
    </row>
    <row r="44340" spans="18:18" s="2" customFormat="1" ht="12.75" x14ac:dyDescent="0.2">
      <c r="R44340" s="1288"/>
    </row>
    <row r="44341" spans="18:18" s="2" customFormat="1" ht="12.75" x14ac:dyDescent="0.2">
      <c r="R44341" s="1288"/>
    </row>
    <row r="44342" spans="18:18" s="2" customFormat="1" ht="12.75" x14ac:dyDescent="0.2">
      <c r="R44342" s="1288"/>
    </row>
    <row r="44343" spans="18:18" s="2" customFormat="1" ht="12.75" x14ac:dyDescent="0.2">
      <c r="R44343" s="1288"/>
    </row>
    <row r="44344" spans="18:18" s="2" customFormat="1" ht="12.75" x14ac:dyDescent="0.2">
      <c r="R44344" s="1288"/>
    </row>
    <row r="44345" spans="18:18" s="2" customFormat="1" ht="12.75" x14ac:dyDescent="0.2">
      <c r="R44345" s="1288"/>
    </row>
    <row r="44346" spans="18:18" s="2" customFormat="1" ht="12.75" x14ac:dyDescent="0.2">
      <c r="R44346" s="1288"/>
    </row>
    <row r="44347" spans="18:18" s="2" customFormat="1" ht="12.75" x14ac:dyDescent="0.2">
      <c r="R44347" s="1288"/>
    </row>
    <row r="44348" spans="18:18" s="2" customFormat="1" ht="12.75" x14ac:dyDescent="0.2">
      <c r="R44348" s="1288"/>
    </row>
    <row r="44349" spans="18:18" s="2" customFormat="1" ht="12.75" x14ac:dyDescent="0.2">
      <c r="R44349" s="1288"/>
    </row>
    <row r="44350" spans="18:18" s="2" customFormat="1" ht="12.75" x14ac:dyDescent="0.2">
      <c r="R44350" s="1288"/>
    </row>
    <row r="44351" spans="18:18" s="2" customFormat="1" ht="12.75" x14ac:dyDescent="0.2">
      <c r="R44351" s="1288"/>
    </row>
    <row r="44352" spans="18:18" s="2" customFormat="1" ht="12.75" x14ac:dyDescent="0.2">
      <c r="R44352" s="1288"/>
    </row>
    <row r="44353" spans="18:18" s="2" customFormat="1" ht="12.75" x14ac:dyDescent="0.2">
      <c r="R44353" s="1288"/>
    </row>
    <row r="44354" spans="18:18" s="2" customFormat="1" ht="12.75" x14ac:dyDescent="0.2">
      <c r="R44354" s="1288"/>
    </row>
    <row r="44355" spans="18:18" s="2" customFormat="1" ht="12.75" x14ac:dyDescent="0.2">
      <c r="R44355" s="1288"/>
    </row>
    <row r="44356" spans="18:18" s="2" customFormat="1" ht="12.75" x14ac:dyDescent="0.2">
      <c r="R44356" s="1288"/>
    </row>
    <row r="44357" spans="18:18" s="2" customFormat="1" ht="12.75" x14ac:dyDescent="0.2">
      <c r="R44357" s="1288"/>
    </row>
    <row r="44358" spans="18:18" s="2" customFormat="1" ht="12.75" x14ac:dyDescent="0.2">
      <c r="R44358" s="1288"/>
    </row>
    <row r="44359" spans="18:18" s="2" customFormat="1" ht="12.75" x14ac:dyDescent="0.2">
      <c r="R44359" s="1288"/>
    </row>
    <row r="44360" spans="18:18" s="2" customFormat="1" ht="12.75" x14ac:dyDescent="0.2">
      <c r="R44360" s="1288"/>
    </row>
    <row r="44361" spans="18:18" s="2" customFormat="1" ht="12.75" x14ac:dyDescent="0.2">
      <c r="R44361" s="1288"/>
    </row>
    <row r="44362" spans="18:18" s="2" customFormat="1" ht="12.75" x14ac:dyDescent="0.2">
      <c r="R44362" s="1288"/>
    </row>
    <row r="44363" spans="18:18" s="2" customFormat="1" ht="12.75" x14ac:dyDescent="0.2">
      <c r="R44363" s="1288"/>
    </row>
    <row r="44364" spans="18:18" s="2" customFormat="1" ht="12.75" x14ac:dyDescent="0.2">
      <c r="R44364" s="1288"/>
    </row>
    <row r="44365" spans="18:18" s="2" customFormat="1" ht="12.75" x14ac:dyDescent="0.2">
      <c r="R44365" s="1288"/>
    </row>
    <row r="44366" spans="18:18" s="2" customFormat="1" ht="12.75" x14ac:dyDescent="0.2">
      <c r="R44366" s="1288"/>
    </row>
    <row r="44367" spans="18:18" s="2" customFormat="1" ht="12.75" x14ac:dyDescent="0.2">
      <c r="R44367" s="1288"/>
    </row>
    <row r="44368" spans="18:18" s="2" customFormat="1" ht="12.75" x14ac:dyDescent="0.2">
      <c r="R44368" s="1288"/>
    </row>
    <row r="44369" spans="18:18" s="2" customFormat="1" ht="12.75" x14ac:dyDescent="0.2">
      <c r="R44369" s="1288"/>
    </row>
    <row r="44370" spans="18:18" s="2" customFormat="1" ht="12.75" x14ac:dyDescent="0.2">
      <c r="R44370" s="1288"/>
    </row>
    <row r="44371" spans="18:18" s="2" customFormat="1" ht="12.75" x14ac:dyDescent="0.2">
      <c r="R44371" s="1288"/>
    </row>
    <row r="44372" spans="18:18" s="2" customFormat="1" ht="12.75" x14ac:dyDescent="0.2">
      <c r="R44372" s="1288"/>
    </row>
    <row r="44373" spans="18:18" s="2" customFormat="1" ht="12.75" x14ac:dyDescent="0.2">
      <c r="R44373" s="1288"/>
    </row>
    <row r="44374" spans="18:18" s="2" customFormat="1" ht="12.75" x14ac:dyDescent="0.2">
      <c r="R44374" s="1288"/>
    </row>
    <row r="44375" spans="18:18" s="2" customFormat="1" ht="12.75" x14ac:dyDescent="0.2">
      <c r="R44375" s="1288"/>
    </row>
    <row r="44376" spans="18:18" s="2" customFormat="1" ht="12.75" x14ac:dyDescent="0.2">
      <c r="R44376" s="1288"/>
    </row>
    <row r="44377" spans="18:18" s="2" customFormat="1" ht="12.75" x14ac:dyDescent="0.2">
      <c r="R44377" s="1288"/>
    </row>
    <row r="44378" spans="18:18" s="2" customFormat="1" ht="12.75" x14ac:dyDescent="0.2">
      <c r="R44378" s="1288"/>
    </row>
    <row r="44379" spans="18:18" s="2" customFormat="1" ht="12.75" x14ac:dyDescent="0.2">
      <c r="R44379" s="1288"/>
    </row>
    <row r="44380" spans="18:18" s="2" customFormat="1" ht="12.75" x14ac:dyDescent="0.2">
      <c r="R44380" s="1288"/>
    </row>
    <row r="44381" spans="18:18" s="2" customFormat="1" ht="12.75" x14ac:dyDescent="0.2">
      <c r="R44381" s="1288"/>
    </row>
    <row r="44382" spans="18:18" s="2" customFormat="1" ht="12.75" x14ac:dyDescent="0.2">
      <c r="R44382" s="1288"/>
    </row>
    <row r="44383" spans="18:18" s="2" customFormat="1" ht="12.75" x14ac:dyDescent="0.2">
      <c r="R44383" s="1288"/>
    </row>
    <row r="44384" spans="18:18" s="2" customFormat="1" ht="12.75" x14ac:dyDescent="0.2">
      <c r="R44384" s="1288"/>
    </row>
    <row r="44385" spans="18:18" s="2" customFormat="1" ht="12.75" x14ac:dyDescent="0.2">
      <c r="R44385" s="1288"/>
    </row>
    <row r="44386" spans="18:18" s="2" customFormat="1" ht="12.75" x14ac:dyDescent="0.2">
      <c r="R44386" s="1288"/>
    </row>
    <row r="44387" spans="18:18" s="2" customFormat="1" ht="12.75" x14ac:dyDescent="0.2">
      <c r="R44387" s="1288"/>
    </row>
    <row r="44388" spans="18:18" s="2" customFormat="1" ht="12.75" x14ac:dyDescent="0.2">
      <c r="R44388" s="1288"/>
    </row>
    <row r="44389" spans="18:18" s="2" customFormat="1" ht="12.75" x14ac:dyDescent="0.2">
      <c r="R44389" s="1288"/>
    </row>
    <row r="44390" spans="18:18" s="2" customFormat="1" ht="12.75" x14ac:dyDescent="0.2">
      <c r="R44390" s="1288"/>
    </row>
    <row r="44391" spans="18:18" s="2" customFormat="1" ht="12.75" x14ac:dyDescent="0.2">
      <c r="R44391" s="1288"/>
    </row>
    <row r="44392" spans="18:18" s="2" customFormat="1" ht="12.75" x14ac:dyDescent="0.2">
      <c r="R44392" s="1288"/>
    </row>
    <row r="44393" spans="18:18" s="2" customFormat="1" ht="12.75" x14ac:dyDescent="0.2">
      <c r="R44393" s="1288"/>
    </row>
    <row r="44394" spans="18:18" s="2" customFormat="1" ht="12.75" x14ac:dyDescent="0.2">
      <c r="R44394" s="1288"/>
    </row>
    <row r="44395" spans="18:18" s="2" customFormat="1" ht="12.75" x14ac:dyDescent="0.2">
      <c r="R44395" s="1288"/>
    </row>
    <row r="44396" spans="18:18" s="2" customFormat="1" ht="12.75" x14ac:dyDescent="0.2">
      <c r="R44396" s="1288"/>
    </row>
    <row r="44397" spans="18:18" s="2" customFormat="1" ht="12.75" x14ac:dyDescent="0.2">
      <c r="R44397" s="1288"/>
    </row>
    <row r="44398" spans="18:18" s="2" customFormat="1" ht="12.75" x14ac:dyDescent="0.2">
      <c r="R44398" s="1288"/>
    </row>
    <row r="44399" spans="18:18" s="2" customFormat="1" ht="12.75" x14ac:dyDescent="0.2">
      <c r="R44399" s="1288"/>
    </row>
    <row r="44400" spans="18:18" s="2" customFormat="1" ht="12.75" x14ac:dyDescent="0.2">
      <c r="R44400" s="1288"/>
    </row>
    <row r="44401" spans="18:18" s="2" customFormat="1" ht="12.75" x14ac:dyDescent="0.2">
      <c r="R44401" s="1288"/>
    </row>
    <row r="44402" spans="18:18" s="2" customFormat="1" ht="12.75" x14ac:dyDescent="0.2">
      <c r="R44402" s="1288"/>
    </row>
    <row r="44403" spans="18:18" s="2" customFormat="1" ht="12.75" x14ac:dyDescent="0.2">
      <c r="R44403" s="1288"/>
    </row>
    <row r="44404" spans="18:18" s="2" customFormat="1" ht="12.75" x14ac:dyDescent="0.2">
      <c r="R44404" s="1288"/>
    </row>
    <row r="44405" spans="18:18" s="2" customFormat="1" ht="12.75" x14ac:dyDescent="0.2">
      <c r="R44405" s="1288"/>
    </row>
    <row r="44406" spans="18:18" s="2" customFormat="1" ht="12.75" x14ac:dyDescent="0.2">
      <c r="R44406" s="1288"/>
    </row>
    <row r="44407" spans="18:18" s="2" customFormat="1" ht="12.75" x14ac:dyDescent="0.2">
      <c r="R44407" s="1288"/>
    </row>
    <row r="44408" spans="18:18" s="2" customFormat="1" ht="12.75" x14ac:dyDescent="0.2">
      <c r="R44408" s="1288"/>
    </row>
    <row r="44409" spans="18:18" s="2" customFormat="1" ht="12.75" x14ac:dyDescent="0.2">
      <c r="R44409" s="1288"/>
    </row>
    <row r="44410" spans="18:18" s="2" customFormat="1" ht="12.75" x14ac:dyDescent="0.2">
      <c r="R44410" s="1288"/>
    </row>
    <row r="44411" spans="18:18" s="2" customFormat="1" ht="12.75" x14ac:dyDescent="0.2">
      <c r="R44411" s="1288"/>
    </row>
    <row r="44412" spans="18:18" s="2" customFormat="1" ht="12.75" x14ac:dyDescent="0.2">
      <c r="R44412" s="1288"/>
    </row>
    <row r="44413" spans="18:18" s="2" customFormat="1" ht="12.75" x14ac:dyDescent="0.2">
      <c r="R44413" s="1288"/>
    </row>
    <row r="44414" spans="18:18" s="2" customFormat="1" ht="12.75" x14ac:dyDescent="0.2">
      <c r="R44414" s="1288"/>
    </row>
    <row r="44415" spans="18:18" s="2" customFormat="1" ht="12.75" x14ac:dyDescent="0.2">
      <c r="R44415" s="1288"/>
    </row>
    <row r="44416" spans="18:18" s="2" customFormat="1" ht="12.75" x14ac:dyDescent="0.2">
      <c r="R44416" s="1288"/>
    </row>
    <row r="44417" spans="18:18" s="2" customFormat="1" ht="12.75" x14ac:dyDescent="0.2">
      <c r="R44417" s="1288"/>
    </row>
    <row r="44418" spans="18:18" s="2" customFormat="1" ht="12.75" x14ac:dyDescent="0.2">
      <c r="R44418" s="1288"/>
    </row>
    <row r="44419" spans="18:18" s="2" customFormat="1" ht="12.75" x14ac:dyDescent="0.2">
      <c r="R44419" s="1288"/>
    </row>
    <row r="44420" spans="18:18" s="2" customFormat="1" ht="12.75" x14ac:dyDescent="0.2">
      <c r="R44420" s="1288"/>
    </row>
    <row r="44421" spans="18:18" s="2" customFormat="1" ht="12.75" x14ac:dyDescent="0.2">
      <c r="R44421" s="1288"/>
    </row>
    <row r="44422" spans="18:18" s="2" customFormat="1" ht="12.75" x14ac:dyDescent="0.2">
      <c r="R44422" s="1288"/>
    </row>
    <row r="44423" spans="18:18" s="2" customFormat="1" ht="12.75" x14ac:dyDescent="0.2">
      <c r="R44423" s="1288"/>
    </row>
    <row r="44424" spans="18:18" s="2" customFormat="1" ht="12.75" x14ac:dyDescent="0.2">
      <c r="R44424" s="1288"/>
    </row>
    <row r="44425" spans="18:18" s="2" customFormat="1" ht="12.75" x14ac:dyDescent="0.2">
      <c r="R44425" s="1288"/>
    </row>
    <row r="44426" spans="18:18" s="2" customFormat="1" ht="12.75" x14ac:dyDescent="0.2">
      <c r="R44426" s="1288"/>
    </row>
    <row r="44427" spans="18:18" s="2" customFormat="1" ht="12.75" x14ac:dyDescent="0.2">
      <c r="R44427" s="1288"/>
    </row>
    <row r="44428" spans="18:18" s="2" customFormat="1" ht="12.75" x14ac:dyDescent="0.2">
      <c r="R44428" s="1288"/>
    </row>
    <row r="44429" spans="18:18" s="2" customFormat="1" ht="12.75" x14ac:dyDescent="0.2">
      <c r="R44429" s="1288"/>
    </row>
    <row r="44430" spans="18:18" s="2" customFormat="1" ht="12.75" x14ac:dyDescent="0.2">
      <c r="R44430" s="1288"/>
    </row>
    <row r="44431" spans="18:18" s="2" customFormat="1" ht="12.75" x14ac:dyDescent="0.2">
      <c r="R44431" s="1288"/>
    </row>
    <row r="44432" spans="18:18" s="2" customFormat="1" ht="12.75" x14ac:dyDescent="0.2">
      <c r="R44432" s="1288"/>
    </row>
    <row r="44433" spans="18:18" s="2" customFormat="1" ht="12.75" x14ac:dyDescent="0.2">
      <c r="R44433" s="1288"/>
    </row>
    <row r="44434" spans="18:18" s="2" customFormat="1" ht="12.75" x14ac:dyDescent="0.2">
      <c r="R44434" s="1288"/>
    </row>
    <row r="44435" spans="18:18" s="2" customFormat="1" ht="12.75" x14ac:dyDescent="0.2">
      <c r="R44435" s="1288"/>
    </row>
    <row r="44436" spans="18:18" s="2" customFormat="1" ht="12.75" x14ac:dyDescent="0.2">
      <c r="R44436" s="1288"/>
    </row>
    <row r="44437" spans="18:18" s="2" customFormat="1" ht="12.75" x14ac:dyDescent="0.2">
      <c r="R44437" s="1288"/>
    </row>
    <row r="44438" spans="18:18" s="2" customFormat="1" ht="12.75" x14ac:dyDescent="0.2">
      <c r="R44438" s="1288"/>
    </row>
    <row r="44439" spans="18:18" s="2" customFormat="1" ht="12.75" x14ac:dyDescent="0.2">
      <c r="R44439" s="1288"/>
    </row>
    <row r="44440" spans="18:18" s="2" customFormat="1" ht="12.75" x14ac:dyDescent="0.2">
      <c r="R44440" s="1288"/>
    </row>
    <row r="44441" spans="18:18" s="2" customFormat="1" ht="12.75" x14ac:dyDescent="0.2">
      <c r="R44441" s="1288"/>
    </row>
    <row r="44442" spans="18:18" s="2" customFormat="1" ht="12.75" x14ac:dyDescent="0.2">
      <c r="R44442" s="1288"/>
    </row>
    <row r="44443" spans="18:18" s="2" customFormat="1" ht="12.75" x14ac:dyDescent="0.2">
      <c r="R44443" s="1288"/>
    </row>
    <row r="44444" spans="18:18" s="2" customFormat="1" ht="12.75" x14ac:dyDescent="0.2">
      <c r="R44444" s="1288"/>
    </row>
    <row r="44445" spans="18:18" s="2" customFormat="1" ht="12.75" x14ac:dyDescent="0.2">
      <c r="R44445" s="1288"/>
    </row>
    <row r="44446" spans="18:18" s="2" customFormat="1" ht="12.75" x14ac:dyDescent="0.2">
      <c r="R44446" s="1288"/>
    </row>
    <row r="44447" spans="18:18" s="2" customFormat="1" ht="12.75" x14ac:dyDescent="0.2">
      <c r="R44447" s="1288"/>
    </row>
    <row r="44448" spans="18:18" s="2" customFormat="1" ht="12.75" x14ac:dyDescent="0.2">
      <c r="R44448" s="1288"/>
    </row>
    <row r="44449" spans="18:18" s="2" customFormat="1" ht="12.75" x14ac:dyDescent="0.2">
      <c r="R44449" s="1288"/>
    </row>
    <row r="44450" spans="18:18" s="2" customFormat="1" ht="12.75" x14ac:dyDescent="0.2">
      <c r="R44450" s="1288"/>
    </row>
    <row r="44451" spans="18:18" s="2" customFormat="1" ht="12.75" x14ac:dyDescent="0.2">
      <c r="R44451" s="1288"/>
    </row>
    <row r="44452" spans="18:18" s="2" customFormat="1" ht="12.75" x14ac:dyDescent="0.2">
      <c r="R44452" s="1288"/>
    </row>
    <row r="44453" spans="18:18" s="2" customFormat="1" ht="12.75" x14ac:dyDescent="0.2">
      <c r="R44453" s="1288"/>
    </row>
    <row r="44454" spans="18:18" s="2" customFormat="1" ht="12.75" x14ac:dyDescent="0.2">
      <c r="R44454" s="1288"/>
    </row>
    <row r="44455" spans="18:18" s="2" customFormat="1" ht="12.75" x14ac:dyDescent="0.2">
      <c r="R44455" s="1288"/>
    </row>
    <row r="44456" spans="18:18" s="2" customFormat="1" ht="12.75" x14ac:dyDescent="0.2">
      <c r="R44456" s="1288"/>
    </row>
    <row r="44457" spans="18:18" s="2" customFormat="1" ht="12.75" x14ac:dyDescent="0.2">
      <c r="R44457" s="1288"/>
    </row>
    <row r="44458" spans="18:18" s="2" customFormat="1" ht="12.75" x14ac:dyDescent="0.2">
      <c r="R44458" s="1288"/>
    </row>
    <row r="44459" spans="18:18" s="2" customFormat="1" ht="12.75" x14ac:dyDescent="0.2">
      <c r="R44459" s="1288"/>
    </row>
    <row r="44460" spans="18:18" s="2" customFormat="1" ht="12.75" x14ac:dyDescent="0.2">
      <c r="R44460" s="1288"/>
    </row>
    <row r="44461" spans="18:18" s="2" customFormat="1" ht="12.75" x14ac:dyDescent="0.2">
      <c r="R44461" s="1288"/>
    </row>
    <row r="44462" spans="18:18" s="2" customFormat="1" ht="12.75" x14ac:dyDescent="0.2">
      <c r="R44462" s="1288"/>
    </row>
    <row r="44463" spans="18:18" s="2" customFormat="1" ht="12.75" x14ac:dyDescent="0.2">
      <c r="R44463" s="1288"/>
    </row>
    <row r="44464" spans="18:18" s="2" customFormat="1" ht="12.75" x14ac:dyDescent="0.2">
      <c r="R44464" s="1288"/>
    </row>
    <row r="44465" spans="18:18" s="2" customFormat="1" ht="12.75" x14ac:dyDescent="0.2">
      <c r="R44465" s="1288"/>
    </row>
    <row r="44466" spans="18:18" s="2" customFormat="1" ht="12.75" x14ac:dyDescent="0.2">
      <c r="R44466" s="1288"/>
    </row>
    <row r="44467" spans="18:18" s="2" customFormat="1" ht="12.75" x14ac:dyDescent="0.2">
      <c r="R44467" s="1288"/>
    </row>
    <row r="44468" spans="18:18" s="2" customFormat="1" ht="12.75" x14ac:dyDescent="0.2">
      <c r="R44468" s="1288"/>
    </row>
    <row r="44469" spans="18:18" s="2" customFormat="1" ht="12.75" x14ac:dyDescent="0.2">
      <c r="R44469" s="1288"/>
    </row>
    <row r="44470" spans="18:18" s="2" customFormat="1" ht="12.75" x14ac:dyDescent="0.2">
      <c r="R44470" s="1288"/>
    </row>
    <row r="44471" spans="18:18" s="2" customFormat="1" ht="12.75" x14ac:dyDescent="0.2">
      <c r="R44471" s="1288"/>
    </row>
    <row r="44472" spans="18:18" s="2" customFormat="1" ht="12.75" x14ac:dyDescent="0.2">
      <c r="R44472" s="1288"/>
    </row>
    <row r="44473" spans="18:18" s="2" customFormat="1" ht="12.75" x14ac:dyDescent="0.2">
      <c r="R44473" s="1288"/>
    </row>
    <row r="44474" spans="18:18" s="2" customFormat="1" ht="12.75" x14ac:dyDescent="0.2">
      <c r="R44474" s="1288"/>
    </row>
    <row r="44475" spans="18:18" s="2" customFormat="1" ht="12.75" x14ac:dyDescent="0.2">
      <c r="R44475" s="1288"/>
    </row>
    <row r="44476" spans="18:18" s="2" customFormat="1" ht="12.75" x14ac:dyDescent="0.2">
      <c r="R44476" s="1288"/>
    </row>
    <row r="44477" spans="18:18" s="2" customFormat="1" ht="12.75" x14ac:dyDescent="0.2">
      <c r="R44477" s="1288"/>
    </row>
    <row r="44478" spans="18:18" s="2" customFormat="1" ht="12.75" x14ac:dyDescent="0.2">
      <c r="R44478" s="1288"/>
    </row>
    <row r="44479" spans="18:18" s="2" customFormat="1" ht="12.75" x14ac:dyDescent="0.2">
      <c r="R44479" s="1288"/>
    </row>
    <row r="44480" spans="18:18" s="2" customFormat="1" ht="12.75" x14ac:dyDescent="0.2">
      <c r="R44480" s="1288"/>
    </row>
    <row r="44481" spans="18:18" s="2" customFormat="1" ht="12.75" x14ac:dyDescent="0.2">
      <c r="R44481" s="1288"/>
    </row>
    <row r="44482" spans="18:18" s="2" customFormat="1" ht="12.75" x14ac:dyDescent="0.2">
      <c r="R44482" s="1288"/>
    </row>
    <row r="44483" spans="18:18" s="2" customFormat="1" ht="12.75" x14ac:dyDescent="0.2">
      <c r="R44483" s="1288"/>
    </row>
    <row r="44484" spans="18:18" s="2" customFormat="1" ht="12.75" x14ac:dyDescent="0.2">
      <c r="R44484" s="1288"/>
    </row>
    <row r="44485" spans="18:18" s="2" customFormat="1" ht="12.75" x14ac:dyDescent="0.2">
      <c r="R44485" s="1288"/>
    </row>
    <row r="44486" spans="18:18" s="2" customFormat="1" ht="12.75" x14ac:dyDescent="0.2">
      <c r="R44486" s="1288"/>
    </row>
    <row r="44487" spans="18:18" s="2" customFormat="1" ht="12.75" x14ac:dyDescent="0.2">
      <c r="R44487" s="1288"/>
    </row>
    <row r="44488" spans="18:18" s="2" customFormat="1" ht="12.75" x14ac:dyDescent="0.2">
      <c r="R44488" s="1288"/>
    </row>
    <row r="44489" spans="18:18" s="2" customFormat="1" ht="12.75" x14ac:dyDescent="0.2">
      <c r="R44489" s="1288"/>
    </row>
    <row r="44490" spans="18:18" s="2" customFormat="1" ht="12.75" x14ac:dyDescent="0.2">
      <c r="R44490" s="1288"/>
    </row>
    <row r="44491" spans="18:18" s="2" customFormat="1" ht="12.75" x14ac:dyDescent="0.2">
      <c r="R44491" s="1288"/>
    </row>
    <row r="44492" spans="18:18" s="2" customFormat="1" ht="12.75" x14ac:dyDescent="0.2">
      <c r="R44492" s="1288"/>
    </row>
    <row r="44493" spans="18:18" s="2" customFormat="1" ht="12.75" x14ac:dyDescent="0.2">
      <c r="R44493" s="1288"/>
    </row>
    <row r="44494" spans="18:18" s="2" customFormat="1" ht="12.75" x14ac:dyDescent="0.2">
      <c r="R44494" s="1288"/>
    </row>
    <row r="44495" spans="18:18" s="2" customFormat="1" ht="12.75" x14ac:dyDescent="0.2">
      <c r="R44495" s="1288"/>
    </row>
    <row r="44496" spans="18:18" s="2" customFormat="1" ht="12.75" x14ac:dyDescent="0.2">
      <c r="R44496" s="1288"/>
    </row>
    <row r="44497" spans="18:18" s="2" customFormat="1" ht="12.75" x14ac:dyDescent="0.2">
      <c r="R44497" s="1288"/>
    </row>
    <row r="44498" spans="18:18" s="2" customFormat="1" ht="12.75" x14ac:dyDescent="0.2">
      <c r="R44498" s="1288"/>
    </row>
    <row r="44499" spans="18:18" s="2" customFormat="1" ht="12.75" x14ac:dyDescent="0.2">
      <c r="R44499" s="1288"/>
    </row>
    <row r="44500" spans="18:18" s="2" customFormat="1" ht="12.75" x14ac:dyDescent="0.2">
      <c r="R44500" s="1288"/>
    </row>
    <row r="44501" spans="18:18" s="2" customFormat="1" ht="12.75" x14ac:dyDescent="0.2">
      <c r="R44501" s="1288"/>
    </row>
    <row r="44502" spans="18:18" s="2" customFormat="1" ht="12.75" x14ac:dyDescent="0.2">
      <c r="R44502" s="1288"/>
    </row>
    <row r="44503" spans="18:18" s="2" customFormat="1" ht="12.75" x14ac:dyDescent="0.2">
      <c r="R44503" s="1288"/>
    </row>
    <row r="44504" spans="18:18" s="2" customFormat="1" ht="12.75" x14ac:dyDescent="0.2">
      <c r="R44504" s="1288"/>
    </row>
    <row r="44505" spans="18:18" s="2" customFormat="1" ht="12.75" x14ac:dyDescent="0.2">
      <c r="R44505" s="1288"/>
    </row>
    <row r="44506" spans="18:18" s="2" customFormat="1" ht="12.75" x14ac:dyDescent="0.2">
      <c r="R44506" s="1288"/>
    </row>
    <row r="44507" spans="18:18" s="2" customFormat="1" ht="12.75" x14ac:dyDescent="0.2">
      <c r="R44507" s="1288"/>
    </row>
    <row r="44508" spans="18:18" s="2" customFormat="1" ht="12.75" x14ac:dyDescent="0.2">
      <c r="R44508" s="1288"/>
    </row>
    <row r="44509" spans="18:18" s="2" customFormat="1" ht="12.75" x14ac:dyDescent="0.2">
      <c r="R44509" s="1288"/>
    </row>
    <row r="44510" spans="18:18" s="2" customFormat="1" ht="12.75" x14ac:dyDescent="0.2">
      <c r="R44510" s="1288"/>
    </row>
    <row r="44511" spans="18:18" s="2" customFormat="1" ht="12.75" x14ac:dyDescent="0.2">
      <c r="R44511" s="1288"/>
    </row>
    <row r="44512" spans="18:18" s="2" customFormat="1" ht="12.75" x14ac:dyDescent="0.2">
      <c r="R44512" s="1288"/>
    </row>
    <row r="44513" spans="18:18" s="2" customFormat="1" ht="12.75" x14ac:dyDescent="0.2">
      <c r="R44513" s="1288"/>
    </row>
    <row r="44514" spans="18:18" s="2" customFormat="1" ht="12.75" x14ac:dyDescent="0.2">
      <c r="R44514" s="1288"/>
    </row>
    <row r="44515" spans="18:18" s="2" customFormat="1" ht="12.75" x14ac:dyDescent="0.2">
      <c r="R44515" s="1288"/>
    </row>
    <row r="44516" spans="18:18" s="2" customFormat="1" ht="12.75" x14ac:dyDescent="0.2">
      <c r="R44516" s="1288"/>
    </row>
    <row r="44517" spans="18:18" s="2" customFormat="1" ht="12.75" x14ac:dyDescent="0.2">
      <c r="R44517" s="1288"/>
    </row>
    <row r="44518" spans="18:18" s="2" customFormat="1" ht="12.75" x14ac:dyDescent="0.2">
      <c r="R44518" s="1288"/>
    </row>
    <row r="44519" spans="18:18" s="2" customFormat="1" ht="12.75" x14ac:dyDescent="0.2">
      <c r="R44519" s="1288"/>
    </row>
    <row r="44520" spans="18:18" s="2" customFormat="1" ht="12.75" x14ac:dyDescent="0.2">
      <c r="R44520" s="1288"/>
    </row>
    <row r="44521" spans="18:18" s="2" customFormat="1" ht="12.75" x14ac:dyDescent="0.2">
      <c r="R44521" s="1288"/>
    </row>
    <row r="44522" spans="18:18" s="2" customFormat="1" ht="12.75" x14ac:dyDescent="0.2">
      <c r="R44522" s="1288"/>
    </row>
    <row r="44523" spans="18:18" s="2" customFormat="1" ht="12.75" x14ac:dyDescent="0.2">
      <c r="R44523" s="1288"/>
    </row>
    <row r="44524" spans="18:18" s="2" customFormat="1" ht="12.75" x14ac:dyDescent="0.2">
      <c r="R44524" s="1288"/>
    </row>
    <row r="44525" spans="18:18" s="2" customFormat="1" ht="12.75" x14ac:dyDescent="0.2">
      <c r="R44525" s="1288"/>
    </row>
    <row r="44526" spans="18:18" s="2" customFormat="1" ht="12.75" x14ac:dyDescent="0.2">
      <c r="R44526" s="1288"/>
    </row>
    <row r="44527" spans="18:18" s="2" customFormat="1" ht="12.75" x14ac:dyDescent="0.2">
      <c r="R44527" s="1288"/>
    </row>
    <row r="44528" spans="18:18" s="2" customFormat="1" ht="12.75" x14ac:dyDescent="0.2">
      <c r="R44528" s="1288"/>
    </row>
    <row r="44529" spans="18:18" s="2" customFormat="1" ht="12.75" x14ac:dyDescent="0.2">
      <c r="R44529" s="1288"/>
    </row>
    <row r="44530" spans="18:18" s="2" customFormat="1" ht="12.75" x14ac:dyDescent="0.2">
      <c r="R44530" s="1288"/>
    </row>
    <row r="44531" spans="18:18" s="2" customFormat="1" ht="12.75" x14ac:dyDescent="0.2">
      <c r="R44531" s="1288"/>
    </row>
    <row r="44532" spans="18:18" s="2" customFormat="1" ht="12.75" x14ac:dyDescent="0.2">
      <c r="R44532" s="1288"/>
    </row>
    <row r="44533" spans="18:18" s="2" customFormat="1" ht="12.75" x14ac:dyDescent="0.2">
      <c r="R44533" s="1288"/>
    </row>
    <row r="44534" spans="18:18" s="2" customFormat="1" ht="12.75" x14ac:dyDescent="0.2">
      <c r="R44534" s="1288"/>
    </row>
    <row r="44535" spans="18:18" s="2" customFormat="1" ht="12.75" x14ac:dyDescent="0.2">
      <c r="R44535" s="1288"/>
    </row>
    <row r="44536" spans="18:18" s="2" customFormat="1" ht="12.75" x14ac:dyDescent="0.2">
      <c r="R44536" s="1288"/>
    </row>
    <row r="44537" spans="18:18" s="2" customFormat="1" ht="12.75" x14ac:dyDescent="0.2">
      <c r="R44537" s="1288"/>
    </row>
    <row r="44538" spans="18:18" s="2" customFormat="1" ht="12.75" x14ac:dyDescent="0.2">
      <c r="R44538" s="1288"/>
    </row>
    <row r="44539" spans="18:18" s="2" customFormat="1" ht="12.75" x14ac:dyDescent="0.2">
      <c r="R44539" s="1288"/>
    </row>
    <row r="44540" spans="18:18" s="2" customFormat="1" ht="12.75" x14ac:dyDescent="0.2">
      <c r="R44540" s="1288"/>
    </row>
    <row r="44541" spans="18:18" s="2" customFormat="1" ht="12.75" x14ac:dyDescent="0.2">
      <c r="R44541" s="1288"/>
    </row>
    <row r="44542" spans="18:18" s="2" customFormat="1" ht="12.75" x14ac:dyDescent="0.2">
      <c r="R44542" s="1288"/>
    </row>
    <row r="44543" spans="18:18" s="2" customFormat="1" ht="12.75" x14ac:dyDescent="0.2">
      <c r="R44543" s="1288"/>
    </row>
    <row r="44544" spans="18:18" s="2" customFormat="1" ht="12.75" x14ac:dyDescent="0.2">
      <c r="R44544" s="1288"/>
    </row>
    <row r="44545" spans="18:18" s="2" customFormat="1" ht="12.75" x14ac:dyDescent="0.2">
      <c r="R44545" s="1288"/>
    </row>
    <row r="44546" spans="18:18" s="2" customFormat="1" ht="12.75" x14ac:dyDescent="0.2">
      <c r="R44546" s="1288"/>
    </row>
    <row r="44547" spans="18:18" s="2" customFormat="1" ht="12.75" x14ac:dyDescent="0.2">
      <c r="R44547" s="1288"/>
    </row>
    <row r="44548" spans="18:18" s="2" customFormat="1" ht="12.75" x14ac:dyDescent="0.2">
      <c r="R44548" s="1288"/>
    </row>
    <row r="44549" spans="18:18" s="2" customFormat="1" ht="12.75" x14ac:dyDescent="0.2">
      <c r="R44549" s="1288"/>
    </row>
    <row r="44550" spans="18:18" s="2" customFormat="1" ht="12.75" x14ac:dyDescent="0.2">
      <c r="R44550" s="1288"/>
    </row>
    <row r="44551" spans="18:18" s="2" customFormat="1" ht="12.75" x14ac:dyDescent="0.2">
      <c r="R44551" s="1288"/>
    </row>
    <row r="44552" spans="18:18" s="2" customFormat="1" ht="12.75" x14ac:dyDescent="0.2">
      <c r="R44552" s="1288"/>
    </row>
    <row r="44553" spans="18:18" s="2" customFormat="1" ht="12.75" x14ac:dyDescent="0.2">
      <c r="R44553" s="1288"/>
    </row>
    <row r="44554" spans="18:18" s="2" customFormat="1" ht="12.75" x14ac:dyDescent="0.2">
      <c r="R44554" s="1288"/>
    </row>
    <row r="44555" spans="18:18" s="2" customFormat="1" ht="12.75" x14ac:dyDescent="0.2">
      <c r="R44555" s="1288"/>
    </row>
    <row r="44556" spans="18:18" s="2" customFormat="1" ht="12.75" x14ac:dyDescent="0.2">
      <c r="R44556" s="1288"/>
    </row>
    <row r="44557" spans="18:18" s="2" customFormat="1" ht="12.75" x14ac:dyDescent="0.2">
      <c r="R44557" s="1288"/>
    </row>
    <row r="44558" spans="18:18" s="2" customFormat="1" ht="12.75" x14ac:dyDescent="0.2">
      <c r="R44558" s="1288"/>
    </row>
    <row r="44559" spans="18:18" s="2" customFormat="1" ht="12.75" x14ac:dyDescent="0.2">
      <c r="R44559" s="1288"/>
    </row>
    <row r="44560" spans="18:18" s="2" customFormat="1" ht="12.75" x14ac:dyDescent="0.2">
      <c r="R44560" s="1288"/>
    </row>
    <row r="44561" spans="18:18" s="2" customFormat="1" ht="12.75" x14ac:dyDescent="0.2">
      <c r="R44561" s="1288"/>
    </row>
    <row r="44562" spans="18:18" s="2" customFormat="1" ht="12.75" x14ac:dyDescent="0.2">
      <c r="R44562" s="1288"/>
    </row>
    <row r="44563" spans="18:18" s="2" customFormat="1" ht="12.75" x14ac:dyDescent="0.2">
      <c r="R44563" s="1288"/>
    </row>
    <row r="44564" spans="18:18" s="2" customFormat="1" ht="12.75" x14ac:dyDescent="0.2">
      <c r="R44564" s="1288"/>
    </row>
    <row r="44565" spans="18:18" s="2" customFormat="1" ht="12.75" x14ac:dyDescent="0.2">
      <c r="R44565" s="1288"/>
    </row>
    <row r="44566" spans="18:18" s="2" customFormat="1" ht="12.75" x14ac:dyDescent="0.2">
      <c r="R44566" s="1288"/>
    </row>
    <row r="44567" spans="18:18" s="2" customFormat="1" ht="12.75" x14ac:dyDescent="0.2">
      <c r="R44567" s="1288"/>
    </row>
    <row r="44568" spans="18:18" s="2" customFormat="1" ht="12.75" x14ac:dyDescent="0.2">
      <c r="R44568" s="1288"/>
    </row>
    <row r="44569" spans="18:18" s="2" customFormat="1" ht="12.75" x14ac:dyDescent="0.2">
      <c r="R44569" s="1288"/>
    </row>
    <row r="44570" spans="18:18" s="2" customFormat="1" ht="12.75" x14ac:dyDescent="0.2">
      <c r="R44570" s="1288"/>
    </row>
    <row r="44571" spans="18:18" s="2" customFormat="1" ht="12.75" x14ac:dyDescent="0.2">
      <c r="R44571" s="1288"/>
    </row>
    <row r="44572" spans="18:18" s="2" customFormat="1" ht="12.75" x14ac:dyDescent="0.2">
      <c r="R44572" s="1288"/>
    </row>
    <row r="44573" spans="18:18" s="2" customFormat="1" ht="12.75" x14ac:dyDescent="0.2">
      <c r="R44573" s="1288"/>
    </row>
    <row r="44574" spans="18:18" s="2" customFormat="1" ht="12.75" x14ac:dyDescent="0.2">
      <c r="R44574" s="1288"/>
    </row>
    <row r="44575" spans="18:18" s="2" customFormat="1" ht="12.75" x14ac:dyDescent="0.2">
      <c r="R44575" s="1288"/>
    </row>
    <row r="44576" spans="18:18" s="2" customFormat="1" ht="12.75" x14ac:dyDescent="0.2">
      <c r="R44576" s="1288"/>
    </row>
    <row r="44577" spans="18:18" s="2" customFormat="1" ht="12.75" x14ac:dyDescent="0.2">
      <c r="R44577" s="1288"/>
    </row>
    <row r="44578" spans="18:18" s="2" customFormat="1" ht="12.75" x14ac:dyDescent="0.2">
      <c r="R44578" s="1288"/>
    </row>
    <row r="44579" spans="18:18" s="2" customFormat="1" ht="12.75" x14ac:dyDescent="0.2">
      <c r="R44579" s="1288"/>
    </row>
    <row r="44580" spans="18:18" s="2" customFormat="1" ht="12.75" x14ac:dyDescent="0.2">
      <c r="R44580" s="1288"/>
    </row>
    <row r="44581" spans="18:18" s="2" customFormat="1" ht="12.75" x14ac:dyDescent="0.2">
      <c r="R44581" s="1288"/>
    </row>
    <row r="44582" spans="18:18" s="2" customFormat="1" ht="12.75" x14ac:dyDescent="0.2">
      <c r="R44582" s="1288"/>
    </row>
    <row r="44583" spans="18:18" s="2" customFormat="1" ht="12.75" x14ac:dyDescent="0.2">
      <c r="R44583" s="1288"/>
    </row>
    <row r="44584" spans="18:18" s="2" customFormat="1" ht="12.75" x14ac:dyDescent="0.2">
      <c r="R44584" s="1288"/>
    </row>
    <row r="44585" spans="18:18" s="2" customFormat="1" ht="12.75" x14ac:dyDescent="0.2">
      <c r="R44585" s="1288"/>
    </row>
    <row r="44586" spans="18:18" s="2" customFormat="1" ht="12.75" x14ac:dyDescent="0.2">
      <c r="R44586" s="1288"/>
    </row>
    <row r="44587" spans="18:18" s="2" customFormat="1" ht="12.75" x14ac:dyDescent="0.2">
      <c r="R44587" s="1288"/>
    </row>
    <row r="44588" spans="18:18" s="2" customFormat="1" ht="12.75" x14ac:dyDescent="0.2">
      <c r="R44588" s="1288"/>
    </row>
    <row r="44589" spans="18:18" s="2" customFormat="1" ht="12.75" x14ac:dyDescent="0.2">
      <c r="R44589" s="1288"/>
    </row>
    <row r="44590" spans="18:18" s="2" customFormat="1" ht="12.75" x14ac:dyDescent="0.2">
      <c r="R44590" s="1288"/>
    </row>
    <row r="44591" spans="18:18" s="2" customFormat="1" ht="12.75" x14ac:dyDescent="0.2">
      <c r="R44591" s="1288"/>
    </row>
    <row r="44592" spans="18:18" s="2" customFormat="1" ht="12.75" x14ac:dyDescent="0.2">
      <c r="R44592" s="1288"/>
    </row>
    <row r="44593" spans="18:18" s="2" customFormat="1" ht="12.75" x14ac:dyDescent="0.2">
      <c r="R44593" s="1288"/>
    </row>
    <row r="44594" spans="18:18" s="2" customFormat="1" ht="12.75" x14ac:dyDescent="0.2">
      <c r="R44594" s="1288"/>
    </row>
    <row r="44595" spans="18:18" s="2" customFormat="1" ht="12.75" x14ac:dyDescent="0.2">
      <c r="R44595" s="1288"/>
    </row>
    <row r="44596" spans="18:18" s="2" customFormat="1" ht="12.75" x14ac:dyDescent="0.2">
      <c r="R44596" s="1288"/>
    </row>
    <row r="44597" spans="18:18" s="2" customFormat="1" ht="12.75" x14ac:dyDescent="0.2">
      <c r="R44597" s="1288"/>
    </row>
    <row r="44598" spans="18:18" s="2" customFormat="1" ht="12.75" x14ac:dyDescent="0.2">
      <c r="R44598" s="1288"/>
    </row>
    <row r="44599" spans="18:18" s="2" customFormat="1" ht="12.75" x14ac:dyDescent="0.2">
      <c r="R44599" s="1288"/>
    </row>
    <row r="44600" spans="18:18" s="2" customFormat="1" ht="12.75" x14ac:dyDescent="0.2">
      <c r="R44600" s="1288"/>
    </row>
    <row r="44601" spans="18:18" s="2" customFormat="1" ht="12.75" x14ac:dyDescent="0.2">
      <c r="R44601" s="1288"/>
    </row>
    <row r="44602" spans="18:18" s="2" customFormat="1" ht="12.75" x14ac:dyDescent="0.2">
      <c r="R44602" s="1288"/>
    </row>
    <row r="44603" spans="18:18" s="2" customFormat="1" ht="12.75" x14ac:dyDescent="0.2">
      <c r="R44603" s="1288"/>
    </row>
    <row r="44604" spans="18:18" s="2" customFormat="1" ht="12.75" x14ac:dyDescent="0.2">
      <c r="R44604" s="1288"/>
    </row>
    <row r="44605" spans="18:18" s="2" customFormat="1" ht="12.75" x14ac:dyDescent="0.2">
      <c r="R44605" s="1288"/>
    </row>
    <row r="44606" spans="18:18" s="2" customFormat="1" ht="12.75" x14ac:dyDescent="0.2">
      <c r="R44606" s="1288"/>
    </row>
    <row r="44607" spans="18:18" s="2" customFormat="1" ht="12.75" x14ac:dyDescent="0.2">
      <c r="R44607" s="1288"/>
    </row>
    <row r="44608" spans="18:18" s="2" customFormat="1" ht="12.75" x14ac:dyDescent="0.2">
      <c r="R44608" s="1288"/>
    </row>
    <row r="44609" spans="18:18" s="2" customFormat="1" ht="12.75" x14ac:dyDescent="0.2">
      <c r="R44609" s="1288"/>
    </row>
    <row r="44610" spans="18:18" s="2" customFormat="1" ht="12.75" x14ac:dyDescent="0.2">
      <c r="R44610" s="1288"/>
    </row>
    <row r="44611" spans="18:18" s="2" customFormat="1" ht="12.75" x14ac:dyDescent="0.2">
      <c r="R44611" s="1288"/>
    </row>
    <row r="44612" spans="18:18" s="2" customFormat="1" ht="12.75" x14ac:dyDescent="0.2">
      <c r="R44612" s="1288"/>
    </row>
    <row r="44613" spans="18:18" s="2" customFormat="1" ht="12.75" x14ac:dyDescent="0.2">
      <c r="R44613" s="1288"/>
    </row>
    <row r="44614" spans="18:18" s="2" customFormat="1" ht="12.75" x14ac:dyDescent="0.2">
      <c r="R44614" s="1288"/>
    </row>
    <row r="44615" spans="18:18" s="2" customFormat="1" ht="12.75" x14ac:dyDescent="0.2">
      <c r="R44615" s="1288"/>
    </row>
    <row r="44616" spans="18:18" s="2" customFormat="1" ht="12.75" x14ac:dyDescent="0.2">
      <c r="R44616" s="1288"/>
    </row>
    <row r="44617" spans="18:18" s="2" customFormat="1" ht="12.75" x14ac:dyDescent="0.2">
      <c r="R44617" s="1288"/>
    </row>
    <row r="44618" spans="18:18" s="2" customFormat="1" ht="12.75" x14ac:dyDescent="0.2">
      <c r="R44618" s="1288"/>
    </row>
    <row r="44619" spans="18:18" s="2" customFormat="1" ht="12.75" x14ac:dyDescent="0.2">
      <c r="R44619" s="1288"/>
    </row>
    <row r="44620" spans="18:18" s="2" customFormat="1" ht="12.75" x14ac:dyDescent="0.2">
      <c r="R44620" s="1288"/>
    </row>
    <row r="44621" spans="18:18" s="2" customFormat="1" ht="12.75" x14ac:dyDescent="0.2">
      <c r="R44621" s="1288"/>
    </row>
    <row r="44622" spans="18:18" s="2" customFormat="1" ht="12.75" x14ac:dyDescent="0.2">
      <c r="R44622" s="1288"/>
    </row>
    <row r="44623" spans="18:18" s="2" customFormat="1" ht="12.75" x14ac:dyDescent="0.2">
      <c r="R44623" s="1288"/>
    </row>
    <row r="44624" spans="18:18" s="2" customFormat="1" ht="12.75" x14ac:dyDescent="0.2">
      <c r="R44624" s="1288"/>
    </row>
    <row r="44625" spans="18:18" s="2" customFormat="1" ht="12.75" x14ac:dyDescent="0.2">
      <c r="R44625" s="1288"/>
    </row>
    <row r="44626" spans="18:18" s="2" customFormat="1" ht="12.75" x14ac:dyDescent="0.2">
      <c r="R44626" s="1288"/>
    </row>
    <row r="44627" spans="18:18" s="2" customFormat="1" ht="12.75" x14ac:dyDescent="0.2">
      <c r="R44627" s="1288"/>
    </row>
    <row r="44628" spans="18:18" s="2" customFormat="1" ht="12.75" x14ac:dyDescent="0.2">
      <c r="R44628" s="1288"/>
    </row>
    <row r="44629" spans="18:18" s="2" customFormat="1" ht="12.75" x14ac:dyDescent="0.2">
      <c r="R44629" s="1288"/>
    </row>
    <row r="44630" spans="18:18" s="2" customFormat="1" ht="12.75" x14ac:dyDescent="0.2">
      <c r="R44630" s="1288"/>
    </row>
    <row r="44631" spans="18:18" s="2" customFormat="1" ht="12.75" x14ac:dyDescent="0.2">
      <c r="R44631" s="1288"/>
    </row>
    <row r="44632" spans="18:18" s="2" customFormat="1" ht="12.75" x14ac:dyDescent="0.2">
      <c r="R44632" s="1288"/>
    </row>
    <row r="44633" spans="18:18" s="2" customFormat="1" ht="12.75" x14ac:dyDescent="0.2">
      <c r="R44633" s="1288"/>
    </row>
    <row r="44634" spans="18:18" s="2" customFormat="1" ht="12.75" x14ac:dyDescent="0.2">
      <c r="R44634" s="1288"/>
    </row>
    <row r="44635" spans="18:18" s="2" customFormat="1" ht="12.75" x14ac:dyDescent="0.2">
      <c r="R44635" s="1288"/>
    </row>
    <row r="44636" spans="18:18" s="2" customFormat="1" ht="12.75" x14ac:dyDescent="0.2">
      <c r="R44636" s="1288"/>
    </row>
    <row r="44637" spans="18:18" s="2" customFormat="1" ht="12.75" x14ac:dyDescent="0.2">
      <c r="R44637" s="1288"/>
    </row>
    <row r="44638" spans="18:18" s="2" customFormat="1" ht="12.75" x14ac:dyDescent="0.2">
      <c r="R44638" s="1288"/>
    </row>
    <row r="44639" spans="18:18" s="2" customFormat="1" ht="12.75" x14ac:dyDescent="0.2">
      <c r="R44639" s="1288"/>
    </row>
    <row r="44640" spans="18:18" s="2" customFormat="1" ht="12.75" x14ac:dyDescent="0.2">
      <c r="R44640" s="1288"/>
    </row>
    <row r="44641" spans="18:18" s="2" customFormat="1" ht="12.75" x14ac:dyDescent="0.2">
      <c r="R44641" s="1288"/>
    </row>
    <row r="44642" spans="18:18" s="2" customFormat="1" ht="12.75" x14ac:dyDescent="0.2">
      <c r="R44642" s="1288"/>
    </row>
    <row r="44643" spans="18:18" s="2" customFormat="1" ht="12.75" x14ac:dyDescent="0.2">
      <c r="R44643" s="1288"/>
    </row>
    <row r="44644" spans="18:18" s="2" customFormat="1" ht="12.75" x14ac:dyDescent="0.2">
      <c r="R44644" s="1288"/>
    </row>
    <row r="44645" spans="18:18" s="2" customFormat="1" ht="12.75" x14ac:dyDescent="0.2">
      <c r="R44645" s="1288"/>
    </row>
    <row r="44646" spans="18:18" s="2" customFormat="1" ht="12.75" x14ac:dyDescent="0.2">
      <c r="R44646" s="1288"/>
    </row>
    <row r="44647" spans="18:18" s="2" customFormat="1" ht="12.75" x14ac:dyDescent="0.2">
      <c r="R44647" s="1288"/>
    </row>
    <row r="44648" spans="18:18" s="2" customFormat="1" ht="12.75" x14ac:dyDescent="0.2">
      <c r="R44648" s="1288"/>
    </row>
    <row r="44649" spans="18:18" s="2" customFormat="1" ht="12.75" x14ac:dyDescent="0.2">
      <c r="R44649" s="1288"/>
    </row>
    <row r="44650" spans="18:18" s="2" customFormat="1" ht="12.75" x14ac:dyDescent="0.2">
      <c r="R44650" s="1288"/>
    </row>
    <row r="44651" spans="18:18" s="2" customFormat="1" ht="12.75" x14ac:dyDescent="0.2">
      <c r="R44651" s="1288"/>
    </row>
    <row r="44652" spans="18:18" s="2" customFormat="1" ht="12.75" x14ac:dyDescent="0.2">
      <c r="R44652" s="1288"/>
    </row>
    <row r="44653" spans="18:18" s="2" customFormat="1" ht="12.75" x14ac:dyDescent="0.2">
      <c r="R44653" s="1288"/>
    </row>
    <row r="44654" spans="18:18" s="2" customFormat="1" ht="12.75" x14ac:dyDescent="0.2">
      <c r="R44654" s="1288"/>
    </row>
    <row r="44655" spans="18:18" s="2" customFormat="1" ht="12.75" x14ac:dyDescent="0.2">
      <c r="R44655" s="1288"/>
    </row>
    <row r="44656" spans="18:18" s="2" customFormat="1" ht="12.75" x14ac:dyDescent="0.2">
      <c r="R44656" s="1288"/>
    </row>
    <row r="44657" spans="18:18" s="2" customFormat="1" ht="12.75" x14ac:dyDescent="0.2">
      <c r="R44657" s="1288"/>
    </row>
    <row r="44658" spans="18:18" s="2" customFormat="1" ht="12.75" x14ac:dyDescent="0.2">
      <c r="R44658" s="1288"/>
    </row>
    <row r="44659" spans="18:18" s="2" customFormat="1" ht="12.75" x14ac:dyDescent="0.2">
      <c r="R44659" s="1288"/>
    </row>
    <row r="44660" spans="18:18" s="2" customFormat="1" ht="12.75" x14ac:dyDescent="0.2">
      <c r="R44660" s="1288"/>
    </row>
    <row r="44661" spans="18:18" s="2" customFormat="1" ht="12.75" x14ac:dyDescent="0.2">
      <c r="R44661" s="1288"/>
    </row>
    <row r="44662" spans="18:18" s="2" customFormat="1" ht="12.75" x14ac:dyDescent="0.2">
      <c r="R44662" s="1288"/>
    </row>
    <row r="44663" spans="18:18" s="2" customFormat="1" ht="12.75" x14ac:dyDescent="0.2">
      <c r="R44663" s="1288"/>
    </row>
    <row r="44664" spans="18:18" s="2" customFormat="1" ht="12.75" x14ac:dyDescent="0.2">
      <c r="R44664" s="1288"/>
    </row>
    <row r="44665" spans="18:18" s="2" customFormat="1" ht="12.75" x14ac:dyDescent="0.2">
      <c r="R44665" s="1288"/>
    </row>
    <row r="44666" spans="18:18" s="2" customFormat="1" ht="12.75" x14ac:dyDescent="0.2">
      <c r="R44666" s="1288"/>
    </row>
    <row r="44667" spans="18:18" s="2" customFormat="1" ht="12.75" x14ac:dyDescent="0.2">
      <c r="R44667" s="1288"/>
    </row>
    <row r="44668" spans="18:18" s="2" customFormat="1" ht="12.75" x14ac:dyDescent="0.2">
      <c r="R44668" s="1288"/>
    </row>
    <row r="44669" spans="18:18" s="2" customFormat="1" ht="12.75" x14ac:dyDescent="0.2">
      <c r="R44669" s="1288"/>
    </row>
    <row r="44670" spans="18:18" s="2" customFormat="1" ht="12.75" x14ac:dyDescent="0.2">
      <c r="R44670" s="1288"/>
    </row>
    <row r="44671" spans="18:18" s="2" customFormat="1" ht="12.75" x14ac:dyDescent="0.2">
      <c r="R44671" s="1288"/>
    </row>
    <row r="44672" spans="18:18" s="2" customFormat="1" ht="12.75" x14ac:dyDescent="0.2">
      <c r="R44672" s="1288"/>
    </row>
    <row r="44673" spans="18:18" s="2" customFormat="1" ht="12.75" x14ac:dyDescent="0.2">
      <c r="R44673" s="1288"/>
    </row>
    <row r="44674" spans="18:18" s="2" customFormat="1" ht="12.75" x14ac:dyDescent="0.2">
      <c r="R44674" s="1288"/>
    </row>
    <row r="44675" spans="18:18" s="2" customFormat="1" ht="12.75" x14ac:dyDescent="0.2">
      <c r="R44675" s="1288"/>
    </row>
    <row r="44676" spans="18:18" s="2" customFormat="1" ht="12.75" x14ac:dyDescent="0.2">
      <c r="R44676" s="1288"/>
    </row>
    <row r="44677" spans="18:18" s="2" customFormat="1" ht="12.75" x14ac:dyDescent="0.2">
      <c r="R44677" s="1288"/>
    </row>
    <row r="44678" spans="18:18" s="2" customFormat="1" ht="12.75" x14ac:dyDescent="0.2">
      <c r="R44678" s="1288"/>
    </row>
    <row r="44679" spans="18:18" s="2" customFormat="1" ht="12.75" x14ac:dyDescent="0.2">
      <c r="R44679" s="1288"/>
    </row>
    <row r="44680" spans="18:18" s="2" customFormat="1" ht="12.75" x14ac:dyDescent="0.2">
      <c r="R44680" s="1288"/>
    </row>
    <row r="44681" spans="18:18" s="2" customFormat="1" ht="12.75" x14ac:dyDescent="0.2">
      <c r="R44681" s="1288"/>
    </row>
    <row r="44682" spans="18:18" s="2" customFormat="1" ht="12.75" x14ac:dyDescent="0.2">
      <c r="R44682" s="1288"/>
    </row>
    <row r="44683" spans="18:18" s="2" customFormat="1" ht="12.75" x14ac:dyDescent="0.2">
      <c r="R44683" s="1288"/>
    </row>
    <row r="44684" spans="18:18" s="2" customFormat="1" ht="12.75" x14ac:dyDescent="0.2">
      <c r="R44684" s="1288"/>
    </row>
    <row r="44685" spans="18:18" s="2" customFormat="1" ht="12.75" x14ac:dyDescent="0.2">
      <c r="R44685" s="1288"/>
    </row>
    <row r="44686" spans="18:18" s="2" customFormat="1" ht="12.75" x14ac:dyDescent="0.2">
      <c r="R44686" s="1288"/>
    </row>
    <row r="44687" spans="18:18" s="2" customFormat="1" ht="12.75" x14ac:dyDescent="0.2">
      <c r="R44687" s="1288"/>
    </row>
    <row r="44688" spans="18:18" s="2" customFormat="1" ht="12.75" x14ac:dyDescent="0.2">
      <c r="R44688" s="1288"/>
    </row>
    <row r="44689" spans="18:18" s="2" customFormat="1" ht="12.75" x14ac:dyDescent="0.2">
      <c r="R44689" s="1288"/>
    </row>
    <row r="44690" spans="18:18" s="2" customFormat="1" ht="12.75" x14ac:dyDescent="0.2">
      <c r="R44690" s="1288"/>
    </row>
    <row r="44691" spans="18:18" s="2" customFormat="1" ht="12.75" x14ac:dyDescent="0.2">
      <c r="R44691" s="1288"/>
    </row>
    <row r="44692" spans="18:18" s="2" customFormat="1" ht="12.75" x14ac:dyDescent="0.2">
      <c r="R44692" s="1288"/>
    </row>
    <row r="44693" spans="18:18" s="2" customFormat="1" ht="12.75" x14ac:dyDescent="0.2">
      <c r="R44693" s="1288"/>
    </row>
    <row r="44694" spans="18:18" s="2" customFormat="1" ht="12.75" x14ac:dyDescent="0.2">
      <c r="R44694" s="1288"/>
    </row>
    <row r="44695" spans="18:18" s="2" customFormat="1" ht="12.75" x14ac:dyDescent="0.2">
      <c r="R44695" s="1288"/>
    </row>
    <row r="44696" spans="18:18" s="2" customFormat="1" ht="12.75" x14ac:dyDescent="0.2">
      <c r="R44696" s="1288"/>
    </row>
    <row r="44697" spans="18:18" s="2" customFormat="1" ht="12.75" x14ac:dyDescent="0.2">
      <c r="R44697" s="1288"/>
    </row>
    <row r="44698" spans="18:18" s="2" customFormat="1" ht="12.75" x14ac:dyDescent="0.2">
      <c r="R44698" s="1288"/>
    </row>
    <row r="44699" spans="18:18" s="2" customFormat="1" ht="12.75" x14ac:dyDescent="0.2">
      <c r="R44699" s="1288"/>
    </row>
    <row r="44700" spans="18:18" s="2" customFormat="1" ht="12.75" x14ac:dyDescent="0.2">
      <c r="R44700" s="1288"/>
    </row>
    <row r="44701" spans="18:18" s="2" customFormat="1" ht="12.75" x14ac:dyDescent="0.2">
      <c r="R44701" s="1288"/>
    </row>
    <row r="44702" spans="18:18" s="2" customFormat="1" ht="12.75" x14ac:dyDescent="0.2">
      <c r="R44702" s="1288"/>
    </row>
    <row r="44703" spans="18:18" s="2" customFormat="1" ht="12.75" x14ac:dyDescent="0.2">
      <c r="R44703" s="1288"/>
    </row>
    <row r="44704" spans="18:18" s="2" customFormat="1" ht="12.75" x14ac:dyDescent="0.2">
      <c r="R44704" s="1288"/>
    </row>
    <row r="44705" spans="18:18" s="2" customFormat="1" ht="12.75" x14ac:dyDescent="0.2">
      <c r="R44705" s="1288"/>
    </row>
    <row r="44706" spans="18:18" s="2" customFormat="1" ht="12.75" x14ac:dyDescent="0.2">
      <c r="R44706" s="1288"/>
    </row>
    <row r="44707" spans="18:18" s="2" customFormat="1" ht="12.75" x14ac:dyDescent="0.2">
      <c r="R44707" s="1288"/>
    </row>
    <row r="44708" spans="18:18" s="2" customFormat="1" ht="12.75" x14ac:dyDescent="0.2">
      <c r="R44708" s="1288"/>
    </row>
    <row r="44709" spans="18:18" s="2" customFormat="1" ht="12.75" x14ac:dyDescent="0.2">
      <c r="R44709" s="1288"/>
    </row>
    <row r="44710" spans="18:18" s="2" customFormat="1" ht="12.75" x14ac:dyDescent="0.2">
      <c r="R44710" s="1288"/>
    </row>
    <row r="44711" spans="18:18" s="2" customFormat="1" ht="12.75" x14ac:dyDescent="0.2">
      <c r="R44711" s="1288"/>
    </row>
    <row r="44712" spans="18:18" s="2" customFormat="1" ht="12.75" x14ac:dyDescent="0.2">
      <c r="R44712" s="1288"/>
    </row>
    <row r="44713" spans="18:18" s="2" customFormat="1" ht="12.75" x14ac:dyDescent="0.2">
      <c r="R44713" s="1288"/>
    </row>
    <row r="44714" spans="18:18" s="2" customFormat="1" ht="12.75" x14ac:dyDescent="0.2">
      <c r="R44714" s="1288"/>
    </row>
    <row r="44715" spans="18:18" s="2" customFormat="1" ht="12.75" x14ac:dyDescent="0.2">
      <c r="R44715" s="1288"/>
    </row>
    <row r="44716" spans="18:18" s="2" customFormat="1" ht="12.75" x14ac:dyDescent="0.2">
      <c r="R44716" s="1288"/>
    </row>
    <row r="44717" spans="18:18" s="2" customFormat="1" ht="12.75" x14ac:dyDescent="0.2">
      <c r="R44717" s="1288"/>
    </row>
    <row r="44718" spans="18:18" s="2" customFormat="1" ht="12.75" x14ac:dyDescent="0.2">
      <c r="R44718" s="1288"/>
    </row>
    <row r="44719" spans="18:18" s="2" customFormat="1" ht="12.75" x14ac:dyDescent="0.2">
      <c r="R44719" s="1288"/>
    </row>
    <row r="44720" spans="18:18" s="2" customFormat="1" ht="12.75" x14ac:dyDescent="0.2">
      <c r="R44720" s="1288"/>
    </row>
    <row r="44721" spans="18:18" s="2" customFormat="1" ht="12.75" x14ac:dyDescent="0.2">
      <c r="R44721" s="1288"/>
    </row>
    <row r="44722" spans="18:18" s="2" customFormat="1" ht="12.75" x14ac:dyDescent="0.2">
      <c r="R44722" s="1288"/>
    </row>
    <row r="44723" spans="18:18" s="2" customFormat="1" ht="12.75" x14ac:dyDescent="0.2">
      <c r="R44723" s="1288"/>
    </row>
    <row r="44724" spans="18:18" s="2" customFormat="1" ht="12.75" x14ac:dyDescent="0.2">
      <c r="R44724" s="1288"/>
    </row>
    <row r="44725" spans="18:18" s="2" customFormat="1" ht="12.75" x14ac:dyDescent="0.2">
      <c r="R44725" s="1288"/>
    </row>
    <row r="44726" spans="18:18" s="2" customFormat="1" ht="12.75" x14ac:dyDescent="0.2">
      <c r="R44726" s="1288"/>
    </row>
    <row r="44727" spans="18:18" s="2" customFormat="1" ht="12.75" x14ac:dyDescent="0.2">
      <c r="R44727" s="1288"/>
    </row>
    <row r="44728" spans="18:18" s="2" customFormat="1" ht="12.75" x14ac:dyDescent="0.2">
      <c r="R44728" s="1288"/>
    </row>
    <row r="44729" spans="18:18" s="2" customFormat="1" ht="12.75" x14ac:dyDescent="0.2">
      <c r="R44729" s="1288"/>
    </row>
    <row r="44730" spans="18:18" s="2" customFormat="1" ht="12.75" x14ac:dyDescent="0.2">
      <c r="R44730" s="1288"/>
    </row>
    <row r="44731" spans="18:18" s="2" customFormat="1" ht="12.75" x14ac:dyDescent="0.2">
      <c r="R44731" s="1288"/>
    </row>
    <row r="44732" spans="18:18" s="2" customFormat="1" ht="12.75" x14ac:dyDescent="0.2">
      <c r="R44732" s="1288"/>
    </row>
    <row r="44733" spans="18:18" s="2" customFormat="1" ht="12.75" x14ac:dyDescent="0.2">
      <c r="R44733" s="1288"/>
    </row>
    <row r="44734" spans="18:18" s="2" customFormat="1" ht="12.75" x14ac:dyDescent="0.2">
      <c r="R44734" s="1288"/>
    </row>
    <row r="44735" spans="18:18" s="2" customFormat="1" ht="12.75" x14ac:dyDescent="0.2">
      <c r="R44735" s="1288"/>
    </row>
    <row r="44736" spans="18:18" s="2" customFormat="1" ht="12.75" x14ac:dyDescent="0.2">
      <c r="R44736" s="1288"/>
    </row>
    <row r="44737" spans="18:18" s="2" customFormat="1" ht="12.75" x14ac:dyDescent="0.2">
      <c r="R44737" s="1288"/>
    </row>
    <row r="44738" spans="18:18" s="2" customFormat="1" ht="12.75" x14ac:dyDescent="0.2">
      <c r="R44738" s="1288"/>
    </row>
    <row r="44739" spans="18:18" s="2" customFormat="1" ht="12.75" x14ac:dyDescent="0.2">
      <c r="R44739" s="1288"/>
    </row>
    <row r="44740" spans="18:18" s="2" customFormat="1" ht="12.75" x14ac:dyDescent="0.2">
      <c r="R44740" s="1288"/>
    </row>
    <row r="44741" spans="18:18" s="2" customFormat="1" ht="12.75" x14ac:dyDescent="0.2">
      <c r="R44741" s="1288"/>
    </row>
    <row r="44742" spans="18:18" s="2" customFormat="1" ht="12.75" x14ac:dyDescent="0.2">
      <c r="R44742" s="1288"/>
    </row>
    <row r="44743" spans="18:18" s="2" customFormat="1" ht="12.75" x14ac:dyDescent="0.2">
      <c r="R44743" s="1288"/>
    </row>
    <row r="44744" spans="18:18" s="2" customFormat="1" ht="12.75" x14ac:dyDescent="0.2">
      <c r="R44744" s="1288"/>
    </row>
    <row r="44745" spans="18:18" s="2" customFormat="1" ht="12.75" x14ac:dyDescent="0.2">
      <c r="R44745" s="1288"/>
    </row>
    <row r="44746" spans="18:18" s="2" customFormat="1" ht="12.75" x14ac:dyDescent="0.2">
      <c r="R44746" s="1288"/>
    </row>
    <row r="44747" spans="18:18" s="2" customFormat="1" ht="12.75" x14ac:dyDescent="0.2">
      <c r="R44747" s="1288"/>
    </row>
    <row r="44748" spans="18:18" s="2" customFormat="1" ht="12.75" x14ac:dyDescent="0.2">
      <c r="R44748" s="1288"/>
    </row>
    <row r="44749" spans="18:18" s="2" customFormat="1" ht="12.75" x14ac:dyDescent="0.2">
      <c r="R44749" s="1288"/>
    </row>
    <row r="44750" spans="18:18" s="2" customFormat="1" ht="12.75" x14ac:dyDescent="0.2">
      <c r="R44750" s="1288"/>
    </row>
    <row r="44751" spans="18:18" s="2" customFormat="1" ht="12.75" x14ac:dyDescent="0.2">
      <c r="R44751" s="1288"/>
    </row>
    <row r="44752" spans="18:18" s="2" customFormat="1" ht="12.75" x14ac:dyDescent="0.2">
      <c r="R44752" s="1288"/>
    </row>
    <row r="44753" spans="18:18" s="2" customFormat="1" ht="12.75" x14ac:dyDescent="0.2">
      <c r="R44753" s="1288"/>
    </row>
    <row r="44754" spans="18:18" s="2" customFormat="1" ht="12.75" x14ac:dyDescent="0.2">
      <c r="R44754" s="1288"/>
    </row>
    <row r="44755" spans="18:18" s="2" customFormat="1" ht="12.75" x14ac:dyDescent="0.2">
      <c r="R44755" s="1288"/>
    </row>
    <row r="44756" spans="18:18" s="2" customFormat="1" ht="12.75" x14ac:dyDescent="0.2">
      <c r="R44756" s="1288"/>
    </row>
    <row r="44757" spans="18:18" s="2" customFormat="1" ht="12.75" x14ac:dyDescent="0.2">
      <c r="R44757" s="1288"/>
    </row>
    <row r="44758" spans="18:18" s="2" customFormat="1" ht="12.75" x14ac:dyDescent="0.2">
      <c r="R44758" s="1288"/>
    </row>
    <row r="44759" spans="18:18" s="2" customFormat="1" ht="12.75" x14ac:dyDescent="0.2">
      <c r="R44759" s="1288"/>
    </row>
    <row r="44760" spans="18:18" s="2" customFormat="1" ht="12.75" x14ac:dyDescent="0.2">
      <c r="R44760" s="1288"/>
    </row>
    <row r="44761" spans="18:18" s="2" customFormat="1" ht="12.75" x14ac:dyDescent="0.2">
      <c r="R44761" s="1288"/>
    </row>
    <row r="44762" spans="18:18" s="2" customFormat="1" ht="12.75" x14ac:dyDescent="0.2">
      <c r="R44762" s="1288"/>
    </row>
    <row r="44763" spans="18:18" s="2" customFormat="1" ht="12.75" x14ac:dyDescent="0.2">
      <c r="R44763" s="1288"/>
    </row>
    <row r="44764" spans="18:18" s="2" customFormat="1" ht="12.75" x14ac:dyDescent="0.2">
      <c r="R44764" s="1288"/>
    </row>
    <row r="44765" spans="18:18" s="2" customFormat="1" ht="12.75" x14ac:dyDescent="0.2">
      <c r="R44765" s="1288"/>
    </row>
    <row r="44766" spans="18:18" s="2" customFormat="1" ht="12.75" x14ac:dyDescent="0.2">
      <c r="R44766" s="1288"/>
    </row>
    <row r="44767" spans="18:18" s="2" customFormat="1" ht="12.75" x14ac:dyDescent="0.2">
      <c r="R44767" s="1288"/>
    </row>
    <row r="44768" spans="18:18" s="2" customFormat="1" ht="12.75" x14ac:dyDescent="0.2">
      <c r="R44768" s="1288"/>
    </row>
    <row r="44769" spans="18:18" s="2" customFormat="1" ht="12.75" x14ac:dyDescent="0.2">
      <c r="R44769" s="1288"/>
    </row>
    <row r="44770" spans="18:18" s="2" customFormat="1" ht="12.75" x14ac:dyDescent="0.2">
      <c r="R44770" s="1288"/>
    </row>
    <row r="44771" spans="18:18" s="2" customFormat="1" ht="12.75" x14ac:dyDescent="0.2">
      <c r="R44771" s="1288"/>
    </row>
    <row r="44772" spans="18:18" s="2" customFormat="1" ht="12.75" x14ac:dyDescent="0.2">
      <c r="R44772" s="1288"/>
    </row>
    <row r="44773" spans="18:18" s="2" customFormat="1" ht="12.75" x14ac:dyDescent="0.2">
      <c r="R44773" s="1288"/>
    </row>
    <row r="44774" spans="18:18" s="2" customFormat="1" ht="12.75" x14ac:dyDescent="0.2">
      <c r="R44774" s="1288"/>
    </row>
    <row r="44775" spans="18:18" s="2" customFormat="1" ht="12.75" x14ac:dyDescent="0.2">
      <c r="R44775" s="1288"/>
    </row>
    <row r="44776" spans="18:18" s="2" customFormat="1" ht="12.75" x14ac:dyDescent="0.2">
      <c r="R44776" s="1288"/>
    </row>
    <row r="44777" spans="18:18" s="2" customFormat="1" ht="12.75" x14ac:dyDescent="0.2">
      <c r="R44777" s="1288"/>
    </row>
    <row r="44778" spans="18:18" s="2" customFormat="1" ht="12.75" x14ac:dyDescent="0.2">
      <c r="R44778" s="1288"/>
    </row>
    <row r="44779" spans="18:18" s="2" customFormat="1" ht="12.75" x14ac:dyDescent="0.2">
      <c r="R44779" s="1288"/>
    </row>
    <row r="44780" spans="18:18" s="2" customFormat="1" ht="12.75" x14ac:dyDescent="0.2">
      <c r="R44780" s="1288"/>
    </row>
    <row r="44781" spans="18:18" s="2" customFormat="1" ht="12.75" x14ac:dyDescent="0.2">
      <c r="R44781" s="1288"/>
    </row>
    <row r="44782" spans="18:18" s="2" customFormat="1" ht="12.75" x14ac:dyDescent="0.2">
      <c r="R44782" s="1288"/>
    </row>
    <row r="44783" spans="18:18" s="2" customFormat="1" ht="12.75" x14ac:dyDescent="0.2">
      <c r="R44783" s="1288"/>
    </row>
    <row r="44784" spans="18:18" s="2" customFormat="1" ht="12.75" x14ac:dyDescent="0.2">
      <c r="R44784" s="1288"/>
    </row>
    <row r="44785" spans="18:18" s="2" customFormat="1" ht="12.75" x14ac:dyDescent="0.2">
      <c r="R44785" s="1288"/>
    </row>
    <row r="44786" spans="18:18" s="2" customFormat="1" ht="12.75" x14ac:dyDescent="0.2">
      <c r="R44786" s="1288"/>
    </row>
    <row r="44787" spans="18:18" s="2" customFormat="1" ht="12.75" x14ac:dyDescent="0.2">
      <c r="R44787" s="1288"/>
    </row>
    <row r="44788" spans="18:18" s="2" customFormat="1" ht="12.75" x14ac:dyDescent="0.2">
      <c r="R44788" s="1288"/>
    </row>
    <row r="44789" spans="18:18" s="2" customFormat="1" ht="12.75" x14ac:dyDescent="0.2">
      <c r="R44789" s="1288"/>
    </row>
    <row r="44790" spans="18:18" s="2" customFormat="1" ht="12.75" x14ac:dyDescent="0.2">
      <c r="R44790" s="1288"/>
    </row>
    <row r="44791" spans="18:18" s="2" customFormat="1" ht="12.75" x14ac:dyDescent="0.2">
      <c r="R44791" s="1288"/>
    </row>
    <row r="44792" spans="18:18" s="2" customFormat="1" ht="12.75" x14ac:dyDescent="0.2">
      <c r="R44792" s="1288"/>
    </row>
    <row r="44793" spans="18:18" s="2" customFormat="1" ht="12.75" x14ac:dyDescent="0.2">
      <c r="R44793" s="1288"/>
    </row>
    <row r="44794" spans="18:18" s="2" customFormat="1" ht="12.75" x14ac:dyDescent="0.2">
      <c r="R44794" s="1288"/>
    </row>
    <row r="44795" spans="18:18" s="2" customFormat="1" ht="12.75" x14ac:dyDescent="0.2">
      <c r="R44795" s="1288"/>
    </row>
    <row r="44796" spans="18:18" s="2" customFormat="1" ht="12.75" x14ac:dyDescent="0.2">
      <c r="R44796" s="1288"/>
    </row>
    <row r="44797" spans="18:18" s="2" customFormat="1" ht="12.75" x14ac:dyDescent="0.2">
      <c r="R44797" s="1288"/>
    </row>
    <row r="44798" spans="18:18" s="2" customFormat="1" ht="12.75" x14ac:dyDescent="0.2">
      <c r="R44798" s="1288"/>
    </row>
    <row r="44799" spans="18:18" s="2" customFormat="1" ht="12.75" x14ac:dyDescent="0.2">
      <c r="R44799" s="1288"/>
    </row>
    <row r="44800" spans="18:18" s="2" customFormat="1" ht="12.75" x14ac:dyDescent="0.2">
      <c r="R44800" s="1288"/>
    </row>
    <row r="44801" spans="18:18" s="2" customFormat="1" ht="12.75" x14ac:dyDescent="0.2">
      <c r="R44801" s="1288"/>
    </row>
    <row r="44802" spans="18:18" s="2" customFormat="1" ht="12.75" x14ac:dyDescent="0.2">
      <c r="R44802" s="1288"/>
    </row>
    <row r="44803" spans="18:18" s="2" customFormat="1" ht="12.75" x14ac:dyDescent="0.2">
      <c r="R44803" s="1288"/>
    </row>
    <row r="44804" spans="18:18" s="2" customFormat="1" ht="12.75" x14ac:dyDescent="0.2">
      <c r="R44804" s="1288"/>
    </row>
    <row r="44805" spans="18:18" s="2" customFormat="1" ht="12.75" x14ac:dyDescent="0.2">
      <c r="R44805" s="1288"/>
    </row>
    <row r="44806" spans="18:18" s="2" customFormat="1" ht="12.75" x14ac:dyDescent="0.2">
      <c r="R44806" s="1288"/>
    </row>
    <row r="44807" spans="18:18" s="2" customFormat="1" ht="12.75" x14ac:dyDescent="0.2">
      <c r="R44807" s="1288"/>
    </row>
    <row r="44808" spans="18:18" s="2" customFormat="1" ht="12.75" x14ac:dyDescent="0.2">
      <c r="R44808" s="1288"/>
    </row>
    <row r="44809" spans="18:18" s="2" customFormat="1" ht="12.75" x14ac:dyDescent="0.2">
      <c r="R44809" s="1288"/>
    </row>
    <row r="44810" spans="18:18" s="2" customFormat="1" ht="12.75" x14ac:dyDescent="0.2">
      <c r="R44810" s="1288"/>
    </row>
    <row r="44811" spans="18:18" s="2" customFormat="1" ht="12.75" x14ac:dyDescent="0.2">
      <c r="R44811" s="1288"/>
    </row>
    <row r="44812" spans="18:18" s="2" customFormat="1" ht="12.75" x14ac:dyDescent="0.2">
      <c r="R44812" s="1288"/>
    </row>
    <row r="44813" spans="18:18" s="2" customFormat="1" ht="12.75" x14ac:dyDescent="0.2">
      <c r="R44813" s="1288"/>
    </row>
    <row r="44814" spans="18:18" s="2" customFormat="1" ht="12.75" x14ac:dyDescent="0.2">
      <c r="R44814" s="1288"/>
    </row>
    <row r="44815" spans="18:18" s="2" customFormat="1" ht="12.75" x14ac:dyDescent="0.2">
      <c r="R44815" s="1288"/>
    </row>
    <row r="44816" spans="18:18" s="2" customFormat="1" ht="12.75" x14ac:dyDescent="0.2">
      <c r="R44816" s="1288"/>
    </row>
    <row r="44817" spans="18:18" s="2" customFormat="1" ht="12.75" x14ac:dyDescent="0.2">
      <c r="R44817" s="1288"/>
    </row>
    <row r="44818" spans="18:18" s="2" customFormat="1" ht="12.75" x14ac:dyDescent="0.2">
      <c r="R44818" s="1288"/>
    </row>
    <row r="44819" spans="18:18" s="2" customFormat="1" ht="12.75" x14ac:dyDescent="0.2">
      <c r="R44819" s="1288"/>
    </row>
    <row r="44820" spans="18:18" s="2" customFormat="1" ht="12.75" x14ac:dyDescent="0.2">
      <c r="R44820" s="1288"/>
    </row>
    <row r="44821" spans="18:18" s="2" customFormat="1" ht="12.75" x14ac:dyDescent="0.2">
      <c r="R44821" s="1288"/>
    </row>
    <row r="44822" spans="18:18" s="2" customFormat="1" ht="12.75" x14ac:dyDescent="0.2">
      <c r="R44822" s="1288"/>
    </row>
    <row r="44823" spans="18:18" s="2" customFormat="1" ht="12.75" x14ac:dyDescent="0.2">
      <c r="R44823" s="1288"/>
    </row>
    <row r="44824" spans="18:18" s="2" customFormat="1" ht="12.75" x14ac:dyDescent="0.2">
      <c r="R44824" s="1288"/>
    </row>
    <row r="44825" spans="18:18" s="2" customFormat="1" ht="12.75" x14ac:dyDescent="0.2">
      <c r="R44825" s="1288"/>
    </row>
    <row r="44826" spans="18:18" s="2" customFormat="1" ht="12.75" x14ac:dyDescent="0.2">
      <c r="R44826" s="1288"/>
    </row>
    <row r="44827" spans="18:18" s="2" customFormat="1" ht="12.75" x14ac:dyDescent="0.2">
      <c r="R44827" s="1288"/>
    </row>
    <row r="44828" spans="18:18" s="2" customFormat="1" ht="12.75" x14ac:dyDescent="0.2">
      <c r="R44828" s="1288"/>
    </row>
    <row r="44829" spans="18:18" s="2" customFormat="1" ht="12.75" x14ac:dyDescent="0.2">
      <c r="R44829" s="1288"/>
    </row>
    <row r="44830" spans="18:18" s="2" customFormat="1" ht="12.75" x14ac:dyDescent="0.2">
      <c r="R44830" s="1288"/>
    </row>
    <row r="44831" spans="18:18" s="2" customFormat="1" ht="12.75" x14ac:dyDescent="0.2">
      <c r="R44831" s="1288"/>
    </row>
    <row r="44832" spans="18:18" s="2" customFormat="1" ht="12.75" x14ac:dyDescent="0.2">
      <c r="R44832" s="1288"/>
    </row>
    <row r="44833" spans="18:18" s="2" customFormat="1" ht="12.75" x14ac:dyDescent="0.2">
      <c r="R44833" s="1288"/>
    </row>
    <row r="44834" spans="18:18" s="2" customFormat="1" ht="12.75" x14ac:dyDescent="0.2">
      <c r="R44834" s="1288"/>
    </row>
    <row r="44835" spans="18:18" s="2" customFormat="1" ht="12.75" x14ac:dyDescent="0.2">
      <c r="R44835" s="1288"/>
    </row>
    <row r="44836" spans="18:18" s="2" customFormat="1" ht="12.75" x14ac:dyDescent="0.2">
      <c r="R44836" s="1288"/>
    </row>
    <row r="44837" spans="18:18" s="2" customFormat="1" ht="12.75" x14ac:dyDescent="0.2">
      <c r="R44837" s="1288"/>
    </row>
    <row r="44838" spans="18:18" s="2" customFormat="1" ht="12.75" x14ac:dyDescent="0.2">
      <c r="R44838" s="1288"/>
    </row>
    <row r="44839" spans="18:18" s="2" customFormat="1" ht="12.75" x14ac:dyDescent="0.2">
      <c r="R44839" s="1288"/>
    </row>
    <row r="44840" spans="18:18" s="2" customFormat="1" ht="12.75" x14ac:dyDescent="0.2">
      <c r="R44840" s="1288"/>
    </row>
    <row r="44841" spans="18:18" s="2" customFormat="1" ht="12.75" x14ac:dyDescent="0.2">
      <c r="R44841" s="1288"/>
    </row>
    <row r="44842" spans="18:18" s="2" customFormat="1" ht="12.75" x14ac:dyDescent="0.2">
      <c r="R44842" s="1288"/>
    </row>
    <row r="44843" spans="18:18" s="2" customFormat="1" ht="12.75" x14ac:dyDescent="0.2">
      <c r="R44843" s="1288"/>
    </row>
    <row r="44844" spans="18:18" s="2" customFormat="1" ht="12.75" x14ac:dyDescent="0.2">
      <c r="R44844" s="1288"/>
    </row>
    <row r="44845" spans="18:18" s="2" customFormat="1" ht="12.75" x14ac:dyDescent="0.2">
      <c r="R44845" s="1288"/>
    </row>
    <row r="44846" spans="18:18" s="2" customFormat="1" ht="12.75" x14ac:dyDescent="0.2">
      <c r="R44846" s="1288"/>
    </row>
    <row r="44847" spans="18:18" s="2" customFormat="1" ht="12.75" x14ac:dyDescent="0.2">
      <c r="R44847" s="1288"/>
    </row>
    <row r="44848" spans="18:18" s="2" customFormat="1" ht="12.75" x14ac:dyDescent="0.2">
      <c r="R44848" s="1288"/>
    </row>
    <row r="44849" spans="18:18" s="2" customFormat="1" ht="12.75" x14ac:dyDescent="0.2">
      <c r="R44849" s="1288"/>
    </row>
    <row r="44850" spans="18:18" s="2" customFormat="1" ht="12.75" x14ac:dyDescent="0.2">
      <c r="R44850" s="1288"/>
    </row>
    <row r="44851" spans="18:18" s="2" customFormat="1" ht="12.75" x14ac:dyDescent="0.2">
      <c r="R44851" s="1288"/>
    </row>
    <row r="44852" spans="18:18" s="2" customFormat="1" ht="12.75" x14ac:dyDescent="0.2">
      <c r="R44852" s="1288"/>
    </row>
    <row r="44853" spans="18:18" s="2" customFormat="1" ht="12.75" x14ac:dyDescent="0.2">
      <c r="R44853" s="1288"/>
    </row>
    <row r="44854" spans="18:18" s="2" customFormat="1" ht="12.75" x14ac:dyDescent="0.2">
      <c r="R44854" s="1288"/>
    </row>
    <row r="44855" spans="18:18" s="2" customFormat="1" ht="12.75" x14ac:dyDescent="0.2">
      <c r="R44855" s="1288"/>
    </row>
    <row r="44856" spans="18:18" s="2" customFormat="1" ht="12.75" x14ac:dyDescent="0.2">
      <c r="R44856" s="1288"/>
    </row>
    <row r="44857" spans="18:18" s="2" customFormat="1" ht="12.75" x14ac:dyDescent="0.2">
      <c r="R44857" s="1288"/>
    </row>
    <row r="44858" spans="18:18" s="2" customFormat="1" ht="12.75" x14ac:dyDescent="0.2">
      <c r="R44858" s="1288"/>
    </row>
    <row r="44859" spans="18:18" s="2" customFormat="1" ht="12.75" x14ac:dyDescent="0.2">
      <c r="R44859" s="1288"/>
    </row>
    <row r="44860" spans="18:18" s="2" customFormat="1" ht="12.75" x14ac:dyDescent="0.2">
      <c r="R44860" s="1288"/>
    </row>
    <row r="44861" spans="18:18" s="2" customFormat="1" ht="12.75" x14ac:dyDescent="0.2">
      <c r="R44861" s="1288"/>
    </row>
    <row r="44862" spans="18:18" s="2" customFormat="1" ht="12.75" x14ac:dyDescent="0.2">
      <c r="R44862" s="1288"/>
    </row>
    <row r="44863" spans="18:18" s="2" customFormat="1" ht="12.75" x14ac:dyDescent="0.2">
      <c r="R44863" s="1288"/>
    </row>
    <row r="44864" spans="18:18" s="2" customFormat="1" ht="12.75" x14ac:dyDescent="0.2">
      <c r="R44864" s="1288"/>
    </row>
    <row r="44865" spans="18:18" s="2" customFormat="1" ht="12.75" x14ac:dyDescent="0.2">
      <c r="R44865" s="1288"/>
    </row>
    <row r="44866" spans="18:18" s="2" customFormat="1" ht="12.75" x14ac:dyDescent="0.2">
      <c r="R44866" s="1288"/>
    </row>
    <row r="44867" spans="18:18" s="2" customFormat="1" ht="12.75" x14ac:dyDescent="0.2">
      <c r="R44867" s="1288"/>
    </row>
    <row r="44868" spans="18:18" s="2" customFormat="1" ht="12.75" x14ac:dyDescent="0.2">
      <c r="R44868" s="1288"/>
    </row>
    <row r="44869" spans="18:18" s="2" customFormat="1" ht="12.75" x14ac:dyDescent="0.2">
      <c r="R44869" s="1288"/>
    </row>
    <row r="44870" spans="18:18" s="2" customFormat="1" ht="12.75" x14ac:dyDescent="0.2">
      <c r="R44870" s="1288"/>
    </row>
    <row r="44871" spans="18:18" s="2" customFormat="1" ht="12.75" x14ac:dyDescent="0.2">
      <c r="R44871" s="1288"/>
    </row>
    <row r="44872" spans="18:18" s="2" customFormat="1" ht="12.75" x14ac:dyDescent="0.2">
      <c r="R44872" s="1288"/>
    </row>
    <row r="44873" spans="18:18" s="2" customFormat="1" ht="12.75" x14ac:dyDescent="0.2">
      <c r="R44873" s="1288"/>
    </row>
    <row r="44874" spans="18:18" s="2" customFormat="1" ht="12.75" x14ac:dyDescent="0.2">
      <c r="R44874" s="1288"/>
    </row>
    <row r="44875" spans="18:18" s="2" customFormat="1" ht="12.75" x14ac:dyDescent="0.2">
      <c r="R44875" s="1288"/>
    </row>
    <row r="44876" spans="18:18" s="2" customFormat="1" ht="12.75" x14ac:dyDescent="0.2">
      <c r="R44876" s="1288"/>
    </row>
    <row r="44877" spans="18:18" s="2" customFormat="1" ht="12.75" x14ac:dyDescent="0.2">
      <c r="R44877" s="1288"/>
    </row>
    <row r="44878" spans="18:18" s="2" customFormat="1" ht="12.75" x14ac:dyDescent="0.2">
      <c r="R44878" s="1288"/>
    </row>
    <row r="44879" spans="18:18" s="2" customFormat="1" ht="12.75" x14ac:dyDescent="0.2">
      <c r="R44879" s="1288"/>
    </row>
    <row r="44880" spans="18:18" s="2" customFormat="1" ht="12.75" x14ac:dyDescent="0.2">
      <c r="R44880" s="1288"/>
    </row>
    <row r="44881" spans="18:18" s="2" customFormat="1" ht="12.75" x14ac:dyDescent="0.2">
      <c r="R44881" s="1288"/>
    </row>
    <row r="44882" spans="18:18" s="2" customFormat="1" ht="12.75" x14ac:dyDescent="0.2">
      <c r="R44882" s="1288"/>
    </row>
    <row r="44883" spans="18:18" s="2" customFormat="1" ht="12.75" x14ac:dyDescent="0.2">
      <c r="R44883" s="1288"/>
    </row>
    <row r="44884" spans="18:18" s="2" customFormat="1" ht="12.75" x14ac:dyDescent="0.2">
      <c r="R44884" s="1288"/>
    </row>
    <row r="44885" spans="18:18" s="2" customFormat="1" ht="12.75" x14ac:dyDescent="0.2">
      <c r="R44885" s="1288"/>
    </row>
    <row r="44886" spans="18:18" s="2" customFormat="1" ht="12.75" x14ac:dyDescent="0.2">
      <c r="R44886" s="1288"/>
    </row>
    <row r="44887" spans="18:18" s="2" customFormat="1" ht="12.75" x14ac:dyDescent="0.2">
      <c r="R44887" s="1288"/>
    </row>
    <row r="44888" spans="18:18" s="2" customFormat="1" ht="12.75" x14ac:dyDescent="0.2">
      <c r="R44888" s="1288"/>
    </row>
    <row r="44889" spans="18:18" s="2" customFormat="1" ht="12.75" x14ac:dyDescent="0.2">
      <c r="R44889" s="1288"/>
    </row>
    <row r="44890" spans="18:18" s="2" customFormat="1" ht="12.75" x14ac:dyDescent="0.2">
      <c r="R44890" s="1288"/>
    </row>
    <row r="44891" spans="18:18" s="2" customFormat="1" ht="12.75" x14ac:dyDescent="0.2">
      <c r="R44891" s="1288"/>
    </row>
    <row r="44892" spans="18:18" s="2" customFormat="1" ht="12.75" x14ac:dyDescent="0.2">
      <c r="R44892" s="1288"/>
    </row>
    <row r="44893" spans="18:18" s="2" customFormat="1" ht="12.75" x14ac:dyDescent="0.2">
      <c r="R44893" s="1288"/>
    </row>
    <row r="44894" spans="18:18" s="2" customFormat="1" ht="12.75" x14ac:dyDescent="0.2">
      <c r="R44894" s="1288"/>
    </row>
    <row r="44895" spans="18:18" s="2" customFormat="1" ht="12.75" x14ac:dyDescent="0.2">
      <c r="R44895" s="1288"/>
    </row>
    <row r="44896" spans="18:18" s="2" customFormat="1" ht="12.75" x14ac:dyDescent="0.2">
      <c r="R44896" s="1288"/>
    </row>
    <row r="44897" spans="18:18" s="2" customFormat="1" ht="12.75" x14ac:dyDescent="0.2">
      <c r="R44897" s="1288"/>
    </row>
    <row r="44898" spans="18:18" s="2" customFormat="1" ht="12.75" x14ac:dyDescent="0.2">
      <c r="R44898" s="1288"/>
    </row>
    <row r="44899" spans="18:18" s="2" customFormat="1" ht="12.75" x14ac:dyDescent="0.2">
      <c r="R44899" s="1288"/>
    </row>
    <row r="44900" spans="18:18" s="2" customFormat="1" ht="12.75" x14ac:dyDescent="0.2">
      <c r="R44900" s="1288"/>
    </row>
    <row r="44901" spans="18:18" s="2" customFormat="1" ht="12.75" x14ac:dyDescent="0.2">
      <c r="R44901" s="1288"/>
    </row>
    <row r="44902" spans="18:18" s="2" customFormat="1" ht="12.75" x14ac:dyDescent="0.2">
      <c r="R44902" s="1288"/>
    </row>
    <row r="44903" spans="18:18" s="2" customFormat="1" ht="12.75" x14ac:dyDescent="0.2">
      <c r="R44903" s="1288"/>
    </row>
    <row r="44904" spans="18:18" s="2" customFormat="1" ht="12.75" x14ac:dyDescent="0.2">
      <c r="R44904" s="1288"/>
    </row>
    <row r="44905" spans="18:18" s="2" customFormat="1" ht="12.75" x14ac:dyDescent="0.2">
      <c r="R44905" s="1288"/>
    </row>
    <row r="44906" spans="18:18" s="2" customFormat="1" ht="12.75" x14ac:dyDescent="0.2">
      <c r="R44906" s="1288"/>
    </row>
    <row r="44907" spans="18:18" s="2" customFormat="1" ht="12.75" x14ac:dyDescent="0.2">
      <c r="R44907" s="1288"/>
    </row>
    <row r="44908" spans="18:18" s="2" customFormat="1" ht="12.75" x14ac:dyDescent="0.2">
      <c r="R44908" s="1288"/>
    </row>
    <row r="44909" spans="18:18" s="2" customFormat="1" ht="12.75" x14ac:dyDescent="0.2">
      <c r="R44909" s="1288"/>
    </row>
    <row r="44910" spans="18:18" s="2" customFormat="1" ht="12.75" x14ac:dyDescent="0.2">
      <c r="R44910" s="1288"/>
    </row>
    <row r="44911" spans="18:18" s="2" customFormat="1" ht="12.75" x14ac:dyDescent="0.2">
      <c r="R44911" s="1288"/>
    </row>
    <row r="44912" spans="18:18" s="2" customFormat="1" ht="12.75" x14ac:dyDescent="0.2">
      <c r="R44912" s="1288"/>
    </row>
    <row r="44913" spans="18:18" s="2" customFormat="1" ht="12.75" x14ac:dyDescent="0.2">
      <c r="R44913" s="1288"/>
    </row>
    <row r="44914" spans="18:18" s="2" customFormat="1" ht="12.75" x14ac:dyDescent="0.2">
      <c r="R44914" s="1288"/>
    </row>
    <row r="44915" spans="18:18" s="2" customFormat="1" ht="12.75" x14ac:dyDescent="0.2">
      <c r="R44915" s="1288"/>
    </row>
    <row r="44916" spans="18:18" s="2" customFormat="1" ht="12.75" x14ac:dyDescent="0.2">
      <c r="R44916" s="1288"/>
    </row>
    <row r="44917" spans="18:18" s="2" customFormat="1" ht="12.75" x14ac:dyDescent="0.2">
      <c r="R44917" s="1288"/>
    </row>
    <row r="44918" spans="18:18" s="2" customFormat="1" ht="12.75" x14ac:dyDescent="0.2">
      <c r="R44918" s="1288"/>
    </row>
    <row r="44919" spans="18:18" s="2" customFormat="1" ht="12.75" x14ac:dyDescent="0.2">
      <c r="R44919" s="1288"/>
    </row>
    <row r="44920" spans="18:18" s="2" customFormat="1" ht="12.75" x14ac:dyDescent="0.2">
      <c r="R44920" s="1288"/>
    </row>
    <row r="44921" spans="18:18" s="2" customFormat="1" ht="12.75" x14ac:dyDescent="0.2">
      <c r="R44921" s="1288"/>
    </row>
    <row r="44922" spans="18:18" s="2" customFormat="1" ht="12.75" x14ac:dyDescent="0.2">
      <c r="R44922" s="1288"/>
    </row>
    <row r="44923" spans="18:18" s="2" customFormat="1" ht="12.75" x14ac:dyDescent="0.2">
      <c r="R44923" s="1288"/>
    </row>
    <row r="44924" spans="18:18" s="2" customFormat="1" ht="12.75" x14ac:dyDescent="0.2">
      <c r="R44924" s="1288"/>
    </row>
    <row r="44925" spans="18:18" s="2" customFormat="1" ht="12.75" x14ac:dyDescent="0.2">
      <c r="R44925" s="1288"/>
    </row>
    <row r="44926" spans="18:18" s="2" customFormat="1" ht="12.75" x14ac:dyDescent="0.2">
      <c r="R44926" s="1288"/>
    </row>
    <row r="44927" spans="18:18" s="2" customFormat="1" ht="12.75" x14ac:dyDescent="0.2">
      <c r="R44927" s="1288"/>
    </row>
    <row r="44928" spans="18:18" s="2" customFormat="1" ht="12.75" x14ac:dyDescent="0.2">
      <c r="R44928" s="1288"/>
    </row>
    <row r="44929" spans="18:18" s="2" customFormat="1" ht="12.75" x14ac:dyDescent="0.2">
      <c r="R44929" s="1288"/>
    </row>
    <row r="44930" spans="18:18" s="2" customFormat="1" ht="12.75" x14ac:dyDescent="0.2">
      <c r="R44930" s="1288"/>
    </row>
    <row r="44931" spans="18:18" s="2" customFormat="1" ht="12.75" x14ac:dyDescent="0.2">
      <c r="R44931" s="1288"/>
    </row>
    <row r="44932" spans="18:18" s="2" customFormat="1" ht="12.75" x14ac:dyDescent="0.2">
      <c r="R44932" s="1288"/>
    </row>
    <row r="44933" spans="18:18" s="2" customFormat="1" ht="12.75" x14ac:dyDescent="0.2">
      <c r="R44933" s="1288"/>
    </row>
    <row r="44934" spans="18:18" s="2" customFormat="1" ht="12.75" x14ac:dyDescent="0.2">
      <c r="R44934" s="1288"/>
    </row>
    <row r="44935" spans="18:18" s="2" customFormat="1" ht="12.75" x14ac:dyDescent="0.2">
      <c r="R44935" s="1288"/>
    </row>
    <row r="44936" spans="18:18" s="2" customFormat="1" ht="12.75" x14ac:dyDescent="0.2">
      <c r="R44936" s="1288"/>
    </row>
    <row r="44937" spans="18:18" s="2" customFormat="1" ht="12.75" x14ac:dyDescent="0.2">
      <c r="R44937" s="1288"/>
    </row>
    <row r="44938" spans="18:18" s="2" customFormat="1" ht="12.75" x14ac:dyDescent="0.2">
      <c r="R44938" s="1288"/>
    </row>
    <row r="44939" spans="18:18" s="2" customFormat="1" ht="12.75" x14ac:dyDescent="0.2">
      <c r="R44939" s="1288"/>
    </row>
    <row r="44940" spans="18:18" s="2" customFormat="1" ht="12.75" x14ac:dyDescent="0.2">
      <c r="R44940" s="1288"/>
    </row>
    <row r="44941" spans="18:18" s="2" customFormat="1" ht="12.75" x14ac:dyDescent="0.2">
      <c r="R44941" s="1288"/>
    </row>
    <row r="44942" spans="18:18" s="2" customFormat="1" ht="12.75" x14ac:dyDescent="0.2">
      <c r="R44942" s="1288"/>
    </row>
    <row r="44943" spans="18:18" s="2" customFormat="1" ht="12.75" x14ac:dyDescent="0.2">
      <c r="R44943" s="1288"/>
    </row>
    <row r="44944" spans="18:18" s="2" customFormat="1" ht="12.75" x14ac:dyDescent="0.2">
      <c r="R44944" s="1288"/>
    </row>
    <row r="44945" spans="18:18" s="2" customFormat="1" ht="12.75" x14ac:dyDescent="0.2">
      <c r="R44945" s="1288"/>
    </row>
    <row r="44946" spans="18:18" s="2" customFormat="1" ht="12.75" x14ac:dyDescent="0.2">
      <c r="R44946" s="1288"/>
    </row>
    <row r="44947" spans="18:18" s="2" customFormat="1" ht="12.75" x14ac:dyDescent="0.2">
      <c r="R44947" s="1288"/>
    </row>
    <row r="44948" spans="18:18" s="2" customFormat="1" ht="12.75" x14ac:dyDescent="0.2">
      <c r="R44948" s="1288"/>
    </row>
    <row r="44949" spans="18:18" s="2" customFormat="1" ht="12.75" x14ac:dyDescent="0.2">
      <c r="R44949" s="1288"/>
    </row>
    <row r="44950" spans="18:18" s="2" customFormat="1" ht="12.75" x14ac:dyDescent="0.2">
      <c r="R44950" s="1288"/>
    </row>
    <row r="44951" spans="18:18" s="2" customFormat="1" ht="12.75" x14ac:dyDescent="0.2">
      <c r="R44951" s="1288"/>
    </row>
    <row r="44952" spans="18:18" s="2" customFormat="1" ht="12.75" x14ac:dyDescent="0.2">
      <c r="R44952" s="1288"/>
    </row>
    <row r="44953" spans="18:18" s="2" customFormat="1" ht="12.75" x14ac:dyDescent="0.2">
      <c r="R44953" s="1288"/>
    </row>
    <row r="44954" spans="18:18" s="2" customFormat="1" ht="12.75" x14ac:dyDescent="0.2">
      <c r="R44954" s="1288"/>
    </row>
    <row r="44955" spans="18:18" s="2" customFormat="1" ht="12.75" x14ac:dyDescent="0.2">
      <c r="R44955" s="1288"/>
    </row>
    <row r="44956" spans="18:18" s="2" customFormat="1" ht="12.75" x14ac:dyDescent="0.2">
      <c r="R44956" s="1288"/>
    </row>
    <row r="44957" spans="18:18" s="2" customFormat="1" ht="12.75" x14ac:dyDescent="0.2">
      <c r="R44957" s="1288"/>
    </row>
    <row r="44958" spans="18:18" s="2" customFormat="1" ht="12.75" x14ac:dyDescent="0.2">
      <c r="R44958" s="1288"/>
    </row>
    <row r="44959" spans="18:18" s="2" customFormat="1" ht="12.75" x14ac:dyDescent="0.2">
      <c r="R44959" s="1288"/>
    </row>
    <row r="44960" spans="18:18" s="2" customFormat="1" ht="12.75" x14ac:dyDescent="0.2">
      <c r="R44960" s="1288"/>
    </row>
    <row r="44961" spans="18:18" s="2" customFormat="1" ht="12.75" x14ac:dyDescent="0.2">
      <c r="R44961" s="1288"/>
    </row>
    <row r="44962" spans="18:18" s="2" customFormat="1" ht="12.75" x14ac:dyDescent="0.2">
      <c r="R44962" s="1288"/>
    </row>
    <row r="44963" spans="18:18" s="2" customFormat="1" ht="12.75" x14ac:dyDescent="0.2">
      <c r="R44963" s="1288"/>
    </row>
    <row r="44964" spans="18:18" s="2" customFormat="1" ht="12.75" x14ac:dyDescent="0.2">
      <c r="R44964" s="1288"/>
    </row>
    <row r="44965" spans="18:18" s="2" customFormat="1" ht="12.75" x14ac:dyDescent="0.2">
      <c r="R44965" s="1288"/>
    </row>
    <row r="44966" spans="18:18" s="2" customFormat="1" ht="12.75" x14ac:dyDescent="0.2">
      <c r="R44966" s="1288"/>
    </row>
    <row r="44967" spans="18:18" s="2" customFormat="1" ht="12.75" x14ac:dyDescent="0.2">
      <c r="R44967" s="1288"/>
    </row>
    <row r="44968" spans="18:18" s="2" customFormat="1" ht="12.75" x14ac:dyDescent="0.2">
      <c r="R44968" s="1288"/>
    </row>
    <row r="44969" spans="18:18" s="2" customFormat="1" ht="12.75" x14ac:dyDescent="0.2">
      <c r="R44969" s="1288"/>
    </row>
    <row r="44970" spans="18:18" s="2" customFormat="1" ht="12.75" x14ac:dyDescent="0.2">
      <c r="R44970" s="1288"/>
    </row>
    <row r="44971" spans="18:18" s="2" customFormat="1" ht="12.75" x14ac:dyDescent="0.2">
      <c r="R44971" s="1288"/>
    </row>
    <row r="44972" spans="18:18" s="2" customFormat="1" ht="12.75" x14ac:dyDescent="0.2">
      <c r="R44972" s="1288"/>
    </row>
    <row r="44973" spans="18:18" s="2" customFormat="1" ht="12.75" x14ac:dyDescent="0.2">
      <c r="R44973" s="1288"/>
    </row>
    <row r="44974" spans="18:18" s="2" customFormat="1" ht="12.75" x14ac:dyDescent="0.2">
      <c r="R44974" s="1288"/>
    </row>
    <row r="44975" spans="18:18" s="2" customFormat="1" ht="12.75" x14ac:dyDescent="0.2">
      <c r="R44975" s="1288"/>
    </row>
    <row r="44976" spans="18:18" s="2" customFormat="1" ht="12.75" x14ac:dyDescent="0.2">
      <c r="R44976" s="1288"/>
    </row>
    <row r="44977" spans="18:18" s="2" customFormat="1" ht="12.75" x14ac:dyDescent="0.2">
      <c r="R44977" s="1288"/>
    </row>
    <row r="44978" spans="18:18" s="2" customFormat="1" ht="12.75" x14ac:dyDescent="0.2">
      <c r="R44978" s="1288"/>
    </row>
    <row r="44979" spans="18:18" s="2" customFormat="1" ht="12.75" x14ac:dyDescent="0.2">
      <c r="R44979" s="1288"/>
    </row>
    <row r="44980" spans="18:18" s="2" customFormat="1" ht="12.75" x14ac:dyDescent="0.2">
      <c r="R44980" s="1288"/>
    </row>
    <row r="44981" spans="18:18" s="2" customFormat="1" ht="12.75" x14ac:dyDescent="0.2">
      <c r="R44981" s="1288"/>
    </row>
    <row r="44982" spans="18:18" s="2" customFormat="1" ht="12.75" x14ac:dyDescent="0.2">
      <c r="R44982" s="1288"/>
    </row>
    <row r="44983" spans="18:18" s="2" customFormat="1" ht="12.75" x14ac:dyDescent="0.2">
      <c r="R44983" s="1288"/>
    </row>
    <row r="44984" spans="18:18" s="2" customFormat="1" ht="12.75" x14ac:dyDescent="0.2">
      <c r="R44984" s="1288"/>
    </row>
    <row r="44985" spans="18:18" s="2" customFormat="1" ht="12.75" x14ac:dyDescent="0.2">
      <c r="R44985" s="1288"/>
    </row>
    <row r="44986" spans="18:18" s="2" customFormat="1" ht="12.75" x14ac:dyDescent="0.2">
      <c r="R44986" s="1288"/>
    </row>
    <row r="44987" spans="18:18" s="2" customFormat="1" ht="12.75" x14ac:dyDescent="0.2">
      <c r="R44987" s="1288"/>
    </row>
    <row r="44988" spans="18:18" s="2" customFormat="1" ht="12.75" x14ac:dyDescent="0.2">
      <c r="R44988" s="1288"/>
    </row>
    <row r="44989" spans="18:18" s="2" customFormat="1" ht="12.75" x14ac:dyDescent="0.2">
      <c r="R44989" s="1288"/>
    </row>
    <row r="44990" spans="18:18" s="2" customFormat="1" ht="12.75" x14ac:dyDescent="0.2">
      <c r="R44990" s="1288"/>
    </row>
    <row r="44991" spans="18:18" s="2" customFormat="1" ht="12.75" x14ac:dyDescent="0.2">
      <c r="R44991" s="1288"/>
    </row>
    <row r="44992" spans="18:18" s="2" customFormat="1" ht="12.75" x14ac:dyDescent="0.2">
      <c r="R44992" s="1288"/>
    </row>
    <row r="44993" spans="18:18" s="2" customFormat="1" ht="12.75" x14ac:dyDescent="0.2">
      <c r="R44993" s="1288"/>
    </row>
    <row r="44994" spans="18:18" s="2" customFormat="1" ht="12.75" x14ac:dyDescent="0.2">
      <c r="R44994" s="1288"/>
    </row>
    <row r="44995" spans="18:18" s="2" customFormat="1" ht="12.75" x14ac:dyDescent="0.2">
      <c r="R44995" s="1288"/>
    </row>
    <row r="44996" spans="18:18" s="2" customFormat="1" ht="12.75" x14ac:dyDescent="0.2">
      <c r="R44996" s="1288"/>
    </row>
    <row r="44997" spans="18:18" s="2" customFormat="1" ht="12.75" x14ac:dyDescent="0.2">
      <c r="R44997" s="1288"/>
    </row>
    <row r="44998" spans="18:18" s="2" customFormat="1" ht="12.75" x14ac:dyDescent="0.2">
      <c r="R44998" s="1288"/>
    </row>
    <row r="44999" spans="18:18" s="2" customFormat="1" ht="12.75" x14ac:dyDescent="0.2">
      <c r="R44999" s="1288"/>
    </row>
    <row r="45000" spans="18:18" s="2" customFormat="1" ht="12.75" x14ac:dyDescent="0.2">
      <c r="R45000" s="1288"/>
    </row>
    <row r="45001" spans="18:18" s="2" customFormat="1" ht="12.75" x14ac:dyDescent="0.2">
      <c r="R45001" s="1288"/>
    </row>
    <row r="45002" spans="18:18" s="2" customFormat="1" ht="12.75" x14ac:dyDescent="0.2">
      <c r="R45002" s="1288"/>
    </row>
    <row r="45003" spans="18:18" s="2" customFormat="1" ht="12.75" x14ac:dyDescent="0.2">
      <c r="R45003" s="1288"/>
    </row>
    <row r="45004" spans="18:18" s="2" customFormat="1" ht="12.75" x14ac:dyDescent="0.2">
      <c r="R45004" s="1288"/>
    </row>
    <row r="45005" spans="18:18" s="2" customFormat="1" ht="12.75" x14ac:dyDescent="0.2">
      <c r="R45005" s="1288"/>
    </row>
    <row r="45006" spans="18:18" s="2" customFormat="1" ht="12.75" x14ac:dyDescent="0.2">
      <c r="R45006" s="1288"/>
    </row>
    <row r="45007" spans="18:18" s="2" customFormat="1" ht="12.75" x14ac:dyDescent="0.2">
      <c r="R45007" s="1288"/>
    </row>
    <row r="45008" spans="18:18" s="2" customFormat="1" ht="12.75" x14ac:dyDescent="0.2">
      <c r="R45008" s="1288"/>
    </row>
    <row r="45009" spans="18:18" s="2" customFormat="1" ht="12.75" x14ac:dyDescent="0.2">
      <c r="R45009" s="1288"/>
    </row>
    <row r="45010" spans="18:18" s="2" customFormat="1" ht="12.75" x14ac:dyDescent="0.2">
      <c r="R45010" s="1288"/>
    </row>
    <row r="45011" spans="18:18" s="2" customFormat="1" ht="12.75" x14ac:dyDescent="0.2">
      <c r="R45011" s="1288"/>
    </row>
    <row r="45012" spans="18:18" s="2" customFormat="1" ht="12.75" x14ac:dyDescent="0.2">
      <c r="R45012" s="1288"/>
    </row>
    <row r="45013" spans="18:18" s="2" customFormat="1" ht="12.75" x14ac:dyDescent="0.2">
      <c r="R45013" s="1288"/>
    </row>
    <row r="45014" spans="18:18" s="2" customFormat="1" ht="12.75" x14ac:dyDescent="0.2">
      <c r="R45014" s="1288"/>
    </row>
    <row r="45015" spans="18:18" s="2" customFormat="1" ht="12.75" x14ac:dyDescent="0.2">
      <c r="R45015" s="1288"/>
    </row>
    <row r="45016" spans="18:18" s="2" customFormat="1" ht="12.75" x14ac:dyDescent="0.2">
      <c r="R45016" s="1288"/>
    </row>
    <row r="45017" spans="18:18" s="2" customFormat="1" ht="12.75" x14ac:dyDescent="0.2">
      <c r="R45017" s="1288"/>
    </row>
    <row r="45018" spans="18:18" s="2" customFormat="1" ht="12.75" x14ac:dyDescent="0.2">
      <c r="R45018" s="1288"/>
    </row>
    <row r="45019" spans="18:18" s="2" customFormat="1" ht="12.75" x14ac:dyDescent="0.2">
      <c r="R45019" s="1288"/>
    </row>
    <row r="45020" spans="18:18" s="2" customFormat="1" ht="12.75" x14ac:dyDescent="0.2">
      <c r="R45020" s="1288"/>
    </row>
    <row r="45021" spans="18:18" s="2" customFormat="1" ht="12.75" x14ac:dyDescent="0.2">
      <c r="R45021" s="1288"/>
    </row>
    <row r="45022" spans="18:18" s="2" customFormat="1" ht="12.75" x14ac:dyDescent="0.2">
      <c r="R45022" s="1288"/>
    </row>
    <row r="45023" spans="18:18" s="2" customFormat="1" ht="12.75" x14ac:dyDescent="0.2">
      <c r="R45023" s="1288"/>
    </row>
    <row r="45024" spans="18:18" s="2" customFormat="1" ht="12.75" x14ac:dyDescent="0.2">
      <c r="R45024" s="1288"/>
    </row>
    <row r="45025" spans="18:18" s="2" customFormat="1" ht="12.75" x14ac:dyDescent="0.2">
      <c r="R45025" s="1288"/>
    </row>
    <row r="45026" spans="18:18" s="2" customFormat="1" ht="12.75" x14ac:dyDescent="0.2">
      <c r="R45026" s="1288"/>
    </row>
    <row r="45027" spans="18:18" s="2" customFormat="1" ht="12.75" x14ac:dyDescent="0.2">
      <c r="R45027" s="1288"/>
    </row>
    <row r="45028" spans="18:18" s="2" customFormat="1" ht="12.75" x14ac:dyDescent="0.2">
      <c r="R45028" s="1288"/>
    </row>
    <row r="45029" spans="18:18" s="2" customFormat="1" ht="12.75" x14ac:dyDescent="0.2">
      <c r="R45029" s="1288"/>
    </row>
    <row r="45030" spans="18:18" s="2" customFormat="1" ht="12.75" x14ac:dyDescent="0.2">
      <c r="R45030" s="1288"/>
    </row>
    <row r="45031" spans="18:18" s="2" customFormat="1" ht="12.75" x14ac:dyDescent="0.2">
      <c r="R45031" s="1288"/>
    </row>
    <row r="45032" spans="18:18" s="2" customFormat="1" ht="12.75" x14ac:dyDescent="0.2">
      <c r="R45032" s="1288"/>
    </row>
    <row r="45033" spans="18:18" s="2" customFormat="1" ht="12.75" x14ac:dyDescent="0.2">
      <c r="R45033" s="1288"/>
    </row>
    <row r="45034" spans="18:18" s="2" customFormat="1" ht="12.75" x14ac:dyDescent="0.2">
      <c r="R45034" s="1288"/>
    </row>
    <row r="45035" spans="18:18" s="2" customFormat="1" ht="12.75" x14ac:dyDescent="0.2">
      <c r="R45035" s="1288"/>
    </row>
    <row r="45036" spans="18:18" s="2" customFormat="1" ht="12.75" x14ac:dyDescent="0.2">
      <c r="R45036" s="1288"/>
    </row>
    <row r="45037" spans="18:18" s="2" customFormat="1" ht="12.75" x14ac:dyDescent="0.2">
      <c r="R45037" s="1288"/>
    </row>
    <row r="45038" spans="18:18" s="2" customFormat="1" ht="12.75" x14ac:dyDescent="0.2">
      <c r="R45038" s="1288"/>
    </row>
    <row r="45039" spans="18:18" s="2" customFormat="1" ht="12.75" x14ac:dyDescent="0.2">
      <c r="R45039" s="1288"/>
    </row>
    <row r="45040" spans="18:18" s="2" customFormat="1" ht="12.75" x14ac:dyDescent="0.2">
      <c r="R45040" s="1288"/>
    </row>
    <row r="45041" spans="18:18" s="2" customFormat="1" ht="12.75" x14ac:dyDescent="0.2">
      <c r="R45041" s="1288"/>
    </row>
    <row r="45042" spans="18:18" s="2" customFormat="1" ht="12.75" x14ac:dyDescent="0.2">
      <c r="R45042" s="1288"/>
    </row>
    <row r="45043" spans="18:18" s="2" customFormat="1" ht="12.75" x14ac:dyDescent="0.2">
      <c r="R45043" s="1288"/>
    </row>
    <row r="45044" spans="18:18" s="2" customFormat="1" ht="12.75" x14ac:dyDescent="0.2">
      <c r="R45044" s="1288"/>
    </row>
    <row r="45045" spans="18:18" s="2" customFormat="1" ht="12.75" x14ac:dyDescent="0.2">
      <c r="R45045" s="1288"/>
    </row>
    <row r="45046" spans="18:18" s="2" customFormat="1" ht="12.75" x14ac:dyDescent="0.2">
      <c r="R45046" s="1288"/>
    </row>
    <row r="45047" spans="18:18" s="2" customFormat="1" ht="12.75" x14ac:dyDescent="0.2">
      <c r="R45047" s="1288"/>
    </row>
    <row r="45048" spans="18:18" s="2" customFormat="1" ht="12.75" x14ac:dyDescent="0.2">
      <c r="R45048" s="1288"/>
    </row>
    <row r="45049" spans="18:18" s="2" customFormat="1" ht="12.75" x14ac:dyDescent="0.2">
      <c r="R45049" s="1288"/>
    </row>
    <row r="45050" spans="18:18" s="2" customFormat="1" ht="12.75" x14ac:dyDescent="0.2">
      <c r="R45050" s="1288"/>
    </row>
    <row r="45051" spans="18:18" s="2" customFormat="1" ht="12.75" x14ac:dyDescent="0.2">
      <c r="R45051" s="1288"/>
    </row>
    <row r="45052" spans="18:18" s="2" customFormat="1" ht="12.75" x14ac:dyDescent="0.2">
      <c r="R45052" s="1288"/>
    </row>
    <row r="45053" spans="18:18" s="2" customFormat="1" ht="12.75" x14ac:dyDescent="0.2">
      <c r="R45053" s="1288"/>
    </row>
    <row r="45054" spans="18:18" s="2" customFormat="1" ht="12.75" x14ac:dyDescent="0.2">
      <c r="R45054" s="1288"/>
    </row>
    <row r="45055" spans="18:18" s="2" customFormat="1" ht="12.75" x14ac:dyDescent="0.2">
      <c r="R45055" s="1288"/>
    </row>
    <row r="45056" spans="18:18" s="2" customFormat="1" ht="12.75" x14ac:dyDescent="0.2">
      <c r="R45056" s="1288"/>
    </row>
    <row r="45057" spans="18:18" s="2" customFormat="1" ht="12.75" x14ac:dyDescent="0.2">
      <c r="R45057" s="1288"/>
    </row>
    <row r="45058" spans="18:18" s="2" customFormat="1" ht="12.75" x14ac:dyDescent="0.2">
      <c r="R45058" s="1288"/>
    </row>
    <row r="45059" spans="18:18" s="2" customFormat="1" ht="12.75" x14ac:dyDescent="0.2">
      <c r="R45059" s="1288"/>
    </row>
    <row r="45060" spans="18:18" s="2" customFormat="1" ht="12.75" x14ac:dyDescent="0.2">
      <c r="R45060" s="1288"/>
    </row>
    <row r="45061" spans="18:18" s="2" customFormat="1" ht="12.75" x14ac:dyDescent="0.2">
      <c r="R45061" s="1288"/>
    </row>
    <row r="45062" spans="18:18" s="2" customFormat="1" ht="12.75" x14ac:dyDescent="0.2">
      <c r="R45062" s="1288"/>
    </row>
    <row r="45063" spans="18:18" s="2" customFormat="1" ht="12.75" x14ac:dyDescent="0.2">
      <c r="R45063" s="1288"/>
    </row>
    <row r="45064" spans="18:18" s="2" customFormat="1" ht="12.75" x14ac:dyDescent="0.2">
      <c r="R45064" s="1288"/>
    </row>
    <row r="45065" spans="18:18" s="2" customFormat="1" ht="12.75" x14ac:dyDescent="0.2">
      <c r="R45065" s="1288"/>
    </row>
    <row r="45066" spans="18:18" s="2" customFormat="1" ht="12.75" x14ac:dyDescent="0.2">
      <c r="R45066" s="1288"/>
    </row>
    <row r="45067" spans="18:18" s="2" customFormat="1" ht="12.75" x14ac:dyDescent="0.2">
      <c r="R45067" s="1288"/>
    </row>
    <row r="45068" spans="18:18" s="2" customFormat="1" ht="12.75" x14ac:dyDescent="0.2">
      <c r="R45068" s="1288"/>
    </row>
    <row r="45069" spans="18:18" s="2" customFormat="1" ht="12.75" x14ac:dyDescent="0.2">
      <c r="R45069" s="1288"/>
    </row>
    <row r="45070" spans="18:18" s="2" customFormat="1" ht="12.75" x14ac:dyDescent="0.2">
      <c r="R45070" s="1288"/>
    </row>
    <row r="45071" spans="18:18" s="2" customFormat="1" ht="12.75" x14ac:dyDescent="0.2">
      <c r="R45071" s="1288"/>
    </row>
    <row r="45072" spans="18:18" s="2" customFormat="1" ht="12.75" x14ac:dyDescent="0.2">
      <c r="R45072" s="1288"/>
    </row>
    <row r="45073" spans="18:18" s="2" customFormat="1" ht="12.75" x14ac:dyDescent="0.2">
      <c r="R45073" s="1288"/>
    </row>
    <row r="45074" spans="18:18" s="2" customFormat="1" ht="12.75" x14ac:dyDescent="0.2">
      <c r="R45074" s="1288"/>
    </row>
    <row r="45075" spans="18:18" s="2" customFormat="1" ht="12.75" x14ac:dyDescent="0.2">
      <c r="R45075" s="1288"/>
    </row>
    <row r="45076" spans="18:18" s="2" customFormat="1" ht="12.75" x14ac:dyDescent="0.2">
      <c r="R45076" s="1288"/>
    </row>
    <row r="45077" spans="18:18" s="2" customFormat="1" ht="12.75" x14ac:dyDescent="0.2">
      <c r="R45077" s="1288"/>
    </row>
    <row r="45078" spans="18:18" s="2" customFormat="1" ht="12.75" x14ac:dyDescent="0.2">
      <c r="R45078" s="1288"/>
    </row>
    <row r="45079" spans="18:18" s="2" customFormat="1" ht="12.75" x14ac:dyDescent="0.2">
      <c r="R45079" s="1288"/>
    </row>
    <row r="45080" spans="18:18" s="2" customFormat="1" ht="12.75" x14ac:dyDescent="0.2">
      <c r="R45080" s="1288"/>
    </row>
    <row r="45081" spans="18:18" s="2" customFormat="1" ht="12.75" x14ac:dyDescent="0.2">
      <c r="R45081" s="1288"/>
    </row>
    <row r="45082" spans="18:18" s="2" customFormat="1" ht="12.75" x14ac:dyDescent="0.2">
      <c r="R45082" s="1288"/>
    </row>
    <row r="45083" spans="18:18" s="2" customFormat="1" ht="12.75" x14ac:dyDescent="0.2">
      <c r="R45083" s="1288"/>
    </row>
    <row r="45084" spans="18:18" s="2" customFormat="1" ht="12.75" x14ac:dyDescent="0.2">
      <c r="R45084" s="1288"/>
    </row>
    <row r="45085" spans="18:18" s="2" customFormat="1" ht="12.75" x14ac:dyDescent="0.2">
      <c r="R45085" s="1288"/>
    </row>
    <row r="45086" spans="18:18" s="2" customFormat="1" ht="12.75" x14ac:dyDescent="0.2">
      <c r="R45086" s="1288"/>
    </row>
    <row r="45087" spans="18:18" s="2" customFormat="1" ht="12.75" x14ac:dyDescent="0.2">
      <c r="R45087" s="1288"/>
    </row>
    <row r="45088" spans="18:18" s="2" customFormat="1" ht="12.75" x14ac:dyDescent="0.2">
      <c r="R45088" s="1288"/>
    </row>
    <row r="45089" spans="18:18" s="2" customFormat="1" ht="12.75" x14ac:dyDescent="0.2">
      <c r="R45089" s="1288"/>
    </row>
    <row r="45090" spans="18:18" s="2" customFormat="1" ht="12.75" x14ac:dyDescent="0.2">
      <c r="R45090" s="1288"/>
    </row>
    <row r="45091" spans="18:18" s="2" customFormat="1" ht="12.75" x14ac:dyDescent="0.2">
      <c r="R45091" s="1288"/>
    </row>
    <row r="45092" spans="18:18" s="2" customFormat="1" ht="12.75" x14ac:dyDescent="0.2">
      <c r="R45092" s="1288"/>
    </row>
    <row r="45093" spans="18:18" s="2" customFormat="1" ht="12.75" x14ac:dyDescent="0.2">
      <c r="R45093" s="1288"/>
    </row>
    <row r="45094" spans="18:18" s="2" customFormat="1" ht="12.75" x14ac:dyDescent="0.2">
      <c r="R45094" s="1288"/>
    </row>
    <row r="45095" spans="18:18" s="2" customFormat="1" ht="12.75" x14ac:dyDescent="0.2">
      <c r="R45095" s="1288"/>
    </row>
    <row r="45096" spans="18:18" s="2" customFormat="1" ht="12.75" x14ac:dyDescent="0.2">
      <c r="R45096" s="1288"/>
    </row>
    <row r="45097" spans="18:18" s="2" customFormat="1" ht="12.75" x14ac:dyDescent="0.2">
      <c r="R45097" s="1288"/>
    </row>
    <row r="45098" spans="18:18" s="2" customFormat="1" ht="12.75" x14ac:dyDescent="0.2">
      <c r="R45098" s="1288"/>
    </row>
    <row r="45099" spans="18:18" s="2" customFormat="1" ht="12.75" x14ac:dyDescent="0.2">
      <c r="R45099" s="1288"/>
    </row>
    <row r="45100" spans="18:18" s="2" customFormat="1" ht="12.75" x14ac:dyDescent="0.2">
      <c r="R45100" s="1288"/>
    </row>
    <row r="45101" spans="18:18" s="2" customFormat="1" ht="12.75" x14ac:dyDescent="0.2">
      <c r="R45101" s="1288"/>
    </row>
    <row r="45102" spans="18:18" s="2" customFormat="1" ht="12.75" x14ac:dyDescent="0.2">
      <c r="R45102" s="1288"/>
    </row>
    <row r="45103" spans="18:18" s="2" customFormat="1" ht="12.75" x14ac:dyDescent="0.2">
      <c r="R45103" s="1288"/>
    </row>
    <row r="45104" spans="18:18" s="2" customFormat="1" ht="12.75" x14ac:dyDescent="0.2">
      <c r="R45104" s="1288"/>
    </row>
    <row r="45105" spans="18:18" s="2" customFormat="1" ht="12.75" x14ac:dyDescent="0.2">
      <c r="R45105" s="1288"/>
    </row>
    <row r="45106" spans="18:18" s="2" customFormat="1" ht="12.75" x14ac:dyDescent="0.2">
      <c r="R45106" s="1288"/>
    </row>
    <row r="45107" spans="18:18" s="2" customFormat="1" ht="12.75" x14ac:dyDescent="0.2">
      <c r="R45107" s="1288"/>
    </row>
    <row r="45108" spans="18:18" s="2" customFormat="1" ht="12.75" x14ac:dyDescent="0.2">
      <c r="R45108" s="1288"/>
    </row>
    <row r="45109" spans="18:18" s="2" customFormat="1" ht="12.75" x14ac:dyDescent="0.2">
      <c r="R45109" s="1288"/>
    </row>
    <row r="45110" spans="18:18" s="2" customFormat="1" ht="12.75" x14ac:dyDescent="0.2">
      <c r="R45110" s="1288"/>
    </row>
    <row r="45111" spans="18:18" s="2" customFormat="1" ht="12.75" x14ac:dyDescent="0.2">
      <c r="R45111" s="1288"/>
    </row>
    <row r="45112" spans="18:18" s="2" customFormat="1" ht="12.75" x14ac:dyDescent="0.2">
      <c r="R45112" s="1288"/>
    </row>
    <row r="45113" spans="18:18" s="2" customFormat="1" ht="12.75" x14ac:dyDescent="0.2">
      <c r="R45113" s="1288"/>
    </row>
    <row r="45114" spans="18:18" s="2" customFormat="1" ht="12.75" x14ac:dyDescent="0.2">
      <c r="R45114" s="1288"/>
    </row>
    <row r="45115" spans="18:18" s="2" customFormat="1" ht="12.75" x14ac:dyDescent="0.2">
      <c r="R45115" s="1288"/>
    </row>
    <row r="45116" spans="18:18" s="2" customFormat="1" ht="12.75" x14ac:dyDescent="0.2">
      <c r="R45116" s="1288"/>
    </row>
    <row r="45117" spans="18:18" s="2" customFormat="1" ht="12.75" x14ac:dyDescent="0.2">
      <c r="R45117" s="1288"/>
    </row>
    <row r="45118" spans="18:18" s="2" customFormat="1" ht="12.75" x14ac:dyDescent="0.2">
      <c r="R45118" s="1288"/>
    </row>
    <row r="45119" spans="18:18" s="2" customFormat="1" ht="12.75" x14ac:dyDescent="0.2">
      <c r="R45119" s="1288"/>
    </row>
    <row r="45120" spans="18:18" s="2" customFormat="1" ht="12.75" x14ac:dyDescent="0.2">
      <c r="R45120" s="1288"/>
    </row>
    <row r="45121" spans="18:18" s="2" customFormat="1" ht="12.75" x14ac:dyDescent="0.2">
      <c r="R45121" s="1288"/>
    </row>
    <row r="45122" spans="18:18" s="2" customFormat="1" ht="12.75" x14ac:dyDescent="0.2">
      <c r="R45122" s="1288"/>
    </row>
    <row r="45123" spans="18:18" s="2" customFormat="1" ht="12.75" x14ac:dyDescent="0.2">
      <c r="R45123" s="1288"/>
    </row>
    <row r="45124" spans="18:18" s="2" customFormat="1" ht="12.75" x14ac:dyDescent="0.2">
      <c r="R45124" s="1288"/>
    </row>
    <row r="45125" spans="18:18" s="2" customFormat="1" ht="12.75" x14ac:dyDescent="0.2">
      <c r="R45125" s="1288"/>
    </row>
    <row r="45126" spans="18:18" s="2" customFormat="1" ht="12.75" x14ac:dyDescent="0.2">
      <c r="R45126" s="1288"/>
    </row>
    <row r="45127" spans="18:18" s="2" customFormat="1" ht="12.75" x14ac:dyDescent="0.2">
      <c r="R45127" s="1288"/>
    </row>
    <row r="45128" spans="18:18" s="2" customFormat="1" ht="12.75" x14ac:dyDescent="0.2">
      <c r="R45128" s="1288"/>
    </row>
    <row r="45129" spans="18:18" s="2" customFormat="1" ht="12.75" x14ac:dyDescent="0.2">
      <c r="R45129" s="1288"/>
    </row>
    <row r="45130" spans="18:18" s="2" customFormat="1" ht="12.75" x14ac:dyDescent="0.2">
      <c r="R45130" s="1288"/>
    </row>
    <row r="45131" spans="18:18" s="2" customFormat="1" ht="12.75" x14ac:dyDescent="0.2">
      <c r="R45131" s="1288"/>
    </row>
    <row r="45132" spans="18:18" s="2" customFormat="1" ht="12.75" x14ac:dyDescent="0.2">
      <c r="R45132" s="1288"/>
    </row>
    <row r="45133" spans="18:18" s="2" customFormat="1" ht="12.75" x14ac:dyDescent="0.2">
      <c r="R45133" s="1288"/>
    </row>
    <row r="45134" spans="18:18" s="2" customFormat="1" ht="12.75" x14ac:dyDescent="0.2">
      <c r="R45134" s="1288"/>
    </row>
    <row r="45135" spans="18:18" s="2" customFormat="1" ht="12.75" x14ac:dyDescent="0.2">
      <c r="R45135" s="1288"/>
    </row>
    <row r="45136" spans="18:18" s="2" customFormat="1" ht="12.75" x14ac:dyDescent="0.2">
      <c r="R45136" s="1288"/>
    </row>
    <row r="45137" spans="18:18" s="2" customFormat="1" ht="12.75" x14ac:dyDescent="0.2">
      <c r="R45137" s="1288"/>
    </row>
    <row r="45138" spans="18:18" s="2" customFormat="1" ht="12.75" x14ac:dyDescent="0.2">
      <c r="R45138" s="1288"/>
    </row>
    <row r="45139" spans="18:18" s="2" customFormat="1" ht="12.75" x14ac:dyDescent="0.2">
      <c r="R45139" s="1288"/>
    </row>
    <row r="45140" spans="18:18" s="2" customFormat="1" ht="12.75" x14ac:dyDescent="0.2">
      <c r="R45140" s="1288"/>
    </row>
    <row r="45141" spans="18:18" s="2" customFormat="1" ht="12.75" x14ac:dyDescent="0.2">
      <c r="R45141" s="1288"/>
    </row>
    <row r="45142" spans="18:18" s="2" customFormat="1" ht="12.75" x14ac:dyDescent="0.2">
      <c r="R45142" s="1288"/>
    </row>
    <row r="45143" spans="18:18" s="2" customFormat="1" ht="12.75" x14ac:dyDescent="0.2">
      <c r="R45143" s="1288"/>
    </row>
    <row r="45144" spans="18:18" s="2" customFormat="1" ht="12.75" x14ac:dyDescent="0.2">
      <c r="R45144" s="1288"/>
    </row>
    <row r="45145" spans="18:18" s="2" customFormat="1" ht="12.75" x14ac:dyDescent="0.2">
      <c r="R45145" s="1288"/>
    </row>
    <row r="45146" spans="18:18" s="2" customFormat="1" ht="12.75" x14ac:dyDescent="0.2">
      <c r="R45146" s="1288"/>
    </row>
    <row r="45147" spans="18:18" s="2" customFormat="1" ht="12.75" x14ac:dyDescent="0.2">
      <c r="R45147" s="1288"/>
    </row>
    <row r="45148" spans="18:18" s="2" customFormat="1" ht="12.75" x14ac:dyDescent="0.2">
      <c r="R45148" s="1288"/>
    </row>
    <row r="45149" spans="18:18" s="2" customFormat="1" ht="12.75" x14ac:dyDescent="0.2">
      <c r="R45149" s="1288"/>
    </row>
    <row r="45150" spans="18:18" s="2" customFormat="1" ht="12.75" x14ac:dyDescent="0.2">
      <c r="R45150" s="1288"/>
    </row>
    <row r="45151" spans="18:18" s="2" customFormat="1" ht="12.75" x14ac:dyDescent="0.2">
      <c r="R45151" s="1288"/>
    </row>
    <row r="45152" spans="18:18" s="2" customFormat="1" ht="12.75" x14ac:dyDescent="0.2">
      <c r="R45152" s="1288"/>
    </row>
    <row r="45153" spans="18:18" s="2" customFormat="1" ht="12.75" x14ac:dyDescent="0.2">
      <c r="R45153" s="1288"/>
    </row>
    <row r="45154" spans="18:18" s="2" customFormat="1" ht="12.75" x14ac:dyDescent="0.2">
      <c r="R45154" s="1288"/>
    </row>
    <row r="45155" spans="18:18" s="2" customFormat="1" ht="12.75" x14ac:dyDescent="0.2">
      <c r="R45155" s="1288"/>
    </row>
    <row r="45156" spans="18:18" s="2" customFormat="1" ht="12.75" x14ac:dyDescent="0.2">
      <c r="R45156" s="1288"/>
    </row>
    <row r="45157" spans="18:18" s="2" customFormat="1" ht="12.75" x14ac:dyDescent="0.2">
      <c r="R45157" s="1288"/>
    </row>
    <row r="45158" spans="18:18" s="2" customFormat="1" ht="12.75" x14ac:dyDescent="0.2">
      <c r="R45158" s="1288"/>
    </row>
    <row r="45159" spans="18:18" s="2" customFormat="1" ht="12.75" x14ac:dyDescent="0.2">
      <c r="R45159" s="1288"/>
    </row>
    <row r="45160" spans="18:18" s="2" customFormat="1" ht="12.75" x14ac:dyDescent="0.2">
      <c r="R45160" s="1288"/>
    </row>
    <row r="45161" spans="18:18" s="2" customFormat="1" ht="12.75" x14ac:dyDescent="0.2">
      <c r="R45161" s="1288"/>
    </row>
    <row r="45162" spans="18:18" s="2" customFormat="1" ht="12.75" x14ac:dyDescent="0.2">
      <c r="R45162" s="1288"/>
    </row>
    <row r="45163" spans="18:18" s="2" customFormat="1" ht="12.75" x14ac:dyDescent="0.2">
      <c r="R45163" s="1288"/>
    </row>
    <row r="45164" spans="18:18" s="2" customFormat="1" ht="12.75" x14ac:dyDescent="0.2">
      <c r="R45164" s="1288"/>
    </row>
    <row r="45165" spans="18:18" s="2" customFormat="1" ht="12.75" x14ac:dyDescent="0.2">
      <c r="R45165" s="1288"/>
    </row>
    <row r="45166" spans="18:18" s="2" customFormat="1" ht="12.75" x14ac:dyDescent="0.2">
      <c r="R45166" s="1288"/>
    </row>
    <row r="45167" spans="18:18" s="2" customFormat="1" ht="12.75" x14ac:dyDescent="0.2">
      <c r="R45167" s="1288"/>
    </row>
    <row r="45168" spans="18:18" s="2" customFormat="1" ht="12.75" x14ac:dyDescent="0.2">
      <c r="R45168" s="1288"/>
    </row>
    <row r="45169" spans="18:18" s="2" customFormat="1" ht="12.75" x14ac:dyDescent="0.2">
      <c r="R45169" s="1288"/>
    </row>
    <row r="45170" spans="18:18" s="2" customFormat="1" ht="12.75" x14ac:dyDescent="0.2">
      <c r="R45170" s="1288"/>
    </row>
    <row r="45171" spans="18:18" s="2" customFormat="1" ht="12.75" x14ac:dyDescent="0.2">
      <c r="R45171" s="1288"/>
    </row>
    <row r="45172" spans="18:18" s="2" customFormat="1" ht="12.75" x14ac:dyDescent="0.2">
      <c r="R45172" s="1288"/>
    </row>
    <row r="45173" spans="18:18" s="2" customFormat="1" ht="12.75" x14ac:dyDescent="0.2">
      <c r="R45173" s="1288"/>
    </row>
    <row r="45174" spans="18:18" s="2" customFormat="1" ht="12.75" x14ac:dyDescent="0.2">
      <c r="R45174" s="1288"/>
    </row>
    <row r="45175" spans="18:18" s="2" customFormat="1" ht="12.75" x14ac:dyDescent="0.2">
      <c r="R45175" s="1288"/>
    </row>
    <row r="45176" spans="18:18" s="2" customFormat="1" ht="12.75" x14ac:dyDescent="0.2">
      <c r="R45176" s="1288"/>
    </row>
    <row r="45177" spans="18:18" s="2" customFormat="1" ht="12.75" x14ac:dyDescent="0.2">
      <c r="R45177" s="1288"/>
    </row>
    <row r="45178" spans="18:18" s="2" customFormat="1" ht="12.75" x14ac:dyDescent="0.2">
      <c r="R45178" s="1288"/>
    </row>
    <row r="45179" spans="18:18" s="2" customFormat="1" ht="12.75" x14ac:dyDescent="0.2">
      <c r="R45179" s="1288"/>
    </row>
    <row r="45180" spans="18:18" s="2" customFormat="1" ht="12.75" x14ac:dyDescent="0.2">
      <c r="R45180" s="1288"/>
    </row>
    <row r="45181" spans="18:18" s="2" customFormat="1" ht="12.75" x14ac:dyDescent="0.2">
      <c r="R45181" s="1288"/>
    </row>
    <row r="45182" spans="18:18" s="2" customFormat="1" ht="12.75" x14ac:dyDescent="0.2">
      <c r="R45182" s="1288"/>
    </row>
    <row r="45183" spans="18:18" s="2" customFormat="1" ht="12.75" x14ac:dyDescent="0.2">
      <c r="R45183" s="1288"/>
    </row>
    <row r="45184" spans="18:18" s="2" customFormat="1" ht="12.75" x14ac:dyDescent="0.2">
      <c r="R45184" s="1288"/>
    </row>
    <row r="45185" spans="18:18" s="2" customFormat="1" ht="12.75" x14ac:dyDescent="0.2">
      <c r="R45185" s="1288"/>
    </row>
    <row r="45186" spans="18:18" s="2" customFormat="1" ht="12.75" x14ac:dyDescent="0.2">
      <c r="R45186" s="1288"/>
    </row>
    <row r="45187" spans="18:18" s="2" customFormat="1" ht="12.75" x14ac:dyDescent="0.2">
      <c r="R45187" s="1288"/>
    </row>
    <row r="45188" spans="18:18" s="2" customFormat="1" ht="12.75" x14ac:dyDescent="0.2">
      <c r="R45188" s="1288"/>
    </row>
    <row r="45189" spans="18:18" s="2" customFormat="1" ht="12.75" x14ac:dyDescent="0.2">
      <c r="R45189" s="1288"/>
    </row>
    <row r="45190" spans="18:18" s="2" customFormat="1" ht="12.75" x14ac:dyDescent="0.2">
      <c r="R45190" s="1288"/>
    </row>
    <row r="45191" spans="18:18" s="2" customFormat="1" ht="12.75" x14ac:dyDescent="0.2">
      <c r="R45191" s="1288"/>
    </row>
    <row r="45192" spans="18:18" s="2" customFormat="1" ht="12.75" x14ac:dyDescent="0.2">
      <c r="R45192" s="1288"/>
    </row>
    <row r="45193" spans="18:18" s="2" customFormat="1" ht="12.75" x14ac:dyDescent="0.2">
      <c r="R45193" s="1288"/>
    </row>
    <row r="45194" spans="18:18" s="2" customFormat="1" ht="12.75" x14ac:dyDescent="0.2">
      <c r="R45194" s="1288"/>
    </row>
    <row r="45195" spans="18:18" s="2" customFormat="1" ht="12.75" x14ac:dyDescent="0.2">
      <c r="R45195" s="1288"/>
    </row>
    <row r="45196" spans="18:18" s="2" customFormat="1" ht="12.75" x14ac:dyDescent="0.2">
      <c r="R45196" s="1288"/>
    </row>
    <row r="45197" spans="18:18" s="2" customFormat="1" ht="12.75" x14ac:dyDescent="0.2">
      <c r="R45197" s="1288"/>
    </row>
    <row r="45198" spans="18:18" s="2" customFormat="1" ht="12.75" x14ac:dyDescent="0.2">
      <c r="R45198" s="1288"/>
    </row>
    <row r="45199" spans="18:18" s="2" customFormat="1" ht="12.75" x14ac:dyDescent="0.2">
      <c r="R45199" s="1288"/>
    </row>
    <row r="45200" spans="18:18" s="2" customFormat="1" ht="12.75" x14ac:dyDescent="0.2">
      <c r="R45200" s="1288"/>
    </row>
    <row r="45201" spans="18:18" s="2" customFormat="1" ht="12.75" x14ac:dyDescent="0.2">
      <c r="R45201" s="1288"/>
    </row>
    <row r="45202" spans="18:18" s="2" customFormat="1" ht="12.75" x14ac:dyDescent="0.2">
      <c r="R45202" s="1288"/>
    </row>
    <row r="45203" spans="18:18" s="2" customFormat="1" ht="12.75" x14ac:dyDescent="0.2">
      <c r="R45203" s="1288"/>
    </row>
    <row r="45204" spans="18:18" s="2" customFormat="1" ht="12.75" x14ac:dyDescent="0.2">
      <c r="R45204" s="1288"/>
    </row>
    <row r="45205" spans="18:18" s="2" customFormat="1" ht="12.75" x14ac:dyDescent="0.2">
      <c r="R45205" s="1288"/>
    </row>
    <row r="45206" spans="18:18" s="2" customFormat="1" ht="12.75" x14ac:dyDescent="0.2">
      <c r="R45206" s="1288"/>
    </row>
    <row r="45207" spans="18:18" s="2" customFormat="1" ht="12.75" x14ac:dyDescent="0.2">
      <c r="R45207" s="1288"/>
    </row>
    <row r="45208" spans="18:18" s="2" customFormat="1" ht="12.75" x14ac:dyDescent="0.2">
      <c r="R45208" s="1288"/>
    </row>
    <row r="45209" spans="18:18" s="2" customFormat="1" ht="12.75" x14ac:dyDescent="0.2">
      <c r="R45209" s="1288"/>
    </row>
    <row r="45210" spans="18:18" s="2" customFormat="1" ht="12.75" x14ac:dyDescent="0.2">
      <c r="R45210" s="1288"/>
    </row>
    <row r="45211" spans="18:18" s="2" customFormat="1" ht="12.75" x14ac:dyDescent="0.2">
      <c r="R45211" s="1288"/>
    </row>
    <row r="45212" spans="18:18" s="2" customFormat="1" ht="12.75" x14ac:dyDescent="0.2">
      <c r="R45212" s="1288"/>
    </row>
    <row r="45213" spans="18:18" s="2" customFormat="1" ht="12.75" x14ac:dyDescent="0.2">
      <c r="R45213" s="1288"/>
    </row>
    <row r="45214" spans="18:18" s="2" customFormat="1" ht="12.75" x14ac:dyDescent="0.2">
      <c r="R45214" s="1288"/>
    </row>
    <row r="45215" spans="18:18" s="2" customFormat="1" ht="12.75" x14ac:dyDescent="0.2">
      <c r="R45215" s="1288"/>
    </row>
    <row r="45216" spans="18:18" s="2" customFormat="1" ht="12.75" x14ac:dyDescent="0.2">
      <c r="R45216" s="1288"/>
    </row>
    <row r="45217" spans="18:18" s="2" customFormat="1" ht="12.75" x14ac:dyDescent="0.2">
      <c r="R45217" s="1288"/>
    </row>
    <row r="45218" spans="18:18" s="2" customFormat="1" ht="12.75" x14ac:dyDescent="0.2">
      <c r="R45218" s="1288"/>
    </row>
    <row r="45219" spans="18:18" s="2" customFormat="1" ht="12.75" x14ac:dyDescent="0.2">
      <c r="R45219" s="1288"/>
    </row>
    <row r="45220" spans="18:18" s="2" customFormat="1" ht="12.75" x14ac:dyDescent="0.2">
      <c r="R45220" s="1288"/>
    </row>
    <row r="45221" spans="18:18" s="2" customFormat="1" ht="12.75" x14ac:dyDescent="0.2">
      <c r="R45221" s="1288"/>
    </row>
    <row r="45222" spans="18:18" s="2" customFormat="1" ht="12.75" x14ac:dyDescent="0.2">
      <c r="R45222" s="1288"/>
    </row>
    <row r="45223" spans="18:18" s="2" customFormat="1" ht="12.75" x14ac:dyDescent="0.2">
      <c r="R45223" s="1288"/>
    </row>
    <row r="45224" spans="18:18" s="2" customFormat="1" ht="12.75" x14ac:dyDescent="0.2">
      <c r="R45224" s="1288"/>
    </row>
    <row r="45225" spans="18:18" s="2" customFormat="1" ht="12.75" x14ac:dyDescent="0.2">
      <c r="R45225" s="1288"/>
    </row>
    <row r="45226" spans="18:18" s="2" customFormat="1" ht="12.75" x14ac:dyDescent="0.2">
      <c r="R45226" s="1288"/>
    </row>
    <row r="45227" spans="18:18" s="2" customFormat="1" ht="12.75" x14ac:dyDescent="0.2">
      <c r="R45227" s="1288"/>
    </row>
    <row r="45228" spans="18:18" s="2" customFormat="1" ht="12.75" x14ac:dyDescent="0.2">
      <c r="R45228" s="1288"/>
    </row>
    <row r="45229" spans="18:18" s="2" customFormat="1" ht="12.75" x14ac:dyDescent="0.2">
      <c r="R45229" s="1288"/>
    </row>
    <row r="45230" spans="18:18" s="2" customFormat="1" ht="12.75" x14ac:dyDescent="0.2">
      <c r="R45230" s="1288"/>
    </row>
    <row r="45231" spans="18:18" s="2" customFormat="1" ht="12.75" x14ac:dyDescent="0.2">
      <c r="R45231" s="1288"/>
    </row>
    <row r="45232" spans="18:18" s="2" customFormat="1" ht="12.75" x14ac:dyDescent="0.2">
      <c r="R45232" s="1288"/>
    </row>
    <row r="45233" spans="18:18" s="2" customFormat="1" ht="12.75" x14ac:dyDescent="0.2">
      <c r="R45233" s="1288"/>
    </row>
    <row r="45234" spans="18:18" s="2" customFormat="1" ht="12.75" x14ac:dyDescent="0.2">
      <c r="R45234" s="1288"/>
    </row>
    <row r="45235" spans="18:18" s="2" customFormat="1" ht="12.75" x14ac:dyDescent="0.2">
      <c r="R45235" s="1288"/>
    </row>
    <row r="45236" spans="18:18" s="2" customFormat="1" ht="12.75" x14ac:dyDescent="0.2">
      <c r="R45236" s="1288"/>
    </row>
    <row r="45237" spans="18:18" s="2" customFormat="1" ht="12.75" x14ac:dyDescent="0.2">
      <c r="R45237" s="1288"/>
    </row>
    <row r="45238" spans="18:18" s="2" customFormat="1" ht="12.75" x14ac:dyDescent="0.2">
      <c r="R45238" s="1288"/>
    </row>
    <row r="45239" spans="18:18" s="2" customFormat="1" ht="12.75" x14ac:dyDescent="0.2">
      <c r="R45239" s="1288"/>
    </row>
    <row r="45240" spans="18:18" s="2" customFormat="1" ht="12.75" x14ac:dyDescent="0.2">
      <c r="R45240" s="1288"/>
    </row>
    <row r="45241" spans="18:18" s="2" customFormat="1" ht="12.75" x14ac:dyDescent="0.2">
      <c r="R45241" s="1288"/>
    </row>
    <row r="45242" spans="18:18" s="2" customFormat="1" ht="12.75" x14ac:dyDescent="0.2">
      <c r="R45242" s="1288"/>
    </row>
    <row r="45243" spans="18:18" s="2" customFormat="1" ht="12.75" x14ac:dyDescent="0.2">
      <c r="R45243" s="1288"/>
    </row>
    <row r="45244" spans="18:18" s="2" customFormat="1" ht="12.75" x14ac:dyDescent="0.2">
      <c r="R45244" s="1288"/>
    </row>
    <row r="45245" spans="18:18" s="2" customFormat="1" ht="12.75" x14ac:dyDescent="0.2">
      <c r="R45245" s="1288"/>
    </row>
    <row r="45246" spans="18:18" s="2" customFormat="1" ht="12.75" x14ac:dyDescent="0.2">
      <c r="R45246" s="1288"/>
    </row>
    <row r="45247" spans="18:18" s="2" customFormat="1" ht="12.75" x14ac:dyDescent="0.2">
      <c r="R45247" s="1288"/>
    </row>
    <row r="45248" spans="18:18" s="2" customFormat="1" ht="12.75" x14ac:dyDescent="0.2">
      <c r="R45248" s="1288"/>
    </row>
    <row r="45249" spans="18:18" s="2" customFormat="1" ht="12.75" x14ac:dyDescent="0.2">
      <c r="R45249" s="1288"/>
    </row>
    <row r="45250" spans="18:18" s="2" customFormat="1" ht="12.75" x14ac:dyDescent="0.2">
      <c r="R45250" s="1288"/>
    </row>
    <row r="45251" spans="18:18" s="2" customFormat="1" ht="12.75" x14ac:dyDescent="0.2">
      <c r="R45251" s="1288"/>
    </row>
    <row r="45252" spans="18:18" s="2" customFormat="1" ht="12.75" x14ac:dyDescent="0.2">
      <c r="R45252" s="1288"/>
    </row>
    <row r="45253" spans="18:18" s="2" customFormat="1" ht="12.75" x14ac:dyDescent="0.2">
      <c r="R45253" s="1288"/>
    </row>
    <row r="45254" spans="18:18" s="2" customFormat="1" ht="12.75" x14ac:dyDescent="0.2">
      <c r="R45254" s="1288"/>
    </row>
    <row r="45255" spans="18:18" s="2" customFormat="1" ht="12.75" x14ac:dyDescent="0.2">
      <c r="R45255" s="1288"/>
    </row>
    <row r="45256" spans="18:18" s="2" customFormat="1" ht="12.75" x14ac:dyDescent="0.2">
      <c r="R45256" s="1288"/>
    </row>
    <row r="45257" spans="18:18" s="2" customFormat="1" ht="12.75" x14ac:dyDescent="0.2">
      <c r="R45257" s="1288"/>
    </row>
    <row r="45258" spans="18:18" s="2" customFormat="1" ht="12.75" x14ac:dyDescent="0.2">
      <c r="R45258" s="1288"/>
    </row>
    <row r="45259" spans="18:18" s="2" customFormat="1" ht="12.75" x14ac:dyDescent="0.2">
      <c r="R45259" s="1288"/>
    </row>
    <row r="45260" spans="18:18" s="2" customFormat="1" ht="12.75" x14ac:dyDescent="0.2">
      <c r="R45260" s="1288"/>
    </row>
    <row r="45261" spans="18:18" s="2" customFormat="1" ht="12.75" x14ac:dyDescent="0.2">
      <c r="R45261" s="1288"/>
    </row>
    <row r="45262" spans="18:18" s="2" customFormat="1" ht="12.75" x14ac:dyDescent="0.2">
      <c r="R45262" s="1288"/>
    </row>
    <row r="45263" spans="18:18" s="2" customFormat="1" ht="12.75" x14ac:dyDescent="0.2">
      <c r="R45263" s="1288"/>
    </row>
    <row r="45264" spans="18:18" s="2" customFormat="1" ht="12.75" x14ac:dyDescent="0.2">
      <c r="R45264" s="1288"/>
    </row>
    <row r="45265" spans="18:18" s="2" customFormat="1" ht="12.75" x14ac:dyDescent="0.2">
      <c r="R45265" s="1288"/>
    </row>
    <row r="45266" spans="18:18" s="2" customFormat="1" ht="12.75" x14ac:dyDescent="0.2">
      <c r="R45266" s="1288"/>
    </row>
    <row r="45267" spans="18:18" s="2" customFormat="1" ht="12.75" x14ac:dyDescent="0.2">
      <c r="R45267" s="1288"/>
    </row>
    <row r="45268" spans="18:18" s="2" customFormat="1" ht="12.75" x14ac:dyDescent="0.2">
      <c r="R45268" s="1288"/>
    </row>
    <row r="45269" spans="18:18" s="2" customFormat="1" ht="12.75" x14ac:dyDescent="0.2">
      <c r="R45269" s="1288"/>
    </row>
    <row r="45270" spans="18:18" s="2" customFormat="1" ht="12.75" x14ac:dyDescent="0.2">
      <c r="R45270" s="1288"/>
    </row>
    <row r="45271" spans="18:18" s="2" customFormat="1" ht="12.75" x14ac:dyDescent="0.2">
      <c r="R45271" s="1288"/>
    </row>
    <row r="45272" spans="18:18" s="2" customFormat="1" ht="12.75" x14ac:dyDescent="0.2">
      <c r="R45272" s="1288"/>
    </row>
    <row r="45273" spans="18:18" s="2" customFormat="1" ht="12.75" x14ac:dyDescent="0.2">
      <c r="R45273" s="1288"/>
    </row>
    <row r="45274" spans="18:18" s="2" customFormat="1" ht="12.75" x14ac:dyDescent="0.2">
      <c r="R45274" s="1288"/>
    </row>
    <row r="45275" spans="18:18" s="2" customFormat="1" ht="12.75" x14ac:dyDescent="0.2">
      <c r="R45275" s="1288"/>
    </row>
    <row r="45276" spans="18:18" s="2" customFormat="1" ht="12.75" x14ac:dyDescent="0.2">
      <c r="R45276" s="1288"/>
    </row>
    <row r="45277" spans="18:18" s="2" customFormat="1" ht="12.75" x14ac:dyDescent="0.2">
      <c r="R45277" s="1288"/>
    </row>
    <row r="45278" spans="18:18" s="2" customFormat="1" ht="12.75" x14ac:dyDescent="0.2">
      <c r="R45278" s="1288"/>
    </row>
    <row r="45279" spans="18:18" s="2" customFormat="1" ht="12.75" x14ac:dyDescent="0.2">
      <c r="R45279" s="1288"/>
    </row>
    <row r="45280" spans="18:18" s="2" customFormat="1" ht="12.75" x14ac:dyDescent="0.2">
      <c r="R45280" s="1288"/>
    </row>
    <row r="45281" spans="18:18" s="2" customFormat="1" ht="12.75" x14ac:dyDescent="0.2">
      <c r="R45281" s="1288"/>
    </row>
    <row r="45282" spans="18:18" s="2" customFormat="1" ht="12.75" x14ac:dyDescent="0.2">
      <c r="R45282" s="1288"/>
    </row>
    <row r="45283" spans="18:18" s="2" customFormat="1" ht="12.75" x14ac:dyDescent="0.2">
      <c r="R45283" s="1288"/>
    </row>
    <row r="45284" spans="18:18" s="2" customFormat="1" ht="12.75" x14ac:dyDescent="0.2">
      <c r="R45284" s="1288"/>
    </row>
    <row r="45285" spans="18:18" s="2" customFormat="1" ht="12.75" x14ac:dyDescent="0.2">
      <c r="R45285" s="1288"/>
    </row>
    <row r="45286" spans="18:18" s="2" customFormat="1" ht="12.75" x14ac:dyDescent="0.2">
      <c r="R45286" s="1288"/>
    </row>
    <row r="45287" spans="18:18" s="2" customFormat="1" ht="12.75" x14ac:dyDescent="0.2">
      <c r="R45287" s="1288"/>
    </row>
    <row r="45288" spans="18:18" s="2" customFormat="1" ht="12.75" x14ac:dyDescent="0.2">
      <c r="R45288" s="1288"/>
    </row>
    <row r="45289" spans="18:18" s="2" customFormat="1" ht="12.75" x14ac:dyDescent="0.2">
      <c r="R45289" s="1288"/>
    </row>
    <row r="45290" spans="18:18" s="2" customFormat="1" ht="12.75" x14ac:dyDescent="0.2">
      <c r="R45290" s="1288"/>
    </row>
    <row r="45291" spans="18:18" s="2" customFormat="1" ht="12.75" x14ac:dyDescent="0.2">
      <c r="R45291" s="1288"/>
    </row>
    <row r="45292" spans="18:18" s="2" customFormat="1" ht="12.75" x14ac:dyDescent="0.2">
      <c r="R45292" s="1288"/>
    </row>
    <row r="45293" spans="18:18" s="2" customFormat="1" ht="12.75" x14ac:dyDescent="0.2">
      <c r="R45293" s="1288"/>
    </row>
    <row r="45294" spans="18:18" s="2" customFormat="1" ht="12.75" x14ac:dyDescent="0.2">
      <c r="R45294" s="1288"/>
    </row>
    <row r="45295" spans="18:18" s="2" customFormat="1" ht="12.75" x14ac:dyDescent="0.2">
      <c r="R45295" s="1288"/>
    </row>
    <row r="45296" spans="18:18" s="2" customFormat="1" ht="12.75" x14ac:dyDescent="0.2">
      <c r="R45296" s="1288"/>
    </row>
    <row r="45297" spans="18:18" s="2" customFormat="1" ht="12.75" x14ac:dyDescent="0.2">
      <c r="R45297" s="1288"/>
    </row>
    <row r="45298" spans="18:18" s="2" customFormat="1" ht="12.75" x14ac:dyDescent="0.2">
      <c r="R45298" s="1288"/>
    </row>
    <row r="45299" spans="18:18" s="2" customFormat="1" ht="12.75" x14ac:dyDescent="0.2">
      <c r="R45299" s="1288"/>
    </row>
    <row r="45300" spans="18:18" s="2" customFormat="1" ht="12.75" x14ac:dyDescent="0.2">
      <c r="R45300" s="1288"/>
    </row>
    <row r="45301" spans="18:18" s="2" customFormat="1" ht="12.75" x14ac:dyDescent="0.2">
      <c r="R45301" s="1288"/>
    </row>
    <row r="45302" spans="18:18" s="2" customFormat="1" ht="12.75" x14ac:dyDescent="0.2">
      <c r="R45302" s="1288"/>
    </row>
    <row r="45303" spans="18:18" s="2" customFormat="1" ht="12.75" x14ac:dyDescent="0.2">
      <c r="R45303" s="1288"/>
    </row>
    <row r="45304" spans="18:18" s="2" customFormat="1" ht="12.75" x14ac:dyDescent="0.2">
      <c r="R45304" s="1288"/>
    </row>
    <row r="45305" spans="18:18" s="2" customFormat="1" ht="12.75" x14ac:dyDescent="0.2">
      <c r="R45305" s="1288"/>
    </row>
    <row r="45306" spans="18:18" s="2" customFormat="1" ht="12.75" x14ac:dyDescent="0.2">
      <c r="R45306" s="1288"/>
    </row>
    <row r="45307" spans="18:18" s="2" customFormat="1" ht="12.75" x14ac:dyDescent="0.2">
      <c r="R45307" s="1288"/>
    </row>
    <row r="45308" spans="18:18" s="2" customFormat="1" ht="12.75" x14ac:dyDescent="0.2">
      <c r="R45308" s="1288"/>
    </row>
    <row r="45309" spans="18:18" s="2" customFormat="1" ht="12.75" x14ac:dyDescent="0.2">
      <c r="R45309" s="1288"/>
    </row>
    <row r="45310" spans="18:18" s="2" customFormat="1" ht="12.75" x14ac:dyDescent="0.2">
      <c r="R45310" s="1288"/>
    </row>
    <row r="45311" spans="18:18" s="2" customFormat="1" ht="12.75" x14ac:dyDescent="0.2">
      <c r="R45311" s="1288"/>
    </row>
    <row r="45312" spans="18:18" s="2" customFormat="1" ht="12.75" x14ac:dyDescent="0.2">
      <c r="R45312" s="1288"/>
    </row>
    <row r="45313" spans="18:18" s="2" customFormat="1" ht="12.75" x14ac:dyDescent="0.2">
      <c r="R45313" s="1288"/>
    </row>
    <row r="45314" spans="18:18" s="2" customFormat="1" ht="12.75" x14ac:dyDescent="0.2">
      <c r="R45314" s="1288"/>
    </row>
    <row r="45315" spans="18:18" s="2" customFormat="1" ht="12.75" x14ac:dyDescent="0.2">
      <c r="R45315" s="1288"/>
    </row>
    <row r="45316" spans="18:18" s="2" customFormat="1" ht="12.75" x14ac:dyDescent="0.2">
      <c r="R45316" s="1288"/>
    </row>
    <row r="45317" spans="18:18" s="2" customFormat="1" ht="12.75" x14ac:dyDescent="0.2">
      <c r="R45317" s="1288"/>
    </row>
    <row r="45318" spans="18:18" s="2" customFormat="1" ht="12.75" x14ac:dyDescent="0.2">
      <c r="R45318" s="1288"/>
    </row>
    <row r="45319" spans="18:18" s="2" customFormat="1" ht="12.75" x14ac:dyDescent="0.2">
      <c r="R45319" s="1288"/>
    </row>
    <row r="45320" spans="18:18" s="2" customFormat="1" ht="12.75" x14ac:dyDescent="0.2">
      <c r="R45320" s="1288"/>
    </row>
    <row r="45321" spans="18:18" s="2" customFormat="1" ht="12.75" x14ac:dyDescent="0.2">
      <c r="R45321" s="1288"/>
    </row>
    <row r="45322" spans="18:18" s="2" customFormat="1" ht="12.75" x14ac:dyDescent="0.2">
      <c r="R45322" s="1288"/>
    </row>
    <row r="45323" spans="18:18" s="2" customFormat="1" ht="12.75" x14ac:dyDescent="0.2">
      <c r="R45323" s="1288"/>
    </row>
    <row r="45324" spans="18:18" s="2" customFormat="1" ht="12.75" x14ac:dyDescent="0.2">
      <c r="R45324" s="1288"/>
    </row>
    <row r="45325" spans="18:18" s="2" customFormat="1" ht="12.75" x14ac:dyDescent="0.2">
      <c r="R45325" s="1288"/>
    </row>
    <row r="45326" spans="18:18" s="2" customFormat="1" ht="12.75" x14ac:dyDescent="0.2">
      <c r="R45326" s="1288"/>
    </row>
    <row r="45327" spans="18:18" s="2" customFormat="1" ht="12.75" x14ac:dyDescent="0.2">
      <c r="R45327" s="1288"/>
    </row>
    <row r="45328" spans="18:18" s="2" customFormat="1" ht="12.75" x14ac:dyDescent="0.2">
      <c r="R45328" s="1288"/>
    </row>
    <row r="45329" spans="18:18" s="2" customFormat="1" ht="12.75" x14ac:dyDescent="0.2">
      <c r="R45329" s="1288"/>
    </row>
    <row r="45330" spans="18:18" s="2" customFormat="1" ht="12.75" x14ac:dyDescent="0.2">
      <c r="R45330" s="1288"/>
    </row>
    <row r="45331" spans="18:18" s="2" customFormat="1" ht="12.75" x14ac:dyDescent="0.2">
      <c r="R45331" s="1288"/>
    </row>
    <row r="45332" spans="18:18" s="2" customFormat="1" ht="12.75" x14ac:dyDescent="0.2">
      <c r="R45332" s="1288"/>
    </row>
    <row r="45333" spans="18:18" s="2" customFormat="1" ht="12.75" x14ac:dyDescent="0.2">
      <c r="R45333" s="1288"/>
    </row>
    <row r="45334" spans="18:18" s="2" customFormat="1" ht="12.75" x14ac:dyDescent="0.2">
      <c r="R45334" s="1288"/>
    </row>
    <row r="45335" spans="18:18" s="2" customFormat="1" ht="12.75" x14ac:dyDescent="0.2">
      <c r="R45335" s="1288"/>
    </row>
    <row r="45336" spans="18:18" s="2" customFormat="1" ht="12.75" x14ac:dyDescent="0.2">
      <c r="R45336" s="1288"/>
    </row>
    <row r="45337" spans="18:18" s="2" customFormat="1" ht="12.75" x14ac:dyDescent="0.2">
      <c r="R45337" s="1288"/>
    </row>
    <row r="45338" spans="18:18" s="2" customFormat="1" ht="12.75" x14ac:dyDescent="0.2">
      <c r="R45338" s="1288"/>
    </row>
    <row r="45339" spans="18:18" s="2" customFormat="1" ht="12.75" x14ac:dyDescent="0.2">
      <c r="R45339" s="1288"/>
    </row>
    <row r="45340" spans="18:18" s="2" customFormat="1" ht="12.75" x14ac:dyDescent="0.2">
      <c r="R45340" s="1288"/>
    </row>
    <row r="45341" spans="18:18" s="2" customFormat="1" ht="12.75" x14ac:dyDescent="0.2">
      <c r="R45341" s="1288"/>
    </row>
    <row r="45342" spans="18:18" s="2" customFormat="1" ht="12.75" x14ac:dyDescent="0.2">
      <c r="R45342" s="1288"/>
    </row>
    <row r="45343" spans="18:18" s="2" customFormat="1" ht="12.75" x14ac:dyDescent="0.2">
      <c r="R45343" s="1288"/>
    </row>
    <row r="45344" spans="18:18" s="2" customFormat="1" ht="12.75" x14ac:dyDescent="0.2">
      <c r="R45344" s="1288"/>
    </row>
    <row r="45345" spans="18:18" s="2" customFormat="1" ht="12.75" x14ac:dyDescent="0.2">
      <c r="R45345" s="1288"/>
    </row>
    <row r="45346" spans="18:18" s="2" customFormat="1" ht="12.75" x14ac:dyDescent="0.2">
      <c r="R45346" s="1288"/>
    </row>
    <row r="45347" spans="18:18" s="2" customFormat="1" ht="12.75" x14ac:dyDescent="0.2">
      <c r="R45347" s="1288"/>
    </row>
    <row r="45348" spans="18:18" s="2" customFormat="1" ht="12.75" x14ac:dyDescent="0.2">
      <c r="R45348" s="1288"/>
    </row>
    <row r="45349" spans="18:18" s="2" customFormat="1" ht="12.75" x14ac:dyDescent="0.2">
      <c r="R45349" s="1288"/>
    </row>
    <row r="45350" spans="18:18" s="2" customFormat="1" ht="12.75" x14ac:dyDescent="0.2">
      <c r="R45350" s="1288"/>
    </row>
    <row r="45351" spans="18:18" s="2" customFormat="1" ht="12.75" x14ac:dyDescent="0.2">
      <c r="R45351" s="1288"/>
    </row>
    <row r="45352" spans="18:18" s="2" customFormat="1" ht="12.75" x14ac:dyDescent="0.2">
      <c r="R45352" s="1288"/>
    </row>
    <row r="45353" spans="18:18" s="2" customFormat="1" ht="12.75" x14ac:dyDescent="0.2">
      <c r="R45353" s="1288"/>
    </row>
    <row r="45354" spans="18:18" s="2" customFormat="1" ht="12.75" x14ac:dyDescent="0.2">
      <c r="R45354" s="1288"/>
    </row>
    <row r="45355" spans="18:18" s="2" customFormat="1" ht="12.75" x14ac:dyDescent="0.2">
      <c r="R45355" s="1288"/>
    </row>
    <row r="45356" spans="18:18" s="2" customFormat="1" ht="12.75" x14ac:dyDescent="0.2">
      <c r="R45356" s="1288"/>
    </row>
    <row r="45357" spans="18:18" s="2" customFormat="1" ht="12.75" x14ac:dyDescent="0.2">
      <c r="R45357" s="1288"/>
    </row>
    <row r="45358" spans="18:18" s="2" customFormat="1" ht="12.75" x14ac:dyDescent="0.2">
      <c r="R45358" s="1288"/>
    </row>
    <row r="45359" spans="18:18" s="2" customFormat="1" ht="12.75" x14ac:dyDescent="0.2">
      <c r="R45359" s="1288"/>
    </row>
    <row r="45360" spans="18:18" s="2" customFormat="1" ht="12.75" x14ac:dyDescent="0.2">
      <c r="R45360" s="1288"/>
    </row>
    <row r="45361" spans="18:18" s="2" customFormat="1" ht="12.75" x14ac:dyDescent="0.2">
      <c r="R45361" s="1288"/>
    </row>
    <row r="45362" spans="18:18" s="2" customFormat="1" ht="12.75" x14ac:dyDescent="0.2">
      <c r="R45362" s="1288"/>
    </row>
    <row r="45363" spans="18:18" s="2" customFormat="1" ht="12.75" x14ac:dyDescent="0.2">
      <c r="R45363" s="1288"/>
    </row>
    <row r="45364" spans="18:18" s="2" customFormat="1" ht="12.75" x14ac:dyDescent="0.2">
      <c r="R45364" s="1288"/>
    </row>
    <row r="45365" spans="18:18" s="2" customFormat="1" ht="12.75" x14ac:dyDescent="0.2">
      <c r="R45365" s="1288"/>
    </row>
    <row r="45366" spans="18:18" s="2" customFormat="1" ht="12.75" x14ac:dyDescent="0.2">
      <c r="R45366" s="1288"/>
    </row>
    <row r="45367" spans="18:18" s="2" customFormat="1" ht="12.75" x14ac:dyDescent="0.2">
      <c r="R45367" s="1288"/>
    </row>
    <row r="45368" spans="18:18" s="2" customFormat="1" ht="12.75" x14ac:dyDescent="0.2">
      <c r="R45368" s="1288"/>
    </row>
    <row r="45369" spans="18:18" s="2" customFormat="1" ht="12.75" x14ac:dyDescent="0.2">
      <c r="R45369" s="1288"/>
    </row>
    <row r="45370" spans="18:18" s="2" customFormat="1" ht="12.75" x14ac:dyDescent="0.2">
      <c r="R45370" s="1288"/>
    </row>
    <row r="45371" spans="18:18" s="2" customFormat="1" ht="12.75" x14ac:dyDescent="0.2">
      <c r="R45371" s="1288"/>
    </row>
    <row r="45372" spans="18:18" s="2" customFormat="1" ht="12.75" x14ac:dyDescent="0.2">
      <c r="R45372" s="1288"/>
    </row>
    <row r="45373" spans="18:18" s="2" customFormat="1" ht="12.75" x14ac:dyDescent="0.2">
      <c r="R45373" s="1288"/>
    </row>
    <row r="45374" spans="18:18" s="2" customFormat="1" ht="12.75" x14ac:dyDescent="0.2">
      <c r="R45374" s="1288"/>
    </row>
    <row r="45375" spans="18:18" s="2" customFormat="1" ht="12.75" x14ac:dyDescent="0.2">
      <c r="R45375" s="1288"/>
    </row>
    <row r="45376" spans="18:18" s="2" customFormat="1" ht="12.75" x14ac:dyDescent="0.2">
      <c r="R45376" s="1288"/>
    </row>
    <row r="45377" spans="18:18" s="2" customFormat="1" ht="12.75" x14ac:dyDescent="0.2">
      <c r="R45377" s="1288"/>
    </row>
    <row r="45378" spans="18:18" s="2" customFormat="1" ht="12.75" x14ac:dyDescent="0.2">
      <c r="R45378" s="1288"/>
    </row>
    <row r="45379" spans="18:18" s="2" customFormat="1" ht="12.75" x14ac:dyDescent="0.2">
      <c r="R45379" s="1288"/>
    </row>
    <row r="45380" spans="18:18" s="2" customFormat="1" ht="12.75" x14ac:dyDescent="0.2">
      <c r="R45380" s="1288"/>
    </row>
    <row r="45381" spans="18:18" s="2" customFormat="1" ht="12.75" x14ac:dyDescent="0.2">
      <c r="R45381" s="1288"/>
    </row>
    <row r="45382" spans="18:18" s="2" customFormat="1" ht="12.75" x14ac:dyDescent="0.2">
      <c r="R45382" s="1288"/>
    </row>
    <row r="45383" spans="18:18" s="2" customFormat="1" ht="12.75" x14ac:dyDescent="0.2">
      <c r="R45383" s="1288"/>
    </row>
    <row r="45384" spans="18:18" s="2" customFormat="1" ht="12.75" x14ac:dyDescent="0.2">
      <c r="R45384" s="1288"/>
    </row>
    <row r="45385" spans="18:18" s="2" customFormat="1" ht="12.75" x14ac:dyDescent="0.2">
      <c r="R45385" s="1288"/>
    </row>
    <row r="45386" spans="18:18" s="2" customFormat="1" ht="12.75" x14ac:dyDescent="0.2">
      <c r="R45386" s="1288"/>
    </row>
    <row r="45387" spans="18:18" s="2" customFormat="1" ht="12.75" x14ac:dyDescent="0.2">
      <c r="R45387" s="1288"/>
    </row>
    <row r="45388" spans="18:18" s="2" customFormat="1" ht="12.75" x14ac:dyDescent="0.2">
      <c r="R45388" s="1288"/>
    </row>
    <row r="45389" spans="18:18" s="2" customFormat="1" ht="12.75" x14ac:dyDescent="0.2">
      <c r="R45389" s="1288"/>
    </row>
    <row r="45390" spans="18:18" s="2" customFormat="1" ht="12.75" x14ac:dyDescent="0.2">
      <c r="R45390" s="1288"/>
    </row>
    <row r="45391" spans="18:18" s="2" customFormat="1" ht="12.75" x14ac:dyDescent="0.2">
      <c r="R45391" s="1288"/>
    </row>
    <row r="45392" spans="18:18" s="2" customFormat="1" ht="12.75" x14ac:dyDescent="0.2">
      <c r="R45392" s="1288"/>
    </row>
    <row r="45393" spans="18:18" s="2" customFormat="1" ht="12.75" x14ac:dyDescent="0.2">
      <c r="R45393" s="1288"/>
    </row>
    <row r="45394" spans="18:18" s="2" customFormat="1" ht="12.75" x14ac:dyDescent="0.2">
      <c r="R45394" s="1288"/>
    </row>
    <row r="45395" spans="18:18" s="2" customFormat="1" ht="12.75" x14ac:dyDescent="0.2">
      <c r="R45395" s="1288"/>
    </row>
    <row r="45396" spans="18:18" s="2" customFormat="1" ht="12.75" x14ac:dyDescent="0.2">
      <c r="R45396" s="1288"/>
    </row>
    <row r="45397" spans="18:18" s="2" customFormat="1" ht="12.75" x14ac:dyDescent="0.2">
      <c r="R45397" s="1288"/>
    </row>
    <row r="45398" spans="18:18" s="2" customFormat="1" ht="12.75" x14ac:dyDescent="0.2">
      <c r="R45398" s="1288"/>
    </row>
    <row r="45399" spans="18:18" s="2" customFormat="1" ht="12.75" x14ac:dyDescent="0.2">
      <c r="R45399" s="1288"/>
    </row>
    <row r="45400" spans="18:18" s="2" customFormat="1" ht="12.75" x14ac:dyDescent="0.2">
      <c r="R45400" s="1288"/>
    </row>
    <row r="45401" spans="18:18" s="2" customFormat="1" ht="12.75" x14ac:dyDescent="0.2">
      <c r="R45401" s="1288"/>
    </row>
    <row r="45402" spans="18:18" s="2" customFormat="1" ht="12.75" x14ac:dyDescent="0.2">
      <c r="R45402" s="1288"/>
    </row>
    <row r="45403" spans="18:18" s="2" customFormat="1" ht="12.75" x14ac:dyDescent="0.2">
      <c r="R45403" s="1288"/>
    </row>
    <row r="45404" spans="18:18" s="2" customFormat="1" ht="12.75" x14ac:dyDescent="0.2">
      <c r="R45404" s="1288"/>
    </row>
    <row r="45405" spans="18:18" s="2" customFormat="1" ht="12.75" x14ac:dyDescent="0.2">
      <c r="R45405" s="1288"/>
    </row>
    <row r="45406" spans="18:18" s="2" customFormat="1" ht="12.75" x14ac:dyDescent="0.2">
      <c r="R45406" s="1288"/>
    </row>
    <row r="45407" spans="18:18" s="2" customFormat="1" ht="12.75" x14ac:dyDescent="0.2">
      <c r="R45407" s="1288"/>
    </row>
    <row r="45408" spans="18:18" s="2" customFormat="1" ht="12.75" x14ac:dyDescent="0.2">
      <c r="R45408" s="1288"/>
    </row>
    <row r="45409" spans="18:18" s="2" customFormat="1" ht="12.75" x14ac:dyDescent="0.2">
      <c r="R45409" s="1288"/>
    </row>
    <row r="45410" spans="18:18" s="2" customFormat="1" ht="12.75" x14ac:dyDescent="0.2">
      <c r="R45410" s="1288"/>
    </row>
    <row r="45411" spans="18:18" s="2" customFormat="1" ht="12.75" x14ac:dyDescent="0.2">
      <c r="R45411" s="1288"/>
    </row>
    <row r="45412" spans="18:18" s="2" customFormat="1" ht="12.75" x14ac:dyDescent="0.2">
      <c r="R45412" s="1288"/>
    </row>
    <row r="45413" spans="18:18" s="2" customFormat="1" ht="12.75" x14ac:dyDescent="0.2">
      <c r="R45413" s="1288"/>
    </row>
    <row r="45414" spans="18:18" s="2" customFormat="1" ht="12.75" x14ac:dyDescent="0.2">
      <c r="R45414" s="1288"/>
    </row>
    <row r="45415" spans="18:18" s="2" customFormat="1" ht="12.75" x14ac:dyDescent="0.2">
      <c r="R45415" s="1288"/>
    </row>
    <row r="45416" spans="18:18" s="2" customFormat="1" ht="12.75" x14ac:dyDescent="0.2">
      <c r="R45416" s="1288"/>
    </row>
    <row r="45417" spans="18:18" s="2" customFormat="1" ht="12.75" x14ac:dyDescent="0.2">
      <c r="R45417" s="1288"/>
    </row>
    <row r="45418" spans="18:18" s="2" customFormat="1" ht="12.75" x14ac:dyDescent="0.2">
      <c r="R45418" s="1288"/>
    </row>
    <row r="45419" spans="18:18" s="2" customFormat="1" ht="12.75" x14ac:dyDescent="0.2">
      <c r="R45419" s="1288"/>
    </row>
    <row r="45420" spans="18:18" s="2" customFormat="1" ht="12.75" x14ac:dyDescent="0.2">
      <c r="R45420" s="1288"/>
    </row>
    <row r="45421" spans="18:18" s="2" customFormat="1" ht="12.75" x14ac:dyDescent="0.2">
      <c r="R45421" s="1288"/>
    </row>
    <row r="45422" spans="18:18" s="2" customFormat="1" ht="12.75" x14ac:dyDescent="0.2">
      <c r="R45422" s="1288"/>
    </row>
    <row r="45423" spans="18:18" s="2" customFormat="1" ht="12.75" x14ac:dyDescent="0.2">
      <c r="R45423" s="1288"/>
    </row>
    <row r="45424" spans="18:18" s="2" customFormat="1" ht="12.75" x14ac:dyDescent="0.2">
      <c r="R45424" s="1288"/>
    </row>
    <row r="45425" spans="18:18" s="2" customFormat="1" ht="12.75" x14ac:dyDescent="0.2">
      <c r="R45425" s="1288"/>
    </row>
    <row r="45426" spans="18:18" s="2" customFormat="1" ht="12.75" x14ac:dyDescent="0.2">
      <c r="R45426" s="1288"/>
    </row>
    <row r="45427" spans="18:18" s="2" customFormat="1" ht="12.75" x14ac:dyDescent="0.2">
      <c r="R45427" s="1288"/>
    </row>
    <row r="45428" spans="18:18" s="2" customFormat="1" ht="12.75" x14ac:dyDescent="0.2">
      <c r="R45428" s="1288"/>
    </row>
    <row r="45429" spans="18:18" s="2" customFormat="1" ht="12.75" x14ac:dyDescent="0.2">
      <c r="R45429" s="1288"/>
    </row>
    <row r="45430" spans="18:18" s="2" customFormat="1" ht="12.75" x14ac:dyDescent="0.2">
      <c r="R45430" s="1288"/>
    </row>
    <row r="45431" spans="18:18" s="2" customFormat="1" ht="12.75" x14ac:dyDescent="0.2">
      <c r="R45431" s="1288"/>
    </row>
    <row r="45432" spans="18:18" s="2" customFormat="1" ht="12.75" x14ac:dyDescent="0.2">
      <c r="R45432" s="1288"/>
    </row>
    <row r="45433" spans="18:18" s="2" customFormat="1" ht="12.75" x14ac:dyDescent="0.2">
      <c r="R45433" s="1288"/>
    </row>
    <row r="45434" spans="18:18" s="2" customFormat="1" ht="12.75" x14ac:dyDescent="0.2">
      <c r="R45434" s="1288"/>
    </row>
    <row r="45435" spans="18:18" s="2" customFormat="1" ht="12.75" x14ac:dyDescent="0.2">
      <c r="R45435" s="1288"/>
    </row>
    <row r="45436" spans="18:18" s="2" customFormat="1" ht="12.75" x14ac:dyDescent="0.2">
      <c r="R45436" s="1288"/>
    </row>
    <row r="45437" spans="18:18" s="2" customFormat="1" ht="12.75" x14ac:dyDescent="0.2">
      <c r="R45437" s="1288"/>
    </row>
    <row r="45438" spans="18:18" s="2" customFormat="1" ht="12.75" x14ac:dyDescent="0.2">
      <c r="R45438" s="1288"/>
    </row>
    <row r="45439" spans="18:18" s="2" customFormat="1" ht="12.75" x14ac:dyDescent="0.2">
      <c r="R45439" s="1288"/>
    </row>
    <row r="45440" spans="18:18" s="2" customFormat="1" ht="12.75" x14ac:dyDescent="0.2">
      <c r="R45440" s="1288"/>
    </row>
    <row r="45441" spans="18:18" s="2" customFormat="1" ht="12.75" x14ac:dyDescent="0.2">
      <c r="R45441" s="1288"/>
    </row>
    <row r="45442" spans="18:18" s="2" customFormat="1" ht="12.75" x14ac:dyDescent="0.2">
      <c r="R45442" s="1288"/>
    </row>
    <row r="45443" spans="18:18" s="2" customFormat="1" ht="12.75" x14ac:dyDescent="0.2">
      <c r="R45443" s="1288"/>
    </row>
    <row r="45444" spans="18:18" s="2" customFormat="1" ht="12.75" x14ac:dyDescent="0.2">
      <c r="R45444" s="1288"/>
    </row>
    <row r="45445" spans="18:18" s="2" customFormat="1" ht="12.75" x14ac:dyDescent="0.2">
      <c r="R45445" s="1288"/>
    </row>
    <row r="45446" spans="18:18" s="2" customFormat="1" ht="12.75" x14ac:dyDescent="0.2">
      <c r="R45446" s="1288"/>
    </row>
    <row r="45447" spans="18:18" s="2" customFormat="1" ht="12.75" x14ac:dyDescent="0.2">
      <c r="R45447" s="1288"/>
    </row>
    <row r="45448" spans="18:18" s="2" customFormat="1" ht="12.75" x14ac:dyDescent="0.2">
      <c r="R45448" s="1288"/>
    </row>
    <row r="45449" spans="18:18" s="2" customFormat="1" ht="12.75" x14ac:dyDescent="0.2">
      <c r="R45449" s="1288"/>
    </row>
    <row r="45450" spans="18:18" s="2" customFormat="1" ht="12.75" x14ac:dyDescent="0.2">
      <c r="R45450" s="1288"/>
    </row>
    <row r="45451" spans="18:18" s="2" customFormat="1" ht="12.75" x14ac:dyDescent="0.2">
      <c r="R45451" s="1288"/>
    </row>
    <row r="45452" spans="18:18" s="2" customFormat="1" ht="12.75" x14ac:dyDescent="0.2">
      <c r="R45452" s="1288"/>
    </row>
    <row r="45453" spans="18:18" s="2" customFormat="1" ht="12.75" x14ac:dyDescent="0.2">
      <c r="R45453" s="1288"/>
    </row>
    <row r="45454" spans="18:18" s="2" customFormat="1" ht="12.75" x14ac:dyDescent="0.2">
      <c r="R45454" s="1288"/>
    </row>
    <row r="45455" spans="18:18" s="2" customFormat="1" ht="12.75" x14ac:dyDescent="0.2">
      <c r="R45455" s="1288"/>
    </row>
    <row r="45456" spans="18:18" s="2" customFormat="1" ht="12.75" x14ac:dyDescent="0.2">
      <c r="R45456" s="1288"/>
    </row>
    <row r="45457" spans="18:18" s="2" customFormat="1" ht="12.75" x14ac:dyDescent="0.2">
      <c r="R45457" s="1288"/>
    </row>
    <row r="45458" spans="18:18" s="2" customFormat="1" ht="12.75" x14ac:dyDescent="0.2">
      <c r="R45458" s="1288"/>
    </row>
    <row r="45459" spans="18:18" s="2" customFormat="1" ht="12.75" x14ac:dyDescent="0.2">
      <c r="R45459" s="1288"/>
    </row>
    <row r="45460" spans="18:18" s="2" customFormat="1" ht="12.75" x14ac:dyDescent="0.2">
      <c r="R45460" s="1288"/>
    </row>
    <row r="45461" spans="18:18" s="2" customFormat="1" ht="12.75" x14ac:dyDescent="0.2">
      <c r="R45461" s="1288"/>
    </row>
    <row r="45462" spans="18:18" s="2" customFormat="1" ht="12.75" x14ac:dyDescent="0.2">
      <c r="R45462" s="1288"/>
    </row>
    <row r="45463" spans="18:18" s="2" customFormat="1" ht="12.75" x14ac:dyDescent="0.2">
      <c r="R45463" s="1288"/>
    </row>
    <row r="45464" spans="18:18" s="2" customFormat="1" ht="12.75" x14ac:dyDescent="0.2">
      <c r="R45464" s="1288"/>
    </row>
    <row r="45465" spans="18:18" s="2" customFormat="1" ht="12.75" x14ac:dyDescent="0.2">
      <c r="R45465" s="1288"/>
    </row>
    <row r="45466" spans="18:18" s="2" customFormat="1" ht="12.75" x14ac:dyDescent="0.2">
      <c r="R45466" s="1288"/>
    </row>
    <row r="45467" spans="18:18" s="2" customFormat="1" ht="12.75" x14ac:dyDescent="0.2">
      <c r="R45467" s="1288"/>
    </row>
    <row r="45468" spans="18:18" s="2" customFormat="1" ht="12.75" x14ac:dyDescent="0.2">
      <c r="R45468" s="1288"/>
    </row>
    <row r="45469" spans="18:18" s="2" customFormat="1" ht="12.75" x14ac:dyDescent="0.2">
      <c r="R45469" s="1288"/>
    </row>
    <row r="45470" spans="18:18" s="2" customFormat="1" ht="12.75" x14ac:dyDescent="0.2">
      <c r="R45470" s="1288"/>
    </row>
    <row r="45471" spans="18:18" s="2" customFormat="1" ht="12.75" x14ac:dyDescent="0.2">
      <c r="R45471" s="1288"/>
    </row>
    <row r="45472" spans="18:18" s="2" customFormat="1" ht="12.75" x14ac:dyDescent="0.2">
      <c r="R45472" s="1288"/>
    </row>
    <row r="45473" spans="18:18" s="2" customFormat="1" ht="12.75" x14ac:dyDescent="0.2">
      <c r="R45473" s="1288"/>
    </row>
    <row r="45474" spans="18:18" s="2" customFormat="1" ht="12.75" x14ac:dyDescent="0.2">
      <c r="R45474" s="1288"/>
    </row>
    <row r="45475" spans="18:18" s="2" customFormat="1" ht="12.75" x14ac:dyDescent="0.2">
      <c r="R45475" s="1288"/>
    </row>
    <row r="45476" spans="18:18" s="2" customFormat="1" ht="12.75" x14ac:dyDescent="0.2">
      <c r="R45476" s="1288"/>
    </row>
    <row r="45477" spans="18:18" s="2" customFormat="1" ht="12.75" x14ac:dyDescent="0.2">
      <c r="R45477" s="1288"/>
    </row>
    <row r="45478" spans="18:18" s="2" customFormat="1" ht="12.75" x14ac:dyDescent="0.2">
      <c r="R45478" s="1288"/>
    </row>
    <row r="45479" spans="18:18" s="2" customFormat="1" ht="12.75" x14ac:dyDescent="0.2">
      <c r="R45479" s="1288"/>
    </row>
    <row r="45480" spans="18:18" s="2" customFormat="1" ht="12.75" x14ac:dyDescent="0.2">
      <c r="R45480" s="1288"/>
    </row>
    <row r="45481" spans="18:18" s="2" customFormat="1" ht="12.75" x14ac:dyDescent="0.2">
      <c r="R45481" s="1288"/>
    </row>
    <row r="45482" spans="18:18" s="2" customFormat="1" ht="12.75" x14ac:dyDescent="0.2">
      <c r="R45482" s="1288"/>
    </row>
    <row r="45483" spans="18:18" s="2" customFormat="1" ht="12.75" x14ac:dyDescent="0.2">
      <c r="R45483" s="1288"/>
    </row>
    <row r="45484" spans="18:18" s="2" customFormat="1" ht="12.75" x14ac:dyDescent="0.2">
      <c r="R45484" s="1288"/>
    </row>
    <row r="45485" spans="18:18" s="2" customFormat="1" ht="12.75" x14ac:dyDescent="0.2">
      <c r="R45485" s="1288"/>
    </row>
    <row r="45486" spans="18:18" s="2" customFormat="1" ht="12.75" x14ac:dyDescent="0.2">
      <c r="R45486" s="1288"/>
    </row>
    <row r="45487" spans="18:18" s="2" customFormat="1" ht="12.75" x14ac:dyDescent="0.2">
      <c r="R45487" s="1288"/>
    </row>
    <row r="45488" spans="18:18" s="2" customFormat="1" ht="12.75" x14ac:dyDescent="0.2">
      <c r="R45488" s="1288"/>
    </row>
    <row r="45489" spans="18:18" s="2" customFormat="1" ht="12.75" x14ac:dyDescent="0.2">
      <c r="R45489" s="1288"/>
    </row>
    <row r="45490" spans="18:18" s="2" customFormat="1" ht="12.75" x14ac:dyDescent="0.2">
      <c r="R45490" s="1288"/>
    </row>
    <row r="45491" spans="18:18" s="2" customFormat="1" ht="12.75" x14ac:dyDescent="0.2">
      <c r="R45491" s="1288"/>
    </row>
    <row r="45492" spans="18:18" s="2" customFormat="1" ht="12.75" x14ac:dyDescent="0.2">
      <c r="R45492" s="1288"/>
    </row>
    <row r="45493" spans="18:18" s="2" customFormat="1" ht="12.75" x14ac:dyDescent="0.2">
      <c r="R45493" s="1288"/>
    </row>
    <row r="45494" spans="18:18" s="2" customFormat="1" ht="12.75" x14ac:dyDescent="0.2">
      <c r="R45494" s="1288"/>
    </row>
    <row r="45495" spans="18:18" s="2" customFormat="1" ht="12.75" x14ac:dyDescent="0.2">
      <c r="R45495" s="1288"/>
    </row>
    <row r="45496" spans="18:18" s="2" customFormat="1" ht="12.75" x14ac:dyDescent="0.2">
      <c r="R45496" s="1288"/>
    </row>
    <row r="45497" spans="18:18" s="2" customFormat="1" ht="12.75" x14ac:dyDescent="0.2">
      <c r="R45497" s="1288"/>
    </row>
    <row r="45498" spans="18:18" s="2" customFormat="1" ht="12.75" x14ac:dyDescent="0.2">
      <c r="R45498" s="1288"/>
    </row>
    <row r="45499" spans="18:18" s="2" customFormat="1" ht="12.75" x14ac:dyDescent="0.2">
      <c r="R45499" s="1288"/>
    </row>
    <row r="45500" spans="18:18" s="2" customFormat="1" ht="12.75" x14ac:dyDescent="0.2">
      <c r="R45500" s="1288"/>
    </row>
    <row r="45501" spans="18:18" s="2" customFormat="1" ht="12.75" x14ac:dyDescent="0.2">
      <c r="R45501" s="1288"/>
    </row>
    <row r="45502" spans="18:18" s="2" customFormat="1" ht="12.75" x14ac:dyDescent="0.2">
      <c r="R45502" s="1288"/>
    </row>
    <row r="45503" spans="18:18" s="2" customFormat="1" ht="12.75" x14ac:dyDescent="0.2">
      <c r="R45503" s="1288"/>
    </row>
    <row r="45504" spans="18:18" s="2" customFormat="1" ht="12.75" x14ac:dyDescent="0.2">
      <c r="R45504" s="1288"/>
    </row>
    <row r="45505" spans="18:18" s="2" customFormat="1" ht="12.75" x14ac:dyDescent="0.2">
      <c r="R45505" s="1288"/>
    </row>
    <row r="45506" spans="18:18" s="2" customFormat="1" ht="12.75" x14ac:dyDescent="0.2">
      <c r="R45506" s="1288"/>
    </row>
    <row r="45507" spans="18:18" s="2" customFormat="1" ht="12.75" x14ac:dyDescent="0.2">
      <c r="R45507" s="1288"/>
    </row>
    <row r="45508" spans="18:18" s="2" customFormat="1" ht="12.75" x14ac:dyDescent="0.2">
      <c r="R45508" s="1288"/>
    </row>
    <row r="45509" spans="18:18" s="2" customFormat="1" ht="12.75" x14ac:dyDescent="0.2">
      <c r="R45509" s="1288"/>
    </row>
    <row r="45510" spans="18:18" s="2" customFormat="1" ht="12.75" x14ac:dyDescent="0.2">
      <c r="R45510" s="1288"/>
    </row>
    <row r="45511" spans="18:18" s="2" customFormat="1" ht="12.75" x14ac:dyDescent="0.2">
      <c r="R45511" s="1288"/>
    </row>
    <row r="45512" spans="18:18" s="2" customFormat="1" ht="12.75" x14ac:dyDescent="0.2">
      <c r="R45512" s="1288"/>
    </row>
    <row r="45513" spans="18:18" s="2" customFormat="1" ht="12.75" x14ac:dyDescent="0.2">
      <c r="R45513" s="1288"/>
    </row>
    <row r="45514" spans="18:18" s="2" customFormat="1" ht="12.75" x14ac:dyDescent="0.2">
      <c r="R45514" s="1288"/>
    </row>
    <row r="45515" spans="18:18" s="2" customFormat="1" ht="12.75" x14ac:dyDescent="0.2">
      <c r="R45515" s="1288"/>
    </row>
    <row r="45516" spans="18:18" s="2" customFormat="1" ht="12.75" x14ac:dyDescent="0.2">
      <c r="R45516" s="1288"/>
    </row>
    <row r="45517" spans="18:18" s="2" customFormat="1" ht="12.75" x14ac:dyDescent="0.2">
      <c r="R45517" s="1288"/>
    </row>
    <row r="45518" spans="18:18" s="2" customFormat="1" ht="12.75" x14ac:dyDescent="0.2">
      <c r="R45518" s="1288"/>
    </row>
    <row r="45519" spans="18:18" s="2" customFormat="1" ht="12.75" x14ac:dyDescent="0.2">
      <c r="R45519" s="1288"/>
    </row>
    <row r="45520" spans="18:18" s="2" customFormat="1" ht="12.75" x14ac:dyDescent="0.2">
      <c r="R45520" s="1288"/>
    </row>
    <row r="45521" spans="18:18" s="2" customFormat="1" ht="12.75" x14ac:dyDescent="0.2">
      <c r="R45521" s="1288"/>
    </row>
    <row r="45522" spans="18:18" s="2" customFormat="1" ht="12.75" x14ac:dyDescent="0.2">
      <c r="R45522" s="1288"/>
    </row>
    <row r="45523" spans="18:18" s="2" customFormat="1" ht="12.75" x14ac:dyDescent="0.2">
      <c r="R45523" s="1288"/>
    </row>
    <row r="45524" spans="18:18" s="2" customFormat="1" ht="12.75" x14ac:dyDescent="0.2">
      <c r="R45524" s="1288"/>
    </row>
    <row r="45525" spans="18:18" s="2" customFormat="1" ht="12.75" x14ac:dyDescent="0.2">
      <c r="R45525" s="1288"/>
    </row>
    <row r="45526" spans="18:18" s="2" customFormat="1" ht="12.75" x14ac:dyDescent="0.2">
      <c r="R45526" s="1288"/>
    </row>
    <row r="45527" spans="18:18" s="2" customFormat="1" ht="12.75" x14ac:dyDescent="0.2">
      <c r="R45527" s="1288"/>
    </row>
    <row r="45528" spans="18:18" s="2" customFormat="1" ht="12.75" x14ac:dyDescent="0.2">
      <c r="R45528" s="1288"/>
    </row>
    <row r="45529" spans="18:18" s="2" customFormat="1" ht="12.75" x14ac:dyDescent="0.2">
      <c r="R45529" s="1288"/>
    </row>
    <row r="45530" spans="18:18" s="2" customFormat="1" ht="12.75" x14ac:dyDescent="0.2">
      <c r="R45530" s="1288"/>
    </row>
    <row r="45531" spans="18:18" s="2" customFormat="1" ht="12.75" x14ac:dyDescent="0.2">
      <c r="R45531" s="1288"/>
    </row>
    <row r="45532" spans="18:18" s="2" customFormat="1" ht="12.75" x14ac:dyDescent="0.2">
      <c r="R45532" s="1288"/>
    </row>
    <row r="45533" spans="18:18" s="2" customFormat="1" ht="12.75" x14ac:dyDescent="0.2">
      <c r="R45533" s="1288"/>
    </row>
    <row r="45534" spans="18:18" s="2" customFormat="1" ht="12.75" x14ac:dyDescent="0.2">
      <c r="R45534" s="1288"/>
    </row>
    <row r="45535" spans="18:18" s="2" customFormat="1" ht="12.75" x14ac:dyDescent="0.2">
      <c r="R45535" s="1288"/>
    </row>
    <row r="45536" spans="18:18" s="2" customFormat="1" ht="12.75" x14ac:dyDescent="0.2">
      <c r="R45536" s="1288"/>
    </row>
    <row r="45537" spans="18:18" s="2" customFormat="1" ht="12.75" x14ac:dyDescent="0.2">
      <c r="R45537" s="1288"/>
    </row>
    <row r="45538" spans="18:18" s="2" customFormat="1" ht="12.75" x14ac:dyDescent="0.2">
      <c r="R45538" s="1288"/>
    </row>
    <row r="45539" spans="18:18" s="2" customFormat="1" ht="12.75" x14ac:dyDescent="0.2">
      <c r="R45539" s="1288"/>
    </row>
    <row r="45540" spans="18:18" s="2" customFormat="1" ht="12.75" x14ac:dyDescent="0.2">
      <c r="R45540" s="1288"/>
    </row>
    <row r="45541" spans="18:18" s="2" customFormat="1" ht="12.75" x14ac:dyDescent="0.2">
      <c r="R45541" s="1288"/>
    </row>
    <row r="45542" spans="18:18" s="2" customFormat="1" ht="12.75" x14ac:dyDescent="0.2">
      <c r="R45542" s="1288"/>
    </row>
    <row r="45543" spans="18:18" s="2" customFormat="1" ht="12.75" x14ac:dyDescent="0.2">
      <c r="R45543" s="1288"/>
    </row>
    <row r="45544" spans="18:18" s="2" customFormat="1" ht="12.75" x14ac:dyDescent="0.2">
      <c r="R45544" s="1288"/>
    </row>
    <row r="45545" spans="18:18" s="2" customFormat="1" ht="12.75" x14ac:dyDescent="0.2">
      <c r="R45545" s="1288"/>
    </row>
    <row r="45546" spans="18:18" s="2" customFormat="1" ht="12.75" x14ac:dyDescent="0.2">
      <c r="R45546" s="1288"/>
    </row>
    <row r="45547" spans="18:18" s="2" customFormat="1" ht="12.75" x14ac:dyDescent="0.2">
      <c r="R45547" s="1288"/>
    </row>
    <row r="45548" spans="18:18" s="2" customFormat="1" ht="12.75" x14ac:dyDescent="0.2">
      <c r="R45548" s="1288"/>
    </row>
    <row r="45549" spans="18:18" s="2" customFormat="1" ht="12.75" x14ac:dyDescent="0.2">
      <c r="R45549" s="1288"/>
    </row>
    <row r="45550" spans="18:18" s="2" customFormat="1" ht="12.75" x14ac:dyDescent="0.2">
      <c r="R45550" s="1288"/>
    </row>
    <row r="45551" spans="18:18" s="2" customFormat="1" ht="12.75" x14ac:dyDescent="0.2">
      <c r="R45551" s="1288"/>
    </row>
    <row r="45552" spans="18:18" s="2" customFormat="1" ht="12.75" x14ac:dyDescent="0.2">
      <c r="R45552" s="1288"/>
    </row>
    <row r="45553" spans="18:18" s="2" customFormat="1" ht="12.75" x14ac:dyDescent="0.2">
      <c r="R45553" s="1288"/>
    </row>
    <row r="45554" spans="18:18" s="2" customFormat="1" ht="12.75" x14ac:dyDescent="0.2">
      <c r="R45554" s="1288"/>
    </row>
    <row r="45555" spans="18:18" s="2" customFormat="1" ht="12.75" x14ac:dyDescent="0.2">
      <c r="R45555" s="1288"/>
    </row>
    <row r="45556" spans="18:18" s="2" customFormat="1" ht="12.75" x14ac:dyDescent="0.2">
      <c r="R45556" s="1288"/>
    </row>
    <row r="45557" spans="18:18" s="2" customFormat="1" ht="12.75" x14ac:dyDescent="0.2">
      <c r="R45557" s="1288"/>
    </row>
    <row r="45558" spans="18:18" s="2" customFormat="1" ht="12.75" x14ac:dyDescent="0.2">
      <c r="R45558" s="1288"/>
    </row>
    <row r="45559" spans="18:18" s="2" customFormat="1" ht="12.75" x14ac:dyDescent="0.2">
      <c r="R45559" s="1288"/>
    </row>
    <row r="45560" spans="18:18" s="2" customFormat="1" ht="12.75" x14ac:dyDescent="0.2">
      <c r="R45560" s="1288"/>
    </row>
    <row r="45561" spans="18:18" s="2" customFormat="1" ht="12.75" x14ac:dyDescent="0.2">
      <c r="R45561" s="1288"/>
    </row>
    <row r="45562" spans="18:18" s="2" customFormat="1" ht="12.75" x14ac:dyDescent="0.2">
      <c r="R45562" s="1288"/>
    </row>
    <row r="45563" spans="18:18" s="2" customFormat="1" ht="12.75" x14ac:dyDescent="0.2">
      <c r="R45563" s="1288"/>
    </row>
    <row r="45564" spans="18:18" s="2" customFormat="1" ht="12.75" x14ac:dyDescent="0.2">
      <c r="R45564" s="1288"/>
    </row>
    <row r="45565" spans="18:18" s="2" customFormat="1" ht="12.75" x14ac:dyDescent="0.2">
      <c r="R45565" s="1288"/>
    </row>
    <row r="45566" spans="18:18" s="2" customFormat="1" ht="12.75" x14ac:dyDescent="0.2">
      <c r="R45566" s="1288"/>
    </row>
    <row r="45567" spans="18:18" s="2" customFormat="1" ht="12.75" x14ac:dyDescent="0.2">
      <c r="R45567" s="1288"/>
    </row>
    <row r="45568" spans="18:18" s="2" customFormat="1" ht="12.75" x14ac:dyDescent="0.2">
      <c r="R45568" s="1288"/>
    </row>
    <row r="45569" spans="18:18" s="2" customFormat="1" ht="12.75" x14ac:dyDescent="0.2">
      <c r="R45569" s="1288"/>
    </row>
    <row r="45570" spans="18:18" s="2" customFormat="1" ht="12.75" x14ac:dyDescent="0.2">
      <c r="R45570" s="1288"/>
    </row>
    <row r="45571" spans="18:18" s="2" customFormat="1" ht="12.75" x14ac:dyDescent="0.2">
      <c r="R45571" s="1288"/>
    </row>
    <row r="45572" spans="18:18" s="2" customFormat="1" ht="12.75" x14ac:dyDescent="0.2">
      <c r="R45572" s="1288"/>
    </row>
    <row r="45573" spans="18:18" s="2" customFormat="1" ht="12.75" x14ac:dyDescent="0.2">
      <c r="R45573" s="1288"/>
    </row>
    <row r="45574" spans="18:18" s="2" customFormat="1" ht="12.75" x14ac:dyDescent="0.2">
      <c r="R45574" s="1288"/>
    </row>
    <row r="45575" spans="18:18" s="2" customFormat="1" ht="12.75" x14ac:dyDescent="0.2">
      <c r="R45575" s="1288"/>
    </row>
    <row r="45576" spans="18:18" s="2" customFormat="1" ht="12.75" x14ac:dyDescent="0.2">
      <c r="R45576" s="1288"/>
    </row>
    <row r="45577" spans="18:18" s="2" customFormat="1" ht="12.75" x14ac:dyDescent="0.2">
      <c r="R45577" s="1288"/>
    </row>
    <row r="45578" spans="18:18" s="2" customFormat="1" ht="12.75" x14ac:dyDescent="0.2">
      <c r="R45578" s="1288"/>
    </row>
    <row r="45579" spans="18:18" s="2" customFormat="1" ht="12.75" x14ac:dyDescent="0.2">
      <c r="R45579" s="1288"/>
    </row>
    <row r="45580" spans="18:18" s="2" customFormat="1" ht="12.75" x14ac:dyDescent="0.2">
      <c r="R45580" s="1288"/>
    </row>
    <row r="45581" spans="18:18" s="2" customFormat="1" ht="12.75" x14ac:dyDescent="0.2">
      <c r="R45581" s="1288"/>
    </row>
    <row r="45582" spans="18:18" s="2" customFormat="1" ht="12.75" x14ac:dyDescent="0.2">
      <c r="R45582" s="1288"/>
    </row>
    <row r="45583" spans="18:18" s="2" customFormat="1" ht="12.75" x14ac:dyDescent="0.2">
      <c r="R45583" s="1288"/>
    </row>
    <row r="45584" spans="18:18" s="2" customFormat="1" ht="12.75" x14ac:dyDescent="0.2">
      <c r="R45584" s="1288"/>
    </row>
    <row r="45585" spans="18:18" s="2" customFormat="1" ht="12.75" x14ac:dyDescent="0.2">
      <c r="R45585" s="1288"/>
    </row>
    <row r="45586" spans="18:18" s="2" customFormat="1" ht="12.75" x14ac:dyDescent="0.2">
      <c r="R45586" s="1288"/>
    </row>
    <row r="45587" spans="18:18" s="2" customFormat="1" ht="12.75" x14ac:dyDescent="0.2">
      <c r="R45587" s="1288"/>
    </row>
    <row r="45588" spans="18:18" s="2" customFormat="1" ht="12.75" x14ac:dyDescent="0.2">
      <c r="R45588" s="1288"/>
    </row>
    <row r="45589" spans="18:18" s="2" customFormat="1" ht="12.75" x14ac:dyDescent="0.2">
      <c r="R45589" s="1288"/>
    </row>
    <row r="45590" spans="18:18" s="2" customFormat="1" ht="12.75" x14ac:dyDescent="0.2">
      <c r="R45590" s="1288"/>
    </row>
    <row r="45591" spans="18:18" s="2" customFormat="1" ht="12.75" x14ac:dyDescent="0.2">
      <c r="R45591" s="1288"/>
    </row>
    <row r="45592" spans="18:18" s="2" customFormat="1" ht="12.75" x14ac:dyDescent="0.2">
      <c r="R45592" s="1288"/>
    </row>
    <row r="45593" spans="18:18" s="2" customFormat="1" ht="12.75" x14ac:dyDescent="0.2">
      <c r="R45593" s="1288"/>
    </row>
    <row r="45594" spans="18:18" s="2" customFormat="1" ht="12.75" x14ac:dyDescent="0.2">
      <c r="R45594" s="1288"/>
    </row>
    <row r="45595" spans="18:18" s="2" customFormat="1" ht="12.75" x14ac:dyDescent="0.2">
      <c r="R45595" s="1288"/>
    </row>
    <row r="45596" spans="18:18" s="2" customFormat="1" ht="12.75" x14ac:dyDescent="0.2">
      <c r="R45596" s="1288"/>
    </row>
    <row r="45597" spans="18:18" s="2" customFormat="1" ht="12.75" x14ac:dyDescent="0.2">
      <c r="R45597" s="1288"/>
    </row>
    <row r="45598" spans="18:18" s="2" customFormat="1" ht="12.75" x14ac:dyDescent="0.2">
      <c r="R45598" s="1288"/>
    </row>
    <row r="45599" spans="18:18" s="2" customFormat="1" ht="12.75" x14ac:dyDescent="0.2">
      <c r="R45599" s="1288"/>
    </row>
    <row r="45600" spans="18:18" s="2" customFormat="1" ht="12.75" x14ac:dyDescent="0.2">
      <c r="R45600" s="1288"/>
    </row>
    <row r="45601" spans="18:18" s="2" customFormat="1" ht="12.75" x14ac:dyDescent="0.2">
      <c r="R45601" s="1288"/>
    </row>
    <row r="45602" spans="18:18" s="2" customFormat="1" ht="12.75" x14ac:dyDescent="0.2">
      <c r="R45602" s="1288"/>
    </row>
    <row r="45603" spans="18:18" s="2" customFormat="1" ht="12.75" x14ac:dyDescent="0.2">
      <c r="R45603" s="1288"/>
    </row>
    <row r="45604" spans="18:18" s="2" customFormat="1" ht="12.75" x14ac:dyDescent="0.2">
      <c r="R45604" s="1288"/>
    </row>
    <row r="45605" spans="18:18" s="2" customFormat="1" ht="12.75" x14ac:dyDescent="0.2">
      <c r="R45605" s="1288"/>
    </row>
    <row r="45606" spans="18:18" s="2" customFormat="1" ht="12.75" x14ac:dyDescent="0.2">
      <c r="R45606" s="1288"/>
    </row>
    <row r="45607" spans="18:18" s="2" customFormat="1" ht="12.75" x14ac:dyDescent="0.2">
      <c r="R45607" s="1288"/>
    </row>
    <row r="45608" spans="18:18" s="2" customFormat="1" ht="12.75" x14ac:dyDescent="0.2">
      <c r="R45608" s="1288"/>
    </row>
    <row r="45609" spans="18:18" s="2" customFormat="1" ht="12.75" x14ac:dyDescent="0.2">
      <c r="R45609" s="1288"/>
    </row>
    <row r="45610" spans="18:18" s="2" customFormat="1" ht="12.75" x14ac:dyDescent="0.2">
      <c r="R45610" s="1288"/>
    </row>
    <row r="45611" spans="18:18" s="2" customFormat="1" ht="12.75" x14ac:dyDescent="0.2">
      <c r="R45611" s="1288"/>
    </row>
    <row r="45612" spans="18:18" s="2" customFormat="1" ht="12.75" x14ac:dyDescent="0.2">
      <c r="R45612" s="1288"/>
    </row>
    <row r="45613" spans="18:18" s="2" customFormat="1" ht="12.75" x14ac:dyDescent="0.2">
      <c r="R45613" s="1288"/>
    </row>
    <row r="45614" spans="18:18" s="2" customFormat="1" ht="12.75" x14ac:dyDescent="0.2">
      <c r="R45614" s="1288"/>
    </row>
    <row r="45615" spans="18:18" s="2" customFormat="1" ht="12.75" x14ac:dyDescent="0.2">
      <c r="R45615" s="1288"/>
    </row>
    <row r="45616" spans="18:18" s="2" customFormat="1" ht="12.75" x14ac:dyDescent="0.2">
      <c r="R45616" s="1288"/>
    </row>
    <row r="45617" spans="18:18" s="2" customFormat="1" ht="12.75" x14ac:dyDescent="0.2">
      <c r="R45617" s="1288"/>
    </row>
    <row r="45618" spans="18:18" s="2" customFormat="1" ht="12.75" x14ac:dyDescent="0.2">
      <c r="R45618" s="1288"/>
    </row>
    <row r="45619" spans="18:18" s="2" customFormat="1" ht="12.75" x14ac:dyDescent="0.2">
      <c r="R45619" s="1288"/>
    </row>
    <row r="45620" spans="18:18" s="2" customFormat="1" ht="12.75" x14ac:dyDescent="0.2">
      <c r="R45620" s="1288"/>
    </row>
    <row r="45621" spans="18:18" s="2" customFormat="1" ht="12.75" x14ac:dyDescent="0.2">
      <c r="R45621" s="1288"/>
    </row>
    <row r="45622" spans="18:18" s="2" customFormat="1" ht="12.75" x14ac:dyDescent="0.2">
      <c r="R45622" s="1288"/>
    </row>
    <row r="45623" spans="18:18" s="2" customFormat="1" ht="12.75" x14ac:dyDescent="0.2">
      <c r="R45623" s="1288"/>
    </row>
    <row r="45624" spans="18:18" s="2" customFormat="1" ht="12.75" x14ac:dyDescent="0.2">
      <c r="R45624" s="1288"/>
    </row>
    <row r="45625" spans="18:18" s="2" customFormat="1" ht="12.75" x14ac:dyDescent="0.2">
      <c r="R45625" s="1288"/>
    </row>
    <row r="45626" spans="18:18" s="2" customFormat="1" ht="12.75" x14ac:dyDescent="0.2">
      <c r="R45626" s="1288"/>
    </row>
    <row r="45627" spans="18:18" s="2" customFormat="1" ht="12.75" x14ac:dyDescent="0.2">
      <c r="R45627" s="1288"/>
    </row>
    <row r="45628" spans="18:18" s="2" customFormat="1" ht="12.75" x14ac:dyDescent="0.2">
      <c r="R45628" s="1288"/>
    </row>
    <row r="45629" spans="18:18" s="2" customFormat="1" ht="12.75" x14ac:dyDescent="0.2">
      <c r="R45629" s="1288"/>
    </row>
    <row r="45630" spans="18:18" s="2" customFormat="1" ht="12.75" x14ac:dyDescent="0.2">
      <c r="R45630" s="1288"/>
    </row>
    <row r="45631" spans="18:18" s="2" customFormat="1" ht="12.75" x14ac:dyDescent="0.2">
      <c r="R45631" s="1288"/>
    </row>
    <row r="45632" spans="18:18" s="2" customFormat="1" ht="12.75" x14ac:dyDescent="0.2">
      <c r="R45632" s="1288"/>
    </row>
    <row r="45633" spans="18:18" s="2" customFormat="1" ht="12.75" x14ac:dyDescent="0.2">
      <c r="R45633" s="1288"/>
    </row>
    <row r="45634" spans="18:18" s="2" customFormat="1" ht="12.75" x14ac:dyDescent="0.2">
      <c r="R45634" s="1288"/>
    </row>
    <row r="45635" spans="18:18" s="2" customFormat="1" ht="12.75" x14ac:dyDescent="0.2">
      <c r="R45635" s="1288"/>
    </row>
    <row r="45636" spans="18:18" s="2" customFormat="1" ht="12.75" x14ac:dyDescent="0.2">
      <c r="R45636" s="1288"/>
    </row>
    <row r="45637" spans="18:18" s="2" customFormat="1" ht="12.75" x14ac:dyDescent="0.2">
      <c r="R45637" s="1288"/>
    </row>
    <row r="45638" spans="18:18" s="2" customFormat="1" ht="12.75" x14ac:dyDescent="0.2">
      <c r="R45638" s="1288"/>
    </row>
    <row r="45639" spans="18:18" s="2" customFormat="1" ht="12.75" x14ac:dyDescent="0.2">
      <c r="R45639" s="1288"/>
    </row>
    <row r="45640" spans="18:18" s="2" customFormat="1" ht="12.75" x14ac:dyDescent="0.2">
      <c r="R45640" s="1288"/>
    </row>
    <row r="45641" spans="18:18" s="2" customFormat="1" ht="12.75" x14ac:dyDescent="0.2">
      <c r="R45641" s="1288"/>
    </row>
    <row r="45642" spans="18:18" s="2" customFormat="1" ht="12.75" x14ac:dyDescent="0.2">
      <c r="R45642" s="1288"/>
    </row>
    <row r="45643" spans="18:18" s="2" customFormat="1" ht="12.75" x14ac:dyDescent="0.2">
      <c r="R45643" s="1288"/>
    </row>
    <row r="45644" spans="18:18" s="2" customFormat="1" ht="12.75" x14ac:dyDescent="0.2">
      <c r="R45644" s="1288"/>
    </row>
    <row r="45645" spans="18:18" s="2" customFormat="1" ht="12.75" x14ac:dyDescent="0.2">
      <c r="R45645" s="1288"/>
    </row>
    <row r="45646" spans="18:18" s="2" customFormat="1" ht="12.75" x14ac:dyDescent="0.2">
      <c r="R45646" s="1288"/>
    </row>
    <row r="45647" spans="18:18" s="2" customFormat="1" ht="12.75" x14ac:dyDescent="0.2">
      <c r="R45647" s="1288"/>
    </row>
    <row r="45648" spans="18:18" s="2" customFormat="1" ht="12.75" x14ac:dyDescent="0.2">
      <c r="R45648" s="1288"/>
    </row>
    <row r="45649" spans="18:18" s="2" customFormat="1" ht="12.75" x14ac:dyDescent="0.2">
      <c r="R45649" s="1288"/>
    </row>
    <row r="45650" spans="18:18" s="2" customFormat="1" ht="12.75" x14ac:dyDescent="0.2">
      <c r="R45650" s="1288"/>
    </row>
    <row r="45651" spans="18:18" s="2" customFormat="1" ht="12.75" x14ac:dyDescent="0.2">
      <c r="R45651" s="1288"/>
    </row>
    <row r="45652" spans="18:18" s="2" customFormat="1" ht="12.75" x14ac:dyDescent="0.2">
      <c r="R45652" s="1288"/>
    </row>
    <row r="45653" spans="18:18" s="2" customFormat="1" ht="12.75" x14ac:dyDescent="0.2">
      <c r="R45653" s="1288"/>
    </row>
    <row r="45654" spans="18:18" s="2" customFormat="1" ht="12.75" x14ac:dyDescent="0.2">
      <c r="R45654" s="1288"/>
    </row>
    <row r="45655" spans="18:18" s="2" customFormat="1" ht="12.75" x14ac:dyDescent="0.2">
      <c r="R45655" s="1288"/>
    </row>
    <row r="45656" spans="18:18" s="2" customFormat="1" ht="12.75" x14ac:dyDescent="0.2">
      <c r="R45656" s="1288"/>
    </row>
    <row r="45657" spans="18:18" s="2" customFormat="1" ht="12.75" x14ac:dyDescent="0.2">
      <c r="R45657" s="1288"/>
    </row>
    <row r="45658" spans="18:18" s="2" customFormat="1" ht="12.75" x14ac:dyDescent="0.2">
      <c r="R45658" s="1288"/>
    </row>
    <row r="45659" spans="18:18" s="2" customFormat="1" ht="12.75" x14ac:dyDescent="0.2">
      <c r="R45659" s="1288"/>
    </row>
    <row r="45660" spans="18:18" s="2" customFormat="1" ht="12.75" x14ac:dyDescent="0.2">
      <c r="R45660" s="1288"/>
    </row>
    <row r="45661" spans="18:18" s="2" customFormat="1" ht="12.75" x14ac:dyDescent="0.2">
      <c r="R45661" s="1288"/>
    </row>
    <row r="45662" spans="18:18" s="2" customFormat="1" ht="12.75" x14ac:dyDescent="0.2">
      <c r="R45662" s="1288"/>
    </row>
    <row r="45663" spans="18:18" s="2" customFormat="1" ht="12.75" x14ac:dyDescent="0.2">
      <c r="R45663" s="1288"/>
    </row>
    <row r="45664" spans="18:18" s="2" customFormat="1" ht="12.75" x14ac:dyDescent="0.2">
      <c r="R45664" s="1288"/>
    </row>
    <row r="45665" spans="18:18" s="2" customFormat="1" ht="12.75" x14ac:dyDescent="0.2">
      <c r="R45665" s="1288"/>
    </row>
    <row r="45666" spans="18:18" s="2" customFormat="1" ht="12.75" x14ac:dyDescent="0.2">
      <c r="R45666" s="1288"/>
    </row>
    <row r="45667" spans="18:18" s="2" customFormat="1" ht="12.75" x14ac:dyDescent="0.2">
      <c r="R45667" s="1288"/>
    </row>
    <row r="45668" spans="18:18" s="2" customFormat="1" ht="12.75" x14ac:dyDescent="0.2">
      <c r="R45668" s="1288"/>
    </row>
    <row r="45669" spans="18:18" s="2" customFormat="1" ht="12.75" x14ac:dyDescent="0.2">
      <c r="R45669" s="1288"/>
    </row>
    <row r="45670" spans="18:18" s="2" customFormat="1" ht="12.75" x14ac:dyDescent="0.2">
      <c r="R45670" s="1288"/>
    </row>
    <row r="45671" spans="18:18" s="2" customFormat="1" ht="12.75" x14ac:dyDescent="0.2">
      <c r="R45671" s="1288"/>
    </row>
    <row r="45672" spans="18:18" s="2" customFormat="1" ht="12.75" x14ac:dyDescent="0.2">
      <c r="R45672" s="1288"/>
    </row>
    <row r="45673" spans="18:18" s="2" customFormat="1" ht="12.75" x14ac:dyDescent="0.2">
      <c r="R45673" s="1288"/>
    </row>
    <row r="45674" spans="18:18" s="2" customFormat="1" ht="12.75" x14ac:dyDescent="0.2">
      <c r="R45674" s="1288"/>
    </row>
    <row r="45675" spans="18:18" s="2" customFormat="1" ht="12.75" x14ac:dyDescent="0.2">
      <c r="R45675" s="1288"/>
    </row>
    <row r="45676" spans="18:18" s="2" customFormat="1" ht="12.75" x14ac:dyDescent="0.2">
      <c r="R45676" s="1288"/>
    </row>
    <row r="45677" spans="18:18" s="2" customFormat="1" ht="12.75" x14ac:dyDescent="0.2">
      <c r="R45677" s="1288"/>
    </row>
    <row r="45678" spans="18:18" s="2" customFormat="1" ht="12.75" x14ac:dyDescent="0.2">
      <c r="R45678" s="1288"/>
    </row>
    <row r="45679" spans="18:18" s="2" customFormat="1" ht="12.75" x14ac:dyDescent="0.2">
      <c r="R45679" s="1288"/>
    </row>
    <row r="45680" spans="18:18" s="2" customFormat="1" ht="12.75" x14ac:dyDescent="0.2">
      <c r="R45680" s="1288"/>
    </row>
    <row r="45681" spans="18:18" s="2" customFormat="1" ht="12.75" x14ac:dyDescent="0.2">
      <c r="R45681" s="1288"/>
    </row>
    <row r="45682" spans="18:18" s="2" customFormat="1" ht="12.75" x14ac:dyDescent="0.2">
      <c r="R45682" s="1288"/>
    </row>
    <row r="45683" spans="18:18" s="2" customFormat="1" ht="12.75" x14ac:dyDescent="0.2">
      <c r="R45683" s="1288"/>
    </row>
    <row r="45684" spans="18:18" s="2" customFormat="1" ht="12.75" x14ac:dyDescent="0.2">
      <c r="R45684" s="1288"/>
    </row>
    <row r="45685" spans="18:18" s="2" customFormat="1" ht="12.75" x14ac:dyDescent="0.2">
      <c r="R45685" s="1288"/>
    </row>
    <row r="45686" spans="18:18" s="2" customFormat="1" ht="12.75" x14ac:dyDescent="0.2">
      <c r="R45686" s="1288"/>
    </row>
    <row r="45687" spans="18:18" s="2" customFormat="1" ht="12.75" x14ac:dyDescent="0.2">
      <c r="R45687" s="1288"/>
    </row>
    <row r="45688" spans="18:18" s="2" customFormat="1" ht="12.75" x14ac:dyDescent="0.2">
      <c r="R45688" s="1288"/>
    </row>
    <row r="45689" spans="18:18" s="2" customFormat="1" ht="12.75" x14ac:dyDescent="0.2">
      <c r="R45689" s="1288"/>
    </row>
    <row r="45690" spans="18:18" s="2" customFormat="1" ht="12.75" x14ac:dyDescent="0.2">
      <c r="R45690" s="1288"/>
    </row>
    <row r="45691" spans="18:18" s="2" customFormat="1" ht="12.75" x14ac:dyDescent="0.2">
      <c r="R45691" s="1288"/>
    </row>
    <row r="45692" spans="18:18" s="2" customFormat="1" ht="12.75" x14ac:dyDescent="0.2">
      <c r="R45692" s="1288"/>
    </row>
    <row r="45693" spans="18:18" s="2" customFormat="1" ht="12.75" x14ac:dyDescent="0.2">
      <c r="R45693" s="1288"/>
    </row>
    <row r="45694" spans="18:18" s="2" customFormat="1" ht="12.75" x14ac:dyDescent="0.2">
      <c r="R45694" s="1288"/>
    </row>
    <row r="45695" spans="18:18" s="2" customFormat="1" ht="12.75" x14ac:dyDescent="0.2">
      <c r="R45695" s="1288"/>
    </row>
    <row r="45696" spans="18:18" s="2" customFormat="1" ht="12.75" x14ac:dyDescent="0.2">
      <c r="R45696" s="1288"/>
    </row>
    <row r="45697" spans="18:18" s="2" customFormat="1" ht="12.75" x14ac:dyDescent="0.2">
      <c r="R45697" s="1288"/>
    </row>
    <row r="45698" spans="18:18" s="2" customFormat="1" ht="12.75" x14ac:dyDescent="0.2">
      <c r="R45698" s="1288"/>
    </row>
    <row r="45699" spans="18:18" s="2" customFormat="1" ht="12.75" x14ac:dyDescent="0.2">
      <c r="R45699" s="1288"/>
    </row>
    <row r="45700" spans="18:18" s="2" customFormat="1" ht="12.75" x14ac:dyDescent="0.2">
      <c r="R45700" s="1288"/>
    </row>
    <row r="45701" spans="18:18" s="2" customFormat="1" ht="12.75" x14ac:dyDescent="0.2">
      <c r="R45701" s="1288"/>
    </row>
    <row r="45702" spans="18:18" s="2" customFormat="1" ht="12.75" x14ac:dyDescent="0.2">
      <c r="R45702" s="1288"/>
    </row>
    <row r="45703" spans="18:18" s="2" customFormat="1" ht="12.75" x14ac:dyDescent="0.2">
      <c r="R45703" s="1288"/>
    </row>
    <row r="45704" spans="18:18" s="2" customFormat="1" ht="12.75" x14ac:dyDescent="0.2">
      <c r="R45704" s="1288"/>
    </row>
    <row r="45705" spans="18:18" s="2" customFormat="1" ht="12.75" x14ac:dyDescent="0.2">
      <c r="R45705" s="1288"/>
    </row>
    <row r="45706" spans="18:18" s="2" customFormat="1" ht="12.75" x14ac:dyDescent="0.2">
      <c r="R45706" s="1288"/>
    </row>
    <row r="45707" spans="18:18" s="2" customFormat="1" ht="12.75" x14ac:dyDescent="0.2">
      <c r="R45707" s="1288"/>
    </row>
    <row r="45708" spans="18:18" s="2" customFormat="1" ht="12.75" x14ac:dyDescent="0.2">
      <c r="R45708" s="1288"/>
    </row>
    <row r="45709" spans="18:18" s="2" customFormat="1" ht="12.75" x14ac:dyDescent="0.2">
      <c r="R45709" s="1288"/>
    </row>
    <row r="45710" spans="18:18" s="2" customFormat="1" ht="12.75" x14ac:dyDescent="0.2">
      <c r="R45710" s="1288"/>
    </row>
    <row r="45711" spans="18:18" s="2" customFormat="1" ht="12.75" x14ac:dyDescent="0.2">
      <c r="R45711" s="1288"/>
    </row>
    <row r="45712" spans="18:18" s="2" customFormat="1" ht="12.75" x14ac:dyDescent="0.2">
      <c r="R45712" s="1288"/>
    </row>
    <row r="45713" spans="18:18" s="2" customFormat="1" ht="12.75" x14ac:dyDescent="0.2">
      <c r="R45713" s="1288"/>
    </row>
    <row r="45714" spans="18:18" s="2" customFormat="1" ht="12.75" x14ac:dyDescent="0.2">
      <c r="R45714" s="1288"/>
    </row>
    <row r="45715" spans="18:18" s="2" customFormat="1" ht="12.75" x14ac:dyDescent="0.2">
      <c r="R45715" s="1288"/>
    </row>
    <row r="45716" spans="18:18" s="2" customFormat="1" ht="12.75" x14ac:dyDescent="0.2">
      <c r="R45716" s="1288"/>
    </row>
    <row r="45717" spans="18:18" s="2" customFormat="1" ht="12.75" x14ac:dyDescent="0.2">
      <c r="R45717" s="1288"/>
    </row>
    <row r="45718" spans="18:18" s="2" customFormat="1" ht="12.75" x14ac:dyDescent="0.2">
      <c r="R45718" s="1288"/>
    </row>
    <row r="45719" spans="18:18" s="2" customFormat="1" ht="12.75" x14ac:dyDescent="0.2">
      <c r="R45719" s="1288"/>
    </row>
    <row r="45720" spans="18:18" s="2" customFormat="1" ht="12.75" x14ac:dyDescent="0.2">
      <c r="R45720" s="1288"/>
    </row>
    <row r="45721" spans="18:18" s="2" customFormat="1" ht="12.75" x14ac:dyDescent="0.2">
      <c r="R45721" s="1288"/>
    </row>
    <row r="45722" spans="18:18" s="2" customFormat="1" ht="12.75" x14ac:dyDescent="0.2">
      <c r="R45722" s="1288"/>
    </row>
    <row r="45723" spans="18:18" s="2" customFormat="1" ht="12.75" x14ac:dyDescent="0.2">
      <c r="R45723" s="1288"/>
    </row>
    <row r="45724" spans="18:18" s="2" customFormat="1" ht="12.75" x14ac:dyDescent="0.2">
      <c r="R45724" s="1288"/>
    </row>
    <row r="45725" spans="18:18" s="2" customFormat="1" ht="12.75" x14ac:dyDescent="0.2">
      <c r="R45725" s="1288"/>
    </row>
    <row r="45726" spans="18:18" s="2" customFormat="1" ht="12.75" x14ac:dyDescent="0.2">
      <c r="R45726" s="1288"/>
    </row>
    <row r="45727" spans="18:18" s="2" customFormat="1" ht="12.75" x14ac:dyDescent="0.2">
      <c r="R45727" s="1288"/>
    </row>
    <row r="45728" spans="18:18" s="2" customFormat="1" ht="12.75" x14ac:dyDescent="0.2">
      <c r="R45728" s="1288"/>
    </row>
    <row r="45729" spans="18:18" s="2" customFormat="1" ht="12.75" x14ac:dyDescent="0.2">
      <c r="R45729" s="1288"/>
    </row>
    <row r="45730" spans="18:18" s="2" customFormat="1" ht="12.75" x14ac:dyDescent="0.2">
      <c r="R45730" s="1288"/>
    </row>
    <row r="45731" spans="18:18" s="2" customFormat="1" ht="12.75" x14ac:dyDescent="0.2">
      <c r="R45731" s="1288"/>
    </row>
    <row r="45732" spans="18:18" s="2" customFormat="1" ht="12.75" x14ac:dyDescent="0.2">
      <c r="R45732" s="1288"/>
    </row>
    <row r="45733" spans="18:18" s="2" customFormat="1" ht="12.75" x14ac:dyDescent="0.2">
      <c r="R45733" s="1288"/>
    </row>
    <row r="45734" spans="18:18" s="2" customFormat="1" ht="12.75" x14ac:dyDescent="0.2">
      <c r="R45734" s="1288"/>
    </row>
    <row r="45735" spans="18:18" s="2" customFormat="1" ht="12.75" x14ac:dyDescent="0.2">
      <c r="R45735" s="1288"/>
    </row>
    <row r="45736" spans="18:18" s="2" customFormat="1" ht="12.75" x14ac:dyDescent="0.2">
      <c r="R45736" s="1288"/>
    </row>
    <row r="45737" spans="18:18" s="2" customFormat="1" ht="12.75" x14ac:dyDescent="0.2">
      <c r="R45737" s="1288"/>
    </row>
    <row r="45738" spans="18:18" s="2" customFormat="1" ht="12.75" x14ac:dyDescent="0.2">
      <c r="R45738" s="1288"/>
    </row>
    <row r="45739" spans="18:18" s="2" customFormat="1" ht="12.75" x14ac:dyDescent="0.2">
      <c r="R45739" s="1288"/>
    </row>
    <row r="45740" spans="18:18" s="2" customFormat="1" ht="12.75" x14ac:dyDescent="0.2">
      <c r="R45740" s="1288"/>
    </row>
    <row r="45741" spans="18:18" s="2" customFormat="1" ht="12.75" x14ac:dyDescent="0.2">
      <c r="R45741" s="1288"/>
    </row>
    <row r="45742" spans="18:18" s="2" customFormat="1" ht="12.75" x14ac:dyDescent="0.2">
      <c r="R45742" s="1288"/>
    </row>
    <row r="45743" spans="18:18" s="2" customFormat="1" ht="12.75" x14ac:dyDescent="0.2">
      <c r="R45743" s="1288"/>
    </row>
    <row r="45744" spans="18:18" s="2" customFormat="1" ht="12.75" x14ac:dyDescent="0.2">
      <c r="R45744" s="1288"/>
    </row>
    <row r="45745" spans="18:18" s="2" customFormat="1" ht="12.75" x14ac:dyDescent="0.2">
      <c r="R45745" s="1288"/>
    </row>
    <row r="45746" spans="18:18" s="2" customFormat="1" ht="12.75" x14ac:dyDescent="0.2">
      <c r="R45746" s="1288"/>
    </row>
    <row r="45747" spans="18:18" s="2" customFormat="1" ht="12.75" x14ac:dyDescent="0.2">
      <c r="R45747" s="1288"/>
    </row>
    <row r="45748" spans="18:18" s="2" customFormat="1" ht="12.75" x14ac:dyDescent="0.2">
      <c r="R45748" s="1288"/>
    </row>
    <row r="45749" spans="18:18" s="2" customFormat="1" ht="12.75" x14ac:dyDescent="0.2">
      <c r="R45749" s="1288"/>
    </row>
    <row r="45750" spans="18:18" s="2" customFormat="1" ht="12.75" x14ac:dyDescent="0.2">
      <c r="R45750" s="1288"/>
    </row>
    <row r="45751" spans="18:18" s="2" customFormat="1" ht="12.75" x14ac:dyDescent="0.2">
      <c r="R45751" s="1288"/>
    </row>
    <row r="45752" spans="18:18" s="2" customFormat="1" ht="12.75" x14ac:dyDescent="0.2">
      <c r="R45752" s="1288"/>
    </row>
    <row r="45753" spans="18:18" s="2" customFormat="1" ht="12.75" x14ac:dyDescent="0.2">
      <c r="R45753" s="1288"/>
    </row>
    <row r="45754" spans="18:18" s="2" customFormat="1" ht="12.75" x14ac:dyDescent="0.2">
      <c r="R45754" s="1288"/>
    </row>
    <row r="45755" spans="18:18" s="2" customFormat="1" ht="12.75" x14ac:dyDescent="0.2">
      <c r="R45755" s="1288"/>
    </row>
    <row r="45756" spans="18:18" s="2" customFormat="1" ht="12.75" x14ac:dyDescent="0.2">
      <c r="R45756" s="1288"/>
    </row>
    <row r="45757" spans="18:18" s="2" customFormat="1" ht="12.75" x14ac:dyDescent="0.2">
      <c r="R45757" s="1288"/>
    </row>
    <row r="45758" spans="18:18" s="2" customFormat="1" ht="12.75" x14ac:dyDescent="0.2">
      <c r="R45758" s="1288"/>
    </row>
    <row r="45759" spans="18:18" s="2" customFormat="1" ht="12.75" x14ac:dyDescent="0.2">
      <c r="R45759" s="1288"/>
    </row>
    <row r="45760" spans="18:18" s="2" customFormat="1" ht="12.75" x14ac:dyDescent="0.2">
      <c r="R45760" s="1288"/>
    </row>
    <row r="45761" spans="18:18" s="2" customFormat="1" ht="12.75" x14ac:dyDescent="0.2">
      <c r="R45761" s="1288"/>
    </row>
    <row r="45762" spans="18:18" s="2" customFormat="1" ht="12.75" x14ac:dyDescent="0.2">
      <c r="R45762" s="1288"/>
    </row>
    <row r="45763" spans="18:18" s="2" customFormat="1" ht="12.75" x14ac:dyDescent="0.2">
      <c r="R45763" s="1288"/>
    </row>
    <row r="45764" spans="18:18" s="2" customFormat="1" ht="12.75" x14ac:dyDescent="0.2">
      <c r="R45764" s="1288"/>
    </row>
    <row r="45765" spans="18:18" s="2" customFormat="1" ht="12.75" x14ac:dyDescent="0.2">
      <c r="R45765" s="1288"/>
    </row>
    <row r="45766" spans="18:18" s="2" customFormat="1" ht="12.75" x14ac:dyDescent="0.2">
      <c r="R45766" s="1288"/>
    </row>
    <row r="45767" spans="18:18" s="2" customFormat="1" ht="12.75" x14ac:dyDescent="0.2">
      <c r="R45767" s="1288"/>
    </row>
    <row r="45768" spans="18:18" s="2" customFormat="1" ht="12.75" x14ac:dyDescent="0.2">
      <c r="R45768" s="1288"/>
    </row>
    <row r="45769" spans="18:18" s="2" customFormat="1" ht="12.75" x14ac:dyDescent="0.2">
      <c r="R45769" s="1288"/>
    </row>
    <row r="45770" spans="18:18" s="2" customFormat="1" ht="12.75" x14ac:dyDescent="0.2">
      <c r="R45770" s="1288"/>
    </row>
    <row r="45771" spans="18:18" s="2" customFormat="1" ht="12.75" x14ac:dyDescent="0.2">
      <c r="R45771" s="1288"/>
    </row>
    <row r="45772" spans="18:18" s="2" customFormat="1" ht="12.75" x14ac:dyDescent="0.2">
      <c r="R45772" s="1288"/>
    </row>
    <row r="45773" spans="18:18" s="2" customFormat="1" ht="12.75" x14ac:dyDescent="0.2">
      <c r="R45773" s="1288"/>
    </row>
    <row r="45774" spans="18:18" s="2" customFormat="1" ht="12.75" x14ac:dyDescent="0.2">
      <c r="R45774" s="1288"/>
    </row>
    <row r="45775" spans="18:18" s="2" customFormat="1" ht="12.75" x14ac:dyDescent="0.2">
      <c r="R45775" s="1288"/>
    </row>
    <row r="45776" spans="18:18" s="2" customFormat="1" ht="12.75" x14ac:dyDescent="0.2">
      <c r="R45776" s="1288"/>
    </row>
    <row r="45777" spans="18:18" s="2" customFormat="1" ht="12.75" x14ac:dyDescent="0.2">
      <c r="R45777" s="1288"/>
    </row>
    <row r="45778" spans="18:18" s="2" customFormat="1" ht="12.75" x14ac:dyDescent="0.2">
      <c r="R45778" s="1288"/>
    </row>
    <row r="45779" spans="18:18" s="2" customFormat="1" ht="12.75" x14ac:dyDescent="0.2">
      <c r="R45779" s="1288"/>
    </row>
    <row r="45780" spans="18:18" s="2" customFormat="1" ht="12.75" x14ac:dyDescent="0.2">
      <c r="R45780" s="1288"/>
    </row>
    <row r="45781" spans="18:18" s="2" customFormat="1" ht="12.75" x14ac:dyDescent="0.2">
      <c r="R45781" s="1288"/>
    </row>
    <row r="45782" spans="18:18" s="2" customFormat="1" ht="12.75" x14ac:dyDescent="0.2">
      <c r="R45782" s="1288"/>
    </row>
    <row r="45783" spans="18:18" s="2" customFormat="1" ht="12.75" x14ac:dyDescent="0.2">
      <c r="R45783" s="1288"/>
    </row>
    <row r="45784" spans="18:18" s="2" customFormat="1" ht="12.75" x14ac:dyDescent="0.2">
      <c r="R45784" s="1288"/>
    </row>
    <row r="45785" spans="18:18" s="2" customFormat="1" ht="12.75" x14ac:dyDescent="0.2">
      <c r="R45785" s="1288"/>
    </row>
    <row r="45786" spans="18:18" s="2" customFormat="1" ht="12.75" x14ac:dyDescent="0.2">
      <c r="R45786" s="1288"/>
    </row>
    <row r="45787" spans="18:18" s="2" customFormat="1" ht="12.75" x14ac:dyDescent="0.2">
      <c r="R45787" s="1288"/>
    </row>
    <row r="45788" spans="18:18" s="2" customFormat="1" ht="12.75" x14ac:dyDescent="0.2">
      <c r="R45788" s="1288"/>
    </row>
    <row r="45789" spans="18:18" s="2" customFormat="1" ht="12.75" x14ac:dyDescent="0.2">
      <c r="R45789" s="1288"/>
    </row>
    <row r="45790" spans="18:18" s="2" customFormat="1" ht="12.75" x14ac:dyDescent="0.2">
      <c r="R45790" s="1288"/>
    </row>
    <row r="45791" spans="18:18" s="2" customFormat="1" ht="12.75" x14ac:dyDescent="0.2">
      <c r="R45791" s="1288"/>
    </row>
    <row r="45792" spans="18:18" s="2" customFormat="1" ht="12.75" x14ac:dyDescent="0.2">
      <c r="R45792" s="1288"/>
    </row>
    <row r="45793" spans="18:18" s="2" customFormat="1" ht="12.75" x14ac:dyDescent="0.2">
      <c r="R45793" s="1288"/>
    </row>
    <row r="45794" spans="18:18" s="2" customFormat="1" ht="12.75" x14ac:dyDescent="0.2">
      <c r="R45794" s="1288"/>
    </row>
    <row r="45795" spans="18:18" s="2" customFormat="1" ht="12.75" x14ac:dyDescent="0.2">
      <c r="R45795" s="1288"/>
    </row>
    <row r="45796" spans="18:18" s="2" customFormat="1" ht="12.75" x14ac:dyDescent="0.2">
      <c r="R45796" s="1288"/>
    </row>
    <row r="45797" spans="18:18" s="2" customFormat="1" ht="12.75" x14ac:dyDescent="0.2">
      <c r="R45797" s="1288"/>
    </row>
    <row r="45798" spans="18:18" s="2" customFormat="1" ht="12.75" x14ac:dyDescent="0.2">
      <c r="R45798" s="1288"/>
    </row>
    <row r="45799" spans="18:18" s="2" customFormat="1" ht="12.75" x14ac:dyDescent="0.2">
      <c r="R45799" s="1288"/>
    </row>
    <row r="45800" spans="18:18" s="2" customFormat="1" ht="12.75" x14ac:dyDescent="0.2">
      <c r="R45800" s="1288"/>
    </row>
    <row r="45801" spans="18:18" s="2" customFormat="1" ht="12.75" x14ac:dyDescent="0.2">
      <c r="R45801" s="1288"/>
    </row>
    <row r="45802" spans="18:18" s="2" customFormat="1" ht="12.75" x14ac:dyDescent="0.2">
      <c r="R45802" s="1288"/>
    </row>
    <row r="45803" spans="18:18" s="2" customFormat="1" ht="12.75" x14ac:dyDescent="0.2">
      <c r="R45803" s="1288"/>
    </row>
    <row r="45804" spans="18:18" s="2" customFormat="1" ht="12.75" x14ac:dyDescent="0.2">
      <c r="R45804" s="1288"/>
    </row>
    <row r="45805" spans="18:18" s="2" customFormat="1" ht="12.75" x14ac:dyDescent="0.2">
      <c r="R45805" s="1288"/>
    </row>
    <row r="45806" spans="18:18" s="2" customFormat="1" ht="12.75" x14ac:dyDescent="0.2">
      <c r="R45806" s="1288"/>
    </row>
    <row r="45807" spans="18:18" s="2" customFormat="1" ht="12.75" x14ac:dyDescent="0.2">
      <c r="R45807" s="1288"/>
    </row>
    <row r="45808" spans="18:18" s="2" customFormat="1" ht="12.75" x14ac:dyDescent="0.2">
      <c r="R45808" s="1288"/>
    </row>
    <row r="45809" spans="18:18" s="2" customFormat="1" ht="12.75" x14ac:dyDescent="0.2">
      <c r="R45809" s="1288"/>
    </row>
    <row r="45810" spans="18:18" s="2" customFormat="1" ht="12.75" x14ac:dyDescent="0.2">
      <c r="R45810" s="1288"/>
    </row>
    <row r="45811" spans="18:18" s="2" customFormat="1" ht="12.75" x14ac:dyDescent="0.2">
      <c r="R45811" s="1288"/>
    </row>
    <row r="45812" spans="18:18" s="2" customFormat="1" ht="12.75" x14ac:dyDescent="0.2">
      <c r="R45812" s="1288"/>
    </row>
    <row r="45813" spans="18:18" s="2" customFormat="1" ht="12.75" x14ac:dyDescent="0.2">
      <c r="R45813" s="1288"/>
    </row>
    <row r="45814" spans="18:18" s="2" customFormat="1" ht="12.75" x14ac:dyDescent="0.2">
      <c r="R45814" s="1288"/>
    </row>
    <row r="45815" spans="18:18" s="2" customFormat="1" ht="12.75" x14ac:dyDescent="0.2">
      <c r="R45815" s="1288"/>
    </row>
    <row r="45816" spans="18:18" s="2" customFormat="1" ht="12.75" x14ac:dyDescent="0.2">
      <c r="R45816" s="1288"/>
    </row>
    <row r="45817" spans="18:18" s="2" customFormat="1" ht="12.75" x14ac:dyDescent="0.2">
      <c r="R45817" s="1288"/>
    </row>
    <row r="45818" spans="18:18" s="2" customFormat="1" ht="12.75" x14ac:dyDescent="0.2">
      <c r="R45818" s="1288"/>
    </row>
    <row r="45819" spans="18:18" s="2" customFormat="1" ht="12.75" x14ac:dyDescent="0.2">
      <c r="R45819" s="1288"/>
    </row>
    <row r="45820" spans="18:18" s="2" customFormat="1" ht="12.75" x14ac:dyDescent="0.2">
      <c r="R45820" s="1288"/>
    </row>
    <row r="45821" spans="18:18" s="2" customFormat="1" ht="12.75" x14ac:dyDescent="0.2">
      <c r="R45821" s="1288"/>
    </row>
    <row r="45822" spans="18:18" s="2" customFormat="1" ht="12.75" x14ac:dyDescent="0.2">
      <c r="R45822" s="1288"/>
    </row>
    <row r="45823" spans="18:18" s="2" customFormat="1" ht="12.75" x14ac:dyDescent="0.2">
      <c r="R45823" s="1288"/>
    </row>
    <row r="45824" spans="18:18" s="2" customFormat="1" ht="12.75" x14ac:dyDescent="0.2">
      <c r="R45824" s="1288"/>
    </row>
    <row r="45825" spans="18:18" s="2" customFormat="1" ht="12.75" x14ac:dyDescent="0.2">
      <c r="R45825" s="1288"/>
    </row>
    <row r="45826" spans="18:18" s="2" customFormat="1" ht="12.75" x14ac:dyDescent="0.2">
      <c r="R45826" s="1288"/>
    </row>
    <row r="45827" spans="18:18" s="2" customFormat="1" ht="12.75" x14ac:dyDescent="0.2">
      <c r="R45827" s="1288"/>
    </row>
    <row r="45828" spans="18:18" s="2" customFormat="1" ht="12.75" x14ac:dyDescent="0.2">
      <c r="R45828" s="1288"/>
    </row>
    <row r="45829" spans="18:18" s="2" customFormat="1" ht="12.75" x14ac:dyDescent="0.2">
      <c r="R45829" s="1288"/>
    </row>
    <row r="45830" spans="18:18" s="2" customFormat="1" ht="12.75" x14ac:dyDescent="0.2">
      <c r="R45830" s="1288"/>
    </row>
    <row r="45831" spans="18:18" s="2" customFormat="1" ht="12.75" x14ac:dyDescent="0.2">
      <c r="R45831" s="1288"/>
    </row>
    <row r="45832" spans="18:18" s="2" customFormat="1" ht="12.75" x14ac:dyDescent="0.2">
      <c r="R45832" s="1288"/>
    </row>
    <row r="45833" spans="18:18" s="2" customFormat="1" ht="12.75" x14ac:dyDescent="0.2">
      <c r="R45833" s="1288"/>
    </row>
    <row r="45834" spans="18:18" s="2" customFormat="1" ht="12.75" x14ac:dyDescent="0.2">
      <c r="R45834" s="1288"/>
    </row>
    <row r="45835" spans="18:18" s="2" customFormat="1" ht="12.75" x14ac:dyDescent="0.2">
      <c r="R45835" s="1288"/>
    </row>
    <row r="45836" spans="18:18" s="2" customFormat="1" ht="12.75" x14ac:dyDescent="0.2">
      <c r="R45836" s="1288"/>
    </row>
    <row r="45837" spans="18:18" s="2" customFormat="1" ht="12.75" x14ac:dyDescent="0.2">
      <c r="R45837" s="1288"/>
    </row>
    <row r="45838" spans="18:18" s="2" customFormat="1" ht="12.75" x14ac:dyDescent="0.2">
      <c r="R45838" s="1288"/>
    </row>
    <row r="45839" spans="18:18" s="2" customFormat="1" ht="12.75" x14ac:dyDescent="0.2">
      <c r="R45839" s="1288"/>
    </row>
    <row r="45840" spans="18:18" s="2" customFormat="1" ht="12.75" x14ac:dyDescent="0.2">
      <c r="R45840" s="1288"/>
    </row>
    <row r="45841" spans="18:18" s="2" customFormat="1" ht="12.75" x14ac:dyDescent="0.2">
      <c r="R45841" s="1288"/>
    </row>
    <row r="45842" spans="18:18" s="2" customFormat="1" ht="12.75" x14ac:dyDescent="0.2">
      <c r="R45842" s="1288"/>
    </row>
    <row r="45843" spans="18:18" s="2" customFormat="1" ht="12.75" x14ac:dyDescent="0.2">
      <c r="R45843" s="1288"/>
    </row>
    <row r="45844" spans="18:18" s="2" customFormat="1" ht="12.75" x14ac:dyDescent="0.2">
      <c r="R45844" s="1288"/>
    </row>
    <row r="45845" spans="18:18" s="2" customFormat="1" ht="12.75" x14ac:dyDescent="0.2">
      <c r="R45845" s="1288"/>
    </row>
    <row r="45846" spans="18:18" s="2" customFormat="1" ht="12.75" x14ac:dyDescent="0.2">
      <c r="R45846" s="1288"/>
    </row>
    <row r="45847" spans="18:18" s="2" customFormat="1" ht="12.75" x14ac:dyDescent="0.2">
      <c r="R45847" s="1288"/>
    </row>
    <row r="45848" spans="18:18" s="2" customFormat="1" ht="12.75" x14ac:dyDescent="0.2">
      <c r="R45848" s="1288"/>
    </row>
    <row r="45849" spans="18:18" s="2" customFormat="1" ht="12.75" x14ac:dyDescent="0.2">
      <c r="R45849" s="1288"/>
    </row>
    <row r="45850" spans="18:18" s="2" customFormat="1" ht="12.75" x14ac:dyDescent="0.2">
      <c r="R45850" s="1288"/>
    </row>
    <row r="45851" spans="18:18" s="2" customFormat="1" ht="12.75" x14ac:dyDescent="0.2">
      <c r="R45851" s="1288"/>
    </row>
    <row r="45852" spans="18:18" s="2" customFormat="1" ht="12.75" x14ac:dyDescent="0.2">
      <c r="R45852" s="1288"/>
    </row>
    <row r="45853" spans="18:18" s="2" customFormat="1" ht="12.75" x14ac:dyDescent="0.2">
      <c r="R45853" s="1288"/>
    </row>
    <row r="45854" spans="18:18" s="2" customFormat="1" ht="12.75" x14ac:dyDescent="0.2">
      <c r="R45854" s="1288"/>
    </row>
    <row r="45855" spans="18:18" s="2" customFormat="1" ht="12.75" x14ac:dyDescent="0.2">
      <c r="R45855" s="1288"/>
    </row>
    <row r="45856" spans="18:18" s="2" customFormat="1" ht="12.75" x14ac:dyDescent="0.2">
      <c r="R45856" s="1288"/>
    </row>
    <row r="45857" spans="18:18" s="2" customFormat="1" ht="12.75" x14ac:dyDescent="0.2">
      <c r="R45857" s="1288"/>
    </row>
    <row r="45858" spans="18:18" s="2" customFormat="1" ht="12.75" x14ac:dyDescent="0.2">
      <c r="R45858" s="1288"/>
    </row>
    <row r="45859" spans="18:18" s="2" customFormat="1" ht="12.75" x14ac:dyDescent="0.2">
      <c r="R45859" s="1288"/>
    </row>
    <row r="45860" spans="18:18" s="2" customFormat="1" ht="12.75" x14ac:dyDescent="0.2">
      <c r="R45860" s="1288"/>
    </row>
    <row r="45861" spans="18:18" s="2" customFormat="1" ht="12.75" x14ac:dyDescent="0.2">
      <c r="R45861" s="1288"/>
    </row>
    <row r="45862" spans="18:18" s="2" customFormat="1" ht="12.75" x14ac:dyDescent="0.2">
      <c r="R45862" s="1288"/>
    </row>
    <row r="45863" spans="18:18" s="2" customFormat="1" ht="12.75" x14ac:dyDescent="0.2">
      <c r="R45863" s="1288"/>
    </row>
    <row r="45864" spans="18:18" s="2" customFormat="1" ht="12.75" x14ac:dyDescent="0.2">
      <c r="R45864" s="1288"/>
    </row>
    <row r="45865" spans="18:18" s="2" customFormat="1" ht="12.75" x14ac:dyDescent="0.2">
      <c r="R45865" s="1288"/>
    </row>
    <row r="45866" spans="18:18" s="2" customFormat="1" ht="12.75" x14ac:dyDescent="0.2">
      <c r="R45866" s="1288"/>
    </row>
    <row r="45867" spans="18:18" s="2" customFormat="1" ht="12.75" x14ac:dyDescent="0.2">
      <c r="R45867" s="1288"/>
    </row>
    <row r="45868" spans="18:18" s="2" customFormat="1" ht="12.75" x14ac:dyDescent="0.2">
      <c r="R45868" s="1288"/>
    </row>
    <row r="45869" spans="18:18" s="2" customFormat="1" ht="12.75" x14ac:dyDescent="0.2">
      <c r="R45869" s="1288"/>
    </row>
    <row r="45870" spans="18:18" s="2" customFormat="1" ht="12.75" x14ac:dyDescent="0.2">
      <c r="R45870" s="1288"/>
    </row>
    <row r="45871" spans="18:18" s="2" customFormat="1" ht="12.75" x14ac:dyDescent="0.2">
      <c r="R45871" s="1288"/>
    </row>
    <row r="45872" spans="18:18" s="2" customFormat="1" ht="12.75" x14ac:dyDescent="0.2">
      <c r="R45872" s="1288"/>
    </row>
    <row r="45873" spans="18:18" s="2" customFormat="1" ht="12.75" x14ac:dyDescent="0.2">
      <c r="R45873" s="1288"/>
    </row>
    <row r="45874" spans="18:18" s="2" customFormat="1" ht="12.75" x14ac:dyDescent="0.2">
      <c r="R45874" s="1288"/>
    </row>
    <row r="45875" spans="18:18" s="2" customFormat="1" ht="12.75" x14ac:dyDescent="0.2">
      <c r="R45875" s="1288"/>
    </row>
    <row r="45876" spans="18:18" s="2" customFormat="1" ht="12.75" x14ac:dyDescent="0.2">
      <c r="R45876" s="1288"/>
    </row>
    <row r="45877" spans="18:18" s="2" customFormat="1" ht="12.75" x14ac:dyDescent="0.2">
      <c r="R45877" s="1288"/>
    </row>
    <row r="45878" spans="18:18" s="2" customFormat="1" ht="12.75" x14ac:dyDescent="0.2">
      <c r="R45878" s="1288"/>
    </row>
    <row r="45879" spans="18:18" s="2" customFormat="1" ht="12.75" x14ac:dyDescent="0.2">
      <c r="R45879" s="1288"/>
    </row>
    <row r="45880" spans="18:18" s="2" customFormat="1" ht="12.75" x14ac:dyDescent="0.2">
      <c r="R45880" s="1288"/>
    </row>
    <row r="45881" spans="18:18" s="2" customFormat="1" ht="12.75" x14ac:dyDescent="0.2">
      <c r="R45881" s="1288"/>
    </row>
    <row r="45882" spans="18:18" s="2" customFormat="1" ht="12.75" x14ac:dyDescent="0.2">
      <c r="R45882" s="1288"/>
    </row>
    <row r="45883" spans="18:18" s="2" customFormat="1" ht="12.75" x14ac:dyDescent="0.2">
      <c r="R45883" s="1288"/>
    </row>
    <row r="45884" spans="18:18" s="2" customFormat="1" ht="12.75" x14ac:dyDescent="0.2">
      <c r="R45884" s="1288"/>
    </row>
    <row r="45885" spans="18:18" s="2" customFormat="1" ht="12.75" x14ac:dyDescent="0.2">
      <c r="R45885" s="1288"/>
    </row>
    <row r="45886" spans="18:18" s="2" customFormat="1" ht="12.75" x14ac:dyDescent="0.2">
      <c r="R45886" s="1288"/>
    </row>
    <row r="45887" spans="18:18" s="2" customFormat="1" ht="12.75" x14ac:dyDescent="0.2">
      <c r="R45887" s="1288"/>
    </row>
    <row r="45888" spans="18:18" s="2" customFormat="1" ht="12.75" x14ac:dyDescent="0.2">
      <c r="R45888" s="1288"/>
    </row>
    <row r="45889" spans="18:18" s="2" customFormat="1" ht="12.75" x14ac:dyDescent="0.2">
      <c r="R45889" s="1288"/>
    </row>
    <row r="45890" spans="18:18" s="2" customFormat="1" ht="12.75" x14ac:dyDescent="0.2">
      <c r="R45890" s="1288"/>
    </row>
    <row r="45891" spans="18:18" s="2" customFormat="1" ht="12.75" x14ac:dyDescent="0.2">
      <c r="R45891" s="1288"/>
    </row>
    <row r="45892" spans="18:18" s="2" customFormat="1" ht="12.75" x14ac:dyDescent="0.2">
      <c r="R45892" s="1288"/>
    </row>
    <row r="45893" spans="18:18" s="2" customFormat="1" ht="12.75" x14ac:dyDescent="0.2">
      <c r="R45893" s="1288"/>
    </row>
    <row r="45894" spans="18:18" s="2" customFormat="1" ht="12.75" x14ac:dyDescent="0.2">
      <c r="R45894" s="1288"/>
    </row>
    <row r="45895" spans="18:18" s="2" customFormat="1" ht="12.75" x14ac:dyDescent="0.2">
      <c r="R45895" s="1288"/>
    </row>
    <row r="45896" spans="18:18" s="2" customFormat="1" ht="12.75" x14ac:dyDescent="0.2">
      <c r="R45896" s="1288"/>
    </row>
    <row r="45897" spans="18:18" s="2" customFormat="1" ht="12.75" x14ac:dyDescent="0.2">
      <c r="R45897" s="1288"/>
    </row>
    <row r="45898" spans="18:18" s="2" customFormat="1" ht="12.75" x14ac:dyDescent="0.2">
      <c r="R45898" s="1288"/>
    </row>
    <row r="45899" spans="18:18" s="2" customFormat="1" ht="12.75" x14ac:dyDescent="0.2">
      <c r="R45899" s="1288"/>
    </row>
    <row r="45900" spans="18:18" s="2" customFormat="1" ht="12.75" x14ac:dyDescent="0.2">
      <c r="R45900" s="1288"/>
    </row>
    <row r="45901" spans="18:18" s="2" customFormat="1" ht="12.75" x14ac:dyDescent="0.2">
      <c r="R45901" s="1288"/>
    </row>
    <row r="45902" spans="18:18" s="2" customFormat="1" ht="12.75" x14ac:dyDescent="0.2">
      <c r="R45902" s="1288"/>
    </row>
    <row r="45903" spans="18:18" s="2" customFormat="1" ht="12.75" x14ac:dyDescent="0.2">
      <c r="R45903" s="1288"/>
    </row>
    <row r="45904" spans="18:18" s="2" customFormat="1" ht="12.75" x14ac:dyDescent="0.2">
      <c r="R45904" s="1288"/>
    </row>
    <row r="45905" spans="18:18" s="2" customFormat="1" ht="12.75" x14ac:dyDescent="0.2">
      <c r="R45905" s="1288"/>
    </row>
    <row r="45906" spans="18:18" s="2" customFormat="1" ht="12.75" x14ac:dyDescent="0.2">
      <c r="R45906" s="1288"/>
    </row>
    <row r="45907" spans="18:18" s="2" customFormat="1" ht="12.75" x14ac:dyDescent="0.2">
      <c r="R45907" s="1288"/>
    </row>
    <row r="45908" spans="18:18" s="2" customFormat="1" ht="12.75" x14ac:dyDescent="0.2">
      <c r="R45908" s="1288"/>
    </row>
    <row r="45909" spans="18:18" s="2" customFormat="1" ht="12.75" x14ac:dyDescent="0.2">
      <c r="R45909" s="1288"/>
    </row>
    <row r="45910" spans="18:18" s="2" customFormat="1" ht="12.75" x14ac:dyDescent="0.2">
      <c r="R45910" s="1288"/>
    </row>
    <row r="45911" spans="18:18" s="2" customFormat="1" ht="12.75" x14ac:dyDescent="0.2">
      <c r="R45911" s="1288"/>
    </row>
    <row r="45912" spans="18:18" s="2" customFormat="1" ht="12.75" x14ac:dyDescent="0.2">
      <c r="R45912" s="1288"/>
    </row>
    <row r="45913" spans="18:18" s="2" customFormat="1" ht="12.75" x14ac:dyDescent="0.2">
      <c r="R45913" s="1288"/>
    </row>
    <row r="45914" spans="18:18" s="2" customFormat="1" ht="12.75" x14ac:dyDescent="0.2">
      <c r="R45914" s="1288"/>
    </row>
    <row r="45915" spans="18:18" s="2" customFormat="1" ht="12.75" x14ac:dyDescent="0.2">
      <c r="R45915" s="1288"/>
    </row>
    <row r="45916" spans="18:18" s="2" customFormat="1" ht="12.75" x14ac:dyDescent="0.2">
      <c r="R45916" s="1288"/>
    </row>
    <row r="45917" spans="18:18" s="2" customFormat="1" ht="12.75" x14ac:dyDescent="0.2">
      <c r="R45917" s="1288"/>
    </row>
    <row r="45918" spans="18:18" s="2" customFormat="1" ht="12.75" x14ac:dyDescent="0.2">
      <c r="R45918" s="1288"/>
    </row>
    <row r="45919" spans="18:18" s="2" customFormat="1" ht="12.75" x14ac:dyDescent="0.2">
      <c r="R45919" s="1288"/>
    </row>
    <row r="45920" spans="18:18" s="2" customFormat="1" ht="12.75" x14ac:dyDescent="0.2">
      <c r="R45920" s="1288"/>
    </row>
    <row r="45921" spans="18:18" s="2" customFormat="1" ht="12.75" x14ac:dyDescent="0.2">
      <c r="R45921" s="1288"/>
    </row>
    <row r="45922" spans="18:18" s="2" customFormat="1" ht="12.75" x14ac:dyDescent="0.2">
      <c r="R45922" s="1288"/>
    </row>
    <row r="45923" spans="18:18" s="2" customFormat="1" ht="12.75" x14ac:dyDescent="0.2">
      <c r="R45923" s="1288"/>
    </row>
    <row r="45924" spans="18:18" s="2" customFormat="1" ht="12.75" x14ac:dyDescent="0.2">
      <c r="R45924" s="1288"/>
    </row>
    <row r="45925" spans="18:18" s="2" customFormat="1" ht="12.75" x14ac:dyDescent="0.2">
      <c r="R45925" s="1288"/>
    </row>
    <row r="45926" spans="18:18" s="2" customFormat="1" ht="12.75" x14ac:dyDescent="0.2">
      <c r="R45926" s="1288"/>
    </row>
    <row r="45927" spans="18:18" s="2" customFormat="1" ht="12.75" x14ac:dyDescent="0.2">
      <c r="R45927" s="1288"/>
    </row>
    <row r="45928" spans="18:18" s="2" customFormat="1" ht="12.75" x14ac:dyDescent="0.2">
      <c r="R45928" s="1288"/>
    </row>
    <row r="45929" spans="18:18" s="2" customFormat="1" ht="12.75" x14ac:dyDescent="0.2">
      <c r="R45929" s="1288"/>
    </row>
    <row r="45930" spans="18:18" s="2" customFormat="1" ht="12.75" x14ac:dyDescent="0.2">
      <c r="R45930" s="1288"/>
    </row>
    <row r="45931" spans="18:18" s="2" customFormat="1" ht="12.75" x14ac:dyDescent="0.2">
      <c r="R45931" s="1288"/>
    </row>
    <row r="45932" spans="18:18" s="2" customFormat="1" ht="12.75" x14ac:dyDescent="0.2">
      <c r="R45932" s="1288"/>
    </row>
    <row r="45933" spans="18:18" s="2" customFormat="1" ht="12.75" x14ac:dyDescent="0.2">
      <c r="R45933" s="1288"/>
    </row>
    <row r="45934" spans="18:18" s="2" customFormat="1" ht="12.75" x14ac:dyDescent="0.2">
      <c r="R45934" s="1288"/>
    </row>
    <row r="45935" spans="18:18" s="2" customFormat="1" ht="12.75" x14ac:dyDescent="0.2">
      <c r="R45935" s="1288"/>
    </row>
    <row r="45936" spans="18:18" s="2" customFormat="1" ht="12.75" x14ac:dyDescent="0.2">
      <c r="R45936" s="1288"/>
    </row>
    <row r="45937" spans="18:18" s="2" customFormat="1" ht="12.75" x14ac:dyDescent="0.2">
      <c r="R45937" s="1288"/>
    </row>
    <row r="45938" spans="18:18" s="2" customFormat="1" ht="12.75" x14ac:dyDescent="0.2">
      <c r="R45938" s="1288"/>
    </row>
    <row r="45939" spans="18:18" s="2" customFormat="1" ht="12.75" x14ac:dyDescent="0.2">
      <c r="R45939" s="1288"/>
    </row>
    <row r="45940" spans="18:18" s="2" customFormat="1" ht="12.75" x14ac:dyDescent="0.2">
      <c r="R45940" s="1288"/>
    </row>
    <row r="45941" spans="18:18" s="2" customFormat="1" ht="12.75" x14ac:dyDescent="0.2">
      <c r="R45941" s="1288"/>
    </row>
    <row r="45942" spans="18:18" s="2" customFormat="1" ht="12.75" x14ac:dyDescent="0.2">
      <c r="R45942" s="1288"/>
    </row>
    <row r="45943" spans="18:18" s="2" customFormat="1" ht="12.75" x14ac:dyDescent="0.2">
      <c r="R45943" s="1288"/>
    </row>
    <row r="45944" spans="18:18" s="2" customFormat="1" ht="12.75" x14ac:dyDescent="0.2">
      <c r="R45944" s="1288"/>
    </row>
    <row r="45945" spans="18:18" s="2" customFormat="1" ht="12.75" x14ac:dyDescent="0.2">
      <c r="R45945" s="1288"/>
    </row>
    <row r="45946" spans="18:18" s="2" customFormat="1" ht="12.75" x14ac:dyDescent="0.2">
      <c r="R45946" s="1288"/>
    </row>
    <row r="45947" spans="18:18" s="2" customFormat="1" ht="12.75" x14ac:dyDescent="0.2">
      <c r="R45947" s="1288"/>
    </row>
    <row r="45948" spans="18:18" s="2" customFormat="1" ht="12.75" x14ac:dyDescent="0.2">
      <c r="R45948" s="1288"/>
    </row>
    <row r="45949" spans="18:18" s="2" customFormat="1" ht="12.75" x14ac:dyDescent="0.2">
      <c r="R45949" s="1288"/>
    </row>
    <row r="45950" spans="18:18" s="2" customFormat="1" ht="12.75" x14ac:dyDescent="0.2">
      <c r="R45950" s="1288"/>
    </row>
    <row r="45951" spans="18:18" s="2" customFormat="1" ht="12.75" x14ac:dyDescent="0.2">
      <c r="R45951" s="1288"/>
    </row>
    <row r="45952" spans="18:18" s="2" customFormat="1" ht="12.75" x14ac:dyDescent="0.2">
      <c r="R45952" s="1288"/>
    </row>
    <row r="45953" spans="18:18" s="2" customFormat="1" ht="12.75" x14ac:dyDescent="0.2">
      <c r="R45953" s="1288"/>
    </row>
    <row r="45954" spans="18:18" s="2" customFormat="1" ht="12.75" x14ac:dyDescent="0.2">
      <c r="R45954" s="1288"/>
    </row>
    <row r="45955" spans="18:18" s="2" customFormat="1" ht="12.75" x14ac:dyDescent="0.2">
      <c r="R45955" s="1288"/>
    </row>
    <row r="45956" spans="18:18" s="2" customFormat="1" ht="12.75" x14ac:dyDescent="0.2">
      <c r="R45956" s="1288"/>
    </row>
    <row r="45957" spans="18:18" s="2" customFormat="1" ht="12.75" x14ac:dyDescent="0.2">
      <c r="R45957" s="1288"/>
    </row>
    <row r="45958" spans="18:18" s="2" customFormat="1" ht="12.75" x14ac:dyDescent="0.2">
      <c r="R45958" s="1288"/>
    </row>
    <row r="45959" spans="18:18" s="2" customFormat="1" ht="12.75" x14ac:dyDescent="0.2">
      <c r="R45959" s="1288"/>
    </row>
    <row r="45960" spans="18:18" s="2" customFormat="1" ht="12.75" x14ac:dyDescent="0.2">
      <c r="R45960" s="1288"/>
    </row>
    <row r="45961" spans="18:18" s="2" customFormat="1" ht="12.75" x14ac:dyDescent="0.2">
      <c r="R45961" s="1288"/>
    </row>
    <row r="45962" spans="18:18" s="2" customFormat="1" ht="12.75" x14ac:dyDescent="0.2">
      <c r="R45962" s="1288"/>
    </row>
    <row r="45963" spans="18:18" s="2" customFormat="1" ht="12.75" x14ac:dyDescent="0.2">
      <c r="R45963" s="1288"/>
    </row>
    <row r="45964" spans="18:18" s="2" customFormat="1" ht="12.75" x14ac:dyDescent="0.2">
      <c r="R45964" s="1288"/>
    </row>
    <row r="45965" spans="18:18" s="2" customFormat="1" ht="12.75" x14ac:dyDescent="0.2">
      <c r="R45965" s="1288"/>
    </row>
    <row r="45966" spans="18:18" s="2" customFormat="1" ht="12.75" x14ac:dyDescent="0.2">
      <c r="R45966" s="1288"/>
    </row>
    <row r="45967" spans="18:18" s="2" customFormat="1" ht="12.75" x14ac:dyDescent="0.2">
      <c r="R45967" s="1288"/>
    </row>
    <row r="45968" spans="18:18" s="2" customFormat="1" ht="12.75" x14ac:dyDescent="0.2">
      <c r="R45968" s="1288"/>
    </row>
    <row r="45969" spans="18:18" s="2" customFormat="1" ht="12.75" x14ac:dyDescent="0.2">
      <c r="R45969" s="1288"/>
    </row>
    <row r="45970" spans="18:18" s="2" customFormat="1" ht="12.75" x14ac:dyDescent="0.2">
      <c r="R45970" s="1288"/>
    </row>
    <row r="45971" spans="18:18" s="2" customFormat="1" ht="12.75" x14ac:dyDescent="0.2">
      <c r="R45971" s="1288"/>
    </row>
    <row r="45972" spans="18:18" s="2" customFormat="1" ht="12.75" x14ac:dyDescent="0.2">
      <c r="R45972" s="1288"/>
    </row>
    <row r="45973" spans="18:18" s="2" customFormat="1" ht="12.75" x14ac:dyDescent="0.2">
      <c r="R45973" s="1288"/>
    </row>
    <row r="45974" spans="18:18" s="2" customFormat="1" ht="12.75" x14ac:dyDescent="0.2">
      <c r="R45974" s="1288"/>
    </row>
    <row r="45975" spans="18:18" s="2" customFormat="1" ht="12.75" x14ac:dyDescent="0.2">
      <c r="R45975" s="1288"/>
    </row>
    <row r="45976" spans="18:18" s="2" customFormat="1" ht="12.75" x14ac:dyDescent="0.2">
      <c r="R45976" s="1288"/>
    </row>
    <row r="45977" spans="18:18" s="2" customFormat="1" ht="12.75" x14ac:dyDescent="0.2">
      <c r="R45977" s="1288"/>
    </row>
    <row r="45978" spans="18:18" s="2" customFormat="1" ht="12.75" x14ac:dyDescent="0.2">
      <c r="R45978" s="1288"/>
    </row>
    <row r="45979" spans="18:18" s="2" customFormat="1" ht="12.75" x14ac:dyDescent="0.2">
      <c r="R45979" s="1288"/>
    </row>
    <row r="45980" spans="18:18" s="2" customFormat="1" ht="12.75" x14ac:dyDescent="0.2">
      <c r="R45980" s="1288"/>
    </row>
    <row r="45981" spans="18:18" s="2" customFormat="1" ht="12.75" x14ac:dyDescent="0.2">
      <c r="R45981" s="1288"/>
    </row>
    <row r="45982" spans="18:18" s="2" customFormat="1" ht="12.75" x14ac:dyDescent="0.2">
      <c r="R45982" s="1288"/>
    </row>
    <row r="45983" spans="18:18" s="2" customFormat="1" ht="12.75" x14ac:dyDescent="0.2">
      <c r="R45983" s="1288"/>
    </row>
    <row r="45984" spans="18:18" s="2" customFormat="1" ht="12.75" x14ac:dyDescent="0.2">
      <c r="R45984" s="1288"/>
    </row>
    <row r="45985" spans="18:18" s="2" customFormat="1" ht="12.75" x14ac:dyDescent="0.2">
      <c r="R45985" s="1288"/>
    </row>
    <row r="45986" spans="18:18" s="2" customFormat="1" ht="12.75" x14ac:dyDescent="0.2">
      <c r="R45986" s="1288"/>
    </row>
    <row r="45987" spans="18:18" s="2" customFormat="1" ht="12.75" x14ac:dyDescent="0.2">
      <c r="R45987" s="1288"/>
    </row>
    <row r="45988" spans="18:18" s="2" customFormat="1" ht="12.75" x14ac:dyDescent="0.2">
      <c r="R45988" s="1288"/>
    </row>
    <row r="45989" spans="18:18" s="2" customFormat="1" ht="12.75" x14ac:dyDescent="0.2">
      <c r="R45989" s="1288"/>
    </row>
    <row r="45990" spans="18:18" s="2" customFormat="1" ht="12.75" x14ac:dyDescent="0.2">
      <c r="R45990" s="1288"/>
    </row>
    <row r="45991" spans="18:18" s="2" customFormat="1" ht="12.75" x14ac:dyDescent="0.2">
      <c r="R45991" s="1288"/>
    </row>
    <row r="45992" spans="18:18" s="2" customFormat="1" ht="12.75" x14ac:dyDescent="0.2">
      <c r="R45992" s="1288"/>
    </row>
    <row r="45993" spans="18:18" s="2" customFormat="1" ht="12.75" x14ac:dyDescent="0.2">
      <c r="R45993" s="1288"/>
    </row>
    <row r="45994" spans="18:18" s="2" customFormat="1" ht="12.75" x14ac:dyDescent="0.2">
      <c r="R45994" s="1288"/>
    </row>
    <row r="45995" spans="18:18" s="2" customFormat="1" ht="12.75" x14ac:dyDescent="0.2">
      <c r="R45995" s="1288"/>
    </row>
    <row r="45996" spans="18:18" s="2" customFormat="1" ht="12.75" x14ac:dyDescent="0.2">
      <c r="R45996" s="1288"/>
    </row>
    <row r="45997" spans="18:18" s="2" customFormat="1" ht="12.75" x14ac:dyDescent="0.2">
      <c r="R45997" s="1288"/>
    </row>
    <row r="45998" spans="18:18" s="2" customFormat="1" ht="12.75" x14ac:dyDescent="0.2">
      <c r="R45998" s="1288"/>
    </row>
    <row r="45999" spans="18:18" s="2" customFormat="1" ht="12.75" x14ac:dyDescent="0.2">
      <c r="R45999" s="1288"/>
    </row>
    <row r="46000" spans="18:18" s="2" customFormat="1" ht="12.75" x14ac:dyDescent="0.2">
      <c r="R46000" s="1288"/>
    </row>
    <row r="46001" spans="18:18" s="2" customFormat="1" ht="12.75" x14ac:dyDescent="0.2">
      <c r="R46001" s="1288"/>
    </row>
    <row r="46002" spans="18:18" s="2" customFormat="1" ht="12.75" x14ac:dyDescent="0.2">
      <c r="R46002" s="1288"/>
    </row>
    <row r="46003" spans="18:18" s="2" customFormat="1" ht="12.75" x14ac:dyDescent="0.2">
      <c r="R46003" s="1288"/>
    </row>
    <row r="46004" spans="18:18" s="2" customFormat="1" ht="12.75" x14ac:dyDescent="0.2">
      <c r="R46004" s="1288"/>
    </row>
    <row r="46005" spans="18:18" s="2" customFormat="1" ht="12.75" x14ac:dyDescent="0.2">
      <c r="R46005" s="1288"/>
    </row>
    <row r="46006" spans="18:18" s="2" customFormat="1" ht="12.75" x14ac:dyDescent="0.2">
      <c r="R46006" s="1288"/>
    </row>
    <row r="46007" spans="18:18" s="2" customFormat="1" ht="12.75" x14ac:dyDescent="0.2">
      <c r="R46007" s="1288"/>
    </row>
    <row r="46008" spans="18:18" s="2" customFormat="1" ht="12.75" x14ac:dyDescent="0.2">
      <c r="R46008" s="1288"/>
    </row>
    <row r="46009" spans="18:18" s="2" customFormat="1" ht="12.75" x14ac:dyDescent="0.2">
      <c r="R46009" s="1288"/>
    </row>
    <row r="46010" spans="18:18" s="2" customFormat="1" ht="12.75" x14ac:dyDescent="0.2">
      <c r="R46010" s="1288"/>
    </row>
    <row r="46011" spans="18:18" s="2" customFormat="1" ht="12.75" x14ac:dyDescent="0.2">
      <c r="R46011" s="1288"/>
    </row>
    <row r="46012" spans="18:18" s="2" customFormat="1" ht="12.75" x14ac:dyDescent="0.2">
      <c r="R46012" s="1288"/>
    </row>
    <row r="46013" spans="18:18" s="2" customFormat="1" ht="12.75" x14ac:dyDescent="0.2">
      <c r="R46013" s="1288"/>
    </row>
    <row r="46014" spans="18:18" s="2" customFormat="1" ht="12.75" x14ac:dyDescent="0.2">
      <c r="R46014" s="1288"/>
    </row>
    <row r="46015" spans="18:18" s="2" customFormat="1" ht="12.75" x14ac:dyDescent="0.2">
      <c r="R46015" s="1288"/>
    </row>
    <row r="46016" spans="18:18" s="2" customFormat="1" ht="12.75" x14ac:dyDescent="0.2">
      <c r="R46016" s="1288"/>
    </row>
    <row r="46017" spans="18:18" s="2" customFormat="1" ht="12.75" x14ac:dyDescent="0.2">
      <c r="R46017" s="1288"/>
    </row>
    <row r="46018" spans="18:18" s="2" customFormat="1" ht="12.75" x14ac:dyDescent="0.2">
      <c r="R46018" s="1288"/>
    </row>
    <row r="46019" spans="18:18" s="2" customFormat="1" ht="12.75" x14ac:dyDescent="0.2">
      <c r="R46019" s="1288"/>
    </row>
    <row r="46020" spans="18:18" s="2" customFormat="1" ht="12.75" x14ac:dyDescent="0.2">
      <c r="R46020" s="1288"/>
    </row>
    <row r="46021" spans="18:18" s="2" customFormat="1" ht="12.75" x14ac:dyDescent="0.2">
      <c r="R46021" s="1288"/>
    </row>
    <row r="46022" spans="18:18" s="2" customFormat="1" ht="12.75" x14ac:dyDescent="0.2">
      <c r="R46022" s="1288"/>
    </row>
    <row r="46023" spans="18:18" s="2" customFormat="1" ht="12.75" x14ac:dyDescent="0.2">
      <c r="R46023" s="1288"/>
    </row>
    <row r="46024" spans="18:18" s="2" customFormat="1" ht="12.75" x14ac:dyDescent="0.2">
      <c r="R46024" s="1288"/>
    </row>
    <row r="46025" spans="18:18" s="2" customFormat="1" ht="12.75" x14ac:dyDescent="0.2">
      <c r="R46025" s="1288"/>
    </row>
    <row r="46026" spans="18:18" s="2" customFormat="1" ht="12.75" x14ac:dyDescent="0.2">
      <c r="R46026" s="1288"/>
    </row>
    <row r="46027" spans="18:18" s="2" customFormat="1" ht="12.75" x14ac:dyDescent="0.2">
      <c r="R46027" s="1288"/>
    </row>
    <row r="46028" spans="18:18" s="2" customFormat="1" ht="12.75" x14ac:dyDescent="0.2">
      <c r="R46028" s="1288"/>
    </row>
    <row r="46029" spans="18:18" s="2" customFormat="1" ht="12.75" x14ac:dyDescent="0.2">
      <c r="R46029" s="1288"/>
    </row>
    <row r="46030" spans="18:18" s="2" customFormat="1" ht="12.75" x14ac:dyDescent="0.2">
      <c r="R46030" s="1288"/>
    </row>
    <row r="46031" spans="18:18" s="2" customFormat="1" ht="12.75" x14ac:dyDescent="0.2">
      <c r="R46031" s="1288"/>
    </row>
    <row r="46032" spans="18:18" s="2" customFormat="1" ht="12.75" x14ac:dyDescent="0.2">
      <c r="R46032" s="1288"/>
    </row>
    <row r="46033" spans="18:18" s="2" customFormat="1" ht="12.75" x14ac:dyDescent="0.2">
      <c r="R46033" s="1288"/>
    </row>
    <row r="46034" spans="18:18" s="2" customFormat="1" ht="12.75" x14ac:dyDescent="0.2">
      <c r="R46034" s="1288"/>
    </row>
    <row r="46035" spans="18:18" s="2" customFormat="1" ht="12.75" x14ac:dyDescent="0.2">
      <c r="R46035" s="1288"/>
    </row>
    <row r="46036" spans="18:18" s="2" customFormat="1" ht="12.75" x14ac:dyDescent="0.2">
      <c r="R46036" s="1288"/>
    </row>
    <row r="46037" spans="18:18" s="2" customFormat="1" ht="12.75" x14ac:dyDescent="0.2">
      <c r="R46037" s="1288"/>
    </row>
    <row r="46038" spans="18:18" s="2" customFormat="1" ht="12.75" x14ac:dyDescent="0.2">
      <c r="R46038" s="1288"/>
    </row>
    <row r="46039" spans="18:18" s="2" customFormat="1" ht="12.75" x14ac:dyDescent="0.2">
      <c r="R46039" s="1288"/>
    </row>
    <row r="46040" spans="18:18" s="2" customFormat="1" ht="12.75" x14ac:dyDescent="0.2">
      <c r="R46040" s="1288"/>
    </row>
    <row r="46041" spans="18:18" s="2" customFormat="1" ht="12.75" x14ac:dyDescent="0.2">
      <c r="R46041" s="1288"/>
    </row>
    <row r="46042" spans="18:18" s="2" customFormat="1" ht="12.75" x14ac:dyDescent="0.2">
      <c r="R46042" s="1288"/>
    </row>
    <row r="46043" spans="18:18" s="2" customFormat="1" ht="12.75" x14ac:dyDescent="0.2">
      <c r="R46043" s="1288"/>
    </row>
    <row r="46044" spans="18:18" s="2" customFormat="1" ht="12.75" x14ac:dyDescent="0.2">
      <c r="R46044" s="1288"/>
    </row>
    <row r="46045" spans="18:18" s="2" customFormat="1" ht="12.75" x14ac:dyDescent="0.2">
      <c r="R46045" s="1288"/>
    </row>
    <row r="46046" spans="18:18" s="2" customFormat="1" ht="12.75" x14ac:dyDescent="0.2">
      <c r="R46046" s="1288"/>
    </row>
    <row r="46047" spans="18:18" s="2" customFormat="1" ht="12.75" x14ac:dyDescent="0.2">
      <c r="R46047" s="1288"/>
    </row>
    <row r="46048" spans="18:18" s="2" customFormat="1" ht="12.75" x14ac:dyDescent="0.2">
      <c r="R46048" s="1288"/>
    </row>
    <row r="46049" spans="18:18" s="2" customFormat="1" ht="12.75" x14ac:dyDescent="0.2">
      <c r="R46049" s="1288"/>
    </row>
    <row r="46050" spans="18:18" s="2" customFormat="1" ht="12.75" x14ac:dyDescent="0.2">
      <c r="R46050" s="1288"/>
    </row>
    <row r="46051" spans="18:18" s="2" customFormat="1" ht="12.75" x14ac:dyDescent="0.2">
      <c r="R46051" s="1288"/>
    </row>
    <row r="46052" spans="18:18" s="2" customFormat="1" ht="12.75" x14ac:dyDescent="0.2">
      <c r="R46052" s="1288"/>
    </row>
    <row r="46053" spans="18:18" s="2" customFormat="1" ht="12.75" x14ac:dyDescent="0.2">
      <c r="R46053" s="1288"/>
    </row>
    <row r="46054" spans="18:18" s="2" customFormat="1" ht="12.75" x14ac:dyDescent="0.2">
      <c r="R46054" s="1288"/>
    </row>
    <row r="46055" spans="18:18" s="2" customFormat="1" ht="12.75" x14ac:dyDescent="0.2">
      <c r="R46055" s="1288"/>
    </row>
    <row r="46056" spans="18:18" s="2" customFormat="1" ht="12.75" x14ac:dyDescent="0.2">
      <c r="R46056" s="1288"/>
    </row>
    <row r="46057" spans="18:18" s="2" customFormat="1" ht="12.75" x14ac:dyDescent="0.2">
      <c r="R46057" s="1288"/>
    </row>
    <row r="46058" spans="18:18" s="2" customFormat="1" ht="12.75" x14ac:dyDescent="0.2">
      <c r="R46058" s="1288"/>
    </row>
    <row r="46059" spans="18:18" s="2" customFormat="1" ht="12.75" x14ac:dyDescent="0.2">
      <c r="R46059" s="1288"/>
    </row>
    <row r="46060" spans="18:18" s="2" customFormat="1" ht="12.75" x14ac:dyDescent="0.2">
      <c r="R46060" s="1288"/>
    </row>
    <row r="46061" spans="18:18" s="2" customFormat="1" ht="12.75" x14ac:dyDescent="0.2">
      <c r="R46061" s="1288"/>
    </row>
    <row r="46062" spans="18:18" s="2" customFormat="1" ht="12.75" x14ac:dyDescent="0.2">
      <c r="R46062" s="1288"/>
    </row>
    <row r="46063" spans="18:18" s="2" customFormat="1" ht="12.75" x14ac:dyDescent="0.2">
      <c r="R46063" s="1288"/>
    </row>
    <row r="46064" spans="18:18" s="2" customFormat="1" ht="12.75" x14ac:dyDescent="0.2">
      <c r="R46064" s="1288"/>
    </row>
    <row r="46065" spans="18:18" s="2" customFormat="1" ht="12.75" x14ac:dyDescent="0.2">
      <c r="R46065" s="1288"/>
    </row>
    <row r="46066" spans="18:18" s="2" customFormat="1" ht="12.75" x14ac:dyDescent="0.2">
      <c r="R46066" s="1288"/>
    </row>
    <row r="46067" spans="18:18" s="2" customFormat="1" ht="12.75" x14ac:dyDescent="0.2">
      <c r="R46067" s="1288"/>
    </row>
    <row r="46068" spans="18:18" s="2" customFormat="1" ht="12.75" x14ac:dyDescent="0.2">
      <c r="R46068" s="1288"/>
    </row>
    <row r="46069" spans="18:18" s="2" customFormat="1" ht="12.75" x14ac:dyDescent="0.2">
      <c r="R46069" s="1288"/>
    </row>
    <row r="46070" spans="18:18" s="2" customFormat="1" ht="12.75" x14ac:dyDescent="0.2">
      <c r="R46070" s="1288"/>
    </row>
    <row r="46071" spans="18:18" s="2" customFormat="1" ht="12.75" x14ac:dyDescent="0.2">
      <c r="R46071" s="1288"/>
    </row>
    <row r="46072" spans="18:18" s="2" customFormat="1" ht="12.75" x14ac:dyDescent="0.2">
      <c r="R46072" s="1288"/>
    </row>
    <row r="46073" spans="18:18" s="2" customFormat="1" ht="12.75" x14ac:dyDescent="0.2">
      <c r="R46073" s="1288"/>
    </row>
    <row r="46074" spans="18:18" s="2" customFormat="1" ht="12.75" x14ac:dyDescent="0.2">
      <c r="R46074" s="1288"/>
    </row>
    <row r="46075" spans="18:18" s="2" customFormat="1" ht="12.75" x14ac:dyDescent="0.2">
      <c r="R46075" s="1288"/>
    </row>
    <row r="46076" spans="18:18" s="2" customFormat="1" ht="12.75" x14ac:dyDescent="0.2">
      <c r="R46076" s="1288"/>
    </row>
    <row r="46077" spans="18:18" s="2" customFormat="1" ht="12.75" x14ac:dyDescent="0.2">
      <c r="R46077" s="1288"/>
    </row>
    <row r="46078" spans="18:18" s="2" customFormat="1" ht="12.75" x14ac:dyDescent="0.2">
      <c r="R46078" s="1288"/>
    </row>
    <row r="46079" spans="18:18" s="2" customFormat="1" ht="12.75" x14ac:dyDescent="0.2">
      <c r="R46079" s="1288"/>
    </row>
    <row r="46080" spans="18:18" s="2" customFormat="1" ht="12.75" x14ac:dyDescent="0.2">
      <c r="R46080" s="1288"/>
    </row>
    <row r="46081" spans="18:18" s="2" customFormat="1" ht="12.75" x14ac:dyDescent="0.2">
      <c r="R46081" s="1288"/>
    </row>
    <row r="46082" spans="18:18" s="2" customFormat="1" ht="12.75" x14ac:dyDescent="0.2">
      <c r="R46082" s="1288"/>
    </row>
    <row r="46083" spans="18:18" s="2" customFormat="1" ht="12.75" x14ac:dyDescent="0.2">
      <c r="R46083" s="1288"/>
    </row>
    <row r="46084" spans="18:18" s="2" customFormat="1" ht="12.75" x14ac:dyDescent="0.2">
      <c r="R46084" s="1288"/>
    </row>
    <row r="46085" spans="18:18" s="2" customFormat="1" ht="12.75" x14ac:dyDescent="0.2">
      <c r="R46085" s="1288"/>
    </row>
    <row r="46086" spans="18:18" s="2" customFormat="1" ht="12.75" x14ac:dyDescent="0.2">
      <c r="R46086" s="1288"/>
    </row>
    <row r="46087" spans="18:18" s="2" customFormat="1" ht="12.75" x14ac:dyDescent="0.2">
      <c r="R46087" s="1288"/>
    </row>
    <row r="46088" spans="18:18" s="2" customFormat="1" ht="12.75" x14ac:dyDescent="0.2">
      <c r="R46088" s="1288"/>
    </row>
    <row r="46089" spans="18:18" s="2" customFormat="1" ht="12.75" x14ac:dyDescent="0.2">
      <c r="R46089" s="1288"/>
    </row>
    <row r="46090" spans="18:18" s="2" customFormat="1" ht="12.75" x14ac:dyDescent="0.2">
      <c r="R46090" s="1288"/>
    </row>
    <row r="46091" spans="18:18" s="2" customFormat="1" ht="12.75" x14ac:dyDescent="0.2">
      <c r="R46091" s="1288"/>
    </row>
    <row r="46092" spans="18:18" s="2" customFormat="1" ht="12.75" x14ac:dyDescent="0.2">
      <c r="R46092" s="1288"/>
    </row>
    <row r="46093" spans="18:18" s="2" customFormat="1" ht="12.75" x14ac:dyDescent="0.2">
      <c r="R46093" s="1288"/>
    </row>
    <row r="46094" spans="18:18" s="2" customFormat="1" ht="12.75" x14ac:dyDescent="0.2">
      <c r="R46094" s="1288"/>
    </row>
    <row r="46095" spans="18:18" s="2" customFormat="1" ht="12.75" x14ac:dyDescent="0.2">
      <c r="R46095" s="1288"/>
    </row>
    <row r="46096" spans="18:18" s="2" customFormat="1" ht="12.75" x14ac:dyDescent="0.2">
      <c r="R46096" s="1288"/>
    </row>
    <row r="46097" spans="18:18" s="2" customFormat="1" ht="12.75" x14ac:dyDescent="0.2">
      <c r="R46097" s="1288"/>
    </row>
    <row r="46098" spans="18:18" s="2" customFormat="1" ht="12.75" x14ac:dyDescent="0.2">
      <c r="R46098" s="1288"/>
    </row>
    <row r="46099" spans="18:18" s="2" customFormat="1" ht="12.75" x14ac:dyDescent="0.2">
      <c r="R46099" s="1288"/>
    </row>
    <row r="46100" spans="18:18" s="2" customFormat="1" ht="12.75" x14ac:dyDescent="0.2">
      <c r="R46100" s="1288"/>
    </row>
    <row r="46101" spans="18:18" s="2" customFormat="1" ht="12.75" x14ac:dyDescent="0.2">
      <c r="R46101" s="1288"/>
    </row>
    <row r="46102" spans="18:18" s="2" customFormat="1" ht="12.75" x14ac:dyDescent="0.2">
      <c r="R46102" s="1288"/>
    </row>
    <row r="46103" spans="18:18" s="2" customFormat="1" ht="12.75" x14ac:dyDescent="0.2">
      <c r="R46103" s="1288"/>
    </row>
    <row r="46104" spans="18:18" s="2" customFormat="1" ht="12.75" x14ac:dyDescent="0.2">
      <c r="R46104" s="1288"/>
    </row>
    <row r="46105" spans="18:18" s="2" customFormat="1" ht="12.75" x14ac:dyDescent="0.2">
      <c r="R46105" s="1288"/>
    </row>
    <row r="46106" spans="18:18" s="2" customFormat="1" ht="12.75" x14ac:dyDescent="0.2">
      <c r="R46106" s="1288"/>
    </row>
    <row r="46107" spans="18:18" s="2" customFormat="1" ht="12.75" x14ac:dyDescent="0.2">
      <c r="R46107" s="1288"/>
    </row>
    <row r="46108" spans="18:18" s="2" customFormat="1" ht="12.75" x14ac:dyDescent="0.2">
      <c r="R46108" s="1288"/>
    </row>
    <row r="46109" spans="18:18" s="2" customFormat="1" ht="12.75" x14ac:dyDescent="0.2">
      <c r="R46109" s="1288"/>
    </row>
    <row r="46110" spans="18:18" s="2" customFormat="1" ht="12.75" x14ac:dyDescent="0.2">
      <c r="R46110" s="1288"/>
    </row>
    <row r="46111" spans="18:18" s="2" customFormat="1" ht="12.75" x14ac:dyDescent="0.2">
      <c r="R46111" s="1288"/>
    </row>
    <row r="46112" spans="18:18" s="2" customFormat="1" ht="12.75" x14ac:dyDescent="0.2">
      <c r="R46112" s="1288"/>
    </row>
    <row r="46113" spans="18:18" s="2" customFormat="1" ht="12.75" x14ac:dyDescent="0.2">
      <c r="R46113" s="1288"/>
    </row>
    <row r="46114" spans="18:18" s="2" customFormat="1" ht="12.75" x14ac:dyDescent="0.2">
      <c r="R46114" s="1288"/>
    </row>
    <row r="46115" spans="18:18" s="2" customFormat="1" ht="12.75" x14ac:dyDescent="0.2">
      <c r="R46115" s="1288"/>
    </row>
    <row r="46116" spans="18:18" s="2" customFormat="1" ht="12.75" x14ac:dyDescent="0.2">
      <c r="R46116" s="1288"/>
    </row>
    <row r="46117" spans="18:18" s="2" customFormat="1" ht="12.75" x14ac:dyDescent="0.2">
      <c r="R46117" s="1288"/>
    </row>
    <row r="46118" spans="18:18" s="2" customFormat="1" ht="12.75" x14ac:dyDescent="0.2">
      <c r="R46118" s="1288"/>
    </row>
    <row r="46119" spans="18:18" s="2" customFormat="1" ht="12.75" x14ac:dyDescent="0.2">
      <c r="R46119" s="1288"/>
    </row>
    <row r="46120" spans="18:18" s="2" customFormat="1" ht="12.75" x14ac:dyDescent="0.2">
      <c r="R46120" s="1288"/>
    </row>
    <row r="46121" spans="18:18" s="2" customFormat="1" ht="12.75" x14ac:dyDescent="0.2">
      <c r="R46121" s="1288"/>
    </row>
    <row r="46122" spans="18:18" s="2" customFormat="1" ht="12.75" x14ac:dyDescent="0.2">
      <c r="R46122" s="1288"/>
    </row>
    <row r="46123" spans="18:18" s="2" customFormat="1" ht="12.75" x14ac:dyDescent="0.2">
      <c r="R46123" s="1288"/>
    </row>
    <row r="46124" spans="18:18" s="2" customFormat="1" ht="12.75" x14ac:dyDescent="0.2">
      <c r="R46124" s="1288"/>
    </row>
    <row r="46125" spans="18:18" s="2" customFormat="1" ht="12.75" x14ac:dyDescent="0.2">
      <c r="R46125" s="1288"/>
    </row>
    <row r="46126" spans="18:18" s="2" customFormat="1" ht="12.75" x14ac:dyDescent="0.2">
      <c r="R46126" s="1288"/>
    </row>
    <row r="46127" spans="18:18" s="2" customFormat="1" ht="12.75" x14ac:dyDescent="0.2">
      <c r="R46127" s="1288"/>
    </row>
    <row r="46128" spans="18:18" s="2" customFormat="1" ht="12.75" x14ac:dyDescent="0.2">
      <c r="R46128" s="1288"/>
    </row>
    <row r="46129" spans="18:18" s="2" customFormat="1" ht="12.75" x14ac:dyDescent="0.2">
      <c r="R46129" s="1288"/>
    </row>
    <row r="46130" spans="18:18" s="2" customFormat="1" ht="12.75" x14ac:dyDescent="0.2">
      <c r="R46130" s="1288"/>
    </row>
    <row r="46131" spans="18:18" s="2" customFormat="1" ht="12.75" x14ac:dyDescent="0.2">
      <c r="R46131" s="1288"/>
    </row>
    <row r="46132" spans="18:18" s="2" customFormat="1" ht="12.75" x14ac:dyDescent="0.2">
      <c r="R46132" s="1288"/>
    </row>
    <row r="46133" spans="18:18" s="2" customFormat="1" ht="12.75" x14ac:dyDescent="0.2">
      <c r="R46133" s="1288"/>
    </row>
    <row r="46134" spans="18:18" s="2" customFormat="1" ht="12.75" x14ac:dyDescent="0.2">
      <c r="R46134" s="1288"/>
    </row>
    <row r="46135" spans="18:18" s="2" customFormat="1" ht="12.75" x14ac:dyDescent="0.2">
      <c r="R46135" s="1288"/>
    </row>
    <row r="46136" spans="18:18" s="2" customFormat="1" ht="12.75" x14ac:dyDescent="0.2">
      <c r="R46136" s="1288"/>
    </row>
    <row r="46137" spans="18:18" s="2" customFormat="1" ht="12.75" x14ac:dyDescent="0.2">
      <c r="R46137" s="1288"/>
    </row>
    <row r="46138" spans="18:18" s="2" customFormat="1" ht="12.75" x14ac:dyDescent="0.2">
      <c r="R46138" s="1288"/>
    </row>
    <row r="46139" spans="18:18" s="2" customFormat="1" ht="12.75" x14ac:dyDescent="0.2">
      <c r="R46139" s="1288"/>
    </row>
    <row r="46140" spans="18:18" s="2" customFormat="1" ht="12.75" x14ac:dyDescent="0.2">
      <c r="R46140" s="1288"/>
    </row>
    <row r="46141" spans="18:18" s="2" customFormat="1" ht="12.75" x14ac:dyDescent="0.2">
      <c r="R46141" s="1288"/>
    </row>
    <row r="46142" spans="18:18" s="2" customFormat="1" ht="12.75" x14ac:dyDescent="0.2">
      <c r="R46142" s="1288"/>
    </row>
    <row r="46143" spans="18:18" s="2" customFormat="1" ht="12.75" x14ac:dyDescent="0.2">
      <c r="R46143" s="1288"/>
    </row>
    <row r="46144" spans="18:18" s="2" customFormat="1" ht="12.75" x14ac:dyDescent="0.2">
      <c r="R46144" s="1288"/>
    </row>
    <row r="46145" spans="18:18" s="2" customFormat="1" ht="12.75" x14ac:dyDescent="0.2">
      <c r="R46145" s="1288"/>
    </row>
    <row r="46146" spans="18:18" s="2" customFormat="1" ht="12.75" x14ac:dyDescent="0.2">
      <c r="R46146" s="1288"/>
    </row>
    <row r="46147" spans="18:18" s="2" customFormat="1" ht="12.75" x14ac:dyDescent="0.2">
      <c r="R46147" s="1288"/>
    </row>
    <row r="46148" spans="18:18" s="2" customFormat="1" ht="12.75" x14ac:dyDescent="0.2">
      <c r="R46148" s="1288"/>
    </row>
    <row r="46149" spans="18:18" s="2" customFormat="1" ht="12.75" x14ac:dyDescent="0.2">
      <c r="R46149" s="1288"/>
    </row>
    <row r="46150" spans="18:18" s="2" customFormat="1" ht="12.75" x14ac:dyDescent="0.2">
      <c r="R46150" s="1288"/>
    </row>
    <row r="46151" spans="18:18" s="2" customFormat="1" ht="12.75" x14ac:dyDescent="0.2">
      <c r="R46151" s="1288"/>
    </row>
    <row r="46152" spans="18:18" s="2" customFormat="1" ht="12.75" x14ac:dyDescent="0.2">
      <c r="R46152" s="1288"/>
    </row>
    <row r="46153" spans="18:18" s="2" customFormat="1" ht="12.75" x14ac:dyDescent="0.2">
      <c r="R46153" s="1288"/>
    </row>
    <row r="46154" spans="18:18" s="2" customFormat="1" ht="12.75" x14ac:dyDescent="0.2">
      <c r="R46154" s="1288"/>
    </row>
    <row r="46155" spans="18:18" s="2" customFormat="1" ht="12.75" x14ac:dyDescent="0.2">
      <c r="R46155" s="1288"/>
    </row>
    <row r="46156" spans="18:18" s="2" customFormat="1" ht="12.75" x14ac:dyDescent="0.2">
      <c r="R46156" s="1288"/>
    </row>
    <row r="46157" spans="18:18" s="2" customFormat="1" ht="12.75" x14ac:dyDescent="0.2">
      <c r="R46157" s="1288"/>
    </row>
    <row r="46158" spans="18:18" s="2" customFormat="1" ht="12.75" x14ac:dyDescent="0.2">
      <c r="R46158" s="1288"/>
    </row>
    <row r="46159" spans="18:18" s="2" customFormat="1" ht="12.75" x14ac:dyDescent="0.2">
      <c r="R46159" s="1288"/>
    </row>
    <row r="46160" spans="18:18" s="2" customFormat="1" ht="12.75" x14ac:dyDescent="0.2">
      <c r="R46160" s="1288"/>
    </row>
    <row r="46161" spans="18:18" s="2" customFormat="1" ht="12.75" x14ac:dyDescent="0.2">
      <c r="R46161" s="1288"/>
    </row>
    <row r="46162" spans="18:18" s="2" customFormat="1" ht="12.75" x14ac:dyDescent="0.2">
      <c r="R46162" s="1288"/>
    </row>
    <row r="46163" spans="18:18" s="2" customFormat="1" ht="12.75" x14ac:dyDescent="0.2">
      <c r="R46163" s="1288"/>
    </row>
    <row r="46164" spans="18:18" s="2" customFormat="1" ht="12.75" x14ac:dyDescent="0.2">
      <c r="R46164" s="1288"/>
    </row>
    <row r="46165" spans="18:18" s="2" customFormat="1" ht="12.75" x14ac:dyDescent="0.2">
      <c r="R46165" s="1288"/>
    </row>
    <row r="46166" spans="18:18" s="2" customFormat="1" ht="12.75" x14ac:dyDescent="0.2">
      <c r="R46166" s="1288"/>
    </row>
    <row r="46167" spans="18:18" s="2" customFormat="1" ht="12.75" x14ac:dyDescent="0.2">
      <c r="R46167" s="1288"/>
    </row>
    <row r="46168" spans="18:18" s="2" customFormat="1" ht="12.75" x14ac:dyDescent="0.2">
      <c r="R46168" s="1288"/>
    </row>
    <row r="46169" spans="18:18" s="2" customFormat="1" ht="12.75" x14ac:dyDescent="0.2">
      <c r="R46169" s="1288"/>
    </row>
    <row r="46170" spans="18:18" s="2" customFormat="1" ht="12.75" x14ac:dyDescent="0.2">
      <c r="R46170" s="1288"/>
    </row>
    <row r="46171" spans="18:18" s="2" customFormat="1" ht="12.75" x14ac:dyDescent="0.2">
      <c r="R46171" s="1288"/>
    </row>
    <row r="46172" spans="18:18" s="2" customFormat="1" ht="12.75" x14ac:dyDescent="0.2">
      <c r="R46172" s="1288"/>
    </row>
    <row r="46173" spans="18:18" s="2" customFormat="1" ht="12.75" x14ac:dyDescent="0.2">
      <c r="R46173" s="1288"/>
    </row>
    <row r="46174" spans="18:18" s="2" customFormat="1" ht="12.75" x14ac:dyDescent="0.2">
      <c r="R46174" s="1288"/>
    </row>
    <row r="46175" spans="18:18" s="2" customFormat="1" ht="12.75" x14ac:dyDescent="0.2">
      <c r="R46175" s="1288"/>
    </row>
    <row r="46176" spans="18:18" s="2" customFormat="1" ht="12.75" x14ac:dyDescent="0.2">
      <c r="R46176" s="1288"/>
    </row>
    <row r="46177" spans="18:18" s="2" customFormat="1" ht="12.75" x14ac:dyDescent="0.2">
      <c r="R46177" s="1288"/>
    </row>
    <row r="46178" spans="18:18" s="2" customFormat="1" ht="12.75" x14ac:dyDescent="0.2">
      <c r="R46178" s="1288"/>
    </row>
    <row r="46179" spans="18:18" s="2" customFormat="1" ht="12.75" x14ac:dyDescent="0.2">
      <c r="R46179" s="1288"/>
    </row>
    <row r="46180" spans="18:18" s="2" customFormat="1" ht="12.75" x14ac:dyDescent="0.2">
      <c r="R46180" s="1288"/>
    </row>
    <row r="46181" spans="18:18" s="2" customFormat="1" ht="12.75" x14ac:dyDescent="0.2">
      <c r="R46181" s="1288"/>
    </row>
    <row r="46182" spans="18:18" s="2" customFormat="1" ht="12.75" x14ac:dyDescent="0.2">
      <c r="R46182" s="1288"/>
    </row>
    <row r="46183" spans="18:18" s="2" customFormat="1" ht="12.75" x14ac:dyDescent="0.2">
      <c r="R46183" s="1288"/>
    </row>
    <row r="46184" spans="18:18" s="2" customFormat="1" ht="12.75" x14ac:dyDescent="0.2">
      <c r="R46184" s="1288"/>
    </row>
    <row r="46185" spans="18:18" s="2" customFormat="1" ht="12.75" x14ac:dyDescent="0.2">
      <c r="R46185" s="1288"/>
    </row>
    <row r="46186" spans="18:18" s="2" customFormat="1" ht="12.75" x14ac:dyDescent="0.2">
      <c r="R46186" s="1288"/>
    </row>
    <row r="46187" spans="18:18" s="2" customFormat="1" ht="12.75" x14ac:dyDescent="0.2">
      <c r="R46187" s="1288"/>
    </row>
    <row r="46188" spans="18:18" s="2" customFormat="1" ht="12.75" x14ac:dyDescent="0.2">
      <c r="R46188" s="1288"/>
    </row>
    <row r="46189" spans="18:18" s="2" customFormat="1" ht="12.75" x14ac:dyDescent="0.2">
      <c r="R46189" s="1288"/>
    </row>
    <row r="46190" spans="18:18" s="2" customFormat="1" ht="12.75" x14ac:dyDescent="0.2">
      <c r="R46190" s="1288"/>
    </row>
    <row r="46191" spans="18:18" s="2" customFormat="1" ht="12.75" x14ac:dyDescent="0.2">
      <c r="R46191" s="1288"/>
    </row>
    <row r="46192" spans="18:18" s="2" customFormat="1" ht="12.75" x14ac:dyDescent="0.2">
      <c r="R46192" s="1288"/>
    </row>
    <row r="46193" spans="18:18" s="2" customFormat="1" ht="12.75" x14ac:dyDescent="0.2">
      <c r="R46193" s="1288"/>
    </row>
    <row r="46194" spans="18:18" s="2" customFormat="1" ht="12.75" x14ac:dyDescent="0.2">
      <c r="R46194" s="1288"/>
    </row>
    <row r="46195" spans="18:18" s="2" customFormat="1" ht="12.75" x14ac:dyDescent="0.2">
      <c r="R46195" s="1288"/>
    </row>
    <row r="46196" spans="18:18" s="2" customFormat="1" ht="12.75" x14ac:dyDescent="0.2">
      <c r="R46196" s="1288"/>
    </row>
    <row r="46197" spans="18:18" s="2" customFormat="1" ht="12.75" x14ac:dyDescent="0.2">
      <c r="R46197" s="1288"/>
    </row>
    <row r="46198" spans="18:18" s="2" customFormat="1" ht="12.75" x14ac:dyDescent="0.2">
      <c r="R46198" s="1288"/>
    </row>
    <row r="46199" spans="18:18" s="2" customFormat="1" ht="12.75" x14ac:dyDescent="0.2">
      <c r="R46199" s="1288"/>
    </row>
    <row r="46200" spans="18:18" s="2" customFormat="1" ht="12.75" x14ac:dyDescent="0.2">
      <c r="R46200" s="1288"/>
    </row>
    <row r="46201" spans="18:18" s="2" customFormat="1" ht="12.75" x14ac:dyDescent="0.2">
      <c r="R46201" s="1288"/>
    </row>
    <row r="46202" spans="18:18" s="2" customFormat="1" ht="12.75" x14ac:dyDescent="0.2">
      <c r="R46202" s="1288"/>
    </row>
    <row r="46203" spans="18:18" s="2" customFormat="1" ht="12.75" x14ac:dyDescent="0.2">
      <c r="R46203" s="1288"/>
    </row>
    <row r="46204" spans="18:18" s="2" customFormat="1" ht="12.75" x14ac:dyDescent="0.2">
      <c r="R46204" s="1288"/>
    </row>
    <row r="46205" spans="18:18" s="2" customFormat="1" ht="12.75" x14ac:dyDescent="0.2">
      <c r="R46205" s="1288"/>
    </row>
    <row r="46206" spans="18:18" s="2" customFormat="1" ht="12.75" x14ac:dyDescent="0.2">
      <c r="R46206" s="1288"/>
    </row>
    <row r="46207" spans="18:18" s="2" customFormat="1" ht="12.75" x14ac:dyDescent="0.2">
      <c r="R46207" s="1288"/>
    </row>
    <row r="46208" spans="18:18" s="2" customFormat="1" ht="12.75" x14ac:dyDescent="0.2">
      <c r="R46208" s="1288"/>
    </row>
    <row r="46209" spans="18:18" s="2" customFormat="1" ht="12.75" x14ac:dyDescent="0.2">
      <c r="R46209" s="1288"/>
    </row>
    <row r="46210" spans="18:18" s="2" customFormat="1" ht="12.75" x14ac:dyDescent="0.2">
      <c r="R46210" s="1288"/>
    </row>
    <row r="46211" spans="18:18" s="2" customFormat="1" ht="12.75" x14ac:dyDescent="0.2">
      <c r="R46211" s="1288"/>
    </row>
    <row r="46212" spans="18:18" s="2" customFormat="1" ht="12.75" x14ac:dyDescent="0.2">
      <c r="R46212" s="1288"/>
    </row>
    <row r="46213" spans="18:18" s="2" customFormat="1" ht="12.75" x14ac:dyDescent="0.2">
      <c r="R46213" s="1288"/>
    </row>
    <row r="46214" spans="18:18" s="2" customFormat="1" ht="12.75" x14ac:dyDescent="0.2">
      <c r="R46214" s="1288"/>
    </row>
    <row r="46215" spans="18:18" s="2" customFormat="1" ht="12.75" x14ac:dyDescent="0.2">
      <c r="R46215" s="1288"/>
    </row>
    <row r="46216" spans="18:18" s="2" customFormat="1" ht="12.75" x14ac:dyDescent="0.2">
      <c r="R46216" s="1288"/>
    </row>
    <row r="46217" spans="18:18" s="2" customFormat="1" ht="12.75" x14ac:dyDescent="0.2">
      <c r="R46217" s="1288"/>
    </row>
    <row r="46218" spans="18:18" s="2" customFormat="1" ht="12.75" x14ac:dyDescent="0.2">
      <c r="R46218" s="1288"/>
    </row>
    <row r="46219" spans="18:18" s="2" customFormat="1" ht="12.75" x14ac:dyDescent="0.2">
      <c r="R46219" s="1288"/>
    </row>
    <row r="46220" spans="18:18" s="2" customFormat="1" ht="12.75" x14ac:dyDescent="0.2">
      <c r="R46220" s="1288"/>
    </row>
    <row r="46221" spans="18:18" s="2" customFormat="1" ht="12.75" x14ac:dyDescent="0.2">
      <c r="R46221" s="1288"/>
    </row>
    <row r="46222" spans="18:18" s="2" customFormat="1" ht="12.75" x14ac:dyDescent="0.2">
      <c r="R46222" s="1288"/>
    </row>
    <row r="46223" spans="18:18" s="2" customFormat="1" ht="12.75" x14ac:dyDescent="0.2">
      <c r="R46223" s="1288"/>
    </row>
    <row r="46224" spans="18:18" s="2" customFormat="1" ht="12.75" x14ac:dyDescent="0.2">
      <c r="R46224" s="1288"/>
    </row>
    <row r="46225" spans="18:18" s="2" customFormat="1" ht="12.75" x14ac:dyDescent="0.2">
      <c r="R46225" s="1288"/>
    </row>
    <row r="46226" spans="18:18" s="2" customFormat="1" ht="12.75" x14ac:dyDescent="0.2">
      <c r="R46226" s="1288"/>
    </row>
    <row r="46227" spans="18:18" s="2" customFormat="1" ht="12.75" x14ac:dyDescent="0.2">
      <c r="R46227" s="1288"/>
    </row>
    <row r="46228" spans="18:18" s="2" customFormat="1" ht="12.75" x14ac:dyDescent="0.2">
      <c r="R46228" s="1288"/>
    </row>
    <row r="46229" spans="18:18" s="2" customFormat="1" ht="12.75" x14ac:dyDescent="0.2">
      <c r="R46229" s="1288"/>
    </row>
    <row r="46230" spans="18:18" s="2" customFormat="1" ht="12.75" x14ac:dyDescent="0.2">
      <c r="R46230" s="1288"/>
    </row>
    <row r="46231" spans="18:18" s="2" customFormat="1" ht="12.75" x14ac:dyDescent="0.2">
      <c r="R46231" s="1288"/>
    </row>
    <row r="46232" spans="18:18" s="2" customFormat="1" ht="12.75" x14ac:dyDescent="0.2">
      <c r="R46232" s="1288"/>
    </row>
    <row r="46233" spans="18:18" s="2" customFormat="1" ht="12.75" x14ac:dyDescent="0.2">
      <c r="R46233" s="1288"/>
    </row>
    <row r="46234" spans="18:18" s="2" customFormat="1" ht="12.75" x14ac:dyDescent="0.2">
      <c r="R46234" s="1288"/>
    </row>
    <row r="46235" spans="18:18" s="2" customFormat="1" ht="12.75" x14ac:dyDescent="0.2">
      <c r="R46235" s="1288"/>
    </row>
    <row r="46236" spans="18:18" s="2" customFormat="1" ht="12.75" x14ac:dyDescent="0.2">
      <c r="R46236" s="1288"/>
    </row>
    <row r="46237" spans="18:18" s="2" customFormat="1" ht="12.75" x14ac:dyDescent="0.2">
      <c r="R46237" s="1288"/>
    </row>
    <row r="46238" spans="18:18" s="2" customFormat="1" ht="12.75" x14ac:dyDescent="0.2">
      <c r="R46238" s="1288"/>
    </row>
    <row r="46239" spans="18:18" s="2" customFormat="1" ht="12.75" x14ac:dyDescent="0.2">
      <c r="R46239" s="1288"/>
    </row>
    <row r="46240" spans="18:18" s="2" customFormat="1" ht="12.75" x14ac:dyDescent="0.2">
      <c r="R46240" s="1288"/>
    </row>
    <row r="46241" spans="18:18" s="2" customFormat="1" ht="12.75" x14ac:dyDescent="0.2">
      <c r="R46241" s="1288"/>
    </row>
    <row r="46242" spans="18:18" s="2" customFormat="1" ht="12.75" x14ac:dyDescent="0.2">
      <c r="R46242" s="1288"/>
    </row>
    <row r="46243" spans="18:18" s="2" customFormat="1" ht="12.75" x14ac:dyDescent="0.2">
      <c r="R46243" s="1288"/>
    </row>
    <row r="46244" spans="18:18" s="2" customFormat="1" ht="12.75" x14ac:dyDescent="0.2">
      <c r="R46244" s="1288"/>
    </row>
    <row r="46245" spans="18:18" s="2" customFormat="1" ht="12.75" x14ac:dyDescent="0.2">
      <c r="R46245" s="1288"/>
    </row>
    <row r="46246" spans="18:18" s="2" customFormat="1" ht="12.75" x14ac:dyDescent="0.2">
      <c r="R46246" s="1288"/>
    </row>
    <row r="46247" spans="18:18" s="2" customFormat="1" ht="12.75" x14ac:dyDescent="0.2">
      <c r="R46247" s="1288"/>
    </row>
    <row r="46248" spans="18:18" s="2" customFormat="1" ht="12.75" x14ac:dyDescent="0.2">
      <c r="R46248" s="1288"/>
    </row>
    <row r="46249" spans="18:18" s="2" customFormat="1" ht="12.75" x14ac:dyDescent="0.2">
      <c r="R46249" s="1288"/>
    </row>
    <row r="46250" spans="18:18" s="2" customFormat="1" ht="12.75" x14ac:dyDescent="0.2">
      <c r="R46250" s="1288"/>
    </row>
    <row r="46251" spans="18:18" s="2" customFormat="1" ht="12.75" x14ac:dyDescent="0.2">
      <c r="R46251" s="1288"/>
    </row>
    <row r="46252" spans="18:18" s="2" customFormat="1" ht="12.75" x14ac:dyDescent="0.2">
      <c r="R46252" s="1288"/>
    </row>
    <row r="46253" spans="18:18" s="2" customFormat="1" ht="12.75" x14ac:dyDescent="0.2">
      <c r="R46253" s="1288"/>
    </row>
    <row r="46254" spans="18:18" s="2" customFormat="1" ht="12.75" x14ac:dyDescent="0.2">
      <c r="R46254" s="1288"/>
    </row>
    <row r="46255" spans="18:18" s="2" customFormat="1" ht="12.75" x14ac:dyDescent="0.2">
      <c r="R46255" s="1288"/>
    </row>
    <row r="46256" spans="18:18" s="2" customFormat="1" ht="12.75" x14ac:dyDescent="0.2">
      <c r="R46256" s="1288"/>
    </row>
    <row r="46257" spans="18:18" s="2" customFormat="1" ht="12.75" x14ac:dyDescent="0.2">
      <c r="R46257" s="1288"/>
    </row>
    <row r="46258" spans="18:18" s="2" customFormat="1" ht="12.75" x14ac:dyDescent="0.2">
      <c r="R46258" s="1288"/>
    </row>
    <row r="46259" spans="18:18" s="2" customFormat="1" ht="12.75" x14ac:dyDescent="0.2">
      <c r="R46259" s="1288"/>
    </row>
    <row r="46260" spans="18:18" s="2" customFormat="1" ht="12.75" x14ac:dyDescent="0.2">
      <c r="R46260" s="1288"/>
    </row>
    <row r="46261" spans="18:18" s="2" customFormat="1" ht="12.75" x14ac:dyDescent="0.2">
      <c r="R46261" s="1288"/>
    </row>
    <row r="46262" spans="18:18" s="2" customFormat="1" ht="12.75" x14ac:dyDescent="0.2">
      <c r="R46262" s="1288"/>
    </row>
    <row r="46263" spans="18:18" s="2" customFormat="1" ht="12.75" x14ac:dyDescent="0.2">
      <c r="R46263" s="1288"/>
    </row>
    <row r="46264" spans="18:18" s="2" customFormat="1" ht="12.75" x14ac:dyDescent="0.2">
      <c r="R46264" s="1288"/>
    </row>
    <row r="46265" spans="18:18" s="2" customFormat="1" ht="12.75" x14ac:dyDescent="0.2">
      <c r="R46265" s="1288"/>
    </row>
    <row r="46266" spans="18:18" s="2" customFormat="1" ht="12.75" x14ac:dyDescent="0.2">
      <c r="R46266" s="1288"/>
    </row>
    <row r="46267" spans="18:18" s="2" customFormat="1" ht="12.75" x14ac:dyDescent="0.2">
      <c r="R46267" s="1288"/>
    </row>
    <row r="46268" spans="18:18" s="2" customFormat="1" ht="12.75" x14ac:dyDescent="0.2">
      <c r="R46268" s="1288"/>
    </row>
    <row r="46269" spans="18:18" s="2" customFormat="1" ht="12.75" x14ac:dyDescent="0.2">
      <c r="R46269" s="1288"/>
    </row>
    <row r="46270" spans="18:18" s="2" customFormat="1" ht="12.75" x14ac:dyDescent="0.2">
      <c r="R46270" s="1288"/>
    </row>
    <row r="46271" spans="18:18" s="2" customFormat="1" ht="12.75" x14ac:dyDescent="0.2">
      <c r="R46271" s="1288"/>
    </row>
    <row r="46272" spans="18:18" s="2" customFormat="1" ht="12.75" x14ac:dyDescent="0.2">
      <c r="R46272" s="1288"/>
    </row>
    <row r="46273" spans="18:18" s="2" customFormat="1" ht="12.75" x14ac:dyDescent="0.2">
      <c r="R46273" s="1288"/>
    </row>
    <row r="46274" spans="18:18" s="2" customFormat="1" ht="12.75" x14ac:dyDescent="0.2">
      <c r="R46274" s="1288"/>
    </row>
    <row r="46275" spans="18:18" s="2" customFormat="1" ht="12.75" x14ac:dyDescent="0.2">
      <c r="R46275" s="1288"/>
    </row>
    <row r="46276" spans="18:18" s="2" customFormat="1" ht="12.75" x14ac:dyDescent="0.2">
      <c r="R46276" s="1288"/>
    </row>
    <row r="46277" spans="18:18" s="2" customFormat="1" ht="12.75" x14ac:dyDescent="0.2">
      <c r="R46277" s="1288"/>
    </row>
    <row r="46278" spans="18:18" s="2" customFormat="1" ht="12.75" x14ac:dyDescent="0.2">
      <c r="R46278" s="1288"/>
    </row>
    <row r="46279" spans="18:18" s="2" customFormat="1" ht="12.75" x14ac:dyDescent="0.2">
      <c r="R46279" s="1288"/>
    </row>
    <row r="46280" spans="18:18" s="2" customFormat="1" ht="12.75" x14ac:dyDescent="0.2">
      <c r="R46280" s="1288"/>
    </row>
    <row r="46281" spans="18:18" s="2" customFormat="1" ht="12.75" x14ac:dyDescent="0.2">
      <c r="R46281" s="1288"/>
    </row>
    <row r="46282" spans="18:18" s="2" customFormat="1" ht="12.75" x14ac:dyDescent="0.2">
      <c r="R46282" s="1288"/>
    </row>
    <row r="46283" spans="18:18" s="2" customFormat="1" ht="12.75" x14ac:dyDescent="0.2">
      <c r="R46283" s="1288"/>
    </row>
    <row r="46284" spans="18:18" s="2" customFormat="1" ht="12.75" x14ac:dyDescent="0.2">
      <c r="R46284" s="1288"/>
    </row>
    <row r="46285" spans="18:18" s="2" customFormat="1" ht="12.75" x14ac:dyDescent="0.2">
      <c r="R46285" s="1288"/>
    </row>
    <row r="46286" spans="18:18" s="2" customFormat="1" ht="12.75" x14ac:dyDescent="0.2">
      <c r="R46286" s="1288"/>
    </row>
    <row r="46287" spans="18:18" s="2" customFormat="1" ht="12.75" x14ac:dyDescent="0.2">
      <c r="R46287" s="1288"/>
    </row>
    <row r="46288" spans="18:18" s="2" customFormat="1" ht="12.75" x14ac:dyDescent="0.2">
      <c r="R46288" s="1288"/>
    </row>
    <row r="46289" spans="18:18" s="2" customFormat="1" ht="12.75" x14ac:dyDescent="0.2">
      <c r="R46289" s="1288"/>
    </row>
    <row r="46290" spans="18:18" s="2" customFormat="1" ht="12.75" x14ac:dyDescent="0.2">
      <c r="R46290" s="1288"/>
    </row>
    <row r="46291" spans="18:18" s="2" customFormat="1" ht="12.75" x14ac:dyDescent="0.2">
      <c r="R46291" s="1288"/>
    </row>
    <row r="46292" spans="18:18" s="2" customFormat="1" ht="12.75" x14ac:dyDescent="0.2">
      <c r="R46292" s="1288"/>
    </row>
    <row r="46293" spans="18:18" s="2" customFormat="1" ht="12.75" x14ac:dyDescent="0.2">
      <c r="R46293" s="1288"/>
    </row>
    <row r="46294" spans="18:18" s="2" customFormat="1" ht="12.75" x14ac:dyDescent="0.2">
      <c r="R46294" s="1288"/>
    </row>
    <row r="46295" spans="18:18" s="2" customFormat="1" ht="12.75" x14ac:dyDescent="0.2">
      <c r="R46295" s="1288"/>
    </row>
    <row r="46296" spans="18:18" s="2" customFormat="1" ht="12.75" x14ac:dyDescent="0.2">
      <c r="R46296" s="1288"/>
    </row>
    <row r="46297" spans="18:18" s="2" customFormat="1" ht="12.75" x14ac:dyDescent="0.2">
      <c r="R46297" s="1288"/>
    </row>
    <row r="46298" spans="18:18" s="2" customFormat="1" ht="12.75" x14ac:dyDescent="0.2">
      <c r="R46298" s="1288"/>
    </row>
    <row r="46299" spans="18:18" s="2" customFormat="1" ht="12.75" x14ac:dyDescent="0.2">
      <c r="R46299" s="1288"/>
    </row>
    <row r="46300" spans="18:18" s="2" customFormat="1" ht="12.75" x14ac:dyDescent="0.2">
      <c r="R46300" s="1288"/>
    </row>
    <row r="46301" spans="18:18" s="2" customFormat="1" ht="12.75" x14ac:dyDescent="0.2">
      <c r="R46301" s="1288"/>
    </row>
    <row r="46302" spans="18:18" s="2" customFormat="1" ht="12.75" x14ac:dyDescent="0.2">
      <c r="R46302" s="1288"/>
    </row>
    <row r="46303" spans="18:18" s="2" customFormat="1" ht="12.75" x14ac:dyDescent="0.2">
      <c r="R46303" s="1288"/>
    </row>
    <row r="46304" spans="18:18" s="2" customFormat="1" ht="12.75" x14ac:dyDescent="0.2">
      <c r="R46304" s="1288"/>
    </row>
    <row r="46305" spans="18:18" s="2" customFormat="1" ht="12.75" x14ac:dyDescent="0.2">
      <c r="R46305" s="1288"/>
    </row>
    <row r="46306" spans="18:18" s="2" customFormat="1" ht="12.75" x14ac:dyDescent="0.2">
      <c r="R46306" s="1288"/>
    </row>
    <row r="46307" spans="18:18" s="2" customFormat="1" ht="12.75" x14ac:dyDescent="0.2">
      <c r="R46307" s="1288"/>
    </row>
    <row r="46308" spans="18:18" s="2" customFormat="1" ht="12.75" x14ac:dyDescent="0.2">
      <c r="R46308" s="1288"/>
    </row>
    <row r="46309" spans="18:18" s="2" customFormat="1" ht="12.75" x14ac:dyDescent="0.2">
      <c r="R46309" s="1288"/>
    </row>
    <row r="46310" spans="18:18" s="2" customFormat="1" ht="12.75" x14ac:dyDescent="0.2">
      <c r="R46310" s="1288"/>
    </row>
    <row r="46311" spans="18:18" s="2" customFormat="1" ht="12.75" x14ac:dyDescent="0.2">
      <c r="R46311" s="1288"/>
    </row>
    <row r="46312" spans="18:18" s="2" customFormat="1" ht="12.75" x14ac:dyDescent="0.2">
      <c r="R46312" s="1288"/>
    </row>
    <row r="46313" spans="18:18" s="2" customFormat="1" ht="12.75" x14ac:dyDescent="0.2">
      <c r="R46313" s="1288"/>
    </row>
    <row r="46314" spans="18:18" s="2" customFormat="1" ht="12.75" x14ac:dyDescent="0.2">
      <c r="R46314" s="1288"/>
    </row>
    <row r="46315" spans="18:18" s="2" customFormat="1" ht="12.75" x14ac:dyDescent="0.2">
      <c r="R46315" s="1288"/>
    </row>
    <row r="46316" spans="18:18" s="2" customFormat="1" ht="12.75" x14ac:dyDescent="0.2">
      <c r="R46316" s="1288"/>
    </row>
    <row r="46317" spans="18:18" s="2" customFormat="1" ht="12.75" x14ac:dyDescent="0.2">
      <c r="R46317" s="1288"/>
    </row>
    <row r="46318" spans="18:18" s="2" customFormat="1" ht="12.75" x14ac:dyDescent="0.2">
      <c r="R46318" s="1288"/>
    </row>
    <row r="46319" spans="18:18" s="2" customFormat="1" ht="12.75" x14ac:dyDescent="0.2">
      <c r="R46319" s="1288"/>
    </row>
    <row r="46320" spans="18:18" s="2" customFormat="1" ht="12.75" x14ac:dyDescent="0.2">
      <c r="R46320" s="1288"/>
    </row>
    <row r="46321" spans="18:18" s="2" customFormat="1" ht="12.75" x14ac:dyDescent="0.2">
      <c r="R46321" s="1288"/>
    </row>
    <row r="46322" spans="18:18" s="2" customFormat="1" ht="12.75" x14ac:dyDescent="0.2">
      <c r="R46322" s="1288"/>
    </row>
    <row r="46323" spans="18:18" s="2" customFormat="1" ht="12.75" x14ac:dyDescent="0.2">
      <c r="R46323" s="1288"/>
    </row>
    <row r="46324" spans="18:18" s="2" customFormat="1" ht="12.75" x14ac:dyDescent="0.2">
      <c r="R46324" s="1288"/>
    </row>
    <row r="46325" spans="18:18" s="2" customFormat="1" ht="12.75" x14ac:dyDescent="0.2">
      <c r="R46325" s="1288"/>
    </row>
    <row r="46326" spans="18:18" s="2" customFormat="1" ht="12.75" x14ac:dyDescent="0.2">
      <c r="R46326" s="1288"/>
    </row>
    <row r="46327" spans="18:18" s="2" customFormat="1" ht="12.75" x14ac:dyDescent="0.2">
      <c r="R46327" s="1288"/>
    </row>
    <row r="46328" spans="18:18" s="2" customFormat="1" ht="12.75" x14ac:dyDescent="0.2">
      <c r="R46328" s="1288"/>
    </row>
    <row r="46329" spans="18:18" s="2" customFormat="1" ht="12.75" x14ac:dyDescent="0.2">
      <c r="R46329" s="1288"/>
    </row>
    <row r="46330" spans="18:18" s="2" customFormat="1" ht="12.75" x14ac:dyDescent="0.2">
      <c r="R46330" s="1288"/>
    </row>
    <row r="46331" spans="18:18" s="2" customFormat="1" ht="12.75" x14ac:dyDescent="0.2">
      <c r="R46331" s="1288"/>
    </row>
    <row r="46332" spans="18:18" s="2" customFormat="1" ht="12.75" x14ac:dyDescent="0.2">
      <c r="R46332" s="1288"/>
    </row>
    <row r="46333" spans="18:18" s="2" customFormat="1" ht="12.75" x14ac:dyDescent="0.2">
      <c r="R46333" s="1288"/>
    </row>
    <row r="46334" spans="18:18" s="2" customFormat="1" ht="12.75" x14ac:dyDescent="0.2">
      <c r="R46334" s="1288"/>
    </row>
    <row r="46335" spans="18:18" s="2" customFormat="1" ht="12.75" x14ac:dyDescent="0.2">
      <c r="R46335" s="1288"/>
    </row>
    <row r="46336" spans="18:18" s="2" customFormat="1" ht="12.75" x14ac:dyDescent="0.2">
      <c r="R46336" s="1288"/>
    </row>
    <row r="46337" spans="18:18" s="2" customFormat="1" ht="12.75" x14ac:dyDescent="0.2">
      <c r="R46337" s="1288"/>
    </row>
    <row r="46338" spans="18:18" s="2" customFormat="1" ht="12.75" x14ac:dyDescent="0.2">
      <c r="R46338" s="1288"/>
    </row>
    <row r="46339" spans="18:18" s="2" customFormat="1" ht="12.75" x14ac:dyDescent="0.2">
      <c r="R46339" s="1288"/>
    </row>
    <row r="46340" spans="18:18" s="2" customFormat="1" ht="12.75" x14ac:dyDescent="0.2">
      <c r="R46340" s="1288"/>
    </row>
    <row r="46341" spans="18:18" s="2" customFormat="1" ht="12.75" x14ac:dyDescent="0.2">
      <c r="R46341" s="1288"/>
    </row>
    <row r="46342" spans="18:18" s="2" customFormat="1" ht="12.75" x14ac:dyDescent="0.2">
      <c r="R46342" s="1288"/>
    </row>
    <row r="46343" spans="18:18" s="2" customFormat="1" ht="12.75" x14ac:dyDescent="0.2">
      <c r="R46343" s="1288"/>
    </row>
    <row r="46344" spans="18:18" s="2" customFormat="1" ht="12.75" x14ac:dyDescent="0.2">
      <c r="R46344" s="1288"/>
    </row>
    <row r="46345" spans="18:18" s="2" customFormat="1" ht="12.75" x14ac:dyDescent="0.2">
      <c r="R46345" s="1288"/>
    </row>
    <row r="46346" spans="18:18" s="2" customFormat="1" ht="12.75" x14ac:dyDescent="0.2">
      <c r="R46346" s="1288"/>
    </row>
    <row r="46347" spans="18:18" s="2" customFormat="1" ht="12.75" x14ac:dyDescent="0.2">
      <c r="R46347" s="1288"/>
    </row>
    <row r="46348" spans="18:18" s="2" customFormat="1" ht="12.75" x14ac:dyDescent="0.2">
      <c r="R46348" s="1288"/>
    </row>
    <row r="46349" spans="18:18" s="2" customFormat="1" ht="12.75" x14ac:dyDescent="0.2">
      <c r="R46349" s="1288"/>
    </row>
    <row r="46350" spans="18:18" s="2" customFormat="1" ht="12.75" x14ac:dyDescent="0.2">
      <c r="R46350" s="1288"/>
    </row>
    <row r="46351" spans="18:18" s="2" customFormat="1" ht="12.75" x14ac:dyDescent="0.2">
      <c r="R46351" s="1288"/>
    </row>
    <row r="46352" spans="18:18" s="2" customFormat="1" ht="12.75" x14ac:dyDescent="0.2">
      <c r="R46352" s="1288"/>
    </row>
    <row r="46353" spans="18:18" s="2" customFormat="1" ht="12.75" x14ac:dyDescent="0.2">
      <c r="R46353" s="1288"/>
    </row>
    <row r="46354" spans="18:18" s="2" customFormat="1" ht="12.75" x14ac:dyDescent="0.2">
      <c r="R46354" s="1288"/>
    </row>
    <row r="46355" spans="18:18" s="2" customFormat="1" ht="12.75" x14ac:dyDescent="0.2">
      <c r="R46355" s="1288"/>
    </row>
    <row r="46356" spans="18:18" s="2" customFormat="1" ht="12.75" x14ac:dyDescent="0.2">
      <c r="R46356" s="1288"/>
    </row>
    <row r="46357" spans="18:18" s="2" customFormat="1" ht="12.75" x14ac:dyDescent="0.2">
      <c r="R46357" s="1288"/>
    </row>
    <row r="46358" spans="18:18" s="2" customFormat="1" ht="12.75" x14ac:dyDescent="0.2">
      <c r="R46358" s="1288"/>
    </row>
    <row r="46359" spans="18:18" s="2" customFormat="1" ht="12.75" x14ac:dyDescent="0.2">
      <c r="R46359" s="1288"/>
    </row>
    <row r="46360" spans="18:18" s="2" customFormat="1" ht="12.75" x14ac:dyDescent="0.2">
      <c r="R46360" s="1288"/>
    </row>
    <row r="46361" spans="18:18" s="2" customFormat="1" ht="12.75" x14ac:dyDescent="0.2">
      <c r="R46361" s="1288"/>
    </row>
    <row r="46362" spans="18:18" s="2" customFormat="1" ht="12.75" x14ac:dyDescent="0.2">
      <c r="R46362" s="1288"/>
    </row>
    <row r="46363" spans="18:18" s="2" customFormat="1" ht="12.75" x14ac:dyDescent="0.2">
      <c r="R46363" s="1288"/>
    </row>
    <row r="46364" spans="18:18" s="2" customFormat="1" ht="12.75" x14ac:dyDescent="0.2">
      <c r="R46364" s="1288"/>
    </row>
    <row r="46365" spans="18:18" s="2" customFormat="1" ht="12.75" x14ac:dyDescent="0.2">
      <c r="R46365" s="1288"/>
    </row>
    <row r="46366" spans="18:18" s="2" customFormat="1" ht="12.75" x14ac:dyDescent="0.2">
      <c r="R46366" s="1288"/>
    </row>
    <row r="46367" spans="18:18" s="2" customFormat="1" ht="12.75" x14ac:dyDescent="0.2">
      <c r="R46367" s="1288"/>
    </row>
    <row r="46368" spans="18:18" s="2" customFormat="1" ht="12.75" x14ac:dyDescent="0.2">
      <c r="R46368" s="1288"/>
    </row>
    <row r="46369" spans="18:18" s="2" customFormat="1" ht="12.75" x14ac:dyDescent="0.2">
      <c r="R46369" s="1288"/>
    </row>
    <row r="46370" spans="18:18" s="2" customFormat="1" ht="12.75" x14ac:dyDescent="0.2">
      <c r="R46370" s="1288"/>
    </row>
    <row r="46371" spans="18:18" s="2" customFormat="1" ht="12.75" x14ac:dyDescent="0.2">
      <c r="R46371" s="1288"/>
    </row>
    <row r="46372" spans="18:18" s="2" customFormat="1" ht="12.75" x14ac:dyDescent="0.2">
      <c r="R46372" s="1288"/>
    </row>
    <row r="46373" spans="18:18" s="2" customFormat="1" ht="12.75" x14ac:dyDescent="0.2">
      <c r="R46373" s="1288"/>
    </row>
    <row r="46374" spans="18:18" s="2" customFormat="1" ht="12.75" x14ac:dyDescent="0.2">
      <c r="R46374" s="1288"/>
    </row>
    <row r="46375" spans="18:18" s="2" customFormat="1" ht="12.75" x14ac:dyDescent="0.2">
      <c r="R46375" s="1288"/>
    </row>
    <row r="46376" spans="18:18" s="2" customFormat="1" ht="12.75" x14ac:dyDescent="0.2">
      <c r="R46376" s="1288"/>
    </row>
    <row r="46377" spans="18:18" s="2" customFormat="1" ht="12.75" x14ac:dyDescent="0.2">
      <c r="R46377" s="1288"/>
    </row>
    <row r="46378" spans="18:18" s="2" customFormat="1" ht="12.75" x14ac:dyDescent="0.2">
      <c r="R46378" s="1288"/>
    </row>
    <row r="46379" spans="18:18" s="2" customFormat="1" ht="12.75" x14ac:dyDescent="0.2">
      <c r="R46379" s="1288"/>
    </row>
    <row r="46380" spans="18:18" s="2" customFormat="1" ht="12.75" x14ac:dyDescent="0.2">
      <c r="R46380" s="1288"/>
    </row>
    <row r="46381" spans="18:18" s="2" customFormat="1" ht="12.75" x14ac:dyDescent="0.2">
      <c r="R46381" s="1288"/>
    </row>
    <row r="46382" spans="18:18" s="2" customFormat="1" ht="12.75" x14ac:dyDescent="0.2">
      <c r="R46382" s="1288"/>
    </row>
    <row r="46383" spans="18:18" s="2" customFormat="1" ht="12.75" x14ac:dyDescent="0.2">
      <c r="R46383" s="1288"/>
    </row>
    <row r="46384" spans="18:18" s="2" customFormat="1" ht="12.75" x14ac:dyDescent="0.2">
      <c r="R46384" s="1288"/>
    </row>
    <row r="46385" spans="18:18" s="2" customFormat="1" ht="12.75" x14ac:dyDescent="0.2">
      <c r="R46385" s="1288"/>
    </row>
    <row r="46386" spans="18:18" s="2" customFormat="1" ht="12.75" x14ac:dyDescent="0.2">
      <c r="R46386" s="1288"/>
    </row>
    <row r="46387" spans="18:18" s="2" customFormat="1" ht="12.75" x14ac:dyDescent="0.2">
      <c r="R46387" s="1288"/>
    </row>
    <row r="46388" spans="18:18" s="2" customFormat="1" ht="12.75" x14ac:dyDescent="0.2">
      <c r="R46388" s="1288"/>
    </row>
    <row r="46389" spans="18:18" s="2" customFormat="1" ht="12.75" x14ac:dyDescent="0.2">
      <c r="R46389" s="1288"/>
    </row>
    <row r="46390" spans="18:18" s="2" customFormat="1" ht="12.75" x14ac:dyDescent="0.2">
      <c r="R46390" s="1288"/>
    </row>
    <row r="46391" spans="18:18" s="2" customFormat="1" ht="12.75" x14ac:dyDescent="0.2">
      <c r="R46391" s="1288"/>
    </row>
    <row r="46392" spans="18:18" s="2" customFormat="1" ht="12.75" x14ac:dyDescent="0.2">
      <c r="R46392" s="1288"/>
    </row>
    <row r="46393" spans="18:18" s="2" customFormat="1" ht="12.75" x14ac:dyDescent="0.2">
      <c r="R46393" s="1288"/>
    </row>
    <row r="46394" spans="18:18" s="2" customFormat="1" ht="12.75" x14ac:dyDescent="0.2">
      <c r="R46394" s="1288"/>
    </row>
    <row r="46395" spans="18:18" s="2" customFormat="1" ht="12.75" x14ac:dyDescent="0.2">
      <c r="R46395" s="1288"/>
    </row>
    <row r="46396" spans="18:18" s="2" customFormat="1" ht="12.75" x14ac:dyDescent="0.2">
      <c r="R46396" s="1288"/>
    </row>
    <row r="46397" spans="18:18" s="2" customFormat="1" ht="12.75" x14ac:dyDescent="0.2">
      <c r="R46397" s="1288"/>
    </row>
    <row r="46398" spans="18:18" s="2" customFormat="1" ht="12.75" x14ac:dyDescent="0.2">
      <c r="R46398" s="1288"/>
    </row>
    <row r="46399" spans="18:18" s="2" customFormat="1" ht="12.75" x14ac:dyDescent="0.2">
      <c r="R46399" s="1288"/>
    </row>
    <row r="46400" spans="18:18" s="2" customFormat="1" ht="12.75" x14ac:dyDescent="0.2">
      <c r="R46400" s="1288"/>
    </row>
    <row r="46401" spans="18:18" s="2" customFormat="1" ht="12.75" x14ac:dyDescent="0.2">
      <c r="R46401" s="1288"/>
    </row>
    <row r="46402" spans="18:18" s="2" customFormat="1" ht="12.75" x14ac:dyDescent="0.2">
      <c r="R46402" s="1288"/>
    </row>
    <row r="46403" spans="18:18" s="2" customFormat="1" ht="12.75" x14ac:dyDescent="0.2">
      <c r="R46403" s="1288"/>
    </row>
    <row r="46404" spans="18:18" s="2" customFormat="1" ht="12.75" x14ac:dyDescent="0.2">
      <c r="R46404" s="1288"/>
    </row>
    <row r="46405" spans="18:18" s="2" customFormat="1" ht="12.75" x14ac:dyDescent="0.2">
      <c r="R46405" s="1288"/>
    </row>
    <row r="46406" spans="18:18" s="2" customFormat="1" ht="12.75" x14ac:dyDescent="0.2">
      <c r="R46406" s="1288"/>
    </row>
    <row r="46407" spans="18:18" s="2" customFormat="1" ht="12.75" x14ac:dyDescent="0.2">
      <c r="R46407" s="1288"/>
    </row>
    <row r="46408" spans="18:18" s="2" customFormat="1" ht="12.75" x14ac:dyDescent="0.2">
      <c r="R46408" s="1288"/>
    </row>
    <row r="46409" spans="18:18" s="2" customFormat="1" ht="12.75" x14ac:dyDescent="0.2">
      <c r="R46409" s="1288"/>
    </row>
    <row r="46410" spans="18:18" s="2" customFormat="1" ht="12.75" x14ac:dyDescent="0.2">
      <c r="R46410" s="1288"/>
    </row>
    <row r="46411" spans="18:18" s="2" customFormat="1" ht="12.75" x14ac:dyDescent="0.2">
      <c r="R46411" s="1288"/>
    </row>
    <row r="46412" spans="18:18" s="2" customFormat="1" ht="12.75" x14ac:dyDescent="0.2">
      <c r="R46412" s="1288"/>
    </row>
    <row r="46413" spans="18:18" s="2" customFormat="1" ht="12.75" x14ac:dyDescent="0.2">
      <c r="R46413" s="1288"/>
    </row>
    <row r="46414" spans="18:18" s="2" customFormat="1" ht="12.75" x14ac:dyDescent="0.2">
      <c r="R46414" s="1288"/>
    </row>
    <row r="46415" spans="18:18" s="2" customFormat="1" ht="12.75" x14ac:dyDescent="0.2">
      <c r="R46415" s="1288"/>
    </row>
    <row r="46416" spans="18:18" s="2" customFormat="1" ht="12.75" x14ac:dyDescent="0.2">
      <c r="R46416" s="1288"/>
    </row>
    <row r="46417" spans="18:18" s="2" customFormat="1" ht="12.75" x14ac:dyDescent="0.2">
      <c r="R46417" s="1288"/>
    </row>
    <row r="46418" spans="18:18" s="2" customFormat="1" ht="12.75" x14ac:dyDescent="0.2">
      <c r="R46418" s="1288"/>
    </row>
    <row r="46419" spans="18:18" s="2" customFormat="1" ht="12.75" x14ac:dyDescent="0.2">
      <c r="R46419" s="1288"/>
    </row>
    <row r="46420" spans="18:18" s="2" customFormat="1" ht="12.75" x14ac:dyDescent="0.2">
      <c r="R46420" s="1288"/>
    </row>
    <row r="46421" spans="18:18" s="2" customFormat="1" ht="12.75" x14ac:dyDescent="0.2">
      <c r="R46421" s="1288"/>
    </row>
    <row r="46422" spans="18:18" s="2" customFormat="1" ht="12.75" x14ac:dyDescent="0.2">
      <c r="R46422" s="1288"/>
    </row>
    <row r="46423" spans="18:18" s="2" customFormat="1" ht="12.75" x14ac:dyDescent="0.2">
      <c r="R46423" s="1288"/>
    </row>
    <row r="46424" spans="18:18" s="2" customFormat="1" ht="12.75" x14ac:dyDescent="0.2">
      <c r="R46424" s="1288"/>
    </row>
    <row r="46425" spans="18:18" s="2" customFormat="1" ht="12.75" x14ac:dyDescent="0.2">
      <c r="R46425" s="1288"/>
    </row>
    <row r="46426" spans="18:18" s="2" customFormat="1" ht="12.75" x14ac:dyDescent="0.2">
      <c r="R46426" s="1288"/>
    </row>
    <row r="46427" spans="18:18" s="2" customFormat="1" ht="12.75" x14ac:dyDescent="0.2">
      <c r="R46427" s="1288"/>
    </row>
    <row r="46428" spans="18:18" s="2" customFormat="1" ht="12.75" x14ac:dyDescent="0.2">
      <c r="R46428" s="1288"/>
    </row>
    <row r="46429" spans="18:18" s="2" customFormat="1" ht="12.75" x14ac:dyDescent="0.2">
      <c r="R46429" s="1288"/>
    </row>
    <row r="46430" spans="18:18" s="2" customFormat="1" ht="12.75" x14ac:dyDescent="0.2">
      <c r="R46430" s="1288"/>
    </row>
    <row r="46431" spans="18:18" s="2" customFormat="1" ht="12.75" x14ac:dyDescent="0.2">
      <c r="R46431" s="1288"/>
    </row>
    <row r="46432" spans="18:18" s="2" customFormat="1" ht="12.75" x14ac:dyDescent="0.2">
      <c r="R46432" s="1288"/>
    </row>
    <row r="46433" spans="18:18" s="2" customFormat="1" ht="12.75" x14ac:dyDescent="0.2">
      <c r="R46433" s="1288"/>
    </row>
    <row r="46434" spans="18:18" s="2" customFormat="1" ht="12.75" x14ac:dyDescent="0.2">
      <c r="R46434" s="1288"/>
    </row>
    <row r="46435" spans="18:18" s="2" customFormat="1" ht="12.75" x14ac:dyDescent="0.2">
      <c r="R46435" s="1288"/>
    </row>
    <row r="46436" spans="18:18" s="2" customFormat="1" ht="12.75" x14ac:dyDescent="0.2">
      <c r="R46436" s="1288"/>
    </row>
    <row r="46437" spans="18:18" s="2" customFormat="1" ht="12.75" x14ac:dyDescent="0.2">
      <c r="R46437" s="1288"/>
    </row>
    <row r="46438" spans="18:18" s="2" customFormat="1" ht="12.75" x14ac:dyDescent="0.2">
      <c r="R46438" s="1288"/>
    </row>
    <row r="46439" spans="18:18" s="2" customFormat="1" ht="12.75" x14ac:dyDescent="0.2">
      <c r="R46439" s="1288"/>
    </row>
    <row r="46440" spans="18:18" s="2" customFormat="1" ht="12.75" x14ac:dyDescent="0.2">
      <c r="R46440" s="1288"/>
    </row>
    <row r="46441" spans="18:18" s="2" customFormat="1" ht="12.75" x14ac:dyDescent="0.2">
      <c r="R46441" s="1288"/>
    </row>
    <row r="46442" spans="18:18" s="2" customFormat="1" ht="12.75" x14ac:dyDescent="0.2">
      <c r="R46442" s="1288"/>
    </row>
    <row r="46443" spans="18:18" s="2" customFormat="1" ht="12.75" x14ac:dyDescent="0.2">
      <c r="R46443" s="1288"/>
    </row>
    <row r="46444" spans="18:18" s="2" customFormat="1" ht="12.75" x14ac:dyDescent="0.2">
      <c r="R46444" s="1288"/>
    </row>
    <row r="46445" spans="18:18" s="2" customFormat="1" ht="12.75" x14ac:dyDescent="0.2">
      <c r="R46445" s="1288"/>
    </row>
    <row r="46446" spans="18:18" s="2" customFormat="1" ht="12.75" x14ac:dyDescent="0.2">
      <c r="R46446" s="1288"/>
    </row>
    <row r="46447" spans="18:18" s="2" customFormat="1" ht="12.75" x14ac:dyDescent="0.2">
      <c r="R46447" s="1288"/>
    </row>
    <row r="46448" spans="18:18" s="2" customFormat="1" ht="12.75" x14ac:dyDescent="0.2">
      <c r="R46448" s="1288"/>
    </row>
    <row r="46449" spans="18:18" s="2" customFormat="1" ht="12.75" x14ac:dyDescent="0.2">
      <c r="R46449" s="1288"/>
    </row>
    <row r="46450" spans="18:18" s="2" customFormat="1" ht="12.75" x14ac:dyDescent="0.2">
      <c r="R46450" s="1288"/>
    </row>
    <row r="46451" spans="18:18" s="2" customFormat="1" ht="12.75" x14ac:dyDescent="0.2">
      <c r="R46451" s="1288"/>
    </row>
    <row r="46452" spans="18:18" s="2" customFormat="1" ht="12.75" x14ac:dyDescent="0.2">
      <c r="R46452" s="1288"/>
    </row>
    <row r="46453" spans="18:18" s="2" customFormat="1" ht="12.75" x14ac:dyDescent="0.2">
      <c r="R46453" s="1288"/>
    </row>
    <row r="46454" spans="18:18" s="2" customFormat="1" ht="12.75" x14ac:dyDescent="0.2">
      <c r="R46454" s="1288"/>
    </row>
    <row r="46455" spans="18:18" s="2" customFormat="1" ht="12.75" x14ac:dyDescent="0.2">
      <c r="R46455" s="1288"/>
    </row>
    <row r="46456" spans="18:18" s="2" customFormat="1" ht="12.75" x14ac:dyDescent="0.2">
      <c r="R46456" s="1288"/>
    </row>
    <row r="46457" spans="18:18" s="2" customFormat="1" ht="12.75" x14ac:dyDescent="0.2">
      <c r="R46457" s="1288"/>
    </row>
    <row r="46458" spans="18:18" s="2" customFormat="1" ht="12.75" x14ac:dyDescent="0.2">
      <c r="R46458" s="1288"/>
    </row>
    <row r="46459" spans="18:18" s="2" customFormat="1" ht="12.75" x14ac:dyDescent="0.2">
      <c r="R46459" s="1288"/>
    </row>
    <row r="46460" spans="18:18" s="2" customFormat="1" ht="12.75" x14ac:dyDescent="0.2">
      <c r="R46460" s="1288"/>
    </row>
    <row r="46461" spans="18:18" s="2" customFormat="1" ht="12.75" x14ac:dyDescent="0.2">
      <c r="R46461" s="1288"/>
    </row>
    <row r="46462" spans="18:18" s="2" customFormat="1" ht="12.75" x14ac:dyDescent="0.2">
      <c r="R46462" s="1288"/>
    </row>
    <row r="46463" spans="18:18" s="2" customFormat="1" ht="12.75" x14ac:dyDescent="0.2">
      <c r="R46463" s="1288"/>
    </row>
    <row r="46464" spans="18:18" s="2" customFormat="1" ht="12.75" x14ac:dyDescent="0.2">
      <c r="R46464" s="1288"/>
    </row>
    <row r="46465" spans="18:18" s="2" customFormat="1" ht="12.75" x14ac:dyDescent="0.2">
      <c r="R46465" s="1288"/>
    </row>
    <row r="46466" spans="18:18" s="2" customFormat="1" ht="12.75" x14ac:dyDescent="0.2">
      <c r="R46466" s="1288"/>
    </row>
    <row r="46467" spans="18:18" s="2" customFormat="1" ht="12.75" x14ac:dyDescent="0.2">
      <c r="R46467" s="1288"/>
    </row>
    <row r="46468" spans="18:18" s="2" customFormat="1" ht="12.75" x14ac:dyDescent="0.2">
      <c r="R46468" s="1288"/>
    </row>
    <row r="46469" spans="18:18" s="2" customFormat="1" ht="12.75" x14ac:dyDescent="0.2">
      <c r="R46469" s="1288"/>
    </row>
    <row r="46470" spans="18:18" s="2" customFormat="1" ht="12.75" x14ac:dyDescent="0.2">
      <c r="R46470" s="1288"/>
    </row>
    <row r="46471" spans="18:18" s="2" customFormat="1" ht="12.75" x14ac:dyDescent="0.2">
      <c r="R46471" s="1288"/>
    </row>
    <row r="46472" spans="18:18" s="2" customFormat="1" ht="12.75" x14ac:dyDescent="0.2">
      <c r="R46472" s="1288"/>
    </row>
    <row r="46473" spans="18:18" s="2" customFormat="1" ht="12.75" x14ac:dyDescent="0.2">
      <c r="R46473" s="1288"/>
    </row>
    <row r="46474" spans="18:18" s="2" customFormat="1" ht="12.75" x14ac:dyDescent="0.2">
      <c r="R46474" s="1288"/>
    </row>
    <row r="46475" spans="18:18" s="2" customFormat="1" ht="12.75" x14ac:dyDescent="0.2">
      <c r="R46475" s="1288"/>
    </row>
    <row r="46476" spans="18:18" s="2" customFormat="1" ht="12.75" x14ac:dyDescent="0.2">
      <c r="R46476" s="1288"/>
    </row>
    <row r="46477" spans="18:18" s="2" customFormat="1" ht="12.75" x14ac:dyDescent="0.2">
      <c r="R46477" s="1288"/>
    </row>
    <row r="46478" spans="18:18" s="2" customFormat="1" ht="12.75" x14ac:dyDescent="0.2">
      <c r="R46478" s="1288"/>
    </row>
    <row r="46479" spans="18:18" s="2" customFormat="1" ht="12.75" x14ac:dyDescent="0.2">
      <c r="R46479" s="1288"/>
    </row>
    <row r="46480" spans="18:18" s="2" customFormat="1" ht="12.75" x14ac:dyDescent="0.2">
      <c r="R46480" s="1288"/>
    </row>
    <row r="46481" spans="18:18" s="2" customFormat="1" ht="12.75" x14ac:dyDescent="0.2">
      <c r="R46481" s="1288"/>
    </row>
    <row r="46482" spans="18:18" s="2" customFormat="1" ht="12.75" x14ac:dyDescent="0.2">
      <c r="R46482" s="1288"/>
    </row>
    <row r="46483" spans="18:18" s="2" customFormat="1" ht="12.75" x14ac:dyDescent="0.2">
      <c r="R46483" s="1288"/>
    </row>
    <row r="46484" spans="18:18" s="2" customFormat="1" ht="12.75" x14ac:dyDescent="0.2">
      <c r="R46484" s="1288"/>
    </row>
    <row r="46485" spans="18:18" s="2" customFormat="1" ht="12.75" x14ac:dyDescent="0.2">
      <c r="R46485" s="1288"/>
    </row>
    <row r="46486" spans="18:18" s="2" customFormat="1" ht="12.75" x14ac:dyDescent="0.2">
      <c r="R46486" s="1288"/>
    </row>
    <row r="46487" spans="18:18" s="2" customFormat="1" ht="12.75" x14ac:dyDescent="0.2">
      <c r="R46487" s="1288"/>
    </row>
    <row r="46488" spans="18:18" s="2" customFormat="1" ht="12.75" x14ac:dyDescent="0.2">
      <c r="R46488" s="1288"/>
    </row>
    <row r="46489" spans="18:18" s="2" customFormat="1" ht="12.75" x14ac:dyDescent="0.2">
      <c r="R46489" s="1288"/>
    </row>
    <row r="46490" spans="18:18" s="2" customFormat="1" ht="12.75" x14ac:dyDescent="0.2">
      <c r="R46490" s="1288"/>
    </row>
    <row r="46491" spans="18:18" s="2" customFormat="1" ht="12.75" x14ac:dyDescent="0.2">
      <c r="R46491" s="1288"/>
    </row>
    <row r="46492" spans="18:18" s="2" customFormat="1" ht="12.75" x14ac:dyDescent="0.2">
      <c r="R46492" s="1288"/>
    </row>
    <row r="46493" spans="18:18" s="2" customFormat="1" ht="12.75" x14ac:dyDescent="0.2">
      <c r="R46493" s="1288"/>
    </row>
    <row r="46494" spans="18:18" s="2" customFormat="1" ht="12.75" x14ac:dyDescent="0.2">
      <c r="R46494" s="1288"/>
    </row>
    <row r="46495" spans="18:18" s="2" customFormat="1" ht="12.75" x14ac:dyDescent="0.2">
      <c r="R46495" s="1288"/>
    </row>
    <row r="46496" spans="18:18" s="2" customFormat="1" ht="12.75" x14ac:dyDescent="0.2">
      <c r="R46496" s="1288"/>
    </row>
    <row r="46497" spans="18:18" s="2" customFormat="1" ht="12.75" x14ac:dyDescent="0.2">
      <c r="R46497" s="1288"/>
    </row>
    <row r="46498" spans="18:18" s="2" customFormat="1" ht="12.75" x14ac:dyDescent="0.2">
      <c r="R46498" s="1288"/>
    </row>
    <row r="46499" spans="18:18" s="2" customFormat="1" ht="12.75" x14ac:dyDescent="0.2">
      <c r="R46499" s="1288"/>
    </row>
    <row r="46500" spans="18:18" s="2" customFormat="1" ht="12.75" x14ac:dyDescent="0.2">
      <c r="R46500" s="1288"/>
    </row>
    <row r="46501" spans="18:18" s="2" customFormat="1" ht="12.75" x14ac:dyDescent="0.2">
      <c r="R46501" s="1288"/>
    </row>
    <row r="46502" spans="18:18" s="2" customFormat="1" ht="12.75" x14ac:dyDescent="0.2">
      <c r="R46502" s="1288"/>
    </row>
    <row r="46503" spans="18:18" s="2" customFormat="1" ht="12.75" x14ac:dyDescent="0.2">
      <c r="R46503" s="1288"/>
    </row>
    <row r="46504" spans="18:18" s="2" customFormat="1" ht="12.75" x14ac:dyDescent="0.2">
      <c r="R46504" s="1288"/>
    </row>
    <row r="46505" spans="18:18" s="2" customFormat="1" ht="12.75" x14ac:dyDescent="0.2">
      <c r="R46505" s="1288"/>
    </row>
    <row r="46506" spans="18:18" s="2" customFormat="1" ht="12.75" x14ac:dyDescent="0.2">
      <c r="R46506" s="1288"/>
    </row>
    <row r="46507" spans="18:18" s="2" customFormat="1" ht="12.75" x14ac:dyDescent="0.2">
      <c r="R46507" s="1288"/>
    </row>
    <row r="46508" spans="18:18" s="2" customFormat="1" ht="12.75" x14ac:dyDescent="0.2">
      <c r="R46508" s="1288"/>
    </row>
    <row r="46509" spans="18:18" s="2" customFormat="1" ht="12.75" x14ac:dyDescent="0.2">
      <c r="R46509" s="1288"/>
    </row>
    <row r="46510" spans="18:18" s="2" customFormat="1" ht="12.75" x14ac:dyDescent="0.2">
      <c r="R46510" s="1288"/>
    </row>
    <row r="46511" spans="18:18" s="2" customFormat="1" ht="12.75" x14ac:dyDescent="0.2">
      <c r="R46511" s="1288"/>
    </row>
    <row r="46512" spans="18:18" s="2" customFormat="1" ht="12.75" x14ac:dyDescent="0.2">
      <c r="R46512" s="1288"/>
    </row>
    <row r="46513" spans="18:18" s="2" customFormat="1" ht="12.75" x14ac:dyDescent="0.2">
      <c r="R46513" s="1288"/>
    </row>
    <row r="46514" spans="18:18" s="2" customFormat="1" ht="12.75" x14ac:dyDescent="0.2">
      <c r="R46514" s="1288"/>
    </row>
    <row r="46515" spans="18:18" s="2" customFormat="1" ht="12.75" x14ac:dyDescent="0.2">
      <c r="R46515" s="1288"/>
    </row>
    <row r="46516" spans="18:18" s="2" customFormat="1" ht="12.75" x14ac:dyDescent="0.2">
      <c r="R46516" s="1288"/>
    </row>
    <row r="46517" spans="18:18" s="2" customFormat="1" ht="12.75" x14ac:dyDescent="0.2">
      <c r="R46517" s="1288"/>
    </row>
    <row r="46518" spans="18:18" s="2" customFormat="1" ht="12.75" x14ac:dyDescent="0.2">
      <c r="R46518" s="1288"/>
    </row>
    <row r="46519" spans="18:18" s="2" customFormat="1" ht="12.75" x14ac:dyDescent="0.2">
      <c r="R46519" s="1288"/>
    </row>
    <row r="46520" spans="18:18" s="2" customFormat="1" ht="12.75" x14ac:dyDescent="0.2">
      <c r="R46520" s="1288"/>
    </row>
    <row r="46521" spans="18:18" s="2" customFormat="1" ht="12.75" x14ac:dyDescent="0.2">
      <c r="R46521" s="1288"/>
    </row>
    <row r="46522" spans="18:18" s="2" customFormat="1" ht="12.75" x14ac:dyDescent="0.2">
      <c r="R46522" s="1288"/>
    </row>
    <row r="46523" spans="18:18" s="2" customFormat="1" ht="12.75" x14ac:dyDescent="0.2">
      <c r="R46523" s="1288"/>
    </row>
    <row r="46524" spans="18:18" s="2" customFormat="1" ht="12.75" x14ac:dyDescent="0.2">
      <c r="R46524" s="1288"/>
    </row>
    <row r="46525" spans="18:18" s="2" customFormat="1" ht="12.75" x14ac:dyDescent="0.2">
      <c r="R46525" s="1288"/>
    </row>
    <row r="46526" spans="18:18" s="2" customFormat="1" ht="12.75" x14ac:dyDescent="0.2">
      <c r="R46526" s="1288"/>
    </row>
    <row r="46527" spans="18:18" s="2" customFormat="1" ht="12.75" x14ac:dyDescent="0.2">
      <c r="R46527" s="1288"/>
    </row>
    <row r="46528" spans="18:18" s="2" customFormat="1" ht="12.75" x14ac:dyDescent="0.2">
      <c r="R46528" s="1288"/>
    </row>
    <row r="46529" spans="18:18" s="2" customFormat="1" ht="12.75" x14ac:dyDescent="0.2">
      <c r="R46529" s="1288"/>
    </row>
    <row r="46530" spans="18:18" s="2" customFormat="1" ht="12.75" x14ac:dyDescent="0.2">
      <c r="R46530" s="1288"/>
    </row>
    <row r="46531" spans="18:18" s="2" customFormat="1" ht="12.75" x14ac:dyDescent="0.2">
      <c r="R46531" s="1288"/>
    </row>
    <row r="46532" spans="18:18" s="2" customFormat="1" ht="12.75" x14ac:dyDescent="0.2">
      <c r="R46532" s="1288"/>
    </row>
    <row r="46533" spans="18:18" s="2" customFormat="1" ht="12.75" x14ac:dyDescent="0.2">
      <c r="R46533" s="1288"/>
    </row>
    <row r="46534" spans="18:18" s="2" customFormat="1" ht="12.75" x14ac:dyDescent="0.2">
      <c r="R46534" s="1288"/>
    </row>
    <row r="46535" spans="18:18" s="2" customFormat="1" ht="12.75" x14ac:dyDescent="0.2">
      <c r="R46535" s="1288"/>
    </row>
    <row r="46536" spans="18:18" s="2" customFormat="1" ht="12.75" x14ac:dyDescent="0.2">
      <c r="R46536" s="1288"/>
    </row>
    <row r="46537" spans="18:18" s="2" customFormat="1" ht="12.75" x14ac:dyDescent="0.2">
      <c r="R46537" s="1288"/>
    </row>
    <row r="46538" spans="18:18" s="2" customFormat="1" ht="12.75" x14ac:dyDescent="0.2">
      <c r="R46538" s="1288"/>
    </row>
    <row r="46539" spans="18:18" s="2" customFormat="1" ht="12.75" x14ac:dyDescent="0.2">
      <c r="R46539" s="1288"/>
    </row>
    <row r="46540" spans="18:18" s="2" customFormat="1" ht="12.75" x14ac:dyDescent="0.2">
      <c r="R46540" s="1288"/>
    </row>
    <row r="46541" spans="18:18" s="2" customFormat="1" ht="12.75" x14ac:dyDescent="0.2">
      <c r="R46541" s="1288"/>
    </row>
    <row r="46542" spans="18:18" s="2" customFormat="1" ht="12.75" x14ac:dyDescent="0.2">
      <c r="R46542" s="1288"/>
    </row>
    <row r="46543" spans="18:18" s="2" customFormat="1" ht="12.75" x14ac:dyDescent="0.2">
      <c r="R46543" s="1288"/>
    </row>
    <row r="46544" spans="18:18" s="2" customFormat="1" ht="12.75" x14ac:dyDescent="0.2">
      <c r="R46544" s="1288"/>
    </row>
    <row r="46545" spans="18:18" s="2" customFormat="1" ht="12.75" x14ac:dyDescent="0.2">
      <c r="R46545" s="1288"/>
    </row>
    <row r="46546" spans="18:18" s="2" customFormat="1" ht="12.75" x14ac:dyDescent="0.2">
      <c r="R46546" s="1288"/>
    </row>
    <row r="46547" spans="18:18" s="2" customFormat="1" ht="12.75" x14ac:dyDescent="0.2">
      <c r="R46547" s="1288"/>
    </row>
    <row r="46548" spans="18:18" s="2" customFormat="1" ht="12.75" x14ac:dyDescent="0.2">
      <c r="R46548" s="1288"/>
    </row>
    <row r="46549" spans="18:18" s="2" customFormat="1" ht="12.75" x14ac:dyDescent="0.2">
      <c r="R46549" s="1288"/>
    </row>
    <row r="46550" spans="18:18" s="2" customFormat="1" ht="12.75" x14ac:dyDescent="0.2">
      <c r="R46550" s="1288"/>
    </row>
    <row r="46551" spans="18:18" s="2" customFormat="1" ht="12.75" x14ac:dyDescent="0.2">
      <c r="R46551" s="1288"/>
    </row>
    <row r="46552" spans="18:18" s="2" customFormat="1" ht="12.75" x14ac:dyDescent="0.2">
      <c r="R46552" s="1288"/>
    </row>
    <row r="46553" spans="18:18" s="2" customFormat="1" ht="12.75" x14ac:dyDescent="0.2">
      <c r="R46553" s="1288"/>
    </row>
    <row r="46554" spans="18:18" s="2" customFormat="1" ht="12.75" x14ac:dyDescent="0.2">
      <c r="R46554" s="1288"/>
    </row>
    <row r="46555" spans="18:18" s="2" customFormat="1" ht="12.75" x14ac:dyDescent="0.2">
      <c r="R46555" s="1288"/>
    </row>
    <row r="46556" spans="18:18" s="2" customFormat="1" ht="12.75" x14ac:dyDescent="0.2">
      <c r="R46556" s="1288"/>
    </row>
    <row r="46557" spans="18:18" s="2" customFormat="1" ht="12.75" x14ac:dyDescent="0.2">
      <c r="R46557" s="1288"/>
    </row>
    <row r="46558" spans="18:18" s="2" customFormat="1" ht="12.75" x14ac:dyDescent="0.2">
      <c r="R46558" s="1288"/>
    </row>
    <row r="46559" spans="18:18" s="2" customFormat="1" ht="12.75" x14ac:dyDescent="0.2">
      <c r="R46559" s="1288"/>
    </row>
    <row r="46560" spans="18:18" s="2" customFormat="1" ht="12.75" x14ac:dyDescent="0.2">
      <c r="R46560" s="1288"/>
    </row>
    <row r="46561" spans="18:18" s="2" customFormat="1" ht="12.75" x14ac:dyDescent="0.2">
      <c r="R46561" s="1288"/>
    </row>
    <row r="46562" spans="18:18" s="2" customFormat="1" ht="12.75" x14ac:dyDescent="0.2">
      <c r="R46562" s="1288"/>
    </row>
    <row r="46563" spans="18:18" s="2" customFormat="1" ht="12.75" x14ac:dyDescent="0.2">
      <c r="R46563" s="1288"/>
    </row>
    <row r="46564" spans="18:18" s="2" customFormat="1" ht="12.75" x14ac:dyDescent="0.2">
      <c r="R46564" s="1288"/>
    </row>
    <row r="46565" spans="18:18" s="2" customFormat="1" ht="12.75" x14ac:dyDescent="0.2">
      <c r="R46565" s="1288"/>
    </row>
    <row r="46566" spans="18:18" s="2" customFormat="1" ht="12.75" x14ac:dyDescent="0.2">
      <c r="R46566" s="1288"/>
    </row>
    <row r="46567" spans="18:18" s="2" customFormat="1" ht="12.75" x14ac:dyDescent="0.2">
      <c r="R46567" s="1288"/>
    </row>
    <row r="46568" spans="18:18" s="2" customFormat="1" ht="12.75" x14ac:dyDescent="0.2">
      <c r="R46568" s="1288"/>
    </row>
    <row r="46569" spans="18:18" s="2" customFormat="1" ht="12.75" x14ac:dyDescent="0.2">
      <c r="R46569" s="1288"/>
    </row>
    <row r="46570" spans="18:18" s="2" customFormat="1" ht="12.75" x14ac:dyDescent="0.2">
      <c r="R46570" s="1288"/>
    </row>
    <row r="46571" spans="18:18" s="2" customFormat="1" ht="12.75" x14ac:dyDescent="0.2">
      <c r="R46571" s="1288"/>
    </row>
    <row r="46572" spans="18:18" s="2" customFormat="1" ht="12.75" x14ac:dyDescent="0.2">
      <c r="R46572" s="1288"/>
    </row>
    <row r="46573" spans="18:18" s="2" customFormat="1" ht="12.75" x14ac:dyDescent="0.2">
      <c r="R46573" s="1288"/>
    </row>
    <row r="46574" spans="18:18" s="2" customFormat="1" ht="12.75" x14ac:dyDescent="0.2">
      <c r="R46574" s="1288"/>
    </row>
    <row r="46575" spans="18:18" s="2" customFormat="1" ht="12.75" x14ac:dyDescent="0.2">
      <c r="R46575" s="1288"/>
    </row>
    <row r="46576" spans="18:18" s="2" customFormat="1" ht="12.75" x14ac:dyDescent="0.2">
      <c r="R46576" s="1288"/>
    </row>
    <row r="46577" spans="18:18" s="2" customFormat="1" ht="12.75" x14ac:dyDescent="0.2">
      <c r="R46577" s="1288"/>
    </row>
    <row r="46578" spans="18:18" s="2" customFormat="1" ht="12.75" x14ac:dyDescent="0.2">
      <c r="R46578" s="1288"/>
    </row>
    <row r="46579" spans="18:18" s="2" customFormat="1" ht="12.75" x14ac:dyDescent="0.2">
      <c r="R46579" s="1288"/>
    </row>
    <row r="46580" spans="18:18" s="2" customFormat="1" ht="12.75" x14ac:dyDescent="0.2">
      <c r="R46580" s="1288"/>
    </row>
    <row r="46581" spans="18:18" s="2" customFormat="1" ht="12.75" x14ac:dyDescent="0.2">
      <c r="R46581" s="1288"/>
    </row>
    <row r="46582" spans="18:18" s="2" customFormat="1" ht="12.75" x14ac:dyDescent="0.2">
      <c r="R46582" s="1288"/>
    </row>
    <row r="46583" spans="18:18" s="2" customFormat="1" ht="12.75" x14ac:dyDescent="0.2">
      <c r="R46583" s="1288"/>
    </row>
    <row r="46584" spans="18:18" s="2" customFormat="1" ht="12.75" x14ac:dyDescent="0.2">
      <c r="R46584" s="1288"/>
    </row>
    <row r="46585" spans="18:18" s="2" customFormat="1" ht="12.75" x14ac:dyDescent="0.2">
      <c r="R46585" s="1288"/>
    </row>
    <row r="46586" spans="18:18" s="2" customFormat="1" ht="12.75" x14ac:dyDescent="0.2">
      <c r="R46586" s="1288"/>
    </row>
    <row r="46587" spans="18:18" s="2" customFormat="1" ht="12.75" x14ac:dyDescent="0.2">
      <c r="R46587" s="1288"/>
    </row>
    <row r="46588" spans="18:18" s="2" customFormat="1" ht="12.75" x14ac:dyDescent="0.2">
      <c r="R46588" s="1288"/>
    </row>
    <row r="46589" spans="18:18" s="2" customFormat="1" ht="12.75" x14ac:dyDescent="0.2">
      <c r="R46589" s="1288"/>
    </row>
    <row r="46590" spans="18:18" s="2" customFormat="1" ht="12.75" x14ac:dyDescent="0.2">
      <c r="R46590" s="1288"/>
    </row>
    <row r="46591" spans="18:18" s="2" customFormat="1" ht="12.75" x14ac:dyDescent="0.2">
      <c r="R46591" s="1288"/>
    </row>
    <row r="46592" spans="18:18" s="2" customFormat="1" ht="12.75" x14ac:dyDescent="0.2">
      <c r="R46592" s="1288"/>
    </row>
    <row r="46593" spans="18:18" s="2" customFormat="1" ht="12.75" x14ac:dyDescent="0.2">
      <c r="R46593" s="1288"/>
    </row>
    <row r="46594" spans="18:18" s="2" customFormat="1" ht="12.75" x14ac:dyDescent="0.2">
      <c r="R46594" s="1288"/>
    </row>
    <row r="46595" spans="18:18" s="2" customFormat="1" ht="12.75" x14ac:dyDescent="0.2">
      <c r="R46595" s="1288"/>
    </row>
    <row r="46596" spans="18:18" s="2" customFormat="1" ht="12.75" x14ac:dyDescent="0.2">
      <c r="R46596" s="1288"/>
    </row>
    <row r="46597" spans="18:18" s="2" customFormat="1" ht="12.75" x14ac:dyDescent="0.2">
      <c r="R46597" s="1288"/>
    </row>
    <row r="46598" spans="18:18" s="2" customFormat="1" ht="12.75" x14ac:dyDescent="0.2">
      <c r="R46598" s="1288"/>
    </row>
    <row r="46599" spans="18:18" s="2" customFormat="1" ht="12.75" x14ac:dyDescent="0.2">
      <c r="R46599" s="1288"/>
    </row>
    <row r="46600" spans="18:18" s="2" customFormat="1" ht="12.75" x14ac:dyDescent="0.2">
      <c r="R46600" s="1288"/>
    </row>
    <row r="46601" spans="18:18" s="2" customFormat="1" ht="12.75" x14ac:dyDescent="0.2">
      <c r="R46601" s="1288"/>
    </row>
    <row r="46602" spans="18:18" s="2" customFormat="1" ht="12.75" x14ac:dyDescent="0.2">
      <c r="R46602" s="1288"/>
    </row>
    <row r="46603" spans="18:18" s="2" customFormat="1" ht="12.75" x14ac:dyDescent="0.2">
      <c r="R46603" s="1288"/>
    </row>
    <row r="46604" spans="18:18" s="2" customFormat="1" ht="12.75" x14ac:dyDescent="0.2">
      <c r="R46604" s="1288"/>
    </row>
    <row r="46605" spans="18:18" s="2" customFormat="1" ht="12.75" x14ac:dyDescent="0.2">
      <c r="R46605" s="1288"/>
    </row>
    <row r="46606" spans="18:18" s="2" customFormat="1" ht="12.75" x14ac:dyDescent="0.2">
      <c r="R46606" s="1288"/>
    </row>
    <row r="46607" spans="18:18" s="2" customFormat="1" ht="12.75" x14ac:dyDescent="0.2">
      <c r="R46607" s="1288"/>
    </row>
    <row r="46608" spans="18:18" s="2" customFormat="1" ht="12.75" x14ac:dyDescent="0.2">
      <c r="R46608" s="1288"/>
    </row>
    <row r="46609" spans="18:18" s="2" customFormat="1" ht="12.75" x14ac:dyDescent="0.2">
      <c r="R46609" s="1288"/>
    </row>
    <row r="46610" spans="18:18" s="2" customFormat="1" ht="12.75" x14ac:dyDescent="0.2">
      <c r="R46610" s="1288"/>
    </row>
    <row r="46611" spans="18:18" s="2" customFormat="1" ht="12.75" x14ac:dyDescent="0.2">
      <c r="R46611" s="1288"/>
    </row>
    <row r="46612" spans="18:18" s="2" customFormat="1" ht="12.75" x14ac:dyDescent="0.2">
      <c r="R46612" s="1288"/>
    </row>
    <row r="46613" spans="18:18" s="2" customFormat="1" ht="12.75" x14ac:dyDescent="0.2">
      <c r="R46613" s="1288"/>
    </row>
    <row r="46614" spans="18:18" s="2" customFormat="1" ht="12.75" x14ac:dyDescent="0.2">
      <c r="R46614" s="1288"/>
    </row>
    <row r="46615" spans="18:18" s="2" customFormat="1" ht="12.75" x14ac:dyDescent="0.2">
      <c r="R46615" s="1288"/>
    </row>
    <row r="46616" spans="18:18" s="2" customFormat="1" ht="12.75" x14ac:dyDescent="0.2">
      <c r="R46616" s="1288"/>
    </row>
    <row r="46617" spans="18:18" s="2" customFormat="1" ht="12.75" x14ac:dyDescent="0.2">
      <c r="R46617" s="1288"/>
    </row>
    <row r="46618" spans="18:18" s="2" customFormat="1" ht="12.75" x14ac:dyDescent="0.2">
      <c r="R46618" s="1288"/>
    </row>
    <row r="46619" spans="18:18" s="2" customFormat="1" ht="12.75" x14ac:dyDescent="0.2">
      <c r="R46619" s="1288"/>
    </row>
    <row r="46620" spans="18:18" s="2" customFormat="1" ht="12.75" x14ac:dyDescent="0.2">
      <c r="R46620" s="1288"/>
    </row>
    <row r="46621" spans="18:18" s="2" customFormat="1" ht="12.75" x14ac:dyDescent="0.2">
      <c r="R46621" s="1288"/>
    </row>
    <row r="46622" spans="18:18" s="2" customFormat="1" ht="12.75" x14ac:dyDescent="0.2">
      <c r="R46622" s="1288"/>
    </row>
    <row r="46623" spans="18:18" s="2" customFormat="1" ht="12.75" x14ac:dyDescent="0.2">
      <c r="R46623" s="1288"/>
    </row>
    <row r="46624" spans="18:18" s="2" customFormat="1" ht="12.75" x14ac:dyDescent="0.2">
      <c r="R46624" s="1288"/>
    </row>
    <row r="46625" spans="18:18" s="2" customFormat="1" ht="12.75" x14ac:dyDescent="0.2">
      <c r="R46625" s="1288"/>
    </row>
    <row r="46626" spans="18:18" s="2" customFormat="1" ht="12.75" x14ac:dyDescent="0.2">
      <c r="R46626" s="1288"/>
    </row>
    <row r="46627" spans="18:18" s="2" customFormat="1" ht="12.75" x14ac:dyDescent="0.2">
      <c r="R46627" s="1288"/>
    </row>
    <row r="46628" spans="18:18" s="2" customFormat="1" ht="12.75" x14ac:dyDescent="0.2">
      <c r="R46628" s="1288"/>
    </row>
    <row r="46629" spans="18:18" s="2" customFormat="1" ht="12.75" x14ac:dyDescent="0.2">
      <c r="R46629" s="1288"/>
    </row>
    <row r="46630" spans="18:18" s="2" customFormat="1" ht="12.75" x14ac:dyDescent="0.2">
      <c r="R46630" s="1288"/>
    </row>
    <row r="46631" spans="18:18" s="2" customFormat="1" ht="12.75" x14ac:dyDescent="0.2">
      <c r="R46631" s="1288"/>
    </row>
    <row r="46632" spans="18:18" s="2" customFormat="1" ht="12.75" x14ac:dyDescent="0.2">
      <c r="R46632" s="1288"/>
    </row>
    <row r="46633" spans="18:18" s="2" customFormat="1" ht="12.75" x14ac:dyDescent="0.2">
      <c r="R46633" s="1288"/>
    </row>
    <row r="46634" spans="18:18" s="2" customFormat="1" ht="12.75" x14ac:dyDescent="0.2">
      <c r="R46634" s="1288"/>
    </row>
    <row r="46635" spans="18:18" s="2" customFormat="1" ht="12.75" x14ac:dyDescent="0.2">
      <c r="R46635" s="1288"/>
    </row>
    <row r="46636" spans="18:18" s="2" customFormat="1" ht="12.75" x14ac:dyDescent="0.2">
      <c r="R46636" s="1288"/>
    </row>
    <row r="46637" spans="18:18" s="2" customFormat="1" ht="12.75" x14ac:dyDescent="0.2">
      <c r="R46637" s="1288"/>
    </row>
    <row r="46638" spans="18:18" s="2" customFormat="1" ht="12.75" x14ac:dyDescent="0.2">
      <c r="R46638" s="1288"/>
    </row>
    <row r="46639" spans="18:18" s="2" customFormat="1" ht="12.75" x14ac:dyDescent="0.2">
      <c r="R46639" s="1288"/>
    </row>
    <row r="46640" spans="18:18" s="2" customFormat="1" ht="12.75" x14ac:dyDescent="0.2">
      <c r="R46640" s="1288"/>
    </row>
    <row r="46641" spans="18:18" s="2" customFormat="1" ht="12.75" x14ac:dyDescent="0.2">
      <c r="R46641" s="1288"/>
    </row>
    <row r="46642" spans="18:18" s="2" customFormat="1" ht="12.75" x14ac:dyDescent="0.2">
      <c r="R46642" s="1288"/>
    </row>
    <row r="46643" spans="18:18" s="2" customFormat="1" ht="12.75" x14ac:dyDescent="0.2">
      <c r="R46643" s="1288"/>
    </row>
    <row r="46644" spans="18:18" s="2" customFormat="1" ht="12.75" x14ac:dyDescent="0.2">
      <c r="R46644" s="1288"/>
    </row>
    <row r="46645" spans="18:18" s="2" customFormat="1" ht="12.75" x14ac:dyDescent="0.2">
      <c r="R46645" s="1288"/>
    </row>
    <row r="46646" spans="18:18" s="2" customFormat="1" ht="12.75" x14ac:dyDescent="0.2">
      <c r="R46646" s="1288"/>
    </row>
    <row r="46647" spans="18:18" s="2" customFormat="1" ht="12.75" x14ac:dyDescent="0.2">
      <c r="R46647" s="1288"/>
    </row>
    <row r="46648" spans="18:18" s="2" customFormat="1" ht="12.75" x14ac:dyDescent="0.2">
      <c r="R46648" s="1288"/>
    </row>
    <row r="46649" spans="18:18" s="2" customFormat="1" ht="12.75" x14ac:dyDescent="0.2">
      <c r="R46649" s="1288"/>
    </row>
    <row r="46650" spans="18:18" s="2" customFormat="1" ht="12.75" x14ac:dyDescent="0.2">
      <c r="R46650" s="1288"/>
    </row>
    <row r="46651" spans="18:18" s="2" customFormat="1" ht="12.75" x14ac:dyDescent="0.2">
      <c r="R46651" s="1288"/>
    </row>
    <row r="46652" spans="18:18" s="2" customFormat="1" ht="12.75" x14ac:dyDescent="0.2">
      <c r="R46652" s="1288"/>
    </row>
    <row r="46653" spans="18:18" s="2" customFormat="1" ht="12.75" x14ac:dyDescent="0.2">
      <c r="R46653" s="1288"/>
    </row>
    <row r="46654" spans="18:18" s="2" customFormat="1" ht="12.75" x14ac:dyDescent="0.2">
      <c r="R46654" s="1288"/>
    </row>
    <row r="46655" spans="18:18" s="2" customFormat="1" ht="12.75" x14ac:dyDescent="0.2">
      <c r="R46655" s="1288"/>
    </row>
    <row r="46656" spans="18:18" s="2" customFormat="1" ht="12.75" x14ac:dyDescent="0.2">
      <c r="R46656" s="1288"/>
    </row>
    <row r="46657" spans="18:18" s="2" customFormat="1" ht="12.75" x14ac:dyDescent="0.2">
      <c r="R46657" s="1288"/>
    </row>
    <row r="46658" spans="18:18" s="2" customFormat="1" ht="12.75" x14ac:dyDescent="0.2">
      <c r="R46658" s="1288"/>
    </row>
    <row r="46659" spans="18:18" s="2" customFormat="1" ht="12.75" x14ac:dyDescent="0.2">
      <c r="R46659" s="1288"/>
    </row>
    <row r="46660" spans="18:18" s="2" customFormat="1" ht="12.75" x14ac:dyDescent="0.2">
      <c r="R46660" s="1288"/>
    </row>
    <row r="46661" spans="18:18" s="2" customFormat="1" ht="12.75" x14ac:dyDescent="0.2">
      <c r="R46661" s="1288"/>
    </row>
    <row r="46662" spans="18:18" s="2" customFormat="1" ht="12.75" x14ac:dyDescent="0.2">
      <c r="R46662" s="1288"/>
    </row>
    <row r="46663" spans="18:18" s="2" customFormat="1" ht="12.75" x14ac:dyDescent="0.2">
      <c r="R46663" s="1288"/>
    </row>
    <row r="46664" spans="18:18" s="2" customFormat="1" ht="12.75" x14ac:dyDescent="0.2">
      <c r="R46664" s="1288"/>
    </row>
    <row r="46665" spans="18:18" s="2" customFormat="1" ht="12.75" x14ac:dyDescent="0.2">
      <c r="R46665" s="1288"/>
    </row>
    <row r="46666" spans="18:18" s="2" customFormat="1" ht="12.75" x14ac:dyDescent="0.2">
      <c r="R46666" s="1288"/>
    </row>
    <row r="46667" spans="18:18" s="2" customFormat="1" ht="12.75" x14ac:dyDescent="0.2">
      <c r="R46667" s="1288"/>
    </row>
    <row r="46668" spans="18:18" s="2" customFormat="1" ht="12.75" x14ac:dyDescent="0.2">
      <c r="R46668" s="1288"/>
    </row>
    <row r="46669" spans="18:18" s="2" customFormat="1" ht="12.75" x14ac:dyDescent="0.2">
      <c r="R46669" s="1288"/>
    </row>
    <row r="46670" spans="18:18" s="2" customFormat="1" ht="12.75" x14ac:dyDescent="0.2">
      <c r="R46670" s="1288"/>
    </row>
    <row r="46671" spans="18:18" s="2" customFormat="1" ht="12.75" x14ac:dyDescent="0.2">
      <c r="R46671" s="1288"/>
    </row>
    <row r="46672" spans="18:18" s="2" customFormat="1" ht="12.75" x14ac:dyDescent="0.2">
      <c r="R46672" s="1288"/>
    </row>
    <row r="46673" spans="18:18" s="2" customFormat="1" ht="12.75" x14ac:dyDescent="0.2">
      <c r="R46673" s="1288"/>
    </row>
    <row r="46674" spans="18:18" s="2" customFormat="1" ht="12.75" x14ac:dyDescent="0.2">
      <c r="R46674" s="1288"/>
    </row>
    <row r="46675" spans="18:18" s="2" customFormat="1" ht="12.75" x14ac:dyDescent="0.2">
      <c r="R46675" s="1288"/>
    </row>
    <row r="46676" spans="18:18" s="2" customFormat="1" ht="12.75" x14ac:dyDescent="0.2">
      <c r="R46676" s="1288"/>
    </row>
    <row r="46677" spans="18:18" s="2" customFormat="1" ht="12.75" x14ac:dyDescent="0.2">
      <c r="R46677" s="1288"/>
    </row>
    <row r="46678" spans="18:18" s="2" customFormat="1" ht="12.75" x14ac:dyDescent="0.2">
      <c r="R46678" s="1288"/>
    </row>
    <row r="46679" spans="18:18" s="2" customFormat="1" ht="12.75" x14ac:dyDescent="0.2">
      <c r="R46679" s="1288"/>
    </row>
    <row r="46680" spans="18:18" s="2" customFormat="1" ht="12.75" x14ac:dyDescent="0.2">
      <c r="R46680" s="1288"/>
    </row>
    <row r="46681" spans="18:18" s="2" customFormat="1" ht="12.75" x14ac:dyDescent="0.2">
      <c r="R46681" s="1288"/>
    </row>
    <row r="46682" spans="18:18" s="2" customFormat="1" ht="12.75" x14ac:dyDescent="0.2">
      <c r="R46682" s="1288"/>
    </row>
    <row r="46683" spans="18:18" s="2" customFormat="1" ht="12.75" x14ac:dyDescent="0.2">
      <c r="R46683" s="1288"/>
    </row>
    <row r="46684" spans="18:18" s="2" customFormat="1" ht="12.75" x14ac:dyDescent="0.2">
      <c r="R46684" s="1288"/>
    </row>
    <row r="46685" spans="18:18" s="2" customFormat="1" ht="12.75" x14ac:dyDescent="0.2">
      <c r="R46685" s="1288"/>
    </row>
    <row r="46686" spans="18:18" s="2" customFormat="1" ht="12.75" x14ac:dyDescent="0.2">
      <c r="R46686" s="1288"/>
    </row>
    <row r="46687" spans="18:18" s="2" customFormat="1" ht="12.75" x14ac:dyDescent="0.2">
      <c r="R46687" s="1288"/>
    </row>
    <row r="46688" spans="18:18" s="2" customFormat="1" ht="12.75" x14ac:dyDescent="0.2">
      <c r="R46688" s="1288"/>
    </row>
    <row r="46689" spans="18:18" s="2" customFormat="1" ht="12.75" x14ac:dyDescent="0.2">
      <c r="R46689" s="1288"/>
    </row>
    <row r="46690" spans="18:18" s="2" customFormat="1" ht="12.75" x14ac:dyDescent="0.2">
      <c r="R46690" s="1288"/>
    </row>
    <row r="46691" spans="18:18" s="2" customFormat="1" ht="12.75" x14ac:dyDescent="0.2">
      <c r="R46691" s="1288"/>
    </row>
    <row r="46692" spans="18:18" s="2" customFormat="1" ht="12.75" x14ac:dyDescent="0.2">
      <c r="R46692" s="1288"/>
    </row>
    <row r="46693" spans="18:18" s="2" customFormat="1" ht="12.75" x14ac:dyDescent="0.2">
      <c r="R46693" s="1288"/>
    </row>
    <row r="46694" spans="18:18" s="2" customFormat="1" ht="12.75" x14ac:dyDescent="0.2">
      <c r="R46694" s="1288"/>
    </row>
    <row r="46695" spans="18:18" s="2" customFormat="1" ht="12.75" x14ac:dyDescent="0.2">
      <c r="R46695" s="1288"/>
    </row>
    <row r="46696" spans="18:18" s="2" customFormat="1" ht="12.75" x14ac:dyDescent="0.2">
      <c r="R46696" s="1288"/>
    </row>
    <row r="46697" spans="18:18" s="2" customFormat="1" ht="12.75" x14ac:dyDescent="0.2">
      <c r="R46697" s="1288"/>
    </row>
    <row r="46698" spans="18:18" s="2" customFormat="1" ht="12.75" x14ac:dyDescent="0.2">
      <c r="R46698" s="1288"/>
    </row>
    <row r="46699" spans="18:18" s="2" customFormat="1" ht="12.75" x14ac:dyDescent="0.2">
      <c r="R46699" s="1288"/>
    </row>
    <row r="46700" spans="18:18" s="2" customFormat="1" ht="12.75" x14ac:dyDescent="0.2">
      <c r="R46700" s="1288"/>
    </row>
    <row r="46701" spans="18:18" s="2" customFormat="1" ht="12.75" x14ac:dyDescent="0.2">
      <c r="R46701" s="1288"/>
    </row>
    <row r="46702" spans="18:18" s="2" customFormat="1" ht="12.75" x14ac:dyDescent="0.2">
      <c r="R46702" s="1288"/>
    </row>
    <row r="46703" spans="18:18" s="2" customFormat="1" ht="12.75" x14ac:dyDescent="0.2">
      <c r="R46703" s="1288"/>
    </row>
    <row r="46704" spans="18:18" s="2" customFormat="1" ht="12.75" x14ac:dyDescent="0.2">
      <c r="R46704" s="1288"/>
    </row>
    <row r="46705" spans="18:18" s="2" customFormat="1" ht="12.75" x14ac:dyDescent="0.2">
      <c r="R46705" s="1288"/>
    </row>
    <row r="46706" spans="18:18" s="2" customFormat="1" ht="12.75" x14ac:dyDescent="0.2">
      <c r="R46706" s="1288"/>
    </row>
    <row r="46707" spans="18:18" s="2" customFormat="1" ht="12.75" x14ac:dyDescent="0.2">
      <c r="R46707" s="1288"/>
    </row>
    <row r="46708" spans="18:18" s="2" customFormat="1" ht="12.75" x14ac:dyDescent="0.2">
      <c r="R46708" s="1288"/>
    </row>
    <row r="46709" spans="18:18" s="2" customFormat="1" ht="12.75" x14ac:dyDescent="0.2">
      <c r="R46709" s="1288"/>
    </row>
    <row r="46710" spans="18:18" s="2" customFormat="1" ht="12.75" x14ac:dyDescent="0.2">
      <c r="R46710" s="1288"/>
    </row>
    <row r="46711" spans="18:18" s="2" customFormat="1" ht="12.75" x14ac:dyDescent="0.2">
      <c r="R46711" s="1288"/>
    </row>
    <row r="46712" spans="18:18" s="2" customFormat="1" ht="12.75" x14ac:dyDescent="0.2">
      <c r="R46712" s="1288"/>
    </row>
    <row r="46713" spans="18:18" s="2" customFormat="1" ht="12.75" x14ac:dyDescent="0.2">
      <c r="R46713" s="1288"/>
    </row>
    <row r="46714" spans="18:18" s="2" customFormat="1" ht="12.75" x14ac:dyDescent="0.2">
      <c r="R46714" s="1288"/>
    </row>
    <row r="46715" spans="18:18" s="2" customFormat="1" ht="12.75" x14ac:dyDescent="0.2">
      <c r="R46715" s="1288"/>
    </row>
    <row r="46716" spans="18:18" s="2" customFormat="1" ht="12.75" x14ac:dyDescent="0.2">
      <c r="R46716" s="1288"/>
    </row>
    <row r="46717" spans="18:18" s="2" customFormat="1" ht="12.75" x14ac:dyDescent="0.2">
      <c r="R46717" s="1288"/>
    </row>
    <row r="46718" spans="18:18" s="2" customFormat="1" ht="12.75" x14ac:dyDescent="0.2">
      <c r="R46718" s="1288"/>
    </row>
    <row r="46719" spans="18:18" s="2" customFormat="1" ht="12.75" x14ac:dyDescent="0.2">
      <c r="R46719" s="1288"/>
    </row>
    <row r="46720" spans="18:18" s="2" customFormat="1" ht="12.75" x14ac:dyDescent="0.2">
      <c r="R46720" s="1288"/>
    </row>
    <row r="46721" spans="18:18" s="2" customFormat="1" ht="12.75" x14ac:dyDescent="0.2">
      <c r="R46721" s="1288"/>
    </row>
    <row r="46722" spans="18:18" s="2" customFormat="1" ht="12.75" x14ac:dyDescent="0.2">
      <c r="R46722" s="1288"/>
    </row>
    <row r="46723" spans="18:18" s="2" customFormat="1" ht="12.75" x14ac:dyDescent="0.2">
      <c r="R46723" s="1288"/>
    </row>
    <row r="46724" spans="18:18" s="2" customFormat="1" ht="12.75" x14ac:dyDescent="0.2">
      <c r="R46724" s="1288"/>
    </row>
    <row r="46725" spans="18:18" s="2" customFormat="1" ht="12.75" x14ac:dyDescent="0.2">
      <c r="R46725" s="1288"/>
    </row>
    <row r="46726" spans="18:18" s="2" customFormat="1" ht="12.75" x14ac:dyDescent="0.2">
      <c r="R46726" s="1288"/>
    </row>
    <row r="46727" spans="18:18" s="2" customFormat="1" ht="12.75" x14ac:dyDescent="0.2">
      <c r="R46727" s="1288"/>
    </row>
    <row r="46728" spans="18:18" s="2" customFormat="1" ht="12.75" x14ac:dyDescent="0.2">
      <c r="R46728" s="1288"/>
    </row>
    <row r="46729" spans="18:18" s="2" customFormat="1" ht="12.75" x14ac:dyDescent="0.2">
      <c r="R46729" s="1288"/>
    </row>
    <row r="46730" spans="18:18" s="2" customFormat="1" ht="12.75" x14ac:dyDescent="0.2">
      <c r="R46730" s="1288"/>
    </row>
    <row r="46731" spans="18:18" s="2" customFormat="1" ht="12.75" x14ac:dyDescent="0.2">
      <c r="R46731" s="1288"/>
    </row>
    <row r="46732" spans="18:18" s="2" customFormat="1" ht="12.75" x14ac:dyDescent="0.2">
      <c r="R46732" s="1288"/>
    </row>
    <row r="46733" spans="18:18" s="2" customFormat="1" ht="12.75" x14ac:dyDescent="0.2">
      <c r="R46733" s="1288"/>
    </row>
    <row r="46734" spans="18:18" s="2" customFormat="1" ht="12.75" x14ac:dyDescent="0.2">
      <c r="R46734" s="1288"/>
    </row>
    <row r="46735" spans="18:18" s="2" customFormat="1" ht="12.75" x14ac:dyDescent="0.2">
      <c r="R46735" s="1288"/>
    </row>
    <row r="46736" spans="18:18" s="2" customFormat="1" ht="12.75" x14ac:dyDescent="0.2">
      <c r="R46736" s="1288"/>
    </row>
    <row r="46737" spans="18:18" s="2" customFormat="1" ht="12.75" x14ac:dyDescent="0.2">
      <c r="R46737" s="1288"/>
    </row>
    <row r="46738" spans="18:18" s="2" customFormat="1" ht="12.75" x14ac:dyDescent="0.2">
      <c r="R46738" s="1288"/>
    </row>
    <row r="46739" spans="18:18" s="2" customFormat="1" ht="12.75" x14ac:dyDescent="0.2">
      <c r="R46739" s="1288"/>
    </row>
    <row r="46740" spans="18:18" s="2" customFormat="1" ht="12.75" x14ac:dyDescent="0.2">
      <c r="R46740" s="1288"/>
    </row>
    <row r="46741" spans="18:18" s="2" customFormat="1" ht="12.75" x14ac:dyDescent="0.2">
      <c r="R46741" s="1288"/>
    </row>
    <row r="46742" spans="18:18" s="2" customFormat="1" ht="12.75" x14ac:dyDescent="0.2">
      <c r="R46742" s="1288"/>
    </row>
    <row r="46743" spans="18:18" s="2" customFormat="1" ht="12.75" x14ac:dyDescent="0.2">
      <c r="R46743" s="1288"/>
    </row>
    <row r="46744" spans="18:18" s="2" customFormat="1" ht="12.75" x14ac:dyDescent="0.2">
      <c r="R46744" s="1288"/>
    </row>
    <row r="46745" spans="18:18" s="2" customFormat="1" ht="12.75" x14ac:dyDescent="0.2">
      <c r="R46745" s="1288"/>
    </row>
    <row r="46746" spans="18:18" s="2" customFormat="1" ht="12.75" x14ac:dyDescent="0.2">
      <c r="R46746" s="1288"/>
    </row>
    <row r="46747" spans="18:18" s="2" customFormat="1" ht="12.75" x14ac:dyDescent="0.2">
      <c r="R46747" s="1288"/>
    </row>
    <row r="46748" spans="18:18" s="2" customFormat="1" ht="12.75" x14ac:dyDescent="0.2">
      <c r="R46748" s="1288"/>
    </row>
    <row r="46749" spans="18:18" s="2" customFormat="1" ht="12.75" x14ac:dyDescent="0.2">
      <c r="R46749" s="1288"/>
    </row>
    <row r="46750" spans="18:18" s="2" customFormat="1" ht="12.75" x14ac:dyDescent="0.2">
      <c r="R46750" s="1288"/>
    </row>
    <row r="46751" spans="18:18" s="2" customFormat="1" ht="12.75" x14ac:dyDescent="0.2">
      <c r="R46751" s="1288"/>
    </row>
    <row r="46752" spans="18:18" s="2" customFormat="1" ht="12.75" x14ac:dyDescent="0.2">
      <c r="R46752" s="1288"/>
    </row>
    <row r="46753" spans="18:18" s="2" customFormat="1" ht="12.75" x14ac:dyDescent="0.2">
      <c r="R46753" s="1288"/>
    </row>
    <row r="46754" spans="18:18" s="2" customFormat="1" ht="12.75" x14ac:dyDescent="0.2">
      <c r="R46754" s="1288"/>
    </row>
    <row r="46755" spans="18:18" s="2" customFormat="1" ht="12.75" x14ac:dyDescent="0.2">
      <c r="R46755" s="1288"/>
    </row>
    <row r="46756" spans="18:18" s="2" customFormat="1" ht="12.75" x14ac:dyDescent="0.2">
      <c r="R46756" s="1288"/>
    </row>
    <row r="46757" spans="18:18" s="2" customFormat="1" ht="12.75" x14ac:dyDescent="0.2">
      <c r="R46757" s="1288"/>
    </row>
    <row r="46758" spans="18:18" s="2" customFormat="1" ht="12.75" x14ac:dyDescent="0.2">
      <c r="R46758" s="1288"/>
    </row>
    <row r="46759" spans="18:18" s="2" customFormat="1" ht="12.75" x14ac:dyDescent="0.2">
      <c r="R46759" s="1288"/>
    </row>
    <row r="46760" spans="18:18" s="2" customFormat="1" ht="12.75" x14ac:dyDescent="0.2">
      <c r="R46760" s="1288"/>
    </row>
    <row r="46761" spans="18:18" s="2" customFormat="1" ht="12.75" x14ac:dyDescent="0.2">
      <c r="R46761" s="1288"/>
    </row>
    <row r="46762" spans="18:18" s="2" customFormat="1" ht="12.75" x14ac:dyDescent="0.2">
      <c r="R46762" s="1288"/>
    </row>
    <row r="46763" spans="18:18" s="2" customFormat="1" ht="12.75" x14ac:dyDescent="0.2">
      <c r="R46763" s="1288"/>
    </row>
    <row r="46764" spans="18:18" s="2" customFormat="1" ht="12.75" x14ac:dyDescent="0.2">
      <c r="R46764" s="1288"/>
    </row>
    <row r="46765" spans="18:18" s="2" customFormat="1" ht="12.75" x14ac:dyDescent="0.2">
      <c r="R46765" s="1288"/>
    </row>
    <row r="46766" spans="18:18" s="2" customFormat="1" ht="12.75" x14ac:dyDescent="0.2">
      <c r="R46766" s="1288"/>
    </row>
    <row r="46767" spans="18:18" s="2" customFormat="1" ht="12.75" x14ac:dyDescent="0.2">
      <c r="R46767" s="1288"/>
    </row>
    <row r="46768" spans="18:18" s="2" customFormat="1" ht="12.75" x14ac:dyDescent="0.2">
      <c r="R46768" s="1288"/>
    </row>
    <row r="46769" spans="18:18" s="2" customFormat="1" ht="12.75" x14ac:dyDescent="0.2">
      <c r="R46769" s="1288"/>
    </row>
    <row r="46770" spans="18:18" s="2" customFormat="1" ht="12.75" x14ac:dyDescent="0.2">
      <c r="R46770" s="1288"/>
    </row>
    <row r="46771" spans="18:18" s="2" customFormat="1" ht="12.75" x14ac:dyDescent="0.2">
      <c r="R46771" s="1288"/>
    </row>
    <row r="46772" spans="18:18" s="2" customFormat="1" ht="12.75" x14ac:dyDescent="0.2">
      <c r="R46772" s="1288"/>
    </row>
    <row r="46773" spans="18:18" s="2" customFormat="1" ht="12.75" x14ac:dyDescent="0.2">
      <c r="R46773" s="1288"/>
    </row>
    <row r="46774" spans="18:18" s="2" customFormat="1" ht="12.75" x14ac:dyDescent="0.2">
      <c r="R46774" s="1288"/>
    </row>
    <row r="46775" spans="18:18" s="2" customFormat="1" ht="12.75" x14ac:dyDescent="0.2">
      <c r="R46775" s="1288"/>
    </row>
    <row r="46776" spans="18:18" s="2" customFormat="1" ht="12.75" x14ac:dyDescent="0.2">
      <c r="R46776" s="1288"/>
    </row>
    <row r="46777" spans="18:18" s="2" customFormat="1" ht="12.75" x14ac:dyDescent="0.2">
      <c r="R46777" s="1288"/>
    </row>
    <row r="46778" spans="18:18" s="2" customFormat="1" ht="12.75" x14ac:dyDescent="0.2">
      <c r="R46778" s="1288"/>
    </row>
    <row r="46779" spans="18:18" s="2" customFormat="1" ht="12.75" x14ac:dyDescent="0.2">
      <c r="R46779" s="1288"/>
    </row>
    <row r="46780" spans="18:18" s="2" customFormat="1" ht="12.75" x14ac:dyDescent="0.2">
      <c r="R46780" s="1288"/>
    </row>
    <row r="46781" spans="18:18" s="2" customFormat="1" ht="12.75" x14ac:dyDescent="0.2">
      <c r="R46781" s="1288"/>
    </row>
    <row r="46782" spans="18:18" s="2" customFormat="1" ht="12.75" x14ac:dyDescent="0.2">
      <c r="R46782" s="1288"/>
    </row>
    <row r="46783" spans="18:18" s="2" customFormat="1" ht="12.75" x14ac:dyDescent="0.2">
      <c r="R46783" s="1288"/>
    </row>
    <row r="46784" spans="18:18" s="2" customFormat="1" ht="12.75" x14ac:dyDescent="0.2">
      <c r="R46784" s="1288"/>
    </row>
    <row r="46785" spans="18:18" s="2" customFormat="1" ht="12.75" x14ac:dyDescent="0.2">
      <c r="R46785" s="1288"/>
    </row>
    <row r="46786" spans="18:18" s="2" customFormat="1" ht="12.75" x14ac:dyDescent="0.2">
      <c r="R46786" s="1288"/>
    </row>
    <row r="46787" spans="18:18" s="2" customFormat="1" ht="12.75" x14ac:dyDescent="0.2">
      <c r="R46787" s="1288"/>
    </row>
    <row r="46788" spans="18:18" s="2" customFormat="1" ht="12.75" x14ac:dyDescent="0.2">
      <c r="R46788" s="1288"/>
    </row>
    <row r="46789" spans="18:18" s="2" customFormat="1" ht="12.75" x14ac:dyDescent="0.2">
      <c r="R46789" s="1288"/>
    </row>
    <row r="46790" spans="18:18" s="2" customFormat="1" ht="12.75" x14ac:dyDescent="0.2">
      <c r="R46790" s="1288"/>
    </row>
    <row r="46791" spans="18:18" s="2" customFormat="1" ht="12.75" x14ac:dyDescent="0.2">
      <c r="R46791" s="1288"/>
    </row>
    <row r="46792" spans="18:18" s="2" customFormat="1" ht="12.75" x14ac:dyDescent="0.2">
      <c r="R46792" s="1288"/>
    </row>
    <row r="46793" spans="18:18" s="2" customFormat="1" ht="12.75" x14ac:dyDescent="0.2">
      <c r="R46793" s="1288"/>
    </row>
    <row r="46794" spans="18:18" s="2" customFormat="1" ht="12.75" x14ac:dyDescent="0.2">
      <c r="R46794" s="1288"/>
    </row>
    <row r="46795" spans="18:18" s="2" customFormat="1" ht="12.75" x14ac:dyDescent="0.2">
      <c r="R46795" s="1288"/>
    </row>
    <row r="46796" spans="18:18" s="2" customFormat="1" ht="12.75" x14ac:dyDescent="0.2">
      <c r="R46796" s="1288"/>
    </row>
    <row r="46797" spans="18:18" s="2" customFormat="1" ht="12.75" x14ac:dyDescent="0.2">
      <c r="R46797" s="1288"/>
    </row>
    <row r="46798" spans="18:18" s="2" customFormat="1" ht="12.75" x14ac:dyDescent="0.2">
      <c r="R46798" s="1288"/>
    </row>
    <row r="46799" spans="18:18" s="2" customFormat="1" ht="12.75" x14ac:dyDescent="0.2">
      <c r="R46799" s="1288"/>
    </row>
    <row r="46800" spans="18:18" s="2" customFormat="1" ht="12.75" x14ac:dyDescent="0.2">
      <c r="R46800" s="1288"/>
    </row>
    <row r="46801" spans="18:18" s="2" customFormat="1" ht="12.75" x14ac:dyDescent="0.2">
      <c r="R46801" s="1288"/>
    </row>
    <row r="46802" spans="18:18" s="2" customFormat="1" ht="12.75" x14ac:dyDescent="0.2">
      <c r="R46802" s="1288"/>
    </row>
    <row r="46803" spans="18:18" s="2" customFormat="1" ht="12.75" x14ac:dyDescent="0.2">
      <c r="R46803" s="1288"/>
    </row>
    <row r="46804" spans="18:18" s="2" customFormat="1" ht="12.75" x14ac:dyDescent="0.2">
      <c r="R46804" s="1288"/>
    </row>
    <row r="46805" spans="18:18" s="2" customFormat="1" ht="12.75" x14ac:dyDescent="0.2">
      <c r="R46805" s="1288"/>
    </row>
    <row r="46806" spans="18:18" s="2" customFormat="1" ht="12.75" x14ac:dyDescent="0.2">
      <c r="R46806" s="1288"/>
    </row>
    <row r="46807" spans="18:18" s="2" customFormat="1" ht="12.75" x14ac:dyDescent="0.2">
      <c r="R46807" s="1288"/>
    </row>
    <row r="46808" spans="18:18" s="2" customFormat="1" ht="12.75" x14ac:dyDescent="0.2">
      <c r="R46808" s="1288"/>
    </row>
    <row r="46809" spans="18:18" s="2" customFormat="1" ht="12.75" x14ac:dyDescent="0.2">
      <c r="R46809" s="1288"/>
    </row>
    <row r="46810" spans="18:18" s="2" customFormat="1" ht="12.75" x14ac:dyDescent="0.2">
      <c r="R46810" s="1288"/>
    </row>
    <row r="46811" spans="18:18" s="2" customFormat="1" ht="12.75" x14ac:dyDescent="0.2">
      <c r="R46811" s="1288"/>
    </row>
    <row r="46812" spans="18:18" s="2" customFormat="1" ht="12.75" x14ac:dyDescent="0.2">
      <c r="R46812" s="1288"/>
    </row>
    <row r="46813" spans="18:18" s="2" customFormat="1" ht="12.75" x14ac:dyDescent="0.2">
      <c r="R46813" s="1288"/>
    </row>
    <row r="46814" spans="18:18" s="2" customFormat="1" ht="12.75" x14ac:dyDescent="0.2">
      <c r="R46814" s="1288"/>
    </row>
    <row r="46815" spans="18:18" s="2" customFormat="1" ht="12.75" x14ac:dyDescent="0.2">
      <c r="R46815" s="1288"/>
    </row>
    <row r="46816" spans="18:18" s="2" customFormat="1" ht="12.75" x14ac:dyDescent="0.2">
      <c r="R46816" s="1288"/>
    </row>
    <row r="46817" spans="18:18" s="2" customFormat="1" ht="12.75" x14ac:dyDescent="0.2">
      <c r="R46817" s="1288"/>
    </row>
    <row r="46818" spans="18:18" s="2" customFormat="1" ht="12.75" x14ac:dyDescent="0.2">
      <c r="R46818" s="1288"/>
    </row>
    <row r="46819" spans="18:18" s="2" customFormat="1" ht="12.75" x14ac:dyDescent="0.2">
      <c r="R46819" s="1288"/>
    </row>
    <row r="46820" spans="18:18" s="2" customFormat="1" ht="12.75" x14ac:dyDescent="0.2">
      <c r="R46820" s="1288"/>
    </row>
    <row r="46821" spans="18:18" s="2" customFormat="1" ht="12.75" x14ac:dyDescent="0.2">
      <c r="R46821" s="1288"/>
    </row>
    <row r="46822" spans="18:18" s="2" customFormat="1" ht="12.75" x14ac:dyDescent="0.2">
      <c r="R46822" s="1288"/>
    </row>
    <row r="46823" spans="18:18" s="2" customFormat="1" ht="12.75" x14ac:dyDescent="0.2">
      <c r="R46823" s="1288"/>
    </row>
    <row r="46824" spans="18:18" s="2" customFormat="1" ht="12.75" x14ac:dyDescent="0.2">
      <c r="R46824" s="1288"/>
    </row>
    <row r="46825" spans="18:18" s="2" customFormat="1" ht="12.75" x14ac:dyDescent="0.2">
      <c r="R46825" s="1288"/>
    </row>
    <row r="46826" spans="18:18" s="2" customFormat="1" ht="12.75" x14ac:dyDescent="0.2">
      <c r="R46826" s="1288"/>
    </row>
    <row r="46827" spans="18:18" s="2" customFormat="1" ht="12.75" x14ac:dyDescent="0.2">
      <c r="R46827" s="1288"/>
    </row>
    <row r="46828" spans="18:18" s="2" customFormat="1" ht="12.75" x14ac:dyDescent="0.2">
      <c r="R46828" s="1288"/>
    </row>
    <row r="46829" spans="18:18" s="2" customFormat="1" ht="12.75" x14ac:dyDescent="0.2">
      <c r="R46829" s="1288"/>
    </row>
    <row r="46830" spans="18:18" s="2" customFormat="1" ht="12.75" x14ac:dyDescent="0.2">
      <c r="R46830" s="1288"/>
    </row>
    <row r="46831" spans="18:18" s="2" customFormat="1" ht="12.75" x14ac:dyDescent="0.2">
      <c r="R46831" s="1288"/>
    </row>
    <row r="46832" spans="18:18" s="2" customFormat="1" ht="12.75" x14ac:dyDescent="0.2">
      <c r="R46832" s="1288"/>
    </row>
    <row r="46833" spans="18:18" s="2" customFormat="1" ht="12.75" x14ac:dyDescent="0.2">
      <c r="R46833" s="1288"/>
    </row>
    <row r="46834" spans="18:18" s="2" customFormat="1" ht="12.75" x14ac:dyDescent="0.2">
      <c r="R46834" s="1288"/>
    </row>
    <row r="46835" spans="18:18" s="2" customFormat="1" ht="12.75" x14ac:dyDescent="0.2">
      <c r="R46835" s="1288"/>
    </row>
    <row r="46836" spans="18:18" s="2" customFormat="1" ht="12.75" x14ac:dyDescent="0.2">
      <c r="R46836" s="1288"/>
    </row>
    <row r="46837" spans="18:18" s="2" customFormat="1" ht="12.75" x14ac:dyDescent="0.2">
      <c r="R46837" s="1288"/>
    </row>
    <row r="46838" spans="18:18" s="2" customFormat="1" ht="12.75" x14ac:dyDescent="0.2">
      <c r="R46838" s="1288"/>
    </row>
    <row r="46839" spans="18:18" s="2" customFormat="1" ht="12.75" x14ac:dyDescent="0.2">
      <c r="R46839" s="1288"/>
    </row>
    <row r="46840" spans="18:18" s="2" customFormat="1" ht="12.75" x14ac:dyDescent="0.2">
      <c r="R46840" s="1288"/>
    </row>
    <row r="46841" spans="18:18" s="2" customFormat="1" ht="12.75" x14ac:dyDescent="0.2">
      <c r="R46841" s="1288"/>
    </row>
    <row r="46842" spans="18:18" s="2" customFormat="1" ht="12.75" x14ac:dyDescent="0.2">
      <c r="R46842" s="1288"/>
    </row>
    <row r="46843" spans="18:18" s="2" customFormat="1" ht="12.75" x14ac:dyDescent="0.2">
      <c r="R46843" s="1288"/>
    </row>
    <row r="46844" spans="18:18" s="2" customFormat="1" ht="12.75" x14ac:dyDescent="0.2">
      <c r="R46844" s="1288"/>
    </row>
    <row r="46845" spans="18:18" s="2" customFormat="1" ht="12.75" x14ac:dyDescent="0.2">
      <c r="R46845" s="1288"/>
    </row>
    <row r="46846" spans="18:18" s="2" customFormat="1" ht="12.75" x14ac:dyDescent="0.2">
      <c r="R46846" s="1288"/>
    </row>
    <row r="46847" spans="18:18" s="2" customFormat="1" ht="12.75" x14ac:dyDescent="0.2">
      <c r="R46847" s="1288"/>
    </row>
    <row r="46848" spans="18:18" s="2" customFormat="1" ht="12.75" x14ac:dyDescent="0.2">
      <c r="R46848" s="1288"/>
    </row>
    <row r="46849" spans="18:18" s="2" customFormat="1" ht="12.75" x14ac:dyDescent="0.2">
      <c r="R46849" s="1288"/>
    </row>
    <row r="46850" spans="18:18" s="2" customFormat="1" ht="12.75" x14ac:dyDescent="0.2">
      <c r="R46850" s="1288"/>
    </row>
    <row r="46851" spans="18:18" s="2" customFormat="1" ht="12.75" x14ac:dyDescent="0.2">
      <c r="R46851" s="1288"/>
    </row>
    <row r="46852" spans="18:18" s="2" customFormat="1" ht="12.75" x14ac:dyDescent="0.2">
      <c r="R46852" s="1288"/>
    </row>
    <row r="46853" spans="18:18" s="2" customFormat="1" ht="12.75" x14ac:dyDescent="0.2">
      <c r="R46853" s="1288"/>
    </row>
    <row r="46854" spans="18:18" s="2" customFormat="1" ht="12.75" x14ac:dyDescent="0.2">
      <c r="R46854" s="1288"/>
    </row>
    <row r="46855" spans="18:18" s="2" customFormat="1" ht="12.75" x14ac:dyDescent="0.2">
      <c r="R46855" s="1288"/>
    </row>
    <row r="46856" spans="18:18" s="2" customFormat="1" ht="12.75" x14ac:dyDescent="0.2">
      <c r="R46856" s="1288"/>
    </row>
    <row r="46857" spans="18:18" s="2" customFormat="1" ht="12.75" x14ac:dyDescent="0.2">
      <c r="R46857" s="1288"/>
    </row>
    <row r="46858" spans="18:18" s="2" customFormat="1" ht="12.75" x14ac:dyDescent="0.2">
      <c r="R46858" s="1288"/>
    </row>
    <row r="46859" spans="18:18" s="2" customFormat="1" ht="12.75" x14ac:dyDescent="0.2">
      <c r="R46859" s="1288"/>
    </row>
    <row r="46860" spans="18:18" s="2" customFormat="1" ht="12.75" x14ac:dyDescent="0.2">
      <c r="R46860" s="1288"/>
    </row>
    <row r="46861" spans="18:18" s="2" customFormat="1" ht="12.75" x14ac:dyDescent="0.2">
      <c r="R46861" s="1288"/>
    </row>
    <row r="46862" spans="18:18" s="2" customFormat="1" ht="12.75" x14ac:dyDescent="0.2">
      <c r="R46862" s="1288"/>
    </row>
    <row r="46863" spans="18:18" s="2" customFormat="1" ht="12.75" x14ac:dyDescent="0.2">
      <c r="R46863" s="1288"/>
    </row>
    <row r="46864" spans="18:18" s="2" customFormat="1" ht="12.75" x14ac:dyDescent="0.2">
      <c r="R46864" s="1288"/>
    </row>
    <row r="46865" spans="18:18" s="2" customFormat="1" ht="12.75" x14ac:dyDescent="0.2">
      <c r="R46865" s="1288"/>
    </row>
    <row r="46866" spans="18:18" s="2" customFormat="1" ht="12.75" x14ac:dyDescent="0.2">
      <c r="R46866" s="1288"/>
    </row>
    <row r="46867" spans="18:18" s="2" customFormat="1" ht="12.75" x14ac:dyDescent="0.2">
      <c r="R46867" s="1288"/>
    </row>
    <row r="46868" spans="18:18" s="2" customFormat="1" ht="12.75" x14ac:dyDescent="0.2">
      <c r="R46868" s="1288"/>
    </row>
    <row r="46869" spans="18:18" s="2" customFormat="1" ht="12.75" x14ac:dyDescent="0.2">
      <c r="R46869" s="1288"/>
    </row>
    <row r="46870" spans="18:18" s="2" customFormat="1" ht="12.75" x14ac:dyDescent="0.2">
      <c r="R46870" s="1288"/>
    </row>
    <row r="46871" spans="18:18" s="2" customFormat="1" ht="12.75" x14ac:dyDescent="0.2">
      <c r="R46871" s="1288"/>
    </row>
    <row r="46872" spans="18:18" s="2" customFormat="1" ht="12.75" x14ac:dyDescent="0.2">
      <c r="R46872" s="1288"/>
    </row>
    <row r="46873" spans="18:18" s="2" customFormat="1" ht="12.75" x14ac:dyDescent="0.2">
      <c r="R46873" s="1288"/>
    </row>
    <row r="46874" spans="18:18" s="2" customFormat="1" ht="12.75" x14ac:dyDescent="0.2">
      <c r="R46874" s="1288"/>
    </row>
    <row r="46875" spans="18:18" s="2" customFormat="1" ht="12.75" x14ac:dyDescent="0.2">
      <c r="R46875" s="1288"/>
    </row>
    <row r="46876" spans="18:18" s="2" customFormat="1" ht="12.75" x14ac:dyDescent="0.2">
      <c r="R46876" s="1288"/>
    </row>
    <row r="46877" spans="18:18" s="2" customFormat="1" ht="12.75" x14ac:dyDescent="0.2">
      <c r="R46877" s="1288"/>
    </row>
    <row r="46878" spans="18:18" s="2" customFormat="1" ht="12.75" x14ac:dyDescent="0.2">
      <c r="R46878" s="1288"/>
    </row>
    <row r="46879" spans="18:18" s="2" customFormat="1" ht="12.75" x14ac:dyDescent="0.2">
      <c r="R46879" s="1288"/>
    </row>
    <row r="46880" spans="18:18" s="2" customFormat="1" ht="12.75" x14ac:dyDescent="0.2">
      <c r="R46880" s="1288"/>
    </row>
    <row r="46881" spans="18:18" s="2" customFormat="1" ht="12.75" x14ac:dyDescent="0.2">
      <c r="R46881" s="1288"/>
    </row>
    <row r="46882" spans="18:18" s="2" customFormat="1" ht="12.75" x14ac:dyDescent="0.2">
      <c r="R46882" s="1288"/>
    </row>
    <row r="46883" spans="18:18" s="2" customFormat="1" ht="12.75" x14ac:dyDescent="0.2">
      <c r="R46883" s="1288"/>
    </row>
    <row r="46884" spans="18:18" s="2" customFormat="1" ht="12.75" x14ac:dyDescent="0.2">
      <c r="R46884" s="1288"/>
    </row>
    <row r="46885" spans="18:18" s="2" customFormat="1" ht="12.75" x14ac:dyDescent="0.2">
      <c r="R46885" s="1288"/>
    </row>
    <row r="46886" spans="18:18" s="2" customFormat="1" ht="12.75" x14ac:dyDescent="0.2">
      <c r="R46886" s="1288"/>
    </row>
    <row r="46887" spans="18:18" s="2" customFormat="1" ht="12.75" x14ac:dyDescent="0.2">
      <c r="R46887" s="1288"/>
    </row>
    <row r="46888" spans="18:18" s="2" customFormat="1" ht="12.75" x14ac:dyDescent="0.2">
      <c r="R46888" s="1288"/>
    </row>
    <row r="46889" spans="18:18" s="2" customFormat="1" ht="12.75" x14ac:dyDescent="0.2">
      <c r="R46889" s="1288"/>
    </row>
    <row r="46890" spans="18:18" s="2" customFormat="1" ht="12.75" x14ac:dyDescent="0.2">
      <c r="R46890" s="1288"/>
    </row>
    <row r="46891" spans="18:18" s="2" customFormat="1" ht="12.75" x14ac:dyDescent="0.2">
      <c r="R46891" s="1288"/>
    </row>
    <row r="46892" spans="18:18" s="2" customFormat="1" ht="12.75" x14ac:dyDescent="0.2">
      <c r="R46892" s="1288"/>
    </row>
    <row r="46893" spans="18:18" s="2" customFormat="1" ht="12.75" x14ac:dyDescent="0.2">
      <c r="R46893" s="1288"/>
    </row>
    <row r="46894" spans="18:18" s="2" customFormat="1" ht="12.75" x14ac:dyDescent="0.2">
      <c r="R46894" s="1288"/>
    </row>
    <row r="46895" spans="18:18" s="2" customFormat="1" ht="12.75" x14ac:dyDescent="0.2">
      <c r="R46895" s="1288"/>
    </row>
    <row r="46896" spans="18:18" s="2" customFormat="1" ht="12.75" x14ac:dyDescent="0.2">
      <c r="R46896" s="1288"/>
    </row>
    <row r="46897" spans="18:18" s="2" customFormat="1" ht="12.75" x14ac:dyDescent="0.2">
      <c r="R46897" s="1288"/>
    </row>
    <row r="46898" spans="18:18" s="2" customFormat="1" ht="12.75" x14ac:dyDescent="0.2">
      <c r="R46898" s="1288"/>
    </row>
    <row r="46899" spans="18:18" s="2" customFormat="1" ht="12.75" x14ac:dyDescent="0.2">
      <c r="R46899" s="1288"/>
    </row>
    <row r="46900" spans="18:18" s="2" customFormat="1" ht="12.75" x14ac:dyDescent="0.2">
      <c r="R46900" s="1288"/>
    </row>
    <row r="46901" spans="18:18" s="2" customFormat="1" ht="12.75" x14ac:dyDescent="0.2">
      <c r="R46901" s="1288"/>
    </row>
    <row r="46902" spans="18:18" s="2" customFormat="1" ht="12.75" x14ac:dyDescent="0.2">
      <c r="R46902" s="1288"/>
    </row>
    <row r="46903" spans="18:18" s="2" customFormat="1" ht="12.75" x14ac:dyDescent="0.2">
      <c r="R46903" s="1288"/>
    </row>
    <row r="46904" spans="18:18" s="2" customFormat="1" ht="12.75" x14ac:dyDescent="0.2">
      <c r="R46904" s="1288"/>
    </row>
    <row r="46905" spans="18:18" s="2" customFormat="1" ht="12.75" x14ac:dyDescent="0.2">
      <c r="R46905" s="1288"/>
    </row>
    <row r="46906" spans="18:18" s="2" customFormat="1" ht="12.75" x14ac:dyDescent="0.2">
      <c r="R46906" s="1288"/>
    </row>
    <row r="46907" spans="18:18" s="2" customFormat="1" ht="12.75" x14ac:dyDescent="0.2">
      <c r="R46907" s="1288"/>
    </row>
    <row r="46908" spans="18:18" s="2" customFormat="1" ht="12.75" x14ac:dyDescent="0.2">
      <c r="R46908" s="1288"/>
    </row>
    <row r="46909" spans="18:18" s="2" customFormat="1" ht="12.75" x14ac:dyDescent="0.2">
      <c r="R46909" s="1288"/>
    </row>
    <row r="46910" spans="18:18" s="2" customFormat="1" ht="12.75" x14ac:dyDescent="0.2">
      <c r="R46910" s="1288"/>
    </row>
    <row r="46911" spans="18:18" s="2" customFormat="1" ht="12.75" x14ac:dyDescent="0.2">
      <c r="R46911" s="1288"/>
    </row>
    <row r="46912" spans="18:18" s="2" customFormat="1" ht="12.75" x14ac:dyDescent="0.2">
      <c r="R46912" s="1288"/>
    </row>
    <row r="46913" spans="18:18" s="2" customFormat="1" ht="12.75" x14ac:dyDescent="0.2">
      <c r="R46913" s="1288"/>
    </row>
    <row r="46914" spans="18:18" s="2" customFormat="1" ht="12.75" x14ac:dyDescent="0.2">
      <c r="R46914" s="1288"/>
    </row>
    <row r="46915" spans="18:18" s="2" customFormat="1" ht="12.75" x14ac:dyDescent="0.2">
      <c r="R46915" s="1288"/>
    </row>
    <row r="46916" spans="18:18" s="2" customFormat="1" ht="12.75" x14ac:dyDescent="0.2">
      <c r="R46916" s="1288"/>
    </row>
    <row r="46917" spans="18:18" s="2" customFormat="1" ht="12.75" x14ac:dyDescent="0.2">
      <c r="R46917" s="1288"/>
    </row>
    <row r="46918" spans="18:18" s="2" customFormat="1" ht="12.75" x14ac:dyDescent="0.2">
      <c r="R46918" s="1288"/>
    </row>
    <row r="46919" spans="18:18" s="2" customFormat="1" ht="12.75" x14ac:dyDescent="0.2">
      <c r="R46919" s="1288"/>
    </row>
    <row r="46920" spans="18:18" s="2" customFormat="1" ht="12.75" x14ac:dyDescent="0.2">
      <c r="R46920" s="1288"/>
    </row>
    <row r="46921" spans="18:18" s="2" customFormat="1" ht="12.75" x14ac:dyDescent="0.2">
      <c r="R46921" s="1288"/>
    </row>
    <row r="46922" spans="18:18" s="2" customFormat="1" ht="12.75" x14ac:dyDescent="0.2">
      <c r="R46922" s="1288"/>
    </row>
    <row r="46923" spans="18:18" s="2" customFormat="1" ht="12.75" x14ac:dyDescent="0.2">
      <c r="R46923" s="1288"/>
    </row>
    <row r="46924" spans="18:18" s="2" customFormat="1" ht="12.75" x14ac:dyDescent="0.2">
      <c r="R46924" s="1288"/>
    </row>
    <row r="46925" spans="18:18" s="2" customFormat="1" ht="12.75" x14ac:dyDescent="0.2">
      <c r="R46925" s="1288"/>
    </row>
    <row r="46926" spans="18:18" s="2" customFormat="1" ht="12.75" x14ac:dyDescent="0.2">
      <c r="R46926" s="1288"/>
    </row>
    <row r="46927" spans="18:18" s="2" customFormat="1" ht="12.75" x14ac:dyDescent="0.2">
      <c r="R46927" s="1288"/>
    </row>
    <row r="46928" spans="18:18" s="2" customFormat="1" ht="12.75" x14ac:dyDescent="0.2">
      <c r="R46928" s="1288"/>
    </row>
    <row r="46929" spans="18:18" s="2" customFormat="1" ht="12.75" x14ac:dyDescent="0.2">
      <c r="R46929" s="1288"/>
    </row>
    <row r="46930" spans="18:18" s="2" customFormat="1" ht="12.75" x14ac:dyDescent="0.2">
      <c r="R46930" s="1288"/>
    </row>
    <row r="46931" spans="18:18" s="2" customFormat="1" ht="12.75" x14ac:dyDescent="0.2">
      <c r="R46931" s="1288"/>
    </row>
    <row r="46932" spans="18:18" s="2" customFormat="1" ht="12.75" x14ac:dyDescent="0.2">
      <c r="R46932" s="1288"/>
    </row>
    <row r="46933" spans="18:18" s="2" customFormat="1" ht="12.75" x14ac:dyDescent="0.2">
      <c r="R46933" s="1288"/>
    </row>
    <row r="46934" spans="18:18" s="2" customFormat="1" ht="12.75" x14ac:dyDescent="0.2">
      <c r="R46934" s="1288"/>
    </row>
    <row r="46935" spans="18:18" s="2" customFormat="1" ht="12.75" x14ac:dyDescent="0.2">
      <c r="R46935" s="1288"/>
    </row>
    <row r="46936" spans="18:18" s="2" customFormat="1" ht="12.75" x14ac:dyDescent="0.2">
      <c r="R46936" s="1288"/>
    </row>
    <row r="46937" spans="18:18" s="2" customFormat="1" ht="12.75" x14ac:dyDescent="0.2">
      <c r="R46937" s="1288"/>
    </row>
    <row r="46938" spans="18:18" s="2" customFormat="1" ht="12.75" x14ac:dyDescent="0.2">
      <c r="R46938" s="1288"/>
    </row>
    <row r="46939" spans="18:18" s="2" customFormat="1" ht="12.75" x14ac:dyDescent="0.2">
      <c r="R46939" s="1288"/>
    </row>
    <row r="46940" spans="18:18" s="2" customFormat="1" ht="12.75" x14ac:dyDescent="0.2">
      <c r="R46940" s="1288"/>
    </row>
    <row r="46941" spans="18:18" s="2" customFormat="1" ht="12.75" x14ac:dyDescent="0.2">
      <c r="R46941" s="1288"/>
    </row>
    <row r="46942" spans="18:18" s="2" customFormat="1" ht="12.75" x14ac:dyDescent="0.2">
      <c r="R46942" s="1288"/>
    </row>
    <row r="46943" spans="18:18" s="2" customFormat="1" ht="12.75" x14ac:dyDescent="0.2">
      <c r="R46943" s="1288"/>
    </row>
    <row r="46944" spans="18:18" s="2" customFormat="1" ht="12.75" x14ac:dyDescent="0.2">
      <c r="R46944" s="1288"/>
    </row>
    <row r="46945" spans="18:18" s="2" customFormat="1" ht="12.75" x14ac:dyDescent="0.2">
      <c r="R46945" s="1288"/>
    </row>
    <row r="46946" spans="18:18" s="2" customFormat="1" ht="12.75" x14ac:dyDescent="0.2">
      <c r="R46946" s="1288"/>
    </row>
    <row r="46947" spans="18:18" s="2" customFormat="1" ht="12.75" x14ac:dyDescent="0.2">
      <c r="R46947" s="1288"/>
    </row>
    <row r="46948" spans="18:18" s="2" customFormat="1" ht="12.75" x14ac:dyDescent="0.2">
      <c r="R46948" s="1288"/>
    </row>
    <row r="46949" spans="18:18" s="2" customFormat="1" ht="12.75" x14ac:dyDescent="0.2">
      <c r="R46949" s="1288"/>
    </row>
    <row r="46950" spans="18:18" s="2" customFormat="1" ht="12.75" x14ac:dyDescent="0.2">
      <c r="R46950" s="1288"/>
    </row>
    <row r="46951" spans="18:18" s="2" customFormat="1" ht="12.75" x14ac:dyDescent="0.2">
      <c r="R46951" s="1288"/>
    </row>
    <row r="46952" spans="18:18" s="2" customFormat="1" ht="12.75" x14ac:dyDescent="0.2">
      <c r="R46952" s="1288"/>
    </row>
    <row r="46953" spans="18:18" s="2" customFormat="1" ht="12.75" x14ac:dyDescent="0.2">
      <c r="R46953" s="1288"/>
    </row>
    <row r="46954" spans="18:18" s="2" customFormat="1" ht="12.75" x14ac:dyDescent="0.2">
      <c r="R46954" s="1288"/>
    </row>
    <row r="46955" spans="18:18" s="2" customFormat="1" ht="12.75" x14ac:dyDescent="0.2">
      <c r="R46955" s="1288"/>
    </row>
    <row r="46956" spans="18:18" s="2" customFormat="1" ht="12.75" x14ac:dyDescent="0.2">
      <c r="R46956" s="1288"/>
    </row>
    <row r="46957" spans="18:18" s="2" customFormat="1" ht="12.75" x14ac:dyDescent="0.2">
      <c r="R46957" s="1288"/>
    </row>
    <row r="46958" spans="18:18" s="2" customFormat="1" ht="12.75" x14ac:dyDescent="0.2">
      <c r="R46958" s="1288"/>
    </row>
    <row r="46959" spans="18:18" s="2" customFormat="1" ht="12.75" x14ac:dyDescent="0.2">
      <c r="R46959" s="1288"/>
    </row>
    <row r="46960" spans="18:18" s="2" customFormat="1" ht="12.75" x14ac:dyDescent="0.2">
      <c r="R46960" s="1288"/>
    </row>
    <row r="46961" spans="18:18" s="2" customFormat="1" ht="12.75" x14ac:dyDescent="0.2">
      <c r="R46961" s="1288"/>
    </row>
    <row r="46962" spans="18:18" s="2" customFormat="1" ht="12.75" x14ac:dyDescent="0.2">
      <c r="R46962" s="1288"/>
    </row>
    <row r="46963" spans="18:18" s="2" customFormat="1" ht="12.75" x14ac:dyDescent="0.2">
      <c r="R46963" s="1288"/>
    </row>
    <row r="46964" spans="18:18" s="2" customFormat="1" ht="12.75" x14ac:dyDescent="0.2">
      <c r="R46964" s="1288"/>
    </row>
    <row r="46965" spans="18:18" s="2" customFormat="1" ht="12.75" x14ac:dyDescent="0.2">
      <c r="R46965" s="1288"/>
    </row>
    <row r="46966" spans="18:18" s="2" customFormat="1" ht="12.75" x14ac:dyDescent="0.2">
      <c r="R46966" s="1288"/>
    </row>
    <row r="46967" spans="18:18" s="2" customFormat="1" ht="12.75" x14ac:dyDescent="0.2">
      <c r="R46967" s="1288"/>
    </row>
    <row r="46968" spans="18:18" s="2" customFormat="1" ht="12.75" x14ac:dyDescent="0.2">
      <c r="R46968" s="1288"/>
    </row>
    <row r="46969" spans="18:18" s="2" customFormat="1" ht="12.75" x14ac:dyDescent="0.2">
      <c r="R46969" s="1288"/>
    </row>
    <row r="46970" spans="18:18" s="2" customFormat="1" ht="12.75" x14ac:dyDescent="0.2">
      <c r="R46970" s="1288"/>
    </row>
    <row r="46971" spans="18:18" s="2" customFormat="1" ht="12.75" x14ac:dyDescent="0.2">
      <c r="R46971" s="1288"/>
    </row>
    <row r="46972" spans="18:18" s="2" customFormat="1" ht="12.75" x14ac:dyDescent="0.2">
      <c r="R46972" s="1288"/>
    </row>
    <row r="46973" spans="18:18" s="2" customFormat="1" ht="12.75" x14ac:dyDescent="0.2">
      <c r="R46973" s="1288"/>
    </row>
    <row r="46974" spans="18:18" s="2" customFormat="1" ht="12.75" x14ac:dyDescent="0.2">
      <c r="R46974" s="1288"/>
    </row>
    <row r="46975" spans="18:18" s="2" customFormat="1" ht="12.75" x14ac:dyDescent="0.2">
      <c r="R46975" s="1288"/>
    </row>
    <row r="46976" spans="18:18" s="2" customFormat="1" ht="12.75" x14ac:dyDescent="0.2">
      <c r="R46976" s="1288"/>
    </row>
    <row r="46977" spans="18:18" s="2" customFormat="1" ht="12.75" x14ac:dyDescent="0.2">
      <c r="R46977" s="1288"/>
    </row>
    <row r="46978" spans="18:18" s="2" customFormat="1" ht="12.75" x14ac:dyDescent="0.2">
      <c r="R46978" s="1288"/>
    </row>
    <row r="46979" spans="18:18" s="2" customFormat="1" ht="12.75" x14ac:dyDescent="0.2">
      <c r="R46979" s="1288"/>
    </row>
    <row r="46980" spans="18:18" s="2" customFormat="1" ht="12.75" x14ac:dyDescent="0.2">
      <c r="R46980" s="1288"/>
    </row>
    <row r="46981" spans="18:18" s="2" customFormat="1" ht="12.75" x14ac:dyDescent="0.2">
      <c r="R46981" s="1288"/>
    </row>
    <row r="46982" spans="18:18" s="2" customFormat="1" ht="12.75" x14ac:dyDescent="0.2">
      <c r="R46982" s="1288"/>
    </row>
    <row r="46983" spans="18:18" s="2" customFormat="1" ht="12.75" x14ac:dyDescent="0.2">
      <c r="R46983" s="1288"/>
    </row>
    <row r="46984" spans="18:18" s="2" customFormat="1" ht="12.75" x14ac:dyDescent="0.2">
      <c r="R46984" s="1288"/>
    </row>
    <row r="46985" spans="18:18" s="2" customFormat="1" ht="12.75" x14ac:dyDescent="0.2">
      <c r="R46985" s="1288"/>
    </row>
    <row r="46986" spans="18:18" s="2" customFormat="1" ht="12.75" x14ac:dyDescent="0.2">
      <c r="R46986" s="1288"/>
    </row>
    <row r="46987" spans="18:18" s="2" customFormat="1" ht="12.75" x14ac:dyDescent="0.2">
      <c r="R46987" s="1288"/>
    </row>
    <row r="46988" spans="18:18" s="2" customFormat="1" ht="12.75" x14ac:dyDescent="0.2">
      <c r="R46988" s="1288"/>
    </row>
    <row r="46989" spans="18:18" s="2" customFormat="1" ht="12.75" x14ac:dyDescent="0.2">
      <c r="R46989" s="1288"/>
    </row>
    <row r="46990" spans="18:18" s="2" customFormat="1" ht="12.75" x14ac:dyDescent="0.2">
      <c r="R46990" s="1288"/>
    </row>
    <row r="46991" spans="18:18" s="2" customFormat="1" ht="12.75" x14ac:dyDescent="0.2">
      <c r="R46991" s="1288"/>
    </row>
    <row r="46992" spans="18:18" s="2" customFormat="1" ht="12.75" x14ac:dyDescent="0.2">
      <c r="R46992" s="1288"/>
    </row>
    <row r="46993" spans="18:18" s="2" customFormat="1" ht="12.75" x14ac:dyDescent="0.2">
      <c r="R46993" s="1288"/>
    </row>
    <row r="46994" spans="18:18" s="2" customFormat="1" ht="12.75" x14ac:dyDescent="0.2">
      <c r="R46994" s="1288"/>
    </row>
    <row r="46995" spans="18:18" s="2" customFormat="1" ht="12.75" x14ac:dyDescent="0.2">
      <c r="R46995" s="1288"/>
    </row>
    <row r="46996" spans="18:18" s="2" customFormat="1" ht="12.75" x14ac:dyDescent="0.2">
      <c r="R46996" s="1288"/>
    </row>
    <row r="46997" spans="18:18" s="2" customFormat="1" ht="12.75" x14ac:dyDescent="0.2">
      <c r="R46997" s="1288"/>
    </row>
    <row r="46998" spans="18:18" s="2" customFormat="1" ht="12.75" x14ac:dyDescent="0.2">
      <c r="R46998" s="1288"/>
    </row>
    <row r="46999" spans="18:18" s="2" customFormat="1" ht="12.75" x14ac:dyDescent="0.2">
      <c r="R46999" s="1288"/>
    </row>
    <row r="47000" spans="18:18" s="2" customFormat="1" ht="12.75" x14ac:dyDescent="0.2">
      <c r="R47000" s="1288"/>
    </row>
    <row r="47001" spans="18:18" s="2" customFormat="1" ht="12.75" x14ac:dyDescent="0.2">
      <c r="R47001" s="1288"/>
    </row>
    <row r="47002" spans="18:18" s="2" customFormat="1" ht="12.75" x14ac:dyDescent="0.2">
      <c r="R47002" s="1288"/>
    </row>
    <row r="47003" spans="18:18" s="2" customFormat="1" ht="12.75" x14ac:dyDescent="0.2">
      <c r="R47003" s="1288"/>
    </row>
    <row r="47004" spans="18:18" s="2" customFormat="1" ht="12.75" x14ac:dyDescent="0.2">
      <c r="R47004" s="1288"/>
    </row>
    <row r="47005" spans="18:18" s="2" customFormat="1" ht="12.75" x14ac:dyDescent="0.2">
      <c r="R47005" s="1288"/>
    </row>
    <row r="47006" spans="18:18" s="2" customFormat="1" ht="12.75" x14ac:dyDescent="0.2">
      <c r="R47006" s="1288"/>
    </row>
    <row r="47007" spans="18:18" s="2" customFormat="1" ht="12.75" x14ac:dyDescent="0.2">
      <c r="R47007" s="1288"/>
    </row>
    <row r="47008" spans="18:18" s="2" customFormat="1" ht="12.75" x14ac:dyDescent="0.2">
      <c r="R47008" s="1288"/>
    </row>
    <row r="47009" spans="18:18" s="2" customFormat="1" ht="12.75" x14ac:dyDescent="0.2">
      <c r="R47009" s="1288"/>
    </row>
    <row r="47010" spans="18:18" s="2" customFormat="1" ht="12.75" x14ac:dyDescent="0.2">
      <c r="R47010" s="1288"/>
    </row>
    <row r="47011" spans="18:18" s="2" customFormat="1" ht="12.75" x14ac:dyDescent="0.2">
      <c r="R47011" s="1288"/>
    </row>
    <row r="47012" spans="18:18" s="2" customFormat="1" ht="12.75" x14ac:dyDescent="0.2">
      <c r="R47012" s="1288"/>
    </row>
    <row r="47013" spans="18:18" s="2" customFormat="1" ht="12.75" x14ac:dyDescent="0.2">
      <c r="R47013" s="1288"/>
    </row>
    <row r="47014" spans="18:18" s="2" customFormat="1" ht="12.75" x14ac:dyDescent="0.2">
      <c r="R47014" s="1288"/>
    </row>
    <row r="47015" spans="18:18" s="2" customFormat="1" ht="12.75" x14ac:dyDescent="0.2">
      <c r="R47015" s="1288"/>
    </row>
    <row r="47016" spans="18:18" s="2" customFormat="1" ht="12.75" x14ac:dyDescent="0.2">
      <c r="R47016" s="1288"/>
    </row>
    <row r="47017" spans="18:18" s="2" customFormat="1" ht="12.75" x14ac:dyDescent="0.2">
      <c r="R47017" s="1288"/>
    </row>
    <row r="47018" spans="18:18" s="2" customFormat="1" ht="12.75" x14ac:dyDescent="0.2">
      <c r="R47018" s="1288"/>
    </row>
    <row r="47019" spans="18:18" s="2" customFormat="1" ht="12.75" x14ac:dyDescent="0.2">
      <c r="R47019" s="1288"/>
    </row>
    <row r="47020" spans="18:18" s="2" customFormat="1" ht="12.75" x14ac:dyDescent="0.2">
      <c r="R47020" s="1288"/>
    </row>
    <row r="47021" spans="18:18" s="2" customFormat="1" ht="12.75" x14ac:dyDescent="0.2">
      <c r="R47021" s="1288"/>
    </row>
    <row r="47022" spans="18:18" s="2" customFormat="1" ht="12.75" x14ac:dyDescent="0.2">
      <c r="R47022" s="1288"/>
    </row>
    <row r="47023" spans="18:18" s="2" customFormat="1" ht="12.75" x14ac:dyDescent="0.2">
      <c r="R47023" s="1288"/>
    </row>
    <row r="47024" spans="18:18" s="2" customFormat="1" ht="12.75" x14ac:dyDescent="0.2">
      <c r="R47024" s="1288"/>
    </row>
    <row r="47025" spans="18:18" s="2" customFormat="1" ht="12.75" x14ac:dyDescent="0.2">
      <c r="R47025" s="1288"/>
    </row>
    <row r="47026" spans="18:18" s="2" customFormat="1" ht="12.75" x14ac:dyDescent="0.2">
      <c r="R47026" s="1288"/>
    </row>
    <row r="47027" spans="18:18" s="2" customFormat="1" ht="12.75" x14ac:dyDescent="0.2">
      <c r="R47027" s="1288"/>
    </row>
    <row r="47028" spans="18:18" s="2" customFormat="1" ht="12.75" x14ac:dyDescent="0.2">
      <c r="R47028" s="1288"/>
    </row>
    <row r="47029" spans="18:18" s="2" customFormat="1" ht="12.75" x14ac:dyDescent="0.2">
      <c r="R47029" s="1288"/>
    </row>
    <row r="47030" spans="18:18" s="2" customFormat="1" ht="12.75" x14ac:dyDescent="0.2">
      <c r="R47030" s="1288"/>
    </row>
    <row r="47031" spans="18:18" s="2" customFormat="1" ht="12.75" x14ac:dyDescent="0.2">
      <c r="R47031" s="1288"/>
    </row>
    <row r="47032" spans="18:18" s="2" customFormat="1" ht="12.75" x14ac:dyDescent="0.2">
      <c r="R47032" s="1288"/>
    </row>
    <row r="47033" spans="18:18" s="2" customFormat="1" ht="12.75" x14ac:dyDescent="0.2">
      <c r="R47033" s="1288"/>
    </row>
    <row r="47034" spans="18:18" s="2" customFormat="1" ht="12.75" x14ac:dyDescent="0.2">
      <c r="R47034" s="1288"/>
    </row>
    <row r="47035" spans="18:18" s="2" customFormat="1" ht="12.75" x14ac:dyDescent="0.2">
      <c r="R47035" s="1288"/>
    </row>
    <row r="47036" spans="18:18" s="2" customFormat="1" ht="12.75" x14ac:dyDescent="0.2">
      <c r="R47036" s="1288"/>
    </row>
    <row r="47037" spans="18:18" s="2" customFormat="1" ht="12.75" x14ac:dyDescent="0.2">
      <c r="R47037" s="1288"/>
    </row>
    <row r="47038" spans="18:18" s="2" customFormat="1" ht="12.75" x14ac:dyDescent="0.2">
      <c r="R47038" s="1288"/>
    </row>
    <row r="47039" spans="18:18" s="2" customFormat="1" ht="12.75" x14ac:dyDescent="0.2">
      <c r="R47039" s="1288"/>
    </row>
    <row r="47040" spans="18:18" s="2" customFormat="1" ht="12.75" x14ac:dyDescent="0.2">
      <c r="R47040" s="1288"/>
    </row>
    <row r="47041" spans="18:18" s="2" customFormat="1" ht="12.75" x14ac:dyDescent="0.2">
      <c r="R47041" s="1288"/>
    </row>
    <row r="47042" spans="18:18" s="2" customFormat="1" ht="12.75" x14ac:dyDescent="0.2">
      <c r="R47042" s="1288"/>
    </row>
    <row r="47043" spans="18:18" s="2" customFormat="1" ht="12.75" x14ac:dyDescent="0.2">
      <c r="R47043" s="1288"/>
    </row>
    <row r="47044" spans="18:18" s="2" customFormat="1" ht="12.75" x14ac:dyDescent="0.2">
      <c r="R47044" s="1288"/>
    </row>
    <row r="47045" spans="18:18" s="2" customFormat="1" ht="12.75" x14ac:dyDescent="0.2">
      <c r="R47045" s="1288"/>
    </row>
    <row r="47046" spans="18:18" s="2" customFormat="1" ht="12.75" x14ac:dyDescent="0.2">
      <c r="R47046" s="1288"/>
    </row>
    <row r="47047" spans="18:18" s="2" customFormat="1" ht="12.75" x14ac:dyDescent="0.2">
      <c r="R47047" s="1288"/>
    </row>
    <row r="47048" spans="18:18" s="2" customFormat="1" ht="12.75" x14ac:dyDescent="0.2">
      <c r="R47048" s="1288"/>
    </row>
    <row r="47049" spans="18:18" s="2" customFormat="1" ht="12.75" x14ac:dyDescent="0.2">
      <c r="R47049" s="1288"/>
    </row>
    <row r="47050" spans="18:18" s="2" customFormat="1" ht="12.75" x14ac:dyDescent="0.2">
      <c r="R47050" s="1288"/>
    </row>
    <row r="47051" spans="18:18" s="2" customFormat="1" ht="12.75" x14ac:dyDescent="0.2">
      <c r="R47051" s="1288"/>
    </row>
    <row r="47052" spans="18:18" s="2" customFormat="1" ht="12.75" x14ac:dyDescent="0.2">
      <c r="R47052" s="1288"/>
    </row>
    <row r="47053" spans="18:18" s="2" customFormat="1" ht="12.75" x14ac:dyDescent="0.2">
      <c r="R47053" s="1288"/>
    </row>
    <row r="47054" spans="18:18" s="2" customFormat="1" ht="12.75" x14ac:dyDescent="0.2">
      <c r="R47054" s="1288"/>
    </row>
    <row r="47055" spans="18:18" s="2" customFormat="1" ht="12.75" x14ac:dyDescent="0.2">
      <c r="R47055" s="1288"/>
    </row>
    <row r="47056" spans="18:18" s="2" customFormat="1" ht="12.75" x14ac:dyDescent="0.2">
      <c r="R47056" s="1288"/>
    </row>
    <row r="47057" spans="18:18" s="2" customFormat="1" ht="12.75" x14ac:dyDescent="0.2">
      <c r="R47057" s="1288"/>
    </row>
    <row r="47058" spans="18:18" s="2" customFormat="1" ht="12.75" x14ac:dyDescent="0.2">
      <c r="R47058" s="1288"/>
    </row>
    <row r="47059" spans="18:18" s="2" customFormat="1" ht="12.75" x14ac:dyDescent="0.2">
      <c r="R47059" s="1288"/>
    </row>
    <row r="47060" spans="18:18" s="2" customFormat="1" ht="12.75" x14ac:dyDescent="0.2">
      <c r="R47060" s="1288"/>
    </row>
    <row r="47061" spans="18:18" s="2" customFormat="1" ht="12.75" x14ac:dyDescent="0.2">
      <c r="R47061" s="1288"/>
    </row>
    <row r="47062" spans="18:18" s="2" customFormat="1" ht="12.75" x14ac:dyDescent="0.2">
      <c r="R47062" s="1288"/>
    </row>
    <row r="47063" spans="18:18" s="2" customFormat="1" ht="12.75" x14ac:dyDescent="0.2">
      <c r="R47063" s="1288"/>
    </row>
    <row r="47064" spans="18:18" s="2" customFormat="1" ht="12.75" x14ac:dyDescent="0.2">
      <c r="R47064" s="1288"/>
    </row>
    <row r="47065" spans="18:18" s="2" customFormat="1" ht="12.75" x14ac:dyDescent="0.2">
      <c r="R47065" s="1288"/>
    </row>
    <row r="47066" spans="18:18" s="2" customFormat="1" ht="12.75" x14ac:dyDescent="0.2">
      <c r="R47066" s="1288"/>
    </row>
    <row r="47067" spans="18:18" s="2" customFormat="1" ht="12.75" x14ac:dyDescent="0.2">
      <c r="R47067" s="1288"/>
    </row>
    <row r="47068" spans="18:18" s="2" customFormat="1" ht="12.75" x14ac:dyDescent="0.2">
      <c r="R47068" s="1288"/>
    </row>
    <row r="47069" spans="18:18" s="2" customFormat="1" ht="12.75" x14ac:dyDescent="0.2">
      <c r="R47069" s="1288"/>
    </row>
    <row r="47070" spans="18:18" s="2" customFormat="1" ht="12.75" x14ac:dyDescent="0.2">
      <c r="R47070" s="1288"/>
    </row>
    <row r="47071" spans="18:18" s="2" customFormat="1" ht="12.75" x14ac:dyDescent="0.2">
      <c r="R47071" s="1288"/>
    </row>
    <row r="47072" spans="18:18" s="2" customFormat="1" ht="12.75" x14ac:dyDescent="0.2">
      <c r="R47072" s="1288"/>
    </row>
    <row r="47073" spans="18:18" s="2" customFormat="1" ht="12.75" x14ac:dyDescent="0.2">
      <c r="R47073" s="1288"/>
    </row>
    <row r="47074" spans="18:18" s="2" customFormat="1" ht="12.75" x14ac:dyDescent="0.2">
      <c r="R47074" s="1288"/>
    </row>
    <row r="47075" spans="18:18" s="2" customFormat="1" ht="12.75" x14ac:dyDescent="0.2">
      <c r="R47075" s="1288"/>
    </row>
    <row r="47076" spans="18:18" s="2" customFormat="1" ht="12.75" x14ac:dyDescent="0.2">
      <c r="R47076" s="1288"/>
    </row>
    <row r="47077" spans="18:18" s="2" customFormat="1" ht="12.75" x14ac:dyDescent="0.2">
      <c r="R47077" s="1288"/>
    </row>
    <row r="47078" spans="18:18" s="2" customFormat="1" ht="12.75" x14ac:dyDescent="0.2">
      <c r="R47078" s="1288"/>
    </row>
    <row r="47079" spans="18:18" s="2" customFormat="1" ht="12.75" x14ac:dyDescent="0.2">
      <c r="R47079" s="1288"/>
    </row>
    <row r="47080" spans="18:18" s="2" customFormat="1" ht="12.75" x14ac:dyDescent="0.2">
      <c r="R47080" s="1288"/>
    </row>
    <row r="47081" spans="18:18" s="2" customFormat="1" ht="12.75" x14ac:dyDescent="0.2">
      <c r="R47081" s="1288"/>
    </row>
    <row r="47082" spans="18:18" s="2" customFormat="1" ht="12.75" x14ac:dyDescent="0.2">
      <c r="R47082" s="1288"/>
    </row>
    <row r="47083" spans="18:18" s="2" customFormat="1" ht="12.75" x14ac:dyDescent="0.2">
      <c r="R47083" s="1288"/>
    </row>
    <row r="47084" spans="18:18" s="2" customFormat="1" ht="12.75" x14ac:dyDescent="0.2">
      <c r="R47084" s="1288"/>
    </row>
    <row r="47085" spans="18:18" s="2" customFormat="1" ht="12.75" x14ac:dyDescent="0.2">
      <c r="R47085" s="1288"/>
    </row>
    <row r="47086" spans="18:18" s="2" customFormat="1" ht="12.75" x14ac:dyDescent="0.2">
      <c r="R47086" s="1288"/>
    </row>
    <row r="47087" spans="18:18" s="2" customFormat="1" ht="12.75" x14ac:dyDescent="0.2">
      <c r="R47087" s="1288"/>
    </row>
    <row r="47088" spans="18:18" s="2" customFormat="1" ht="12.75" x14ac:dyDescent="0.2">
      <c r="R47088" s="1288"/>
    </row>
    <row r="47089" spans="18:18" s="2" customFormat="1" ht="12.75" x14ac:dyDescent="0.2">
      <c r="R47089" s="1288"/>
    </row>
    <row r="47090" spans="18:18" s="2" customFormat="1" ht="12.75" x14ac:dyDescent="0.2">
      <c r="R47090" s="1288"/>
    </row>
    <row r="47091" spans="18:18" s="2" customFormat="1" ht="12.75" x14ac:dyDescent="0.2">
      <c r="R47091" s="1288"/>
    </row>
    <row r="47092" spans="18:18" s="2" customFormat="1" ht="12.75" x14ac:dyDescent="0.2">
      <c r="R47092" s="1288"/>
    </row>
    <row r="47093" spans="18:18" s="2" customFormat="1" ht="12.75" x14ac:dyDescent="0.2">
      <c r="R47093" s="1288"/>
    </row>
    <row r="47094" spans="18:18" s="2" customFormat="1" ht="12.75" x14ac:dyDescent="0.2">
      <c r="R47094" s="1288"/>
    </row>
    <row r="47095" spans="18:18" s="2" customFormat="1" ht="12.75" x14ac:dyDescent="0.2">
      <c r="R47095" s="1288"/>
    </row>
    <row r="47096" spans="18:18" s="2" customFormat="1" ht="12.75" x14ac:dyDescent="0.2">
      <c r="R47096" s="1288"/>
    </row>
    <row r="47097" spans="18:18" s="2" customFormat="1" ht="12.75" x14ac:dyDescent="0.2">
      <c r="R47097" s="1288"/>
    </row>
    <row r="47098" spans="18:18" s="2" customFormat="1" ht="12.75" x14ac:dyDescent="0.2">
      <c r="R47098" s="1288"/>
    </row>
    <row r="47099" spans="18:18" s="2" customFormat="1" ht="12.75" x14ac:dyDescent="0.2">
      <c r="R47099" s="1288"/>
    </row>
    <row r="47100" spans="18:18" s="2" customFormat="1" ht="12.75" x14ac:dyDescent="0.2">
      <c r="R47100" s="1288"/>
    </row>
    <row r="47101" spans="18:18" s="2" customFormat="1" ht="12.75" x14ac:dyDescent="0.2">
      <c r="R47101" s="1288"/>
    </row>
    <row r="47102" spans="18:18" s="2" customFormat="1" ht="12.75" x14ac:dyDescent="0.2">
      <c r="R47102" s="1288"/>
    </row>
    <row r="47103" spans="18:18" s="2" customFormat="1" ht="12.75" x14ac:dyDescent="0.2">
      <c r="R47103" s="1288"/>
    </row>
    <row r="47104" spans="18:18" s="2" customFormat="1" ht="12.75" x14ac:dyDescent="0.2">
      <c r="R47104" s="1288"/>
    </row>
    <row r="47105" spans="18:18" s="2" customFormat="1" ht="12.75" x14ac:dyDescent="0.2">
      <c r="R47105" s="1288"/>
    </row>
    <row r="47106" spans="18:18" s="2" customFormat="1" ht="12.75" x14ac:dyDescent="0.2">
      <c r="R47106" s="1288"/>
    </row>
    <row r="47107" spans="18:18" s="2" customFormat="1" ht="12.75" x14ac:dyDescent="0.2">
      <c r="R47107" s="1288"/>
    </row>
    <row r="47108" spans="18:18" s="2" customFormat="1" ht="12.75" x14ac:dyDescent="0.2">
      <c r="R47108" s="1288"/>
    </row>
    <row r="47109" spans="18:18" s="2" customFormat="1" ht="12.75" x14ac:dyDescent="0.2">
      <c r="R47109" s="1288"/>
    </row>
    <row r="47110" spans="18:18" s="2" customFormat="1" ht="12.75" x14ac:dyDescent="0.2">
      <c r="R47110" s="1288"/>
    </row>
    <row r="47111" spans="18:18" s="2" customFormat="1" ht="12.75" x14ac:dyDescent="0.2">
      <c r="R47111" s="1288"/>
    </row>
    <row r="47112" spans="18:18" s="2" customFormat="1" ht="12.75" x14ac:dyDescent="0.2">
      <c r="R47112" s="1288"/>
    </row>
    <row r="47113" spans="18:18" s="2" customFormat="1" ht="12.75" x14ac:dyDescent="0.2">
      <c r="R47113" s="1288"/>
    </row>
    <row r="47114" spans="18:18" s="2" customFormat="1" ht="12.75" x14ac:dyDescent="0.2">
      <c r="R47114" s="1288"/>
    </row>
    <row r="47115" spans="18:18" s="2" customFormat="1" ht="12.75" x14ac:dyDescent="0.2">
      <c r="R47115" s="1288"/>
    </row>
    <row r="47116" spans="18:18" s="2" customFormat="1" ht="12.75" x14ac:dyDescent="0.2">
      <c r="R47116" s="1288"/>
    </row>
    <row r="47117" spans="18:18" s="2" customFormat="1" ht="12.75" x14ac:dyDescent="0.2">
      <c r="R47117" s="1288"/>
    </row>
    <row r="47118" spans="18:18" s="2" customFormat="1" ht="12.75" x14ac:dyDescent="0.2">
      <c r="R47118" s="1288"/>
    </row>
    <row r="47119" spans="18:18" s="2" customFormat="1" ht="12.75" x14ac:dyDescent="0.2">
      <c r="R47119" s="1288"/>
    </row>
    <row r="47120" spans="18:18" s="2" customFormat="1" ht="12.75" x14ac:dyDescent="0.2">
      <c r="R47120" s="1288"/>
    </row>
    <row r="47121" spans="18:18" s="2" customFormat="1" ht="12.75" x14ac:dyDescent="0.2">
      <c r="R47121" s="1288"/>
    </row>
    <row r="47122" spans="18:18" s="2" customFormat="1" ht="12.75" x14ac:dyDescent="0.2">
      <c r="R47122" s="1288"/>
    </row>
    <row r="47123" spans="18:18" s="2" customFormat="1" ht="12.75" x14ac:dyDescent="0.2">
      <c r="R47123" s="1288"/>
    </row>
    <row r="47124" spans="18:18" s="2" customFormat="1" ht="12.75" x14ac:dyDescent="0.2">
      <c r="R47124" s="1288"/>
    </row>
    <row r="47125" spans="18:18" s="2" customFormat="1" ht="12.75" x14ac:dyDescent="0.2">
      <c r="R47125" s="1288"/>
    </row>
    <row r="47126" spans="18:18" s="2" customFormat="1" ht="12.75" x14ac:dyDescent="0.2">
      <c r="R47126" s="1288"/>
    </row>
    <row r="47127" spans="18:18" s="2" customFormat="1" ht="12.75" x14ac:dyDescent="0.2">
      <c r="R47127" s="1288"/>
    </row>
    <row r="47128" spans="18:18" s="2" customFormat="1" ht="12.75" x14ac:dyDescent="0.2">
      <c r="R47128" s="1288"/>
    </row>
    <row r="47129" spans="18:18" s="2" customFormat="1" ht="12.75" x14ac:dyDescent="0.2">
      <c r="R47129" s="1288"/>
    </row>
    <row r="47130" spans="18:18" s="2" customFormat="1" ht="12.75" x14ac:dyDescent="0.2">
      <c r="R47130" s="1288"/>
    </row>
    <row r="47131" spans="18:18" s="2" customFormat="1" ht="12.75" x14ac:dyDescent="0.2">
      <c r="R47131" s="1288"/>
    </row>
    <row r="47132" spans="18:18" s="2" customFormat="1" ht="12.75" x14ac:dyDescent="0.2">
      <c r="R47132" s="1288"/>
    </row>
    <row r="47133" spans="18:18" s="2" customFormat="1" ht="12.75" x14ac:dyDescent="0.2">
      <c r="R47133" s="1288"/>
    </row>
    <row r="47134" spans="18:18" s="2" customFormat="1" ht="12.75" x14ac:dyDescent="0.2">
      <c r="R47134" s="1288"/>
    </row>
    <row r="47135" spans="18:18" s="2" customFormat="1" ht="12.75" x14ac:dyDescent="0.2">
      <c r="R47135" s="1288"/>
    </row>
    <row r="47136" spans="18:18" s="2" customFormat="1" ht="12.75" x14ac:dyDescent="0.2">
      <c r="R47136" s="1288"/>
    </row>
    <row r="47137" spans="18:18" s="2" customFormat="1" ht="12.75" x14ac:dyDescent="0.2">
      <c r="R47137" s="1288"/>
    </row>
    <row r="47138" spans="18:18" s="2" customFormat="1" ht="12.75" x14ac:dyDescent="0.2">
      <c r="R47138" s="1288"/>
    </row>
    <row r="47139" spans="18:18" s="2" customFormat="1" ht="12.75" x14ac:dyDescent="0.2">
      <c r="R47139" s="1288"/>
    </row>
    <row r="47140" spans="18:18" s="2" customFormat="1" ht="12.75" x14ac:dyDescent="0.2">
      <c r="R47140" s="1288"/>
    </row>
    <row r="47141" spans="18:18" s="2" customFormat="1" ht="12.75" x14ac:dyDescent="0.2">
      <c r="R47141" s="1288"/>
    </row>
    <row r="47142" spans="18:18" s="2" customFormat="1" ht="12.75" x14ac:dyDescent="0.2">
      <c r="R47142" s="1288"/>
    </row>
    <row r="47143" spans="18:18" s="2" customFormat="1" ht="12.75" x14ac:dyDescent="0.2">
      <c r="R47143" s="1288"/>
    </row>
    <row r="47144" spans="18:18" s="2" customFormat="1" ht="12.75" x14ac:dyDescent="0.2">
      <c r="R47144" s="1288"/>
    </row>
    <row r="47145" spans="18:18" s="2" customFormat="1" ht="12.75" x14ac:dyDescent="0.2">
      <c r="R47145" s="1288"/>
    </row>
    <row r="47146" spans="18:18" s="2" customFormat="1" ht="12.75" x14ac:dyDescent="0.2">
      <c r="R47146" s="1288"/>
    </row>
    <row r="47147" spans="18:18" s="2" customFormat="1" ht="12.75" x14ac:dyDescent="0.2">
      <c r="R47147" s="1288"/>
    </row>
    <row r="47148" spans="18:18" s="2" customFormat="1" ht="12.75" x14ac:dyDescent="0.2">
      <c r="R47148" s="1288"/>
    </row>
    <row r="47149" spans="18:18" s="2" customFormat="1" ht="12.75" x14ac:dyDescent="0.2">
      <c r="R47149" s="1288"/>
    </row>
    <row r="47150" spans="18:18" s="2" customFormat="1" ht="12.75" x14ac:dyDescent="0.2">
      <c r="R47150" s="1288"/>
    </row>
    <row r="47151" spans="18:18" s="2" customFormat="1" ht="12.75" x14ac:dyDescent="0.2">
      <c r="R47151" s="1288"/>
    </row>
    <row r="47152" spans="18:18" s="2" customFormat="1" ht="12.75" x14ac:dyDescent="0.2">
      <c r="R47152" s="1288"/>
    </row>
    <row r="47153" spans="18:18" s="2" customFormat="1" ht="12.75" x14ac:dyDescent="0.2">
      <c r="R47153" s="1288"/>
    </row>
    <row r="47154" spans="18:18" s="2" customFormat="1" ht="12.75" x14ac:dyDescent="0.2">
      <c r="R47154" s="1288"/>
    </row>
    <row r="47155" spans="18:18" s="2" customFormat="1" ht="12.75" x14ac:dyDescent="0.2">
      <c r="R47155" s="1288"/>
    </row>
    <row r="47156" spans="18:18" s="2" customFormat="1" ht="12.75" x14ac:dyDescent="0.2">
      <c r="R47156" s="1288"/>
    </row>
    <row r="47157" spans="18:18" s="2" customFormat="1" ht="12.75" x14ac:dyDescent="0.2">
      <c r="R47157" s="1288"/>
    </row>
    <row r="47158" spans="18:18" s="2" customFormat="1" ht="12.75" x14ac:dyDescent="0.2">
      <c r="R47158" s="1288"/>
    </row>
    <row r="47159" spans="18:18" s="2" customFormat="1" ht="12.75" x14ac:dyDescent="0.2">
      <c r="R47159" s="1288"/>
    </row>
    <row r="47160" spans="18:18" s="2" customFormat="1" ht="12.75" x14ac:dyDescent="0.2">
      <c r="R47160" s="1288"/>
    </row>
    <row r="47161" spans="18:18" s="2" customFormat="1" ht="12.75" x14ac:dyDescent="0.2">
      <c r="R47161" s="1288"/>
    </row>
    <row r="47162" spans="18:18" s="2" customFormat="1" ht="12.75" x14ac:dyDescent="0.2">
      <c r="R47162" s="1288"/>
    </row>
    <row r="47163" spans="18:18" s="2" customFormat="1" ht="12.75" x14ac:dyDescent="0.2">
      <c r="R47163" s="1288"/>
    </row>
    <row r="47164" spans="18:18" s="2" customFormat="1" ht="12.75" x14ac:dyDescent="0.2">
      <c r="R47164" s="1288"/>
    </row>
    <row r="47165" spans="18:18" s="2" customFormat="1" ht="12.75" x14ac:dyDescent="0.2">
      <c r="R47165" s="1288"/>
    </row>
    <row r="47166" spans="18:18" s="2" customFormat="1" ht="12.75" x14ac:dyDescent="0.2">
      <c r="R47166" s="1288"/>
    </row>
    <row r="47167" spans="18:18" s="2" customFormat="1" ht="12.75" x14ac:dyDescent="0.2">
      <c r="R47167" s="1288"/>
    </row>
    <row r="47168" spans="18:18" s="2" customFormat="1" ht="12.75" x14ac:dyDescent="0.2">
      <c r="R47168" s="1288"/>
    </row>
    <row r="47169" spans="18:18" s="2" customFormat="1" ht="12.75" x14ac:dyDescent="0.2">
      <c r="R47169" s="1288"/>
    </row>
    <row r="47170" spans="18:18" s="2" customFormat="1" ht="12.75" x14ac:dyDescent="0.2">
      <c r="R47170" s="1288"/>
    </row>
    <row r="47171" spans="18:18" s="2" customFormat="1" ht="12.75" x14ac:dyDescent="0.2">
      <c r="R47171" s="1288"/>
    </row>
    <row r="47172" spans="18:18" s="2" customFormat="1" ht="12.75" x14ac:dyDescent="0.2">
      <c r="R47172" s="1288"/>
    </row>
    <row r="47173" spans="18:18" s="2" customFormat="1" ht="12.75" x14ac:dyDescent="0.2">
      <c r="R47173" s="1288"/>
    </row>
    <row r="47174" spans="18:18" s="2" customFormat="1" ht="12.75" x14ac:dyDescent="0.2">
      <c r="R47174" s="1288"/>
    </row>
    <row r="47175" spans="18:18" s="2" customFormat="1" ht="12.75" x14ac:dyDescent="0.2">
      <c r="R47175" s="1288"/>
    </row>
    <row r="47176" spans="18:18" s="2" customFormat="1" ht="12.75" x14ac:dyDescent="0.2">
      <c r="R47176" s="1288"/>
    </row>
    <row r="47177" spans="18:18" s="2" customFormat="1" ht="12.75" x14ac:dyDescent="0.2">
      <c r="R47177" s="1288"/>
    </row>
    <row r="47178" spans="18:18" s="2" customFormat="1" ht="12.75" x14ac:dyDescent="0.2">
      <c r="R47178" s="1288"/>
    </row>
    <row r="47179" spans="18:18" s="2" customFormat="1" ht="12.75" x14ac:dyDescent="0.2">
      <c r="R47179" s="1288"/>
    </row>
    <row r="47180" spans="18:18" s="2" customFormat="1" ht="12.75" x14ac:dyDescent="0.2">
      <c r="R47180" s="1288"/>
    </row>
    <row r="47181" spans="18:18" s="2" customFormat="1" ht="12.75" x14ac:dyDescent="0.2">
      <c r="R47181" s="1288"/>
    </row>
    <row r="47182" spans="18:18" s="2" customFormat="1" ht="12.75" x14ac:dyDescent="0.2">
      <c r="R47182" s="1288"/>
    </row>
    <row r="47183" spans="18:18" s="2" customFormat="1" ht="12.75" x14ac:dyDescent="0.2">
      <c r="R47183" s="1288"/>
    </row>
    <row r="47184" spans="18:18" s="2" customFormat="1" ht="12.75" x14ac:dyDescent="0.2">
      <c r="R47184" s="1288"/>
    </row>
    <row r="47185" spans="18:18" s="2" customFormat="1" ht="12.75" x14ac:dyDescent="0.2">
      <c r="R47185" s="1288"/>
    </row>
    <row r="47186" spans="18:18" s="2" customFormat="1" ht="12.75" x14ac:dyDescent="0.2">
      <c r="R47186" s="1288"/>
    </row>
    <row r="47187" spans="18:18" s="2" customFormat="1" ht="12.75" x14ac:dyDescent="0.2">
      <c r="R47187" s="1288"/>
    </row>
    <row r="47188" spans="18:18" s="2" customFormat="1" ht="12.75" x14ac:dyDescent="0.2">
      <c r="R47188" s="1288"/>
    </row>
    <row r="47189" spans="18:18" s="2" customFormat="1" ht="12.75" x14ac:dyDescent="0.2">
      <c r="R47189" s="1288"/>
    </row>
    <row r="47190" spans="18:18" s="2" customFormat="1" ht="12.75" x14ac:dyDescent="0.2">
      <c r="R47190" s="1288"/>
    </row>
    <row r="47191" spans="18:18" s="2" customFormat="1" ht="12.75" x14ac:dyDescent="0.2">
      <c r="R47191" s="1288"/>
    </row>
    <row r="47192" spans="18:18" s="2" customFormat="1" ht="12.75" x14ac:dyDescent="0.2">
      <c r="R47192" s="1288"/>
    </row>
    <row r="47193" spans="18:18" s="2" customFormat="1" ht="12.75" x14ac:dyDescent="0.2">
      <c r="R47193" s="1288"/>
    </row>
    <row r="47194" spans="18:18" s="2" customFormat="1" ht="12.75" x14ac:dyDescent="0.2">
      <c r="R47194" s="1288"/>
    </row>
    <row r="47195" spans="18:18" s="2" customFormat="1" ht="12.75" x14ac:dyDescent="0.2">
      <c r="R47195" s="1288"/>
    </row>
    <row r="47196" spans="18:18" s="2" customFormat="1" ht="12.75" x14ac:dyDescent="0.2">
      <c r="R47196" s="1288"/>
    </row>
    <row r="47197" spans="18:18" s="2" customFormat="1" ht="12.75" x14ac:dyDescent="0.2">
      <c r="R47197" s="1288"/>
    </row>
    <row r="47198" spans="18:18" s="2" customFormat="1" ht="12.75" x14ac:dyDescent="0.2">
      <c r="R47198" s="1288"/>
    </row>
    <row r="47199" spans="18:18" s="2" customFormat="1" ht="12.75" x14ac:dyDescent="0.2">
      <c r="R47199" s="1288"/>
    </row>
    <row r="47200" spans="18:18" s="2" customFormat="1" ht="12.75" x14ac:dyDescent="0.2">
      <c r="R47200" s="1288"/>
    </row>
    <row r="47201" spans="18:18" s="2" customFormat="1" ht="12.75" x14ac:dyDescent="0.2">
      <c r="R47201" s="1288"/>
    </row>
    <row r="47202" spans="18:18" s="2" customFormat="1" ht="12.75" x14ac:dyDescent="0.2">
      <c r="R47202" s="1288"/>
    </row>
    <row r="47203" spans="18:18" s="2" customFormat="1" ht="12.75" x14ac:dyDescent="0.2">
      <c r="R47203" s="1288"/>
    </row>
    <row r="47204" spans="18:18" s="2" customFormat="1" ht="12.75" x14ac:dyDescent="0.2">
      <c r="R47204" s="1288"/>
    </row>
    <row r="47205" spans="18:18" s="2" customFormat="1" ht="12.75" x14ac:dyDescent="0.2">
      <c r="R47205" s="1288"/>
    </row>
    <row r="47206" spans="18:18" s="2" customFormat="1" ht="12.75" x14ac:dyDescent="0.2">
      <c r="R47206" s="1288"/>
    </row>
    <row r="47207" spans="18:18" s="2" customFormat="1" ht="12.75" x14ac:dyDescent="0.2">
      <c r="R47207" s="1288"/>
    </row>
    <row r="47208" spans="18:18" s="2" customFormat="1" ht="12.75" x14ac:dyDescent="0.2">
      <c r="R47208" s="1288"/>
    </row>
    <row r="47209" spans="18:18" s="2" customFormat="1" ht="12.75" x14ac:dyDescent="0.2">
      <c r="R47209" s="1288"/>
    </row>
    <row r="47210" spans="18:18" s="2" customFormat="1" ht="12.75" x14ac:dyDescent="0.2">
      <c r="R47210" s="1288"/>
    </row>
    <row r="47211" spans="18:18" s="2" customFormat="1" ht="12.75" x14ac:dyDescent="0.2">
      <c r="R47211" s="1288"/>
    </row>
    <row r="47212" spans="18:18" s="2" customFormat="1" ht="12.75" x14ac:dyDescent="0.2">
      <c r="R47212" s="1288"/>
    </row>
    <row r="47213" spans="18:18" s="2" customFormat="1" ht="12.75" x14ac:dyDescent="0.2">
      <c r="R47213" s="1288"/>
    </row>
    <row r="47214" spans="18:18" s="2" customFormat="1" ht="12.75" x14ac:dyDescent="0.2">
      <c r="R47214" s="1288"/>
    </row>
    <row r="47215" spans="18:18" s="2" customFormat="1" ht="12.75" x14ac:dyDescent="0.2">
      <c r="R47215" s="1288"/>
    </row>
    <row r="47216" spans="18:18" s="2" customFormat="1" ht="12.75" x14ac:dyDescent="0.2">
      <c r="R47216" s="1288"/>
    </row>
    <row r="47217" spans="18:18" s="2" customFormat="1" ht="12.75" x14ac:dyDescent="0.2">
      <c r="R47217" s="1288"/>
    </row>
    <row r="47218" spans="18:18" s="2" customFormat="1" ht="12.75" x14ac:dyDescent="0.2">
      <c r="R47218" s="1288"/>
    </row>
    <row r="47219" spans="18:18" s="2" customFormat="1" ht="12.75" x14ac:dyDescent="0.2">
      <c r="R47219" s="1288"/>
    </row>
    <row r="47220" spans="18:18" s="2" customFormat="1" ht="12.75" x14ac:dyDescent="0.2">
      <c r="R47220" s="1288"/>
    </row>
    <row r="47221" spans="18:18" s="2" customFormat="1" ht="12.75" x14ac:dyDescent="0.2">
      <c r="R47221" s="1288"/>
    </row>
    <row r="47222" spans="18:18" s="2" customFormat="1" ht="12.75" x14ac:dyDescent="0.2">
      <c r="R47222" s="1288"/>
    </row>
    <row r="47223" spans="18:18" s="2" customFormat="1" ht="12.75" x14ac:dyDescent="0.2">
      <c r="R47223" s="1288"/>
    </row>
    <row r="47224" spans="18:18" s="2" customFormat="1" ht="12.75" x14ac:dyDescent="0.2">
      <c r="R47224" s="1288"/>
    </row>
    <row r="47225" spans="18:18" s="2" customFormat="1" ht="12.75" x14ac:dyDescent="0.2">
      <c r="R47225" s="1288"/>
    </row>
    <row r="47226" spans="18:18" s="2" customFormat="1" ht="12.75" x14ac:dyDescent="0.2">
      <c r="R47226" s="1288"/>
    </row>
    <row r="47227" spans="18:18" s="2" customFormat="1" ht="12.75" x14ac:dyDescent="0.2">
      <c r="R47227" s="1288"/>
    </row>
    <row r="47228" spans="18:18" s="2" customFormat="1" ht="12.75" x14ac:dyDescent="0.2">
      <c r="R47228" s="1288"/>
    </row>
    <row r="47229" spans="18:18" s="2" customFormat="1" ht="12.75" x14ac:dyDescent="0.2">
      <c r="R47229" s="1288"/>
    </row>
    <row r="47230" spans="18:18" s="2" customFormat="1" ht="12.75" x14ac:dyDescent="0.2">
      <c r="R47230" s="1288"/>
    </row>
    <row r="47231" spans="18:18" s="2" customFormat="1" ht="12.75" x14ac:dyDescent="0.2">
      <c r="R47231" s="1288"/>
    </row>
    <row r="47232" spans="18:18" s="2" customFormat="1" ht="12.75" x14ac:dyDescent="0.2">
      <c r="R47232" s="1288"/>
    </row>
    <row r="47233" spans="18:18" s="2" customFormat="1" ht="12.75" x14ac:dyDescent="0.2">
      <c r="R47233" s="1288"/>
    </row>
    <row r="47234" spans="18:18" s="2" customFormat="1" ht="12.75" x14ac:dyDescent="0.2">
      <c r="R47234" s="1288"/>
    </row>
    <row r="47235" spans="18:18" s="2" customFormat="1" ht="12.75" x14ac:dyDescent="0.2">
      <c r="R47235" s="1288"/>
    </row>
    <row r="47236" spans="18:18" s="2" customFormat="1" ht="12.75" x14ac:dyDescent="0.2">
      <c r="R47236" s="1288"/>
    </row>
    <row r="47237" spans="18:18" s="2" customFormat="1" ht="12.75" x14ac:dyDescent="0.2">
      <c r="R47237" s="1288"/>
    </row>
    <row r="47238" spans="18:18" s="2" customFormat="1" ht="12.75" x14ac:dyDescent="0.2">
      <c r="R47238" s="1288"/>
    </row>
    <row r="47239" spans="18:18" s="2" customFormat="1" ht="12.75" x14ac:dyDescent="0.2">
      <c r="R47239" s="1288"/>
    </row>
    <row r="47240" spans="18:18" s="2" customFormat="1" ht="12.75" x14ac:dyDescent="0.2">
      <c r="R47240" s="1288"/>
    </row>
    <row r="47241" spans="18:18" s="2" customFormat="1" ht="12.75" x14ac:dyDescent="0.2">
      <c r="R47241" s="1288"/>
    </row>
    <row r="47242" spans="18:18" s="2" customFormat="1" ht="12.75" x14ac:dyDescent="0.2">
      <c r="R47242" s="1288"/>
    </row>
    <row r="47243" spans="18:18" s="2" customFormat="1" ht="12.75" x14ac:dyDescent="0.2">
      <c r="R47243" s="1288"/>
    </row>
    <row r="47244" spans="18:18" s="2" customFormat="1" ht="12.75" x14ac:dyDescent="0.2">
      <c r="R47244" s="1288"/>
    </row>
    <row r="47245" spans="18:18" s="2" customFormat="1" ht="12.75" x14ac:dyDescent="0.2">
      <c r="R47245" s="1288"/>
    </row>
    <row r="47246" spans="18:18" s="2" customFormat="1" ht="12.75" x14ac:dyDescent="0.2">
      <c r="R47246" s="1288"/>
    </row>
    <row r="47247" spans="18:18" s="2" customFormat="1" ht="12.75" x14ac:dyDescent="0.2">
      <c r="R47247" s="1288"/>
    </row>
    <row r="47248" spans="18:18" s="2" customFormat="1" ht="12.75" x14ac:dyDescent="0.2">
      <c r="R47248" s="1288"/>
    </row>
    <row r="47249" spans="18:18" s="2" customFormat="1" ht="12.75" x14ac:dyDescent="0.2">
      <c r="R47249" s="1288"/>
    </row>
    <row r="47250" spans="18:18" s="2" customFormat="1" ht="12.75" x14ac:dyDescent="0.2">
      <c r="R47250" s="1288"/>
    </row>
    <row r="47251" spans="18:18" s="2" customFormat="1" ht="12.75" x14ac:dyDescent="0.2">
      <c r="R47251" s="1288"/>
    </row>
    <row r="47252" spans="18:18" s="2" customFormat="1" ht="12.75" x14ac:dyDescent="0.2">
      <c r="R47252" s="1288"/>
    </row>
    <row r="47253" spans="18:18" s="2" customFormat="1" ht="12.75" x14ac:dyDescent="0.2">
      <c r="R47253" s="1288"/>
    </row>
    <row r="47254" spans="18:18" s="2" customFormat="1" ht="12.75" x14ac:dyDescent="0.2">
      <c r="R47254" s="1288"/>
    </row>
    <row r="47255" spans="18:18" s="2" customFormat="1" ht="12.75" x14ac:dyDescent="0.2">
      <c r="R47255" s="1288"/>
    </row>
    <row r="47256" spans="18:18" s="2" customFormat="1" ht="12.75" x14ac:dyDescent="0.2">
      <c r="R47256" s="1288"/>
    </row>
    <row r="47257" spans="18:18" s="2" customFormat="1" ht="12.75" x14ac:dyDescent="0.2">
      <c r="R47257" s="1288"/>
    </row>
    <row r="47258" spans="18:18" s="2" customFormat="1" ht="12.75" x14ac:dyDescent="0.2">
      <c r="R47258" s="1288"/>
    </row>
    <row r="47259" spans="18:18" s="2" customFormat="1" ht="12.75" x14ac:dyDescent="0.2">
      <c r="R47259" s="1288"/>
    </row>
    <row r="47260" spans="18:18" s="2" customFormat="1" ht="12.75" x14ac:dyDescent="0.2">
      <c r="R47260" s="1288"/>
    </row>
    <row r="47261" spans="18:18" s="2" customFormat="1" ht="12.75" x14ac:dyDescent="0.2">
      <c r="R47261" s="1288"/>
    </row>
    <row r="47262" spans="18:18" s="2" customFormat="1" ht="12.75" x14ac:dyDescent="0.2">
      <c r="R47262" s="1288"/>
    </row>
    <row r="47263" spans="18:18" s="2" customFormat="1" ht="12.75" x14ac:dyDescent="0.2">
      <c r="R47263" s="1288"/>
    </row>
    <row r="47264" spans="18:18" s="2" customFormat="1" ht="12.75" x14ac:dyDescent="0.2">
      <c r="R47264" s="1288"/>
    </row>
    <row r="47265" spans="18:18" s="2" customFormat="1" ht="12.75" x14ac:dyDescent="0.2">
      <c r="R47265" s="1288"/>
    </row>
    <row r="47266" spans="18:18" s="2" customFormat="1" ht="12.75" x14ac:dyDescent="0.2">
      <c r="R47266" s="1288"/>
    </row>
    <row r="47267" spans="18:18" s="2" customFormat="1" ht="12.75" x14ac:dyDescent="0.2">
      <c r="R47267" s="1288"/>
    </row>
    <row r="47268" spans="18:18" s="2" customFormat="1" ht="12.75" x14ac:dyDescent="0.2">
      <c r="R47268" s="1288"/>
    </row>
    <row r="47269" spans="18:18" s="2" customFormat="1" ht="12.75" x14ac:dyDescent="0.2">
      <c r="R47269" s="1288"/>
    </row>
    <row r="47270" spans="18:18" s="2" customFormat="1" ht="12.75" x14ac:dyDescent="0.2">
      <c r="R47270" s="1288"/>
    </row>
    <row r="47271" spans="18:18" s="2" customFormat="1" ht="12.75" x14ac:dyDescent="0.2">
      <c r="R47271" s="1288"/>
    </row>
    <row r="47272" spans="18:18" s="2" customFormat="1" ht="12.75" x14ac:dyDescent="0.2">
      <c r="R47272" s="1288"/>
    </row>
    <row r="47273" spans="18:18" s="2" customFormat="1" ht="12.75" x14ac:dyDescent="0.2">
      <c r="R47273" s="1288"/>
    </row>
    <row r="47274" spans="18:18" s="2" customFormat="1" ht="12.75" x14ac:dyDescent="0.2">
      <c r="R47274" s="1288"/>
    </row>
    <row r="47275" spans="18:18" s="2" customFormat="1" ht="12.75" x14ac:dyDescent="0.2">
      <c r="R47275" s="1288"/>
    </row>
    <row r="47276" spans="18:18" s="2" customFormat="1" ht="12.75" x14ac:dyDescent="0.2">
      <c r="R47276" s="1288"/>
    </row>
    <row r="47277" spans="18:18" s="2" customFormat="1" ht="12.75" x14ac:dyDescent="0.2">
      <c r="R47277" s="1288"/>
    </row>
    <row r="47278" spans="18:18" s="2" customFormat="1" ht="12.75" x14ac:dyDescent="0.2">
      <c r="R47278" s="1288"/>
    </row>
    <row r="47279" spans="18:18" s="2" customFormat="1" ht="12.75" x14ac:dyDescent="0.2">
      <c r="R47279" s="1288"/>
    </row>
    <row r="47280" spans="18:18" s="2" customFormat="1" ht="12.75" x14ac:dyDescent="0.2">
      <c r="R47280" s="1288"/>
    </row>
    <row r="47281" spans="18:18" s="2" customFormat="1" ht="12.75" x14ac:dyDescent="0.2">
      <c r="R47281" s="1288"/>
    </row>
    <row r="47282" spans="18:18" s="2" customFormat="1" ht="12.75" x14ac:dyDescent="0.2">
      <c r="R47282" s="1288"/>
    </row>
    <row r="47283" spans="18:18" s="2" customFormat="1" ht="12.75" x14ac:dyDescent="0.2">
      <c r="R47283" s="1288"/>
    </row>
    <row r="47284" spans="18:18" s="2" customFormat="1" ht="12.75" x14ac:dyDescent="0.2">
      <c r="R47284" s="1288"/>
    </row>
    <row r="47285" spans="18:18" s="2" customFormat="1" ht="12.75" x14ac:dyDescent="0.2">
      <c r="R47285" s="1288"/>
    </row>
    <row r="47286" spans="18:18" s="2" customFormat="1" ht="12.75" x14ac:dyDescent="0.2">
      <c r="R47286" s="1288"/>
    </row>
    <row r="47287" spans="18:18" s="2" customFormat="1" ht="12.75" x14ac:dyDescent="0.2">
      <c r="R47287" s="1288"/>
    </row>
    <row r="47288" spans="18:18" s="2" customFormat="1" ht="12.75" x14ac:dyDescent="0.2">
      <c r="R47288" s="1288"/>
    </row>
    <row r="47289" spans="18:18" s="2" customFormat="1" ht="12.75" x14ac:dyDescent="0.2">
      <c r="R47289" s="1288"/>
    </row>
    <row r="47290" spans="18:18" s="2" customFormat="1" ht="12.75" x14ac:dyDescent="0.2">
      <c r="R47290" s="1288"/>
    </row>
    <row r="47291" spans="18:18" s="2" customFormat="1" ht="12.75" x14ac:dyDescent="0.2">
      <c r="R47291" s="1288"/>
    </row>
    <row r="47292" spans="18:18" s="2" customFormat="1" ht="12.75" x14ac:dyDescent="0.2">
      <c r="R47292" s="1288"/>
    </row>
    <row r="47293" spans="18:18" s="2" customFormat="1" ht="12.75" x14ac:dyDescent="0.2">
      <c r="R47293" s="1288"/>
    </row>
    <row r="47294" spans="18:18" s="2" customFormat="1" ht="12.75" x14ac:dyDescent="0.2">
      <c r="R47294" s="1288"/>
    </row>
    <row r="47295" spans="18:18" s="2" customFormat="1" ht="12.75" x14ac:dyDescent="0.2">
      <c r="R47295" s="1288"/>
    </row>
    <row r="47296" spans="18:18" s="2" customFormat="1" ht="12.75" x14ac:dyDescent="0.2">
      <c r="R47296" s="1288"/>
    </row>
    <row r="47297" spans="18:18" s="2" customFormat="1" ht="12.75" x14ac:dyDescent="0.2">
      <c r="R47297" s="1288"/>
    </row>
    <row r="47298" spans="18:18" s="2" customFormat="1" ht="12.75" x14ac:dyDescent="0.2">
      <c r="R47298" s="1288"/>
    </row>
    <row r="47299" spans="18:18" s="2" customFormat="1" ht="12.75" x14ac:dyDescent="0.2">
      <c r="R47299" s="1288"/>
    </row>
    <row r="47300" spans="18:18" s="2" customFormat="1" ht="12.75" x14ac:dyDescent="0.2">
      <c r="R47300" s="1288"/>
    </row>
    <row r="47301" spans="18:18" s="2" customFormat="1" ht="12.75" x14ac:dyDescent="0.2">
      <c r="R47301" s="1288"/>
    </row>
    <row r="47302" spans="18:18" s="2" customFormat="1" ht="12.75" x14ac:dyDescent="0.2">
      <c r="R47302" s="1288"/>
    </row>
    <row r="47303" spans="18:18" s="2" customFormat="1" ht="12.75" x14ac:dyDescent="0.2">
      <c r="R47303" s="1288"/>
    </row>
    <row r="47304" spans="18:18" s="2" customFormat="1" ht="12.75" x14ac:dyDescent="0.2">
      <c r="R47304" s="1288"/>
    </row>
    <row r="47305" spans="18:18" s="2" customFormat="1" ht="12.75" x14ac:dyDescent="0.2">
      <c r="R47305" s="1288"/>
    </row>
    <row r="47306" spans="18:18" s="2" customFormat="1" ht="12.75" x14ac:dyDescent="0.2">
      <c r="R47306" s="1288"/>
    </row>
    <row r="47307" spans="18:18" s="2" customFormat="1" ht="12.75" x14ac:dyDescent="0.2">
      <c r="R47307" s="1288"/>
    </row>
    <row r="47308" spans="18:18" s="2" customFormat="1" ht="12.75" x14ac:dyDescent="0.2">
      <c r="R47308" s="1288"/>
    </row>
    <row r="47309" spans="18:18" s="2" customFormat="1" ht="12.75" x14ac:dyDescent="0.2">
      <c r="R47309" s="1288"/>
    </row>
    <row r="47310" spans="18:18" s="2" customFormat="1" ht="12.75" x14ac:dyDescent="0.2">
      <c r="R47310" s="1288"/>
    </row>
    <row r="47311" spans="18:18" s="2" customFormat="1" ht="12.75" x14ac:dyDescent="0.2">
      <c r="R47311" s="1288"/>
    </row>
    <row r="47312" spans="18:18" s="2" customFormat="1" ht="12.75" x14ac:dyDescent="0.2">
      <c r="R47312" s="1288"/>
    </row>
    <row r="47313" spans="18:18" s="2" customFormat="1" ht="12.75" x14ac:dyDescent="0.2">
      <c r="R47313" s="1288"/>
    </row>
    <row r="47314" spans="18:18" s="2" customFormat="1" ht="12.75" x14ac:dyDescent="0.2">
      <c r="R47314" s="1288"/>
    </row>
    <row r="47315" spans="18:18" s="2" customFormat="1" ht="12.75" x14ac:dyDescent="0.2">
      <c r="R47315" s="1288"/>
    </row>
    <row r="47316" spans="18:18" s="2" customFormat="1" ht="12.75" x14ac:dyDescent="0.2">
      <c r="R47316" s="1288"/>
    </row>
    <row r="47317" spans="18:18" s="2" customFormat="1" ht="12.75" x14ac:dyDescent="0.2">
      <c r="R47317" s="1288"/>
    </row>
    <row r="47318" spans="18:18" s="2" customFormat="1" ht="12.75" x14ac:dyDescent="0.2">
      <c r="R47318" s="1288"/>
    </row>
    <row r="47319" spans="18:18" s="2" customFormat="1" ht="12.75" x14ac:dyDescent="0.2">
      <c r="R47319" s="1288"/>
    </row>
    <row r="47320" spans="18:18" s="2" customFormat="1" ht="12.75" x14ac:dyDescent="0.2">
      <c r="R47320" s="1288"/>
    </row>
    <row r="47321" spans="18:18" s="2" customFormat="1" ht="12.75" x14ac:dyDescent="0.2">
      <c r="R47321" s="1288"/>
    </row>
    <row r="47322" spans="18:18" s="2" customFormat="1" ht="12.75" x14ac:dyDescent="0.2">
      <c r="R47322" s="1288"/>
    </row>
    <row r="47323" spans="18:18" s="2" customFormat="1" ht="12.75" x14ac:dyDescent="0.2">
      <c r="R47323" s="1288"/>
    </row>
    <row r="47324" spans="18:18" s="2" customFormat="1" ht="12.75" x14ac:dyDescent="0.2">
      <c r="R47324" s="1288"/>
    </row>
    <row r="47325" spans="18:18" s="2" customFormat="1" ht="12.75" x14ac:dyDescent="0.2">
      <c r="R47325" s="1288"/>
    </row>
    <row r="47326" spans="18:18" s="2" customFormat="1" ht="12.75" x14ac:dyDescent="0.2">
      <c r="R47326" s="1288"/>
    </row>
    <row r="47327" spans="18:18" s="2" customFormat="1" ht="12.75" x14ac:dyDescent="0.2">
      <c r="R47327" s="1288"/>
    </row>
    <row r="47328" spans="18:18" s="2" customFormat="1" ht="12.75" x14ac:dyDescent="0.2">
      <c r="R47328" s="1288"/>
    </row>
    <row r="47329" spans="18:18" s="2" customFormat="1" ht="12.75" x14ac:dyDescent="0.2">
      <c r="R47329" s="1288"/>
    </row>
    <row r="47330" spans="18:18" s="2" customFormat="1" ht="12.75" x14ac:dyDescent="0.2">
      <c r="R47330" s="1288"/>
    </row>
    <row r="47331" spans="18:18" s="2" customFormat="1" ht="12.75" x14ac:dyDescent="0.2">
      <c r="R47331" s="1288"/>
    </row>
    <row r="47332" spans="18:18" s="2" customFormat="1" ht="12.75" x14ac:dyDescent="0.2">
      <c r="R47332" s="1288"/>
    </row>
    <row r="47333" spans="18:18" s="2" customFormat="1" ht="12.75" x14ac:dyDescent="0.2">
      <c r="R47333" s="1288"/>
    </row>
    <row r="47334" spans="18:18" s="2" customFormat="1" ht="12.75" x14ac:dyDescent="0.2">
      <c r="R47334" s="1288"/>
    </row>
    <row r="47335" spans="18:18" s="2" customFormat="1" ht="12.75" x14ac:dyDescent="0.2">
      <c r="R47335" s="1288"/>
    </row>
    <row r="47336" spans="18:18" s="2" customFormat="1" ht="12.75" x14ac:dyDescent="0.2">
      <c r="R47336" s="1288"/>
    </row>
    <row r="47337" spans="18:18" s="2" customFormat="1" ht="12.75" x14ac:dyDescent="0.2">
      <c r="R47337" s="1288"/>
    </row>
    <row r="47338" spans="18:18" s="2" customFormat="1" ht="12.75" x14ac:dyDescent="0.2">
      <c r="R47338" s="1288"/>
    </row>
    <row r="47339" spans="18:18" s="2" customFormat="1" ht="12.75" x14ac:dyDescent="0.2">
      <c r="R47339" s="1288"/>
    </row>
    <row r="47340" spans="18:18" s="2" customFormat="1" ht="12.75" x14ac:dyDescent="0.2">
      <c r="R47340" s="1288"/>
    </row>
    <row r="47341" spans="18:18" s="2" customFormat="1" ht="12.75" x14ac:dyDescent="0.2">
      <c r="R47341" s="1288"/>
    </row>
    <row r="47342" spans="18:18" s="2" customFormat="1" ht="12.75" x14ac:dyDescent="0.2">
      <c r="R47342" s="1288"/>
    </row>
    <row r="47343" spans="18:18" s="2" customFormat="1" ht="12.75" x14ac:dyDescent="0.2">
      <c r="R47343" s="1288"/>
    </row>
    <row r="47344" spans="18:18" s="2" customFormat="1" ht="12.75" x14ac:dyDescent="0.2">
      <c r="R47344" s="1288"/>
    </row>
    <row r="47345" spans="18:18" s="2" customFormat="1" ht="12.75" x14ac:dyDescent="0.2">
      <c r="R47345" s="1288"/>
    </row>
    <row r="47346" spans="18:18" s="2" customFormat="1" ht="12.75" x14ac:dyDescent="0.2">
      <c r="R47346" s="1288"/>
    </row>
    <row r="47347" spans="18:18" s="2" customFormat="1" ht="12.75" x14ac:dyDescent="0.2">
      <c r="R47347" s="1288"/>
    </row>
    <row r="47348" spans="18:18" s="2" customFormat="1" ht="12.75" x14ac:dyDescent="0.2">
      <c r="R47348" s="1288"/>
    </row>
    <row r="47349" spans="18:18" s="2" customFormat="1" ht="12.75" x14ac:dyDescent="0.2">
      <c r="R47349" s="1288"/>
    </row>
    <row r="47350" spans="18:18" s="2" customFormat="1" ht="12.75" x14ac:dyDescent="0.2">
      <c r="R47350" s="1288"/>
    </row>
    <row r="47351" spans="18:18" s="2" customFormat="1" ht="12.75" x14ac:dyDescent="0.2">
      <c r="R47351" s="1288"/>
    </row>
    <row r="47352" spans="18:18" s="2" customFormat="1" ht="12.75" x14ac:dyDescent="0.2">
      <c r="R47352" s="1288"/>
    </row>
    <row r="47353" spans="18:18" s="2" customFormat="1" ht="12.75" x14ac:dyDescent="0.2">
      <c r="R47353" s="1288"/>
    </row>
    <row r="47354" spans="18:18" s="2" customFormat="1" ht="12.75" x14ac:dyDescent="0.2">
      <c r="R47354" s="1288"/>
    </row>
    <row r="47355" spans="18:18" s="2" customFormat="1" ht="12.75" x14ac:dyDescent="0.2">
      <c r="R47355" s="1288"/>
    </row>
    <row r="47356" spans="18:18" s="2" customFormat="1" ht="12.75" x14ac:dyDescent="0.2">
      <c r="R47356" s="1288"/>
    </row>
    <row r="47357" spans="18:18" s="2" customFormat="1" ht="12.75" x14ac:dyDescent="0.2">
      <c r="R47357" s="1288"/>
    </row>
    <row r="47358" spans="18:18" s="2" customFormat="1" ht="12.75" x14ac:dyDescent="0.2">
      <c r="R47358" s="1288"/>
    </row>
    <row r="47359" spans="18:18" s="2" customFormat="1" ht="12.75" x14ac:dyDescent="0.2">
      <c r="R47359" s="1288"/>
    </row>
    <row r="47360" spans="18:18" s="2" customFormat="1" ht="12.75" x14ac:dyDescent="0.2">
      <c r="R47360" s="1288"/>
    </row>
    <row r="47361" spans="18:18" s="2" customFormat="1" ht="12.75" x14ac:dyDescent="0.2">
      <c r="R47361" s="1288"/>
    </row>
    <row r="47362" spans="18:18" s="2" customFormat="1" ht="12.75" x14ac:dyDescent="0.2">
      <c r="R47362" s="1288"/>
    </row>
    <row r="47363" spans="18:18" s="2" customFormat="1" ht="12.75" x14ac:dyDescent="0.2">
      <c r="R47363" s="1288"/>
    </row>
    <row r="47364" spans="18:18" s="2" customFormat="1" ht="12.75" x14ac:dyDescent="0.2">
      <c r="R47364" s="1288"/>
    </row>
    <row r="47365" spans="18:18" s="2" customFormat="1" ht="12.75" x14ac:dyDescent="0.2">
      <c r="R47365" s="1288"/>
    </row>
    <row r="47366" spans="18:18" s="2" customFormat="1" ht="12.75" x14ac:dyDescent="0.2">
      <c r="R47366" s="1288"/>
    </row>
    <row r="47367" spans="18:18" s="2" customFormat="1" ht="12.75" x14ac:dyDescent="0.2">
      <c r="R47367" s="1288"/>
    </row>
    <row r="47368" spans="18:18" s="2" customFormat="1" ht="12.75" x14ac:dyDescent="0.2">
      <c r="R47368" s="1288"/>
    </row>
    <row r="47369" spans="18:18" s="2" customFormat="1" ht="12.75" x14ac:dyDescent="0.2">
      <c r="R47369" s="1288"/>
    </row>
    <row r="47370" spans="18:18" s="2" customFormat="1" ht="12.75" x14ac:dyDescent="0.2">
      <c r="R47370" s="1288"/>
    </row>
    <row r="47371" spans="18:18" s="2" customFormat="1" ht="12.75" x14ac:dyDescent="0.2">
      <c r="R47371" s="1288"/>
    </row>
    <row r="47372" spans="18:18" s="2" customFormat="1" ht="12.75" x14ac:dyDescent="0.2">
      <c r="R47372" s="1288"/>
    </row>
    <row r="47373" spans="18:18" s="2" customFormat="1" ht="12.75" x14ac:dyDescent="0.2">
      <c r="R47373" s="1288"/>
    </row>
    <row r="47374" spans="18:18" s="2" customFormat="1" ht="12.75" x14ac:dyDescent="0.2">
      <c r="R47374" s="1288"/>
    </row>
    <row r="47375" spans="18:18" s="2" customFormat="1" ht="12.75" x14ac:dyDescent="0.2">
      <c r="R47375" s="1288"/>
    </row>
    <row r="47376" spans="18:18" s="2" customFormat="1" ht="12.75" x14ac:dyDescent="0.2">
      <c r="R47376" s="1288"/>
    </row>
    <row r="47377" spans="18:18" s="2" customFormat="1" ht="12.75" x14ac:dyDescent="0.2">
      <c r="R47377" s="1288"/>
    </row>
    <row r="47378" spans="18:18" s="2" customFormat="1" ht="12.75" x14ac:dyDescent="0.2">
      <c r="R47378" s="1288"/>
    </row>
    <row r="47379" spans="18:18" s="2" customFormat="1" ht="12.75" x14ac:dyDescent="0.2">
      <c r="R47379" s="1288"/>
    </row>
    <row r="47380" spans="18:18" s="2" customFormat="1" ht="12.75" x14ac:dyDescent="0.2">
      <c r="R47380" s="1288"/>
    </row>
    <row r="47381" spans="18:18" s="2" customFormat="1" ht="12.75" x14ac:dyDescent="0.2">
      <c r="R47381" s="1288"/>
    </row>
    <row r="47382" spans="18:18" s="2" customFormat="1" ht="12.75" x14ac:dyDescent="0.2">
      <c r="R47382" s="1288"/>
    </row>
    <row r="47383" spans="18:18" s="2" customFormat="1" ht="12.75" x14ac:dyDescent="0.2">
      <c r="R47383" s="1288"/>
    </row>
    <row r="47384" spans="18:18" s="2" customFormat="1" ht="12.75" x14ac:dyDescent="0.2">
      <c r="R47384" s="1288"/>
    </row>
    <row r="47385" spans="18:18" s="2" customFormat="1" ht="12.75" x14ac:dyDescent="0.2">
      <c r="R47385" s="1288"/>
    </row>
    <row r="47386" spans="18:18" s="2" customFormat="1" ht="12.75" x14ac:dyDescent="0.2">
      <c r="R47386" s="1288"/>
    </row>
    <row r="47387" spans="18:18" s="2" customFormat="1" ht="12.75" x14ac:dyDescent="0.2">
      <c r="R47387" s="1288"/>
    </row>
    <row r="47388" spans="18:18" s="2" customFormat="1" ht="12.75" x14ac:dyDescent="0.2">
      <c r="R47388" s="1288"/>
    </row>
    <row r="47389" spans="18:18" s="2" customFormat="1" ht="12.75" x14ac:dyDescent="0.2">
      <c r="R47389" s="1288"/>
    </row>
    <row r="47390" spans="18:18" s="2" customFormat="1" ht="12.75" x14ac:dyDescent="0.2">
      <c r="R47390" s="1288"/>
    </row>
    <row r="47391" spans="18:18" s="2" customFormat="1" ht="12.75" x14ac:dyDescent="0.2">
      <c r="R47391" s="1288"/>
    </row>
    <row r="47392" spans="18:18" s="2" customFormat="1" ht="12.75" x14ac:dyDescent="0.2">
      <c r="R47392" s="1288"/>
    </row>
    <row r="47393" spans="18:18" s="2" customFormat="1" ht="12.75" x14ac:dyDescent="0.2">
      <c r="R47393" s="1288"/>
    </row>
    <row r="47394" spans="18:18" s="2" customFormat="1" ht="12.75" x14ac:dyDescent="0.2">
      <c r="R47394" s="1288"/>
    </row>
    <row r="47395" spans="18:18" s="2" customFormat="1" ht="12.75" x14ac:dyDescent="0.2">
      <c r="R47395" s="1288"/>
    </row>
    <row r="47396" spans="18:18" s="2" customFormat="1" ht="12.75" x14ac:dyDescent="0.2">
      <c r="R47396" s="1288"/>
    </row>
    <row r="47397" spans="18:18" s="2" customFormat="1" ht="12.75" x14ac:dyDescent="0.2">
      <c r="R47397" s="1288"/>
    </row>
    <row r="47398" spans="18:18" s="2" customFormat="1" ht="12.75" x14ac:dyDescent="0.2">
      <c r="R47398" s="1288"/>
    </row>
    <row r="47399" spans="18:18" s="2" customFormat="1" ht="12.75" x14ac:dyDescent="0.2">
      <c r="R47399" s="1288"/>
    </row>
    <row r="47400" spans="18:18" s="2" customFormat="1" ht="12.75" x14ac:dyDescent="0.2">
      <c r="R47400" s="1288"/>
    </row>
    <row r="47401" spans="18:18" s="2" customFormat="1" ht="12.75" x14ac:dyDescent="0.2">
      <c r="R47401" s="1288"/>
    </row>
    <row r="47402" spans="18:18" s="2" customFormat="1" ht="12.75" x14ac:dyDescent="0.2">
      <c r="R47402" s="1288"/>
    </row>
    <row r="47403" spans="18:18" s="2" customFormat="1" ht="12.75" x14ac:dyDescent="0.2">
      <c r="R47403" s="1288"/>
    </row>
    <row r="47404" spans="18:18" s="2" customFormat="1" ht="12.75" x14ac:dyDescent="0.2">
      <c r="R47404" s="1288"/>
    </row>
    <row r="47405" spans="18:18" s="2" customFormat="1" ht="12.75" x14ac:dyDescent="0.2">
      <c r="R47405" s="1288"/>
    </row>
    <row r="47406" spans="18:18" s="2" customFormat="1" ht="12.75" x14ac:dyDescent="0.2">
      <c r="R47406" s="1288"/>
    </row>
    <row r="47407" spans="18:18" s="2" customFormat="1" ht="12.75" x14ac:dyDescent="0.2">
      <c r="R47407" s="1288"/>
    </row>
    <row r="47408" spans="18:18" s="2" customFormat="1" ht="12.75" x14ac:dyDescent="0.2">
      <c r="R47408" s="1288"/>
    </row>
    <row r="47409" spans="18:18" s="2" customFormat="1" ht="12.75" x14ac:dyDescent="0.2">
      <c r="R47409" s="1288"/>
    </row>
    <row r="47410" spans="18:18" s="2" customFormat="1" ht="12.75" x14ac:dyDescent="0.2">
      <c r="R47410" s="1288"/>
    </row>
    <row r="47411" spans="18:18" s="2" customFormat="1" ht="12.75" x14ac:dyDescent="0.2">
      <c r="R47411" s="1288"/>
    </row>
    <row r="47412" spans="18:18" s="2" customFormat="1" ht="12.75" x14ac:dyDescent="0.2">
      <c r="R47412" s="1288"/>
    </row>
    <row r="47413" spans="18:18" s="2" customFormat="1" ht="12.75" x14ac:dyDescent="0.2">
      <c r="R47413" s="1288"/>
    </row>
    <row r="47414" spans="18:18" s="2" customFormat="1" ht="12.75" x14ac:dyDescent="0.2">
      <c r="R47414" s="1288"/>
    </row>
    <row r="47415" spans="18:18" s="2" customFormat="1" ht="12.75" x14ac:dyDescent="0.2">
      <c r="R47415" s="1288"/>
    </row>
    <row r="47416" spans="18:18" s="2" customFormat="1" ht="12.75" x14ac:dyDescent="0.2">
      <c r="R47416" s="1288"/>
    </row>
    <row r="47417" spans="18:18" s="2" customFormat="1" ht="12.75" x14ac:dyDescent="0.2">
      <c r="R47417" s="1288"/>
    </row>
    <row r="47418" spans="18:18" s="2" customFormat="1" ht="12.75" x14ac:dyDescent="0.2">
      <c r="R47418" s="1288"/>
    </row>
    <row r="47419" spans="18:18" s="2" customFormat="1" ht="12.75" x14ac:dyDescent="0.2">
      <c r="R47419" s="1288"/>
    </row>
    <row r="47420" spans="18:18" s="2" customFormat="1" ht="12.75" x14ac:dyDescent="0.2">
      <c r="R47420" s="1288"/>
    </row>
    <row r="47421" spans="18:18" s="2" customFormat="1" ht="12.75" x14ac:dyDescent="0.2">
      <c r="R47421" s="1288"/>
    </row>
    <row r="47422" spans="18:18" s="2" customFormat="1" ht="12.75" x14ac:dyDescent="0.2">
      <c r="R47422" s="1288"/>
    </row>
    <row r="47423" spans="18:18" s="2" customFormat="1" ht="12.75" x14ac:dyDescent="0.2">
      <c r="R47423" s="1288"/>
    </row>
    <row r="47424" spans="18:18" s="2" customFormat="1" ht="12.75" x14ac:dyDescent="0.2">
      <c r="R47424" s="1288"/>
    </row>
    <row r="47425" spans="18:18" s="2" customFormat="1" ht="12.75" x14ac:dyDescent="0.2">
      <c r="R47425" s="1288"/>
    </row>
    <row r="47426" spans="18:18" s="2" customFormat="1" ht="12.75" x14ac:dyDescent="0.2">
      <c r="R47426" s="1288"/>
    </row>
    <row r="47427" spans="18:18" s="2" customFormat="1" ht="12.75" x14ac:dyDescent="0.2">
      <c r="R47427" s="1288"/>
    </row>
    <row r="47428" spans="18:18" s="2" customFormat="1" ht="12.75" x14ac:dyDescent="0.2">
      <c r="R47428" s="1288"/>
    </row>
    <row r="47429" spans="18:18" s="2" customFormat="1" ht="12.75" x14ac:dyDescent="0.2">
      <c r="R47429" s="1288"/>
    </row>
    <row r="47430" spans="18:18" s="2" customFormat="1" ht="12.75" x14ac:dyDescent="0.2">
      <c r="R47430" s="1288"/>
    </row>
    <row r="47431" spans="18:18" s="2" customFormat="1" ht="12.75" x14ac:dyDescent="0.2">
      <c r="R47431" s="1288"/>
    </row>
    <row r="47432" spans="18:18" s="2" customFormat="1" ht="12.75" x14ac:dyDescent="0.2">
      <c r="R47432" s="1288"/>
    </row>
    <row r="47433" spans="18:18" s="2" customFormat="1" ht="12.75" x14ac:dyDescent="0.2">
      <c r="R47433" s="1288"/>
    </row>
    <row r="47434" spans="18:18" s="2" customFormat="1" ht="12.75" x14ac:dyDescent="0.2">
      <c r="R47434" s="1288"/>
    </row>
    <row r="47435" spans="18:18" s="2" customFormat="1" ht="12.75" x14ac:dyDescent="0.2">
      <c r="R47435" s="1288"/>
    </row>
    <row r="47436" spans="18:18" s="2" customFormat="1" ht="12.75" x14ac:dyDescent="0.2">
      <c r="R47436" s="1288"/>
    </row>
    <row r="47437" spans="18:18" s="2" customFormat="1" ht="12.75" x14ac:dyDescent="0.2">
      <c r="R47437" s="1288"/>
    </row>
    <row r="47438" spans="18:18" s="2" customFormat="1" ht="12.75" x14ac:dyDescent="0.2">
      <c r="R47438" s="1288"/>
    </row>
    <row r="47439" spans="18:18" s="2" customFormat="1" ht="12.75" x14ac:dyDescent="0.2">
      <c r="R47439" s="1288"/>
    </row>
    <row r="47440" spans="18:18" s="2" customFormat="1" ht="12.75" x14ac:dyDescent="0.2">
      <c r="R47440" s="1288"/>
    </row>
    <row r="47441" spans="18:18" s="2" customFormat="1" ht="12.75" x14ac:dyDescent="0.2">
      <c r="R47441" s="1288"/>
    </row>
    <row r="47442" spans="18:18" s="2" customFormat="1" ht="12.75" x14ac:dyDescent="0.2">
      <c r="R47442" s="1288"/>
    </row>
    <row r="47443" spans="18:18" s="2" customFormat="1" ht="12.75" x14ac:dyDescent="0.2">
      <c r="R47443" s="1288"/>
    </row>
    <row r="47444" spans="18:18" s="2" customFormat="1" ht="12.75" x14ac:dyDescent="0.2">
      <c r="R47444" s="1288"/>
    </row>
    <row r="47445" spans="18:18" s="2" customFormat="1" ht="12.75" x14ac:dyDescent="0.2">
      <c r="R47445" s="1288"/>
    </row>
    <row r="47446" spans="18:18" s="2" customFormat="1" ht="12.75" x14ac:dyDescent="0.2">
      <c r="R47446" s="1288"/>
    </row>
    <row r="47447" spans="18:18" s="2" customFormat="1" ht="12.75" x14ac:dyDescent="0.2">
      <c r="R47447" s="1288"/>
    </row>
    <row r="47448" spans="18:18" s="2" customFormat="1" ht="12.75" x14ac:dyDescent="0.2">
      <c r="R47448" s="1288"/>
    </row>
    <row r="47449" spans="18:18" s="2" customFormat="1" ht="12.75" x14ac:dyDescent="0.2">
      <c r="R47449" s="1288"/>
    </row>
    <row r="47450" spans="18:18" s="2" customFormat="1" ht="12.75" x14ac:dyDescent="0.2">
      <c r="R47450" s="1288"/>
    </row>
    <row r="47451" spans="18:18" s="2" customFormat="1" ht="12.75" x14ac:dyDescent="0.2">
      <c r="R47451" s="1288"/>
    </row>
    <row r="47452" spans="18:18" s="2" customFormat="1" ht="12.75" x14ac:dyDescent="0.2">
      <c r="R47452" s="1288"/>
    </row>
    <row r="47453" spans="18:18" s="2" customFormat="1" ht="12.75" x14ac:dyDescent="0.2">
      <c r="R47453" s="1288"/>
    </row>
    <row r="47454" spans="18:18" s="2" customFormat="1" ht="12.75" x14ac:dyDescent="0.2">
      <c r="R47454" s="1288"/>
    </row>
    <row r="47455" spans="18:18" s="2" customFormat="1" ht="12.75" x14ac:dyDescent="0.2">
      <c r="R47455" s="1288"/>
    </row>
    <row r="47456" spans="18:18" s="2" customFormat="1" ht="12.75" x14ac:dyDescent="0.2">
      <c r="R47456" s="1288"/>
    </row>
    <row r="47457" spans="18:18" s="2" customFormat="1" ht="12.75" x14ac:dyDescent="0.2">
      <c r="R47457" s="1288"/>
    </row>
    <row r="47458" spans="18:18" s="2" customFormat="1" ht="12.75" x14ac:dyDescent="0.2">
      <c r="R47458" s="1288"/>
    </row>
    <row r="47459" spans="18:18" s="2" customFormat="1" ht="12.75" x14ac:dyDescent="0.2">
      <c r="R47459" s="1288"/>
    </row>
    <row r="47460" spans="18:18" s="2" customFormat="1" ht="12.75" x14ac:dyDescent="0.2">
      <c r="R47460" s="1288"/>
    </row>
    <row r="47461" spans="18:18" s="2" customFormat="1" ht="12.75" x14ac:dyDescent="0.2">
      <c r="R47461" s="1288"/>
    </row>
    <row r="47462" spans="18:18" s="2" customFormat="1" ht="12.75" x14ac:dyDescent="0.2">
      <c r="R47462" s="1288"/>
    </row>
    <row r="47463" spans="18:18" s="2" customFormat="1" ht="12.75" x14ac:dyDescent="0.2">
      <c r="R47463" s="1288"/>
    </row>
    <row r="47464" spans="18:18" s="2" customFormat="1" ht="12.75" x14ac:dyDescent="0.2">
      <c r="R47464" s="1288"/>
    </row>
    <row r="47465" spans="18:18" s="2" customFormat="1" ht="12.75" x14ac:dyDescent="0.2">
      <c r="R47465" s="1288"/>
    </row>
    <row r="47466" spans="18:18" s="2" customFormat="1" ht="12.75" x14ac:dyDescent="0.2">
      <c r="R47466" s="1288"/>
    </row>
    <row r="47467" spans="18:18" s="2" customFormat="1" ht="12.75" x14ac:dyDescent="0.2">
      <c r="R47467" s="1288"/>
    </row>
    <row r="47468" spans="18:18" s="2" customFormat="1" ht="12.75" x14ac:dyDescent="0.2">
      <c r="R47468" s="1288"/>
    </row>
    <row r="47469" spans="18:18" s="2" customFormat="1" ht="12.75" x14ac:dyDescent="0.2">
      <c r="R47469" s="1288"/>
    </row>
    <row r="47470" spans="18:18" s="2" customFormat="1" ht="12.75" x14ac:dyDescent="0.2">
      <c r="R47470" s="1288"/>
    </row>
    <row r="47471" spans="18:18" s="2" customFormat="1" ht="12.75" x14ac:dyDescent="0.2">
      <c r="R47471" s="1288"/>
    </row>
    <row r="47472" spans="18:18" s="2" customFormat="1" ht="12.75" x14ac:dyDescent="0.2">
      <c r="R47472" s="1288"/>
    </row>
    <row r="47473" spans="18:18" s="2" customFormat="1" ht="12.75" x14ac:dyDescent="0.2">
      <c r="R47473" s="1288"/>
    </row>
    <row r="47474" spans="18:18" s="2" customFormat="1" ht="12.75" x14ac:dyDescent="0.2">
      <c r="R47474" s="1288"/>
    </row>
    <row r="47475" spans="18:18" s="2" customFormat="1" ht="12.75" x14ac:dyDescent="0.2">
      <c r="R47475" s="1288"/>
    </row>
    <row r="47476" spans="18:18" s="2" customFormat="1" ht="12.75" x14ac:dyDescent="0.2">
      <c r="R47476" s="1288"/>
    </row>
    <row r="47477" spans="18:18" s="2" customFormat="1" ht="12.75" x14ac:dyDescent="0.2">
      <c r="R47477" s="1288"/>
    </row>
    <row r="47478" spans="18:18" s="2" customFormat="1" ht="12.75" x14ac:dyDescent="0.2">
      <c r="R47478" s="1288"/>
    </row>
    <row r="47479" spans="18:18" s="2" customFormat="1" ht="12.75" x14ac:dyDescent="0.2">
      <c r="R47479" s="1288"/>
    </row>
    <row r="47480" spans="18:18" s="2" customFormat="1" ht="12.75" x14ac:dyDescent="0.2">
      <c r="R47480" s="1288"/>
    </row>
    <row r="47481" spans="18:18" s="2" customFormat="1" ht="12.75" x14ac:dyDescent="0.2">
      <c r="R47481" s="1288"/>
    </row>
    <row r="47482" spans="18:18" s="2" customFormat="1" ht="12.75" x14ac:dyDescent="0.2">
      <c r="R47482" s="1288"/>
    </row>
    <row r="47483" spans="18:18" s="2" customFormat="1" ht="12.75" x14ac:dyDescent="0.2">
      <c r="R47483" s="1288"/>
    </row>
    <row r="47484" spans="18:18" s="2" customFormat="1" ht="12.75" x14ac:dyDescent="0.2">
      <c r="R47484" s="1288"/>
    </row>
    <row r="47485" spans="18:18" s="2" customFormat="1" ht="12.75" x14ac:dyDescent="0.2">
      <c r="R47485" s="1288"/>
    </row>
    <row r="47486" spans="18:18" s="2" customFormat="1" ht="12.75" x14ac:dyDescent="0.2">
      <c r="R47486" s="1288"/>
    </row>
    <row r="47487" spans="18:18" s="2" customFormat="1" ht="12.75" x14ac:dyDescent="0.2">
      <c r="R47487" s="1288"/>
    </row>
    <row r="47488" spans="18:18" s="2" customFormat="1" ht="12.75" x14ac:dyDescent="0.2">
      <c r="R47488" s="1288"/>
    </row>
    <row r="47489" spans="18:18" s="2" customFormat="1" ht="12.75" x14ac:dyDescent="0.2">
      <c r="R47489" s="1288"/>
    </row>
    <row r="47490" spans="18:18" s="2" customFormat="1" ht="12.75" x14ac:dyDescent="0.2">
      <c r="R47490" s="1288"/>
    </row>
    <row r="47491" spans="18:18" s="2" customFormat="1" ht="12.75" x14ac:dyDescent="0.2">
      <c r="R47491" s="1288"/>
    </row>
    <row r="47492" spans="18:18" s="2" customFormat="1" ht="12.75" x14ac:dyDescent="0.2">
      <c r="R47492" s="1288"/>
    </row>
    <row r="47493" spans="18:18" s="2" customFormat="1" ht="12.75" x14ac:dyDescent="0.2">
      <c r="R47493" s="1288"/>
    </row>
    <row r="47494" spans="18:18" s="2" customFormat="1" ht="12.75" x14ac:dyDescent="0.2">
      <c r="R47494" s="1288"/>
    </row>
    <row r="47495" spans="18:18" s="2" customFormat="1" ht="12.75" x14ac:dyDescent="0.2">
      <c r="R47495" s="1288"/>
    </row>
    <row r="47496" spans="18:18" s="2" customFormat="1" ht="12.75" x14ac:dyDescent="0.2">
      <c r="R47496" s="1288"/>
    </row>
    <row r="47497" spans="18:18" s="2" customFormat="1" ht="12.75" x14ac:dyDescent="0.2">
      <c r="R47497" s="1288"/>
    </row>
    <row r="47498" spans="18:18" s="2" customFormat="1" ht="12.75" x14ac:dyDescent="0.2">
      <c r="R47498" s="1288"/>
    </row>
    <row r="47499" spans="18:18" s="2" customFormat="1" ht="12.75" x14ac:dyDescent="0.2">
      <c r="R47499" s="1288"/>
    </row>
    <row r="47500" spans="18:18" s="2" customFormat="1" ht="12.75" x14ac:dyDescent="0.2">
      <c r="R47500" s="1288"/>
    </row>
    <row r="47501" spans="18:18" s="2" customFormat="1" ht="12.75" x14ac:dyDescent="0.2">
      <c r="R47501" s="1288"/>
    </row>
    <row r="47502" spans="18:18" s="2" customFormat="1" ht="12.75" x14ac:dyDescent="0.2">
      <c r="R47502" s="1288"/>
    </row>
    <row r="47503" spans="18:18" s="2" customFormat="1" ht="12.75" x14ac:dyDescent="0.2">
      <c r="R47503" s="1288"/>
    </row>
    <row r="47504" spans="18:18" s="2" customFormat="1" ht="12.75" x14ac:dyDescent="0.2">
      <c r="R47504" s="1288"/>
    </row>
    <row r="47505" spans="18:18" s="2" customFormat="1" ht="12.75" x14ac:dyDescent="0.2">
      <c r="R47505" s="1288"/>
    </row>
    <row r="47506" spans="18:18" s="2" customFormat="1" ht="12.75" x14ac:dyDescent="0.2">
      <c r="R47506" s="1288"/>
    </row>
    <row r="47507" spans="18:18" s="2" customFormat="1" ht="12.75" x14ac:dyDescent="0.2">
      <c r="R47507" s="1288"/>
    </row>
    <row r="47508" spans="18:18" s="2" customFormat="1" ht="12.75" x14ac:dyDescent="0.2">
      <c r="R47508" s="1288"/>
    </row>
    <row r="47509" spans="18:18" s="2" customFormat="1" ht="12.75" x14ac:dyDescent="0.2">
      <c r="R47509" s="1288"/>
    </row>
    <row r="47510" spans="18:18" s="2" customFormat="1" ht="12.75" x14ac:dyDescent="0.2">
      <c r="R47510" s="1288"/>
    </row>
    <row r="47511" spans="18:18" s="2" customFormat="1" ht="12.75" x14ac:dyDescent="0.2">
      <c r="R47511" s="1288"/>
    </row>
    <row r="47512" spans="18:18" s="2" customFormat="1" ht="12.75" x14ac:dyDescent="0.2">
      <c r="R47512" s="1288"/>
    </row>
    <row r="47513" spans="18:18" s="2" customFormat="1" ht="12.75" x14ac:dyDescent="0.2">
      <c r="R47513" s="1288"/>
    </row>
    <row r="47514" spans="18:18" s="2" customFormat="1" ht="12.75" x14ac:dyDescent="0.2">
      <c r="R47514" s="1288"/>
    </row>
    <row r="47515" spans="18:18" s="2" customFormat="1" ht="12.75" x14ac:dyDescent="0.2">
      <c r="R47515" s="1288"/>
    </row>
    <row r="47516" spans="18:18" s="2" customFormat="1" ht="12.75" x14ac:dyDescent="0.2">
      <c r="R47516" s="1288"/>
    </row>
    <row r="47517" spans="18:18" s="2" customFormat="1" ht="12.75" x14ac:dyDescent="0.2">
      <c r="R47517" s="1288"/>
    </row>
    <row r="47518" spans="18:18" s="2" customFormat="1" ht="12.75" x14ac:dyDescent="0.2">
      <c r="R47518" s="1288"/>
    </row>
    <row r="47519" spans="18:18" s="2" customFormat="1" ht="12.75" x14ac:dyDescent="0.2">
      <c r="R47519" s="1288"/>
    </row>
    <row r="47520" spans="18:18" s="2" customFormat="1" ht="12.75" x14ac:dyDescent="0.2">
      <c r="R47520" s="1288"/>
    </row>
    <row r="47521" spans="18:18" s="2" customFormat="1" ht="12.75" x14ac:dyDescent="0.2">
      <c r="R47521" s="1288"/>
    </row>
    <row r="47522" spans="18:18" s="2" customFormat="1" ht="12.75" x14ac:dyDescent="0.2">
      <c r="R47522" s="1288"/>
    </row>
    <row r="47523" spans="18:18" s="2" customFormat="1" ht="12.75" x14ac:dyDescent="0.2">
      <c r="R47523" s="1288"/>
    </row>
    <row r="47524" spans="18:18" s="2" customFormat="1" ht="12.75" x14ac:dyDescent="0.2">
      <c r="R47524" s="1288"/>
    </row>
    <row r="47525" spans="18:18" s="2" customFormat="1" ht="12.75" x14ac:dyDescent="0.2">
      <c r="R47525" s="1288"/>
    </row>
    <row r="47526" spans="18:18" s="2" customFormat="1" ht="12.75" x14ac:dyDescent="0.2">
      <c r="R47526" s="1288"/>
    </row>
    <row r="47527" spans="18:18" s="2" customFormat="1" ht="12.75" x14ac:dyDescent="0.2">
      <c r="R47527" s="1288"/>
    </row>
    <row r="47528" spans="18:18" s="2" customFormat="1" ht="12.75" x14ac:dyDescent="0.2">
      <c r="R47528" s="1288"/>
    </row>
    <row r="47529" spans="18:18" s="2" customFormat="1" ht="12.75" x14ac:dyDescent="0.2">
      <c r="R47529" s="1288"/>
    </row>
    <row r="47530" spans="18:18" s="2" customFormat="1" ht="12.75" x14ac:dyDescent="0.2">
      <c r="R47530" s="1288"/>
    </row>
    <row r="47531" spans="18:18" s="2" customFormat="1" ht="12.75" x14ac:dyDescent="0.2">
      <c r="R47531" s="1288"/>
    </row>
    <row r="47532" spans="18:18" s="2" customFormat="1" ht="12.75" x14ac:dyDescent="0.2">
      <c r="R47532" s="1288"/>
    </row>
    <row r="47533" spans="18:18" s="2" customFormat="1" ht="12.75" x14ac:dyDescent="0.2">
      <c r="R47533" s="1288"/>
    </row>
    <row r="47534" spans="18:18" s="2" customFormat="1" ht="12.75" x14ac:dyDescent="0.2">
      <c r="R47534" s="1288"/>
    </row>
    <row r="47535" spans="18:18" s="2" customFormat="1" ht="12.75" x14ac:dyDescent="0.2">
      <c r="R47535" s="1288"/>
    </row>
    <row r="47536" spans="18:18" s="2" customFormat="1" ht="12.75" x14ac:dyDescent="0.2">
      <c r="R47536" s="1288"/>
    </row>
    <row r="47537" spans="18:18" s="2" customFormat="1" ht="12.75" x14ac:dyDescent="0.2">
      <c r="R47537" s="1288"/>
    </row>
    <row r="47538" spans="18:18" s="2" customFormat="1" ht="12.75" x14ac:dyDescent="0.2">
      <c r="R47538" s="1288"/>
    </row>
    <row r="47539" spans="18:18" s="2" customFormat="1" ht="12.75" x14ac:dyDescent="0.2">
      <c r="R47539" s="1288"/>
    </row>
    <row r="47540" spans="18:18" s="2" customFormat="1" ht="12.75" x14ac:dyDescent="0.2">
      <c r="R47540" s="1288"/>
    </row>
    <row r="47541" spans="18:18" s="2" customFormat="1" ht="12.75" x14ac:dyDescent="0.2">
      <c r="R47541" s="1288"/>
    </row>
    <row r="47542" spans="18:18" s="2" customFormat="1" ht="12.75" x14ac:dyDescent="0.2">
      <c r="R47542" s="1288"/>
    </row>
    <row r="47543" spans="18:18" s="2" customFormat="1" ht="12.75" x14ac:dyDescent="0.2">
      <c r="R47543" s="1288"/>
    </row>
    <row r="47544" spans="18:18" s="2" customFormat="1" ht="12.75" x14ac:dyDescent="0.2">
      <c r="R47544" s="1288"/>
    </row>
    <row r="47545" spans="18:18" s="2" customFormat="1" ht="12.75" x14ac:dyDescent="0.2">
      <c r="R47545" s="1288"/>
    </row>
    <row r="47546" spans="18:18" s="2" customFormat="1" ht="12.75" x14ac:dyDescent="0.2">
      <c r="R47546" s="1288"/>
    </row>
    <row r="47547" spans="18:18" s="2" customFormat="1" ht="12.75" x14ac:dyDescent="0.2">
      <c r="R47547" s="1288"/>
    </row>
    <row r="47548" spans="18:18" s="2" customFormat="1" ht="12.75" x14ac:dyDescent="0.2">
      <c r="R47548" s="1288"/>
    </row>
    <row r="47549" spans="18:18" s="2" customFormat="1" ht="12.75" x14ac:dyDescent="0.2">
      <c r="R47549" s="1288"/>
    </row>
    <row r="47550" spans="18:18" s="2" customFormat="1" ht="12.75" x14ac:dyDescent="0.2">
      <c r="R47550" s="1288"/>
    </row>
    <row r="47551" spans="18:18" s="2" customFormat="1" ht="12.75" x14ac:dyDescent="0.2">
      <c r="R47551" s="1288"/>
    </row>
    <row r="47552" spans="18:18" s="2" customFormat="1" ht="12.75" x14ac:dyDescent="0.2">
      <c r="R47552" s="1288"/>
    </row>
    <row r="47553" spans="18:18" s="2" customFormat="1" ht="12.75" x14ac:dyDescent="0.2">
      <c r="R47553" s="1288"/>
    </row>
    <row r="47554" spans="18:18" s="2" customFormat="1" ht="12.75" x14ac:dyDescent="0.2">
      <c r="R47554" s="1288"/>
    </row>
    <row r="47555" spans="18:18" s="2" customFormat="1" ht="12.75" x14ac:dyDescent="0.2">
      <c r="R47555" s="1288"/>
    </row>
    <row r="47556" spans="18:18" s="2" customFormat="1" ht="12.75" x14ac:dyDescent="0.2">
      <c r="R47556" s="1288"/>
    </row>
    <row r="47557" spans="18:18" s="2" customFormat="1" ht="12.75" x14ac:dyDescent="0.2">
      <c r="R47557" s="1288"/>
    </row>
    <row r="47558" spans="18:18" s="2" customFormat="1" ht="12.75" x14ac:dyDescent="0.2">
      <c r="R47558" s="1288"/>
    </row>
    <row r="47559" spans="18:18" s="2" customFormat="1" ht="12.75" x14ac:dyDescent="0.2">
      <c r="R47559" s="1288"/>
    </row>
    <row r="47560" spans="18:18" s="2" customFormat="1" ht="12.75" x14ac:dyDescent="0.2">
      <c r="R47560" s="1288"/>
    </row>
    <row r="47561" spans="18:18" s="2" customFormat="1" ht="12.75" x14ac:dyDescent="0.2">
      <c r="R47561" s="1288"/>
    </row>
    <row r="47562" spans="18:18" s="2" customFormat="1" ht="12.75" x14ac:dyDescent="0.2">
      <c r="R47562" s="1288"/>
    </row>
    <row r="47563" spans="18:18" s="2" customFormat="1" ht="12.75" x14ac:dyDescent="0.2">
      <c r="R47563" s="1288"/>
    </row>
    <row r="47564" spans="18:18" s="2" customFormat="1" ht="12.75" x14ac:dyDescent="0.2">
      <c r="R47564" s="1288"/>
    </row>
    <row r="47565" spans="18:18" s="2" customFormat="1" ht="12.75" x14ac:dyDescent="0.2">
      <c r="R47565" s="1288"/>
    </row>
    <row r="47566" spans="18:18" s="2" customFormat="1" ht="12.75" x14ac:dyDescent="0.2">
      <c r="R47566" s="1288"/>
    </row>
    <row r="47567" spans="18:18" s="2" customFormat="1" ht="12.75" x14ac:dyDescent="0.2">
      <c r="R47567" s="1288"/>
    </row>
    <row r="47568" spans="18:18" s="2" customFormat="1" ht="12.75" x14ac:dyDescent="0.2">
      <c r="R47568" s="1288"/>
    </row>
    <row r="47569" spans="18:18" s="2" customFormat="1" ht="12.75" x14ac:dyDescent="0.2">
      <c r="R47569" s="1288"/>
    </row>
    <row r="47570" spans="18:18" s="2" customFormat="1" ht="12.75" x14ac:dyDescent="0.2">
      <c r="R47570" s="1288"/>
    </row>
    <row r="47571" spans="18:18" s="2" customFormat="1" ht="12.75" x14ac:dyDescent="0.2">
      <c r="R47571" s="1288"/>
    </row>
    <row r="47572" spans="18:18" s="2" customFormat="1" ht="12.75" x14ac:dyDescent="0.2">
      <c r="R47572" s="1288"/>
    </row>
    <row r="47573" spans="18:18" s="2" customFormat="1" ht="12.75" x14ac:dyDescent="0.2">
      <c r="R47573" s="1288"/>
    </row>
    <row r="47574" spans="18:18" s="2" customFormat="1" ht="12.75" x14ac:dyDescent="0.2">
      <c r="R47574" s="1288"/>
    </row>
    <row r="47575" spans="18:18" s="2" customFormat="1" ht="12.75" x14ac:dyDescent="0.2">
      <c r="R47575" s="1288"/>
    </row>
    <row r="47576" spans="18:18" s="2" customFormat="1" ht="12.75" x14ac:dyDescent="0.2">
      <c r="R47576" s="1288"/>
    </row>
    <row r="47577" spans="18:18" s="2" customFormat="1" ht="12.75" x14ac:dyDescent="0.2">
      <c r="R47577" s="1288"/>
    </row>
    <row r="47578" spans="18:18" s="2" customFormat="1" ht="12.75" x14ac:dyDescent="0.2">
      <c r="R47578" s="1288"/>
    </row>
    <row r="47579" spans="18:18" s="2" customFormat="1" ht="12.75" x14ac:dyDescent="0.2">
      <c r="R47579" s="1288"/>
    </row>
    <row r="47580" spans="18:18" s="2" customFormat="1" ht="12.75" x14ac:dyDescent="0.2">
      <c r="R47580" s="1288"/>
    </row>
    <row r="47581" spans="18:18" s="2" customFormat="1" ht="12.75" x14ac:dyDescent="0.2">
      <c r="R47581" s="1288"/>
    </row>
    <row r="47582" spans="18:18" s="2" customFormat="1" ht="12.75" x14ac:dyDescent="0.2">
      <c r="R47582" s="1288"/>
    </row>
    <row r="47583" spans="18:18" s="2" customFormat="1" ht="12.75" x14ac:dyDescent="0.2">
      <c r="R47583" s="1288"/>
    </row>
    <row r="47584" spans="18:18" s="2" customFormat="1" ht="12.75" x14ac:dyDescent="0.2">
      <c r="R47584" s="1288"/>
    </row>
    <row r="47585" spans="18:18" s="2" customFormat="1" ht="12.75" x14ac:dyDescent="0.2">
      <c r="R47585" s="1288"/>
    </row>
    <row r="47586" spans="18:18" s="2" customFormat="1" ht="12.75" x14ac:dyDescent="0.2">
      <c r="R47586" s="1288"/>
    </row>
    <row r="47587" spans="18:18" s="2" customFormat="1" ht="12.75" x14ac:dyDescent="0.2">
      <c r="R47587" s="1288"/>
    </row>
    <row r="47588" spans="18:18" s="2" customFormat="1" ht="12.75" x14ac:dyDescent="0.2">
      <c r="R47588" s="1288"/>
    </row>
    <row r="47589" spans="18:18" s="2" customFormat="1" ht="12.75" x14ac:dyDescent="0.2">
      <c r="R47589" s="1288"/>
    </row>
    <row r="47590" spans="18:18" s="2" customFormat="1" ht="12.75" x14ac:dyDescent="0.2">
      <c r="R47590" s="1288"/>
    </row>
    <row r="47591" spans="18:18" s="2" customFormat="1" ht="12.75" x14ac:dyDescent="0.2">
      <c r="R47591" s="1288"/>
    </row>
    <row r="47592" spans="18:18" s="2" customFormat="1" ht="12.75" x14ac:dyDescent="0.2">
      <c r="R47592" s="1288"/>
    </row>
    <row r="47593" spans="18:18" s="2" customFormat="1" ht="12.75" x14ac:dyDescent="0.2">
      <c r="R47593" s="1288"/>
    </row>
    <row r="47594" spans="18:18" s="2" customFormat="1" ht="12.75" x14ac:dyDescent="0.2">
      <c r="R47594" s="1288"/>
    </row>
    <row r="47595" spans="18:18" s="2" customFormat="1" ht="12.75" x14ac:dyDescent="0.2">
      <c r="R47595" s="1288"/>
    </row>
    <row r="47596" spans="18:18" s="2" customFormat="1" ht="12.75" x14ac:dyDescent="0.2">
      <c r="R47596" s="1288"/>
    </row>
    <row r="47597" spans="18:18" s="2" customFormat="1" ht="12.75" x14ac:dyDescent="0.2">
      <c r="R47597" s="1288"/>
    </row>
    <row r="47598" spans="18:18" s="2" customFormat="1" ht="12.75" x14ac:dyDescent="0.2">
      <c r="R47598" s="1288"/>
    </row>
    <row r="47599" spans="18:18" s="2" customFormat="1" ht="12.75" x14ac:dyDescent="0.2">
      <c r="R47599" s="1288"/>
    </row>
    <row r="47600" spans="18:18" s="2" customFormat="1" ht="12.75" x14ac:dyDescent="0.2">
      <c r="R47600" s="1288"/>
    </row>
    <row r="47601" spans="18:18" s="2" customFormat="1" ht="12.75" x14ac:dyDescent="0.2">
      <c r="R47601" s="1288"/>
    </row>
    <row r="47602" spans="18:18" s="2" customFormat="1" ht="12.75" x14ac:dyDescent="0.2">
      <c r="R47602" s="1288"/>
    </row>
    <row r="47603" spans="18:18" s="2" customFormat="1" ht="12.75" x14ac:dyDescent="0.2">
      <c r="R47603" s="1288"/>
    </row>
    <row r="47604" spans="18:18" s="2" customFormat="1" ht="12.75" x14ac:dyDescent="0.2">
      <c r="R47604" s="1288"/>
    </row>
    <row r="47605" spans="18:18" s="2" customFormat="1" ht="12.75" x14ac:dyDescent="0.2">
      <c r="R47605" s="1288"/>
    </row>
    <row r="47606" spans="18:18" s="2" customFormat="1" ht="12.75" x14ac:dyDescent="0.2">
      <c r="R47606" s="1288"/>
    </row>
    <row r="47607" spans="18:18" s="2" customFormat="1" ht="12.75" x14ac:dyDescent="0.2">
      <c r="R47607" s="1288"/>
    </row>
    <row r="47608" spans="18:18" s="2" customFormat="1" ht="12.75" x14ac:dyDescent="0.2">
      <c r="R47608" s="1288"/>
    </row>
    <row r="47609" spans="18:18" s="2" customFormat="1" ht="12.75" x14ac:dyDescent="0.2">
      <c r="R47609" s="1288"/>
    </row>
    <row r="47610" spans="18:18" s="2" customFormat="1" ht="12.75" x14ac:dyDescent="0.2">
      <c r="R47610" s="1288"/>
    </row>
    <row r="47611" spans="18:18" s="2" customFormat="1" ht="12.75" x14ac:dyDescent="0.2">
      <c r="R47611" s="1288"/>
    </row>
    <row r="47612" spans="18:18" s="2" customFormat="1" ht="12.75" x14ac:dyDescent="0.2">
      <c r="R47612" s="1288"/>
    </row>
    <row r="47613" spans="18:18" s="2" customFormat="1" ht="12.75" x14ac:dyDescent="0.2">
      <c r="R47613" s="1288"/>
    </row>
    <row r="47614" spans="18:18" s="2" customFormat="1" ht="12.75" x14ac:dyDescent="0.2">
      <c r="R47614" s="1288"/>
    </row>
    <row r="47615" spans="18:18" s="2" customFormat="1" ht="12.75" x14ac:dyDescent="0.2">
      <c r="R47615" s="1288"/>
    </row>
    <row r="47616" spans="18:18" s="2" customFormat="1" ht="12.75" x14ac:dyDescent="0.2">
      <c r="R47616" s="1288"/>
    </row>
    <row r="47617" spans="18:18" s="2" customFormat="1" ht="12.75" x14ac:dyDescent="0.2">
      <c r="R47617" s="1288"/>
    </row>
    <row r="47618" spans="18:18" s="2" customFormat="1" ht="12.75" x14ac:dyDescent="0.2">
      <c r="R47618" s="1288"/>
    </row>
    <row r="47619" spans="18:18" s="2" customFormat="1" ht="12.75" x14ac:dyDescent="0.2">
      <c r="R47619" s="1288"/>
    </row>
    <row r="47620" spans="18:18" s="2" customFormat="1" ht="12.75" x14ac:dyDescent="0.2">
      <c r="R47620" s="1288"/>
    </row>
    <row r="47621" spans="18:18" s="2" customFormat="1" ht="12.75" x14ac:dyDescent="0.2">
      <c r="R47621" s="1288"/>
    </row>
    <row r="47622" spans="18:18" s="2" customFormat="1" ht="12.75" x14ac:dyDescent="0.2">
      <c r="R47622" s="1288"/>
    </row>
    <row r="47623" spans="18:18" s="2" customFormat="1" ht="12.75" x14ac:dyDescent="0.2">
      <c r="R47623" s="1288"/>
    </row>
    <row r="47624" spans="18:18" s="2" customFormat="1" ht="12.75" x14ac:dyDescent="0.2">
      <c r="R47624" s="1288"/>
    </row>
    <row r="47625" spans="18:18" s="2" customFormat="1" ht="12.75" x14ac:dyDescent="0.2">
      <c r="R47625" s="1288"/>
    </row>
    <row r="47626" spans="18:18" s="2" customFormat="1" ht="12.75" x14ac:dyDescent="0.2">
      <c r="R47626" s="1288"/>
    </row>
    <row r="47627" spans="18:18" s="2" customFormat="1" ht="12.75" x14ac:dyDescent="0.2">
      <c r="R47627" s="1288"/>
    </row>
    <row r="47628" spans="18:18" s="2" customFormat="1" ht="12.75" x14ac:dyDescent="0.2">
      <c r="R47628" s="1288"/>
    </row>
    <row r="47629" spans="18:18" s="2" customFormat="1" ht="12.75" x14ac:dyDescent="0.2">
      <c r="R47629" s="1288"/>
    </row>
    <row r="47630" spans="18:18" s="2" customFormat="1" ht="12.75" x14ac:dyDescent="0.2">
      <c r="R47630" s="1288"/>
    </row>
    <row r="47631" spans="18:18" s="2" customFormat="1" ht="12.75" x14ac:dyDescent="0.2">
      <c r="R47631" s="1288"/>
    </row>
    <row r="47632" spans="18:18" s="2" customFormat="1" ht="12.75" x14ac:dyDescent="0.2">
      <c r="R47632" s="1288"/>
    </row>
    <row r="47633" spans="18:18" s="2" customFormat="1" ht="12.75" x14ac:dyDescent="0.2">
      <c r="R47633" s="1288"/>
    </row>
    <row r="47634" spans="18:18" s="2" customFormat="1" ht="12.75" x14ac:dyDescent="0.2">
      <c r="R47634" s="1288"/>
    </row>
    <row r="47635" spans="18:18" s="2" customFormat="1" ht="12.75" x14ac:dyDescent="0.2">
      <c r="R47635" s="1288"/>
    </row>
    <row r="47636" spans="18:18" s="2" customFormat="1" ht="12.75" x14ac:dyDescent="0.2">
      <c r="R47636" s="1288"/>
    </row>
    <row r="47637" spans="18:18" s="2" customFormat="1" ht="12.75" x14ac:dyDescent="0.2">
      <c r="R47637" s="1288"/>
    </row>
    <row r="47638" spans="18:18" s="2" customFormat="1" ht="12.75" x14ac:dyDescent="0.2">
      <c r="R47638" s="1288"/>
    </row>
    <row r="47639" spans="18:18" s="2" customFormat="1" ht="12.75" x14ac:dyDescent="0.2">
      <c r="R47639" s="1288"/>
    </row>
    <row r="47640" spans="18:18" s="2" customFormat="1" ht="12.75" x14ac:dyDescent="0.2">
      <c r="R47640" s="1288"/>
    </row>
    <row r="47641" spans="18:18" s="2" customFormat="1" ht="12.75" x14ac:dyDescent="0.2">
      <c r="R47641" s="1288"/>
    </row>
    <row r="47642" spans="18:18" s="2" customFormat="1" ht="12.75" x14ac:dyDescent="0.2">
      <c r="R47642" s="1288"/>
    </row>
    <row r="47643" spans="18:18" s="2" customFormat="1" ht="12.75" x14ac:dyDescent="0.2">
      <c r="R47643" s="1288"/>
    </row>
    <row r="47644" spans="18:18" s="2" customFormat="1" ht="12.75" x14ac:dyDescent="0.2">
      <c r="R47644" s="1288"/>
    </row>
    <row r="47645" spans="18:18" s="2" customFormat="1" ht="12.75" x14ac:dyDescent="0.2">
      <c r="R47645" s="1288"/>
    </row>
    <row r="47646" spans="18:18" s="2" customFormat="1" ht="12.75" x14ac:dyDescent="0.2">
      <c r="R47646" s="1288"/>
    </row>
    <row r="47647" spans="18:18" s="2" customFormat="1" ht="12.75" x14ac:dyDescent="0.2">
      <c r="R47647" s="1288"/>
    </row>
    <row r="47648" spans="18:18" s="2" customFormat="1" ht="12.75" x14ac:dyDescent="0.2">
      <c r="R47648" s="1288"/>
    </row>
    <row r="47649" spans="18:18" s="2" customFormat="1" ht="12.75" x14ac:dyDescent="0.2">
      <c r="R47649" s="1288"/>
    </row>
    <row r="47650" spans="18:18" s="2" customFormat="1" ht="12.75" x14ac:dyDescent="0.2">
      <c r="R47650" s="1288"/>
    </row>
    <row r="47651" spans="18:18" s="2" customFormat="1" ht="12.75" x14ac:dyDescent="0.2">
      <c r="R47651" s="1288"/>
    </row>
    <row r="47652" spans="18:18" s="2" customFormat="1" ht="12.75" x14ac:dyDescent="0.2">
      <c r="R47652" s="1288"/>
    </row>
    <row r="47653" spans="18:18" s="2" customFormat="1" ht="12.75" x14ac:dyDescent="0.2">
      <c r="R47653" s="1288"/>
    </row>
    <row r="47654" spans="18:18" s="2" customFormat="1" ht="12.75" x14ac:dyDescent="0.2">
      <c r="R47654" s="1288"/>
    </row>
    <row r="47655" spans="18:18" s="2" customFormat="1" ht="12.75" x14ac:dyDescent="0.2">
      <c r="R47655" s="1288"/>
    </row>
    <row r="47656" spans="18:18" s="2" customFormat="1" ht="12.75" x14ac:dyDescent="0.2">
      <c r="R47656" s="1288"/>
    </row>
    <row r="47657" spans="18:18" s="2" customFormat="1" ht="12.75" x14ac:dyDescent="0.2">
      <c r="R47657" s="1288"/>
    </row>
    <row r="47658" spans="18:18" s="2" customFormat="1" ht="12.75" x14ac:dyDescent="0.2">
      <c r="R47658" s="1288"/>
    </row>
    <row r="47659" spans="18:18" s="2" customFormat="1" ht="12.75" x14ac:dyDescent="0.2">
      <c r="R47659" s="1288"/>
    </row>
    <row r="47660" spans="18:18" s="2" customFormat="1" ht="12.75" x14ac:dyDescent="0.2">
      <c r="R47660" s="1288"/>
    </row>
    <row r="47661" spans="18:18" s="2" customFormat="1" ht="12.75" x14ac:dyDescent="0.2">
      <c r="R47661" s="1288"/>
    </row>
    <row r="47662" spans="18:18" s="2" customFormat="1" ht="12.75" x14ac:dyDescent="0.2">
      <c r="R47662" s="1288"/>
    </row>
    <row r="47663" spans="18:18" s="2" customFormat="1" ht="12.75" x14ac:dyDescent="0.2">
      <c r="R47663" s="1288"/>
    </row>
    <row r="47664" spans="18:18" s="2" customFormat="1" ht="12.75" x14ac:dyDescent="0.2">
      <c r="R47664" s="1288"/>
    </row>
    <row r="47665" spans="18:18" s="2" customFormat="1" ht="12.75" x14ac:dyDescent="0.2">
      <c r="R47665" s="1288"/>
    </row>
    <row r="47666" spans="18:18" s="2" customFormat="1" ht="12.75" x14ac:dyDescent="0.2">
      <c r="R47666" s="1288"/>
    </row>
    <row r="47667" spans="18:18" s="2" customFormat="1" ht="12.75" x14ac:dyDescent="0.2">
      <c r="R47667" s="1288"/>
    </row>
    <row r="47668" spans="18:18" s="2" customFormat="1" ht="12.75" x14ac:dyDescent="0.2">
      <c r="R47668" s="1288"/>
    </row>
    <row r="47669" spans="18:18" s="2" customFormat="1" ht="12.75" x14ac:dyDescent="0.2">
      <c r="R47669" s="1288"/>
    </row>
    <row r="47670" spans="18:18" s="2" customFormat="1" ht="12.75" x14ac:dyDescent="0.2">
      <c r="R47670" s="1288"/>
    </row>
    <row r="47671" spans="18:18" s="2" customFormat="1" ht="12.75" x14ac:dyDescent="0.2">
      <c r="R47671" s="1288"/>
    </row>
    <row r="47672" spans="18:18" s="2" customFormat="1" ht="12.75" x14ac:dyDescent="0.2">
      <c r="R47672" s="1288"/>
    </row>
    <row r="47673" spans="18:18" s="2" customFormat="1" ht="12.75" x14ac:dyDescent="0.2">
      <c r="R47673" s="1288"/>
    </row>
    <row r="47674" spans="18:18" s="2" customFormat="1" ht="12.75" x14ac:dyDescent="0.2">
      <c r="R47674" s="1288"/>
    </row>
    <row r="47675" spans="18:18" s="2" customFormat="1" ht="12.75" x14ac:dyDescent="0.2">
      <c r="R47675" s="1288"/>
    </row>
    <row r="47676" spans="18:18" s="2" customFormat="1" ht="12.75" x14ac:dyDescent="0.2">
      <c r="R47676" s="1288"/>
    </row>
    <row r="47677" spans="18:18" s="2" customFormat="1" ht="12.75" x14ac:dyDescent="0.2">
      <c r="R47677" s="1288"/>
    </row>
    <row r="47678" spans="18:18" s="2" customFormat="1" ht="12.75" x14ac:dyDescent="0.2">
      <c r="R47678" s="1288"/>
    </row>
    <row r="47679" spans="18:18" s="2" customFormat="1" ht="12.75" x14ac:dyDescent="0.2">
      <c r="R47679" s="1288"/>
    </row>
    <row r="47680" spans="18:18" s="2" customFormat="1" ht="12.75" x14ac:dyDescent="0.2">
      <c r="R47680" s="1288"/>
    </row>
    <row r="47681" spans="18:18" s="2" customFormat="1" ht="12.75" x14ac:dyDescent="0.2">
      <c r="R47681" s="1288"/>
    </row>
    <row r="47682" spans="18:18" s="2" customFormat="1" ht="12.75" x14ac:dyDescent="0.2">
      <c r="R47682" s="1288"/>
    </row>
    <row r="47683" spans="18:18" s="2" customFormat="1" ht="12.75" x14ac:dyDescent="0.2">
      <c r="R47683" s="1288"/>
    </row>
    <row r="47684" spans="18:18" s="2" customFormat="1" ht="12.75" x14ac:dyDescent="0.2">
      <c r="R47684" s="1288"/>
    </row>
    <row r="47685" spans="18:18" s="2" customFormat="1" ht="12.75" x14ac:dyDescent="0.2">
      <c r="R47685" s="1288"/>
    </row>
    <row r="47686" spans="18:18" s="2" customFormat="1" ht="12.75" x14ac:dyDescent="0.2">
      <c r="R47686" s="1288"/>
    </row>
    <row r="47687" spans="18:18" s="2" customFormat="1" ht="12.75" x14ac:dyDescent="0.2">
      <c r="R47687" s="1288"/>
    </row>
    <row r="47688" spans="18:18" s="2" customFormat="1" ht="12.75" x14ac:dyDescent="0.2">
      <c r="R47688" s="1288"/>
    </row>
    <row r="47689" spans="18:18" s="2" customFormat="1" ht="12.75" x14ac:dyDescent="0.2">
      <c r="R47689" s="1288"/>
    </row>
    <row r="47690" spans="18:18" s="2" customFormat="1" ht="12.75" x14ac:dyDescent="0.2">
      <c r="R47690" s="1288"/>
    </row>
    <row r="47691" spans="18:18" s="2" customFormat="1" ht="12.75" x14ac:dyDescent="0.2">
      <c r="R47691" s="1288"/>
    </row>
    <row r="47692" spans="18:18" s="2" customFormat="1" ht="12.75" x14ac:dyDescent="0.2">
      <c r="R47692" s="1288"/>
    </row>
    <row r="47693" spans="18:18" s="2" customFormat="1" ht="12.75" x14ac:dyDescent="0.2">
      <c r="R47693" s="1288"/>
    </row>
    <row r="47694" spans="18:18" s="2" customFormat="1" ht="12.75" x14ac:dyDescent="0.2">
      <c r="R47694" s="1288"/>
    </row>
    <row r="47695" spans="18:18" s="2" customFormat="1" ht="12.75" x14ac:dyDescent="0.2">
      <c r="R47695" s="1288"/>
    </row>
    <row r="47696" spans="18:18" s="2" customFormat="1" ht="12.75" x14ac:dyDescent="0.2">
      <c r="R47696" s="1288"/>
    </row>
    <row r="47697" spans="18:18" s="2" customFormat="1" ht="12.75" x14ac:dyDescent="0.2">
      <c r="R47697" s="1288"/>
    </row>
    <row r="47698" spans="18:18" s="2" customFormat="1" ht="12.75" x14ac:dyDescent="0.2">
      <c r="R47698" s="1288"/>
    </row>
    <row r="47699" spans="18:18" s="2" customFormat="1" ht="12.75" x14ac:dyDescent="0.2">
      <c r="R47699" s="1288"/>
    </row>
    <row r="47700" spans="18:18" s="2" customFormat="1" ht="12.75" x14ac:dyDescent="0.2">
      <c r="R47700" s="1288"/>
    </row>
    <row r="47701" spans="18:18" s="2" customFormat="1" ht="12.75" x14ac:dyDescent="0.2">
      <c r="R47701" s="1288"/>
    </row>
    <row r="47702" spans="18:18" s="2" customFormat="1" ht="12.75" x14ac:dyDescent="0.2">
      <c r="R47702" s="1288"/>
    </row>
    <row r="47703" spans="18:18" s="2" customFormat="1" ht="12.75" x14ac:dyDescent="0.2">
      <c r="R47703" s="1288"/>
    </row>
    <row r="47704" spans="18:18" s="2" customFormat="1" ht="12.75" x14ac:dyDescent="0.2">
      <c r="R47704" s="1288"/>
    </row>
    <row r="47705" spans="18:18" s="2" customFormat="1" ht="12.75" x14ac:dyDescent="0.2">
      <c r="R47705" s="1288"/>
    </row>
    <row r="47706" spans="18:18" s="2" customFormat="1" ht="12.75" x14ac:dyDescent="0.2">
      <c r="R47706" s="1288"/>
    </row>
    <row r="47707" spans="18:18" s="2" customFormat="1" ht="12.75" x14ac:dyDescent="0.2">
      <c r="R47707" s="1288"/>
    </row>
    <row r="47708" spans="18:18" s="2" customFormat="1" ht="12.75" x14ac:dyDescent="0.2">
      <c r="R47708" s="1288"/>
    </row>
    <row r="47709" spans="18:18" s="2" customFormat="1" ht="12.75" x14ac:dyDescent="0.2">
      <c r="R47709" s="1288"/>
    </row>
    <row r="47710" spans="18:18" s="2" customFormat="1" ht="12.75" x14ac:dyDescent="0.2">
      <c r="R47710" s="1288"/>
    </row>
    <row r="47711" spans="18:18" s="2" customFormat="1" ht="12.75" x14ac:dyDescent="0.2">
      <c r="R47711" s="1288"/>
    </row>
    <row r="47712" spans="18:18" s="2" customFormat="1" ht="12.75" x14ac:dyDescent="0.2">
      <c r="R47712" s="1288"/>
    </row>
    <row r="47713" spans="18:18" s="2" customFormat="1" ht="12.75" x14ac:dyDescent="0.2">
      <c r="R47713" s="1288"/>
    </row>
    <row r="47714" spans="18:18" s="2" customFormat="1" ht="12.75" x14ac:dyDescent="0.2">
      <c r="R47714" s="1288"/>
    </row>
    <row r="47715" spans="18:18" s="2" customFormat="1" ht="12.75" x14ac:dyDescent="0.2">
      <c r="R47715" s="1288"/>
    </row>
    <row r="47716" spans="18:18" s="2" customFormat="1" ht="12.75" x14ac:dyDescent="0.2">
      <c r="R47716" s="1288"/>
    </row>
    <row r="47717" spans="18:18" s="2" customFormat="1" ht="12.75" x14ac:dyDescent="0.2">
      <c r="R47717" s="1288"/>
    </row>
    <row r="47718" spans="18:18" s="2" customFormat="1" ht="12.75" x14ac:dyDescent="0.2">
      <c r="R47718" s="1288"/>
    </row>
    <row r="47719" spans="18:18" s="2" customFormat="1" ht="12.75" x14ac:dyDescent="0.2">
      <c r="R47719" s="1288"/>
    </row>
    <row r="47720" spans="18:18" s="2" customFormat="1" ht="12.75" x14ac:dyDescent="0.2">
      <c r="R47720" s="1288"/>
    </row>
    <row r="47721" spans="18:18" s="2" customFormat="1" ht="12.75" x14ac:dyDescent="0.2">
      <c r="R47721" s="1288"/>
    </row>
    <row r="47722" spans="18:18" s="2" customFormat="1" ht="12.75" x14ac:dyDescent="0.2">
      <c r="R47722" s="1288"/>
    </row>
    <row r="47723" spans="18:18" s="2" customFormat="1" ht="12.75" x14ac:dyDescent="0.2">
      <c r="R47723" s="1288"/>
    </row>
    <row r="47724" spans="18:18" s="2" customFormat="1" ht="12.75" x14ac:dyDescent="0.2">
      <c r="R47724" s="1288"/>
    </row>
    <row r="47725" spans="18:18" s="2" customFormat="1" ht="12.75" x14ac:dyDescent="0.2">
      <c r="R47725" s="1288"/>
    </row>
    <row r="47726" spans="18:18" s="2" customFormat="1" ht="12.75" x14ac:dyDescent="0.2">
      <c r="R47726" s="1288"/>
    </row>
    <row r="47727" spans="18:18" s="2" customFormat="1" ht="12.75" x14ac:dyDescent="0.2">
      <c r="R47727" s="1288"/>
    </row>
    <row r="47728" spans="18:18" s="2" customFormat="1" ht="12.75" x14ac:dyDescent="0.2">
      <c r="R47728" s="1288"/>
    </row>
    <row r="47729" spans="18:18" s="2" customFormat="1" ht="12.75" x14ac:dyDescent="0.2">
      <c r="R47729" s="1288"/>
    </row>
    <row r="47730" spans="18:18" s="2" customFormat="1" ht="12.75" x14ac:dyDescent="0.2">
      <c r="R47730" s="1288"/>
    </row>
    <row r="47731" spans="18:18" s="2" customFormat="1" ht="12.75" x14ac:dyDescent="0.2">
      <c r="R47731" s="1288"/>
    </row>
    <row r="47732" spans="18:18" s="2" customFormat="1" ht="12.75" x14ac:dyDescent="0.2">
      <c r="R47732" s="1288"/>
    </row>
    <row r="47733" spans="18:18" s="2" customFormat="1" ht="12.75" x14ac:dyDescent="0.2">
      <c r="R47733" s="1288"/>
    </row>
    <row r="47734" spans="18:18" s="2" customFormat="1" ht="12.75" x14ac:dyDescent="0.2">
      <c r="R47734" s="1288"/>
    </row>
    <row r="47735" spans="18:18" s="2" customFormat="1" ht="12.75" x14ac:dyDescent="0.2">
      <c r="R47735" s="1288"/>
    </row>
    <row r="47736" spans="18:18" s="2" customFormat="1" ht="12.75" x14ac:dyDescent="0.2">
      <c r="R47736" s="1288"/>
    </row>
    <row r="47737" spans="18:18" s="2" customFormat="1" ht="12.75" x14ac:dyDescent="0.2">
      <c r="R47737" s="1288"/>
    </row>
    <row r="47738" spans="18:18" s="2" customFormat="1" ht="12.75" x14ac:dyDescent="0.2">
      <c r="R47738" s="1288"/>
    </row>
    <row r="47739" spans="18:18" s="2" customFormat="1" ht="12.75" x14ac:dyDescent="0.2">
      <c r="R47739" s="1288"/>
    </row>
    <row r="47740" spans="18:18" s="2" customFormat="1" ht="12.75" x14ac:dyDescent="0.2">
      <c r="R47740" s="1288"/>
    </row>
    <row r="47741" spans="18:18" s="2" customFormat="1" ht="12.75" x14ac:dyDescent="0.2">
      <c r="R47741" s="1288"/>
    </row>
    <row r="47742" spans="18:18" s="2" customFormat="1" ht="12.75" x14ac:dyDescent="0.2">
      <c r="R47742" s="1288"/>
    </row>
    <row r="47743" spans="18:18" s="2" customFormat="1" ht="12.75" x14ac:dyDescent="0.2">
      <c r="R47743" s="1288"/>
    </row>
    <row r="47744" spans="18:18" s="2" customFormat="1" ht="12.75" x14ac:dyDescent="0.2">
      <c r="R47744" s="1288"/>
    </row>
    <row r="47745" spans="18:18" s="2" customFormat="1" ht="12.75" x14ac:dyDescent="0.2">
      <c r="R47745" s="1288"/>
    </row>
    <row r="47746" spans="18:18" s="2" customFormat="1" ht="12.75" x14ac:dyDescent="0.2">
      <c r="R47746" s="1288"/>
    </row>
    <row r="47747" spans="18:18" s="2" customFormat="1" ht="12.75" x14ac:dyDescent="0.2">
      <c r="R47747" s="1288"/>
    </row>
    <row r="47748" spans="18:18" s="2" customFormat="1" ht="12.75" x14ac:dyDescent="0.2">
      <c r="R47748" s="1288"/>
    </row>
    <row r="47749" spans="18:18" s="2" customFormat="1" ht="12.75" x14ac:dyDescent="0.2">
      <c r="R47749" s="1288"/>
    </row>
    <row r="47750" spans="18:18" s="2" customFormat="1" ht="12.75" x14ac:dyDescent="0.2">
      <c r="R47750" s="1288"/>
    </row>
    <row r="47751" spans="18:18" s="2" customFormat="1" ht="12.75" x14ac:dyDescent="0.2">
      <c r="R47751" s="1288"/>
    </row>
    <row r="47752" spans="18:18" s="2" customFormat="1" ht="12.75" x14ac:dyDescent="0.2">
      <c r="R47752" s="1288"/>
    </row>
    <row r="47753" spans="18:18" s="2" customFormat="1" ht="12.75" x14ac:dyDescent="0.2">
      <c r="R47753" s="1288"/>
    </row>
    <row r="47754" spans="18:18" s="2" customFormat="1" ht="12.75" x14ac:dyDescent="0.2">
      <c r="R47754" s="1288"/>
    </row>
    <row r="47755" spans="18:18" s="2" customFormat="1" ht="12.75" x14ac:dyDescent="0.2">
      <c r="R47755" s="1288"/>
    </row>
    <row r="47756" spans="18:18" s="2" customFormat="1" ht="12.75" x14ac:dyDescent="0.2">
      <c r="R47756" s="1288"/>
    </row>
    <row r="47757" spans="18:18" s="2" customFormat="1" ht="12.75" x14ac:dyDescent="0.2">
      <c r="R47757" s="1288"/>
    </row>
    <row r="47758" spans="18:18" s="2" customFormat="1" ht="12.75" x14ac:dyDescent="0.2">
      <c r="R47758" s="1288"/>
    </row>
    <row r="47759" spans="18:18" s="2" customFormat="1" ht="12.75" x14ac:dyDescent="0.2">
      <c r="R47759" s="1288"/>
    </row>
    <row r="47760" spans="18:18" s="2" customFormat="1" ht="12.75" x14ac:dyDescent="0.2">
      <c r="R47760" s="1288"/>
    </row>
    <row r="47761" spans="18:18" s="2" customFormat="1" ht="12.75" x14ac:dyDescent="0.2">
      <c r="R47761" s="1288"/>
    </row>
    <row r="47762" spans="18:18" s="2" customFormat="1" ht="12.75" x14ac:dyDescent="0.2">
      <c r="R47762" s="1288"/>
    </row>
    <row r="47763" spans="18:18" s="2" customFormat="1" ht="12.75" x14ac:dyDescent="0.2">
      <c r="R47763" s="1288"/>
    </row>
    <row r="47764" spans="18:18" s="2" customFormat="1" ht="12.75" x14ac:dyDescent="0.2">
      <c r="R47764" s="1288"/>
    </row>
    <row r="47765" spans="18:18" s="2" customFormat="1" ht="12.75" x14ac:dyDescent="0.2">
      <c r="R47765" s="1288"/>
    </row>
    <row r="47766" spans="18:18" s="2" customFormat="1" ht="12.75" x14ac:dyDescent="0.2">
      <c r="R47766" s="1288"/>
    </row>
    <row r="47767" spans="18:18" s="2" customFormat="1" ht="12.75" x14ac:dyDescent="0.2">
      <c r="R47767" s="1288"/>
    </row>
    <row r="47768" spans="18:18" s="2" customFormat="1" ht="12.75" x14ac:dyDescent="0.2">
      <c r="R47768" s="1288"/>
    </row>
    <row r="47769" spans="18:18" s="2" customFormat="1" ht="12.75" x14ac:dyDescent="0.2">
      <c r="R47769" s="1288"/>
    </row>
    <row r="47770" spans="18:18" s="2" customFormat="1" ht="12.75" x14ac:dyDescent="0.2">
      <c r="R47770" s="1288"/>
    </row>
    <row r="47771" spans="18:18" s="2" customFormat="1" ht="12.75" x14ac:dyDescent="0.2">
      <c r="R47771" s="1288"/>
    </row>
    <row r="47772" spans="18:18" s="2" customFormat="1" ht="12.75" x14ac:dyDescent="0.2">
      <c r="R47772" s="1288"/>
    </row>
    <row r="47773" spans="18:18" s="2" customFormat="1" ht="12.75" x14ac:dyDescent="0.2">
      <c r="R47773" s="1288"/>
    </row>
    <row r="47774" spans="18:18" s="2" customFormat="1" ht="12.75" x14ac:dyDescent="0.2">
      <c r="R47774" s="1288"/>
    </row>
    <row r="47775" spans="18:18" s="2" customFormat="1" ht="12.75" x14ac:dyDescent="0.2">
      <c r="R47775" s="1288"/>
    </row>
    <row r="47776" spans="18:18" s="2" customFormat="1" ht="12.75" x14ac:dyDescent="0.2">
      <c r="R47776" s="1288"/>
    </row>
    <row r="47777" spans="18:18" s="2" customFormat="1" ht="12.75" x14ac:dyDescent="0.2">
      <c r="R47777" s="1288"/>
    </row>
    <row r="47778" spans="18:18" s="2" customFormat="1" ht="12.75" x14ac:dyDescent="0.2">
      <c r="R47778" s="1288"/>
    </row>
    <row r="47779" spans="18:18" s="2" customFormat="1" ht="12.75" x14ac:dyDescent="0.2">
      <c r="R47779" s="1288"/>
    </row>
    <row r="47780" spans="18:18" s="2" customFormat="1" ht="12.75" x14ac:dyDescent="0.2">
      <c r="R47780" s="1288"/>
    </row>
    <row r="47781" spans="18:18" s="2" customFormat="1" ht="12.75" x14ac:dyDescent="0.2">
      <c r="R47781" s="1288"/>
    </row>
    <row r="47782" spans="18:18" s="2" customFormat="1" ht="12.75" x14ac:dyDescent="0.2">
      <c r="R47782" s="1288"/>
    </row>
    <row r="47783" spans="18:18" s="2" customFormat="1" ht="12.75" x14ac:dyDescent="0.2">
      <c r="R47783" s="1288"/>
    </row>
    <row r="47784" spans="18:18" s="2" customFormat="1" ht="12.75" x14ac:dyDescent="0.2">
      <c r="R47784" s="1288"/>
    </row>
    <row r="47785" spans="18:18" s="2" customFormat="1" ht="12.75" x14ac:dyDescent="0.2">
      <c r="R47785" s="1288"/>
    </row>
    <row r="47786" spans="18:18" s="2" customFormat="1" ht="12.75" x14ac:dyDescent="0.2">
      <c r="R47786" s="1288"/>
    </row>
    <row r="47787" spans="18:18" s="2" customFormat="1" ht="12.75" x14ac:dyDescent="0.2">
      <c r="R47787" s="1288"/>
    </row>
    <row r="47788" spans="18:18" s="2" customFormat="1" ht="12.75" x14ac:dyDescent="0.2">
      <c r="R47788" s="1288"/>
    </row>
    <row r="47789" spans="18:18" s="2" customFormat="1" ht="12.75" x14ac:dyDescent="0.2">
      <c r="R47789" s="1288"/>
    </row>
    <row r="47790" spans="18:18" s="2" customFormat="1" ht="12.75" x14ac:dyDescent="0.2">
      <c r="R47790" s="1288"/>
    </row>
    <row r="47791" spans="18:18" s="2" customFormat="1" ht="12.75" x14ac:dyDescent="0.2">
      <c r="R47791" s="1288"/>
    </row>
    <row r="47792" spans="18:18" s="2" customFormat="1" ht="12.75" x14ac:dyDescent="0.2">
      <c r="R47792" s="1288"/>
    </row>
    <row r="47793" spans="18:18" s="2" customFormat="1" ht="12.75" x14ac:dyDescent="0.2">
      <c r="R47793" s="1288"/>
    </row>
    <row r="47794" spans="18:18" s="2" customFormat="1" ht="12.75" x14ac:dyDescent="0.2">
      <c r="R47794" s="1288"/>
    </row>
    <row r="47795" spans="18:18" s="2" customFormat="1" ht="12.75" x14ac:dyDescent="0.2">
      <c r="R47795" s="1288"/>
    </row>
    <row r="47796" spans="18:18" s="2" customFormat="1" ht="12.75" x14ac:dyDescent="0.2">
      <c r="R47796" s="1288"/>
    </row>
    <row r="47797" spans="18:18" s="2" customFormat="1" ht="12.75" x14ac:dyDescent="0.2">
      <c r="R47797" s="1288"/>
    </row>
    <row r="47798" spans="18:18" s="2" customFormat="1" ht="12.75" x14ac:dyDescent="0.2">
      <c r="R47798" s="1288"/>
    </row>
    <row r="47799" spans="18:18" s="2" customFormat="1" ht="12.75" x14ac:dyDescent="0.2">
      <c r="R47799" s="1288"/>
    </row>
    <row r="47800" spans="18:18" s="2" customFormat="1" ht="12.75" x14ac:dyDescent="0.2">
      <c r="R47800" s="1288"/>
    </row>
    <row r="47801" spans="18:18" s="2" customFormat="1" ht="12.75" x14ac:dyDescent="0.2">
      <c r="R47801" s="1288"/>
    </row>
    <row r="47802" spans="18:18" s="2" customFormat="1" ht="12.75" x14ac:dyDescent="0.2">
      <c r="R47802" s="1288"/>
    </row>
    <row r="47803" spans="18:18" s="2" customFormat="1" ht="12.75" x14ac:dyDescent="0.2">
      <c r="R47803" s="1288"/>
    </row>
    <row r="47804" spans="18:18" s="2" customFormat="1" ht="12.75" x14ac:dyDescent="0.2">
      <c r="R47804" s="1288"/>
    </row>
    <row r="47805" spans="18:18" s="2" customFormat="1" ht="12.75" x14ac:dyDescent="0.2">
      <c r="R47805" s="1288"/>
    </row>
    <row r="47806" spans="18:18" s="2" customFormat="1" ht="12.75" x14ac:dyDescent="0.2">
      <c r="R47806" s="1288"/>
    </row>
    <row r="47807" spans="18:18" s="2" customFormat="1" ht="12.75" x14ac:dyDescent="0.2">
      <c r="R47807" s="1288"/>
    </row>
    <row r="47808" spans="18:18" s="2" customFormat="1" ht="12.75" x14ac:dyDescent="0.2">
      <c r="R47808" s="1288"/>
    </row>
    <row r="47809" spans="18:18" s="2" customFormat="1" ht="12.75" x14ac:dyDescent="0.2">
      <c r="R47809" s="1288"/>
    </row>
    <row r="47810" spans="18:18" s="2" customFormat="1" ht="12.75" x14ac:dyDescent="0.2">
      <c r="R47810" s="1288"/>
    </row>
    <row r="47811" spans="18:18" s="2" customFormat="1" ht="12.75" x14ac:dyDescent="0.2">
      <c r="R47811" s="1288"/>
    </row>
    <row r="47812" spans="18:18" s="2" customFormat="1" ht="12.75" x14ac:dyDescent="0.2">
      <c r="R47812" s="1288"/>
    </row>
    <row r="47813" spans="18:18" s="2" customFormat="1" ht="12.75" x14ac:dyDescent="0.2">
      <c r="R47813" s="1288"/>
    </row>
    <row r="47814" spans="18:18" s="2" customFormat="1" ht="12.75" x14ac:dyDescent="0.2">
      <c r="R47814" s="1288"/>
    </row>
    <row r="47815" spans="18:18" s="2" customFormat="1" ht="12.75" x14ac:dyDescent="0.2">
      <c r="R47815" s="1288"/>
    </row>
    <row r="47816" spans="18:18" s="2" customFormat="1" ht="12.75" x14ac:dyDescent="0.2">
      <c r="R47816" s="1288"/>
    </row>
    <row r="47817" spans="18:18" s="2" customFormat="1" ht="12.75" x14ac:dyDescent="0.2">
      <c r="R47817" s="1288"/>
    </row>
    <row r="47818" spans="18:18" s="2" customFormat="1" ht="12.75" x14ac:dyDescent="0.2">
      <c r="R47818" s="1288"/>
    </row>
    <row r="47819" spans="18:18" s="2" customFormat="1" ht="12.75" x14ac:dyDescent="0.2">
      <c r="R47819" s="1288"/>
    </row>
    <row r="47820" spans="18:18" s="2" customFormat="1" ht="12.75" x14ac:dyDescent="0.2">
      <c r="R47820" s="1288"/>
    </row>
    <row r="47821" spans="18:18" s="2" customFormat="1" ht="12.75" x14ac:dyDescent="0.2">
      <c r="R47821" s="1288"/>
    </row>
    <row r="47822" spans="18:18" s="2" customFormat="1" ht="12.75" x14ac:dyDescent="0.2">
      <c r="R47822" s="1288"/>
    </row>
    <row r="47823" spans="18:18" s="2" customFormat="1" ht="12.75" x14ac:dyDescent="0.2">
      <c r="R47823" s="1288"/>
    </row>
    <row r="47824" spans="18:18" s="2" customFormat="1" ht="12.75" x14ac:dyDescent="0.2">
      <c r="R47824" s="1288"/>
    </row>
    <row r="47825" spans="18:18" s="2" customFormat="1" ht="12.75" x14ac:dyDescent="0.2">
      <c r="R47825" s="1288"/>
    </row>
    <row r="47826" spans="18:18" s="2" customFormat="1" ht="12.75" x14ac:dyDescent="0.2">
      <c r="R47826" s="1288"/>
    </row>
    <row r="47827" spans="18:18" s="2" customFormat="1" ht="12.75" x14ac:dyDescent="0.2">
      <c r="R47827" s="1288"/>
    </row>
    <row r="47828" spans="18:18" s="2" customFormat="1" ht="12.75" x14ac:dyDescent="0.2">
      <c r="R47828" s="1288"/>
    </row>
    <row r="47829" spans="18:18" s="2" customFormat="1" ht="12.75" x14ac:dyDescent="0.2">
      <c r="R47829" s="1288"/>
    </row>
    <row r="47830" spans="18:18" s="2" customFormat="1" ht="12.75" x14ac:dyDescent="0.2">
      <c r="R47830" s="1288"/>
    </row>
    <row r="47831" spans="18:18" s="2" customFormat="1" ht="12.75" x14ac:dyDescent="0.2">
      <c r="R47831" s="1288"/>
    </row>
    <row r="47832" spans="18:18" s="2" customFormat="1" ht="12.75" x14ac:dyDescent="0.2">
      <c r="R47832" s="1288"/>
    </row>
    <row r="47833" spans="18:18" s="2" customFormat="1" ht="12.75" x14ac:dyDescent="0.2">
      <c r="R47833" s="1288"/>
    </row>
    <row r="47834" spans="18:18" s="2" customFormat="1" ht="12.75" x14ac:dyDescent="0.2">
      <c r="R47834" s="1288"/>
    </row>
    <row r="47835" spans="18:18" s="2" customFormat="1" ht="12.75" x14ac:dyDescent="0.2">
      <c r="R47835" s="1288"/>
    </row>
    <row r="47836" spans="18:18" s="2" customFormat="1" ht="12.75" x14ac:dyDescent="0.2">
      <c r="R47836" s="1288"/>
    </row>
    <row r="47837" spans="18:18" s="2" customFormat="1" ht="12.75" x14ac:dyDescent="0.2">
      <c r="R47837" s="1288"/>
    </row>
    <row r="47838" spans="18:18" s="2" customFormat="1" ht="12.75" x14ac:dyDescent="0.2">
      <c r="R47838" s="1288"/>
    </row>
    <row r="47839" spans="18:18" s="2" customFormat="1" ht="12.75" x14ac:dyDescent="0.2">
      <c r="R47839" s="1288"/>
    </row>
    <row r="47840" spans="18:18" s="2" customFormat="1" ht="12.75" x14ac:dyDescent="0.2">
      <c r="R47840" s="1288"/>
    </row>
    <row r="47841" spans="18:18" s="2" customFormat="1" ht="12.75" x14ac:dyDescent="0.2">
      <c r="R47841" s="1288"/>
    </row>
    <row r="47842" spans="18:18" s="2" customFormat="1" ht="12.75" x14ac:dyDescent="0.2">
      <c r="R47842" s="1288"/>
    </row>
    <row r="47843" spans="18:18" s="2" customFormat="1" ht="12.75" x14ac:dyDescent="0.2">
      <c r="R47843" s="1288"/>
    </row>
    <row r="47844" spans="18:18" s="2" customFormat="1" ht="12.75" x14ac:dyDescent="0.2">
      <c r="R47844" s="1288"/>
    </row>
    <row r="47845" spans="18:18" s="2" customFormat="1" ht="12.75" x14ac:dyDescent="0.2">
      <c r="R47845" s="1288"/>
    </row>
    <row r="47846" spans="18:18" s="2" customFormat="1" ht="12.75" x14ac:dyDescent="0.2">
      <c r="R47846" s="1288"/>
    </row>
    <row r="47847" spans="18:18" s="2" customFormat="1" ht="12.75" x14ac:dyDescent="0.2">
      <c r="R47847" s="1288"/>
    </row>
    <row r="47848" spans="18:18" s="2" customFormat="1" ht="12.75" x14ac:dyDescent="0.2">
      <c r="R47848" s="1288"/>
    </row>
    <row r="47849" spans="18:18" s="2" customFormat="1" ht="12.75" x14ac:dyDescent="0.2">
      <c r="R47849" s="1288"/>
    </row>
    <row r="47850" spans="18:18" s="2" customFormat="1" ht="12.75" x14ac:dyDescent="0.2">
      <c r="R47850" s="1288"/>
    </row>
    <row r="47851" spans="18:18" s="2" customFormat="1" ht="12.75" x14ac:dyDescent="0.2">
      <c r="R47851" s="1288"/>
    </row>
    <row r="47852" spans="18:18" s="2" customFormat="1" ht="12.75" x14ac:dyDescent="0.2">
      <c r="R47852" s="1288"/>
    </row>
    <row r="47853" spans="18:18" s="2" customFormat="1" ht="12.75" x14ac:dyDescent="0.2">
      <c r="R47853" s="1288"/>
    </row>
    <row r="47854" spans="18:18" s="2" customFormat="1" ht="12.75" x14ac:dyDescent="0.2">
      <c r="R47854" s="1288"/>
    </row>
    <row r="47855" spans="18:18" s="2" customFormat="1" ht="12.75" x14ac:dyDescent="0.2">
      <c r="R47855" s="1288"/>
    </row>
    <row r="47856" spans="18:18" s="2" customFormat="1" ht="12.75" x14ac:dyDescent="0.2">
      <c r="R47856" s="1288"/>
    </row>
    <row r="47857" spans="18:18" s="2" customFormat="1" ht="12.75" x14ac:dyDescent="0.2">
      <c r="R47857" s="1288"/>
    </row>
    <row r="47858" spans="18:18" s="2" customFormat="1" ht="12.75" x14ac:dyDescent="0.2">
      <c r="R47858" s="1288"/>
    </row>
    <row r="47859" spans="18:18" s="2" customFormat="1" ht="12.75" x14ac:dyDescent="0.2">
      <c r="R47859" s="1288"/>
    </row>
    <row r="47860" spans="18:18" s="2" customFormat="1" ht="12.75" x14ac:dyDescent="0.2">
      <c r="R47860" s="1288"/>
    </row>
    <row r="47861" spans="18:18" s="2" customFormat="1" ht="12.75" x14ac:dyDescent="0.2">
      <c r="R47861" s="1288"/>
    </row>
    <row r="47862" spans="18:18" s="2" customFormat="1" ht="12.75" x14ac:dyDescent="0.2">
      <c r="R47862" s="1288"/>
    </row>
    <row r="47863" spans="18:18" s="2" customFormat="1" ht="12.75" x14ac:dyDescent="0.2">
      <c r="R47863" s="1288"/>
    </row>
    <row r="47864" spans="18:18" s="2" customFormat="1" ht="12.75" x14ac:dyDescent="0.2">
      <c r="R47864" s="1288"/>
    </row>
    <row r="47865" spans="18:18" s="2" customFormat="1" ht="12.75" x14ac:dyDescent="0.2">
      <c r="R47865" s="1288"/>
    </row>
    <row r="47866" spans="18:18" s="2" customFormat="1" ht="12.75" x14ac:dyDescent="0.2">
      <c r="R47866" s="1288"/>
    </row>
    <row r="47867" spans="18:18" s="2" customFormat="1" ht="12.75" x14ac:dyDescent="0.2">
      <c r="R47867" s="1288"/>
    </row>
    <row r="47868" spans="18:18" s="2" customFormat="1" ht="12.75" x14ac:dyDescent="0.2">
      <c r="R47868" s="1288"/>
    </row>
    <row r="47869" spans="18:18" s="2" customFormat="1" ht="12.75" x14ac:dyDescent="0.2">
      <c r="R47869" s="1288"/>
    </row>
    <row r="47870" spans="18:18" s="2" customFormat="1" ht="12.75" x14ac:dyDescent="0.2">
      <c r="R47870" s="1288"/>
    </row>
    <row r="47871" spans="18:18" s="2" customFormat="1" ht="12.75" x14ac:dyDescent="0.2">
      <c r="R47871" s="1288"/>
    </row>
    <row r="47872" spans="18:18" s="2" customFormat="1" ht="12.75" x14ac:dyDescent="0.2">
      <c r="R47872" s="1288"/>
    </row>
    <row r="47873" spans="18:18" s="2" customFormat="1" ht="12.75" x14ac:dyDescent="0.2">
      <c r="R47873" s="1288"/>
    </row>
    <row r="47874" spans="18:18" s="2" customFormat="1" ht="12.75" x14ac:dyDescent="0.2">
      <c r="R47874" s="1288"/>
    </row>
    <row r="47875" spans="18:18" s="2" customFormat="1" ht="12.75" x14ac:dyDescent="0.2">
      <c r="R47875" s="1288"/>
    </row>
    <row r="47876" spans="18:18" s="2" customFormat="1" ht="12.75" x14ac:dyDescent="0.2">
      <c r="R47876" s="1288"/>
    </row>
    <row r="47877" spans="18:18" s="2" customFormat="1" ht="12.75" x14ac:dyDescent="0.2">
      <c r="R47877" s="1288"/>
    </row>
    <row r="47878" spans="18:18" s="2" customFormat="1" ht="12.75" x14ac:dyDescent="0.2">
      <c r="R47878" s="1288"/>
    </row>
    <row r="47879" spans="18:18" s="2" customFormat="1" ht="12.75" x14ac:dyDescent="0.2">
      <c r="R47879" s="1288"/>
    </row>
    <row r="47880" spans="18:18" s="2" customFormat="1" ht="12.75" x14ac:dyDescent="0.2">
      <c r="R47880" s="1288"/>
    </row>
    <row r="47881" spans="18:18" s="2" customFormat="1" ht="12.75" x14ac:dyDescent="0.2">
      <c r="R47881" s="1288"/>
    </row>
    <row r="47882" spans="18:18" s="2" customFormat="1" ht="12.75" x14ac:dyDescent="0.2">
      <c r="R47882" s="1288"/>
    </row>
    <row r="47883" spans="18:18" s="2" customFormat="1" ht="12.75" x14ac:dyDescent="0.2">
      <c r="R47883" s="1288"/>
    </row>
    <row r="47884" spans="18:18" s="2" customFormat="1" ht="12.75" x14ac:dyDescent="0.2">
      <c r="R47884" s="1288"/>
    </row>
    <row r="47885" spans="18:18" s="2" customFormat="1" ht="12.75" x14ac:dyDescent="0.2">
      <c r="R47885" s="1288"/>
    </row>
    <row r="47886" spans="18:18" s="2" customFormat="1" ht="12.75" x14ac:dyDescent="0.2">
      <c r="R47886" s="1288"/>
    </row>
    <row r="47887" spans="18:18" s="2" customFormat="1" ht="12.75" x14ac:dyDescent="0.2">
      <c r="R47887" s="1288"/>
    </row>
    <row r="47888" spans="18:18" s="2" customFormat="1" ht="12.75" x14ac:dyDescent="0.2">
      <c r="R47888" s="1288"/>
    </row>
    <row r="47889" spans="18:18" s="2" customFormat="1" ht="12.75" x14ac:dyDescent="0.2">
      <c r="R47889" s="1288"/>
    </row>
    <row r="47890" spans="18:18" s="2" customFormat="1" ht="12.75" x14ac:dyDescent="0.2">
      <c r="R47890" s="1288"/>
    </row>
    <row r="47891" spans="18:18" s="2" customFormat="1" ht="12.75" x14ac:dyDescent="0.2">
      <c r="R47891" s="1288"/>
    </row>
    <row r="47892" spans="18:18" s="2" customFormat="1" ht="12.75" x14ac:dyDescent="0.2">
      <c r="R47892" s="1288"/>
    </row>
    <row r="47893" spans="18:18" s="2" customFormat="1" ht="12.75" x14ac:dyDescent="0.2">
      <c r="R47893" s="1288"/>
    </row>
    <row r="47894" spans="18:18" s="2" customFormat="1" ht="12.75" x14ac:dyDescent="0.2">
      <c r="R47894" s="1288"/>
    </row>
    <row r="47895" spans="18:18" s="2" customFormat="1" ht="12.75" x14ac:dyDescent="0.2">
      <c r="R47895" s="1288"/>
    </row>
    <row r="47896" spans="18:18" s="2" customFormat="1" ht="12.75" x14ac:dyDescent="0.2">
      <c r="R47896" s="1288"/>
    </row>
    <row r="47897" spans="18:18" s="2" customFormat="1" ht="12.75" x14ac:dyDescent="0.2">
      <c r="R47897" s="1288"/>
    </row>
    <row r="47898" spans="18:18" s="2" customFormat="1" ht="12.75" x14ac:dyDescent="0.2">
      <c r="R47898" s="1288"/>
    </row>
    <row r="47899" spans="18:18" s="2" customFormat="1" ht="12.75" x14ac:dyDescent="0.2">
      <c r="R47899" s="1288"/>
    </row>
    <row r="47900" spans="18:18" s="2" customFormat="1" ht="12.75" x14ac:dyDescent="0.2">
      <c r="R47900" s="1288"/>
    </row>
    <row r="47901" spans="18:18" s="2" customFormat="1" ht="12.75" x14ac:dyDescent="0.2">
      <c r="R47901" s="1288"/>
    </row>
    <row r="47902" spans="18:18" s="2" customFormat="1" ht="12.75" x14ac:dyDescent="0.2">
      <c r="R47902" s="1288"/>
    </row>
    <row r="47903" spans="18:18" s="2" customFormat="1" ht="12.75" x14ac:dyDescent="0.2">
      <c r="R47903" s="1288"/>
    </row>
    <row r="47904" spans="18:18" s="2" customFormat="1" ht="12.75" x14ac:dyDescent="0.2">
      <c r="R47904" s="1288"/>
    </row>
    <row r="47905" spans="18:18" s="2" customFormat="1" ht="12.75" x14ac:dyDescent="0.2">
      <c r="R47905" s="1288"/>
    </row>
    <row r="47906" spans="18:18" s="2" customFormat="1" ht="12.75" x14ac:dyDescent="0.2">
      <c r="R47906" s="1288"/>
    </row>
    <row r="47907" spans="18:18" s="2" customFormat="1" ht="12.75" x14ac:dyDescent="0.2">
      <c r="R47907" s="1288"/>
    </row>
    <row r="47908" spans="18:18" s="2" customFormat="1" ht="12.75" x14ac:dyDescent="0.2">
      <c r="R47908" s="1288"/>
    </row>
    <row r="47909" spans="18:18" s="2" customFormat="1" ht="12.75" x14ac:dyDescent="0.2">
      <c r="R47909" s="1288"/>
    </row>
    <row r="47910" spans="18:18" s="2" customFormat="1" ht="12.75" x14ac:dyDescent="0.2">
      <c r="R47910" s="1288"/>
    </row>
    <row r="47911" spans="18:18" s="2" customFormat="1" ht="12.75" x14ac:dyDescent="0.2">
      <c r="R47911" s="1288"/>
    </row>
    <row r="47912" spans="18:18" s="2" customFormat="1" ht="12.75" x14ac:dyDescent="0.2">
      <c r="R47912" s="1288"/>
    </row>
    <row r="47913" spans="18:18" s="2" customFormat="1" ht="12.75" x14ac:dyDescent="0.2">
      <c r="R47913" s="1288"/>
    </row>
    <row r="47914" spans="18:18" s="2" customFormat="1" ht="12.75" x14ac:dyDescent="0.2">
      <c r="R47914" s="1288"/>
    </row>
    <row r="47915" spans="18:18" s="2" customFormat="1" ht="12.75" x14ac:dyDescent="0.2">
      <c r="R47915" s="1288"/>
    </row>
    <row r="47916" spans="18:18" s="2" customFormat="1" ht="12.75" x14ac:dyDescent="0.2">
      <c r="R47916" s="1288"/>
    </row>
    <row r="47917" spans="18:18" s="2" customFormat="1" ht="12.75" x14ac:dyDescent="0.2">
      <c r="R47917" s="1288"/>
    </row>
    <row r="47918" spans="18:18" s="2" customFormat="1" ht="12.75" x14ac:dyDescent="0.2">
      <c r="R47918" s="1288"/>
    </row>
    <row r="47919" spans="18:18" s="2" customFormat="1" ht="12.75" x14ac:dyDescent="0.2">
      <c r="R47919" s="1288"/>
    </row>
    <row r="47920" spans="18:18" s="2" customFormat="1" ht="12.75" x14ac:dyDescent="0.2">
      <c r="R47920" s="1288"/>
    </row>
    <row r="47921" spans="18:18" s="2" customFormat="1" ht="12.75" x14ac:dyDescent="0.2">
      <c r="R47921" s="1288"/>
    </row>
    <row r="47922" spans="18:18" s="2" customFormat="1" ht="12.75" x14ac:dyDescent="0.2">
      <c r="R47922" s="1288"/>
    </row>
    <row r="47923" spans="18:18" s="2" customFormat="1" ht="12.75" x14ac:dyDescent="0.2">
      <c r="R47923" s="1288"/>
    </row>
    <row r="47924" spans="18:18" s="2" customFormat="1" ht="12.75" x14ac:dyDescent="0.2">
      <c r="R47924" s="1288"/>
    </row>
    <row r="47925" spans="18:18" s="2" customFormat="1" ht="12.75" x14ac:dyDescent="0.2">
      <c r="R47925" s="1288"/>
    </row>
    <row r="47926" spans="18:18" s="2" customFormat="1" ht="12.75" x14ac:dyDescent="0.2">
      <c r="R47926" s="1288"/>
    </row>
    <row r="47927" spans="18:18" s="2" customFormat="1" ht="12.75" x14ac:dyDescent="0.2">
      <c r="R47927" s="1288"/>
    </row>
    <row r="47928" spans="18:18" s="2" customFormat="1" ht="12.75" x14ac:dyDescent="0.2">
      <c r="R47928" s="1288"/>
    </row>
    <row r="47929" spans="18:18" s="2" customFormat="1" ht="12.75" x14ac:dyDescent="0.2">
      <c r="R47929" s="1288"/>
    </row>
    <row r="47930" spans="18:18" s="2" customFormat="1" ht="12.75" x14ac:dyDescent="0.2">
      <c r="R47930" s="1288"/>
    </row>
    <row r="47931" spans="18:18" s="2" customFormat="1" ht="12.75" x14ac:dyDescent="0.2">
      <c r="R47931" s="1288"/>
    </row>
    <row r="47932" spans="18:18" s="2" customFormat="1" ht="12.75" x14ac:dyDescent="0.2">
      <c r="R47932" s="1288"/>
    </row>
    <row r="47933" spans="18:18" s="2" customFormat="1" ht="12.75" x14ac:dyDescent="0.2">
      <c r="R47933" s="1288"/>
    </row>
    <row r="47934" spans="18:18" s="2" customFormat="1" ht="12.75" x14ac:dyDescent="0.2">
      <c r="R47934" s="1288"/>
    </row>
    <row r="47935" spans="18:18" s="2" customFormat="1" ht="12.75" x14ac:dyDescent="0.2">
      <c r="R47935" s="1288"/>
    </row>
    <row r="47936" spans="18:18" s="2" customFormat="1" ht="12.75" x14ac:dyDescent="0.2">
      <c r="R47936" s="1288"/>
    </row>
    <row r="47937" spans="18:18" s="2" customFormat="1" ht="12.75" x14ac:dyDescent="0.2">
      <c r="R47937" s="1288"/>
    </row>
    <row r="47938" spans="18:18" s="2" customFormat="1" ht="12.75" x14ac:dyDescent="0.2">
      <c r="R47938" s="1288"/>
    </row>
    <row r="47939" spans="18:18" s="2" customFormat="1" ht="12.75" x14ac:dyDescent="0.2">
      <c r="R47939" s="1288"/>
    </row>
    <row r="47940" spans="18:18" s="2" customFormat="1" ht="12.75" x14ac:dyDescent="0.2">
      <c r="R47940" s="1288"/>
    </row>
    <row r="47941" spans="18:18" s="2" customFormat="1" ht="12.75" x14ac:dyDescent="0.2">
      <c r="R47941" s="1288"/>
    </row>
    <row r="47942" spans="18:18" s="2" customFormat="1" ht="12.75" x14ac:dyDescent="0.2">
      <c r="R47942" s="1288"/>
    </row>
    <row r="47943" spans="18:18" s="2" customFormat="1" ht="12.75" x14ac:dyDescent="0.2">
      <c r="R47943" s="1288"/>
    </row>
    <row r="47944" spans="18:18" s="2" customFormat="1" ht="12.75" x14ac:dyDescent="0.2">
      <c r="R47944" s="1288"/>
    </row>
    <row r="47945" spans="18:18" s="2" customFormat="1" ht="12.75" x14ac:dyDescent="0.2">
      <c r="R47945" s="1288"/>
    </row>
    <row r="47946" spans="18:18" s="2" customFormat="1" ht="12.75" x14ac:dyDescent="0.2">
      <c r="R47946" s="1288"/>
    </row>
    <row r="47947" spans="18:18" s="2" customFormat="1" ht="12.75" x14ac:dyDescent="0.2">
      <c r="R47947" s="1288"/>
    </row>
    <row r="47948" spans="18:18" s="2" customFormat="1" ht="12.75" x14ac:dyDescent="0.2">
      <c r="R47948" s="1288"/>
    </row>
    <row r="47949" spans="18:18" s="2" customFormat="1" ht="12.75" x14ac:dyDescent="0.2">
      <c r="R47949" s="1288"/>
    </row>
    <row r="47950" spans="18:18" s="2" customFormat="1" ht="12.75" x14ac:dyDescent="0.2">
      <c r="R47950" s="1288"/>
    </row>
    <row r="47951" spans="18:18" s="2" customFormat="1" ht="12.75" x14ac:dyDescent="0.2">
      <c r="R47951" s="1288"/>
    </row>
    <row r="47952" spans="18:18" s="2" customFormat="1" ht="12.75" x14ac:dyDescent="0.2">
      <c r="R47952" s="1288"/>
    </row>
    <row r="47953" spans="18:18" s="2" customFormat="1" ht="12.75" x14ac:dyDescent="0.2">
      <c r="R47953" s="1288"/>
    </row>
    <row r="47954" spans="18:18" s="2" customFormat="1" ht="12.75" x14ac:dyDescent="0.2">
      <c r="R47954" s="1288"/>
    </row>
    <row r="47955" spans="18:18" s="2" customFormat="1" ht="12.75" x14ac:dyDescent="0.2">
      <c r="R47955" s="1288"/>
    </row>
    <row r="47956" spans="18:18" s="2" customFormat="1" ht="12.75" x14ac:dyDescent="0.2">
      <c r="R47956" s="1288"/>
    </row>
    <row r="47957" spans="18:18" s="2" customFormat="1" ht="12.75" x14ac:dyDescent="0.2">
      <c r="R47957" s="1288"/>
    </row>
    <row r="47958" spans="18:18" s="2" customFormat="1" ht="12.75" x14ac:dyDescent="0.2">
      <c r="R47958" s="1288"/>
    </row>
    <row r="47959" spans="18:18" s="2" customFormat="1" ht="12.75" x14ac:dyDescent="0.2">
      <c r="R47959" s="1288"/>
    </row>
    <row r="47960" spans="18:18" s="2" customFormat="1" ht="12.75" x14ac:dyDescent="0.2">
      <c r="R47960" s="1288"/>
    </row>
    <row r="47961" spans="18:18" s="2" customFormat="1" ht="12.75" x14ac:dyDescent="0.2">
      <c r="R47961" s="1288"/>
    </row>
    <row r="47962" spans="18:18" s="2" customFormat="1" ht="12.75" x14ac:dyDescent="0.2">
      <c r="R47962" s="1288"/>
    </row>
    <row r="47963" spans="18:18" s="2" customFormat="1" ht="12.75" x14ac:dyDescent="0.2">
      <c r="R47963" s="1288"/>
    </row>
    <row r="47964" spans="18:18" s="2" customFormat="1" ht="12.75" x14ac:dyDescent="0.2">
      <c r="R47964" s="1288"/>
    </row>
    <row r="47965" spans="18:18" s="2" customFormat="1" ht="12.75" x14ac:dyDescent="0.2">
      <c r="R47965" s="1288"/>
    </row>
    <row r="47966" spans="18:18" s="2" customFormat="1" ht="12.75" x14ac:dyDescent="0.2">
      <c r="R47966" s="1288"/>
    </row>
    <row r="47967" spans="18:18" s="2" customFormat="1" ht="12.75" x14ac:dyDescent="0.2">
      <c r="R47967" s="1288"/>
    </row>
    <row r="47968" spans="18:18" s="2" customFormat="1" ht="12.75" x14ac:dyDescent="0.2">
      <c r="R47968" s="1288"/>
    </row>
    <row r="47969" spans="18:18" s="2" customFormat="1" ht="12.75" x14ac:dyDescent="0.2">
      <c r="R47969" s="1288"/>
    </row>
    <row r="47970" spans="18:18" s="2" customFormat="1" ht="12.75" x14ac:dyDescent="0.2">
      <c r="R47970" s="1288"/>
    </row>
    <row r="47971" spans="18:18" s="2" customFormat="1" ht="12.75" x14ac:dyDescent="0.2">
      <c r="R47971" s="1288"/>
    </row>
    <row r="47972" spans="18:18" s="2" customFormat="1" ht="12.75" x14ac:dyDescent="0.2">
      <c r="R47972" s="1288"/>
    </row>
    <row r="47973" spans="18:18" s="2" customFormat="1" ht="12.75" x14ac:dyDescent="0.2">
      <c r="R47973" s="1288"/>
    </row>
    <row r="47974" spans="18:18" s="2" customFormat="1" ht="12.75" x14ac:dyDescent="0.2">
      <c r="R47974" s="1288"/>
    </row>
    <row r="47975" spans="18:18" s="2" customFormat="1" ht="12.75" x14ac:dyDescent="0.2">
      <c r="R47975" s="1288"/>
    </row>
    <row r="47976" spans="18:18" s="2" customFormat="1" ht="12.75" x14ac:dyDescent="0.2">
      <c r="R47976" s="1288"/>
    </row>
    <row r="47977" spans="18:18" s="2" customFormat="1" ht="12.75" x14ac:dyDescent="0.2">
      <c r="R47977" s="1288"/>
    </row>
    <row r="47978" spans="18:18" s="2" customFormat="1" ht="12.75" x14ac:dyDescent="0.2">
      <c r="R47978" s="1288"/>
    </row>
    <row r="47979" spans="18:18" s="2" customFormat="1" ht="12.75" x14ac:dyDescent="0.2">
      <c r="R47979" s="1288"/>
    </row>
    <row r="47980" spans="18:18" s="2" customFormat="1" ht="12.75" x14ac:dyDescent="0.2">
      <c r="R47980" s="1288"/>
    </row>
    <row r="47981" spans="18:18" s="2" customFormat="1" ht="12.75" x14ac:dyDescent="0.2">
      <c r="R47981" s="1288"/>
    </row>
    <row r="47982" spans="18:18" s="2" customFormat="1" ht="12.75" x14ac:dyDescent="0.2">
      <c r="R47982" s="1288"/>
    </row>
    <row r="47983" spans="18:18" s="2" customFormat="1" ht="12.75" x14ac:dyDescent="0.2">
      <c r="R47983" s="1288"/>
    </row>
    <row r="47984" spans="18:18" s="2" customFormat="1" ht="12.75" x14ac:dyDescent="0.2">
      <c r="R47984" s="1288"/>
    </row>
    <row r="47985" spans="18:18" s="2" customFormat="1" ht="12.75" x14ac:dyDescent="0.2">
      <c r="R47985" s="1288"/>
    </row>
    <row r="47986" spans="18:18" s="2" customFormat="1" ht="12.75" x14ac:dyDescent="0.2">
      <c r="R47986" s="1288"/>
    </row>
    <row r="47987" spans="18:18" s="2" customFormat="1" ht="12.75" x14ac:dyDescent="0.2">
      <c r="R47987" s="1288"/>
    </row>
    <row r="47988" spans="18:18" s="2" customFormat="1" ht="12.75" x14ac:dyDescent="0.2">
      <c r="R47988" s="1288"/>
    </row>
    <row r="47989" spans="18:18" s="2" customFormat="1" ht="12.75" x14ac:dyDescent="0.2">
      <c r="R47989" s="1288"/>
    </row>
    <row r="47990" spans="18:18" s="2" customFormat="1" ht="12.75" x14ac:dyDescent="0.2">
      <c r="R47990" s="1288"/>
    </row>
    <row r="47991" spans="18:18" s="2" customFormat="1" ht="12.75" x14ac:dyDescent="0.2">
      <c r="R47991" s="1288"/>
    </row>
    <row r="47992" spans="18:18" s="2" customFormat="1" ht="12.75" x14ac:dyDescent="0.2">
      <c r="R47992" s="1288"/>
    </row>
    <row r="47993" spans="18:18" s="2" customFormat="1" ht="12.75" x14ac:dyDescent="0.2">
      <c r="R47993" s="1288"/>
    </row>
    <row r="47994" spans="18:18" s="2" customFormat="1" ht="12.75" x14ac:dyDescent="0.2">
      <c r="R47994" s="1288"/>
    </row>
    <row r="47995" spans="18:18" s="2" customFormat="1" ht="12.75" x14ac:dyDescent="0.2">
      <c r="R47995" s="1288"/>
    </row>
    <row r="47996" spans="18:18" s="2" customFormat="1" ht="12.75" x14ac:dyDescent="0.2">
      <c r="R47996" s="1288"/>
    </row>
    <row r="47997" spans="18:18" s="2" customFormat="1" ht="12.75" x14ac:dyDescent="0.2">
      <c r="R47997" s="1288"/>
    </row>
    <row r="47998" spans="18:18" s="2" customFormat="1" ht="12.75" x14ac:dyDescent="0.2">
      <c r="R47998" s="1288"/>
    </row>
    <row r="47999" spans="18:18" s="2" customFormat="1" ht="12.75" x14ac:dyDescent="0.2">
      <c r="R47999" s="1288"/>
    </row>
    <row r="48000" spans="18:18" s="2" customFormat="1" ht="12.75" x14ac:dyDescent="0.2">
      <c r="R48000" s="1288"/>
    </row>
    <row r="48001" spans="18:18" s="2" customFormat="1" ht="12.75" x14ac:dyDescent="0.2">
      <c r="R48001" s="1288"/>
    </row>
    <row r="48002" spans="18:18" s="2" customFormat="1" ht="12.75" x14ac:dyDescent="0.2">
      <c r="R48002" s="1288"/>
    </row>
    <row r="48003" spans="18:18" s="2" customFormat="1" ht="12.75" x14ac:dyDescent="0.2">
      <c r="R48003" s="1288"/>
    </row>
    <row r="48004" spans="18:18" s="2" customFormat="1" ht="12.75" x14ac:dyDescent="0.2">
      <c r="R48004" s="1288"/>
    </row>
    <row r="48005" spans="18:18" s="2" customFormat="1" ht="12.75" x14ac:dyDescent="0.2">
      <c r="R48005" s="1288"/>
    </row>
    <row r="48006" spans="18:18" s="2" customFormat="1" ht="12.75" x14ac:dyDescent="0.2">
      <c r="R48006" s="1288"/>
    </row>
    <row r="48007" spans="18:18" s="2" customFormat="1" ht="12.75" x14ac:dyDescent="0.2">
      <c r="R48007" s="1288"/>
    </row>
    <row r="48008" spans="18:18" s="2" customFormat="1" ht="12.75" x14ac:dyDescent="0.2">
      <c r="R48008" s="1288"/>
    </row>
    <row r="48009" spans="18:18" s="2" customFormat="1" ht="12.75" x14ac:dyDescent="0.2">
      <c r="R48009" s="1288"/>
    </row>
    <row r="48010" spans="18:18" s="2" customFormat="1" ht="12.75" x14ac:dyDescent="0.2">
      <c r="R48010" s="1288"/>
    </row>
    <row r="48011" spans="18:18" s="2" customFormat="1" ht="12.75" x14ac:dyDescent="0.2">
      <c r="R48011" s="1288"/>
    </row>
    <row r="48012" spans="18:18" s="2" customFormat="1" ht="12.75" x14ac:dyDescent="0.2">
      <c r="R48012" s="1288"/>
    </row>
    <row r="48013" spans="18:18" s="2" customFormat="1" ht="12.75" x14ac:dyDescent="0.2">
      <c r="R48013" s="1288"/>
    </row>
    <row r="48014" spans="18:18" s="2" customFormat="1" ht="12.75" x14ac:dyDescent="0.2">
      <c r="R48014" s="1288"/>
    </row>
    <row r="48015" spans="18:18" s="2" customFormat="1" ht="12.75" x14ac:dyDescent="0.2">
      <c r="R48015" s="1288"/>
    </row>
    <row r="48016" spans="18:18" s="2" customFormat="1" ht="12.75" x14ac:dyDescent="0.2">
      <c r="R48016" s="1288"/>
    </row>
    <row r="48017" spans="18:18" s="2" customFormat="1" ht="12.75" x14ac:dyDescent="0.2">
      <c r="R48017" s="1288"/>
    </row>
    <row r="48018" spans="18:18" s="2" customFormat="1" ht="12.75" x14ac:dyDescent="0.2">
      <c r="R48018" s="1288"/>
    </row>
    <row r="48019" spans="18:18" s="2" customFormat="1" ht="12.75" x14ac:dyDescent="0.2">
      <c r="R48019" s="1288"/>
    </row>
    <row r="48020" spans="18:18" s="2" customFormat="1" ht="12.75" x14ac:dyDescent="0.2">
      <c r="R48020" s="1288"/>
    </row>
    <row r="48021" spans="18:18" s="2" customFormat="1" ht="12.75" x14ac:dyDescent="0.2">
      <c r="R48021" s="1288"/>
    </row>
    <row r="48022" spans="18:18" s="2" customFormat="1" ht="12.75" x14ac:dyDescent="0.2">
      <c r="R48022" s="1288"/>
    </row>
    <row r="48023" spans="18:18" s="2" customFormat="1" ht="12.75" x14ac:dyDescent="0.2">
      <c r="R48023" s="1288"/>
    </row>
    <row r="48024" spans="18:18" s="2" customFormat="1" ht="12.75" x14ac:dyDescent="0.2">
      <c r="R48024" s="1288"/>
    </row>
    <row r="48025" spans="18:18" s="2" customFormat="1" ht="12.75" x14ac:dyDescent="0.2">
      <c r="R48025" s="1288"/>
    </row>
    <row r="48026" spans="18:18" s="2" customFormat="1" ht="12.75" x14ac:dyDescent="0.2">
      <c r="R48026" s="1288"/>
    </row>
    <row r="48027" spans="18:18" s="2" customFormat="1" ht="12.75" x14ac:dyDescent="0.2">
      <c r="R48027" s="1288"/>
    </row>
    <row r="48028" spans="18:18" s="2" customFormat="1" ht="12.75" x14ac:dyDescent="0.2">
      <c r="R48028" s="1288"/>
    </row>
    <row r="48029" spans="18:18" s="2" customFormat="1" ht="12.75" x14ac:dyDescent="0.2">
      <c r="R48029" s="1288"/>
    </row>
    <row r="48030" spans="18:18" s="2" customFormat="1" ht="12.75" x14ac:dyDescent="0.2">
      <c r="R48030" s="1288"/>
    </row>
    <row r="48031" spans="18:18" s="2" customFormat="1" ht="12.75" x14ac:dyDescent="0.2">
      <c r="R48031" s="1288"/>
    </row>
    <row r="48032" spans="18:18" s="2" customFormat="1" ht="12.75" x14ac:dyDescent="0.2">
      <c r="R48032" s="1288"/>
    </row>
    <row r="48033" spans="18:18" s="2" customFormat="1" ht="12.75" x14ac:dyDescent="0.2">
      <c r="R48033" s="1288"/>
    </row>
    <row r="48034" spans="18:18" s="2" customFormat="1" ht="12.75" x14ac:dyDescent="0.2">
      <c r="R48034" s="1288"/>
    </row>
    <row r="48035" spans="18:18" s="2" customFormat="1" ht="12.75" x14ac:dyDescent="0.2">
      <c r="R48035" s="1288"/>
    </row>
    <row r="48036" spans="18:18" s="2" customFormat="1" ht="12.75" x14ac:dyDescent="0.2">
      <c r="R48036" s="1288"/>
    </row>
    <row r="48037" spans="18:18" s="2" customFormat="1" ht="12.75" x14ac:dyDescent="0.2">
      <c r="R48037" s="1288"/>
    </row>
    <row r="48038" spans="18:18" s="2" customFormat="1" ht="12.75" x14ac:dyDescent="0.2">
      <c r="R48038" s="1288"/>
    </row>
    <row r="48039" spans="18:18" s="2" customFormat="1" ht="12.75" x14ac:dyDescent="0.2">
      <c r="R48039" s="1288"/>
    </row>
    <row r="48040" spans="18:18" s="2" customFormat="1" ht="12.75" x14ac:dyDescent="0.2">
      <c r="R48040" s="1288"/>
    </row>
    <row r="48041" spans="18:18" s="2" customFormat="1" ht="12.75" x14ac:dyDescent="0.2">
      <c r="R48041" s="1288"/>
    </row>
    <row r="48042" spans="18:18" s="2" customFormat="1" ht="12.75" x14ac:dyDescent="0.2">
      <c r="R48042" s="1288"/>
    </row>
    <row r="48043" spans="18:18" s="2" customFormat="1" ht="12.75" x14ac:dyDescent="0.2">
      <c r="R48043" s="1288"/>
    </row>
    <row r="48044" spans="18:18" s="2" customFormat="1" ht="12.75" x14ac:dyDescent="0.2">
      <c r="R48044" s="1288"/>
    </row>
    <row r="48045" spans="18:18" s="2" customFormat="1" ht="12.75" x14ac:dyDescent="0.2">
      <c r="R48045" s="1288"/>
    </row>
    <row r="48046" spans="18:18" s="2" customFormat="1" ht="12.75" x14ac:dyDescent="0.2">
      <c r="R48046" s="1288"/>
    </row>
    <row r="48047" spans="18:18" s="2" customFormat="1" ht="12.75" x14ac:dyDescent="0.2">
      <c r="R48047" s="1288"/>
    </row>
    <row r="48048" spans="18:18" s="2" customFormat="1" ht="12.75" x14ac:dyDescent="0.2">
      <c r="R48048" s="1288"/>
    </row>
    <row r="48049" spans="18:18" s="2" customFormat="1" ht="12.75" x14ac:dyDescent="0.2">
      <c r="R48049" s="1288"/>
    </row>
    <row r="48050" spans="18:18" s="2" customFormat="1" ht="12.75" x14ac:dyDescent="0.2">
      <c r="R48050" s="1288"/>
    </row>
    <row r="48051" spans="18:18" s="2" customFormat="1" ht="12.75" x14ac:dyDescent="0.2">
      <c r="R48051" s="1288"/>
    </row>
    <row r="48052" spans="18:18" s="2" customFormat="1" ht="12.75" x14ac:dyDescent="0.2">
      <c r="R48052" s="1288"/>
    </row>
    <row r="48053" spans="18:18" s="2" customFormat="1" ht="12.75" x14ac:dyDescent="0.2">
      <c r="R48053" s="1288"/>
    </row>
    <row r="48054" spans="18:18" s="2" customFormat="1" ht="12.75" x14ac:dyDescent="0.2">
      <c r="R48054" s="1288"/>
    </row>
    <row r="48055" spans="18:18" s="2" customFormat="1" ht="12.75" x14ac:dyDescent="0.2">
      <c r="R48055" s="1288"/>
    </row>
    <row r="48056" spans="18:18" s="2" customFormat="1" ht="12.75" x14ac:dyDescent="0.2">
      <c r="R48056" s="1288"/>
    </row>
    <row r="48057" spans="18:18" s="2" customFormat="1" ht="12.75" x14ac:dyDescent="0.2">
      <c r="R48057" s="1288"/>
    </row>
    <row r="48058" spans="18:18" s="2" customFormat="1" ht="12.75" x14ac:dyDescent="0.2">
      <c r="R48058" s="1288"/>
    </row>
    <row r="48059" spans="18:18" s="2" customFormat="1" ht="12.75" x14ac:dyDescent="0.2">
      <c r="R48059" s="1288"/>
    </row>
    <row r="48060" spans="18:18" s="2" customFormat="1" ht="12.75" x14ac:dyDescent="0.2">
      <c r="R48060" s="1288"/>
    </row>
    <row r="48061" spans="18:18" s="2" customFormat="1" ht="12.75" x14ac:dyDescent="0.2">
      <c r="R48061" s="1288"/>
    </row>
    <row r="48062" spans="18:18" s="2" customFormat="1" ht="12.75" x14ac:dyDescent="0.2">
      <c r="R48062" s="1288"/>
    </row>
    <row r="48063" spans="18:18" s="2" customFormat="1" ht="12.75" x14ac:dyDescent="0.2">
      <c r="R48063" s="1288"/>
    </row>
    <row r="48064" spans="18:18" s="2" customFormat="1" ht="12.75" x14ac:dyDescent="0.2">
      <c r="R48064" s="1288"/>
    </row>
    <row r="48065" spans="18:18" s="2" customFormat="1" ht="12.75" x14ac:dyDescent="0.2">
      <c r="R48065" s="1288"/>
    </row>
    <row r="48066" spans="18:18" s="2" customFormat="1" ht="12.75" x14ac:dyDescent="0.2">
      <c r="R48066" s="1288"/>
    </row>
    <row r="48067" spans="18:18" s="2" customFormat="1" ht="12.75" x14ac:dyDescent="0.2">
      <c r="R48067" s="1288"/>
    </row>
    <row r="48068" spans="18:18" s="2" customFormat="1" ht="12.75" x14ac:dyDescent="0.2">
      <c r="R48068" s="1288"/>
    </row>
    <row r="48069" spans="18:18" s="2" customFormat="1" ht="12.75" x14ac:dyDescent="0.2">
      <c r="R48069" s="1288"/>
    </row>
    <row r="48070" spans="18:18" s="2" customFormat="1" ht="12.75" x14ac:dyDescent="0.2">
      <c r="R48070" s="1288"/>
    </row>
    <row r="48071" spans="18:18" s="2" customFormat="1" ht="12.75" x14ac:dyDescent="0.2">
      <c r="R48071" s="1288"/>
    </row>
    <row r="48072" spans="18:18" s="2" customFormat="1" ht="12.75" x14ac:dyDescent="0.2">
      <c r="R48072" s="1288"/>
    </row>
    <row r="48073" spans="18:18" s="2" customFormat="1" ht="12.75" x14ac:dyDescent="0.2">
      <c r="R48073" s="1288"/>
    </row>
    <row r="48074" spans="18:18" s="2" customFormat="1" ht="12.75" x14ac:dyDescent="0.2">
      <c r="R48074" s="1288"/>
    </row>
    <row r="48075" spans="18:18" s="2" customFormat="1" ht="12.75" x14ac:dyDescent="0.2">
      <c r="R48075" s="1288"/>
    </row>
    <row r="48076" spans="18:18" s="2" customFormat="1" ht="12.75" x14ac:dyDescent="0.2">
      <c r="R48076" s="1288"/>
    </row>
    <row r="48077" spans="18:18" s="2" customFormat="1" ht="12.75" x14ac:dyDescent="0.2">
      <c r="R48077" s="1288"/>
    </row>
    <row r="48078" spans="18:18" s="2" customFormat="1" ht="12.75" x14ac:dyDescent="0.2">
      <c r="R48078" s="1288"/>
    </row>
    <row r="48079" spans="18:18" s="2" customFormat="1" ht="12.75" x14ac:dyDescent="0.2">
      <c r="R48079" s="1288"/>
    </row>
    <row r="48080" spans="18:18" s="2" customFormat="1" ht="12.75" x14ac:dyDescent="0.2">
      <c r="R48080" s="1288"/>
    </row>
    <row r="48081" spans="18:18" s="2" customFormat="1" ht="12.75" x14ac:dyDescent="0.2">
      <c r="R48081" s="1288"/>
    </row>
    <row r="48082" spans="18:18" s="2" customFormat="1" ht="12.75" x14ac:dyDescent="0.2">
      <c r="R48082" s="1288"/>
    </row>
    <row r="48083" spans="18:18" s="2" customFormat="1" ht="12.75" x14ac:dyDescent="0.2">
      <c r="R48083" s="1288"/>
    </row>
    <row r="48084" spans="18:18" s="2" customFormat="1" ht="12.75" x14ac:dyDescent="0.2">
      <c r="R48084" s="1288"/>
    </row>
    <row r="48085" spans="18:18" s="2" customFormat="1" ht="12.75" x14ac:dyDescent="0.2">
      <c r="R48085" s="1288"/>
    </row>
    <row r="48086" spans="18:18" s="2" customFormat="1" ht="12.75" x14ac:dyDescent="0.2">
      <c r="R48086" s="1288"/>
    </row>
    <row r="48087" spans="18:18" s="2" customFormat="1" ht="12.75" x14ac:dyDescent="0.2">
      <c r="R48087" s="1288"/>
    </row>
    <row r="48088" spans="18:18" s="2" customFormat="1" ht="12.75" x14ac:dyDescent="0.2">
      <c r="R48088" s="1288"/>
    </row>
    <row r="48089" spans="18:18" s="2" customFormat="1" ht="12.75" x14ac:dyDescent="0.2">
      <c r="R48089" s="1288"/>
    </row>
    <row r="48090" spans="18:18" s="2" customFormat="1" ht="12.75" x14ac:dyDescent="0.2">
      <c r="R48090" s="1288"/>
    </row>
    <row r="48091" spans="18:18" s="2" customFormat="1" ht="12.75" x14ac:dyDescent="0.2">
      <c r="R48091" s="1288"/>
    </row>
    <row r="48092" spans="18:18" s="2" customFormat="1" ht="12.75" x14ac:dyDescent="0.2">
      <c r="R48092" s="1288"/>
    </row>
    <row r="48093" spans="18:18" s="2" customFormat="1" ht="12.75" x14ac:dyDescent="0.2">
      <c r="R48093" s="1288"/>
    </row>
    <row r="48094" spans="18:18" s="2" customFormat="1" ht="12.75" x14ac:dyDescent="0.2">
      <c r="R48094" s="1288"/>
    </row>
    <row r="48095" spans="18:18" s="2" customFormat="1" ht="12.75" x14ac:dyDescent="0.2">
      <c r="R48095" s="1288"/>
    </row>
    <row r="48096" spans="18:18" s="2" customFormat="1" ht="12.75" x14ac:dyDescent="0.2">
      <c r="R48096" s="1288"/>
    </row>
    <row r="48097" spans="18:18" s="2" customFormat="1" ht="12.75" x14ac:dyDescent="0.2">
      <c r="R48097" s="1288"/>
    </row>
    <row r="48098" spans="18:18" s="2" customFormat="1" ht="12.75" x14ac:dyDescent="0.2">
      <c r="R48098" s="1288"/>
    </row>
    <row r="48099" spans="18:18" s="2" customFormat="1" ht="12.75" x14ac:dyDescent="0.2">
      <c r="R48099" s="1288"/>
    </row>
    <row r="48100" spans="18:18" s="2" customFormat="1" ht="12.75" x14ac:dyDescent="0.2">
      <c r="R48100" s="1288"/>
    </row>
    <row r="48101" spans="18:18" s="2" customFormat="1" ht="12.75" x14ac:dyDescent="0.2">
      <c r="R48101" s="1288"/>
    </row>
    <row r="48102" spans="18:18" s="2" customFormat="1" ht="12.75" x14ac:dyDescent="0.2">
      <c r="R48102" s="1288"/>
    </row>
    <row r="48103" spans="18:18" s="2" customFormat="1" ht="12.75" x14ac:dyDescent="0.2">
      <c r="R48103" s="1288"/>
    </row>
    <row r="48104" spans="18:18" s="2" customFormat="1" ht="12.75" x14ac:dyDescent="0.2">
      <c r="R48104" s="1288"/>
    </row>
    <row r="48105" spans="18:18" s="2" customFormat="1" ht="12.75" x14ac:dyDescent="0.2">
      <c r="R48105" s="1288"/>
    </row>
    <row r="48106" spans="18:18" s="2" customFormat="1" ht="12.75" x14ac:dyDescent="0.2">
      <c r="R48106" s="1288"/>
    </row>
    <row r="48107" spans="18:18" s="2" customFormat="1" ht="12.75" x14ac:dyDescent="0.2">
      <c r="R48107" s="1288"/>
    </row>
    <row r="48108" spans="18:18" s="2" customFormat="1" ht="12.75" x14ac:dyDescent="0.2">
      <c r="R48108" s="1288"/>
    </row>
    <row r="48109" spans="18:18" s="2" customFormat="1" ht="12.75" x14ac:dyDescent="0.2">
      <c r="R48109" s="1288"/>
    </row>
    <row r="48110" spans="18:18" s="2" customFormat="1" ht="12.75" x14ac:dyDescent="0.2">
      <c r="R48110" s="1288"/>
    </row>
    <row r="48111" spans="18:18" s="2" customFormat="1" ht="12.75" x14ac:dyDescent="0.2">
      <c r="R48111" s="1288"/>
    </row>
    <row r="48112" spans="18:18" s="2" customFormat="1" ht="12.75" x14ac:dyDescent="0.2">
      <c r="R48112" s="1288"/>
    </row>
    <row r="48113" spans="18:18" s="2" customFormat="1" ht="12.75" x14ac:dyDescent="0.2">
      <c r="R48113" s="1288"/>
    </row>
    <row r="48114" spans="18:18" s="2" customFormat="1" ht="12.75" x14ac:dyDescent="0.2">
      <c r="R48114" s="1288"/>
    </row>
    <row r="48115" spans="18:18" s="2" customFormat="1" ht="12.75" x14ac:dyDescent="0.2">
      <c r="R48115" s="1288"/>
    </row>
    <row r="48116" spans="18:18" s="2" customFormat="1" ht="12.75" x14ac:dyDescent="0.2">
      <c r="R48116" s="1288"/>
    </row>
    <row r="48117" spans="18:18" s="2" customFormat="1" ht="12.75" x14ac:dyDescent="0.2">
      <c r="R48117" s="1288"/>
    </row>
    <row r="48118" spans="18:18" s="2" customFormat="1" ht="12.75" x14ac:dyDescent="0.2">
      <c r="R48118" s="1288"/>
    </row>
    <row r="48119" spans="18:18" s="2" customFormat="1" ht="12.75" x14ac:dyDescent="0.2">
      <c r="R48119" s="1288"/>
    </row>
    <row r="48120" spans="18:18" s="2" customFormat="1" ht="12.75" x14ac:dyDescent="0.2">
      <c r="R48120" s="1288"/>
    </row>
    <row r="48121" spans="18:18" s="2" customFormat="1" ht="12.75" x14ac:dyDescent="0.2">
      <c r="R48121" s="1288"/>
    </row>
    <row r="48122" spans="18:18" s="2" customFormat="1" ht="12.75" x14ac:dyDescent="0.2">
      <c r="R48122" s="1288"/>
    </row>
    <row r="48123" spans="18:18" s="2" customFormat="1" ht="12.75" x14ac:dyDescent="0.2">
      <c r="R48123" s="1288"/>
    </row>
    <row r="48124" spans="18:18" s="2" customFormat="1" ht="12.75" x14ac:dyDescent="0.2">
      <c r="R48124" s="1288"/>
    </row>
    <row r="48125" spans="18:18" s="2" customFormat="1" ht="12.75" x14ac:dyDescent="0.2">
      <c r="R48125" s="1288"/>
    </row>
    <row r="48126" spans="18:18" s="2" customFormat="1" ht="12.75" x14ac:dyDescent="0.2">
      <c r="R48126" s="1288"/>
    </row>
    <row r="48127" spans="18:18" s="2" customFormat="1" ht="12.75" x14ac:dyDescent="0.2">
      <c r="R48127" s="1288"/>
    </row>
    <row r="48128" spans="18:18" s="2" customFormat="1" ht="12.75" x14ac:dyDescent="0.2">
      <c r="R48128" s="1288"/>
    </row>
    <row r="48129" spans="18:18" s="2" customFormat="1" ht="12.75" x14ac:dyDescent="0.2">
      <c r="R48129" s="1288"/>
    </row>
    <row r="48130" spans="18:18" s="2" customFormat="1" ht="12.75" x14ac:dyDescent="0.2">
      <c r="R48130" s="1288"/>
    </row>
    <row r="48131" spans="18:18" s="2" customFormat="1" ht="12.75" x14ac:dyDescent="0.2">
      <c r="R48131" s="1288"/>
    </row>
    <row r="48132" spans="18:18" s="2" customFormat="1" ht="12.75" x14ac:dyDescent="0.2">
      <c r="R48132" s="1288"/>
    </row>
    <row r="48133" spans="18:18" s="2" customFormat="1" ht="12.75" x14ac:dyDescent="0.2">
      <c r="R48133" s="1288"/>
    </row>
    <row r="48134" spans="18:18" s="2" customFormat="1" ht="12.75" x14ac:dyDescent="0.2">
      <c r="R48134" s="1288"/>
    </row>
    <row r="48135" spans="18:18" s="2" customFormat="1" ht="12.75" x14ac:dyDescent="0.2">
      <c r="R48135" s="1288"/>
    </row>
    <row r="48136" spans="18:18" s="2" customFormat="1" ht="12.75" x14ac:dyDescent="0.2">
      <c r="R48136" s="1288"/>
    </row>
    <row r="48137" spans="18:18" s="2" customFormat="1" ht="12.75" x14ac:dyDescent="0.2">
      <c r="R48137" s="1288"/>
    </row>
    <row r="48138" spans="18:18" s="2" customFormat="1" ht="12.75" x14ac:dyDescent="0.2">
      <c r="R48138" s="1288"/>
    </row>
    <row r="48139" spans="18:18" s="2" customFormat="1" ht="12.75" x14ac:dyDescent="0.2">
      <c r="R48139" s="1288"/>
    </row>
    <row r="48140" spans="18:18" s="2" customFormat="1" ht="12.75" x14ac:dyDescent="0.2">
      <c r="R48140" s="1288"/>
    </row>
    <row r="48141" spans="18:18" s="2" customFormat="1" ht="12.75" x14ac:dyDescent="0.2">
      <c r="R48141" s="1288"/>
    </row>
    <row r="48142" spans="18:18" s="2" customFormat="1" ht="12.75" x14ac:dyDescent="0.2">
      <c r="R48142" s="1288"/>
    </row>
    <row r="48143" spans="18:18" s="2" customFormat="1" ht="12.75" x14ac:dyDescent="0.2">
      <c r="R48143" s="1288"/>
    </row>
    <row r="48144" spans="18:18" s="2" customFormat="1" ht="12.75" x14ac:dyDescent="0.2">
      <c r="R48144" s="1288"/>
    </row>
    <row r="48145" spans="18:18" s="2" customFormat="1" ht="12.75" x14ac:dyDescent="0.2">
      <c r="R48145" s="1288"/>
    </row>
    <row r="48146" spans="18:18" s="2" customFormat="1" ht="12.75" x14ac:dyDescent="0.2">
      <c r="R48146" s="1288"/>
    </row>
    <row r="48147" spans="18:18" s="2" customFormat="1" ht="12.75" x14ac:dyDescent="0.2">
      <c r="R48147" s="1288"/>
    </row>
    <row r="48148" spans="18:18" s="2" customFormat="1" ht="12.75" x14ac:dyDescent="0.2">
      <c r="R48148" s="1288"/>
    </row>
    <row r="48149" spans="18:18" s="2" customFormat="1" ht="12.75" x14ac:dyDescent="0.2">
      <c r="R48149" s="1288"/>
    </row>
    <row r="48150" spans="18:18" s="2" customFormat="1" ht="12.75" x14ac:dyDescent="0.2">
      <c r="R48150" s="1288"/>
    </row>
    <row r="48151" spans="18:18" s="2" customFormat="1" ht="12.75" x14ac:dyDescent="0.2">
      <c r="R48151" s="1288"/>
    </row>
    <row r="48152" spans="18:18" s="2" customFormat="1" ht="12.75" x14ac:dyDescent="0.2">
      <c r="R48152" s="1288"/>
    </row>
    <row r="48153" spans="18:18" s="2" customFormat="1" ht="12.75" x14ac:dyDescent="0.2">
      <c r="R48153" s="1288"/>
    </row>
    <row r="48154" spans="18:18" s="2" customFormat="1" ht="12.75" x14ac:dyDescent="0.2">
      <c r="R48154" s="1288"/>
    </row>
    <row r="48155" spans="18:18" s="2" customFormat="1" ht="12.75" x14ac:dyDescent="0.2">
      <c r="R48155" s="1288"/>
    </row>
    <row r="48156" spans="18:18" s="2" customFormat="1" ht="12.75" x14ac:dyDescent="0.2">
      <c r="R48156" s="1288"/>
    </row>
    <row r="48157" spans="18:18" s="2" customFormat="1" ht="12.75" x14ac:dyDescent="0.2">
      <c r="R48157" s="1288"/>
    </row>
    <row r="48158" spans="18:18" s="2" customFormat="1" ht="12.75" x14ac:dyDescent="0.2">
      <c r="R48158" s="1288"/>
    </row>
    <row r="48159" spans="18:18" s="2" customFormat="1" ht="12.75" x14ac:dyDescent="0.2">
      <c r="R48159" s="1288"/>
    </row>
    <row r="48160" spans="18:18" s="2" customFormat="1" ht="12.75" x14ac:dyDescent="0.2">
      <c r="R48160" s="1288"/>
    </row>
    <row r="48161" spans="18:18" s="2" customFormat="1" ht="12.75" x14ac:dyDescent="0.2">
      <c r="R48161" s="1288"/>
    </row>
    <row r="48162" spans="18:18" s="2" customFormat="1" ht="12.75" x14ac:dyDescent="0.2">
      <c r="R48162" s="1288"/>
    </row>
    <row r="48163" spans="18:18" s="2" customFormat="1" ht="12.75" x14ac:dyDescent="0.2">
      <c r="R48163" s="1288"/>
    </row>
    <row r="48164" spans="18:18" s="2" customFormat="1" ht="12.75" x14ac:dyDescent="0.2">
      <c r="R48164" s="1288"/>
    </row>
    <row r="48165" spans="18:18" s="2" customFormat="1" ht="12.75" x14ac:dyDescent="0.2">
      <c r="R48165" s="1288"/>
    </row>
    <row r="48166" spans="18:18" s="2" customFormat="1" ht="12.75" x14ac:dyDescent="0.2">
      <c r="R48166" s="1288"/>
    </row>
    <row r="48167" spans="18:18" s="2" customFormat="1" ht="12.75" x14ac:dyDescent="0.2">
      <c r="R48167" s="1288"/>
    </row>
    <row r="48168" spans="18:18" s="2" customFormat="1" ht="12.75" x14ac:dyDescent="0.2">
      <c r="R48168" s="1288"/>
    </row>
    <row r="48169" spans="18:18" s="2" customFormat="1" ht="12.75" x14ac:dyDescent="0.2">
      <c r="R48169" s="1288"/>
    </row>
    <row r="48170" spans="18:18" s="2" customFormat="1" ht="12.75" x14ac:dyDescent="0.2">
      <c r="R48170" s="1288"/>
    </row>
    <row r="48171" spans="18:18" s="2" customFormat="1" ht="12.75" x14ac:dyDescent="0.2">
      <c r="R48171" s="1288"/>
    </row>
    <row r="48172" spans="18:18" s="2" customFormat="1" ht="12.75" x14ac:dyDescent="0.2">
      <c r="R48172" s="1288"/>
    </row>
    <row r="48173" spans="18:18" s="2" customFormat="1" ht="12.75" x14ac:dyDescent="0.2">
      <c r="R48173" s="1288"/>
    </row>
    <row r="48174" spans="18:18" s="2" customFormat="1" ht="12.75" x14ac:dyDescent="0.2">
      <c r="R48174" s="1288"/>
    </row>
    <row r="48175" spans="18:18" s="2" customFormat="1" ht="12.75" x14ac:dyDescent="0.2">
      <c r="R48175" s="1288"/>
    </row>
    <row r="48176" spans="18:18" s="2" customFormat="1" ht="12.75" x14ac:dyDescent="0.2">
      <c r="R48176" s="1288"/>
    </row>
    <row r="48177" spans="18:18" s="2" customFormat="1" ht="12.75" x14ac:dyDescent="0.2">
      <c r="R48177" s="1288"/>
    </row>
    <row r="48178" spans="18:18" s="2" customFormat="1" ht="12.75" x14ac:dyDescent="0.2">
      <c r="R48178" s="1288"/>
    </row>
    <row r="48179" spans="18:18" s="2" customFormat="1" ht="12.75" x14ac:dyDescent="0.2">
      <c r="R48179" s="1288"/>
    </row>
    <row r="48180" spans="18:18" s="2" customFormat="1" ht="12.75" x14ac:dyDescent="0.2">
      <c r="R48180" s="1288"/>
    </row>
    <row r="48181" spans="18:18" s="2" customFormat="1" ht="12.75" x14ac:dyDescent="0.2">
      <c r="R48181" s="1288"/>
    </row>
    <row r="48182" spans="18:18" s="2" customFormat="1" ht="12.75" x14ac:dyDescent="0.2">
      <c r="R48182" s="1288"/>
    </row>
    <row r="48183" spans="18:18" s="2" customFormat="1" ht="12.75" x14ac:dyDescent="0.2">
      <c r="R48183" s="1288"/>
    </row>
    <row r="48184" spans="18:18" s="2" customFormat="1" ht="12.75" x14ac:dyDescent="0.2">
      <c r="R48184" s="1288"/>
    </row>
    <row r="48185" spans="18:18" s="2" customFormat="1" ht="12.75" x14ac:dyDescent="0.2">
      <c r="R48185" s="1288"/>
    </row>
    <row r="48186" spans="18:18" s="2" customFormat="1" ht="12.75" x14ac:dyDescent="0.2">
      <c r="R48186" s="1288"/>
    </row>
    <row r="48187" spans="18:18" s="2" customFormat="1" ht="12.75" x14ac:dyDescent="0.2">
      <c r="R48187" s="1288"/>
    </row>
    <row r="48188" spans="18:18" s="2" customFormat="1" ht="12.75" x14ac:dyDescent="0.2">
      <c r="R48188" s="1288"/>
    </row>
    <row r="48189" spans="18:18" s="2" customFormat="1" ht="12.75" x14ac:dyDescent="0.2">
      <c r="R48189" s="1288"/>
    </row>
    <row r="48190" spans="18:18" s="2" customFormat="1" ht="12.75" x14ac:dyDescent="0.2">
      <c r="R48190" s="1288"/>
    </row>
    <row r="48191" spans="18:18" s="2" customFormat="1" ht="12.75" x14ac:dyDescent="0.2">
      <c r="R48191" s="1288"/>
    </row>
    <row r="48192" spans="18:18" s="2" customFormat="1" ht="12.75" x14ac:dyDescent="0.2">
      <c r="R48192" s="1288"/>
    </row>
    <row r="48193" spans="18:18" s="2" customFormat="1" ht="12.75" x14ac:dyDescent="0.2">
      <c r="R48193" s="1288"/>
    </row>
    <row r="48194" spans="18:18" s="2" customFormat="1" ht="12.75" x14ac:dyDescent="0.2">
      <c r="R48194" s="1288"/>
    </row>
    <row r="48195" spans="18:18" s="2" customFormat="1" ht="12.75" x14ac:dyDescent="0.2">
      <c r="R48195" s="1288"/>
    </row>
    <row r="48196" spans="18:18" s="2" customFormat="1" ht="12.75" x14ac:dyDescent="0.2">
      <c r="R48196" s="1288"/>
    </row>
    <row r="48197" spans="18:18" s="2" customFormat="1" ht="12.75" x14ac:dyDescent="0.2">
      <c r="R48197" s="1288"/>
    </row>
    <row r="48198" spans="18:18" s="2" customFormat="1" ht="12.75" x14ac:dyDescent="0.2">
      <c r="R48198" s="1288"/>
    </row>
    <row r="48199" spans="18:18" s="2" customFormat="1" ht="12.75" x14ac:dyDescent="0.2">
      <c r="R48199" s="1288"/>
    </row>
    <row r="48200" spans="18:18" s="2" customFormat="1" ht="12.75" x14ac:dyDescent="0.2">
      <c r="R48200" s="1288"/>
    </row>
    <row r="48201" spans="18:18" s="2" customFormat="1" ht="12.75" x14ac:dyDescent="0.2">
      <c r="R48201" s="1288"/>
    </row>
    <row r="48202" spans="18:18" s="2" customFormat="1" ht="12.75" x14ac:dyDescent="0.2">
      <c r="R48202" s="1288"/>
    </row>
    <row r="48203" spans="18:18" s="2" customFormat="1" ht="12.75" x14ac:dyDescent="0.2">
      <c r="R48203" s="1288"/>
    </row>
    <row r="48204" spans="18:18" s="2" customFormat="1" ht="12.75" x14ac:dyDescent="0.2">
      <c r="R48204" s="1288"/>
    </row>
    <row r="48205" spans="18:18" s="2" customFormat="1" ht="12.75" x14ac:dyDescent="0.2">
      <c r="R48205" s="1288"/>
    </row>
    <row r="48206" spans="18:18" s="2" customFormat="1" ht="12.75" x14ac:dyDescent="0.2">
      <c r="R48206" s="1288"/>
    </row>
    <row r="48207" spans="18:18" s="2" customFormat="1" ht="12.75" x14ac:dyDescent="0.2">
      <c r="R48207" s="1288"/>
    </row>
    <row r="48208" spans="18:18" s="2" customFormat="1" ht="12.75" x14ac:dyDescent="0.2">
      <c r="R48208" s="1288"/>
    </row>
    <row r="48209" spans="18:18" s="2" customFormat="1" ht="12.75" x14ac:dyDescent="0.2">
      <c r="R48209" s="1288"/>
    </row>
    <row r="48210" spans="18:18" s="2" customFormat="1" ht="12.75" x14ac:dyDescent="0.2">
      <c r="R48210" s="1288"/>
    </row>
    <row r="48211" spans="18:18" s="2" customFormat="1" ht="12.75" x14ac:dyDescent="0.2">
      <c r="R48211" s="1288"/>
    </row>
    <row r="48212" spans="18:18" s="2" customFormat="1" ht="12.75" x14ac:dyDescent="0.2">
      <c r="R48212" s="1288"/>
    </row>
    <row r="48213" spans="18:18" s="2" customFormat="1" ht="12.75" x14ac:dyDescent="0.2">
      <c r="R48213" s="1288"/>
    </row>
    <row r="48214" spans="18:18" s="2" customFormat="1" ht="12.75" x14ac:dyDescent="0.2">
      <c r="R48214" s="1288"/>
    </row>
    <row r="48215" spans="18:18" s="2" customFormat="1" ht="12.75" x14ac:dyDescent="0.2">
      <c r="R48215" s="1288"/>
    </row>
    <row r="48216" spans="18:18" s="2" customFormat="1" ht="12.75" x14ac:dyDescent="0.2">
      <c r="R48216" s="1288"/>
    </row>
    <row r="48217" spans="18:18" s="2" customFormat="1" ht="12.75" x14ac:dyDescent="0.2">
      <c r="R48217" s="1288"/>
    </row>
    <row r="48218" spans="18:18" s="2" customFormat="1" ht="12.75" x14ac:dyDescent="0.2">
      <c r="R48218" s="1288"/>
    </row>
    <row r="48219" spans="18:18" s="2" customFormat="1" ht="12.75" x14ac:dyDescent="0.2">
      <c r="R48219" s="1288"/>
    </row>
    <row r="48220" spans="18:18" s="2" customFormat="1" ht="12.75" x14ac:dyDescent="0.2">
      <c r="R48220" s="1288"/>
    </row>
    <row r="48221" spans="18:18" s="2" customFormat="1" ht="12.75" x14ac:dyDescent="0.2">
      <c r="R48221" s="1288"/>
    </row>
    <row r="48222" spans="18:18" s="2" customFormat="1" ht="12.75" x14ac:dyDescent="0.2">
      <c r="R48222" s="1288"/>
    </row>
    <row r="48223" spans="18:18" s="2" customFormat="1" ht="12.75" x14ac:dyDescent="0.2">
      <c r="R48223" s="1288"/>
    </row>
    <row r="48224" spans="18:18" s="2" customFormat="1" ht="12.75" x14ac:dyDescent="0.2">
      <c r="R48224" s="1288"/>
    </row>
    <row r="48225" spans="18:18" s="2" customFormat="1" ht="12.75" x14ac:dyDescent="0.2">
      <c r="R48225" s="1288"/>
    </row>
    <row r="48226" spans="18:18" s="2" customFormat="1" ht="12.75" x14ac:dyDescent="0.2">
      <c r="R48226" s="1288"/>
    </row>
    <row r="48227" spans="18:18" s="2" customFormat="1" ht="12.75" x14ac:dyDescent="0.2">
      <c r="R48227" s="1288"/>
    </row>
    <row r="48228" spans="18:18" s="2" customFormat="1" ht="12.75" x14ac:dyDescent="0.2">
      <c r="R48228" s="1288"/>
    </row>
    <row r="48229" spans="18:18" s="2" customFormat="1" ht="12.75" x14ac:dyDescent="0.2">
      <c r="R48229" s="1288"/>
    </row>
    <row r="48230" spans="18:18" s="2" customFormat="1" ht="12.75" x14ac:dyDescent="0.2">
      <c r="R48230" s="1288"/>
    </row>
    <row r="48231" spans="18:18" s="2" customFormat="1" ht="12.75" x14ac:dyDescent="0.2">
      <c r="R48231" s="1288"/>
    </row>
    <row r="48232" spans="18:18" s="2" customFormat="1" ht="12.75" x14ac:dyDescent="0.2">
      <c r="R48232" s="1288"/>
    </row>
    <row r="48233" spans="18:18" s="2" customFormat="1" ht="12.75" x14ac:dyDescent="0.2">
      <c r="R48233" s="1288"/>
    </row>
    <row r="48234" spans="18:18" s="2" customFormat="1" ht="12.75" x14ac:dyDescent="0.2">
      <c r="R48234" s="1288"/>
    </row>
    <row r="48235" spans="18:18" s="2" customFormat="1" ht="12.75" x14ac:dyDescent="0.2">
      <c r="R48235" s="1288"/>
    </row>
    <row r="48236" spans="18:18" s="2" customFormat="1" ht="12.75" x14ac:dyDescent="0.2">
      <c r="R48236" s="1288"/>
    </row>
    <row r="48237" spans="18:18" s="2" customFormat="1" ht="12.75" x14ac:dyDescent="0.2">
      <c r="R48237" s="1288"/>
    </row>
    <row r="48238" spans="18:18" s="2" customFormat="1" ht="12.75" x14ac:dyDescent="0.2">
      <c r="R48238" s="1288"/>
    </row>
    <row r="48239" spans="18:18" s="2" customFormat="1" ht="12.75" x14ac:dyDescent="0.2">
      <c r="R48239" s="1288"/>
    </row>
    <row r="48240" spans="18:18" s="2" customFormat="1" ht="12.75" x14ac:dyDescent="0.2">
      <c r="R48240" s="1288"/>
    </row>
    <row r="48241" spans="18:18" s="2" customFormat="1" ht="12.75" x14ac:dyDescent="0.2">
      <c r="R48241" s="1288"/>
    </row>
    <row r="48242" spans="18:18" s="2" customFormat="1" ht="12.75" x14ac:dyDescent="0.2">
      <c r="R48242" s="1288"/>
    </row>
    <row r="48243" spans="18:18" s="2" customFormat="1" ht="12.75" x14ac:dyDescent="0.2">
      <c r="R48243" s="1288"/>
    </row>
    <row r="48244" spans="18:18" s="2" customFormat="1" ht="12.75" x14ac:dyDescent="0.2">
      <c r="R48244" s="1288"/>
    </row>
    <row r="48245" spans="18:18" s="2" customFormat="1" ht="12.75" x14ac:dyDescent="0.2">
      <c r="R48245" s="1288"/>
    </row>
    <row r="48246" spans="18:18" s="2" customFormat="1" ht="12.75" x14ac:dyDescent="0.2">
      <c r="R48246" s="1288"/>
    </row>
    <row r="48247" spans="18:18" s="2" customFormat="1" ht="12.75" x14ac:dyDescent="0.2">
      <c r="R48247" s="1288"/>
    </row>
    <row r="48248" spans="18:18" s="2" customFormat="1" ht="12.75" x14ac:dyDescent="0.2">
      <c r="R48248" s="1288"/>
    </row>
    <row r="48249" spans="18:18" s="2" customFormat="1" ht="12.75" x14ac:dyDescent="0.2">
      <c r="R48249" s="1288"/>
    </row>
    <row r="48250" spans="18:18" s="2" customFormat="1" ht="12.75" x14ac:dyDescent="0.2">
      <c r="R48250" s="1288"/>
    </row>
    <row r="48251" spans="18:18" s="2" customFormat="1" ht="12.75" x14ac:dyDescent="0.2">
      <c r="R48251" s="1288"/>
    </row>
    <row r="48252" spans="18:18" s="2" customFormat="1" ht="12.75" x14ac:dyDescent="0.2">
      <c r="R48252" s="1288"/>
    </row>
    <row r="48253" spans="18:18" s="2" customFormat="1" ht="12.75" x14ac:dyDescent="0.2">
      <c r="R48253" s="1288"/>
    </row>
    <row r="48254" spans="18:18" s="2" customFormat="1" ht="12.75" x14ac:dyDescent="0.2">
      <c r="R48254" s="1288"/>
    </row>
    <row r="48255" spans="18:18" s="2" customFormat="1" ht="12.75" x14ac:dyDescent="0.2">
      <c r="R48255" s="1288"/>
    </row>
    <row r="48256" spans="18:18" s="2" customFormat="1" ht="12.75" x14ac:dyDescent="0.2">
      <c r="R48256" s="1288"/>
    </row>
    <row r="48257" spans="18:18" s="2" customFormat="1" ht="12.75" x14ac:dyDescent="0.2">
      <c r="R48257" s="1288"/>
    </row>
    <row r="48258" spans="18:18" s="2" customFormat="1" ht="12.75" x14ac:dyDescent="0.2">
      <c r="R48258" s="1288"/>
    </row>
    <row r="48259" spans="18:18" s="2" customFormat="1" ht="12.75" x14ac:dyDescent="0.2">
      <c r="R48259" s="1288"/>
    </row>
    <row r="48260" spans="18:18" s="2" customFormat="1" ht="12.75" x14ac:dyDescent="0.2">
      <c r="R48260" s="1288"/>
    </row>
    <row r="48261" spans="18:18" s="2" customFormat="1" ht="12.75" x14ac:dyDescent="0.2">
      <c r="R48261" s="1288"/>
    </row>
    <row r="48262" spans="18:18" s="2" customFormat="1" ht="12.75" x14ac:dyDescent="0.2">
      <c r="R48262" s="1288"/>
    </row>
    <row r="48263" spans="18:18" s="2" customFormat="1" ht="12.75" x14ac:dyDescent="0.2">
      <c r="R48263" s="1288"/>
    </row>
    <row r="48264" spans="18:18" s="2" customFormat="1" ht="12.75" x14ac:dyDescent="0.2">
      <c r="R48264" s="1288"/>
    </row>
    <row r="48265" spans="18:18" s="2" customFormat="1" ht="12.75" x14ac:dyDescent="0.2">
      <c r="R48265" s="1288"/>
    </row>
    <row r="48266" spans="18:18" s="2" customFormat="1" ht="12.75" x14ac:dyDescent="0.2">
      <c r="R48266" s="1288"/>
    </row>
    <row r="48267" spans="18:18" s="2" customFormat="1" ht="12.75" x14ac:dyDescent="0.2">
      <c r="R48267" s="1288"/>
    </row>
    <row r="48268" spans="18:18" s="2" customFormat="1" ht="12.75" x14ac:dyDescent="0.2">
      <c r="R48268" s="1288"/>
    </row>
    <row r="48269" spans="18:18" s="2" customFormat="1" ht="12.75" x14ac:dyDescent="0.2">
      <c r="R48269" s="1288"/>
    </row>
    <row r="48270" spans="18:18" s="2" customFormat="1" ht="12.75" x14ac:dyDescent="0.2">
      <c r="R48270" s="1288"/>
    </row>
    <row r="48271" spans="18:18" s="2" customFormat="1" ht="12.75" x14ac:dyDescent="0.2">
      <c r="R48271" s="1288"/>
    </row>
    <row r="48272" spans="18:18" s="2" customFormat="1" ht="12.75" x14ac:dyDescent="0.2">
      <c r="R48272" s="1288"/>
    </row>
    <row r="48273" spans="18:18" s="2" customFormat="1" ht="12.75" x14ac:dyDescent="0.2">
      <c r="R48273" s="1288"/>
    </row>
    <row r="48274" spans="18:18" s="2" customFormat="1" ht="12.75" x14ac:dyDescent="0.2">
      <c r="R48274" s="1288"/>
    </row>
    <row r="48275" spans="18:18" s="2" customFormat="1" ht="12.75" x14ac:dyDescent="0.2">
      <c r="R48275" s="1288"/>
    </row>
    <row r="48276" spans="18:18" s="2" customFormat="1" ht="12.75" x14ac:dyDescent="0.2">
      <c r="R48276" s="1288"/>
    </row>
    <row r="48277" spans="18:18" s="2" customFormat="1" ht="12.75" x14ac:dyDescent="0.2">
      <c r="R48277" s="1288"/>
    </row>
    <row r="48278" spans="18:18" s="2" customFormat="1" ht="12.75" x14ac:dyDescent="0.2">
      <c r="R48278" s="1288"/>
    </row>
    <row r="48279" spans="18:18" s="2" customFormat="1" ht="12.75" x14ac:dyDescent="0.2">
      <c r="R48279" s="1288"/>
    </row>
    <row r="48280" spans="18:18" s="2" customFormat="1" ht="12.75" x14ac:dyDescent="0.2">
      <c r="R48280" s="1288"/>
    </row>
    <row r="48281" spans="18:18" s="2" customFormat="1" ht="12.75" x14ac:dyDescent="0.2">
      <c r="R48281" s="1288"/>
    </row>
    <row r="48282" spans="18:18" s="2" customFormat="1" ht="12.75" x14ac:dyDescent="0.2">
      <c r="R48282" s="1288"/>
    </row>
    <row r="48283" spans="18:18" s="2" customFormat="1" ht="12.75" x14ac:dyDescent="0.2">
      <c r="R48283" s="1288"/>
    </row>
    <row r="48284" spans="18:18" s="2" customFormat="1" ht="12.75" x14ac:dyDescent="0.2">
      <c r="R48284" s="1288"/>
    </row>
    <row r="48285" spans="18:18" s="2" customFormat="1" ht="12.75" x14ac:dyDescent="0.2">
      <c r="R48285" s="1288"/>
    </row>
    <row r="48286" spans="18:18" s="2" customFormat="1" ht="12.75" x14ac:dyDescent="0.2">
      <c r="R48286" s="1288"/>
    </row>
    <row r="48287" spans="18:18" s="2" customFormat="1" ht="12.75" x14ac:dyDescent="0.2">
      <c r="R48287" s="1288"/>
    </row>
    <row r="48288" spans="18:18" s="2" customFormat="1" ht="12.75" x14ac:dyDescent="0.2">
      <c r="R48288" s="1288"/>
    </row>
    <row r="48289" spans="18:18" s="2" customFormat="1" ht="12.75" x14ac:dyDescent="0.2">
      <c r="R48289" s="1288"/>
    </row>
    <row r="48290" spans="18:18" s="2" customFormat="1" ht="12.75" x14ac:dyDescent="0.2">
      <c r="R48290" s="1288"/>
    </row>
    <row r="48291" spans="18:18" s="2" customFormat="1" ht="12.75" x14ac:dyDescent="0.2">
      <c r="R48291" s="1288"/>
    </row>
    <row r="48292" spans="18:18" s="2" customFormat="1" ht="12.75" x14ac:dyDescent="0.2">
      <c r="R48292" s="1288"/>
    </row>
    <row r="48293" spans="18:18" s="2" customFormat="1" ht="12.75" x14ac:dyDescent="0.2">
      <c r="R48293" s="1288"/>
    </row>
    <row r="48294" spans="18:18" s="2" customFormat="1" ht="12.75" x14ac:dyDescent="0.2">
      <c r="R48294" s="1288"/>
    </row>
    <row r="48295" spans="18:18" s="2" customFormat="1" ht="12.75" x14ac:dyDescent="0.2">
      <c r="R48295" s="1288"/>
    </row>
    <row r="48296" spans="18:18" s="2" customFormat="1" ht="12.75" x14ac:dyDescent="0.2">
      <c r="R48296" s="1288"/>
    </row>
    <row r="48297" spans="18:18" s="2" customFormat="1" ht="12.75" x14ac:dyDescent="0.2">
      <c r="R48297" s="1288"/>
    </row>
    <row r="48298" spans="18:18" s="2" customFormat="1" ht="12.75" x14ac:dyDescent="0.2">
      <c r="R48298" s="1288"/>
    </row>
    <row r="48299" spans="18:18" s="2" customFormat="1" ht="12.75" x14ac:dyDescent="0.2">
      <c r="R48299" s="1288"/>
    </row>
    <row r="48300" spans="18:18" s="2" customFormat="1" ht="12.75" x14ac:dyDescent="0.2">
      <c r="R48300" s="1288"/>
    </row>
    <row r="48301" spans="18:18" s="2" customFormat="1" ht="12.75" x14ac:dyDescent="0.2">
      <c r="R48301" s="1288"/>
    </row>
    <row r="48302" spans="18:18" s="2" customFormat="1" ht="12.75" x14ac:dyDescent="0.2">
      <c r="R48302" s="1288"/>
    </row>
    <row r="48303" spans="18:18" s="2" customFormat="1" ht="12.75" x14ac:dyDescent="0.2">
      <c r="R48303" s="1288"/>
    </row>
    <row r="48304" spans="18:18" s="2" customFormat="1" ht="12.75" x14ac:dyDescent="0.2">
      <c r="R48304" s="1288"/>
    </row>
    <row r="48305" spans="18:18" s="2" customFormat="1" ht="12.75" x14ac:dyDescent="0.2">
      <c r="R48305" s="1288"/>
    </row>
    <row r="48306" spans="18:18" s="2" customFormat="1" ht="12.75" x14ac:dyDescent="0.2">
      <c r="R48306" s="1288"/>
    </row>
    <row r="48307" spans="18:18" s="2" customFormat="1" ht="12.75" x14ac:dyDescent="0.2">
      <c r="R48307" s="1288"/>
    </row>
    <row r="48308" spans="18:18" s="2" customFormat="1" ht="12.75" x14ac:dyDescent="0.2">
      <c r="R48308" s="1288"/>
    </row>
    <row r="48309" spans="18:18" s="2" customFormat="1" ht="12.75" x14ac:dyDescent="0.2">
      <c r="R48309" s="1288"/>
    </row>
    <row r="48310" spans="18:18" s="2" customFormat="1" ht="12.75" x14ac:dyDescent="0.2">
      <c r="R48310" s="1288"/>
    </row>
    <row r="48311" spans="18:18" s="2" customFormat="1" ht="12.75" x14ac:dyDescent="0.2">
      <c r="R48311" s="1288"/>
    </row>
    <row r="48312" spans="18:18" s="2" customFormat="1" ht="12.75" x14ac:dyDescent="0.2">
      <c r="R48312" s="1288"/>
    </row>
    <row r="48313" spans="18:18" s="2" customFormat="1" ht="12.75" x14ac:dyDescent="0.2">
      <c r="R48313" s="1288"/>
    </row>
    <row r="48314" spans="18:18" s="2" customFormat="1" ht="12.75" x14ac:dyDescent="0.2">
      <c r="R48314" s="1288"/>
    </row>
    <row r="48315" spans="18:18" s="2" customFormat="1" ht="12.75" x14ac:dyDescent="0.2">
      <c r="R48315" s="1288"/>
    </row>
    <row r="48316" spans="18:18" s="2" customFormat="1" ht="12.75" x14ac:dyDescent="0.2">
      <c r="R48316" s="1288"/>
    </row>
    <row r="48317" spans="18:18" s="2" customFormat="1" ht="12.75" x14ac:dyDescent="0.2">
      <c r="R48317" s="1288"/>
    </row>
    <row r="48318" spans="18:18" s="2" customFormat="1" ht="12.75" x14ac:dyDescent="0.2">
      <c r="R48318" s="1288"/>
    </row>
    <row r="48319" spans="18:18" s="2" customFormat="1" ht="12.75" x14ac:dyDescent="0.2">
      <c r="R48319" s="1288"/>
    </row>
    <row r="48320" spans="18:18" s="2" customFormat="1" ht="12.75" x14ac:dyDescent="0.2">
      <c r="R48320" s="1288"/>
    </row>
    <row r="48321" spans="18:18" s="2" customFormat="1" ht="12.75" x14ac:dyDescent="0.2">
      <c r="R48321" s="1288"/>
    </row>
    <row r="48322" spans="18:18" s="2" customFormat="1" ht="12.75" x14ac:dyDescent="0.2">
      <c r="R48322" s="1288"/>
    </row>
    <row r="48323" spans="18:18" s="2" customFormat="1" ht="12.75" x14ac:dyDescent="0.2">
      <c r="R48323" s="1288"/>
    </row>
    <row r="48324" spans="18:18" s="2" customFormat="1" ht="12.75" x14ac:dyDescent="0.2">
      <c r="R48324" s="1288"/>
    </row>
    <row r="48325" spans="18:18" s="2" customFormat="1" ht="12.75" x14ac:dyDescent="0.2">
      <c r="R48325" s="1288"/>
    </row>
    <row r="48326" spans="18:18" s="2" customFormat="1" ht="12.75" x14ac:dyDescent="0.2">
      <c r="R48326" s="1288"/>
    </row>
    <row r="48327" spans="18:18" s="2" customFormat="1" ht="12.75" x14ac:dyDescent="0.2">
      <c r="R48327" s="1288"/>
    </row>
    <row r="48328" spans="18:18" s="2" customFormat="1" ht="12.75" x14ac:dyDescent="0.2">
      <c r="R48328" s="1288"/>
    </row>
    <row r="48329" spans="18:18" s="2" customFormat="1" ht="12.75" x14ac:dyDescent="0.2">
      <c r="R48329" s="1288"/>
    </row>
    <row r="48330" spans="18:18" s="2" customFormat="1" ht="12.75" x14ac:dyDescent="0.2">
      <c r="R48330" s="1288"/>
    </row>
    <row r="48331" spans="18:18" s="2" customFormat="1" ht="12.75" x14ac:dyDescent="0.2">
      <c r="R48331" s="1288"/>
    </row>
    <row r="48332" spans="18:18" s="2" customFormat="1" ht="12.75" x14ac:dyDescent="0.2">
      <c r="R48332" s="1288"/>
    </row>
    <row r="48333" spans="18:18" s="2" customFormat="1" ht="12.75" x14ac:dyDescent="0.2">
      <c r="R48333" s="1288"/>
    </row>
    <row r="48334" spans="18:18" s="2" customFormat="1" ht="12.75" x14ac:dyDescent="0.2">
      <c r="R48334" s="1288"/>
    </row>
    <row r="48335" spans="18:18" s="2" customFormat="1" ht="12.75" x14ac:dyDescent="0.2">
      <c r="R48335" s="1288"/>
    </row>
    <row r="48336" spans="18:18" s="2" customFormat="1" ht="12.75" x14ac:dyDescent="0.2">
      <c r="R48336" s="1288"/>
    </row>
    <row r="48337" spans="18:18" s="2" customFormat="1" ht="12.75" x14ac:dyDescent="0.2">
      <c r="R48337" s="1288"/>
    </row>
    <row r="48338" spans="18:18" s="2" customFormat="1" ht="12.75" x14ac:dyDescent="0.2">
      <c r="R48338" s="1288"/>
    </row>
    <row r="48339" spans="18:18" s="2" customFormat="1" ht="12.75" x14ac:dyDescent="0.2">
      <c r="R48339" s="1288"/>
    </row>
    <row r="48340" spans="18:18" s="2" customFormat="1" ht="12.75" x14ac:dyDescent="0.2">
      <c r="R48340" s="1288"/>
    </row>
    <row r="48341" spans="18:18" s="2" customFormat="1" ht="12.75" x14ac:dyDescent="0.2">
      <c r="R48341" s="1288"/>
    </row>
    <row r="48342" spans="18:18" s="2" customFormat="1" ht="12.75" x14ac:dyDescent="0.2">
      <c r="R48342" s="1288"/>
    </row>
    <row r="48343" spans="18:18" s="2" customFormat="1" ht="12.75" x14ac:dyDescent="0.2">
      <c r="R48343" s="1288"/>
    </row>
    <row r="48344" spans="18:18" s="2" customFormat="1" ht="12.75" x14ac:dyDescent="0.2">
      <c r="R48344" s="1288"/>
    </row>
    <row r="48345" spans="18:18" s="2" customFormat="1" ht="12.75" x14ac:dyDescent="0.2">
      <c r="R48345" s="1288"/>
    </row>
    <row r="48346" spans="18:18" s="2" customFormat="1" ht="12.75" x14ac:dyDescent="0.2">
      <c r="R48346" s="1288"/>
    </row>
    <row r="48347" spans="18:18" s="2" customFormat="1" ht="12.75" x14ac:dyDescent="0.2">
      <c r="R48347" s="1288"/>
    </row>
    <row r="48348" spans="18:18" s="2" customFormat="1" ht="12.75" x14ac:dyDescent="0.2">
      <c r="R48348" s="1288"/>
    </row>
    <row r="48349" spans="18:18" s="2" customFormat="1" ht="12.75" x14ac:dyDescent="0.2">
      <c r="R48349" s="1288"/>
    </row>
    <row r="48350" spans="18:18" s="2" customFormat="1" ht="12.75" x14ac:dyDescent="0.2">
      <c r="R48350" s="1288"/>
    </row>
    <row r="48351" spans="18:18" s="2" customFormat="1" ht="12.75" x14ac:dyDescent="0.2">
      <c r="R48351" s="1288"/>
    </row>
    <row r="48352" spans="18:18" s="2" customFormat="1" ht="12.75" x14ac:dyDescent="0.2">
      <c r="R48352" s="1288"/>
    </row>
    <row r="48353" spans="18:18" s="2" customFormat="1" ht="12.75" x14ac:dyDescent="0.2">
      <c r="R48353" s="1288"/>
    </row>
    <row r="48354" spans="18:18" s="2" customFormat="1" ht="12.75" x14ac:dyDescent="0.2">
      <c r="R48354" s="1288"/>
    </row>
    <row r="48355" spans="18:18" s="2" customFormat="1" ht="12.75" x14ac:dyDescent="0.2">
      <c r="R48355" s="1288"/>
    </row>
    <row r="48356" spans="18:18" s="2" customFormat="1" ht="12.75" x14ac:dyDescent="0.2">
      <c r="R48356" s="1288"/>
    </row>
    <row r="48357" spans="18:18" s="2" customFormat="1" ht="12.75" x14ac:dyDescent="0.2">
      <c r="R48357" s="1288"/>
    </row>
    <row r="48358" spans="18:18" s="2" customFormat="1" ht="12.75" x14ac:dyDescent="0.2">
      <c r="R48358" s="1288"/>
    </row>
    <row r="48359" spans="18:18" s="2" customFormat="1" ht="12.75" x14ac:dyDescent="0.2">
      <c r="R48359" s="1288"/>
    </row>
    <row r="48360" spans="18:18" s="2" customFormat="1" ht="12.75" x14ac:dyDescent="0.2">
      <c r="R48360" s="1288"/>
    </row>
    <row r="48361" spans="18:18" s="2" customFormat="1" ht="12.75" x14ac:dyDescent="0.2">
      <c r="R48361" s="1288"/>
    </row>
    <row r="48362" spans="18:18" s="2" customFormat="1" ht="12.75" x14ac:dyDescent="0.2">
      <c r="R48362" s="1288"/>
    </row>
    <row r="48363" spans="18:18" s="2" customFormat="1" ht="12.75" x14ac:dyDescent="0.2">
      <c r="R48363" s="1288"/>
    </row>
    <row r="48364" spans="18:18" s="2" customFormat="1" ht="12.75" x14ac:dyDescent="0.2">
      <c r="R48364" s="1288"/>
    </row>
    <row r="48365" spans="18:18" s="2" customFormat="1" ht="12.75" x14ac:dyDescent="0.2">
      <c r="R48365" s="1288"/>
    </row>
    <row r="48366" spans="18:18" s="2" customFormat="1" ht="12.75" x14ac:dyDescent="0.2">
      <c r="R48366" s="1288"/>
    </row>
    <row r="48367" spans="18:18" s="2" customFormat="1" ht="12.75" x14ac:dyDescent="0.2">
      <c r="R48367" s="1288"/>
    </row>
    <row r="48368" spans="18:18" s="2" customFormat="1" ht="12.75" x14ac:dyDescent="0.2">
      <c r="R48368" s="1288"/>
    </row>
    <row r="48369" spans="18:18" s="2" customFormat="1" ht="12.75" x14ac:dyDescent="0.2">
      <c r="R48369" s="1288"/>
    </row>
    <row r="48370" spans="18:18" s="2" customFormat="1" ht="12.75" x14ac:dyDescent="0.2">
      <c r="R48370" s="1288"/>
    </row>
    <row r="48371" spans="18:18" s="2" customFormat="1" ht="12.75" x14ac:dyDescent="0.2">
      <c r="R48371" s="1288"/>
    </row>
    <row r="48372" spans="18:18" s="2" customFormat="1" ht="12.75" x14ac:dyDescent="0.2">
      <c r="R48372" s="1288"/>
    </row>
    <row r="48373" spans="18:18" s="2" customFormat="1" ht="12.75" x14ac:dyDescent="0.2">
      <c r="R48373" s="1288"/>
    </row>
    <row r="48374" spans="18:18" s="2" customFormat="1" ht="12.75" x14ac:dyDescent="0.2">
      <c r="R48374" s="1288"/>
    </row>
    <row r="48375" spans="18:18" s="2" customFormat="1" ht="12.75" x14ac:dyDescent="0.2">
      <c r="R48375" s="1288"/>
    </row>
    <row r="48376" spans="18:18" s="2" customFormat="1" ht="12.75" x14ac:dyDescent="0.2">
      <c r="R48376" s="1288"/>
    </row>
    <row r="48377" spans="18:18" s="2" customFormat="1" ht="12.75" x14ac:dyDescent="0.2">
      <c r="R48377" s="1288"/>
    </row>
    <row r="48378" spans="18:18" s="2" customFormat="1" ht="12.75" x14ac:dyDescent="0.2">
      <c r="R48378" s="1288"/>
    </row>
    <row r="48379" spans="18:18" s="2" customFormat="1" ht="12.75" x14ac:dyDescent="0.2">
      <c r="R48379" s="1288"/>
    </row>
    <row r="48380" spans="18:18" s="2" customFormat="1" ht="12.75" x14ac:dyDescent="0.2">
      <c r="R48380" s="1288"/>
    </row>
    <row r="48381" spans="18:18" s="2" customFormat="1" ht="12.75" x14ac:dyDescent="0.2">
      <c r="R48381" s="1288"/>
    </row>
    <row r="48382" spans="18:18" s="2" customFormat="1" ht="12.75" x14ac:dyDescent="0.2">
      <c r="R48382" s="1288"/>
    </row>
    <row r="48383" spans="18:18" s="2" customFormat="1" ht="12.75" x14ac:dyDescent="0.2">
      <c r="R48383" s="1288"/>
    </row>
    <row r="48384" spans="18:18" s="2" customFormat="1" ht="12.75" x14ac:dyDescent="0.2">
      <c r="R48384" s="1288"/>
    </row>
    <row r="48385" spans="18:18" s="2" customFormat="1" ht="12.75" x14ac:dyDescent="0.2">
      <c r="R48385" s="1288"/>
    </row>
    <row r="48386" spans="18:18" s="2" customFormat="1" ht="12.75" x14ac:dyDescent="0.2">
      <c r="R48386" s="1288"/>
    </row>
    <row r="48387" spans="18:18" s="2" customFormat="1" ht="12.75" x14ac:dyDescent="0.2">
      <c r="R48387" s="1288"/>
    </row>
    <row r="48388" spans="18:18" s="2" customFormat="1" ht="12.75" x14ac:dyDescent="0.2">
      <c r="R48388" s="1288"/>
    </row>
    <row r="48389" spans="18:18" s="2" customFormat="1" ht="12.75" x14ac:dyDescent="0.2">
      <c r="R48389" s="1288"/>
    </row>
    <row r="48390" spans="18:18" s="2" customFormat="1" ht="12.75" x14ac:dyDescent="0.2">
      <c r="R48390" s="1288"/>
    </row>
    <row r="48391" spans="18:18" s="2" customFormat="1" ht="12.75" x14ac:dyDescent="0.2">
      <c r="R48391" s="1288"/>
    </row>
    <row r="48392" spans="18:18" s="2" customFormat="1" ht="12.75" x14ac:dyDescent="0.2">
      <c r="R48392" s="1288"/>
    </row>
    <row r="48393" spans="18:18" s="2" customFormat="1" ht="12.75" x14ac:dyDescent="0.2">
      <c r="R48393" s="1288"/>
    </row>
    <row r="48394" spans="18:18" s="2" customFormat="1" ht="12.75" x14ac:dyDescent="0.2">
      <c r="R48394" s="1288"/>
    </row>
    <row r="48395" spans="18:18" s="2" customFormat="1" ht="12.75" x14ac:dyDescent="0.2">
      <c r="R48395" s="1288"/>
    </row>
    <row r="48396" spans="18:18" s="2" customFormat="1" ht="12.75" x14ac:dyDescent="0.2">
      <c r="R48396" s="1288"/>
    </row>
    <row r="48397" spans="18:18" s="2" customFormat="1" ht="12.75" x14ac:dyDescent="0.2">
      <c r="R48397" s="1288"/>
    </row>
    <row r="48398" spans="18:18" s="2" customFormat="1" ht="12.75" x14ac:dyDescent="0.2">
      <c r="R48398" s="1288"/>
    </row>
    <row r="48399" spans="18:18" s="2" customFormat="1" ht="12.75" x14ac:dyDescent="0.2">
      <c r="R48399" s="1288"/>
    </row>
    <row r="48400" spans="18:18" s="2" customFormat="1" ht="12.75" x14ac:dyDescent="0.2">
      <c r="R48400" s="1288"/>
    </row>
    <row r="48401" spans="18:18" s="2" customFormat="1" ht="12.75" x14ac:dyDescent="0.2">
      <c r="R48401" s="1288"/>
    </row>
    <row r="48402" spans="18:18" s="2" customFormat="1" ht="12.75" x14ac:dyDescent="0.2">
      <c r="R48402" s="1288"/>
    </row>
    <row r="48403" spans="18:18" s="2" customFormat="1" ht="12.75" x14ac:dyDescent="0.2">
      <c r="R48403" s="1288"/>
    </row>
    <row r="48404" spans="18:18" s="2" customFormat="1" ht="12.75" x14ac:dyDescent="0.2">
      <c r="R48404" s="1288"/>
    </row>
    <row r="48405" spans="18:18" s="2" customFormat="1" ht="12.75" x14ac:dyDescent="0.2">
      <c r="R48405" s="1288"/>
    </row>
    <row r="48406" spans="18:18" s="2" customFormat="1" ht="12.75" x14ac:dyDescent="0.2">
      <c r="R48406" s="1288"/>
    </row>
    <row r="48407" spans="18:18" s="2" customFormat="1" ht="12.75" x14ac:dyDescent="0.2">
      <c r="R48407" s="1288"/>
    </row>
    <row r="48408" spans="18:18" s="2" customFormat="1" ht="12.75" x14ac:dyDescent="0.2">
      <c r="R48408" s="1288"/>
    </row>
    <row r="48409" spans="18:18" s="2" customFormat="1" ht="12.75" x14ac:dyDescent="0.2">
      <c r="R48409" s="1288"/>
    </row>
    <row r="48410" spans="18:18" s="2" customFormat="1" ht="12.75" x14ac:dyDescent="0.2">
      <c r="R48410" s="1288"/>
    </row>
    <row r="48411" spans="18:18" s="2" customFormat="1" ht="12.75" x14ac:dyDescent="0.2">
      <c r="R48411" s="1288"/>
    </row>
    <row r="48412" spans="18:18" s="2" customFormat="1" ht="12.75" x14ac:dyDescent="0.2">
      <c r="R48412" s="1288"/>
    </row>
    <row r="48413" spans="18:18" s="2" customFormat="1" ht="12.75" x14ac:dyDescent="0.2">
      <c r="R48413" s="1288"/>
    </row>
    <row r="48414" spans="18:18" s="2" customFormat="1" ht="12.75" x14ac:dyDescent="0.2">
      <c r="R48414" s="1288"/>
    </row>
    <row r="48415" spans="18:18" s="2" customFormat="1" ht="12.75" x14ac:dyDescent="0.2">
      <c r="R48415" s="1288"/>
    </row>
    <row r="48416" spans="18:18" s="2" customFormat="1" ht="12.75" x14ac:dyDescent="0.2">
      <c r="R48416" s="1288"/>
    </row>
    <row r="48417" spans="18:18" s="2" customFormat="1" ht="12.75" x14ac:dyDescent="0.2">
      <c r="R48417" s="1288"/>
    </row>
    <row r="48418" spans="18:18" s="2" customFormat="1" ht="12.75" x14ac:dyDescent="0.2">
      <c r="R48418" s="1288"/>
    </row>
    <row r="48419" spans="18:18" s="2" customFormat="1" ht="12.75" x14ac:dyDescent="0.2">
      <c r="R48419" s="1288"/>
    </row>
    <row r="48420" spans="18:18" s="2" customFormat="1" ht="12.75" x14ac:dyDescent="0.2">
      <c r="R48420" s="1288"/>
    </row>
    <row r="48421" spans="18:18" s="2" customFormat="1" ht="12.75" x14ac:dyDescent="0.2">
      <c r="R48421" s="1288"/>
    </row>
    <row r="48422" spans="18:18" s="2" customFormat="1" ht="12.75" x14ac:dyDescent="0.2">
      <c r="R48422" s="1288"/>
    </row>
    <row r="48423" spans="18:18" s="2" customFormat="1" ht="12.75" x14ac:dyDescent="0.2">
      <c r="R48423" s="1288"/>
    </row>
    <row r="48424" spans="18:18" s="2" customFormat="1" ht="12.75" x14ac:dyDescent="0.2">
      <c r="R48424" s="1288"/>
    </row>
    <row r="48425" spans="18:18" s="2" customFormat="1" ht="12.75" x14ac:dyDescent="0.2">
      <c r="R48425" s="1288"/>
    </row>
    <row r="48426" spans="18:18" s="2" customFormat="1" ht="12.75" x14ac:dyDescent="0.2">
      <c r="R48426" s="1288"/>
    </row>
    <row r="48427" spans="18:18" s="2" customFormat="1" ht="12.75" x14ac:dyDescent="0.2">
      <c r="R48427" s="1288"/>
    </row>
    <row r="48428" spans="18:18" s="2" customFormat="1" ht="12.75" x14ac:dyDescent="0.2">
      <c r="R48428" s="1288"/>
    </row>
    <row r="48429" spans="18:18" s="2" customFormat="1" ht="12.75" x14ac:dyDescent="0.2">
      <c r="R48429" s="1288"/>
    </row>
    <row r="48430" spans="18:18" s="2" customFormat="1" ht="12.75" x14ac:dyDescent="0.2">
      <c r="R48430" s="1288"/>
    </row>
    <row r="48431" spans="18:18" s="2" customFormat="1" ht="12.75" x14ac:dyDescent="0.2">
      <c r="R48431" s="1288"/>
    </row>
    <row r="48432" spans="18:18" s="2" customFormat="1" ht="12.75" x14ac:dyDescent="0.2">
      <c r="R48432" s="1288"/>
    </row>
    <row r="48433" spans="18:18" s="2" customFormat="1" ht="12.75" x14ac:dyDescent="0.2">
      <c r="R48433" s="1288"/>
    </row>
    <row r="48434" spans="18:18" s="2" customFormat="1" ht="12.75" x14ac:dyDescent="0.2">
      <c r="R48434" s="1288"/>
    </row>
    <row r="48435" spans="18:18" s="2" customFormat="1" ht="12.75" x14ac:dyDescent="0.2">
      <c r="R48435" s="1288"/>
    </row>
    <row r="48436" spans="18:18" s="2" customFormat="1" ht="12.75" x14ac:dyDescent="0.2">
      <c r="R48436" s="1288"/>
    </row>
    <row r="48437" spans="18:18" s="2" customFormat="1" ht="12.75" x14ac:dyDescent="0.2">
      <c r="R48437" s="1288"/>
    </row>
    <row r="48438" spans="18:18" s="2" customFormat="1" ht="12.75" x14ac:dyDescent="0.2">
      <c r="R48438" s="1288"/>
    </row>
    <row r="48439" spans="18:18" s="2" customFormat="1" ht="12.75" x14ac:dyDescent="0.2">
      <c r="R48439" s="1288"/>
    </row>
    <row r="48440" spans="18:18" s="2" customFormat="1" ht="12.75" x14ac:dyDescent="0.2">
      <c r="R48440" s="1288"/>
    </row>
    <row r="48441" spans="18:18" s="2" customFormat="1" ht="12.75" x14ac:dyDescent="0.2">
      <c r="R48441" s="1288"/>
    </row>
    <row r="48442" spans="18:18" s="2" customFormat="1" ht="12.75" x14ac:dyDescent="0.2">
      <c r="R48442" s="1288"/>
    </row>
    <row r="48443" spans="18:18" s="2" customFormat="1" ht="12.75" x14ac:dyDescent="0.2">
      <c r="R48443" s="1288"/>
    </row>
    <row r="48444" spans="18:18" s="2" customFormat="1" ht="12.75" x14ac:dyDescent="0.2">
      <c r="R48444" s="1288"/>
    </row>
    <row r="48445" spans="18:18" s="2" customFormat="1" ht="12.75" x14ac:dyDescent="0.2">
      <c r="R48445" s="1288"/>
    </row>
    <row r="48446" spans="18:18" s="2" customFormat="1" ht="12.75" x14ac:dyDescent="0.2">
      <c r="R48446" s="1288"/>
    </row>
    <row r="48447" spans="18:18" s="2" customFormat="1" ht="12.75" x14ac:dyDescent="0.2">
      <c r="R48447" s="1288"/>
    </row>
    <row r="48448" spans="18:18" s="2" customFormat="1" ht="12.75" x14ac:dyDescent="0.2">
      <c r="R48448" s="1288"/>
    </row>
    <row r="48449" spans="18:18" s="2" customFormat="1" ht="12.75" x14ac:dyDescent="0.2">
      <c r="R48449" s="1288"/>
    </row>
    <row r="48450" spans="18:18" s="2" customFormat="1" ht="12.75" x14ac:dyDescent="0.2">
      <c r="R48450" s="1288"/>
    </row>
    <row r="48451" spans="18:18" s="2" customFormat="1" ht="12.75" x14ac:dyDescent="0.2">
      <c r="R48451" s="1288"/>
    </row>
    <row r="48452" spans="18:18" s="2" customFormat="1" ht="12.75" x14ac:dyDescent="0.2">
      <c r="R48452" s="1288"/>
    </row>
    <row r="48453" spans="18:18" s="2" customFormat="1" ht="12.75" x14ac:dyDescent="0.2">
      <c r="R48453" s="1288"/>
    </row>
    <row r="48454" spans="18:18" s="2" customFormat="1" ht="12.75" x14ac:dyDescent="0.2">
      <c r="R48454" s="1288"/>
    </row>
    <row r="48455" spans="18:18" s="2" customFormat="1" ht="12.75" x14ac:dyDescent="0.2">
      <c r="R48455" s="1288"/>
    </row>
    <row r="48456" spans="18:18" s="2" customFormat="1" ht="12.75" x14ac:dyDescent="0.2">
      <c r="R48456" s="1288"/>
    </row>
    <row r="48457" spans="18:18" s="2" customFormat="1" ht="12.75" x14ac:dyDescent="0.2">
      <c r="R48457" s="1288"/>
    </row>
    <row r="48458" spans="18:18" s="2" customFormat="1" ht="12.75" x14ac:dyDescent="0.2">
      <c r="R48458" s="1288"/>
    </row>
    <row r="48459" spans="18:18" s="2" customFormat="1" ht="12.75" x14ac:dyDescent="0.2">
      <c r="R48459" s="1288"/>
    </row>
    <row r="48460" spans="18:18" s="2" customFormat="1" ht="12.75" x14ac:dyDescent="0.2">
      <c r="R48460" s="1288"/>
    </row>
    <row r="48461" spans="18:18" s="2" customFormat="1" ht="12.75" x14ac:dyDescent="0.2">
      <c r="R48461" s="1288"/>
    </row>
    <row r="48462" spans="18:18" s="2" customFormat="1" ht="12.75" x14ac:dyDescent="0.2">
      <c r="R48462" s="1288"/>
    </row>
    <row r="48463" spans="18:18" s="2" customFormat="1" ht="12.75" x14ac:dyDescent="0.2">
      <c r="R48463" s="1288"/>
    </row>
    <row r="48464" spans="18:18" s="2" customFormat="1" ht="12.75" x14ac:dyDescent="0.2">
      <c r="R48464" s="1288"/>
    </row>
    <row r="48465" spans="18:18" s="2" customFormat="1" ht="12.75" x14ac:dyDescent="0.2">
      <c r="R48465" s="1288"/>
    </row>
    <row r="48466" spans="18:18" s="2" customFormat="1" ht="12.75" x14ac:dyDescent="0.2">
      <c r="R48466" s="1288"/>
    </row>
    <row r="48467" spans="18:18" s="2" customFormat="1" ht="12.75" x14ac:dyDescent="0.2">
      <c r="R48467" s="1288"/>
    </row>
    <row r="48468" spans="18:18" s="2" customFormat="1" ht="12.75" x14ac:dyDescent="0.2">
      <c r="R48468" s="1288"/>
    </row>
    <row r="48469" spans="18:18" s="2" customFormat="1" ht="12.75" x14ac:dyDescent="0.2">
      <c r="R48469" s="1288"/>
    </row>
    <row r="48470" spans="18:18" s="2" customFormat="1" ht="12.75" x14ac:dyDescent="0.2">
      <c r="R48470" s="1288"/>
    </row>
    <row r="48471" spans="18:18" s="2" customFormat="1" ht="12.75" x14ac:dyDescent="0.2">
      <c r="R48471" s="1288"/>
    </row>
    <row r="48472" spans="18:18" s="2" customFormat="1" ht="12.75" x14ac:dyDescent="0.2">
      <c r="R48472" s="1288"/>
    </row>
    <row r="48473" spans="18:18" s="2" customFormat="1" ht="12.75" x14ac:dyDescent="0.2">
      <c r="R48473" s="1288"/>
    </row>
    <row r="48474" spans="18:18" s="2" customFormat="1" ht="12.75" x14ac:dyDescent="0.2">
      <c r="R48474" s="1288"/>
    </row>
    <row r="48475" spans="18:18" s="2" customFormat="1" ht="12.75" x14ac:dyDescent="0.2">
      <c r="R48475" s="1288"/>
    </row>
    <row r="48476" spans="18:18" s="2" customFormat="1" ht="12.75" x14ac:dyDescent="0.2">
      <c r="R48476" s="1288"/>
    </row>
    <row r="48477" spans="18:18" s="2" customFormat="1" ht="12.75" x14ac:dyDescent="0.2">
      <c r="R48477" s="1288"/>
    </row>
    <row r="48478" spans="18:18" s="2" customFormat="1" ht="12.75" x14ac:dyDescent="0.2">
      <c r="R48478" s="1288"/>
    </row>
    <row r="48479" spans="18:18" s="2" customFormat="1" ht="12.75" x14ac:dyDescent="0.2">
      <c r="R48479" s="1288"/>
    </row>
    <row r="48480" spans="18:18" s="2" customFormat="1" ht="12.75" x14ac:dyDescent="0.2">
      <c r="R48480" s="1288"/>
    </row>
    <row r="48481" spans="18:18" s="2" customFormat="1" ht="12.75" x14ac:dyDescent="0.2">
      <c r="R48481" s="1288"/>
    </row>
    <row r="48482" spans="18:18" s="2" customFormat="1" ht="12.75" x14ac:dyDescent="0.2">
      <c r="R48482" s="1288"/>
    </row>
    <row r="48483" spans="18:18" s="2" customFormat="1" ht="12.75" x14ac:dyDescent="0.2">
      <c r="R48483" s="1288"/>
    </row>
    <row r="48484" spans="18:18" s="2" customFormat="1" ht="12.75" x14ac:dyDescent="0.2">
      <c r="R48484" s="1288"/>
    </row>
    <row r="48485" spans="18:18" s="2" customFormat="1" ht="12.75" x14ac:dyDescent="0.2">
      <c r="R48485" s="1288"/>
    </row>
    <row r="48486" spans="18:18" s="2" customFormat="1" ht="12.75" x14ac:dyDescent="0.2">
      <c r="R48486" s="1288"/>
    </row>
    <row r="48487" spans="18:18" s="2" customFormat="1" ht="12.75" x14ac:dyDescent="0.2">
      <c r="R48487" s="1288"/>
    </row>
    <row r="48488" spans="18:18" s="2" customFormat="1" ht="12.75" x14ac:dyDescent="0.2">
      <c r="R48488" s="1288"/>
    </row>
    <row r="48489" spans="18:18" s="2" customFormat="1" ht="12.75" x14ac:dyDescent="0.2">
      <c r="R48489" s="1288"/>
    </row>
    <row r="48490" spans="18:18" s="2" customFormat="1" ht="12.75" x14ac:dyDescent="0.2">
      <c r="R48490" s="1288"/>
    </row>
    <row r="48491" spans="18:18" s="2" customFormat="1" ht="12.75" x14ac:dyDescent="0.2">
      <c r="R48491" s="1288"/>
    </row>
    <row r="48492" spans="18:18" s="2" customFormat="1" ht="12.75" x14ac:dyDescent="0.2">
      <c r="R48492" s="1288"/>
    </row>
    <row r="48493" spans="18:18" s="2" customFormat="1" ht="12.75" x14ac:dyDescent="0.2">
      <c r="R48493" s="1288"/>
    </row>
    <row r="48494" spans="18:18" s="2" customFormat="1" ht="12.75" x14ac:dyDescent="0.2">
      <c r="R48494" s="1288"/>
    </row>
    <row r="48495" spans="18:18" s="2" customFormat="1" ht="12.75" x14ac:dyDescent="0.2">
      <c r="R48495" s="1288"/>
    </row>
    <row r="48496" spans="18:18" s="2" customFormat="1" ht="12.75" x14ac:dyDescent="0.2">
      <c r="R48496" s="1288"/>
    </row>
    <row r="48497" spans="18:18" s="2" customFormat="1" ht="12.75" x14ac:dyDescent="0.2">
      <c r="R48497" s="1288"/>
    </row>
    <row r="48498" spans="18:18" s="2" customFormat="1" ht="12.75" x14ac:dyDescent="0.2">
      <c r="R48498" s="1288"/>
    </row>
    <row r="48499" spans="18:18" s="2" customFormat="1" ht="12.75" x14ac:dyDescent="0.2">
      <c r="R48499" s="1288"/>
    </row>
    <row r="48500" spans="18:18" s="2" customFormat="1" ht="12.75" x14ac:dyDescent="0.2">
      <c r="R48500" s="1288"/>
    </row>
    <row r="48501" spans="18:18" s="2" customFormat="1" ht="12.75" x14ac:dyDescent="0.2">
      <c r="R48501" s="1288"/>
    </row>
    <row r="48502" spans="18:18" s="2" customFormat="1" ht="12.75" x14ac:dyDescent="0.2">
      <c r="R48502" s="1288"/>
    </row>
    <row r="48503" spans="18:18" s="2" customFormat="1" ht="12.75" x14ac:dyDescent="0.2">
      <c r="R48503" s="1288"/>
    </row>
    <row r="48504" spans="18:18" s="2" customFormat="1" ht="12.75" x14ac:dyDescent="0.2">
      <c r="R48504" s="1288"/>
    </row>
    <row r="48505" spans="18:18" s="2" customFormat="1" ht="12.75" x14ac:dyDescent="0.2">
      <c r="R48505" s="1288"/>
    </row>
    <row r="48506" spans="18:18" s="2" customFormat="1" ht="12.75" x14ac:dyDescent="0.2">
      <c r="R48506" s="1288"/>
    </row>
    <row r="48507" spans="18:18" s="2" customFormat="1" ht="12.75" x14ac:dyDescent="0.2">
      <c r="R48507" s="1288"/>
    </row>
    <row r="48508" spans="18:18" s="2" customFormat="1" ht="12.75" x14ac:dyDescent="0.2">
      <c r="R48508" s="1288"/>
    </row>
    <row r="48509" spans="18:18" s="2" customFormat="1" ht="12.75" x14ac:dyDescent="0.2">
      <c r="R48509" s="1288"/>
    </row>
    <row r="48510" spans="18:18" s="2" customFormat="1" ht="12.75" x14ac:dyDescent="0.2">
      <c r="R48510" s="1288"/>
    </row>
    <row r="48511" spans="18:18" s="2" customFormat="1" ht="12.75" x14ac:dyDescent="0.2">
      <c r="R48511" s="1288"/>
    </row>
    <row r="48512" spans="18:18" s="2" customFormat="1" ht="12.75" x14ac:dyDescent="0.2">
      <c r="R48512" s="1288"/>
    </row>
    <row r="48513" spans="18:18" s="2" customFormat="1" ht="12.75" x14ac:dyDescent="0.2">
      <c r="R48513" s="1288"/>
    </row>
    <row r="48514" spans="18:18" s="2" customFormat="1" ht="12.75" x14ac:dyDescent="0.2">
      <c r="R48514" s="1288"/>
    </row>
    <row r="48515" spans="18:18" s="2" customFormat="1" ht="12.75" x14ac:dyDescent="0.2">
      <c r="R48515" s="1288"/>
    </row>
    <row r="48516" spans="18:18" s="2" customFormat="1" ht="12.75" x14ac:dyDescent="0.2">
      <c r="R48516" s="1288"/>
    </row>
    <row r="48517" spans="18:18" s="2" customFormat="1" ht="12.75" x14ac:dyDescent="0.2">
      <c r="R48517" s="1288"/>
    </row>
    <row r="48518" spans="18:18" s="2" customFormat="1" ht="12.75" x14ac:dyDescent="0.2">
      <c r="R48518" s="1288"/>
    </row>
    <row r="48519" spans="18:18" s="2" customFormat="1" ht="12.75" x14ac:dyDescent="0.2">
      <c r="R48519" s="1288"/>
    </row>
    <row r="48520" spans="18:18" s="2" customFormat="1" ht="12.75" x14ac:dyDescent="0.2">
      <c r="R48520" s="1288"/>
    </row>
    <row r="48521" spans="18:18" s="2" customFormat="1" ht="12.75" x14ac:dyDescent="0.2">
      <c r="R48521" s="1288"/>
    </row>
    <row r="48522" spans="18:18" s="2" customFormat="1" ht="12.75" x14ac:dyDescent="0.2">
      <c r="R48522" s="1288"/>
    </row>
    <row r="48523" spans="18:18" s="2" customFormat="1" ht="12.75" x14ac:dyDescent="0.2">
      <c r="R48523" s="1288"/>
    </row>
    <row r="48524" spans="18:18" s="2" customFormat="1" ht="12.75" x14ac:dyDescent="0.2">
      <c r="R48524" s="1288"/>
    </row>
    <row r="48525" spans="18:18" s="2" customFormat="1" ht="12.75" x14ac:dyDescent="0.2">
      <c r="R48525" s="1288"/>
    </row>
    <row r="48526" spans="18:18" s="2" customFormat="1" ht="12.75" x14ac:dyDescent="0.2">
      <c r="R48526" s="1288"/>
    </row>
    <row r="48527" spans="18:18" s="2" customFormat="1" ht="12.75" x14ac:dyDescent="0.2">
      <c r="R48527" s="1288"/>
    </row>
    <row r="48528" spans="18:18" s="2" customFormat="1" ht="12.75" x14ac:dyDescent="0.2">
      <c r="R48528" s="1288"/>
    </row>
    <row r="48529" spans="18:18" s="2" customFormat="1" ht="12.75" x14ac:dyDescent="0.2">
      <c r="R48529" s="1288"/>
    </row>
    <row r="48530" spans="18:18" s="2" customFormat="1" ht="12.75" x14ac:dyDescent="0.2">
      <c r="R48530" s="1288"/>
    </row>
    <row r="48531" spans="18:18" s="2" customFormat="1" ht="12.75" x14ac:dyDescent="0.2">
      <c r="R48531" s="1288"/>
    </row>
    <row r="48532" spans="18:18" s="2" customFormat="1" ht="12.75" x14ac:dyDescent="0.2">
      <c r="R48532" s="1288"/>
    </row>
    <row r="48533" spans="18:18" s="2" customFormat="1" ht="12.75" x14ac:dyDescent="0.2">
      <c r="R48533" s="1288"/>
    </row>
    <row r="48534" spans="18:18" s="2" customFormat="1" ht="12.75" x14ac:dyDescent="0.2">
      <c r="R48534" s="1288"/>
    </row>
    <row r="48535" spans="18:18" s="2" customFormat="1" ht="12.75" x14ac:dyDescent="0.2">
      <c r="R48535" s="1288"/>
    </row>
    <row r="48536" spans="18:18" s="2" customFormat="1" ht="12.75" x14ac:dyDescent="0.2">
      <c r="R48536" s="1288"/>
    </row>
    <row r="48537" spans="18:18" s="2" customFormat="1" ht="12.75" x14ac:dyDescent="0.2">
      <c r="R48537" s="1288"/>
    </row>
    <row r="48538" spans="18:18" s="2" customFormat="1" ht="12.75" x14ac:dyDescent="0.2">
      <c r="R48538" s="1288"/>
    </row>
    <row r="48539" spans="18:18" s="2" customFormat="1" ht="12.75" x14ac:dyDescent="0.2">
      <c r="R48539" s="1288"/>
    </row>
    <row r="48540" spans="18:18" s="2" customFormat="1" ht="12.75" x14ac:dyDescent="0.2">
      <c r="R48540" s="1288"/>
    </row>
    <row r="48541" spans="18:18" s="2" customFormat="1" ht="12.75" x14ac:dyDescent="0.2">
      <c r="R48541" s="1288"/>
    </row>
    <row r="48542" spans="18:18" s="2" customFormat="1" ht="12.75" x14ac:dyDescent="0.2">
      <c r="R48542" s="1288"/>
    </row>
    <row r="48543" spans="18:18" s="2" customFormat="1" ht="12.75" x14ac:dyDescent="0.2">
      <c r="R48543" s="1288"/>
    </row>
    <row r="48544" spans="18:18" s="2" customFormat="1" ht="12.75" x14ac:dyDescent="0.2">
      <c r="R48544" s="1288"/>
    </row>
    <row r="48545" spans="18:18" s="2" customFormat="1" ht="12.75" x14ac:dyDescent="0.2">
      <c r="R48545" s="1288"/>
    </row>
    <row r="48546" spans="18:18" s="2" customFormat="1" ht="12.75" x14ac:dyDescent="0.2">
      <c r="R48546" s="1288"/>
    </row>
    <row r="48547" spans="18:18" s="2" customFormat="1" ht="12.75" x14ac:dyDescent="0.2">
      <c r="R48547" s="1288"/>
    </row>
    <row r="48548" spans="18:18" s="2" customFormat="1" ht="12.75" x14ac:dyDescent="0.2">
      <c r="R48548" s="1288"/>
    </row>
    <row r="48549" spans="18:18" s="2" customFormat="1" ht="12.75" x14ac:dyDescent="0.2">
      <c r="R48549" s="1288"/>
    </row>
    <row r="48550" spans="18:18" s="2" customFormat="1" ht="12.75" x14ac:dyDescent="0.2">
      <c r="R48550" s="1288"/>
    </row>
    <row r="48551" spans="18:18" s="2" customFormat="1" ht="12.75" x14ac:dyDescent="0.2">
      <c r="R48551" s="1288"/>
    </row>
    <row r="48552" spans="18:18" s="2" customFormat="1" ht="12.75" x14ac:dyDescent="0.2">
      <c r="R48552" s="1288"/>
    </row>
    <row r="48553" spans="18:18" s="2" customFormat="1" ht="12.75" x14ac:dyDescent="0.2">
      <c r="R48553" s="1288"/>
    </row>
    <row r="48554" spans="18:18" s="2" customFormat="1" ht="12.75" x14ac:dyDescent="0.2">
      <c r="R48554" s="1288"/>
    </row>
    <row r="48555" spans="18:18" s="2" customFormat="1" ht="12.75" x14ac:dyDescent="0.2">
      <c r="R48555" s="1288"/>
    </row>
    <row r="48556" spans="18:18" s="2" customFormat="1" ht="12.75" x14ac:dyDescent="0.2">
      <c r="R48556" s="1288"/>
    </row>
    <row r="48557" spans="18:18" s="2" customFormat="1" ht="12.75" x14ac:dyDescent="0.2">
      <c r="R48557" s="1288"/>
    </row>
    <row r="48558" spans="18:18" s="2" customFormat="1" ht="12.75" x14ac:dyDescent="0.2">
      <c r="R48558" s="1288"/>
    </row>
    <row r="48559" spans="18:18" s="2" customFormat="1" ht="12.75" x14ac:dyDescent="0.2">
      <c r="R48559" s="1288"/>
    </row>
    <row r="48560" spans="18:18" s="2" customFormat="1" ht="12.75" x14ac:dyDescent="0.2">
      <c r="R48560" s="1288"/>
    </row>
    <row r="48561" spans="18:18" s="2" customFormat="1" ht="12.75" x14ac:dyDescent="0.2">
      <c r="R48561" s="1288"/>
    </row>
    <row r="48562" spans="18:18" s="2" customFormat="1" ht="12.75" x14ac:dyDescent="0.2">
      <c r="R48562" s="1288"/>
    </row>
    <row r="48563" spans="18:18" s="2" customFormat="1" ht="12.75" x14ac:dyDescent="0.2">
      <c r="R48563" s="1288"/>
    </row>
    <row r="48564" spans="18:18" s="2" customFormat="1" ht="12.75" x14ac:dyDescent="0.2">
      <c r="R48564" s="1288"/>
    </row>
    <row r="48565" spans="18:18" s="2" customFormat="1" ht="12.75" x14ac:dyDescent="0.2">
      <c r="R48565" s="1288"/>
    </row>
    <row r="48566" spans="18:18" s="2" customFormat="1" ht="12.75" x14ac:dyDescent="0.2">
      <c r="R48566" s="1288"/>
    </row>
    <row r="48567" spans="18:18" s="2" customFormat="1" ht="12.75" x14ac:dyDescent="0.2">
      <c r="R48567" s="1288"/>
    </row>
    <row r="48568" spans="18:18" s="2" customFormat="1" ht="12.75" x14ac:dyDescent="0.2">
      <c r="R48568" s="1288"/>
    </row>
    <row r="48569" spans="18:18" s="2" customFormat="1" ht="12.75" x14ac:dyDescent="0.2">
      <c r="R48569" s="1288"/>
    </row>
    <row r="48570" spans="18:18" s="2" customFormat="1" ht="12.75" x14ac:dyDescent="0.2">
      <c r="R48570" s="1288"/>
    </row>
    <row r="48571" spans="18:18" s="2" customFormat="1" ht="12.75" x14ac:dyDescent="0.2">
      <c r="R48571" s="1288"/>
    </row>
    <row r="48572" spans="18:18" s="2" customFormat="1" ht="12.75" x14ac:dyDescent="0.2">
      <c r="R48572" s="1288"/>
    </row>
    <row r="48573" spans="18:18" s="2" customFormat="1" ht="12.75" x14ac:dyDescent="0.2">
      <c r="R48573" s="1288"/>
    </row>
    <row r="48574" spans="18:18" s="2" customFormat="1" ht="12.75" x14ac:dyDescent="0.2">
      <c r="R48574" s="1288"/>
    </row>
    <row r="48575" spans="18:18" s="2" customFormat="1" ht="12.75" x14ac:dyDescent="0.2">
      <c r="R48575" s="1288"/>
    </row>
    <row r="48576" spans="18:18" s="2" customFormat="1" ht="12.75" x14ac:dyDescent="0.2">
      <c r="R48576" s="1288"/>
    </row>
    <row r="48577" spans="18:18" s="2" customFormat="1" ht="12.75" x14ac:dyDescent="0.2">
      <c r="R48577" s="1288"/>
    </row>
    <row r="48578" spans="18:18" s="2" customFormat="1" ht="12.75" x14ac:dyDescent="0.2">
      <c r="R48578" s="1288"/>
    </row>
    <row r="48579" spans="18:18" s="2" customFormat="1" ht="12.75" x14ac:dyDescent="0.2">
      <c r="R48579" s="1288"/>
    </row>
    <row r="48580" spans="18:18" s="2" customFormat="1" ht="12.75" x14ac:dyDescent="0.2">
      <c r="R48580" s="1288"/>
    </row>
    <row r="48581" spans="18:18" s="2" customFormat="1" ht="12.75" x14ac:dyDescent="0.2">
      <c r="R48581" s="1288"/>
    </row>
    <row r="48582" spans="18:18" s="2" customFormat="1" ht="12.75" x14ac:dyDescent="0.2">
      <c r="R48582" s="1288"/>
    </row>
    <row r="48583" spans="18:18" s="2" customFormat="1" ht="12.75" x14ac:dyDescent="0.2">
      <c r="R48583" s="1288"/>
    </row>
    <row r="48584" spans="18:18" s="2" customFormat="1" ht="12.75" x14ac:dyDescent="0.2">
      <c r="R48584" s="1288"/>
    </row>
    <row r="48585" spans="18:18" s="2" customFormat="1" ht="12.75" x14ac:dyDescent="0.2">
      <c r="R48585" s="1288"/>
    </row>
    <row r="48586" spans="18:18" s="2" customFormat="1" ht="12.75" x14ac:dyDescent="0.2">
      <c r="R48586" s="1288"/>
    </row>
    <row r="48587" spans="18:18" s="2" customFormat="1" ht="12.75" x14ac:dyDescent="0.2">
      <c r="R48587" s="1288"/>
    </row>
    <row r="48588" spans="18:18" s="2" customFormat="1" ht="12.75" x14ac:dyDescent="0.2">
      <c r="R48588" s="1288"/>
    </row>
    <row r="48589" spans="18:18" s="2" customFormat="1" ht="12.75" x14ac:dyDescent="0.2">
      <c r="R48589" s="1288"/>
    </row>
    <row r="48590" spans="18:18" s="2" customFormat="1" ht="12.75" x14ac:dyDescent="0.2">
      <c r="R48590" s="1288"/>
    </row>
    <row r="48591" spans="18:18" s="2" customFormat="1" ht="12.75" x14ac:dyDescent="0.2">
      <c r="R48591" s="1288"/>
    </row>
    <row r="48592" spans="18:18" s="2" customFormat="1" ht="12.75" x14ac:dyDescent="0.2">
      <c r="R48592" s="1288"/>
    </row>
    <row r="48593" spans="18:18" s="2" customFormat="1" ht="12.75" x14ac:dyDescent="0.2">
      <c r="R48593" s="1288"/>
    </row>
    <row r="48594" spans="18:18" s="2" customFormat="1" ht="12.75" x14ac:dyDescent="0.2">
      <c r="R48594" s="1288"/>
    </row>
    <row r="48595" spans="18:18" s="2" customFormat="1" ht="12.75" x14ac:dyDescent="0.2">
      <c r="R48595" s="1288"/>
    </row>
    <row r="48596" spans="18:18" s="2" customFormat="1" ht="12.75" x14ac:dyDescent="0.2">
      <c r="R48596" s="1288"/>
    </row>
    <row r="48597" spans="18:18" s="2" customFormat="1" ht="12.75" x14ac:dyDescent="0.2">
      <c r="R48597" s="1288"/>
    </row>
    <row r="48598" spans="18:18" s="2" customFormat="1" ht="12.75" x14ac:dyDescent="0.2">
      <c r="R48598" s="1288"/>
    </row>
    <row r="48599" spans="18:18" s="2" customFormat="1" ht="12.75" x14ac:dyDescent="0.2">
      <c r="R48599" s="1288"/>
    </row>
    <row r="48600" spans="18:18" s="2" customFormat="1" ht="12.75" x14ac:dyDescent="0.2">
      <c r="R48600" s="1288"/>
    </row>
    <row r="48601" spans="18:18" s="2" customFormat="1" ht="12.75" x14ac:dyDescent="0.2">
      <c r="R48601" s="1288"/>
    </row>
    <row r="48602" spans="18:18" s="2" customFormat="1" ht="12.75" x14ac:dyDescent="0.2">
      <c r="R48602" s="1288"/>
    </row>
    <row r="48603" spans="18:18" s="2" customFormat="1" ht="12.75" x14ac:dyDescent="0.2">
      <c r="R48603" s="1288"/>
    </row>
    <row r="48604" spans="18:18" s="2" customFormat="1" ht="12.75" x14ac:dyDescent="0.2">
      <c r="R48604" s="1288"/>
    </row>
    <row r="48605" spans="18:18" s="2" customFormat="1" ht="12.75" x14ac:dyDescent="0.2">
      <c r="R48605" s="1288"/>
    </row>
    <row r="48606" spans="18:18" s="2" customFormat="1" ht="12.75" x14ac:dyDescent="0.2">
      <c r="R48606" s="1288"/>
    </row>
    <row r="48607" spans="18:18" s="2" customFormat="1" ht="12.75" x14ac:dyDescent="0.2">
      <c r="R48607" s="1288"/>
    </row>
    <row r="48608" spans="18:18" s="2" customFormat="1" ht="12.75" x14ac:dyDescent="0.2">
      <c r="R48608" s="1288"/>
    </row>
    <row r="48609" spans="18:18" s="2" customFormat="1" ht="12.75" x14ac:dyDescent="0.2">
      <c r="R48609" s="1288"/>
    </row>
    <row r="48610" spans="18:18" s="2" customFormat="1" ht="12.75" x14ac:dyDescent="0.2">
      <c r="R48610" s="1288"/>
    </row>
    <row r="48611" spans="18:18" s="2" customFormat="1" ht="12.75" x14ac:dyDescent="0.2">
      <c r="R48611" s="1288"/>
    </row>
    <row r="48612" spans="18:18" s="2" customFormat="1" ht="12.75" x14ac:dyDescent="0.2">
      <c r="R48612" s="1288"/>
    </row>
    <row r="48613" spans="18:18" s="2" customFormat="1" ht="12.75" x14ac:dyDescent="0.2">
      <c r="R48613" s="1288"/>
    </row>
    <row r="48614" spans="18:18" s="2" customFormat="1" ht="12.75" x14ac:dyDescent="0.2">
      <c r="R48614" s="1288"/>
    </row>
    <row r="48615" spans="18:18" s="2" customFormat="1" ht="12.75" x14ac:dyDescent="0.2">
      <c r="R48615" s="1288"/>
    </row>
    <row r="48616" spans="18:18" s="2" customFormat="1" ht="12.75" x14ac:dyDescent="0.2">
      <c r="R48616" s="1288"/>
    </row>
    <row r="48617" spans="18:18" s="2" customFormat="1" ht="12.75" x14ac:dyDescent="0.2">
      <c r="R48617" s="1288"/>
    </row>
    <row r="48618" spans="18:18" s="2" customFormat="1" ht="12.75" x14ac:dyDescent="0.2">
      <c r="R48618" s="1288"/>
    </row>
    <row r="48619" spans="18:18" s="2" customFormat="1" ht="12.75" x14ac:dyDescent="0.2">
      <c r="R48619" s="1288"/>
    </row>
    <row r="48620" spans="18:18" s="2" customFormat="1" ht="12.75" x14ac:dyDescent="0.2">
      <c r="R48620" s="1288"/>
    </row>
    <row r="48621" spans="18:18" s="2" customFormat="1" ht="12.75" x14ac:dyDescent="0.2">
      <c r="R48621" s="1288"/>
    </row>
    <row r="48622" spans="18:18" s="2" customFormat="1" ht="12.75" x14ac:dyDescent="0.2">
      <c r="R48622" s="1288"/>
    </row>
    <row r="48623" spans="18:18" s="2" customFormat="1" ht="12.75" x14ac:dyDescent="0.2">
      <c r="R48623" s="1288"/>
    </row>
    <row r="48624" spans="18:18" s="2" customFormat="1" ht="12.75" x14ac:dyDescent="0.2">
      <c r="R48624" s="1288"/>
    </row>
    <row r="48625" spans="18:18" s="2" customFormat="1" ht="12.75" x14ac:dyDescent="0.2">
      <c r="R48625" s="1288"/>
    </row>
    <row r="48626" spans="18:18" s="2" customFormat="1" ht="12.75" x14ac:dyDescent="0.2">
      <c r="R48626" s="1288"/>
    </row>
    <row r="48627" spans="18:18" s="2" customFormat="1" ht="12.75" x14ac:dyDescent="0.2">
      <c r="R48627" s="1288"/>
    </row>
    <row r="48628" spans="18:18" s="2" customFormat="1" ht="12.75" x14ac:dyDescent="0.2">
      <c r="R48628" s="1288"/>
    </row>
    <row r="48629" spans="18:18" s="2" customFormat="1" ht="12.75" x14ac:dyDescent="0.2">
      <c r="R48629" s="1288"/>
    </row>
    <row r="48630" spans="18:18" s="2" customFormat="1" ht="12.75" x14ac:dyDescent="0.2">
      <c r="R48630" s="1288"/>
    </row>
    <row r="48631" spans="18:18" s="2" customFormat="1" ht="12.75" x14ac:dyDescent="0.2">
      <c r="R48631" s="1288"/>
    </row>
    <row r="48632" spans="18:18" s="2" customFormat="1" ht="12.75" x14ac:dyDescent="0.2">
      <c r="R48632" s="1288"/>
    </row>
    <row r="48633" spans="18:18" s="2" customFormat="1" ht="12.75" x14ac:dyDescent="0.2">
      <c r="R48633" s="1288"/>
    </row>
    <row r="48634" spans="18:18" s="2" customFormat="1" ht="12.75" x14ac:dyDescent="0.2">
      <c r="R48634" s="1288"/>
    </row>
    <row r="48635" spans="18:18" s="2" customFormat="1" ht="12.75" x14ac:dyDescent="0.2">
      <c r="R48635" s="1288"/>
    </row>
    <row r="48636" spans="18:18" s="2" customFormat="1" ht="12.75" x14ac:dyDescent="0.2">
      <c r="R48636" s="1288"/>
    </row>
    <row r="48637" spans="18:18" s="2" customFormat="1" ht="12.75" x14ac:dyDescent="0.2">
      <c r="R48637" s="1288"/>
    </row>
    <row r="48638" spans="18:18" s="2" customFormat="1" ht="12.75" x14ac:dyDescent="0.2">
      <c r="R48638" s="1288"/>
    </row>
    <row r="48639" spans="18:18" s="2" customFormat="1" ht="12.75" x14ac:dyDescent="0.2">
      <c r="R48639" s="1288"/>
    </row>
    <row r="48640" spans="18:18" s="2" customFormat="1" ht="12.75" x14ac:dyDescent="0.2">
      <c r="R48640" s="1288"/>
    </row>
    <row r="48641" spans="18:18" s="2" customFormat="1" ht="12.75" x14ac:dyDescent="0.2">
      <c r="R48641" s="1288"/>
    </row>
    <row r="48642" spans="18:18" s="2" customFormat="1" ht="12.75" x14ac:dyDescent="0.2">
      <c r="R48642" s="1288"/>
    </row>
    <row r="48643" spans="18:18" s="2" customFormat="1" ht="12.75" x14ac:dyDescent="0.2">
      <c r="R48643" s="1288"/>
    </row>
    <row r="48644" spans="18:18" s="2" customFormat="1" ht="12.75" x14ac:dyDescent="0.2">
      <c r="R48644" s="1288"/>
    </row>
    <row r="48645" spans="18:18" s="2" customFormat="1" ht="12.75" x14ac:dyDescent="0.2">
      <c r="R48645" s="1288"/>
    </row>
    <row r="48646" spans="18:18" s="2" customFormat="1" ht="12.75" x14ac:dyDescent="0.2">
      <c r="R48646" s="1288"/>
    </row>
    <row r="48647" spans="18:18" s="2" customFormat="1" ht="12.75" x14ac:dyDescent="0.2">
      <c r="R48647" s="1288"/>
    </row>
    <row r="48648" spans="18:18" s="2" customFormat="1" ht="12.75" x14ac:dyDescent="0.2">
      <c r="R48648" s="1288"/>
    </row>
    <row r="48649" spans="18:18" s="2" customFormat="1" ht="12.75" x14ac:dyDescent="0.2">
      <c r="R48649" s="1288"/>
    </row>
    <row r="48650" spans="18:18" s="2" customFormat="1" ht="12.75" x14ac:dyDescent="0.2">
      <c r="R48650" s="1288"/>
    </row>
    <row r="48651" spans="18:18" s="2" customFormat="1" ht="12.75" x14ac:dyDescent="0.2">
      <c r="R48651" s="1288"/>
    </row>
    <row r="48652" spans="18:18" s="2" customFormat="1" ht="12.75" x14ac:dyDescent="0.2">
      <c r="R48652" s="1288"/>
    </row>
    <row r="48653" spans="18:18" s="2" customFormat="1" ht="12.75" x14ac:dyDescent="0.2">
      <c r="R48653" s="1288"/>
    </row>
    <row r="48654" spans="18:18" s="2" customFormat="1" ht="12.75" x14ac:dyDescent="0.2">
      <c r="R48654" s="1288"/>
    </row>
    <row r="48655" spans="18:18" s="2" customFormat="1" ht="12.75" x14ac:dyDescent="0.2">
      <c r="R48655" s="1288"/>
    </row>
    <row r="48656" spans="18:18" s="2" customFormat="1" ht="12.75" x14ac:dyDescent="0.2">
      <c r="R48656" s="1288"/>
    </row>
    <row r="48657" spans="18:18" s="2" customFormat="1" ht="12.75" x14ac:dyDescent="0.2">
      <c r="R48657" s="1288"/>
    </row>
    <row r="48658" spans="18:18" s="2" customFormat="1" ht="12.75" x14ac:dyDescent="0.2">
      <c r="R48658" s="1288"/>
    </row>
    <row r="48659" spans="18:18" s="2" customFormat="1" ht="12.75" x14ac:dyDescent="0.2">
      <c r="R48659" s="1288"/>
    </row>
    <row r="48660" spans="18:18" s="2" customFormat="1" ht="12.75" x14ac:dyDescent="0.2">
      <c r="R48660" s="1288"/>
    </row>
    <row r="48661" spans="18:18" s="2" customFormat="1" ht="12.75" x14ac:dyDescent="0.2">
      <c r="R48661" s="1288"/>
    </row>
    <row r="48662" spans="18:18" s="2" customFormat="1" ht="12.75" x14ac:dyDescent="0.2">
      <c r="R48662" s="1288"/>
    </row>
    <row r="48663" spans="18:18" s="2" customFormat="1" ht="12.75" x14ac:dyDescent="0.2">
      <c r="R48663" s="1288"/>
    </row>
    <row r="48664" spans="18:18" s="2" customFormat="1" ht="12.75" x14ac:dyDescent="0.2">
      <c r="R48664" s="1288"/>
    </row>
    <row r="48665" spans="18:18" s="2" customFormat="1" ht="12.75" x14ac:dyDescent="0.2">
      <c r="R48665" s="1288"/>
    </row>
    <row r="48666" spans="18:18" s="2" customFormat="1" ht="12.75" x14ac:dyDescent="0.2">
      <c r="R48666" s="1288"/>
    </row>
    <row r="48667" spans="18:18" s="2" customFormat="1" ht="12.75" x14ac:dyDescent="0.2">
      <c r="R48667" s="1288"/>
    </row>
    <row r="48668" spans="18:18" s="2" customFormat="1" ht="12.75" x14ac:dyDescent="0.2">
      <c r="R48668" s="1288"/>
    </row>
    <row r="48669" spans="18:18" s="2" customFormat="1" ht="12.75" x14ac:dyDescent="0.2">
      <c r="R48669" s="1288"/>
    </row>
    <row r="48670" spans="18:18" s="2" customFormat="1" ht="12.75" x14ac:dyDescent="0.2">
      <c r="R48670" s="1288"/>
    </row>
    <row r="48671" spans="18:18" s="2" customFormat="1" ht="12.75" x14ac:dyDescent="0.2">
      <c r="R48671" s="1288"/>
    </row>
    <row r="48672" spans="18:18" s="2" customFormat="1" ht="12.75" x14ac:dyDescent="0.2">
      <c r="R48672" s="1288"/>
    </row>
    <row r="48673" spans="18:18" s="2" customFormat="1" ht="12.75" x14ac:dyDescent="0.2">
      <c r="R48673" s="1288"/>
    </row>
    <row r="48674" spans="18:18" s="2" customFormat="1" ht="12.75" x14ac:dyDescent="0.2">
      <c r="R48674" s="1288"/>
    </row>
    <row r="48675" spans="18:18" s="2" customFormat="1" ht="12.75" x14ac:dyDescent="0.2">
      <c r="R48675" s="1288"/>
    </row>
    <row r="48676" spans="18:18" s="2" customFormat="1" ht="12.75" x14ac:dyDescent="0.2">
      <c r="R48676" s="1288"/>
    </row>
    <row r="48677" spans="18:18" s="2" customFormat="1" ht="12.75" x14ac:dyDescent="0.2">
      <c r="R48677" s="1288"/>
    </row>
    <row r="48678" spans="18:18" s="2" customFormat="1" ht="12.75" x14ac:dyDescent="0.2">
      <c r="R48678" s="1288"/>
    </row>
    <row r="48679" spans="18:18" s="2" customFormat="1" ht="12.75" x14ac:dyDescent="0.2">
      <c r="R48679" s="1288"/>
    </row>
    <row r="48680" spans="18:18" s="2" customFormat="1" ht="12.75" x14ac:dyDescent="0.2">
      <c r="R48680" s="1288"/>
    </row>
    <row r="48681" spans="18:18" s="2" customFormat="1" ht="12.75" x14ac:dyDescent="0.2">
      <c r="R48681" s="1288"/>
    </row>
    <row r="48682" spans="18:18" s="2" customFormat="1" ht="12.75" x14ac:dyDescent="0.2">
      <c r="R48682" s="1288"/>
    </row>
    <row r="48683" spans="18:18" s="2" customFormat="1" ht="12.75" x14ac:dyDescent="0.2">
      <c r="R48683" s="1288"/>
    </row>
    <row r="48684" spans="18:18" s="2" customFormat="1" ht="12.75" x14ac:dyDescent="0.2">
      <c r="R48684" s="1288"/>
    </row>
    <row r="48685" spans="18:18" s="2" customFormat="1" ht="12.75" x14ac:dyDescent="0.2">
      <c r="R48685" s="1288"/>
    </row>
    <row r="48686" spans="18:18" s="2" customFormat="1" ht="12.75" x14ac:dyDescent="0.2">
      <c r="R48686" s="1288"/>
    </row>
    <row r="48687" spans="18:18" s="2" customFormat="1" ht="12.75" x14ac:dyDescent="0.2">
      <c r="R48687" s="1288"/>
    </row>
    <row r="48688" spans="18:18" s="2" customFormat="1" ht="12.75" x14ac:dyDescent="0.2">
      <c r="R48688" s="1288"/>
    </row>
    <row r="48689" spans="18:18" s="2" customFormat="1" ht="12.75" x14ac:dyDescent="0.2">
      <c r="R48689" s="1288"/>
    </row>
    <row r="48690" spans="18:18" s="2" customFormat="1" ht="12.75" x14ac:dyDescent="0.2">
      <c r="R48690" s="1288"/>
    </row>
    <row r="48691" spans="18:18" s="2" customFormat="1" ht="12.75" x14ac:dyDescent="0.2">
      <c r="R48691" s="1288"/>
    </row>
    <row r="48692" spans="18:18" s="2" customFormat="1" ht="12.75" x14ac:dyDescent="0.2">
      <c r="R48692" s="1288"/>
    </row>
    <row r="48693" spans="18:18" s="2" customFormat="1" ht="12.75" x14ac:dyDescent="0.2">
      <c r="R48693" s="1288"/>
    </row>
    <row r="48694" spans="18:18" s="2" customFormat="1" ht="12.75" x14ac:dyDescent="0.2">
      <c r="R48694" s="1288"/>
    </row>
    <row r="48695" spans="18:18" s="2" customFormat="1" ht="12.75" x14ac:dyDescent="0.2">
      <c r="R48695" s="1288"/>
    </row>
    <row r="48696" spans="18:18" s="2" customFormat="1" ht="12.75" x14ac:dyDescent="0.2">
      <c r="R48696" s="1288"/>
    </row>
    <row r="48697" spans="18:18" s="2" customFormat="1" ht="12.75" x14ac:dyDescent="0.2">
      <c r="R48697" s="1288"/>
    </row>
    <row r="48698" spans="18:18" s="2" customFormat="1" ht="12.75" x14ac:dyDescent="0.2">
      <c r="R48698" s="1288"/>
    </row>
    <row r="48699" spans="18:18" s="2" customFormat="1" ht="12.75" x14ac:dyDescent="0.2">
      <c r="R48699" s="1288"/>
    </row>
    <row r="48700" spans="18:18" s="2" customFormat="1" ht="12.75" x14ac:dyDescent="0.2">
      <c r="R48700" s="1288"/>
    </row>
    <row r="48701" spans="18:18" s="2" customFormat="1" ht="12.75" x14ac:dyDescent="0.2">
      <c r="R48701" s="1288"/>
    </row>
    <row r="48702" spans="18:18" s="2" customFormat="1" ht="12.75" x14ac:dyDescent="0.2">
      <c r="R48702" s="1288"/>
    </row>
    <row r="48703" spans="18:18" s="2" customFormat="1" ht="12.75" x14ac:dyDescent="0.2">
      <c r="R48703" s="1288"/>
    </row>
    <row r="48704" spans="18:18" s="2" customFormat="1" ht="12.75" x14ac:dyDescent="0.2">
      <c r="R48704" s="1288"/>
    </row>
    <row r="48705" spans="18:18" s="2" customFormat="1" ht="12.75" x14ac:dyDescent="0.2">
      <c r="R48705" s="1288"/>
    </row>
    <row r="48706" spans="18:18" s="2" customFormat="1" ht="12.75" x14ac:dyDescent="0.2">
      <c r="R48706" s="1288"/>
    </row>
    <row r="48707" spans="18:18" s="2" customFormat="1" ht="12.75" x14ac:dyDescent="0.2">
      <c r="R48707" s="1288"/>
    </row>
    <row r="48708" spans="18:18" s="2" customFormat="1" ht="12.75" x14ac:dyDescent="0.2">
      <c r="R48708" s="1288"/>
    </row>
    <row r="48709" spans="18:18" s="2" customFormat="1" ht="12.75" x14ac:dyDescent="0.2">
      <c r="R48709" s="1288"/>
    </row>
    <row r="48710" spans="18:18" s="2" customFormat="1" ht="12.75" x14ac:dyDescent="0.2">
      <c r="R48710" s="1288"/>
    </row>
    <row r="48711" spans="18:18" s="2" customFormat="1" ht="12.75" x14ac:dyDescent="0.2">
      <c r="R48711" s="1288"/>
    </row>
    <row r="48712" spans="18:18" s="2" customFormat="1" ht="12.75" x14ac:dyDescent="0.2">
      <c r="R48712" s="1288"/>
    </row>
    <row r="48713" spans="18:18" s="2" customFormat="1" ht="12.75" x14ac:dyDescent="0.2">
      <c r="R48713" s="1288"/>
    </row>
    <row r="48714" spans="18:18" s="2" customFormat="1" ht="12.75" x14ac:dyDescent="0.2">
      <c r="R48714" s="1288"/>
    </row>
    <row r="48715" spans="18:18" s="2" customFormat="1" ht="12.75" x14ac:dyDescent="0.2">
      <c r="R48715" s="1288"/>
    </row>
    <row r="48716" spans="18:18" s="2" customFormat="1" ht="12.75" x14ac:dyDescent="0.2">
      <c r="R48716" s="1288"/>
    </row>
    <row r="48717" spans="18:18" s="2" customFormat="1" ht="12.75" x14ac:dyDescent="0.2">
      <c r="R48717" s="1288"/>
    </row>
    <row r="48718" spans="18:18" s="2" customFormat="1" ht="12.75" x14ac:dyDescent="0.2">
      <c r="R48718" s="1288"/>
    </row>
    <row r="48719" spans="18:18" s="2" customFormat="1" ht="12.75" x14ac:dyDescent="0.2">
      <c r="R48719" s="1288"/>
    </row>
    <row r="48720" spans="18:18" s="2" customFormat="1" ht="12.75" x14ac:dyDescent="0.2">
      <c r="R48720" s="1288"/>
    </row>
    <row r="48721" spans="18:18" s="2" customFormat="1" ht="12.75" x14ac:dyDescent="0.2">
      <c r="R48721" s="1288"/>
    </row>
    <row r="48722" spans="18:18" s="2" customFormat="1" ht="12.75" x14ac:dyDescent="0.2">
      <c r="R48722" s="1288"/>
    </row>
    <row r="48723" spans="18:18" s="2" customFormat="1" ht="12.75" x14ac:dyDescent="0.2">
      <c r="R48723" s="1288"/>
    </row>
    <row r="48724" spans="18:18" s="2" customFormat="1" ht="12.75" x14ac:dyDescent="0.2">
      <c r="R48724" s="1288"/>
    </row>
    <row r="48725" spans="18:18" s="2" customFormat="1" ht="12.75" x14ac:dyDescent="0.2">
      <c r="R48725" s="1288"/>
    </row>
    <row r="48726" spans="18:18" s="2" customFormat="1" ht="12.75" x14ac:dyDescent="0.2">
      <c r="R48726" s="1288"/>
    </row>
    <row r="48727" spans="18:18" s="2" customFormat="1" ht="12.75" x14ac:dyDescent="0.2">
      <c r="R48727" s="1288"/>
    </row>
    <row r="48728" spans="18:18" s="2" customFormat="1" ht="12.75" x14ac:dyDescent="0.2">
      <c r="R48728" s="1288"/>
    </row>
    <row r="48729" spans="18:18" s="2" customFormat="1" ht="12.75" x14ac:dyDescent="0.2">
      <c r="R48729" s="1288"/>
    </row>
    <row r="48730" spans="18:18" s="2" customFormat="1" ht="12.75" x14ac:dyDescent="0.2">
      <c r="R48730" s="1288"/>
    </row>
    <row r="48731" spans="18:18" s="2" customFormat="1" ht="12.75" x14ac:dyDescent="0.2">
      <c r="R48731" s="1288"/>
    </row>
    <row r="48732" spans="18:18" s="2" customFormat="1" ht="12.75" x14ac:dyDescent="0.2">
      <c r="R48732" s="1288"/>
    </row>
    <row r="48733" spans="18:18" s="2" customFormat="1" ht="12.75" x14ac:dyDescent="0.2">
      <c r="R48733" s="1288"/>
    </row>
    <row r="48734" spans="18:18" s="2" customFormat="1" ht="12.75" x14ac:dyDescent="0.2">
      <c r="R48734" s="1288"/>
    </row>
    <row r="48735" spans="18:18" s="2" customFormat="1" ht="12.75" x14ac:dyDescent="0.2">
      <c r="R48735" s="1288"/>
    </row>
    <row r="48736" spans="18:18" s="2" customFormat="1" ht="12.75" x14ac:dyDescent="0.2">
      <c r="R48736" s="1288"/>
    </row>
    <row r="48737" spans="18:18" s="2" customFormat="1" ht="12.75" x14ac:dyDescent="0.2">
      <c r="R48737" s="1288"/>
    </row>
    <row r="48738" spans="18:18" s="2" customFormat="1" ht="12.75" x14ac:dyDescent="0.2">
      <c r="R48738" s="1288"/>
    </row>
    <row r="48739" spans="18:18" s="2" customFormat="1" ht="12.75" x14ac:dyDescent="0.2">
      <c r="R48739" s="1288"/>
    </row>
    <row r="48740" spans="18:18" s="2" customFormat="1" ht="12.75" x14ac:dyDescent="0.2">
      <c r="R48740" s="1288"/>
    </row>
    <row r="48741" spans="18:18" s="2" customFormat="1" ht="12.75" x14ac:dyDescent="0.2">
      <c r="R48741" s="1288"/>
    </row>
    <row r="48742" spans="18:18" s="2" customFormat="1" ht="12.75" x14ac:dyDescent="0.2">
      <c r="R48742" s="1288"/>
    </row>
    <row r="48743" spans="18:18" s="2" customFormat="1" ht="12.75" x14ac:dyDescent="0.2">
      <c r="R48743" s="1288"/>
    </row>
    <row r="48744" spans="18:18" s="2" customFormat="1" ht="12.75" x14ac:dyDescent="0.2">
      <c r="R48744" s="1288"/>
    </row>
    <row r="48745" spans="18:18" s="2" customFormat="1" ht="12.75" x14ac:dyDescent="0.2">
      <c r="R48745" s="1288"/>
    </row>
    <row r="48746" spans="18:18" s="2" customFormat="1" ht="12.75" x14ac:dyDescent="0.2">
      <c r="R48746" s="1288"/>
    </row>
    <row r="48747" spans="18:18" s="2" customFormat="1" ht="12.75" x14ac:dyDescent="0.2">
      <c r="R48747" s="1288"/>
    </row>
    <row r="48748" spans="18:18" s="2" customFormat="1" ht="12.75" x14ac:dyDescent="0.2">
      <c r="R48748" s="1288"/>
    </row>
    <row r="48749" spans="18:18" s="2" customFormat="1" ht="12.75" x14ac:dyDescent="0.2">
      <c r="R48749" s="1288"/>
    </row>
    <row r="48750" spans="18:18" s="2" customFormat="1" ht="12.75" x14ac:dyDescent="0.2">
      <c r="R48750" s="1288"/>
    </row>
    <row r="48751" spans="18:18" s="2" customFormat="1" ht="12.75" x14ac:dyDescent="0.2">
      <c r="R48751" s="1288"/>
    </row>
    <row r="48752" spans="18:18" s="2" customFormat="1" ht="12.75" x14ac:dyDescent="0.2">
      <c r="R48752" s="1288"/>
    </row>
    <row r="48753" spans="18:18" s="2" customFormat="1" ht="12.75" x14ac:dyDescent="0.2">
      <c r="R48753" s="1288"/>
    </row>
    <row r="48754" spans="18:18" s="2" customFormat="1" ht="12.75" x14ac:dyDescent="0.2">
      <c r="R48754" s="1288"/>
    </row>
    <row r="48755" spans="18:18" s="2" customFormat="1" ht="12.75" x14ac:dyDescent="0.2">
      <c r="R48755" s="1288"/>
    </row>
    <row r="48756" spans="18:18" s="2" customFormat="1" ht="12.75" x14ac:dyDescent="0.2">
      <c r="R48756" s="1288"/>
    </row>
    <row r="48757" spans="18:18" s="2" customFormat="1" ht="12.75" x14ac:dyDescent="0.2">
      <c r="R48757" s="1288"/>
    </row>
    <row r="48758" spans="18:18" s="2" customFormat="1" ht="12.75" x14ac:dyDescent="0.2">
      <c r="R48758" s="1288"/>
    </row>
    <row r="48759" spans="18:18" s="2" customFormat="1" ht="12.75" x14ac:dyDescent="0.2">
      <c r="R48759" s="1288"/>
    </row>
    <row r="48760" spans="18:18" s="2" customFormat="1" ht="12.75" x14ac:dyDescent="0.2">
      <c r="R48760" s="1288"/>
    </row>
    <row r="48761" spans="18:18" s="2" customFormat="1" ht="12.75" x14ac:dyDescent="0.2">
      <c r="R48761" s="1288"/>
    </row>
    <row r="48762" spans="18:18" s="2" customFormat="1" ht="12.75" x14ac:dyDescent="0.2">
      <c r="R48762" s="1288"/>
    </row>
    <row r="48763" spans="18:18" s="2" customFormat="1" ht="12.75" x14ac:dyDescent="0.2">
      <c r="R48763" s="1288"/>
    </row>
    <row r="48764" spans="18:18" s="2" customFormat="1" ht="12.75" x14ac:dyDescent="0.2">
      <c r="R48764" s="1288"/>
    </row>
    <row r="48765" spans="18:18" s="2" customFormat="1" ht="12.75" x14ac:dyDescent="0.2">
      <c r="R48765" s="1288"/>
    </row>
    <row r="48766" spans="18:18" s="2" customFormat="1" ht="12.75" x14ac:dyDescent="0.2">
      <c r="R48766" s="1288"/>
    </row>
    <row r="48767" spans="18:18" s="2" customFormat="1" ht="12.75" x14ac:dyDescent="0.2">
      <c r="R48767" s="1288"/>
    </row>
    <row r="48768" spans="18:18" s="2" customFormat="1" ht="12.75" x14ac:dyDescent="0.2">
      <c r="R48768" s="1288"/>
    </row>
    <row r="48769" spans="18:18" s="2" customFormat="1" ht="12.75" x14ac:dyDescent="0.2">
      <c r="R48769" s="1288"/>
    </row>
    <row r="48770" spans="18:18" s="2" customFormat="1" ht="12.75" x14ac:dyDescent="0.2">
      <c r="R48770" s="1288"/>
    </row>
    <row r="48771" spans="18:18" s="2" customFormat="1" ht="12.75" x14ac:dyDescent="0.2">
      <c r="R48771" s="1288"/>
    </row>
    <row r="48772" spans="18:18" s="2" customFormat="1" ht="12.75" x14ac:dyDescent="0.2">
      <c r="R48772" s="1288"/>
    </row>
    <row r="48773" spans="18:18" s="2" customFormat="1" ht="12.75" x14ac:dyDescent="0.2">
      <c r="R48773" s="1288"/>
    </row>
    <row r="48774" spans="18:18" s="2" customFormat="1" ht="12.75" x14ac:dyDescent="0.2">
      <c r="R48774" s="1288"/>
    </row>
    <row r="48775" spans="18:18" s="2" customFormat="1" ht="12.75" x14ac:dyDescent="0.2">
      <c r="R48775" s="1288"/>
    </row>
    <row r="48776" spans="18:18" s="2" customFormat="1" ht="12.75" x14ac:dyDescent="0.2">
      <c r="R48776" s="1288"/>
    </row>
    <row r="48777" spans="18:18" s="2" customFormat="1" ht="12.75" x14ac:dyDescent="0.2">
      <c r="R48777" s="1288"/>
    </row>
    <row r="48778" spans="18:18" s="2" customFormat="1" ht="12.75" x14ac:dyDescent="0.2">
      <c r="R48778" s="1288"/>
    </row>
    <row r="48779" spans="18:18" s="2" customFormat="1" ht="12.75" x14ac:dyDescent="0.2">
      <c r="R48779" s="1288"/>
    </row>
    <row r="48780" spans="18:18" s="2" customFormat="1" ht="12.75" x14ac:dyDescent="0.2">
      <c r="R48780" s="1288"/>
    </row>
    <row r="48781" spans="18:18" s="2" customFormat="1" ht="12.75" x14ac:dyDescent="0.2">
      <c r="R48781" s="1288"/>
    </row>
    <row r="48782" spans="18:18" s="2" customFormat="1" ht="12.75" x14ac:dyDescent="0.2">
      <c r="R48782" s="1288"/>
    </row>
    <row r="48783" spans="18:18" s="2" customFormat="1" ht="12.75" x14ac:dyDescent="0.2">
      <c r="R48783" s="1288"/>
    </row>
    <row r="48784" spans="18:18" s="2" customFormat="1" ht="12.75" x14ac:dyDescent="0.2">
      <c r="R48784" s="1288"/>
    </row>
    <row r="48785" spans="18:18" s="2" customFormat="1" ht="12.75" x14ac:dyDescent="0.2">
      <c r="R48785" s="1288"/>
    </row>
    <row r="48786" spans="18:18" s="2" customFormat="1" ht="12.75" x14ac:dyDescent="0.2">
      <c r="R48786" s="1288"/>
    </row>
    <row r="48787" spans="18:18" s="2" customFormat="1" ht="12.75" x14ac:dyDescent="0.2">
      <c r="R48787" s="1288"/>
    </row>
    <row r="48788" spans="18:18" s="2" customFormat="1" ht="12.75" x14ac:dyDescent="0.2">
      <c r="R48788" s="1288"/>
    </row>
    <row r="48789" spans="18:18" s="2" customFormat="1" ht="12.75" x14ac:dyDescent="0.2">
      <c r="R48789" s="1288"/>
    </row>
    <row r="48790" spans="18:18" s="2" customFormat="1" ht="12.75" x14ac:dyDescent="0.2">
      <c r="R48790" s="1288"/>
    </row>
    <row r="48791" spans="18:18" s="2" customFormat="1" ht="12.75" x14ac:dyDescent="0.2">
      <c r="R48791" s="1288"/>
    </row>
    <row r="48792" spans="18:18" s="2" customFormat="1" ht="12.75" x14ac:dyDescent="0.2">
      <c r="R48792" s="1288"/>
    </row>
    <row r="48793" spans="18:18" s="2" customFormat="1" ht="12.75" x14ac:dyDescent="0.2">
      <c r="R48793" s="1288"/>
    </row>
    <row r="48794" spans="18:18" s="2" customFormat="1" ht="12.75" x14ac:dyDescent="0.2">
      <c r="R48794" s="1288"/>
    </row>
    <row r="48795" spans="18:18" s="2" customFormat="1" ht="12.75" x14ac:dyDescent="0.2">
      <c r="R48795" s="1288"/>
    </row>
    <row r="48796" spans="18:18" s="2" customFormat="1" ht="12.75" x14ac:dyDescent="0.2">
      <c r="R48796" s="1288"/>
    </row>
    <row r="48797" spans="18:18" s="2" customFormat="1" ht="12.75" x14ac:dyDescent="0.2">
      <c r="R48797" s="1288"/>
    </row>
    <row r="48798" spans="18:18" s="2" customFormat="1" ht="12.75" x14ac:dyDescent="0.2">
      <c r="R48798" s="1288"/>
    </row>
    <row r="48799" spans="18:18" s="2" customFormat="1" ht="12.75" x14ac:dyDescent="0.2">
      <c r="R48799" s="1288"/>
    </row>
    <row r="48800" spans="18:18" s="2" customFormat="1" ht="12.75" x14ac:dyDescent="0.2">
      <c r="R48800" s="1288"/>
    </row>
    <row r="48801" spans="18:18" s="2" customFormat="1" ht="12.75" x14ac:dyDescent="0.2">
      <c r="R48801" s="1288"/>
    </row>
    <row r="48802" spans="18:18" s="2" customFormat="1" ht="12.75" x14ac:dyDescent="0.2">
      <c r="R48802" s="1288"/>
    </row>
    <row r="48803" spans="18:18" s="2" customFormat="1" ht="12.75" x14ac:dyDescent="0.2">
      <c r="R48803" s="1288"/>
    </row>
    <row r="48804" spans="18:18" s="2" customFormat="1" ht="12.75" x14ac:dyDescent="0.2">
      <c r="R48804" s="1288"/>
    </row>
    <row r="48805" spans="18:18" s="2" customFormat="1" ht="12.75" x14ac:dyDescent="0.2">
      <c r="R48805" s="1288"/>
    </row>
    <row r="48806" spans="18:18" s="2" customFormat="1" ht="12.75" x14ac:dyDescent="0.2">
      <c r="R48806" s="1288"/>
    </row>
    <row r="48807" spans="18:18" s="2" customFormat="1" ht="12.75" x14ac:dyDescent="0.2">
      <c r="R48807" s="1288"/>
    </row>
    <row r="48808" spans="18:18" s="2" customFormat="1" ht="12.75" x14ac:dyDescent="0.2">
      <c r="R48808" s="1288"/>
    </row>
    <row r="48809" spans="18:18" s="2" customFormat="1" ht="12.75" x14ac:dyDescent="0.2">
      <c r="R48809" s="1288"/>
    </row>
    <row r="48810" spans="18:18" s="2" customFormat="1" ht="12.75" x14ac:dyDescent="0.2">
      <c r="R48810" s="1288"/>
    </row>
    <row r="48811" spans="18:18" s="2" customFormat="1" ht="12.75" x14ac:dyDescent="0.2">
      <c r="R48811" s="1288"/>
    </row>
    <row r="48812" spans="18:18" s="2" customFormat="1" ht="12.75" x14ac:dyDescent="0.2">
      <c r="R48812" s="1288"/>
    </row>
    <row r="48813" spans="18:18" s="2" customFormat="1" ht="12.75" x14ac:dyDescent="0.2">
      <c r="R48813" s="1288"/>
    </row>
    <row r="48814" spans="18:18" s="2" customFormat="1" ht="12.75" x14ac:dyDescent="0.2">
      <c r="R48814" s="1288"/>
    </row>
    <row r="48815" spans="18:18" s="2" customFormat="1" ht="12.75" x14ac:dyDescent="0.2">
      <c r="R48815" s="1288"/>
    </row>
    <row r="48816" spans="18:18" s="2" customFormat="1" ht="12.75" x14ac:dyDescent="0.2">
      <c r="R48816" s="1288"/>
    </row>
    <row r="48817" spans="18:18" s="2" customFormat="1" ht="12.75" x14ac:dyDescent="0.2">
      <c r="R48817" s="1288"/>
    </row>
    <row r="48818" spans="18:18" s="2" customFormat="1" ht="12.75" x14ac:dyDescent="0.2">
      <c r="R48818" s="1288"/>
    </row>
    <row r="48819" spans="18:18" s="2" customFormat="1" ht="12.75" x14ac:dyDescent="0.2">
      <c r="R48819" s="1288"/>
    </row>
    <row r="48820" spans="18:18" s="2" customFormat="1" ht="12.75" x14ac:dyDescent="0.2">
      <c r="R48820" s="1288"/>
    </row>
    <row r="48821" spans="18:18" s="2" customFormat="1" ht="12.75" x14ac:dyDescent="0.2">
      <c r="R48821" s="1288"/>
    </row>
    <row r="48822" spans="18:18" s="2" customFormat="1" ht="12.75" x14ac:dyDescent="0.2">
      <c r="R48822" s="1288"/>
    </row>
    <row r="48823" spans="18:18" s="2" customFormat="1" ht="12.75" x14ac:dyDescent="0.2">
      <c r="R48823" s="1288"/>
    </row>
    <row r="48824" spans="18:18" s="2" customFormat="1" ht="12.75" x14ac:dyDescent="0.2">
      <c r="R48824" s="1288"/>
    </row>
    <row r="48825" spans="18:18" s="2" customFormat="1" ht="12.75" x14ac:dyDescent="0.2">
      <c r="R48825" s="1288"/>
    </row>
    <row r="48826" spans="18:18" s="2" customFormat="1" ht="12.75" x14ac:dyDescent="0.2">
      <c r="R48826" s="1288"/>
    </row>
    <row r="48827" spans="18:18" s="2" customFormat="1" ht="12.75" x14ac:dyDescent="0.2">
      <c r="R48827" s="1288"/>
    </row>
    <row r="48828" spans="18:18" s="2" customFormat="1" ht="12.75" x14ac:dyDescent="0.2">
      <c r="R48828" s="1288"/>
    </row>
    <row r="48829" spans="18:18" s="2" customFormat="1" ht="12.75" x14ac:dyDescent="0.2">
      <c r="R48829" s="1288"/>
    </row>
    <row r="48830" spans="18:18" s="2" customFormat="1" ht="12.75" x14ac:dyDescent="0.2">
      <c r="R48830" s="1288"/>
    </row>
    <row r="48831" spans="18:18" s="2" customFormat="1" ht="12.75" x14ac:dyDescent="0.2">
      <c r="R48831" s="1288"/>
    </row>
    <row r="48832" spans="18:18" s="2" customFormat="1" ht="12.75" x14ac:dyDescent="0.2">
      <c r="R48832" s="1288"/>
    </row>
    <row r="48833" spans="18:18" s="2" customFormat="1" ht="12.75" x14ac:dyDescent="0.2">
      <c r="R48833" s="1288"/>
    </row>
    <row r="48834" spans="18:18" s="2" customFormat="1" ht="12.75" x14ac:dyDescent="0.2">
      <c r="R48834" s="1288"/>
    </row>
    <row r="48835" spans="18:18" s="2" customFormat="1" ht="12.75" x14ac:dyDescent="0.2">
      <c r="R48835" s="1288"/>
    </row>
    <row r="48836" spans="18:18" s="2" customFormat="1" ht="12.75" x14ac:dyDescent="0.2">
      <c r="R48836" s="1288"/>
    </row>
    <row r="48837" spans="18:18" s="2" customFormat="1" ht="12.75" x14ac:dyDescent="0.2">
      <c r="R48837" s="1288"/>
    </row>
    <row r="48838" spans="18:18" s="2" customFormat="1" ht="12.75" x14ac:dyDescent="0.2">
      <c r="R48838" s="1288"/>
    </row>
    <row r="48839" spans="18:18" s="2" customFormat="1" ht="12.75" x14ac:dyDescent="0.2">
      <c r="R48839" s="1288"/>
    </row>
    <row r="48840" spans="18:18" s="2" customFormat="1" ht="12.75" x14ac:dyDescent="0.2">
      <c r="R48840" s="1288"/>
    </row>
    <row r="48841" spans="18:18" s="2" customFormat="1" ht="12.75" x14ac:dyDescent="0.2">
      <c r="R48841" s="1288"/>
    </row>
    <row r="48842" spans="18:18" s="2" customFormat="1" ht="12.75" x14ac:dyDescent="0.2">
      <c r="R48842" s="1288"/>
    </row>
    <row r="48843" spans="18:18" s="2" customFormat="1" ht="12.75" x14ac:dyDescent="0.2">
      <c r="R48843" s="1288"/>
    </row>
    <row r="48844" spans="18:18" s="2" customFormat="1" ht="12.75" x14ac:dyDescent="0.2">
      <c r="R48844" s="1288"/>
    </row>
    <row r="48845" spans="18:18" s="2" customFormat="1" ht="12.75" x14ac:dyDescent="0.2">
      <c r="R48845" s="1288"/>
    </row>
    <row r="48846" spans="18:18" s="2" customFormat="1" ht="12.75" x14ac:dyDescent="0.2">
      <c r="R48846" s="1288"/>
    </row>
    <row r="48847" spans="18:18" s="2" customFormat="1" ht="12.75" x14ac:dyDescent="0.2">
      <c r="R48847" s="1288"/>
    </row>
    <row r="48848" spans="18:18" s="2" customFormat="1" ht="12.75" x14ac:dyDescent="0.2">
      <c r="R48848" s="1288"/>
    </row>
    <row r="48849" spans="18:18" s="2" customFormat="1" ht="12.75" x14ac:dyDescent="0.2">
      <c r="R48849" s="1288"/>
    </row>
    <row r="48850" spans="18:18" s="2" customFormat="1" ht="12.75" x14ac:dyDescent="0.2">
      <c r="R48850" s="1288"/>
    </row>
    <row r="48851" spans="18:18" s="2" customFormat="1" ht="12.75" x14ac:dyDescent="0.2">
      <c r="R48851" s="1288"/>
    </row>
    <row r="48852" spans="18:18" s="2" customFormat="1" ht="12.75" x14ac:dyDescent="0.2">
      <c r="R48852" s="1288"/>
    </row>
    <row r="48853" spans="18:18" s="2" customFormat="1" ht="12.75" x14ac:dyDescent="0.2">
      <c r="R48853" s="1288"/>
    </row>
    <row r="48854" spans="18:18" s="2" customFormat="1" ht="12.75" x14ac:dyDescent="0.2">
      <c r="R48854" s="1288"/>
    </row>
    <row r="48855" spans="18:18" s="2" customFormat="1" ht="12.75" x14ac:dyDescent="0.2">
      <c r="R48855" s="1288"/>
    </row>
    <row r="48856" spans="18:18" s="2" customFormat="1" ht="12.75" x14ac:dyDescent="0.2">
      <c r="R48856" s="1288"/>
    </row>
    <row r="48857" spans="18:18" s="2" customFormat="1" ht="12.75" x14ac:dyDescent="0.2">
      <c r="R48857" s="1288"/>
    </row>
    <row r="48858" spans="18:18" s="2" customFormat="1" ht="12.75" x14ac:dyDescent="0.2">
      <c r="R48858" s="1288"/>
    </row>
    <row r="48859" spans="18:18" s="2" customFormat="1" ht="12.75" x14ac:dyDescent="0.2">
      <c r="R48859" s="1288"/>
    </row>
    <row r="48860" spans="18:18" s="2" customFormat="1" ht="12.75" x14ac:dyDescent="0.2">
      <c r="R48860" s="1288"/>
    </row>
    <row r="48861" spans="18:18" s="2" customFormat="1" ht="12.75" x14ac:dyDescent="0.2">
      <c r="R48861" s="1288"/>
    </row>
    <row r="48862" spans="18:18" s="2" customFormat="1" ht="12.75" x14ac:dyDescent="0.2">
      <c r="R48862" s="1288"/>
    </row>
    <row r="48863" spans="18:18" s="2" customFormat="1" ht="12.75" x14ac:dyDescent="0.2">
      <c r="R48863" s="1288"/>
    </row>
    <row r="48864" spans="18:18" s="2" customFormat="1" ht="12.75" x14ac:dyDescent="0.2">
      <c r="R48864" s="1288"/>
    </row>
    <row r="48865" spans="18:18" s="2" customFormat="1" ht="12.75" x14ac:dyDescent="0.2">
      <c r="R48865" s="1288"/>
    </row>
    <row r="48866" spans="18:18" s="2" customFormat="1" ht="12.75" x14ac:dyDescent="0.2">
      <c r="R48866" s="1288"/>
    </row>
    <row r="48867" spans="18:18" s="2" customFormat="1" ht="12.75" x14ac:dyDescent="0.2">
      <c r="R48867" s="1288"/>
    </row>
    <row r="48868" spans="18:18" s="2" customFormat="1" ht="12.75" x14ac:dyDescent="0.2">
      <c r="R48868" s="1288"/>
    </row>
    <row r="48869" spans="18:18" s="2" customFormat="1" ht="12.75" x14ac:dyDescent="0.2">
      <c r="R48869" s="1288"/>
    </row>
    <row r="48870" spans="18:18" s="2" customFormat="1" ht="12.75" x14ac:dyDescent="0.2">
      <c r="R48870" s="1288"/>
    </row>
    <row r="48871" spans="18:18" s="2" customFormat="1" ht="12.75" x14ac:dyDescent="0.2">
      <c r="R48871" s="1288"/>
    </row>
    <row r="48872" spans="18:18" s="2" customFormat="1" ht="12.75" x14ac:dyDescent="0.2">
      <c r="R48872" s="1288"/>
    </row>
    <row r="48873" spans="18:18" s="2" customFormat="1" ht="12.75" x14ac:dyDescent="0.2">
      <c r="R48873" s="1288"/>
    </row>
    <row r="48874" spans="18:18" s="2" customFormat="1" ht="12.75" x14ac:dyDescent="0.2">
      <c r="R48874" s="1288"/>
    </row>
    <row r="48875" spans="18:18" s="2" customFormat="1" ht="12.75" x14ac:dyDescent="0.2">
      <c r="R48875" s="1288"/>
    </row>
    <row r="48876" spans="18:18" s="2" customFormat="1" ht="12.75" x14ac:dyDescent="0.2">
      <c r="R48876" s="1288"/>
    </row>
    <row r="48877" spans="18:18" s="2" customFormat="1" ht="12.75" x14ac:dyDescent="0.2">
      <c r="R48877" s="1288"/>
    </row>
    <row r="48878" spans="18:18" s="2" customFormat="1" ht="12.75" x14ac:dyDescent="0.2">
      <c r="R48878" s="1288"/>
    </row>
    <row r="48879" spans="18:18" s="2" customFormat="1" ht="12.75" x14ac:dyDescent="0.2">
      <c r="R48879" s="1288"/>
    </row>
    <row r="48880" spans="18:18" s="2" customFormat="1" ht="12.75" x14ac:dyDescent="0.2">
      <c r="R48880" s="1288"/>
    </row>
    <row r="48881" spans="18:18" s="2" customFormat="1" ht="12.75" x14ac:dyDescent="0.2">
      <c r="R48881" s="1288"/>
    </row>
    <row r="48882" spans="18:18" s="2" customFormat="1" ht="12.75" x14ac:dyDescent="0.2">
      <c r="R48882" s="1288"/>
    </row>
    <row r="48883" spans="18:18" s="2" customFormat="1" ht="12.75" x14ac:dyDescent="0.2">
      <c r="R48883" s="1288"/>
    </row>
    <row r="48884" spans="18:18" s="2" customFormat="1" ht="12.75" x14ac:dyDescent="0.2">
      <c r="R48884" s="1288"/>
    </row>
    <row r="48885" spans="18:18" s="2" customFormat="1" ht="12.75" x14ac:dyDescent="0.2">
      <c r="R48885" s="1288"/>
    </row>
    <row r="48886" spans="18:18" s="2" customFormat="1" ht="12.75" x14ac:dyDescent="0.2">
      <c r="R48886" s="1288"/>
    </row>
    <row r="48887" spans="18:18" s="2" customFormat="1" ht="12.75" x14ac:dyDescent="0.2">
      <c r="R48887" s="1288"/>
    </row>
    <row r="48888" spans="18:18" s="2" customFormat="1" ht="12.75" x14ac:dyDescent="0.2">
      <c r="R48888" s="1288"/>
    </row>
    <row r="48889" spans="18:18" s="2" customFormat="1" ht="12.75" x14ac:dyDescent="0.2">
      <c r="R48889" s="1288"/>
    </row>
    <row r="48890" spans="18:18" s="2" customFormat="1" ht="12.75" x14ac:dyDescent="0.2">
      <c r="R48890" s="1288"/>
    </row>
    <row r="48891" spans="18:18" s="2" customFormat="1" ht="12.75" x14ac:dyDescent="0.2">
      <c r="R48891" s="1288"/>
    </row>
    <row r="48892" spans="18:18" s="2" customFormat="1" ht="12.75" x14ac:dyDescent="0.2">
      <c r="R48892" s="1288"/>
    </row>
    <row r="48893" spans="18:18" s="2" customFormat="1" ht="12.75" x14ac:dyDescent="0.2">
      <c r="R48893" s="1288"/>
    </row>
    <row r="48894" spans="18:18" s="2" customFormat="1" ht="12.75" x14ac:dyDescent="0.2">
      <c r="R48894" s="1288"/>
    </row>
    <row r="48895" spans="18:18" s="2" customFormat="1" ht="12.75" x14ac:dyDescent="0.2">
      <c r="R48895" s="1288"/>
    </row>
    <row r="48896" spans="18:18" s="2" customFormat="1" ht="12.75" x14ac:dyDescent="0.2">
      <c r="R48896" s="1288"/>
    </row>
    <row r="48897" spans="18:18" s="2" customFormat="1" ht="12.75" x14ac:dyDescent="0.2">
      <c r="R48897" s="1288"/>
    </row>
    <row r="48898" spans="18:18" s="2" customFormat="1" ht="12.75" x14ac:dyDescent="0.2">
      <c r="R48898" s="1288"/>
    </row>
    <row r="48899" spans="18:18" s="2" customFormat="1" ht="12.75" x14ac:dyDescent="0.2">
      <c r="R48899" s="1288"/>
    </row>
    <row r="48900" spans="18:18" s="2" customFormat="1" ht="12.75" x14ac:dyDescent="0.2">
      <c r="R48900" s="1288"/>
    </row>
    <row r="48901" spans="18:18" s="2" customFormat="1" ht="12.75" x14ac:dyDescent="0.2">
      <c r="R48901" s="1288"/>
    </row>
    <row r="48902" spans="18:18" s="2" customFormat="1" ht="12.75" x14ac:dyDescent="0.2">
      <c r="R48902" s="1288"/>
    </row>
    <row r="48903" spans="18:18" s="2" customFormat="1" ht="12.75" x14ac:dyDescent="0.2">
      <c r="R48903" s="1288"/>
    </row>
    <row r="48904" spans="18:18" s="2" customFormat="1" ht="12.75" x14ac:dyDescent="0.2">
      <c r="R48904" s="1288"/>
    </row>
    <row r="48905" spans="18:18" s="2" customFormat="1" ht="12.75" x14ac:dyDescent="0.2">
      <c r="R48905" s="1288"/>
    </row>
    <row r="48906" spans="18:18" s="2" customFormat="1" ht="12.75" x14ac:dyDescent="0.2">
      <c r="R48906" s="1288"/>
    </row>
    <row r="48907" spans="18:18" s="2" customFormat="1" ht="12.75" x14ac:dyDescent="0.2">
      <c r="R48907" s="1288"/>
    </row>
    <row r="48908" spans="18:18" s="2" customFormat="1" ht="12.75" x14ac:dyDescent="0.2">
      <c r="R48908" s="1288"/>
    </row>
    <row r="48909" spans="18:18" s="2" customFormat="1" ht="12.75" x14ac:dyDescent="0.2">
      <c r="R48909" s="1288"/>
    </row>
    <row r="48910" spans="18:18" s="2" customFormat="1" ht="12.75" x14ac:dyDescent="0.2">
      <c r="R48910" s="1288"/>
    </row>
    <row r="48911" spans="18:18" s="2" customFormat="1" ht="12.75" x14ac:dyDescent="0.2">
      <c r="R48911" s="1288"/>
    </row>
    <row r="48912" spans="18:18" s="2" customFormat="1" ht="12.75" x14ac:dyDescent="0.2">
      <c r="R48912" s="1288"/>
    </row>
    <row r="48913" spans="18:18" s="2" customFormat="1" ht="12.75" x14ac:dyDescent="0.2">
      <c r="R48913" s="1288"/>
    </row>
    <row r="48914" spans="18:18" s="2" customFormat="1" ht="12.75" x14ac:dyDescent="0.2">
      <c r="R48914" s="1288"/>
    </row>
    <row r="48915" spans="18:18" s="2" customFormat="1" ht="12.75" x14ac:dyDescent="0.2">
      <c r="R48915" s="1288"/>
    </row>
    <row r="48916" spans="18:18" s="2" customFormat="1" ht="12.75" x14ac:dyDescent="0.2">
      <c r="R48916" s="1288"/>
    </row>
    <row r="48917" spans="18:18" s="2" customFormat="1" ht="12.75" x14ac:dyDescent="0.2">
      <c r="R48917" s="1288"/>
    </row>
    <row r="48918" spans="18:18" s="2" customFormat="1" ht="12.75" x14ac:dyDescent="0.2">
      <c r="R48918" s="1288"/>
    </row>
    <row r="48919" spans="18:18" s="2" customFormat="1" ht="12.75" x14ac:dyDescent="0.2">
      <c r="R48919" s="1288"/>
    </row>
    <row r="48920" spans="18:18" s="2" customFormat="1" ht="12.75" x14ac:dyDescent="0.2">
      <c r="R48920" s="1288"/>
    </row>
    <row r="48921" spans="18:18" s="2" customFormat="1" ht="12.75" x14ac:dyDescent="0.2">
      <c r="R48921" s="1288"/>
    </row>
    <row r="48922" spans="18:18" s="2" customFormat="1" ht="12.75" x14ac:dyDescent="0.2">
      <c r="R48922" s="1288"/>
    </row>
    <row r="48923" spans="18:18" s="2" customFormat="1" ht="12.75" x14ac:dyDescent="0.2">
      <c r="R48923" s="1288"/>
    </row>
    <row r="48924" spans="18:18" s="2" customFormat="1" ht="12.75" x14ac:dyDescent="0.2">
      <c r="R48924" s="1288"/>
    </row>
    <row r="48925" spans="18:18" s="2" customFormat="1" ht="12.75" x14ac:dyDescent="0.2">
      <c r="R48925" s="1288"/>
    </row>
    <row r="48926" spans="18:18" s="2" customFormat="1" ht="12.75" x14ac:dyDescent="0.2">
      <c r="R48926" s="1288"/>
    </row>
    <row r="48927" spans="18:18" s="2" customFormat="1" ht="12.75" x14ac:dyDescent="0.2">
      <c r="R48927" s="1288"/>
    </row>
    <row r="48928" spans="18:18" s="2" customFormat="1" ht="12.75" x14ac:dyDescent="0.2">
      <c r="R48928" s="1288"/>
    </row>
    <row r="48929" spans="18:18" s="2" customFormat="1" ht="12.75" x14ac:dyDescent="0.2">
      <c r="R48929" s="1288"/>
    </row>
    <row r="48930" spans="18:18" s="2" customFormat="1" ht="12.75" x14ac:dyDescent="0.2">
      <c r="R48930" s="1288"/>
    </row>
    <row r="48931" spans="18:18" s="2" customFormat="1" ht="12.75" x14ac:dyDescent="0.2">
      <c r="R48931" s="1288"/>
    </row>
    <row r="48932" spans="18:18" s="2" customFormat="1" ht="12.75" x14ac:dyDescent="0.2">
      <c r="R48932" s="1288"/>
    </row>
    <row r="48933" spans="18:18" s="2" customFormat="1" ht="12.75" x14ac:dyDescent="0.2">
      <c r="R48933" s="1288"/>
    </row>
    <row r="48934" spans="18:18" s="2" customFormat="1" ht="12.75" x14ac:dyDescent="0.2">
      <c r="R48934" s="1288"/>
    </row>
    <row r="48935" spans="18:18" s="2" customFormat="1" ht="12.75" x14ac:dyDescent="0.2">
      <c r="R48935" s="1288"/>
    </row>
    <row r="48936" spans="18:18" s="2" customFormat="1" ht="12.75" x14ac:dyDescent="0.2">
      <c r="R48936" s="1288"/>
    </row>
    <row r="48937" spans="18:18" s="2" customFormat="1" ht="12.75" x14ac:dyDescent="0.2">
      <c r="R48937" s="1288"/>
    </row>
    <row r="48938" spans="18:18" s="2" customFormat="1" ht="12.75" x14ac:dyDescent="0.2">
      <c r="R48938" s="1288"/>
    </row>
    <row r="48939" spans="18:18" s="2" customFormat="1" ht="12.75" x14ac:dyDescent="0.2">
      <c r="R48939" s="1288"/>
    </row>
    <row r="48940" spans="18:18" s="2" customFormat="1" ht="12.75" x14ac:dyDescent="0.2">
      <c r="R48940" s="1288"/>
    </row>
    <row r="48941" spans="18:18" s="2" customFormat="1" ht="12.75" x14ac:dyDescent="0.2">
      <c r="R48941" s="1288"/>
    </row>
    <row r="48942" spans="18:18" s="2" customFormat="1" ht="12.75" x14ac:dyDescent="0.2">
      <c r="R48942" s="1288"/>
    </row>
    <row r="48943" spans="18:18" s="2" customFormat="1" ht="12.75" x14ac:dyDescent="0.2">
      <c r="R48943" s="1288"/>
    </row>
    <row r="48944" spans="18:18" s="2" customFormat="1" ht="12.75" x14ac:dyDescent="0.2">
      <c r="R48944" s="1288"/>
    </row>
    <row r="48945" spans="18:18" s="2" customFormat="1" ht="12.75" x14ac:dyDescent="0.2">
      <c r="R48945" s="1288"/>
    </row>
    <row r="48946" spans="18:18" s="2" customFormat="1" ht="12.75" x14ac:dyDescent="0.2">
      <c r="R48946" s="1288"/>
    </row>
    <row r="48947" spans="18:18" s="2" customFormat="1" ht="12.75" x14ac:dyDescent="0.2">
      <c r="R48947" s="1288"/>
    </row>
    <row r="48948" spans="18:18" s="2" customFormat="1" ht="12.75" x14ac:dyDescent="0.2">
      <c r="R48948" s="1288"/>
    </row>
    <row r="48949" spans="18:18" s="2" customFormat="1" ht="12.75" x14ac:dyDescent="0.2">
      <c r="R48949" s="1288"/>
    </row>
    <row r="48950" spans="18:18" s="2" customFormat="1" ht="12.75" x14ac:dyDescent="0.2">
      <c r="R48950" s="1288"/>
    </row>
    <row r="48951" spans="18:18" s="2" customFormat="1" ht="12.75" x14ac:dyDescent="0.2">
      <c r="R48951" s="1288"/>
    </row>
    <row r="48952" spans="18:18" s="2" customFormat="1" ht="12.75" x14ac:dyDescent="0.2">
      <c r="R48952" s="1288"/>
    </row>
    <row r="48953" spans="18:18" s="2" customFormat="1" ht="12.75" x14ac:dyDescent="0.2">
      <c r="R48953" s="1288"/>
    </row>
    <row r="48954" spans="18:18" s="2" customFormat="1" ht="12.75" x14ac:dyDescent="0.2">
      <c r="R48954" s="1288"/>
    </row>
    <row r="48955" spans="18:18" s="2" customFormat="1" ht="12.75" x14ac:dyDescent="0.2">
      <c r="R48955" s="1288"/>
    </row>
    <row r="48956" spans="18:18" s="2" customFormat="1" ht="12.75" x14ac:dyDescent="0.2">
      <c r="R48956" s="1288"/>
    </row>
    <row r="48957" spans="18:18" s="2" customFormat="1" ht="12.75" x14ac:dyDescent="0.2">
      <c r="R48957" s="1288"/>
    </row>
    <row r="48958" spans="18:18" s="2" customFormat="1" ht="12.75" x14ac:dyDescent="0.2">
      <c r="R48958" s="1288"/>
    </row>
    <row r="48959" spans="18:18" s="2" customFormat="1" ht="12.75" x14ac:dyDescent="0.2">
      <c r="R48959" s="1288"/>
    </row>
    <row r="48960" spans="18:18" s="2" customFormat="1" ht="12.75" x14ac:dyDescent="0.2">
      <c r="R48960" s="1288"/>
    </row>
    <row r="48961" spans="18:18" s="2" customFormat="1" ht="12.75" x14ac:dyDescent="0.2">
      <c r="R48961" s="1288"/>
    </row>
    <row r="48962" spans="18:18" s="2" customFormat="1" ht="12.75" x14ac:dyDescent="0.2">
      <c r="R48962" s="1288"/>
    </row>
    <row r="48963" spans="18:18" s="2" customFormat="1" ht="12.75" x14ac:dyDescent="0.2">
      <c r="R48963" s="1288"/>
    </row>
    <row r="48964" spans="18:18" s="2" customFormat="1" ht="12.75" x14ac:dyDescent="0.2">
      <c r="R48964" s="1288"/>
    </row>
    <row r="48965" spans="18:18" s="2" customFormat="1" ht="12.75" x14ac:dyDescent="0.2">
      <c r="R48965" s="1288"/>
    </row>
    <row r="48966" spans="18:18" s="2" customFormat="1" ht="12.75" x14ac:dyDescent="0.2">
      <c r="R48966" s="1288"/>
    </row>
    <row r="48967" spans="18:18" s="2" customFormat="1" ht="12.75" x14ac:dyDescent="0.2">
      <c r="R48967" s="1288"/>
    </row>
    <row r="48968" spans="18:18" s="2" customFormat="1" ht="12.75" x14ac:dyDescent="0.2">
      <c r="R48968" s="1288"/>
    </row>
    <row r="48969" spans="18:18" s="2" customFormat="1" ht="12.75" x14ac:dyDescent="0.2">
      <c r="R48969" s="1288"/>
    </row>
    <row r="48970" spans="18:18" s="2" customFormat="1" ht="12.75" x14ac:dyDescent="0.2">
      <c r="R48970" s="1288"/>
    </row>
    <row r="48971" spans="18:18" s="2" customFormat="1" ht="12.75" x14ac:dyDescent="0.2">
      <c r="R48971" s="1288"/>
    </row>
    <row r="48972" spans="18:18" s="2" customFormat="1" ht="12.75" x14ac:dyDescent="0.2">
      <c r="R48972" s="1288"/>
    </row>
    <row r="48973" spans="18:18" s="2" customFormat="1" ht="12.75" x14ac:dyDescent="0.2">
      <c r="R48973" s="1288"/>
    </row>
    <row r="48974" spans="18:18" s="2" customFormat="1" ht="12.75" x14ac:dyDescent="0.2">
      <c r="R48974" s="1288"/>
    </row>
    <row r="48975" spans="18:18" s="2" customFormat="1" ht="12.75" x14ac:dyDescent="0.2">
      <c r="R48975" s="1288"/>
    </row>
    <row r="48976" spans="18:18" s="2" customFormat="1" ht="12.75" x14ac:dyDescent="0.2">
      <c r="R48976" s="1288"/>
    </row>
    <row r="48977" spans="18:18" s="2" customFormat="1" ht="12.75" x14ac:dyDescent="0.2">
      <c r="R48977" s="1288"/>
    </row>
    <row r="48978" spans="18:18" s="2" customFormat="1" ht="12.75" x14ac:dyDescent="0.2">
      <c r="R48978" s="1288"/>
    </row>
    <row r="48979" spans="18:18" s="2" customFormat="1" ht="12.75" x14ac:dyDescent="0.2">
      <c r="R48979" s="1288"/>
    </row>
    <row r="48980" spans="18:18" s="2" customFormat="1" ht="12.75" x14ac:dyDescent="0.2">
      <c r="R48980" s="1288"/>
    </row>
    <row r="48981" spans="18:18" s="2" customFormat="1" ht="12.75" x14ac:dyDescent="0.2">
      <c r="R48981" s="1288"/>
    </row>
    <row r="48982" spans="18:18" s="2" customFormat="1" ht="12.75" x14ac:dyDescent="0.2">
      <c r="R48982" s="1288"/>
    </row>
    <row r="48983" spans="18:18" s="2" customFormat="1" ht="12.75" x14ac:dyDescent="0.2">
      <c r="R48983" s="1288"/>
    </row>
    <row r="48984" spans="18:18" s="2" customFormat="1" ht="12.75" x14ac:dyDescent="0.2">
      <c r="R48984" s="1288"/>
    </row>
    <row r="48985" spans="18:18" s="2" customFormat="1" ht="12.75" x14ac:dyDescent="0.2">
      <c r="R48985" s="1288"/>
    </row>
    <row r="48986" spans="18:18" s="2" customFormat="1" ht="12.75" x14ac:dyDescent="0.2">
      <c r="R48986" s="1288"/>
    </row>
    <row r="48987" spans="18:18" s="2" customFormat="1" ht="12.75" x14ac:dyDescent="0.2">
      <c r="R48987" s="1288"/>
    </row>
    <row r="48988" spans="18:18" s="2" customFormat="1" ht="12.75" x14ac:dyDescent="0.2">
      <c r="R48988" s="1288"/>
    </row>
    <row r="48989" spans="18:18" s="2" customFormat="1" ht="12.75" x14ac:dyDescent="0.2">
      <c r="R48989" s="1288"/>
    </row>
    <row r="48990" spans="18:18" s="2" customFormat="1" ht="12.75" x14ac:dyDescent="0.2">
      <c r="R48990" s="1288"/>
    </row>
    <row r="48991" spans="18:18" s="2" customFormat="1" ht="12.75" x14ac:dyDescent="0.2">
      <c r="R48991" s="1288"/>
    </row>
    <row r="48992" spans="18:18" s="2" customFormat="1" ht="12.75" x14ac:dyDescent="0.2">
      <c r="R48992" s="1288"/>
    </row>
    <row r="48993" spans="18:18" s="2" customFormat="1" ht="12.75" x14ac:dyDescent="0.2">
      <c r="R48993" s="1288"/>
    </row>
    <row r="48994" spans="18:18" s="2" customFormat="1" ht="12.75" x14ac:dyDescent="0.2">
      <c r="R48994" s="1288"/>
    </row>
    <row r="48995" spans="18:18" s="2" customFormat="1" ht="12.75" x14ac:dyDescent="0.2">
      <c r="R48995" s="1288"/>
    </row>
    <row r="48996" spans="18:18" s="2" customFormat="1" ht="12.75" x14ac:dyDescent="0.2">
      <c r="R48996" s="1288"/>
    </row>
    <row r="48997" spans="18:18" s="2" customFormat="1" ht="12.75" x14ac:dyDescent="0.2">
      <c r="R48997" s="1288"/>
    </row>
    <row r="48998" spans="18:18" s="2" customFormat="1" ht="12.75" x14ac:dyDescent="0.2">
      <c r="R48998" s="1288"/>
    </row>
    <row r="48999" spans="18:18" s="2" customFormat="1" ht="12.75" x14ac:dyDescent="0.2">
      <c r="R48999" s="1288"/>
    </row>
    <row r="49000" spans="18:18" s="2" customFormat="1" ht="12.75" x14ac:dyDescent="0.2">
      <c r="R49000" s="1288"/>
    </row>
    <row r="49001" spans="18:18" s="2" customFormat="1" ht="12.75" x14ac:dyDescent="0.2">
      <c r="R49001" s="1288"/>
    </row>
    <row r="49002" spans="18:18" s="2" customFormat="1" ht="12.75" x14ac:dyDescent="0.2">
      <c r="R49002" s="1288"/>
    </row>
    <row r="49003" spans="18:18" s="2" customFormat="1" ht="12.75" x14ac:dyDescent="0.2">
      <c r="R49003" s="1288"/>
    </row>
    <row r="49004" spans="18:18" s="2" customFormat="1" ht="12.75" x14ac:dyDescent="0.2">
      <c r="R49004" s="1288"/>
    </row>
    <row r="49005" spans="18:18" s="2" customFormat="1" ht="12.75" x14ac:dyDescent="0.2">
      <c r="R49005" s="1288"/>
    </row>
    <row r="49006" spans="18:18" s="2" customFormat="1" ht="12.75" x14ac:dyDescent="0.2">
      <c r="R49006" s="1288"/>
    </row>
    <row r="49007" spans="18:18" s="2" customFormat="1" ht="12.75" x14ac:dyDescent="0.2">
      <c r="R49007" s="1288"/>
    </row>
    <row r="49008" spans="18:18" s="2" customFormat="1" ht="12.75" x14ac:dyDescent="0.2">
      <c r="R49008" s="1288"/>
    </row>
    <row r="49009" spans="18:18" s="2" customFormat="1" ht="12.75" x14ac:dyDescent="0.2">
      <c r="R49009" s="1288"/>
    </row>
    <row r="49010" spans="18:18" s="2" customFormat="1" ht="12.75" x14ac:dyDescent="0.2">
      <c r="R49010" s="1288"/>
    </row>
    <row r="49011" spans="18:18" s="2" customFormat="1" ht="12.75" x14ac:dyDescent="0.2">
      <c r="R49011" s="1288"/>
    </row>
    <row r="49012" spans="18:18" s="2" customFormat="1" ht="12.75" x14ac:dyDescent="0.2">
      <c r="R49012" s="1288"/>
    </row>
    <row r="49013" spans="18:18" s="2" customFormat="1" ht="12.75" x14ac:dyDescent="0.2">
      <c r="R49013" s="1288"/>
    </row>
    <row r="49014" spans="18:18" s="2" customFormat="1" ht="12.75" x14ac:dyDescent="0.2">
      <c r="R49014" s="1288"/>
    </row>
    <row r="49015" spans="18:18" s="2" customFormat="1" ht="12.75" x14ac:dyDescent="0.2">
      <c r="R49015" s="1288"/>
    </row>
    <row r="49016" spans="18:18" s="2" customFormat="1" ht="12.75" x14ac:dyDescent="0.2">
      <c r="R49016" s="1288"/>
    </row>
    <row r="49017" spans="18:18" s="2" customFormat="1" ht="12.75" x14ac:dyDescent="0.2">
      <c r="R49017" s="1288"/>
    </row>
    <row r="49018" spans="18:18" s="2" customFormat="1" ht="12.75" x14ac:dyDescent="0.2">
      <c r="R49018" s="1288"/>
    </row>
    <row r="49019" spans="18:18" s="2" customFormat="1" ht="12.75" x14ac:dyDescent="0.2">
      <c r="R49019" s="1288"/>
    </row>
    <row r="49020" spans="18:18" s="2" customFormat="1" ht="12.75" x14ac:dyDescent="0.2">
      <c r="R49020" s="1288"/>
    </row>
    <row r="49021" spans="18:18" s="2" customFormat="1" ht="12.75" x14ac:dyDescent="0.2">
      <c r="R49021" s="1288"/>
    </row>
    <row r="49022" spans="18:18" s="2" customFormat="1" ht="12.75" x14ac:dyDescent="0.2">
      <c r="R49022" s="1288"/>
    </row>
    <row r="49023" spans="18:18" s="2" customFormat="1" ht="12.75" x14ac:dyDescent="0.2">
      <c r="R49023" s="1288"/>
    </row>
    <row r="49024" spans="18:18" s="2" customFormat="1" ht="12.75" x14ac:dyDescent="0.2">
      <c r="R49024" s="1288"/>
    </row>
    <row r="49025" spans="18:18" s="2" customFormat="1" ht="12.75" x14ac:dyDescent="0.2">
      <c r="R49025" s="1288"/>
    </row>
    <row r="49026" spans="18:18" s="2" customFormat="1" ht="12.75" x14ac:dyDescent="0.2">
      <c r="R49026" s="1288"/>
    </row>
    <row r="49027" spans="18:18" s="2" customFormat="1" ht="12.75" x14ac:dyDescent="0.2">
      <c r="R49027" s="1288"/>
    </row>
    <row r="49028" spans="18:18" s="2" customFormat="1" ht="12.75" x14ac:dyDescent="0.2">
      <c r="R49028" s="1288"/>
    </row>
    <row r="49029" spans="18:18" s="2" customFormat="1" ht="12.75" x14ac:dyDescent="0.2">
      <c r="R49029" s="1288"/>
    </row>
    <row r="49030" spans="18:18" s="2" customFormat="1" ht="12.75" x14ac:dyDescent="0.2">
      <c r="R49030" s="1288"/>
    </row>
    <row r="49031" spans="18:18" s="2" customFormat="1" ht="12.75" x14ac:dyDescent="0.2">
      <c r="R49031" s="1288"/>
    </row>
    <row r="49032" spans="18:18" s="2" customFormat="1" ht="12.75" x14ac:dyDescent="0.2">
      <c r="R49032" s="1288"/>
    </row>
    <row r="49033" spans="18:18" s="2" customFormat="1" ht="12.75" x14ac:dyDescent="0.2">
      <c r="R49033" s="1288"/>
    </row>
    <row r="49034" spans="18:18" s="2" customFormat="1" ht="12.75" x14ac:dyDescent="0.2">
      <c r="R49034" s="1288"/>
    </row>
    <row r="49035" spans="18:18" s="2" customFormat="1" ht="12.75" x14ac:dyDescent="0.2">
      <c r="R49035" s="1288"/>
    </row>
    <row r="49036" spans="18:18" s="2" customFormat="1" ht="12.75" x14ac:dyDescent="0.2">
      <c r="R49036" s="1288"/>
    </row>
    <row r="49037" spans="18:18" s="2" customFormat="1" ht="12.75" x14ac:dyDescent="0.2">
      <c r="R49037" s="1288"/>
    </row>
    <row r="49038" spans="18:18" s="2" customFormat="1" ht="12.75" x14ac:dyDescent="0.2">
      <c r="R49038" s="1288"/>
    </row>
    <row r="49039" spans="18:18" s="2" customFormat="1" ht="12.75" x14ac:dyDescent="0.2">
      <c r="R49039" s="1288"/>
    </row>
    <row r="49040" spans="18:18" s="2" customFormat="1" ht="12.75" x14ac:dyDescent="0.2">
      <c r="R49040" s="1288"/>
    </row>
    <row r="49041" spans="18:18" s="2" customFormat="1" ht="12.75" x14ac:dyDescent="0.2">
      <c r="R49041" s="1288"/>
    </row>
    <row r="49042" spans="18:18" s="2" customFormat="1" ht="12.75" x14ac:dyDescent="0.2">
      <c r="R49042" s="1288"/>
    </row>
    <row r="49043" spans="18:18" s="2" customFormat="1" ht="12.75" x14ac:dyDescent="0.2">
      <c r="R49043" s="1288"/>
    </row>
    <row r="49044" spans="18:18" s="2" customFormat="1" ht="12.75" x14ac:dyDescent="0.2">
      <c r="R49044" s="1288"/>
    </row>
    <row r="49045" spans="18:18" s="2" customFormat="1" ht="12.75" x14ac:dyDescent="0.2">
      <c r="R49045" s="1288"/>
    </row>
    <row r="49046" spans="18:18" s="2" customFormat="1" ht="12.75" x14ac:dyDescent="0.2">
      <c r="R49046" s="1288"/>
    </row>
    <row r="49047" spans="18:18" s="2" customFormat="1" ht="12.75" x14ac:dyDescent="0.2">
      <c r="R49047" s="1288"/>
    </row>
    <row r="49048" spans="18:18" s="2" customFormat="1" ht="12.75" x14ac:dyDescent="0.2">
      <c r="R49048" s="1288"/>
    </row>
    <row r="49049" spans="18:18" s="2" customFormat="1" ht="12.75" x14ac:dyDescent="0.2">
      <c r="R49049" s="1288"/>
    </row>
    <row r="49050" spans="18:18" s="2" customFormat="1" ht="12.75" x14ac:dyDescent="0.2">
      <c r="R49050" s="1288"/>
    </row>
    <row r="49051" spans="18:18" s="2" customFormat="1" ht="12.75" x14ac:dyDescent="0.2">
      <c r="R49051" s="1288"/>
    </row>
    <row r="49052" spans="18:18" s="2" customFormat="1" ht="12.75" x14ac:dyDescent="0.2">
      <c r="R49052" s="1288"/>
    </row>
    <row r="49053" spans="18:18" s="2" customFormat="1" ht="12.75" x14ac:dyDescent="0.2">
      <c r="R49053" s="1288"/>
    </row>
    <row r="49054" spans="18:18" s="2" customFormat="1" ht="12.75" x14ac:dyDescent="0.2">
      <c r="R49054" s="1288"/>
    </row>
    <row r="49055" spans="18:18" s="2" customFormat="1" ht="12.75" x14ac:dyDescent="0.2">
      <c r="R49055" s="1288"/>
    </row>
    <row r="49056" spans="18:18" s="2" customFormat="1" ht="12.75" x14ac:dyDescent="0.2">
      <c r="R49056" s="1288"/>
    </row>
    <row r="49057" spans="18:18" s="2" customFormat="1" ht="12.75" x14ac:dyDescent="0.2">
      <c r="R49057" s="1288"/>
    </row>
    <row r="49058" spans="18:18" s="2" customFormat="1" ht="12.75" x14ac:dyDescent="0.2">
      <c r="R49058" s="1288"/>
    </row>
    <row r="49059" spans="18:18" s="2" customFormat="1" ht="12.75" x14ac:dyDescent="0.2">
      <c r="R49059" s="1288"/>
    </row>
    <row r="49060" spans="18:18" s="2" customFormat="1" ht="12.75" x14ac:dyDescent="0.2">
      <c r="R49060" s="1288"/>
    </row>
    <row r="49061" spans="18:18" s="2" customFormat="1" ht="12.75" x14ac:dyDescent="0.2">
      <c r="R49061" s="1288"/>
    </row>
    <row r="49062" spans="18:18" s="2" customFormat="1" ht="12.75" x14ac:dyDescent="0.2">
      <c r="R49062" s="1288"/>
    </row>
    <row r="49063" spans="18:18" s="2" customFormat="1" ht="12.75" x14ac:dyDescent="0.2">
      <c r="R49063" s="1288"/>
    </row>
    <row r="49064" spans="18:18" s="2" customFormat="1" ht="12.75" x14ac:dyDescent="0.2">
      <c r="R49064" s="1288"/>
    </row>
    <row r="49065" spans="18:18" s="2" customFormat="1" ht="12.75" x14ac:dyDescent="0.2">
      <c r="R49065" s="1288"/>
    </row>
    <row r="49066" spans="18:18" s="2" customFormat="1" ht="12.75" x14ac:dyDescent="0.2">
      <c r="R49066" s="1288"/>
    </row>
    <row r="49067" spans="18:18" s="2" customFormat="1" ht="12.75" x14ac:dyDescent="0.2">
      <c r="R49067" s="1288"/>
    </row>
    <row r="49068" spans="18:18" s="2" customFormat="1" ht="12.75" x14ac:dyDescent="0.2">
      <c r="R49068" s="1288"/>
    </row>
    <row r="49069" spans="18:18" s="2" customFormat="1" ht="12.75" x14ac:dyDescent="0.2">
      <c r="R49069" s="1288"/>
    </row>
    <row r="49070" spans="18:18" s="2" customFormat="1" ht="12.75" x14ac:dyDescent="0.2">
      <c r="R49070" s="1288"/>
    </row>
    <row r="49071" spans="18:18" s="2" customFormat="1" ht="12.75" x14ac:dyDescent="0.2">
      <c r="R49071" s="1288"/>
    </row>
    <row r="49072" spans="18:18" s="2" customFormat="1" ht="12.75" x14ac:dyDescent="0.2">
      <c r="R49072" s="1288"/>
    </row>
    <row r="49073" spans="18:18" s="2" customFormat="1" ht="12.75" x14ac:dyDescent="0.2">
      <c r="R49073" s="1288"/>
    </row>
    <row r="49074" spans="18:18" s="2" customFormat="1" ht="12.75" x14ac:dyDescent="0.2">
      <c r="R49074" s="1288"/>
    </row>
    <row r="49075" spans="18:18" s="2" customFormat="1" ht="12.75" x14ac:dyDescent="0.2">
      <c r="R49075" s="1288"/>
    </row>
    <row r="49076" spans="18:18" s="2" customFormat="1" ht="12.75" x14ac:dyDescent="0.2">
      <c r="R49076" s="1288"/>
    </row>
    <row r="49077" spans="18:18" s="2" customFormat="1" ht="12.75" x14ac:dyDescent="0.2">
      <c r="R49077" s="1288"/>
    </row>
    <row r="49078" spans="18:18" s="2" customFormat="1" ht="12.75" x14ac:dyDescent="0.2">
      <c r="R49078" s="1288"/>
    </row>
    <row r="49079" spans="18:18" s="2" customFormat="1" ht="12.75" x14ac:dyDescent="0.2">
      <c r="R49079" s="1288"/>
    </row>
    <row r="49080" spans="18:18" s="2" customFormat="1" ht="12.75" x14ac:dyDescent="0.2">
      <c r="R49080" s="1288"/>
    </row>
    <row r="49081" spans="18:18" s="2" customFormat="1" ht="12.75" x14ac:dyDescent="0.2">
      <c r="R49081" s="1288"/>
    </row>
    <row r="49082" spans="18:18" s="2" customFormat="1" ht="12.75" x14ac:dyDescent="0.2">
      <c r="R49082" s="1288"/>
    </row>
    <row r="49083" spans="18:18" s="2" customFormat="1" ht="12.75" x14ac:dyDescent="0.2">
      <c r="R49083" s="1288"/>
    </row>
    <row r="49084" spans="18:18" s="2" customFormat="1" ht="12.75" x14ac:dyDescent="0.2">
      <c r="R49084" s="1288"/>
    </row>
    <row r="49085" spans="18:18" s="2" customFormat="1" ht="12.75" x14ac:dyDescent="0.2">
      <c r="R49085" s="1288"/>
    </row>
    <row r="49086" spans="18:18" s="2" customFormat="1" ht="12.75" x14ac:dyDescent="0.2">
      <c r="R49086" s="1288"/>
    </row>
    <row r="49087" spans="18:18" s="2" customFormat="1" ht="12.75" x14ac:dyDescent="0.2">
      <c r="R49087" s="1288"/>
    </row>
    <row r="49088" spans="18:18" s="2" customFormat="1" ht="12.75" x14ac:dyDescent="0.2">
      <c r="R49088" s="1288"/>
    </row>
    <row r="49089" spans="18:18" s="2" customFormat="1" ht="12.75" x14ac:dyDescent="0.2">
      <c r="R49089" s="1288"/>
    </row>
    <row r="49090" spans="18:18" s="2" customFormat="1" ht="12.75" x14ac:dyDescent="0.2">
      <c r="R49090" s="1288"/>
    </row>
    <row r="49091" spans="18:18" s="2" customFormat="1" ht="12.75" x14ac:dyDescent="0.2">
      <c r="R49091" s="1288"/>
    </row>
    <row r="49092" spans="18:18" s="2" customFormat="1" ht="12.75" x14ac:dyDescent="0.2">
      <c r="R49092" s="1288"/>
    </row>
    <row r="49093" spans="18:18" s="2" customFormat="1" ht="12.75" x14ac:dyDescent="0.2">
      <c r="R49093" s="1288"/>
    </row>
    <row r="49094" spans="18:18" s="2" customFormat="1" ht="12.75" x14ac:dyDescent="0.2">
      <c r="R49094" s="1288"/>
    </row>
    <row r="49095" spans="18:18" s="2" customFormat="1" ht="12.75" x14ac:dyDescent="0.2">
      <c r="R49095" s="1288"/>
    </row>
    <row r="49096" spans="18:18" s="2" customFormat="1" ht="12.75" x14ac:dyDescent="0.2">
      <c r="R49096" s="1288"/>
    </row>
    <row r="49097" spans="18:18" s="2" customFormat="1" ht="12.75" x14ac:dyDescent="0.2">
      <c r="R49097" s="1288"/>
    </row>
    <row r="49098" spans="18:18" s="2" customFormat="1" ht="12.75" x14ac:dyDescent="0.2">
      <c r="R49098" s="1288"/>
    </row>
    <row r="49099" spans="18:18" s="2" customFormat="1" ht="12.75" x14ac:dyDescent="0.2">
      <c r="R49099" s="1288"/>
    </row>
    <row r="49100" spans="18:18" s="2" customFormat="1" ht="12.75" x14ac:dyDescent="0.2">
      <c r="R49100" s="1288"/>
    </row>
    <row r="49101" spans="18:18" s="2" customFormat="1" ht="12.75" x14ac:dyDescent="0.2">
      <c r="R49101" s="1288"/>
    </row>
    <row r="49102" spans="18:18" s="2" customFormat="1" ht="12.75" x14ac:dyDescent="0.2">
      <c r="R49102" s="1288"/>
    </row>
    <row r="49103" spans="18:18" s="2" customFormat="1" ht="12.75" x14ac:dyDescent="0.2">
      <c r="R49103" s="1288"/>
    </row>
    <row r="49104" spans="18:18" s="2" customFormat="1" ht="12.75" x14ac:dyDescent="0.2">
      <c r="R49104" s="1288"/>
    </row>
    <row r="49105" spans="18:18" s="2" customFormat="1" ht="12.75" x14ac:dyDescent="0.2">
      <c r="R49105" s="1288"/>
    </row>
    <row r="49106" spans="18:18" s="2" customFormat="1" ht="12.75" x14ac:dyDescent="0.2">
      <c r="R49106" s="1288"/>
    </row>
    <row r="49107" spans="18:18" s="2" customFormat="1" ht="12.75" x14ac:dyDescent="0.2">
      <c r="R49107" s="1288"/>
    </row>
    <row r="49108" spans="18:18" s="2" customFormat="1" ht="12.75" x14ac:dyDescent="0.2">
      <c r="R49108" s="1288"/>
    </row>
    <row r="49109" spans="18:18" s="2" customFormat="1" ht="12.75" x14ac:dyDescent="0.2">
      <c r="R49109" s="1288"/>
    </row>
    <row r="49110" spans="18:18" s="2" customFormat="1" ht="12.75" x14ac:dyDescent="0.2">
      <c r="R49110" s="1288"/>
    </row>
    <row r="49111" spans="18:18" s="2" customFormat="1" ht="12.75" x14ac:dyDescent="0.2">
      <c r="R49111" s="1288"/>
    </row>
    <row r="49112" spans="18:18" s="2" customFormat="1" ht="12.75" x14ac:dyDescent="0.2">
      <c r="R49112" s="1288"/>
    </row>
    <row r="49113" spans="18:18" s="2" customFormat="1" ht="12.75" x14ac:dyDescent="0.2">
      <c r="R49113" s="1288"/>
    </row>
    <row r="49114" spans="18:18" s="2" customFormat="1" ht="12.75" x14ac:dyDescent="0.2">
      <c r="R49114" s="1288"/>
    </row>
    <row r="49115" spans="18:18" s="2" customFormat="1" ht="12.75" x14ac:dyDescent="0.2">
      <c r="R49115" s="1288"/>
    </row>
    <row r="49116" spans="18:18" s="2" customFormat="1" ht="12.75" x14ac:dyDescent="0.2">
      <c r="R49116" s="1288"/>
    </row>
    <row r="49117" spans="18:18" s="2" customFormat="1" ht="12.75" x14ac:dyDescent="0.2">
      <c r="R49117" s="1288"/>
    </row>
    <row r="49118" spans="18:18" s="2" customFormat="1" ht="12.75" x14ac:dyDescent="0.2">
      <c r="R49118" s="1288"/>
    </row>
    <row r="49119" spans="18:18" s="2" customFormat="1" ht="12.75" x14ac:dyDescent="0.2">
      <c r="R49119" s="1288"/>
    </row>
    <row r="49120" spans="18:18" s="2" customFormat="1" ht="12.75" x14ac:dyDescent="0.2">
      <c r="R49120" s="1288"/>
    </row>
    <row r="49121" spans="18:18" s="2" customFormat="1" ht="12.75" x14ac:dyDescent="0.2">
      <c r="R49121" s="1288"/>
    </row>
    <row r="49122" spans="18:18" s="2" customFormat="1" ht="12.75" x14ac:dyDescent="0.2">
      <c r="R49122" s="1288"/>
    </row>
    <row r="49123" spans="18:18" s="2" customFormat="1" ht="12.75" x14ac:dyDescent="0.2">
      <c r="R49123" s="1288"/>
    </row>
    <row r="49124" spans="18:18" s="2" customFormat="1" ht="12.75" x14ac:dyDescent="0.2">
      <c r="R49124" s="1288"/>
    </row>
    <row r="49125" spans="18:18" s="2" customFormat="1" ht="12.75" x14ac:dyDescent="0.2">
      <c r="R49125" s="1288"/>
    </row>
    <row r="49126" spans="18:18" s="2" customFormat="1" ht="12.75" x14ac:dyDescent="0.2">
      <c r="R49126" s="1288"/>
    </row>
    <row r="49127" spans="18:18" s="2" customFormat="1" ht="12.75" x14ac:dyDescent="0.2">
      <c r="R49127" s="1288"/>
    </row>
    <row r="49128" spans="18:18" s="2" customFormat="1" ht="12.75" x14ac:dyDescent="0.2">
      <c r="R49128" s="1288"/>
    </row>
    <row r="49129" spans="18:18" s="2" customFormat="1" ht="12.75" x14ac:dyDescent="0.2">
      <c r="R49129" s="1288"/>
    </row>
    <row r="49130" spans="18:18" s="2" customFormat="1" ht="12.75" x14ac:dyDescent="0.2">
      <c r="R49130" s="1288"/>
    </row>
    <row r="49131" spans="18:18" s="2" customFormat="1" ht="12.75" x14ac:dyDescent="0.2">
      <c r="R49131" s="1288"/>
    </row>
    <row r="49132" spans="18:18" s="2" customFormat="1" ht="12.75" x14ac:dyDescent="0.2">
      <c r="R49132" s="1288"/>
    </row>
    <row r="49133" spans="18:18" s="2" customFormat="1" ht="12.75" x14ac:dyDescent="0.2">
      <c r="R49133" s="1288"/>
    </row>
    <row r="49134" spans="18:18" s="2" customFormat="1" ht="12.75" x14ac:dyDescent="0.2">
      <c r="R49134" s="1288"/>
    </row>
    <row r="49135" spans="18:18" s="2" customFormat="1" ht="12.75" x14ac:dyDescent="0.2">
      <c r="R49135" s="1288"/>
    </row>
    <row r="49136" spans="18:18" s="2" customFormat="1" ht="12.75" x14ac:dyDescent="0.2">
      <c r="R49136" s="1288"/>
    </row>
    <row r="49137" spans="18:18" s="2" customFormat="1" ht="12.75" x14ac:dyDescent="0.2">
      <c r="R49137" s="1288"/>
    </row>
    <row r="49138" spans="18:18" s="2" customFormat="1" ht="12.75" x14ac:dyDescent="0.2">
      <c r="R49138" s="1288"/>
    </row>
    <row r="49139" spans="18:18" s="2" customFormat="1" ht="12.75" x14ac:dyDescent="0.2">
      <c r="R49139" s="1288"/>
    </row>
    <row r="49140" spans="18:18" s="2" customFormat="1" ht="12.75" x14ac:dyDescent="0.2">
      <c r="R49140" s="1288"/>
    </row>
    <row r="49141" spans="18:18" s="2" customFormat="1" ht="12.75" x14ac:dyDescent="0.2">
      <c r="R49141" s="1288"/>
    </row>
    <row r="49142" spans="18:18" s="2" customFormat="1" ht="12.75" x14ac:dyDescent="0.2">
      <c r="R49142" s="1288"/>
    </row>
    <row r="49143" spans="18:18" s="2" customFormat="1" ht="12.75" x14ac:dyDescent="0.2">
      <c r="R49143" s="1288"/>
    </row>
    <row r="49144" spans="18:18" s="2" customFormat="1" ht="12.75" x14ac:dyDescent="0.2">
      <c r="R49144" s="1288"/>
    </row>
    <row r="49145" spans="18:18" s="2" customFormat="1" ht="12.75" x14ac:dyDescent="0.2">
      <c r="R49145" s="1288"/>
    </row>
    <row r="49146" spans="18:18" s="2" customFormat="1" ht="12.75" x14ac:dyDescent="0.2">
      <c r="R49146" s="1288"/>
    </row>
    <row r="49147" spans="18:18" s="2" customFormat="1" ht="12.75" x14ac:dyDescent="0.2">
      <c r="R49147" s="1288"/>
    </row>
    <row r="49148" spans="18:18" s="2" customFormat="1" ht="12.75" x14ac:dyDescent="0.2">
      <c r="R49148" s="1288"/>
    </row>
    <row r="49149" spans="18:18" s="2" customFormat="1" ht="12.75" x14ac:dyDescent="0.2">
      <c r="R49149" s="1288"/>
    </row>
    <row r="49150" spans="18:18" s="2" customFormat="1" ht="12.75" x14ac:dyDescent="0.2">
      <c r="R49150" s="1288"/>
    </row>
    <row r="49151" spans="18:18" s="2" customFormat="1" ht="12.75" x14ac:dyDescent="0.2">
      <c r="R49151" s="1288"/>
    </row>
    <row r="49152" spans="18:18" s="2" customFormat="1" ht="12.75" x14ac:dyDescent="0.2">
      <c r="R49152" s="1288"/>
    </row>
    <row r="49153" spans="18:18" s="2" customFormat="1" ht="12.75" x14ac:dyDescent="0.2">
      <c r="R49153" s="1288"/>
    </row>
    <row r="49154" spans="18:18" s="2" customFormat="1" ht="12.75" x14ac:dyDescent="0.2">
      <c r="R49154" s="1288"/>
    </row>
    <row r="49155" spans="18:18" s="2" customFormat="1" ht="12.75" x14ac:dyDescent="0.2">
      <c r="R49155" s="1288"/>
    </row>
    <row r="49156" spans="18:18" s="2" customFormat="1" ht="12.75" x14ac:dyDescent="0.2">
      <c r="R49156" s="1288"/>
    </row>
    <row r="49157" spans="18:18" s="2" customFormat="1" ht="12.75" x14ac:dyDescent="0.2">
      <c r="R49157" s="1288"/>
    </row>
    <row r="49158" spans="18:18" s="2" customFormat="1" ht="12.75" x14ac:dyDescent="0.2">
      <c r="R49158" s="1288"/>
    </row>
    <row r="49159" spans="18:18" s="2" customFormat="1" ht="12.75" x14ac:dyDescent="0.2">
      <c r="R49159" s="1288"/>
    </row>
    <row r="49160" spans="18:18" s="2" customFormat="1" ht="12.75" x14ac:dyDescent="0.2">
      <c r="R49160" s="1288"/>
    </row>
    <row r="49161" spans="18:18" s="2" customFormat="1" ht="12.75" x14ac:dyDescent="0.2">
      <c r="R49161" s="1288"/>
    </row>
    <row r="49162" spans="18:18" s="2" customFormat="1" ht="12.75" x14ac:dyDescent="0.2">
      <c r="R49162" s="1288"/>
    </row>
    <row r="49163" spans="18:18" s="2" customFormat="1" ht="12.75" x14ac:dyDescent="0.2">
      <c r="R49163" s="1288"/>
    </row>
    <row r="49164" spans="18:18" s="2" customFormat="1" ht="12.75" x14ac:dyDescent="0.2">
      <c r="R49164" s="1288"/>
    </row>
    <row r="49165" spans="18:18" s="2" customFormat="1" ht="12.75" x14ac:dyDescent="0.2">
      <c r="R49165" s="1288"/>
    </row>
    <row r="49166" spans="18:18" s="2" customFormat="1" ht="12.75" x14ac:dyDescent="0.2">
      <c r="R49166" s="1288"/>
    </row>
    <row r="49167" spans="18:18" s="2" customFormat="1" ht="12.75" x14ac:dyDescent="0.2">
      <c r="R49167" s="1288"/>
    </row>
    <row r="49168" spans="18:18" s="2" customFormat="1" ht="12.75" x14ac:dyDescent="0.2">
      <c r="R49168" s="1288"/>
    </row>
    <row r="49169" spans="18:18" s="2" customFormat="1" ht="12.75" x14ac:dyDescent="0.2">
      <c r="R49169" s="1288"/>
    </row>
    <row r="49170" spans="18:18" s="2" customFormat="1" ht="12.75" x14ac:dyDescent="0.2">
      <c r="R49170" s="1288"/>
    </row>
    <row r="49171" spans="18:18" s="2" customFormat="1" ht="12.75" x14ac:dyDescent="0.2">
      <c r="R49171" s="1288"/>
    </row>
    <row r="49172" spans="18:18" s="2" customFormat="1" ht="12.75" x14ac:dyDescent="0.2">
      <c r="R49172" s="1288"/>
    </row>
    <row r="49173" spans="18:18" s="2" customFormat="1" ht="12.75" x14ac:dyDescent="0.2">
      <c r="R49173" s="1288"/>
    </row>
    <row r="49174" spans="18:18" s="2" customFormat="1" ht="12.75" x14ac:dyDescent="0.2">
      <c r="R49174" s="1288"/>
    </row>
    <row r="49175" spans="18:18" s="2" customFormat="1" ht="12.75" x14ac:dyDescent="0.2">
      <c r="R49175" s="1288"/>
    </row>
    <row r="49176" spans="18:18" s="2" customFormat="1" ht="12.75" x14ac:dyDescent="0.2">
      <c r="R49176" s="1288"/>
    </row>
    <row r="49177" spans="18:18" s="2" customFormat="1" ht="12.75" x14ac:dyDescent="0.2">
      <c r="R49177" s="1288"/>
    </row>
    <row r="49178" spans="18:18" s="2" customFormat="1" ht="12.75" x14ac:dyDescent="0.2">
      <c r="R49178" s="1288"/>
    </row>
    <row r="49179" spans="18:18" s="2" customFormat="1" ht="12.75" x14ac:dyDescent="0.2">
      <c r="R49179" s="1288"/>
    </row>
    <row r="49180" spans="18:18" s="2" customFormat="1" ht="12.75" x14ac:dyDescent="0.2">
      <c r="R49180" s="1288"/>
    </row>
    <row r="49181" spans="18:18" s="2" customFormat="1" ht="12.75" x14ac:dyDescent="0.2">
      <c r="R49181" s="1288"/>
    </row>
    <row r="49182" spans="18:18" s="2" customFormat="1" ht="12.75" x14ac:dyDescent="0.2">
      <c r="R49182" s="1288"/>
    </row>
    <row r="49183" spans="18:18" s="2" customFormat="1" ht="12.75" x14ac:dyDescent="0.2">
      <c r="R49183" s="1288"/>
    </row>
    <row r="49184" spans="18:18" s="2" customFormat="1" ht="12.75" x14ac:dyDescent="0.2">
      <c r="R49184" s="1288"/>
    </row>
    <row r="49185" spans="18:18" s="2" customFormat="1" ht="12.75" x14ac:dyDescent="0.2">
      <c r="R49185" s="1288"/>
    </row>
    <row r="49186" spans="18:18" s="2" customFormat="1" ht="12.75" x14ac:dyDescent="0.2">
      <c r="R49186" s="1288"/>
    </row>
    <row r="49187" spans="18:18" s="2" customFormat="1" ht="12.75" x14ac:dyDescent="0.2">
      <c r="R49187" s="1288"/>
    </row>
    <row r="49188" spans="18:18" s="2" customFormat="1" ht="12.75" x14ac:dyDescent="0.2">
      <c r="R49188" s="1288"/>
    </row>
    <row r="49189" spans="18:18" s="2" customFormat="1" ht="12.75" x14ac:dyDescent="0.2">
      <c r="R49189" s="1288"/>
    </row>
    <row r="49190" spans="18:18" s="2" customFormat="1" ht="12.75" x14ac:dyDescent="0.2">
      <c r="R49190" s="1288"/>
    </row>
    <row r="49191" spans="18:18" s="2" customFormat="1" ht="12.75" x14ac:dyDescent="0.2">
      <c r="R49191" s="1288"/>
    </row>
    <row r="49192" spans="18:18" s="2" customFormat="1" ht="12.75" x14ac:dyDescent="0.2">
      <c r="R49192" s="1288"/>
    </row>
    <row r="49193" spans="18:18" s="2" customFormat="1" ht="12.75" x14ac:dyDescent="0.2">
      <c r="R49193" s="1288"/>
    </row>
    <row r="49194" spans="18:18" s="2" customFormat="1" ht="12.75" x14ac:dyDescent="0.2">
      <c r="R49194" s="1288"/>
    </row>
    <row r="49195" spans="18:18" s="2" customFormat="1" ht="12.75" x14ac:dyDescent="0.2">
      <c r="R49195" s="1288"/>
    </row>
    <row r="49196" spans="18:18" s="2" customFormat="1" ht="12.75" x14ac:dyDescent="0.2">
      <c r="R49196" s="1288"/>
    </row>
    <row r="49197" spans="18:18" s="2" customFormat="1" ht="12.75" x14ac:dyDescent="0.2">
      <c r="R49197" s="1288"/>
    </row>
    <row r="49198" spans="18:18" s="2" customFormat="1" ht="12.75" x14ac:dyDescent="0.2">
      <c r="R49198" s="1288"/>
    </row>
    <row r="49199" spans="18:18" s="2" customFormat="1" ht="12.75" x14ac:dyDescent="0.2">
      <c r="R49199" s="1288"/>
    </row>
    <row r="49200" spans="18:18" s="2" customFormat="1" ht="12.75" x14ac:dyDescent="0.2">
      <c r="R49200" s="1288"/>
    </row>
    <row r="49201" spans="18:18" s="2" customFormat="1" ht="12.75" x14ac:dyDescent="0.2">
      <c r="R49201" s="1288"/>
    </row>
    <row r="49202" spans="18:18" s="2" customFormat="1" ht="12.75" x14ac:dyDescent="0.2">
      <c r="R49202" s="1288"/>
    </row>
    <row r="49203" spans="18:18" s="2" customFormat="1" ht="12.75" x14ac:dyDescent="0.2">
      <c r="R49203" s="1288"/>
    </row>
    <row r="49204" spans="18:18" s="2" customFormat="1" ht="12.75" x14ac:dyDescent="0.2">
      <c r="R49204" s="1288"/>
    </row>
    <row r="49205" spans="18:18" s="2" customFormat="1" ht="12.75" x14ac:dyDescent="0.2">
      <c r="R49205" s="1288"/>
    </row>
    <row r="49206" spans="18:18" s="2" customFormat="1" ht="12.75" x14ac:dyDescent="0.2">
      <c r="R49206" s="1288"/>
    </row>
    <row r="49207" spans="18:18" s="2" customFormat="1" ht="12.75" x14ac:dyDescent="0.2">
      <c r="R49207" s="1288"/>
    </row>
    <row r="49208" spans="18:18" s="2" customFormat="1" ht="12.75" x14ac:dyDescent="0.2">
      <c r="R49208" s="1288"/>
    </row>
    <row r="49209" spans="18:18" s="2" customFormat="1" ht="12.75" x14ac:dyDescent="0.2">
      <c r="R49209" s="1288"/>
    </row>
    <row r="49210" spans="18:18" s="2" customFormat="1" ht="12.75" x14ac:dyDescent="0.2">
      <c r="R49210" s="1288"/>
    </row>
    <row r="49211" spans="18:18" s="2" customFormat="1" ht="12.75" x14ac:dyDescent="0.2">
      <c r="R49211" s="1288"/>
    </row>
    <row r="49212" spans="18:18" s="2" customFormat="1" ht="12.75" x14ac:dyDescent="0.2">
      <c r="R49212" s="1288"/>
    </row>
    <row r="49213" spans="18:18" s="2" customFormat="1" ht="12.75" x14ac:dyDescent="0.2">
      <c r="R49213" s="1288"/>
    </row>
    <row r="49214" spans="18:18" s="2" customFormat="1" ht="12.75" x14ac:dyDescent="0.2">
      <c r="R49214" s="1288"/>
    </row>
    <row r="49215" spans="18:18" s="2" customFormat="1" ht="12.75" x14ac:dyDescent="0.2">
      <c r="R49215" s="1288"/>
    </row>
    <row r="49216" spans="18:18" s="2" customFormat="1" ht="12.75" x14ac:dyDescent="0.2">
      <c r="R49216" s="1288"/>
    </row>
    <row r="49217" spans="18:18" s="2" customFormat="1" ht="12.75" x14ac:dyDescent="0.2">
      <c r="R49217" s="1288"/>
    </row>
    <row r="49218" spans="18:18" s="2" customFormat="1" ht="12.75" x14ac:dyDescent="0.2">
      <c r="R49218" s="1288"/>
    </row>
    <row r="49219" spans="18:18" s="2" customFormat="1" ht="12.75" x14ac:dyDescent="0.2">
      <c r="R49219" s="1288"/>
    </row>
    <row r="49220" spans="18:18" s="2" customFormat="1" ht="12.75" x14ac:dyDescent="0.2">
      <c r="R49220" s="1288"/>
    </row>
    <row r="49221" spans="18:18" s="2" customFormat="1" ht="12.75" x14ac:dyDescent="0.2">
      <c r="R49221" s="1288"/>
    </row>
    <row r="49222" spans="18:18" s="2" customFormat="1" ht="12.75" x14ac:dyDescent="0.2">
      <c r="R49222" s="1288"/>
    </row>
    <row r="49223" spans="18:18" s="2" customFormat="1" ht="12.75" x14ac:dyDescent="0.2">
      <c r="R49223" s="1288"/>
    </row>
    <row r="49224" spans="18:18" s="2" customFormat="1" ht="12.75" x14ac:dyDescent="0.2">
      <c r="R49224" s="1288"/>
    </row>
    <row r="49225" spans="18:18" s="2" customFormat="1" ht="12.75" x14ac:dyDescent="0.2">
      <c r="R49225" s="1288"/>
    </row>
    <row r="49226" spans="18:18" s="2" customFormat="1" ht="12.75" x14ac:dyDescent="0.2">
      <c r="R49226" s="1288"/>
    </row>
    <row r="49227" spans="18:18" s="2" customFormat="1" ht="12.75" x14ac:dyDescent="0.2">
      <c r="R49227" s="1288"/>
    </row>
    <row r="49228" spans="18:18" s="2" customFormat="1" ht="12.75" x14ac:dyDescent="0.2">
      <c r="R49228" s="1288"/>
    </row>
    <row r="49229" spans="18:18" s="2" customFormat="1" ht="12.75" x14ac:dyDescent="0.2">
      <c r="R49229" s="1288"/>
    </row>
    <row r="49230" spans="18:18" s="2" customFormat="1" ht="12.75" x14ac:dyDescent="0.2">
      <c r="R49230" s="1288"/>
    </row>
    <row r="49231" spans="18:18" s="2" customFormat="1" ht="12.75" x14ac:dyDescent="0.2">
      <c r="R49231" s="1288"/>
    </row>
    <row r="49232" spans="18:18" s="2" customFormat="1" ht="12.75" x14ac:dyDescent="0.2">
      <c r="R49232" s="1288"/>
    </row>
    <row r="49233" spans="18:18" s="2" customFormat="1" ht="12.75" x14ac:dyDescent="0.2">
      <c r="R49233" s="1288"/>
    </row>
    <row r="49234" spans="18:18" s="2" customFormat="1" ht="12.75" x14ac:dyDescent="0.2">
      <c r="R49234" s="1288"/>
    </row>
    <row r="49235" spans="18:18" s="2" customFormat="1" ht="12.75" x14ac:dyDescent="0.2">
      <c r="R49235" s="1288"/>
    </row>
    <row r="49236" spans="18:18" s="2" customFormat="1" ht="12.75" x14ac:dyDescent="0.2">
      <c r="R49236" s="1288"/>
    </row>
    <row r="49237" spans="18:18" s="2" customFormat="1" ht="12.75" x14ac:dyDescent="0.2">
      <c r="R49237" s="1288"/>
    </row>
    <row r="49238" spans="18:18" s="2" customFormat="1" ht="12.75" x14ac:dyDescent="0.2">
      <c r="R49238" s="1288"/>
    </row>
    <row r="49239" spans="18:18" s="2" customFormat="1" ht="12.75" x14ac:dyDescent="0.2">
      <c r="R49239" s="1288"/>
    </row>
    <row r="49240" spans="18:18" s="2" customFormat="1" ht="12.75" x14ac:dyDescent="0.2">
      <c r="R49240" s="1288"/>
    </row>
    <row r="49241" spans="18:18" s="2" customFormat="1" ht="12.75" x14ac:dyDescent="0.2">
      <c r="R49241" s="1288"/>
    </row>
    <row r="49242" spans="18:18" s="2" customFormat="1" ht="12.75" x14ac:dyDescent="0.2">
      <c r="R49242" s="1288"/>
    </row>
    <row r="49243" spans="18:18" s="2" customFormat="1" ht="12.75" x14ac:dyDescent="0.2">
      <c r="R49243" s="1288"/>
    </row>
    <row r="49244" spans="18:18" s="2" customFormat="1" ht="12.75" x14ac:dyDescent="0.2">
      <c r="R49244" s="1288"/>
    </row>
    <row r="49245" spans="18:18" s="2" customFormat="1" ht="12.75" x14ac:dyDescent="0.2">
      <c r="R49245" s="1288"/>
    </row>
    <row r="49246" spans="18:18" s="2" customFormat="1" ht="12.75" x14ac:dyDescent="0.2">
      <c r="R49246" s="1288"/>
    </row>
    <row r="49247" spans="18:18" s="2" customFormat="1" ht="12.75" x14ac:dyDescent="0.2">
      <c r="R49247" s="1288"/>
    </row>
    <row r="49248" spans="18:18" s="2" customFormat="1" ht="12.75" x14ac:dyDescent="0.2">
      <c r="R49248" s="1288"/>
    </row>
    <row r="49249" spans="18:18" s="2" customFormat="1" ht="12.75" x14ac:dyDescent="0.2">
      <c r="R49249" s="1288"/>
    </row>
    <row r="49250" spans="18:18" s="2" customFormat="1" ht="12.75" x14ac:dyDescent="0.2">
      <c r="R49250" s="1288"/>
    </row>
    <row r="49251" spans="18:18" s="2" customFormat="1" ht="12.75" x14ac:dyDescent="0.2">
      <c r="R49251" s="1288"/>
    </row>
    <row r="49252" spans="18:18" s="2" customFormat="1" ht="12.75" x14ac:dyDescent="0.2">
      <c r="R49252" s="1288"/>
    </row>
    <row r="49253" spans="18:18" s="2" customFormat="1" ht="12.75" x14ac:dyDescent="0.2">
      <c r="R49253" s="1288"/>
    </row>
    <row r="49254" spans="18:18" s="2" customFormat="1" ht="12.75" x14ac:dyDescent="0.2">
      <c r="R49254" s="1288"/>
    </row>
    <row r="49255" spans="18:18" s="2" customFormat="1" ht="12.75" x14ac:dyDescent="0.2">
      <c r="R49255" s="1288"/>
    </row>
    <row r="49256" spans="18:18" s="2" customFormat="1" ht="12.75" x14ac:dyDescent="0.2">
      <c r="R49256" s="1288"/>
    </row>
    <row r="49257" spans="18:18" s="2" customFormat="1" ht="12.75" x14ac:dyDescent="0.2">
      <c r="R49257" s="1288"/>
    </row>
    <row r="49258" spans="18:18" s="2" customFormat="1" ht="12.75" x14ac:dyDescent="0.2">
      <c r="R49258" s="1288"/>
    </row>
    <row r="49259" spans="18:18" s="2" customFormat="1" ht="12.75" x14ac:dyDescent="0.2">
      <c r="R49259" s="1288"/>
    </row>
    <row r="49260" spans="18:18" s="2" customFormat="1" ht="12.75" x14ac:dyDescent="0.2">
      <c r="R49260" s="1288"/>
    </row>
    <row r="49261" spans="18:18" s="2" customFormat="1" ht="12.75" x14ac:dyDescent="0.2">
      <c r="R49261" s="1288"/>
    </row>
    <row r="49262" spans="18:18" s="2" customFormat="1" ht="12.75" x14ac:dyDescent="0.2">
      <c r="R49262" s="1288"/>
    </row>
    <row r="49263" spans="18:18" s="2" customFormat="1" ht="12.75" x14ac:dyDescent="0.2">
      <c r="R49263" s="1288"/>
    </row>
    <row r="49264" spans="18:18" s="2" customFormat="1" ht="12.75" x14ac:dyDescent="0.2">
      <c r="R49264" s="1288"/>
    </row>
    <row r="49265" spans="18:18" s="2" customFormat="1" ht="12.75" x14ac:dyDescent="0.2">
      <c r="R49265" s="1288"/>
    </row>
    <row r="49266" spans="18:18" s="2" customFormat="1" ht="12.75" x14ac:dyDescent="0.2">
      <c r="R49266" s="1288"/>
    </row>
    <row r="49267" spans="18:18" s="2" customFormat="1" ht="12.75" x14ac:dyDescent="0.2">
      <c r="R49267" s="1288"/>
    </row>
    <row r="49268" spans="18:18" s="2" customFormat="1" ht="12.75" x14ac:dyDescent="0.2">
      <c r="R49268" s="1288"/>
    </row>
    <row r="49269" spans="18:18" s="2" customFormat="1" ht="12.75" x14ac:dyDescent="0.2">
      <c r="R49269" s="1288"/>
    </row>
    <row r="49270" spans="18:18" s="2" customFormat="1" ht="12.75" x14ac:dyDescent="0.2">
      <c r="R49270" s="1288"/>
    </row>
    <row r="49271" spans="18:18" s="2" customFormat="1" ht="12.75" x14ac:dyDescent="0.2">
      <c r="R49271" s="1288"/>
    </row>
    <row r="49272" spans="18:18" s="2" customFormat="1" ht="12.75" x14ac:dyDescent="0.2">
      <c r="R49272" s="1288"/>
    </row>
    <row r="49273" spans="18:18" s="2" customFormat="1" ht="12.75" x14ac:dyDescent="0.2">
      <c r="R49273" s="1288"/>
    </row>
    <row r="49274" spans="18:18" s="2" customFormat="1" ht="12.75" x14ac:dyDescent="0.2">
      <c r="R49274" s="1288"/>
    </row>
    <row r="49275" spans="18:18" s="2" customFormat="1" ht="12.75" x14ac:dyDescent="0.2">
      <c r="R49275" s="1288"/>
    </row>
    <row r="49276" spans="18:18" s="2" customFormat="1" ht="12.75" x14ac:dyDescent="0.2">
      <c r="R49276" s="1288"/>
    </row>
    <row r="49277" spans="18:18" s="2" customFormat="1" ht="12.75" x14ac:dyDescent="0.2">
      <c r="R49277" s="1288"/>
    </row>
    <row r="49278" spans="18:18" s="2" customFormat="1" ht="12.75" x14ac:dyDescent="0.2">
      <c r="R49278" s="1288"/>
    </row>
    <row r="49279" spans="18:18" s="2" customFormat="1" ht="12.75" x14ac:dyDescent="0.2">
      <c r="R49279" s="1288"/>
    </row>
    <row r="49280" spans="18:18" s="2" customFormat="1" ht="12.75" x14ac:dyDescent="0.2">
      <c r="R49280" s="1288"/>
    </row>
    <row r="49281" spans="18:18" s="2" customFormat="1" ht="12.75" x14ac:dyDescent="0.2">
      <c r="R49281" s="1288"/>
    </row>
    <row r="49282" spans="18:18" s="2" customFormat="1" ht="12.75" x14ac:dyDescent="0.2">
      <c r="R49282" s="1288"/>
    </row>
    <row r="49283" spans="18:18" s="2" customFormat="1" ht="12.75" x14ac:dyDescent="0.2">
      <c r="R49283" s="1288"/>
    </row>
    <row r="49284" spans="18:18" s="2" customFormat="1" ht="12.75" x14ac:dyDescent="0.2">
      <c r="R49284" s="1288"/>
    </row>
    <row r="49285" spans="18:18" s="2" customFormat="1" ht="12.75" x14ac:dyDescent="0.2">
      <c r="R49285" s="1288"/>
    </row>
    <row r="49286" spans="18:18" s="2" customFormat="1" ht="12.75" x14ac:dyDescent="0.2">
      <c r="R49286" s="1288"/>
    </row>
    <row r="49287" spans="18:18" s="2" customFormat="1" ht="12.75" x14ac:dyDescent="0.2">
      <c r="R49287" s="1288"/>
    </row>
    <row r="49288" spans="18:18" s="2" customFormat="1" ht="12.75" x14ac:dyDescent="0.2">
      <c r="R49288" s="1288"/>
    </row>
    <row r="49289" spans="18:18" s="2" customFormat="1" ht="12.75" x14ac:dyDescent="0.2">
      <c r="R49289" s="1288"/>
    </row>
    <row r="49290" spans="18:18" s="2" customFormat="1" ht="12.75" x14ac:dyDescent="0.2">
      <c r="R49290" s="1288"/>
    </row>
    <row r="49291" spans="18:18" s="2" customFormat="1" ht="12.75" x14ac:dyDescent="0.2">
      <c r="R49291" s="1288"/>
    </row>
    <row r="49292" spans="18:18" s="2" customFormat="1" ht="12.75" x14ac:dyDescent="0.2">
      <c r="R49292" s="1288"/>
    </row>
    <row r="49293" spans="18:18" s="2" customFormat="1" ht="12.75" x14ac:dyDescent="0.2">
      <c r="R49293" s="1288"/>
    </row>
    <row r="49294" spans="18:18" s="2" customFormat="1" ht="12.75" x14ac:dyDescent="0.2">
      <c r="R49294" s="1288"/>
    </row>
    <row r="49295" spans="18:18" s="2" customFormat="1" ht="12.75" x14ac:dyDescent="0.2">
      <c r="R49295" s="1288"/>
    </row>
    <row r="49296" spans="18:18" s="2" customFormat="1" ht="12.75" x14ac:dyDescent="0.2">
      <c r="R49296" s="1288"/>
    </row>
    <row r="49297" spans="18:18" s="2" customFormat="1" ht="12.75" x14ac:dyDescent="0.2">
      <c r="R49297" s="1288"/>
    </row>
    <row r="49298" spans="18:18" s="2" customFormat="1" ht="12.75" x14ac:dyDescent="0.2">
      <c r="R49298" s="1288"/>
    </row>
    <row r="49299" spans="18:18" s="2" customFormat="1" ht="12.75" x14ac:dyDescent="0.2">
      <c r="R49299" s="1288"/>
    </row>
    <row r="49300" spans="18:18" s="2" customFormat="1" ht="12.75" x14ac:dyDescent="0.2">
      <c r="R49300" s="1288"/>
    </row>
    <row r="49301" spans="18:18" s="2" customFormat="1" ht="12.75" x14ac:dyDescent="0.2">
      <c r="R49301" s="1288"/>
    </row>
    <row r="49302" spans="18:18" s="2" customFormat="1" ht="12.75" x14ac:dyDescent="0.2">
      <c r="R49302" s="1288"/>
    </row>
    <row r="49303" spans="18:18" s="2" customFormat="1" ht="12.75" x14ac:dyDescent="0.2">
      <c r="R49303" s="1288"/>
    </row>
    <row r="49304" spans="18:18" s="2" customFormat="1" ht="12.75" x14ac:dyDescent="0.2">
      <c r="R49304" s="1288"/>
    </row>
    <row r="49305" spans="18:18" s="2" customFormat="1" ht="12.75" x14ac:dyDescent="0.2">
      <c r="R49305" s="1288"/>
    </row>
    <row r="49306" spans="18:18" s="2" customFormat="1" ht="12.75" x14ac:dyDescent="0.2">
      <c r="R49306" s="1288"/>
    </row>
    <row r="49307" spans="18:18" s="2" customFormat="1" ht="12.75" x14ac:dyDescent="0.2">
      <c r="R49307" s="1288"/>
    </row>
    <row r="49308" spans="18:18" s="2" customFormat="1" ht="12.75" x14ac:dyDescent="0.2">
      <c r="R49308" s="1288"/>
    </row>
    <row r="49309" spans="18:18" s="2" customFormat="1" ht="12.75" x14ac:dyDescent="0.2">
      <c r="R49309" s="1288"/>
    </row>
    <row r="49310" spans="18:18" s="2" customFormat="1" ht="12.75" x14ac:dyDescent="0.2">
      <c r="R49310" s="1288"/>
    </row>
    <row r="49311" spans="18:18" s="2" customFormat="1" ht="12.75" x14ac:dyDescent="0.2">
      <c r="R49311" s="1288"/>
    </row>
    <row r="49312" spans="18:18" s="2" customFormat="1" ht="12.75" x14ac:dyDescent="0.2">
      <c r="R49312" s="1288"/>
    </row>
    <row r="49313" spans="18:18" s="2" customFormat="1" ht="12.75" x14ac:dyDescent="0.2">
      <c r="R49313" s="1288"/>
    </row>
    <row r="49314" spans="18:18" s="2" customFormat="1" ht="12.75" x14ac:dyDescent="0.2">
      <c r="R49314" s="1288"/>
    </row>
    <row r="49315" spans="18:18" s="2" customFormat="1" ht="12.75" x14ac:dyDescent="0.2">
      <c r="R49315" s="1288"/>
    </row>
    <row r="49316" spans="18:18" s="2" customFormat="1" ht="12.75" x14ac:dyDescent="0.2">
      <c r="R49316" s="1288"/>
    </row>
    <row r="49317" spans="18:18" s="2" customFormat="1" ht="12.75" x14ac:dyDescent="0.2">
      <c r="R49317" s="1288"/>
    </row>
    <row r="49318" spans="18:18" s="2" customFormat="1" ht="12.75" x14ac:dyDescent="0.2">
      <c r="R49318" s="1288"/>
    </row>
    <row r="49319" spans="18:18" s="2" customFormat="1" ht="12.75" x14ac:dyDescent="0.2">
      <c r="R49319" s="1288"/>
    </row>
    <row r="49320" spans="18:18" s="2" customFormat="1" ht="12.75" x14ac:dyDescent="0.2">
      <c r="R49320" s="1288"/>
    </row>
    <row r="49321" spans="18:18" s="2" customFormat="1" ht="12.75" x14ac:dyDescent="0.2">
      <c r="R49321" s="1288"/>
    </row>
    <row r="49322" spans="18:18" s="2" customFormat="1" ht="12.75" x14ac:dyDescent="0.2">
      <c r="R49322" s="1288"/>
    </row>
    <row r="49323" spans="18:18" s="2" customFormat="1" ht="12.75" x14ac:dyDescent="0.2">
      <c r="R49323" s="1288"/>
    </row>
    <row r="49324" spans="18:18" s="2" customFormat="1" ht="12.75" x14ac:dyDescent="0.2">
      <c r="R49324" s="1288"/>
    </row>
    <row r="49325" spans="18:18" s="2" customFormat="1" ht="12.75" x14ac:dyDescent="0.2">
      <c r="R49325" s="1288"/>
    </row>
    <row r="49326" spans="18:18" s="2" customFormat="1" ht="12.75" x14ac:dyDescent="0.2">
      <c r="R49326" s="1288"/>
    </row>
    <row r="49327" spans="18:18" s="2" customFormat="1" ht="12.75" x14ac:dyDescent="0.2">
      <c r="R49327" s="1288"/>
    </row>
    <row r="49328" spans="18:18" s="2" customFormat="1" ht="12.75" x14ac:dyDescent="0.2">
      <c r="R49328" s="1288"/>
    </row>
    <row r="49329" spans="18:18" s="2" customFormat="1" ht="12.75" x14ac:dyDescent="0.2">
      <c r="R49329" s="1288"/>
    </row>
    <row r="49330" spans="18:18" s="2" customFormat="1" ht="12.75" x14ac:dyDescent="0.2">
      <c r="R49330" s="1288"/>
    </row>
    <row r="49331" spans="18:18" s="2" customFormat="1" ht="12.75" x14ac:dyDescent="0.2">
      <c r="R49331" s="1288"/>
    </row>
    <row r="49332" spans="18:18" s="2" customFormat="1" ht="12.75" x14ac:dyDescent="0.2">
      <c r="R49332" s="1288"/>
    </row>
    <row r="49333" spans="18:18" s="2" customFormat="1" ht="12.75" x14ac:dyDescent="0.2">
      <c r="R49333" s="1288"/>
    </row>
    <row r="49334" spans="18:18" s="2" customFormat="1" ht="12.75" x14ac:dyDescent="0.2">
      <c r="R49334" s="1288"/>
    </row>
    <row r="49335" spans="18:18" s="2" customFormat="1" ht="12.75" x14ac:dyDescent="0.2">
      <c r="R49335" s="1288"/>
    </row>
    <row r="49336" spans="18:18" s="2" customFormat="1" ht="12.75" x14ac:dyDescent="0.2">
      <c r="R49336" s="1288"/>
    </row>
    <row r="49337" spans="18:18" s="2" customFormat="1" ht="12.75" x14ac:dyDescent="0.2">
      <c r="R49337" s="1288"/>
    </row>
    <row r="49338" spans="18:18" s="2" customFormat="1" ht="12.75" x14ac:dyDescent="0.2">
      <c r="R49338" s="1288"/>
    </row>
    <row r="49339" spans="18:18" s="2" customFormat="1" ht="12.75" x14ac:dyDescent="0.2">
      <c r="R49339" s="1288"/>
    </row>
    <row r="49340" spans="18:18" s="2" customFormat="1" ht="12.75" x14ac:dyDescent="0.2">
      <c r="R49340" s="1288"/>
    </row>
    <row r="49341" spans="18:18" s="2" customFormat="1" ht="12.75" x14ac:dyDescent="0.2">
      <c r="R49341" s="1288"/>
    </row>
    <row r="49342" spans="18:18" s="2" customFormat="1" ht="12.75" x14ac:dyDescent="0.2">
      <c r="R49342" s="1288"/>
    </row>
    <row r="49343" spans="18:18" s="2" customFormat="1" ht="12.75" x14ac:dyDescent="0.2">
      <c r="R49343" s="1288"/>
    </row>
    <row r="49344" spans="18:18" s="2" customFormat="1" ht="12.75" x14ac:dyDescent="0.2">
      <c r="R49344" s="1288"/>
    </row>
    <row r="49345" spans="18:18" s="2" customFormat="1" ht="12.75" x14ac:dyDescent="0.2">
      <c r="R49345" s="1288"/>
    </row>
    <row r="49346" spans="18:18" s="2" customFormat="1" ht="12.75" x14ac:dyDescent="0.2">
      <c r="R49346" s="1288"/>
    </row>
    <row r="49347" spans="18:18" s="2" customFormat="1" ht="12.75" x14ac:dyDescent="0.2">
      <c r="R49347" s="1288"/>
    </row>
    <row r="49348" spans="18:18" s="2" customFormat="1" ht="12.75" x14ac:dyDescent="0.2">
      <c r="R49348" s="1288"/>
    </row>
    <row r="49349" spans="18:18" s="2" customFormat="1" ht="12.75" x14ac:dyDescent="0.2">
      <c r="R49349" s="1288"/>
    </row>
    <row r="49350" spans="18:18" s="2" customFormat="1" ht="12.75" x14ac:dyDescent="0.2">
      <c r="R49350" s="1288"/>
    </row>
    <row r="49351" spans="18:18" s="2" customFormat="1" ht="12.75" x14ac:dyDescent="0.2">
      <c r="R49351" s="1288"/>
    </row>
    <row r="49352" spans="18:18" s="2" customFormat="1" ht="12.75" x14ac:dyDescent="0.2">
      <c r="R49352" s="1288"/>
    </row>
    <row r="49353" spans="18:18" s="2" customFormat="1" ht="12.75" x14ac:dyDescent="0.2">
      <c r="R49353" s="1288"/>
    </row>
    <row r="49354" spans="18:18" s="2" customFormat="1" ht="12.75" x14ac:dyDescent="0.2">
      <c r="R49354" s="1288"/>
    </row>
    <row r="49355" spans="18:18" s="2" customFormat="1" ht="12.75" x14ac:dyDescent="0.2">
      <c r="R49355" s="1288"/>
    </row>
    <row r="49356" spans="18:18" s="2" customFormat="1" ht="12.75" x14ac:dyDescent="0.2">
      <c r="R49356" s="1288"/>
    </row>
    <row r="49357" spans="18:18" s="2" customFormat="1" ht="12.75" x14ac:dyDescent="0.2">
      <c r="R49357" s="1288"/>
    </row>
    <row r="49358" spans="18:18" s="2" customFormat="1" ht="12.75" x14ac:dyDescent="0.2">
      <c r="R49358" s="1288"/>
    </row>
    <row r="49359" spans="18:18" s="2" customFormat="1" ht="12.75" x14ac:dyDescent="0.2">
      <c r="R49359" s="1288"/>
    </row>
    <row r="49360" spans="18:18" s="2" customFormat="1" ht="12.75" x14ac:dyDescent="0.2">
      <c r="R49360" s="1288"/>
    </row>
    <row r="49361" spans="18:18" s="2" customFormat="1" ht="12.75" x14ac:dyDescent="0.2">
      <c r="R49361" s="1288"/>
    </row>
    <row r="49362" spans="18:18" s="2" customFormat="1" ht="12.75" x14ac:dyDescent="0.2">
      <c r="R49362" s="1288"/>
    </row>
    <row r="49363" spans="18:18" s="2" customFormat="1" ht="12.75" x14ac:dyDescent="0.2">
      <c r="R49363" s="1288"/>
    </row>
    <row r="49364" spans="18:18" s="2" customFormat="1" ht="12.75" x14ac:dyDescent="0.2">
      <c r="R49364" s="1288"/>
    </row>
    <row r="49365" spans="18:18" s="2" customFormat="1" ht="12.75" x14ac:dyDescent="0.2">
      <c r="R49365" s="1288"/>
    </row>
    <row r="49366" spans="18:18" s="2" customFormat="1" ht="12.75" x14ac:dyDescent="0.2">
      <c r="R49366" s="1288"/>
    </row>
    <row r="49367" spans="18:18" s="2" customFormat="1" ht="12.75" x14ac:dyDescent="0.2">
      <c r="R49367" s="1288"/>
    </row>
    <row r="49368" spans="18:18" s="2" customFormat="1" ht="12.75" x14ac:dyDescent="0.2">
      <c r="R49368" s="1288"/>
    </row>
    <row r="49369" spans="18:18" s="2" customFormat="1" ht="12.75" x14ac:dyDescent="0.2">
      <c r="R49369" s="1288"/>
    </row>
    <row r="49370" spans="18:18" s="2" customFormat="1" ht="12.75" x14ac:dyDescent="0.2">
      <c r="R49370" s="1288"/>
    </row>
    <row r="49371" spans="18:18" s="2" customFormat="1" ht="12.75" x14ac:dyDescent="0.2">
      <c r="R49371" s="1288"/>
    </row>
    <row r="49372" spans="18:18" s="2" customFormat="1" ht="12.75" x14ac:dyDescent="0.2">
      <c r="R49372" s="1288"/>
    </row>
    <row r="49373" spans="18:18" s="2" customFormat="1" ht="12.75" x14ac:dyDescent="0.2">
      <c r="R49373" s="1288"/>
    </row>
    <row r="49374" spans="18:18" s="2" customFormat="1" ht="12.75" x14ac:dyDescent="0.2">
      <c r="R49374" s="1288"/>
    </row>
    <row r="49375" spans="18:18" s="2" customFormat="1" ht="12.75" x14ac:dyDescent="0.2">
      <c r="R49375" s="1288"/>
    </row>
    <row r="49376" spans="18:18" s="2" customFormat="1" ht="12.75" x14ac:dyDescent="0.2">
      <c r="R49376" s="1288"/>
    </row>
    <row r="49377" spans="18:18" s="2" customFormat="1" ht="12.75" x14ac:dyDescent="0.2">
      <c r="R49377" s="1288"/>
    </row>
    <row r="49378" spans="18:18" s="2" customFormat="1" ht="12.75" x14ac:dyDescent="0.2">
      <c r="R49378" s="1288"/>
    </row>
    <row r="49379" spans="18:18" s="2" customFormat="1" ht="12.75" x14ac:dyDescent="0.2">
      <c r="R49379" s="1288"/>
    </row>
    <row r="49380" spans="18:18" s="2" customFormat="1" ht="12.75" x14ac:dyDescent="0.2">
      <c r="R49380" s="1288"/>
    </row>
    <row r="49381" spans="18:18" s="2" customFormat="1" ht="12.75" x14ac:dyDescent="0.2">
      <c r="R49381" s="1288"/>
    </row>
    <row r="49382" spans="18:18" s="2" customFormat="1" ht="12.75" x14ac:dyDescent="0.2">
      <c r="R49382" s="1288"/>
    </row>
    <row r="49383" spans="18:18" s="2" customFormat="1" ht="12.75" x14ac:dyDescent="0.2">
      <c r="R49383" s="1288"/>
    </row>
    <row r="49384" spans="18:18" s="2" customFormat="1" ht="12.75" x14ac:dyDescent="0.2">
      <c r="R49384" s="1288"/>
    </row>
    <row r="49385" spans="18:18" s="2" customFormat="1" ht="12.75" x14ac:dyDescent="0.2">
      <c r="R49385" s="1288"/>
    </row>
    <row r="49386" spans="18:18" s="2" customFormat="1" ht="12.75" x14ac:dyDescent="0.2">
      <c r="R49386" s="1288"/>
    </row>
    <row r="49387" spans="18:18" s="2" customFormat="1" ht="12.75" x14ac:dyDescent="0.2">
      <c r="R49387" s="1288"/>
    </row>
    <row r="49388" spans="18:18" s="2" customFormat="1" ht="12.75" x14ac:dyDescent="0.2">
      <c r="R49388" s="1288"/>
    </row>
    <row r="49389" spans="18:18" s="2" customFormat="1" ht="12.75" x14ac:dyDescent="0.2">
      <c r="R49389" s="1288"/>
    </row>
    <row r="49390" spans="18:18" s="2" customFormat="1" ht="12.75" x14ac:dyDescent="0.2">
      <c r="R49390" s="1288"/>
    </row>
    <row r="49391" spans="18:18" s="2" customFormat="1" ht="12.75" x14ac:dyDescent="0.2">
      <c r="R49391" s="1288"/>
    </row>
    <row r="49392" spans="18:18" s="2" customFormat="1" ht="12.75" x14ac:dyDescent="0.2">
      <c r="R49392" s="1288"/>
    </row>
    <row r="49393" spans="18:18" s="2" customFormat="1" ht="12.75" x14ac:dyDescent="0.2">
      <c r="R49393" s="1288"/>
    </row>
    <row r="49394" spans="18:18" s="2" customFormat="1" ht="12.75" x14ac:dyDescent="0.2">
      <c r="R49394" s="1288"/>
    </row>
    <row r="49395" spans="18:18" s="2" customFormat="1" ht="12.75" x14ac:dyDescent="0.2">
      <c r="R49395" s="1288"/>
    </row>
    <row r="49396" spans="18:18" s="2" customFormat="1" ht="12.75" x14ac:dyDescent="0.2">
      <c r="R49396" s="1288"/>
    </row>
    <row r="49397" spans="18:18" s="2" customFormat="1" ht="12.75" x14ac:dyDescent="0.2">
      <c r="R49397" s="1288"/>
    </row>
    <row r="49398" spans="18:18" s="2" customFormat="1" ht="12.75" x14ac:dyDescent="0.2">
      <c r="R49398" s="1288"/>
    </row>
    <row r="49399" spans="18:18" s="2" customFormat="1" ht="12.75" x14ac:dyDescent="0.2">
      <c r="R49399" s="1288"/>
    </row>
    <row r="49400" spans="18:18" s="2" customFormat="1" ht="12.75" x14ac:dyDescent="0.2">
      <c r="R49400" s="1288"/>
    </row>
    <row r="49401" spans="18:18" s="2" customFormat="1" ht="12.75" x14ac:dyDescent="0.2">
      <c r="R49401" s="1288"/>
    </row>
    <row r="49402" spans="18:18" s="2" customFormat="1" ht="12.75" x14ac:dyDescent="0.2">
      <c r="R49402" s="1288"/>
    </row>
    <row r="49403" spans="18:18" s="2" customFormat="1" ht="12.75" x14ac:dyDescent="0.2">
      <c r="R49403" s="1288"/>
    </row>
    <row r="49404" spans="18:18" s="2" customFormat="1" ht="12.75" x14ac:dyDescent="0.2">
      <c r="R49404" s="1288"/>
    </row>
    <row r="49405" spans="18:18" s="2" customFormat="1" ht="12.75" x14ac:dyDescent="0.2">
      <c r="R49405" s="1288"/>
    </row>
    <row r="49406" spans="18:18" s="2" customFormat="1" ht="12.75" x14ac:dyDescent="0.2">
      <c r="R49406" s="1288"/>
    </row>
    <row r="49407" spans="18:18" s="2" customFormat="1" ht="12.75" x14ac:dyDescent="0.2">
      <c r="R49407" s="1288"/>
    </row>
    <row r="49408" spans="18:18" s="2" customFormat="1" ht="12.75" x14ac:dyDescent="0.2">
      <c r="R49408" s="1288"/>
    </row>
    <row r="49409" spans="18:18" s="2" customFormat="1" ht="12.75" x14ac:dyDescent="0.2">
      <c r="R49409" s="1288"/>
    </row>
    <row r="49410" spans="18:18" s="2" customFormat="1" ht="12.75" x14ac:dyDescent="0.2">
      <c r="R49410" s="1288"/>
    </row>
    <row r="49411" spans="18:18" s="2" customFormat="1" ht="12.75" x14ac:dyDescent="0.2">
      <c r="R49411" s="1288"/>
    </row>
    <row r="49412" spans="18:18" s="2" customFormat="1" ht="12.75" x14ac:dyDescent="0.2">
      <c r="R49412" s="1288"/>
    </row>
    <row r="49413" spans="18:18" s="2" customFormat="1" ht="12.75" x14ac:dyDescent="0.2">
      <c r="R49413" s="1288"/>
    </row>
    <row r="49414" spans="18:18" s="2" customFormat="1" ht="12.75" x14ac:dyDescent="0.2">
      <c r="R49414" s="1288"/>
    </row>
    <row r="49415" spans="18:18" s="2" customFormat="1" ht="12.75" x14ac:dyDescent="0.2">
      <c r="R49415" s="1288"/>
    </row>
    <row r="49416" spans="18:18" s="2" customFormat="1" ht="12.75" x14ac:dyDescent="0.2">
      <c r="R49416" s="1288"/>
    </row>
    <row r="49417" spans="18:18" s="2" customFormat="1" ht="12.75" x14ac:dyDescent="0.2">
      <c r="R49417" s="1288"/>
    </row>
    <row r="49418" spans="18:18" s="2" customFormat="1" ht="12.75" x14ac:dyDescent="0.2">
      <c r="R49418" s="1288"/>
    </row>
    <row r="49419" spans="18:18" s="2" customFormat="1" ht="12.75" x14ac:dyDescent="0.2">
      <c r="R49419" s="1288"/>
    </row>
    <row r="49420" spans="18:18" s="2" customFormat="1" ht="12.75" x14ac:dyDescent="0.2">
      <c r="R49420" s="1288"/>
    </row>
    <row r="49421" spans="18:18" s="2" customFormat="1" ht="12.75" x14ac:dyDescent="0.2">
      <c r="R49421" s="1288"/>
    </row>
    <row r="49422" spans="18:18" s="2" customFormat="1" ht="12.75" x14ac:dyDescent="0.2">
      <c r="R49422" s="1288"/>
    </row>
    <row r="49423" spans="18:18" s="2" customFormat="1" ht="12.75" x14ac:dyDescent="0.2">
      <c r="R49423" s="1288"/>
    </row>
    <row r="49424" spans="18:18" s="2" customFormat="1" ht="12.75" x14ac:dyDescent="0.2">
      <c r="R49424" s="1288"/>
    </row>
    <row r="49425" spans="18:18" s="2" customFormat="1" ht="12.75" x14ac:dyDescent="0.2">
      <c r="R49425" s="1288"/>
    </row>
    <row r="49426" spans="18:18" s="2" customFormat="1" ht="12.75" x14ac:dyDescent="0.2">
      <c r="R49426" s="1288"/>
    </row>
    <row r="49427" spans="18:18" s="2" customFormat="1" ht="12.75" x14ac:dyDescent="0.2">
      <c r="R49427" s="1288"/>
    </row>
    <row r="49428" spans="18:18" s="2" customFormat="1" ht="12.75" x14ac:dyDescent="0.2">
      <c r="R49428" s="1288"/>
    </row>
    <row r="49429" spans="18:18" s="2" customFormat="1" ht="12.75" x14ac:dyDescent="0.2">
      <c r="R49429" s="1288"/>
    </row>
    <row r="49430" spans="18:18" s="2" customFormat="1" ht="12.75" x14ac:dyDescent="0.2">
      <c r="R49430" s="1288"/>
    </row>
    <row r="49431" spans="18:18" s="2" customFormat="1" ht="12.75" x14ac:dyDescent="0.2">
      <c r="R49431" s="1288"/>
    </row>
    <row r="49432" spans="18:18" s="2" customFormat="1" ht="12.75" x14ac:dyDescent="0.2">
      <c r="R49432" s="1288"/>
    </row>
    <row r="49433" spans="18:18" s="2" customFormat="1" ht="12.75" x14ac:dyDescent="0.2">
      <c r="R49433" s="1288"/>
    </row>
    <row r="49434" spans="18:18" s="2" customFormat="1" ht="12.75" x14ac:dyDescent="0.2">
      <c r="R49434" s="1288"/>
    </row>
    <row r="49435" spans="18:18" s="2" customFormat="1" ht="12.75" x14ac:dyDescent="0.2">
      <c r="R49435" s="1288"/>
    </row>
    <row r="49436" spans="18:18" s="2" customFormat="1" ht="12.75" x14ac:dyDescent="0.2">
      <c r="R49436" s="1288"/>
    </row>
    <row r="49437" spans="18:18" s="2" customFormat="1" ht="12.75" x14ac:dyDescent="0.2">
      <c r="R49437" s="1288"/>
    </row>
    <row r="49438" spans="18:18" s="2" customFormat="1" ht="12.75" x14ac:dyDescent="0.2">
      <c r="R49438" s="1288"/>
    </row>
    <row r="49439" spans="18:18" s="2" customFormat="1" ht="12.75" x14ac:dyDescent="0.2">
      <c r="R49439" s="1288"/>
    </row>
    <row r="49440" spans="18:18" s="2" customFormat="1" ht="12.75" x14ac:dyDescent="0.2">
      <c r="R49440" s="1288"/>
    </row>
    <row r="49441" spans="18:18" s="2" customFormat="1" ht="12.75" x14ac:dyDescent="0.2">
      <c r="R49441" s="1288"/>
    </row>
    <row r="49442" spans="18:18" s="2" customFormat="1" ht="12.75" x14ac:dyDescent="0.2">
      <c r="R49442" s="1288"/>
    </row>
    <row r="49443" spans="18:18" s="2" customFormat="1" ht="12.75" x14ac:dyDescent="0.2">
      <c r="R49443" s="1288"/>
    </row>
    <row r="49444" spans="18:18" s="2" customFormat="1" ht="12.75" x14ac:dyDescent="0.2">
      <c r="R49444" s="1288"/>
    </row>
    <row r="49445" spans="18:18" s="2" customFormat="1" ht="12.75" x14ac:dyDescent="0.2">
      <c r="R49445" s="1288"/>
    </row>
    <row r="49446" spans="18:18" s="2" customFormat="1" ht="12.75" x14ac:dyDescent="0.2">
      <c r="R49446" s="1288"/>
    </row>
    <row r="49447" spans="18:18" s="2" customFormat="1" ht="12.75" x14ac:dyDescent="0.2">
      <c r="R49447" s="1288"/>
    </row>
    <row r="49448" spans="18:18" s="2" customFormat="1" ht="12.75" x14ac:dyDescent="0.2">
      <c r="R49448" s="1288"/>
    </row>
    <row r="49449" spans="18:18" s="2" customFormat="1" ht="12.75" x14ac:dyDescent="0.2">
      <c r="R49449" s="1288"/>
    </row>
    <row r="49450" spans="18:18" s="2" customFormat="1" ht="12.75" x14ac:dyDescent="0.2">
      <c r="R49450" s="1288"/>
    </row>
    <row r="49451" spans="18:18" s="2" customFormat="1" ht="12.75" x14ac:dyDescent="0.2">
      <c r="R49451" s="1288"/>
    </row>
    <row r="49452" spans="18:18" s="2" customFormat="1" ht="12.75" x14ac:dyDescent="0.2">
      <c r="R49452" s="1288"/>
    </row>
    <row r="49453" spans="18:18" s="2" customFormat="1" ht="12.75" x14ac:dyDescent="0.2">
      <c r="R49453" s="1288"/>
    </row>
    <row r="49454" spans="18:18" s="2" customFormat="1" ht="12.75" x14ac:dyDescent="0.2">
      <c r="R49454" s="1288"/>
    </row>
    <row r="49455" spans="18:18" s="2" customFormat="1" ht="12.75" x14ac:dyDescent="0.2">
      <c r="R49455" s="1288"/>
    </row>
    <row r="49456" spans="18:18" s="2" customFormat="1" ht="12.75" x14ac:dyDescent="0.2">
      <c r="R49456" s="1288"/>
    </row>
    <row r="49457" spans="18:18" s="2" customFormat="1" ht="12.75" x14ac:dyDescent="0.2">
      <c r="R49457" s="1288"/>
    </row>
    <row r="49458" spans="18:18" s="2" customFormat="1" ht="12.75" x14ac:dyDescent="0.2">
      <c r="R49458" s="1288"/>
    </row>
    <row r="49459" spans="18:18" s="2" customFormat="1" ht="12.75" x14ac:dyDescent="0.2">
      <c r="R49459" s="1288"/>
    </row>
    <row r="49460" spans="18:18" s="2" customFormat="1" ht="12.75" x14ac:dyDescent="0.2">
      <c r="R49460" s="1288"/>
    </row>
    <row r="49461" spans="18:18" s="2" customFormat="1" ht="12.75" x14ac:dyDescent="0.2">
      <c r="R49461" s="1288"/>
    </row>
    <row r="49462" spans="18:18" s="2" customFormat="1" ht="12.75" x14ac:dyDescent="0.2">
      <c r="R49462" s="1288"/>
    </row>
    <row r="49463" spans="18:18" s="2" customFormat="1" ht="12.75" x14ac:dyDescent="0.2">
      <c r="R49463" s="1288"/>
    </row>
    <row r="49464" spans="18:18" s="2" customFormat="1" ht="12.75" x14ac:dyDescent="0.2">
      <c r="R49464" s="1288"/>
    </row>
    <row r="49465" spans="18:18" s="2" customFormat="1" ht="12.75" x14ac:dyDescent="0.2">
      <c r="R49465" s="1288"/>
    </row>
    <row r="49466" spans="18:18" s="2" customFormat="1" ht="12.75" x14ac:dyDescent="0.2">
      <c r="R49466" s="1288"/>
    </row>
    <row r="49467" spans="18:18" s="2" customFormat="1" ht="12.75" x14ac:dyDescent="0.2">
      <c r="R49467" s="1288"/>
    </row>
    <row r="49468" spans="18:18" s="2" customFormat="1" ht="12.75" x14ac:dyDescent="0.2">
      <c r="R49468" s="1288"/>
    </row>
    <row r="49469" spans="18:18" s="2" customFormat="1" ht="12.75" x14ac:dyDescent="0.2">
      <c r="R49469" s="1288"/>
    </row>
    <row r="49470" spans="18:18" s="2" customFormat="1" ht="12.75" x14ac:dyDescent="0.2">
      <c r="R49470" s="1288"/>
    </row>
    <row r="49471" spans="18:18" s="2" customFormat="1" ht="12.75" x14ac:dyDescent="0.2">
      <c r="R49471" s="1288"/>
    </row>
    <row r="49472" spans="18:18" s="2" customFormat="1" ht="12.75" x14ac:dyDescent="0.2">
      <c r="R49472" s="1288"/>
    </row>
    <row r="49473" spans="18:18" s="2" customFormat="1" ht="12.75" x14ac:dyDescent="0.2">
      <c r="R49473" s="1288"/>
    </row>
    <row r="49474" spans="18:18" s="2" customFormat="1" ht="12.75" x14ac:dyDescent="0.2">
      <c r="R49474" s="1288"/>
    </row>
    <row r="49475" spans="18:18" s="2" customFormat="1" ht="12.75" x14ac:dyDescent="0.2">
      <c r="R49475" s="1288"/>
    </row>
    <row r="49476" spans="18:18" s="2" customFormat="1" ht="12.75" x14ac:dyDescent="0.2">
      <c r="R49476" s="1288"/>
    </row>
    <row r="49477" spans="18:18" s="2" customFormat="1" ht="12.75" x14ac:dyDescent="0.2">
      <c r="R49477" s="1288"/>
    </row>
    <row r="49478" spans="18:18" s="2" customFormat="1" ht="12.75" x14ac:dyDescent="0.2">
      <c r="R49478" s="1288"/>
    </row>
    <row r="49479" spans="18:18" s="2" customFormat="1" ht="12.75" x14ac:dyDescent="0.2">
      <c r="R49479" s="1288"/>
    </row>
    <row r="49480" spans="18:18" s="2" customFormat="1" ht="12.75" x14ac:dyDescent="0.2">
      <c r="R49480" s="1288"/>
    </row>
    <row r="49481" spans="18:18" s="2" customFormat="1" ht="12.75" x14ac:dyDescent="0.2">
      <c r="R49481" s="1288"/>
    </row>
    <row r="49482" spans="18:18" s="2" customFormat="1" ht="12.75" x14ac:dyDescent="0.2">
      <c r="R49482" s="1288"/>
    </row>
    <row r="49483" spans="18:18" s="2" customFormat="1" ht="12.75" x14ac:dyDescent="0.2">
      <c r="R49483" s="1288"/>
    </row>
    <row r="49484" spans="18:18" s="2" customFormat="1" ht="12.75" x14ac:dyDescent="0.2">
      <c r="R49484" s="1288"/>
    </row>
    <row r="49485" spans="18:18" s="2" customFormat="1" ht="12.75" x14ac:dyDescent="0.2">
      <c r="R49485" s="1288"/>
    </row>
    <row r="49486" spans="18:18" s="2" customFormat="1" ht="12.75" x14ac:dyDescent="0.2">
      <c r="R49486" s="1288"/>
    </row>
    <row r="49487" spans="18:18" s="2" customFormat="1" ht="12.75" x14ac:dyDescent="0.2">
      <c r="R49487" s="1288"/>
    </row>
    <row r="49488" spans="18:18" s="2" customFormat="1" ht="12.75" x14ac:dyDescent="0.2">
      <c r="R49488" s="1288"/>
    </row>
    <row r="49489" spans="18:18" s="2" customFormat="1" ht="12.75" x14ac:dyDescent="0.2">
      <c r="R49489" s="1288"/>
    </row>
    <row r="49490" spans="18:18" s="2" customFormat="1" ht="12.75" x14ac:dyDescent="0.2">
      <c r="R49490" s="1288"/>
    </row>
    <row r="49491" spans="18:18" s="2" customFormat="1" ht="12.75" x14ac:dyDescent="0.2">
      <c r="R49491" s="1288"/>
    </row>
    <row r="49492" spans="18:18" s="2" customFormat="1" ht="12.75" x14ac:dyDescent="0.2">
      <c r="R49492" s="1288"/>
    </row>
    <row r="49493" spans="18:18" s="2" customFormat="1" ht="12.75" x14ac:dyDescent="0.2">
      <c r="R49493" s="1288"/>
    </row>
    <row r="49494" spans="18:18" s="2" customFormat="1" ht="12.75" x14ac:dyDescent="0.2">
      <c r="R49494" s="1288"/>
    </row>
    <row r="49495" spans="18:18" s="2" customFormat="1" ht="12.75" x14ac:dyDescent="0.2">
      <c r="R49495" s="1288"/>
    </row>
    <row r="49496" spans="18:18" s="2" customFormat="1" ht="12.75" x14ac:dyDescent="0.2">
      <c r="R49496" s="1288"/>
    </row>
    <row r="49497" spans="18:18" s="2" customFormat="1" ht="12.75" x14ac:dyDescent="0.2">
      <c r="R49497" s="1288"/>
    </row>
    <row r="49498" spans="18:18" s="2" customFormat="1" ht="12.75" x14ac:dyDescent="0.2">
      <c r="R49498" s="1288"/>
    </row>
    <row r="49499" spans="18:18" s="2" customFormat="1" ht="12.75" x14ac:dyDescent="0.2">
      <c r="R49499" s="1288"/>
    </row>
    <row r="49500" spans="18:18" s="2" customFormat="1" ht="12.75" x14ac:dyDescent="0.2">
      <c r="R49500" s="1288"/>
    </row>
    <row r="49501" spans="18:18" s="2" customFormat="1" ht="12.75" x14ac:dyDescent="0.2">
      <c r="R49501" s="1288"/>
    </row>
    <row r="49502" spans="18:18" s="2" customFormat="1" ht="12.75" x14ac:dyDescent="0.2">
      <c r="R49502" s="1288"/>
    </row>
    <row r="49503" spans="18:18" s="2" customFormat="1" ht="12.75" x14ac:dyDescent="0.2">
      <c r="R49503" s="1288"/>
    </row>
    <row r="49504" spans="18:18" s="2" customFormat="1" ht="12.75" x14ac:dyDescent="0.2">
      <c r="R49504" s="1288"/>
    </row>
    <row r="49505" spans="18:18" s="2" customFormat="1" ht="12.75" x14ac:dyDescent="0.2">
      <c r="R49505" s="1288"/>
    </row>
    <row r="49506" spans="18:18" s="2" customFormat="1" ht="12.75" x14ac:dyDescent="0.2">
      <c r="R49506" s="1288"/>
    </row>
    <row r="49507" spans="18:18" s="2" customFormat="1" ht="12.75" x14ac:dyDescent="0.2">
      <c r="R49507" s="1288"/>
    </row>
    <row r="49508" spans="18:18" s="2" customFormat="1" ht="12.75" x14ac:dyDescent="0.2">
      <c r="R49508" s="1288"/>
    </row>
    <row r="49509" spans="18:18" s="2" customFormat="1" ht="12.75" x14ac:dyDescent="0.2">
      <c r="R49509" s="1288"/>
    </row>
    <row r="49510" spans="18:18" s="2" customFormat="1" ht="12.75" x14ac:dyDescent="0.2">
      <c r="R49510" s="1288"/>
    </row>
    <row r="49511" spans="18:18" s="2" customFormat="1" ht="12.75" x14ac:dyDescent="0.2">
      <c r="R49511" s="1288"/>
    </row>
    <row r="49512" spans="18:18" s="2" customFormat="1" ht="12.75" x14ac:dyDescent="0.2">
      <c r="R49512" s="1288"/>
    </row>
    <row r="49513" spans="18:18" s="2" customFormat="1" ht="12.75" x14ac:dyDescent="0.2">
      <c r="R49513" s="1288"/>
    </row>
    <row r="49514" spans="18:18" s="2" customFormat="1" ht="12.75" x14ac:dyDescent="0.2">
      <c r="R49514" s="1288"/>
    </row>
    <row r="49515" spans="18:18" s="2" customFormat="1" ht="12.75" x14ac:dyDescent="0.2">
      <c r="R49515" s="1288"/>
    </row>
    <row r="49516" spans="18:18" s="2" customFormat="1" ht="12.75" x14ac:dyDescent="0.2">
      <c r="R49516" s="1288"/>
    </row>
    <row r="49517" spans="18:18" s="2" customFormat="1" ht="12.75" x14ac:dyDescent="0.2">
      <c r="R49517" s="1288"/>
    </row>
    <row r="49518" spans="18:18" s="2" customFormat="1" ht="12.75" x14ac:dyDescent="0.2">
      <c r="R49518" s="1288"/>
    </row>
    <row r="49519" spans="18:18" s="2" customFormat="1" ht="12.75" x14ac:dyDescent="0.2">
      <c r="R49519" s="1288"/>
    </row>
    <row r="49520" spans="18:18" s="2" customFormat="1" ht="12.75" x14ac:dyDescent="0.2">
      <c r="R49520" s="1288"/>
    </row>
    <row r="49521" spans="18:18" s="2" customFormat="1" ht="12.75" x14ac:dyDescent="0.2">
      <c r="R49521" s="1288"/>
    </row>
    <row r="49522" spans="18:18" s="2" customFormat="1" ht="12.75" x14ac:dyDescent="0.2">
      <c r="R49522" s="1288"/>
    </row>
    <row r="49523" spans="18:18" s="2" customFormat="1" ht="12.75" x14ac:dyDescent="0.2">
      <c r="R49523" s="1288"/>
    </row>
    <row r="49524" spans="18:18" s="2" customFormat="1" ht="12.75" x14ac:dyDescent="0.2">
      <c r="R49524" s="1288"/>
    </row>
    <row r="49525" spans="18:18" s="2" customFormat="1" ht="12.75" x14ac:dyDescent="0.2">
      <c r="R49525" s="1288"/>
    </row>
    <row r="49526" spans="18:18" s="2" customFormat="1" ht="12.75" x14ac:dyDescent="0.2">
      <c r="R49526" s="1288"/>
    </row>
    <row r="49527" spans="18:18" s="2" customFormat="1" ht="12.75" x14ac:dyDescent="0.2">
      <c r="R49527" s="1288"/>
    </row>
    <row r="49528" spans="18:18" s="2" customFormat="1" ht="12.75" x14ac:dyDescent="0.2">
      <c r="R49528" s="1288"/>
    </row>
    <row r="49529" spans="18:18" s="2" customFormat="1" ht="12.75" x14ac:dyDescent="0.2">
      <c r="R49529" s="1288"/>
    </row>
    <row r="49530" spans="18:18" s="2" customFormat="1" ht="12.75" x14ac:dyDescent="0.2">
      <c r="R49530" s="1288"/>
    </row>
    <row r="49531" spans="18:18" s="2" customFormat="1" ht="12.75" x14ac:dyDescent="0.2">
      <c r="R49531" s="1288"/>
    </row>
    <row r="49532" spans="18:18" s="2" customFormat="1" ht="12.75" x14ac:dyDescent="0.2">
      <c r="R49532" s="1288"/>
    </row>
    <row r="49533" spans="18:18" s="2" customFormat="1" ht="12.75" x14ac:dyDescent="0.2">
      <c r="R49533" s="1288"/>
    </row>
    <row r="49534" spans="18:18" s="2" customFormat="1" ht="12.75" x14ac:dyDescent="0.2">
      <c r="R49534" s="1288"/>
    </row>
    <row r="49535" spans="18:18" s="2" customFormat="1" ht="12.75" x14ac:dyDescent="0.2">
      <c r="R49535" s="1288"/>
    </row>
    <row r="49536" spans="18:18" s="2" customFormat="1" ht="12.75" x14ac:dyDescent="0.2">
      <c r="R49536" s="1288"/>
    </row>
    <row r="49537" spans="18:18" s="2" customFormat="1" ht="12.75" x14ac:dyDescent="0.2">
      <c r="R49537" s="1288"/>
    </row>
    <row r="49538" spans="18:18" s="2" customFormat="1" ht="12.75" x14ac:dyDescent="0.2">
      <c r="R49538" s="1288"/>
    </row>
    <row r="49539" spans="18:18" s="2" customFormat="1" ht="12.75" x14ac:dyDescent="0.2">
      <c r="R49539" s="1288"/>
    </row>
    <row r="49540" spans="18:18" s="2" customFormat="1" ht="12.75" x14ac:dyDescent="0.2">
      <c r="R49540" s="1288"/>
    </row>
    <row r="49541" spans="18:18" s="2" customFormat="1" ht="12.75" x14ac:dyDescent="0.2">
      <c r="R49541" s="1288"/>
    </row>
    <row r="49542" spans="18:18" s="2" customFormat="1" ht="12.75" x14ac:dyDescent="0.2">
      <c r="R49542" s="1288"/>
    </row>
    <row r="49543" spans="18:18" s="2" customFormat="1" ht="12.75" x14ac:dyDescent="0.2">
      <c r="R49543" s="1288"/>
    </row>
    <row r="49544" spans="18:18" s="2" customFormat="1" ht="12.75" x14ac:dyDescent="0.2">
      <c r="R49544" s="1288"/>
    </row>
    <row r="49545" spans="18:18" s="2" customFormat="1" ht="12.75" x14ac:dyDescent="0.2">
      <c r="R49545" s="1288"/>
    </row>
    <row r="49546" spans="18:18" s="2" customFormat="1" ht="12.75" x14ac:dyDescent="0.2">
      <c r="R49546" s="1288"/>
    </row>
    <row r="49547" spans="18:18" s="2" customFormat="1" ht="12.75" x14ac:dyDescent="0.2">
      <c r="R49547" s="1288"/>
    </row>
    <row r="49548" spans="18:18" s="2" customFormat="1" ht="12.75" x14ac:dyDescent="0.2">
      <c r="R49548" s="1288"/>
    </row>
    <row r="49549" spans="18:18" s="2" customFormat="1" ht="12.75" x14ac:dyDescent="0.2">
      <c r="R49549" s="1288"/>
    </row>
    <row r="49550" spans="18:18" s="2" customFormat="1" ht="12.75" x14ac:dyDescent="0.2">
      <c r="R49550" s="1288"/>
    </row>
    <row r="49551" spans="18:18" s="2" customFormat="1" ht="12.75" x14ac:dyDescent="0.2">
      <c r="R49551" s="1288"/>
    </row>
    <row r="49552" spans="18:18" s="2" customFormat="1" ht="12.75" x14ac:dyDescent="0.2">
      <c r="R49552" s="1288"/>
    </row>
    <row r="49553" spans="18:18" s="2" customFormat="1" ht="12.75" x14ac:dyDescent="0.2">
      <c r="R49553" s="1288"/>
    </row>
    <row r="49554" spans="18:18" s="2" customFormat="1" ht="12.75" x14ac:dyDescent="0.2">
      <c r="R49554" s="1288"/>
    </row>
    <row r="49555" spans="18:18" s="2" customFormat="1" ht="12.75" x14ac:dyDescent="0.2">
      <c r="R49555" s="1288"/>
    </row>
    <row r="49556" spans="18:18" s="2" customFormat="1" ht="12.75" x14ac:dyDescent="0.2">
      <c r="R49556" s="1288"/>
    </row>
    <row r="49557" spans="18:18" s="2" customFormat="1" ht="12.75" x14ac:dyDescent="0.2">
      <c r="R49557" s="1288"/>
    </row>
    <row r="49558" spans="18:18" s="2" customFormat="1" ht="12.75" x14ac:dyDescent="0.2">
      <c r="R49558" s="1288"/>
    </row>
    <row r="49559" spans="18:18" s="2" customFormat="1" ht="12.75" x14ac:dyDescent="0.2">
      <c r="R49559" s="1288"/>
    </row>
    <row r="49560" spans="18:18" s="2" customFormat="1" ht="12.75" x14ac:dyDescent="0.2">
      <c r="R49560" s="1288"/>
    </row>
    <row r="49561" spans="18:18" s="2" customFormat="1" ht="12.75" x14ac:dyDescent="0.2">
      <c r="R49561" s="1288"/>
    </row>
    <row r="49562" spans="18:18" s="2" customFormat="1" ht="12.75" x14ac:dyDescent="0.2">
      <c r="R49562" s="1288"/>
    </row>
    <row r="49563" spans="18:18" s="2" customFormat="1" ht="12.75" x14ac:dyDescent="0.2">
      <c r="R49563" s="1288"/>
    </row>
    <row r="49564" spans="18:18" s="2" customFormat="1" ht="12.75" x14ac:dyDescent="0.2">
      <c r="R49564" s="1288"/>
    </row>
    <row r="49565" spans="18:18" s="2" customFormat="1" ht="12.75" x14ac:dyDescent="0.2">
      <c r="R49565" s="1288"/>
    </row>
    <row r="49566" spans="18:18" s="2" customFormat="1" ht="12.75" x14ac:dyDescent="0.2">
      <c r="R49566" s="1288"/>
    </row>
    <row r="49567" spans="18:18" s="2" customFormat="1" ht="12.75" x14ac:dyDescent="0.2">
      <c r="R49567" s="1288"/>
    </row>
    <row r="49568" spans="18:18" s="2" customFormat="1" ht="12.75" x14ac:dyDescent="0.2">
      <c r="R49568" s="1288"/>
    </row>
    <row r="49569" spans="18:18" s="2" customFormat="1" ht="12.75" x14ac:dyDescent="0.2">
      <c r="R49569" s="1288"/>
    </row>
    <row r="49570" spans="18:18" s="2" customFormat="1" ht="12.75" x14ac:dyDescent="0.2">
      <c r="R49570" s="1288"/>
    </row>
    <row r="49571" spans="18:18" s="2" customFormat="1" ht="12.75" x14ac:dyDescent="0.2">
      <c r="R49571" s="1288"/>
    </row>
    <row r="49572" spans="18:18" s="2" customFormat="1" ht="12.75" x14ac:dyDescent="0.2">
      <c r="R49572" s="1288"/>
    </row>
    <row r="49573" spans="18:18" s="2" customFormat="1" ht="12.75" x14ac:dyDescent="0.2">
      <c r="R49573" s="1288"/>
    </row>
    <row r="49574" spans="18:18" s="2" customFormat="1" ht="12.75" x14ac:dyDescent="0.2">
      <c r="R49574" s="1288"/>
    </row>
    <row r="49575" spans="18:18" s="2" customFormat="1" ht="12.75" x14ac:dyDescent="0.2">
      <c r="R49575" s="1288"/>
    </row>
    <row r="49576" spans="18:18" s="2" customFormat="1" ht="12.75" x14ac:dyDescent="0.2">
      <c r="R49576" s="1288"/>
    </row>
    <row r="49577" spans="18:18" s="2" customFormat="1" ht="12.75" x14ac:dyDescent="0.2">
      <c r="R49577" s="1288"/>
    </row>
    <row r="49578" spans="18:18" s="2" customFormat="1" ht="12.75" x14ac:dyDescent="0.2">
      <c r="R49578" s="1288"/>
    </row>
    <row r="49579" spans="18:18" s="2" customFormat="1" ht="12.75" x14ac:dyDescent="0.2">
      <c r="R49579" s="1288"/>
    </row>
    <row r="49580" spans="18:18" s="2" customFormat="1" ht="12.75" x14ac:dyDescent="0.2">
      <c r="R49580" s="1288"/>
    </row>
    <row r="49581" spans="18:18" s="2" customFormat="1" ht="12.75" x14ac:dyDescent="0.2">
      <c r="R49581" s="1288"/>
    </row>
    <row r="49582" spans="18:18" s="2" customFormat="1" ht="12.75" x14ac:dyDescent="0.2">
      <c r="R49582" s="1288"/>
    </row>
    <row r="49583" spans="18:18" s="2" customFormat="1" ht="12.75" x14ac:dyDescent="0.2">
      <c r="R49583" s="1288"/>
    </row>
    <row r="49584" spans="18:18" s="2" customFormat="1" ht="12.75" x14ac:dyDescent="0.2">
      <c r="R49584" s="1288"/>
    </row>
    <row r="49585" spans="18:18" s="2" customFormat="1" ht="12.75" x14ac:dyDescent="0.2">
      <c r="R49585" s="1288"/>
    </row>
    <row r="49586" spans="18:18" s="2" customFormat="1" ht="12.75" x14ac:dyDescent="0.2">
      <c r="R49586" s="1288"/>
    </row>
    <row r="49587" spans="18:18" s="2" customFormat="1" ht="12.75" x14ac:dyDescent="0.2">
      <c r="R49587" s="1288"/>
    </row>
    <row r="49588" spans="18:18" s="2" customFormat="1" ht="12.75" x14ac:dyDescent="0.2">
      <c r="R49588" s="1288"/>
    </row>
    <row r="49589" spans="18:18" s="2" customFormat="1" ht="12.75" x14ac:dyDescent="0.2">
      <c r="R49589" s="1288"/>
    </row>
    <row r="49590" spans="18:18" s="2" customFormat="1" ht="12.75" x14ac:dyDescent="0.2">
      <c r="R49590" s="1288"/>
    </row>
    <row r="49591" spans="18:18" s="2" customFormat="1" ht="12.75" x14ac:dyDescent="0.2">
      <c r="R49591" s="1288"/>
    </row>
    <row r="49592" spans="18:18" s="2" customFormat="1" ht="12.75" x14ac:dyDescent="0.2">
      <c r="R49592" s="1288"/>
    </row>
    <row r="49593" spans="18:18" s="2" customFormat="1" ht="12.75" x14ac:dyDescent="0.2">
      <c r="R49593" s="1288"/>
    </row>
    <row r="49594" spans="18:18" s="2" customFormat="1" ht="12.75" x14ac:dyDescent="0.2">
      <c r="R49594" s="1288"/>
    </row>
    <row r="49595" spans="18:18" s="2" customFormat="1" ht="12.75" x14ac:dyDescent="0.2">
      <c r="R49595" s="1288"/>
    </row>
    <row r="49596" spans="18:18" s="2" customFormat="1" ht="12.75" x14ac:dyDescent="0.2">
      <c r="R49596" s="1288"/>
    </row>
    <row r="49597" spans="18:18" s="2" customFormat="1" ht="12.75" x14ac:dyDescent="0.2">
      <c r="R49597" s="1288"/>
    </row>
    <row r="49598" spans="18:18" s="2" customFormat="1" ht="12.75" x14ac:dyDescent="0.2">
      <c r="R49598" s="1288"/>
    </row>
    <row r="49599" spans="18:18" s="2" customFormat="1" ht="12.75" x14ac:dyDescent="0.2">
      <c r="R49599" s="1288"/>
    </row>
    <row r="49600" spans="18:18" s="2" customFormat="1" ht="12.75" x14ac:dyDescent="0.2">
      <c r="R49600" s="1288"/>
    </row>
    <row r="49601" spans="18:18" s="2" customFormat="1" ht="12.75" x14ac:dyDescent="0.2">
      <c r="R49601" s="1288"/>
    </row>
    <row r="49602" spans="18:18" s="2" customFormat="1" ht="12.75" x14ac:dyDescent="0.2">
      <c r="R49602" s="1288"/>
    </row>
    <row r="49603" spans="18:18" s="2" customFormat="1" ht="12.75" x14ac:dyDescent="0.2">
      <c r="R49603" s="1288"/>
    </row>
    <row r="49604" spans="18:18" s="2" customFormat="1" ht="12.75" x14ac:dyDescent="0.2">
      <c r="R49604" s="1288"/>
    </row>
    <row r="49605" spans="18:18" s="2" customFormat="1" ht="12.75" x14ac:dyDescent="0.2">
      <c r="R49605" s="1288"/>
    </row>
    <row r="49606" spans="18:18" s="2" customFormat="1" ht="12.75" x14ac:dyDescent="0.2">
      <c r="R49606" s="1288"/>
    </row>
    <row r="49607" spans="18:18" s="2" customFormat="1" ht="12.75" x14ac:dyDescent="0.2">
      <c r="R49607" s="1288"/>
    </row>
    <row r="49608" spans="18:18" s="2" customFormat="1" ht="12.75" x14ac:dyDescent="0.2">
      <c r="R49608" s="1288"/>
    </row>
    <row r="49609" spans="18:18" s="2" customFormat="1" ht="12.75" x14ac:dyDescent="0.2">
      <c r="R49609" s="1288"/>
    </row>
    <row r="49610" spans="18:18" s="2" customFormat="1" ht="12.75" x14ac:dyDescent="0.2">
      <c r="R49610" s="1288"/>
    </row>
    <row r="49611" spans="18:18" s="2" customFormat="1" ht="12.75" x14ac:dyDescent="0.2">
      <c r="R49611" s="1288"/>
    </row>
    <row r="49612" spans="18:18" s="2" customFormat="1" ht="12.75" x14ac:dyDescent="0.2">
      <c r="R49612" s="1288"/>
    </row>
    <row r="49613" spans="18:18" s="2" customFormat="1" ht="12.75" x14ac:dyDescent="0.2">
      <c r="R49613" s="1288"/>
    </row>
    <row r="49614" spans="18:18" s="2" customFormat="1" ht="12.75" x14ac:dyDescent="0.2">
      <c r="R49614" s="1288"/>
    </row>
    <row r="49615" spans="18:18" s="2" customFormat="1" ht="12.75" x14ac:dyDescent="0.2">
      <c r="R49615" s="1288"/>
    </row>
    <row r="49616" spans="18:18" s="2" customFormat="1" ht="12.75" x14ac:dyDescent="0.2">
      <c r="R49616" s="1288"/>
    </row>
    <row r="49617" spans="18:18" s="2" customFormat="1" ht="12.75" x14ac:dyDescent="0.2">
      <c r="R49617" s="1288"/>
    </row>
    <row r="49618" spans="18:18" s="2" customFormat="1" ht="12.75" x14ac:dyDescent="0.2">
      <c r="R49618" s="1288"/>
    </row>
    <row r="49619" spans="18:18" s="2" customFormat="1" ht="12.75" x14ac:dyDescent="0.2">
      <c r="R49619" s="1288"/>
    </row>
    <row r="49620" spans="18:18" s="2" customFormat="1" ht="12.75" x14ac:dyDescent="0.2">
      <c r="R49620" s="1288"/>
    </row>
    <row r="49621" spans="18:18" s="2" customFormat="1" ht="12.75" x14ac:dyDescent="0.2">
      <c r="R49621" s="1288"/>
    </row>
    <row r="49622" spans="18:18" s="2" customFormat="1" ht="12.75" x14ac:dyDescent="0.2">
      <c r="R49622" s="1288"/>
    </row>
    <row r="49623" spans="18:18" s="2" customFormat="1" ht="12.75" x14ac:dyDescent="0.2">
      <c r="R49623" s="1288"/>
    </row>
    <row r="49624" spans="18:18" s="2" customFormat="1" ht="12.75" x14ac:dyDescent="0.2">
      <c r="R49624" s="1288"/>
    </row>
    <row r="49625" spans="18:18" s="2" customFormat="1" ht="12.75" x14ac:dyDescent="0.2">
      <c r="R49625" s="1288"/>
    </row>
    <row r="49626" spans="18:18" s="2" customFormat="1" ht="12.75" x14ac:dyDescent="0.2">
      <c r="R49626" s="1288"/>
    </row>
    <row r="49627" spans="18:18" s="2" customFormat="1" ht="12.75" x14ac:dyDescent="0.2">
      <c r="R49627" s="1288"/>
    </row>
    <row r="49628" spans="18:18" s="2" customFormat="1" ht="12.75" x14ac:dyDescent="0.2">
      <c r="R49628" s="1288"/>
    </row>
    <row r="49629" spans="18:18" s="2" customFormat="1" ht="12.75" x14ac:dyDescent="0.2">
      <c r="R49629" s="1288"/>
    </row>
    <row r="49630" spans="18:18" s="2" customFormat="1" ht="12.75" x14ac:dyDescent="0.2">
      <c r="R49630" s="1288"/>
    </row>
    <row r="49631" spans="18:18" s="2" customFormat="1" ht="12.75" x14ac:dyDescent="0.2">
      <c r="R49631" s="1288"/>
    </row>
    <row r="49632" spans="18:18" s="2" customFormat="1" ht="12.75" x14ac:dyDescent="0.2">
      <c r="R49632" s="1288"/>
    </row>
    <row r="49633" spans="18:18" s="2" customFormat="1" ht="12.75" x14ac:dyDescent="0.2">
      <c r="R49633" s="1288"/>
    </row>
    <row r="49634" spans="18:18" s="2" customFormat="1" ht="12.75" x14ac:dyDescent="0.2">
      <c r="R49634" s="1288"/>
    </row>
    <row r="49635" spans="18:18" s="2" customFormat="1" ht="12.75" x14ac:dyDescent="0.2">
      <c r="R49635" s="1288"/>
    </row>
    <row r="49636" spans="18:18" s="2" customFormat="1" ht="12.75" x14ac:dyDescent="0.2">
      <c r="R49636" s="1288"/>
    </row>
    <row r="49637" spans="18:18" s="2" customFormat="1" ht="12.75" x14ac:dyDescent="0.2">
      <c r="R49637" s="1288"/>
    </row>
    <row r="49638" spans="18:18" s="2" customFormat="1" ht="12.75" x14ac:dyDescent="0.2">
      <c r="R49638" s="1288"/>
    </row>
    <row r="49639" spans="18:18" s="2" customFormat="1" ht="12.75" x14ac:dyDescent="0.2">
      <c r="R49639" s="1288"/>
    </row>
    <row r="49640" spans="18:18" s="2" customFormat="1" ht="12.75" x14ac:dyDescent="0.2">
      <c r="R49640" s="1288"/>
    </row>
    <row r="49641" spans="18:18" s="2" customFormat="1" ht="12.75" x14ac:dyDescent="0.2">
      <c r="R49641" s="1288"/>
    </row>
    <row r="49642" spans="18:18" s="2" customFormat="1" ht="12.75" x14ac:dyDescent="0.2">
      <c r="R49642" s="1288"/>
    </row>
    <row r="49643" spans="18:18" s="2" customFormat="1" ht="12.75" x14ac:dyDescent="0.2">
      <c r="R49643" s="1288"/>
    </row>
    <row r="49644" spans="18:18" s="2" customFormat="1" ht="12.75" x14ac:dyDescent="0.2">
      <c r="R49644" s="1288"/>
    </row>
    <row r="49645" spans="18:18" s="2" customFormat="1" ht="12.75" x14ac:dyDescent="0.2">
      <c r="R49645" s="1288"/>
    </row>
    <row r="49646" spans="18:18" s="2" customFormat="1" ht="12.75" x14ac:dyDescent="0.2">
      <c r="R49646" s="1288"/>
    </row>
    <row r="49647" spans="18:18" s="2" customFormat="1" ht="12.75" x14ac:dyDescent="0.2">
      <c r="R49647" s="1288"/>
    </row>
    <row r="49648" spans="18:18" s="2" customFormat="1" ht="12.75" x14ac:dyDescent="0.2">
      <c r="R49648" s="1288"/>
    </row>
    <row r="49649" spans="18:18" s="2" customFormat="1" ht="12.75" x14ac:dyDescent="0.2">
      <c r="R49649" s="1288"/>
    </row>
    <row r="49650" spans="18:18" s="2" customFormat="1" ht="12.75" x14ac:dyDescent="0.2">
      <c r="R49650" s="1288"/>
    </row>
    <row r="49651" spans="18:18" s="2" customFormat="1" ht="12.75" x14ac:dyDescent="0.2">
      <c r="R49651" s="1288"/>
    </row>
    <row r="49652" spans="18:18" s="2" customFormat="1" ht="12.75" x14ac:dyDescent="0.2">
      <c r="R49652" s="1288"/>
    </row>
    <row r="49653" spans="18:18" s="2" customFormat="1" ht="12.75" x14ac:dyDescent="0.2">
      <c r="R49653" s="1288"/>
    </row>
    <row r="49654" spans="18:18" s="2" customFormat="1" ht="12.75" x14ac:dyDescent="0.2">
      <c r="R49654" s="1288"/>
    </row>
    <row r="49655" spans="18:18" s="2" customFormat="1" ht="12.75" x14ac:dyDescent="0.2">
      <c r="R49655" s="1288"/>
    </row>
    <row r="49656" spans="18:18" s="2" customFormat="1" ht="12.75" x14ac:dyDescent="0.2">
      <c r="R49656" s="1288"/>
    </row>
    <row r="49657" spans="18:18" s="2" customFormat="1" ht="12.75" x14ac:dyDescent="0.2">
      <c r="R49657" s="1288"/>
    </row>
    <row r="49658" spans="18:18" s="2" customFormat="1" ht="12.75" x14ac:dyDescent="0.2">
      <c r="R49658" s="1288"/>
    </row>
    <row r="49659" spans="18:18" s="2" customFormat="1" ht="12.75" x14ac:dyDescent="0.2">
      <c r="R49659" s="1288"/>
    </row>
    <row r="49660" spans="18:18" s="2" customFormat="1" ht="12.75" x14ac:dyDescent="0.2">
      <c r="R49660" s="1288"/>
    </row>
    <row r="49661" spans="18:18" s="2" customFormat="1" ht="12.75" x14ac:dyDescent="0.2">
      <c r="R49661" s="1288"/>
    </row>
    <row r="49662" spans="18:18" s="2" customFormat="1" ht="12.75" x14ac:dyDescent="0.2">
      <c r="R49662" s="1288"/>
    </row>
    <row r="49663" spans="18:18" s="2" customFormat="1" ht="12.75" x14ac:dyDescent="0.2">
      <c r="R49663" s="1288"/>
    </row>
    <row r="49664" spans="18:18" s="2" customFormat="1" ht="12.75" x14ac:dyDescent="0.2">
      <c r="R49664" s="1288"/>
    </row>
    <row r="49665" spans="18:18" s="2" customFormat="1" ht="12.75" x14ac:dyDescent="0.2">
      <c r="R49665" s="1288"/>
    </row>
    <row r="49666" spans="18:18" s="2" customFormat="1" ht="12.75" x14ac:dyDescent="0.2">
      <c r="R49666" s="1288"/>
    </row>
    <row r="49667" spans="18:18" s="2" customFormat="1" ht="12.75" x14ac:dyDescent="0.2">
      <c r="R49667" s="1288"/>
    </row>
    <row r="49668" spans="18:18" s="2" customFormat="1" ht="12.75" x14ac:dyDescent="0.2">
      <c r="R49668" s="1288"/>
    </row>
    <row r="49669" spans="18:18" s="2" customFormat="1" ht="12.75" x14ac:dyDescent="0.2">
      <c r="R49669" s="1288"/>
    </row>
    <row r="49670" spans="18:18" s="2" customFormat="1" ht="12.75" x14ac:dyDescent="0.2">
      <c r="R49670" s="1288"/>
    </row>
    <row r="49671" spans="18:18" s="2" customFormat="1" ht="12.75" x14ac:dyDescent="0.2">
      <c r="R49671" s="1288"/>
    </row>
    <row r="49672" spans="18:18" s="2" customFormat="1" ht="12.75" x14ac:dyDescent="0.2">
      <c r="R49672" s="1288"/>
    </row>
    <row r="49673" spans="18:18" s="2" customFormat="1" ht="12.75" x14ac:dyDescent="0.2">
      <c r="R49673" s="1288"/>
    </row>
    <row r="49674" spans="18:18" s="2" customFormat="1" ht="12.75" x14ac:dyDescent="0.2">
      <c r="R49674" s="1288"/>
    </row>
    <row r="49675" spans="18:18" s="2" customFormat="1" ht="12.75" x14ac:dyDescent="0.2">
      <c r="R49675" s="1288"/>
    </row>
    <row r="49676" spans="18:18" s="2" customFormat="1" ht="12.75" x14ac:dyDescent="0.2">
      <c r="R49676" s="1288"/>
    </row>
    <row r="49677" spans="18:18" s="2" customFormat="1" ht="12.75" x14ac:dyDescent="0.2">
      <c r="R49677" s="1288"/>
    </row>
    <row r="49678" spans="18:18" s="2" customFormat="1" ht="12.75" x14ac:dyDescent="0.2">
      <c r="R49678" s="1288"/>
    </row>
    <row r="49679" spans="18:18" s="2" customFormat="1" ht="12.75" x14ac:dyDescent="0.2">
      <c r="R49679" s="1288"/>
    </row>
    <row r="49680" spans="18:18" s="2" customFormat="1" ht="12.75" x14ac:dyDescent="0.2">
      <c r="R49680" s="1288"/>
    </row>
    <row r="49681" spans="18:18" s="2" customFormat="1" ht="12.75" x14ac:dyDescent="0.2">
      <c r="R49681" s="1288"/>
    </row>
    <row r="49682" spans="18:18" s="2" customFormat="1" ht="12.75" x14ac:dyDescent="0.2">
      <c r="R49682" s="1288"/>
    </row>
    <row r="49683" spans="18:18" s="2" customFormat="1" ht="12.75" x14ac:dyDescent="0.2">
      <c r="R49683" s="1288"/>
    </row>
    <row r="49684" spans="18:18" s="2" customFormat="1" ht="12.75" x14ac:dyDescent="0.2">
      <c r="R49684" s="1288"/>
    </row>
    <row r="49685" spans="18:18" s="2" customFormat="1" ht="12.75" x14ac:dyDescent="0.2">
      <c r="R49685" s="1288"/>
    </row>
    <row r="49686" spans="18:18" s="2" customFormat="1" ht="12.75" x14ac:dyDescent="0.2">
      <c r="R49686" s="1288"/>
    </row>
    <row r="49687" spans="18:18" s="2" customFormat="1" ht="12.75" x14ac:dyDescent="0.2">
      <c r="R49687" s="1288"/>
    </row>
    <row r="49688" spans="18:18" s="2" customFormat="1" ht="12.75" x14ac:dyDescent="0.2">
      <c r="R49688" s="1288"/>
    </row>
    <row r="49689" spans="18:18" s="2" customFormat="1" ht="12.75" x14ac:dyDescent="0.2">
      <c r="R49689" s="1288"/>
    </row>
    <row r="49690" spans="18:18" s="2" customFormat="1" ht="12.75" x14ac:dyDescent="0.2">
      <c r="R49690" s="1288"/>
    </row>
    <row r="49691" spans="18:18" s="2" customFormat="1" ht="12.75" x14ac:dyDescent="0.2">
      <c r="R49691" s="1288"/>
    </row>
    <row r="49692" spans="18:18" s="2" customFormat="1" ht="12.75" x14ac:dyDescent="0.2">
      <c r="R49692" s="1288"/>
    </row>
    <row r="49693" spans="18:18" s="2" customFormat="1" ht="12.75" x14ac:dyDescent="0.2">
      <c r="R49693" s="1288"/>
    </row>
    <row r="49694" spans="18:18" s="2" customFormat="1" ht="12.75" x14ac:dyDescent="0.2">
      <c r="R49694" s="1288"/>
    </row>
    <row r="49695" spans="18:18" s="2" customFormat="1" ht="12.75" x14ac:dyDescent="0.2">
      <c r="R49695" s="1288"/>
    </row>
    <row r="49696" spans="18:18" s="2" customFormat="1" ht="12.75" x14ac:dyDescent="0.2">
      <c r="R49696" s="1288"/>
    </row>
    <row r="49697" spans="18:18" s="2" customFormat="1" ht="12.75" x14ac:dyDescent="0.2">
      <c r="R49697" s="1288"/>
    </row>
    <row r="49698" spans="18:18" s="2" customFormat="1" ht="12.75" x14ac:dyDescent="0.2">
      <c r="R49698" s="1288"/>
    </row>
    <row r="49699" spans="18:18" s="2" customFormat="1" ht="12.75" x14ac:dyDescent="0.2">
      <c r="R49699" s="1288"/>
    </row>
    <row r="49700" spans="18:18" s="2" customFormat="1" ht="12.75" x14ac:dyDescent="0.2">
      <c r="R49700" s="1288"/>
    </row>
    <row r="49701" spans="18:18" s="2" customFormat="1" ht="12.75" x14ac:dyDescent="0.2">
      <c r="R49701" s="1288"/>
    </row>
    <row r="49702" spans="18:18" s="2" customFormat="1" ht="12.75" x14ac:dyDescent="0.2">
      <c r="R49702" s="1288"/>
    </row>
    <row r="49703" spans="18:18" s="2" customFormat="1" ht="12.75" x14ac:dyDescent="0.2">
      <c r="R49703" s="1288"/>
    </row>
    <row r="49704" spans="18:18" s="2" customFormat="1" ht="12.75" x14ac:dyDescent="0.2">
      <c r="R49704" s="1288"/>
    </row>
    <row r="49705" spans="18:18" s="2" customFormat="1" ht="12.75" x14ac:dyDescent="0.2">
      <c r="R49705" s="1288"/>
    </row>
    <row r="49706" spans="18:18" s="2" customFormat="1" ht="12.75" x14ac:dyDescent="0.2">
      <c r="R49706" s="1288"/>
    </row>
    <row r="49707" spans="18:18" s="2" customFormat="1" ht="12.75" x14ac:dyDescent="0.2">
      <c r="R49707" s="1288"/>
    </row>
    <row r="49708" spans="18:18" s="2" customFormat="1" ht="12.75" x14ac:dyDescent="0.2">
      <c r="R49708" s="1288"/>
    </row>
    <row r="49709" spans="18:18" s="2" customFormat="1" ht="12.75" x14ac:dyDescent="0.2">
      <c r="R49709" s="1288"/>
    </row>
    <row r="49710" spans="18:18" s="2" customFormat="1" ht="12.75" x14ac:dyDescent="0.2">
      <c r="R49710" s="1288"/>
    </row>
    <row r="49711" spans="18:18" s="2" customFormat="1" ht="12.75" x14ac:dyDescent="0.2">
      <c r="R49711" s="1288"/>
    </row>
    <row r="49712" spans="18:18" s="2" customFormat="1" ht="12.75" x14ac:dyDescent="0.2">
      <c r="R49712" s="1288"/>
    </row>
    <row r="49713" spans="18:18" s="2" customFormat="1" ht="12.75" x14ac:dyDescent="0.2">
      <c r="R49713" s="1288"/>
    </row>
    <row r="49714" spans="18:18" s="2" customFormat="1" ht="12.75" x14ac:dyDescent="0.2">
      <c r="R49714" s="1288"/>
    </row>
    <row r="49715" spans="18:18" s="2" customFormat="1" ht="12.75" x14ac:dyDescent="0.2">
      <c r="R49715" s="1288"/>
    </row>
    <row r="49716" spans="18:18" s="2" customFormat="1" ht="12.75" x14ac:dyDescent="0.2">
      <c r="R49716" s="1288"/>
    </row>
    <row r="49717" spans="18:18" s="2" customFormat="1" ht="12.75" x14ac:dyDescent="0.2">
      <c r="R49717" s="1288"/>
    </row>
    <row r="49718" spans="18:18" s="2" customFormat="1" ht="12.75" x14ac:dyDescent="0.2">
      <c r="R49718" s="1288"/>
    </row>
    <row r="49719" spans="18:18" s="2" customFormat="1" ht="12.75" x14ac:dyDescent="0.2">
      <c r="R49719" s="1288"/>
    </row>
    <row r="49720" spans="18:18" s="2" customFormat="1" ht="12.75" x14ac:dyDescent="0.2">
      <c r="R49720" s="1288"/>
    </row>
    <row r="49721" spans="18:18" s="2" customFormat="1" ht="12.75" x14ac:dyDescent="0.2">
      <c r="R49721" s="1288"/>
    </row>
    <row r="49722" spans="18:18" s="2" customFormat="1" ht="12.75" x14ac:dyDescent="0.2">
      <c r="R49722" s="1288"/>
    </row>
    <row r="49723" spans="18:18" s="2" customFormat="1" ht="12.75" x14ac:dyDescent="0.2">
      <c r="R49723" s="1288"/>
    </row>
    <row r="49724" spans="18:18" s="2" customFormat="1" ht="12.75" x14ac:dyDescent="0.2">
      <c r="R49724" s="1288"/>
    </row>
    <row r="49725" spans="18:18" s="2" customFormat="1" ht="12.75" x14ac:dyDescent="0.2">
      <c r="R49725" s="1288"/>
    </row>
    <row r="49726" spans="18:18" s="2" customFormat="1" ht="12.75" x14ac:dyDescent="0.2">
      <c r="R49726" s="1288"/>
    </row>
    <row r="49727" spans="18:18" s="2" customFormat="1" ht="12.75" x14ac:dyDescent="0.2">
      <c r="R49727" s="1288"/>
    </row>
    <row r="49728" spans="18:18" s="2" customFormat="1" ht="12.75" x14ac:dyDescent="0.2">
      <c r="R49728" s="1288"/>
    </row>
    <row r="49729" spans="18:18" s="2" customFormat="1" ht="12.75" x14ac:dyDescent="0.2">
      <c r="R49729" s="1288"/>
    </row>
    <row r="49730" spans="18:18" s="2" customFormat="1" ht="12.75" x14ac:dyDescent="0.2">
      <c r="R49730" s="1288"/>
    </row>
    <row r="49731" spans="18:18" s="2" customFormat="1" ht="12.75" x14ac:dyDescent="0.2">
      <c r="R49731" s="1288"/>
    </row>
    <row r="49732" spans="18:18" s="2" customFormat="1" ht="12.75" x14ac:dyDescent="0.2">
      <c r="R49732" s="1288"/>
    </row>
    <row r="49733" spans="18:18" s="2" customFormat="1" ht="12.75" x14ac:dyDescent="0.2">
      <c r="R49733" s="1288"/>
    </row>
    <row r="49734" spans="18:18" s="2" customFormat="1" ht="12.75" x14ac:dyDescent="0.2">
      <c r="R49734" s="1288"/>
    </row>
    <row r="49735" spans="18:18" s="2" customFormat="1" ht="12.75" x14ac:dyDescent="0.2">
      <c r="R49735" s="1288"/>
    </row>
    <row r="49736" spans="18:18" s="2" customFormat="1" ht="12.75" x14ac:dyDescent="0.2">
      <c r="R49736" s="1288"/>
    </row>
    <row r="49737" spans="18:18" s="2" customFormat="1" ht="12.75" x14ac:dyDescent="0.2">
      <c r="R49737" s="1288"/>
    </row>
    <row r="49738" spans="18:18" s="2" customFormat="1" ht="12.75" x14ac:dyDescent="0.2">
      <c r="R49738" s="1288"/>
    </row>
    <row r="49739" spans="18:18" s="2" customFormat="1" ht="12.75" x14ac:dyDescent="0.2">
      <c r="R49739" s="1288"/>
    </row>
    <row r="49740" spans="18:18" s="2" customFormat="1" ht="12.75" x14ac:dyDescent="0.2">
      <c r="R49740" s="1288"/>
    </row>
    <row r="49741" spans="18:18" s="2" customFormat="1" ht="12.75" x14ac:dyDescent="0.2">
      <c r="R49741" s="1288"/>
    </row>
    <row r="49742" spans="18:18" s="2" customFormat="1" ht="12.75" x14ac:dyDescent="0.2">
      <c r="R49742" s="1288"/>
    </row>
    <row r="49743" spans="18:18" s="2" customFormat="1" ht="12.75" x14ac:dyDescent="0.2">
      <c r="R49743" s="1288"/>
    </row>
    <row r="49744" spans="18:18" s="2" customFormat="1" ht="12.75" x14ac:dyDescent="0.2">
      <c r="R49744" s="1288"/>
    </row>
    <row r="49745" spans="18:18" s="2" customFormat="1" ht="12.75" x14ac:dyDescent="0.2">
      <c r="R49745" s="1288"/>
    </row>
    <row r="49746" spans="18:18" s="2" customFormat="1" ht="12.75" x14ac:dyDescent="0.2">
      <c r="R49746" s="1288"/>
    </row>
    <row r="49747" spans="18:18" s="2" customFormat="1" ht="12.75" x14ac:dyDescent="0.2">
      <c r="R49747" s="1288"/>
    </row>
    <row r="49748" spans="18:18" s="2" customFormat="1" ht="12.75" x14ac:dyDescent="0.2">
      <c r="R49748" s="1288"/>
    </row>
    <row r="49749" spans="18:18" s="2" customFormat="1" ht="12.75" x14ac:dyDescent="0.2">
      <c r="R49749" s="1288"/>
    </row>
    <row r="49750" spans="18:18" s="2" customFormat="1" ht="12.75" x14ac:dyDescent="0.2">
      <c r="R49750" s="1288"/>
    </row>
    <row r="49751" spans="18:18" s="2" customFormat="1" ht="12.75" x14ac:dyDescent="0.2">
      <c r="R49751" s="1288"/>
    </row>
    <row r="49752" spans="18:18" s="2" customFormat="1" ht="12.75" x14ac:dyDescent="0.2">
      <c r="R49752" s="1288"/>
    </row>
    <row r="49753" spans="18:18" s="2" customFormat="1" ht="12.75" x14ac:dyDescent="0.2">
      <c r="R49753" s="1288"/>
    </row>
    <row r="49754" spans="18:18" s="2" customFormat="1" ht="12.75" x14ac:dyDescent="0.2">
      <c r="R49754" s="1288"/>
    </row>
    <row r="49755" spans="18:18" s="2" customFormat="1" ht="12.75" x14ac:dyDescent="0.2">
      <c r="R49755" s="1288"/>
    </row>
    <row r="49756" spans="18:18" s="2" customFormat="1" ht="12.75" x14ac:dyDescent="0.2">
      <c r="R49756" s="1288"/>
    </row>
    <row r="49757" spans="18:18" s="2" customFormat="1" ht="12.75" x14ac:dyDescent="0.2">
      <c r="R49757" s="1288"/>
    </row>
    <row r="49758" spans="18:18" s="2" customFormat="1" ht="12.75" x14ac:dyDescent="0.2">
      <c r="R49758" s="1288"/>
    </row>
    <row r="49759" spans="18:18" s="2" customFormat="1" ht="12.75" x14ac:dyDescent="0.2">
      <c r="R49759" s="1288"/>
    </row>
    <row r="49760" spans="18:18" s="2" customFormat="1" ht="12.75" x14ac:dyDescent="0.2">
      <c r="R49760" s="1288"/>
    </row>
    <row r="49761" spans="18:18" s="2" customFormat="1" ht="12.75" x14ac:dyDescent="0.2">
      <c r="R49761" s="1288"/>
    </row>
    <row r="49762" spans="18:18" s="2" customFormat="1" ht="12.75" x14ac:dyDescent="0.2">
      <c r="R49762" s="1288"/>
    </row>
    <row r="49763" spans="18:18" s="2" customFormat="1" ht="12.75" x14ac:dyDescent="0.2">
      <c r="R49763" s="1288"/>
    </row>
    <row r="49764" spans="18:18" s="2" customFormat="1" ht="12.75" x14ac:dyDescent="0.2">
      <c r="R49764" s="1288"/>
    </row>
    <row r="49765" spans="18:18" s="2" customFormat="1" ht="12.75" x14ac:dyDescent="0.2">
      <c r="R49765" s="1288"/>
    </row>
    <row r="49766" spans="18:18" s="2" customFormat="1" ht="12.75" x14ac:dyDescent="0.2">
      <c r="R49766" s="1288"/>
    </row>
    <row r="49767" spans="18:18" s="2" customFormat="1" ht="12.75" x14ac:dyDescent="0.2">
      <c r="R49767" s="1288"/>
    </row>
    <row r="49768" spans="18:18" s="2" customFormat="1" ht="12.75" x14ac:dyDescent="0.2">
      <c r="R49768" s="1288"/>
    </row>
    <row r="49769" spans="18:18" s="2" customFormat="1" ht="12.75" x14ac:dyDescent="0.2">
      <c r="R49769" s="1288"/>
    </row>
    <row r="49770" spans="18:18" s="2" customFormat="1" ht="12.75" x14ac:dyDescent="0.2">
      <c r="R49770" s="1288"/>
    </row>
    <row r="49771" spans="18:18" s="2" customFormat="1" ht="12.75" x14ac:dyDescent="0.2">
      <c r="R49771" s="1288"/>
    </row>
    <row r="49772" spans="18:18" s="2" customFormat="1" ht="12.75" x14ac:dyDescent="0.2">
      <c r="R49772" s="1288"/>
    </row>
    <row r="49773" spans="18:18" s="2" customFormat="1" ht="12.75" x14ac:dyDescent="0.2">
      <c r="R49773" s="1288"/>
    </row>
    <row r="49774" spans="18:18" s="2" customFormat="1" ht="12.75" x14ac:dyDescent="0.2">
      <c r="R49774" s="1288"/>
    </row>
    <row r="49775" spans="18:18" s="2" customFormat="1" ht="12.75" x14ac:dyDescent="0.2">
      <c r="R49775" s="1288"/>
    </row>
    <row r="49776" spans="18:18" s="2" customFormat="1" ht="12.75" x14ac:dyDescent="0.2">
      <c r="R49776" s="1288"/>
    </row>
    <row r="49777" spans="18:18" s="2" customFormat="1" ht="12.75" x14ac:dyDescent="0.2">
      <c r="R49777" s="1288"/>
    </row>
    <row r="49778" spans="18:18" s="2" customFormat="1" ht="12.75" x14ac:dyDescent="0.2">
      <c r="R49778" s="1288"/>
    </row>
    <row r="49779" spans="18:18" s="2" customFormat="1" ht="12.75" x14ac:dyDescent="0.2">
      <c r="R49779" s="1288"/>
    </row>
    <row r="49780" spans="18:18" s="2" customFormat="1" ht="12.75" x14ac:dyDescent="0.2">
      <c r="R49780" s="1288"/>
    </row>
    <row r="49781" spans="18:18" s="2" customFormat="1" ht="12.75" x14ac:dyDescent="0.2">
      <c r="R49781" s="1288"/>
    </row>
    <row r="49782" spans="18:18" s="2" customFormat="1" ht="12.75" x14ac:dyDescent="0.2">
      <c r="R49782" s="1288"/>
    </row>
    <row r="49783" spans="18:18" s="2" customFormat="1" ht="12.75" x14ac:dyDescent="0.2">
      <c r="R49783" s="1288"/>
    </row>
    <row r="49784" spans="18:18" s="2" customFormat="1" ht="12.75" x14ac:dyDescent="0.2">
      <c r="R49784" s="1288"/>
    </row>
    <row r="49785" spans="18:18" s="2" customFormat="1" ht="12.75" x14ac:dyDescent="0.2">
      <c r="R49785" s="1288"/>
    </row>
    <row r="49786" spans="18:18" s="2" customFormat="1" ht="12.75" x14ac:dyDescent="0.2">
      <c r="R49786" s="1288"/>
    </row>
    <row r="49787" spans="18:18" s="2" customFormat="1" ht="12.75" x14ac:dyDescent="0.2">
      <c r="R49787" s="1288"/>
    </row>
    <row r="49788" spans="18:18" s="2" customFormat="1" ht="12.75" x14ac:dyDescent="0.2">
      <c r="R49788" s="1288"/>
    </row>
    <row r="49789" spans="18:18" s="2" customFormat="1" ht="12.75" x14ac:dyDescent="0.2">
      <c r="R49789" s="1288"/>
    </row>
    <row r="49790" spans="18:18" s="2" customFormat="1" ht="12.75" x14ac:dyDescent="0.2">
      <c r="R49790" s="1288"/>
    </row>
    <row r="49791" spans="18:18" s="2" customFormat="1" ht="12.75" x14ac:dyDescent="0.2">
      <c r="R49791" s="1288"/>
    </row>
    <row r="49792" spans="18:18" s="2" customFormat="1" ht="12.75" x14ac:dyDescent="0.2">
      <c r="R49792" s="1288"/>
    </row>
    <row r="49793" spans="18:18" s="2" customFormat="1" ht="12.75" x14ac:dyDescent="0.2">
      <c r="R49793" s="1288"/>
    </row>
    <row r="49794" spans="18:18" s="2" customFormat="1" ht="12.75" x14ac:dyDescent="0.2">
      <c r="R49794" s="1288"/>
    </row>
    <row r="49795" spans="18:18" s="2" customFormat="1" ht="12.75" x14ac:dyDescent="0.2">
      <c r="R49795" s="1288"/>
    </row>
    <row r="49796" spans="18:18" s="2" customFormat="1" ht="12.75" x14ac:dyDescent="0.2">
      <c r="R49796" s="1288"/>
    </row>
    <row r="49797" spans="18:18" s="2" customFormat="1" ht="12.75" x14ac:dyDescent="0.2">
      <c r="R49797" s="1288"/>
    </row>
    <row r="49798" spans="18:18" s="2" customFormat="1" ht="12.75" x14ac:dyDescent="0.2">
      <c r="R49798" s="1288"/>
    </row>
    <row r="49799" spans="18:18" s="2" customFormat="1" ht="12.75" x14ac:dyDescent="0.2">
      <c r="R49799" s="1288"/>
    </row>
    <row r="49800" spans="18:18" s="2" customFormat="1" ht="12.75" x14ac:dyDescent="0.2">
      <c r="R49800" s="1288"/>
    </row>
    <row r="49801" spans="18:18" s="2" customFormat="1" ht="12.75" x14ac:dyDescent="0.2">
      <c r="R49801" s="1288"/>
    </row>
    <row r="49802" spans="18:18" s="2" customFormat="1" ht="12.75" x14ac:dyDescent="0.2">
      <c r="R49802" s="1288"/>
    </row>
    <row r="49803" spans="18:18" s="2" customFormat="1" ht="12.75" x14ac:dyDescent="0.2">
      <c r="R49803" s="1288"/>
    </row>
    <row r="49804" spans="18:18" s="2" customFormat="1" ht="12.75" x14ac:dyDescent="0.2">
      <c r="R49804" s="1288"/>
    </row>
    <row r="49805" spans="18:18" s="2" customFormat="1" ht="12.75" x14ac:dyDescent="0.2">
      <c r="R49805" s="1288"/>
    </row>
    <row r="49806" spans="18:18" s="2" customFormat="1" ht="12.75" x14ac:dyDescent="0.2">
      <c r="R49806" s="1288"/>
    </row>
    <row r="49807" spans="18:18" s="2" customFormat="1" ht="12.75" x14ac:dyDescent="0.2">
      <c r="R49807" s="1288"/>
    </row>
    <row r="49808" spans="18:18" s="2" customFormat="1" ht="12.75" x14ac:dyDescent="0.2">
      <c r="R49808" s="1288"/>
    </row>
    <row r="49809" spans="18:18" s="2" customFormat="1" ht="12.75" x14ac:dyDescent="0.2">
      <c r="R49809" s="1288"/>
    </row>
    <row r="49810" spans="18:18" s="2" customFormat="1" ht="12.75" x14ac:dyDescent="0.2">
      <c r="R49810" s="1288"/>
    </row>
    <row r="49811" spans="18:18" s="2" customFormat="1" ht="12.75" x14ac:dyDescent="0.2">
      <c r="R49811" s="1288"/>
    </row>
    <row r="49812" spans="18:18" s="2" customFormat="1" ht="12.75" x14ac:dyDescent="0.2">
      <c r="R49812" s="1288"/>
    </row>
    <row r="49813" spans="18:18" s="2" customFormat="1" ht="12.75" x14ac:dyDescent="0.2">
      <c r="R49813" s="1288"/>
    </row>
    <row r="49814" spans="18:18" s="2" customFormat="1" ht="12.75" x14ac:dyDescent="0.2">
      <c r="R49814" s="1288"/>
    </row>
    <row r="49815" spans="18:18" s="2" customFormat="1" ht="12.75" x14ac:dyDescent="0.2">
      <c r="R49815" s="1288"/>
    </row>
    <row r="49816" spans="18:18" s="2" customFormat="1" ht="12.75" x14ac:dyDescent="0.2">
      <c r="R49816" s="1288"/>
    </row>
    <row r="49817" spans="18:18" s="2" customFormat="1" ht="12.75" x14ac:dyDescent="0.2">
      <c r="R49817" s="1288"/>
    </row>
    <row r="49818" spans="18:18" s="2" customFormat="1" ht="12.75" x14ac:dyDescent="0.2">
      <c r="R49818" s="1288"/>
    </row>
    <row r="49819" spans="18:18" s="2" customFormat="1" ht="12.75" x14ac:dyDescent="0.2">
      <c r="R49819" s="1288"/>
    </row>
    <row r="49820" spans="18:18" s="2" customFormat="1" ht="12.75" x14ac:dyDescent="0.2">
      <c r="R49820" s="1288"/>
    </row>
    <row r="49821" spans="18:18" s="2" customFormat="1" ht="12.75" x14ac:dyDescent="0.2">
      <c r="R49821" s="1288"/>
    </row>
    <row r="49822" spans="18:18" s="2" customFormat="1" ht="12.75" x14ac:dyDescent="0.2">
      <c r="R49822" s="1288"/>
    </row>
    <row r="49823" spans="18:18" s="2" customFormat="1" ht="12.75" x14ac:dyDescent="0.2">
      <c r="R49823" s="1288"/>
    </row>
    <row r="49824" spans="18:18" s="2" customFormat="1" ht="12.75" x14ac:dyDescent="0.2">
      <c r="R49824" s="1288"/>
    </row>
    <row r="49825" spans="18:18" s="2" customFormat="1" ht="12.75" x14ac:dyDescent="0.2">
      <c r="R49825" s="1288"/>
    </row>
    <row r="49826" spans="18:18" s="2" customFormat="1" ht="12.75" x14ac:dyDescent="0.2">
      <c r="R49826" s="1288"/>
    </row>
    <row r="49827" spans="18:18" s="2" customFormat="1" ht="12.75" x14ac:dyDescent="0.2">
      <c r="R49827" s="1288"/>
    </row>
    <row r="49828" spans="18:18" s="2" customFormat="1" ht="12.75" x14ac:dyDescent="0.2">
      <c r="R49828" s="1288"/>
    </row>
    <row r="49829" spans="18:18" s="2" customFormat="1" ht="12.75" x14ac:dyDescent="0.2">
      <c r="R49829" s="1288"/>
    </row>
    <row r="49830" spans="18:18" s="2" customFormat="1" ht="12.75" x14ac:dyDescent="0.2">
      <c r="R49830" s="1288"/>
    </row>
    <row r="49831" spans="18:18" s="2" customFormat="1" ht="12.75" x14ac:dyDescent="0.2">
      <c r="R49831" s="1288"/>
    </row>
    <row r="49832" spans="18:18" s="2" customFormat="1" ht="12.75" x14ac:dyDescent="0.2">
      <c r="R49832" s="1288"/>
    </row>
    <row r="49833" spans="18:18" s="2" customFormat="1" ht="12.75" x14ac:dyDescent="0.2">
      <c r="R49833" s="1288"/>
    </row>
    <row r="49834" spans="18:18" s="2" customFormat="1" ht="12.75" x14ac:dyDescent="0.2">
      <c r="R49834" s="1288"/>
    </row>
    <row r="49835" spans="18:18" s="2" customFormat="1" ht="12.75" x14ac:dyDescent="0.2">
      <c r="R49835" s="1288"/>
    </row>
    <row r="49836" spans="18:18" s="2" customFormat="1" ht="12.75" x14ac:dyDescent="0.2">
      <c r="R49836" s="1288"/>
    </row>
    <row r="49837" spans="18:18" s="2" customFormat="1" ht="12.75" x14ac:dyDescent="0.2">
      <c r="R49837" s="1288"/>
    </row>
    <row r="49838" spans="18:18" s="2" customFormat="1" ht="12.75" x14ac:dyDescent="0.2">
      <c r="R49838" s="1288"/>
    </row>
    <row r="49839" spans="18:18" s="2" customFormat="1" ht="12.75" x14ac:dyDescent="0.2">
      <c r="R49839" s="1288"/>
    </row>
    <row r="49840" spans="18:18" s="2" customFormat="1" ht="12.75" x14ac:dyDescent="0.2">
      <c r="R49840" s="1288"/>
    </row>
    <row r="49841" spans="18:18" s="2" customFormat="1" ht="12.75" x14ac:dyDescent="0.2">
      <c r="R49841" s="1288"/>
    </row>
    <row r="49842" spans="18:18" s="2" customFormat="1" ht="12.75" x14ac:dyDescent="0.2">
      <c r="R49842" s="1288"/>
    </row>
    <row r="49843" spans="18:18" s="2" customFormat="1" ht="12.75" x14ac:dyDescent="0.2">
      <c r="R49843" s="1288"/>
    </row>
    <row r="49844" spans="18:18" s="2" customFormat="1" ht="12.75" x14ac:dyDescent="0.2">
      <c r="R49844" s="1288"/>
    </row>
    <row r="49845" spans="18:18" s="2" customFormat="1" ht="12.75" x14ac:dyDescent="0.2">
      <c r="R49845" s="1288"/>
    </row>
    <row r="49846" spans="18:18" s="2" customFormat="1" ht="12.75" x14ac:dyDescent="0.2">
      <c r="R49846" s="1288"/>
    </row>
    <row r="49847" spans="18:18" s="2" customFormat="1" ht="12.75" x14ac:dyDescent="0.2">
      <c r="R49847" s="1288"/>
    </row>
    <row r="49848" spans="18:18" s="2" customFormat="1" ht="12.75" x14ac:dyDescent="0.2">
      <c r="R49848" s="1288"/>
    </row>
    <row r="49849" spans="18:18" s="2" customFormat="1" ht="12.75" x14ac:dyDescent="0.2">
      <c r="R49849" s="1288"/>
    </row>
    <row r="49850" spans="18:18" s="2" customFormat="1" ht="12.75" x14ac:dyDescent="0.2">
      <c r="R49850" s="1288"/>
    </row>
    <row r="49851" spans="18:18" s="2" customFormat="1" ht="12.75" x14ac:dyDescent="0.2">
      <c r="R49851" s="1288"/>
    </row>
    <row r="49852" spans="18:18" s="2" customFormat="1" ht="12.75" x14ac:dyDescent="0.2">
      <c r="R49852" s="1288"/>
    </row>
    <row r="49853" spans="18:18" s="2" customFormat="1" ht="12.75" x14ac:dyDescent="0.2">
      <c r="R49853" s="1288"/>
    </row>
    <row r="49854" spans="18:18" s="2" customFormat="1" ht="12.75" x14ac:dyDescent="0.2">
      <c r="R49854" s="1288"/>
    </row>
    <row r="49855" spans="18:18" s="2" customFormat="1" ht="12.75" x14ac:dyDescent="0.2">
      <c r="R49855" s="1288"/>
    </row>
    <row r="49856" spans="18:18" s="2" customFormat="1" ht="12.75" x14ac:dyDescent="0.2">
      <c r="R49856" s="1288"/>
    </row>
    <row r="49857" spans="18:18" s="2" customFormat="1" ht="12.75" x14ac:dyDescent="0.2">
      <c r="R49857" s="1288"/>
    </row>
    <row r="49858" spans="18:18" s="2" customFormat="1" ht="12.75" x14ac:dyDescent="0.2">
      <c r="R49858" s="1288"/>
    </row>
    <row r="49859" spans="18:18" s="2" customFormat="1" ht="12.75" x14ac:dyDescent="0.2">
      <c r="R49859" s="1288"/>
    </row>
    <row r="49860" spans="18:18" s="2" customFormat="1" ht="12.75" x14ac:dyDescent="0.2">
      <c r="R49860" s="1288"/>
    </row>
    <row r="49861" spans="18:18" s="2" customFormat="1" ht="12.75" x14ac:dyDescent="0.2">
      <c r="R49861" s="1288"/>
    </row>
    <row r="49862" spans="18:18" s="2" customFormat="1" ht="12.75" x14ac:dyDescent="0.2">
      <c r="R49862" s="1288"/>
    </row>
    <row r="49863" spans="18:18" s="2" customFormat="1" ht="12.75" x14ac:dyDescent="0.2">
      <c r="R49863" s="1288"/>
    </row>
    <row r="49864" spans="18:18" s="2" customFormat="1" ht="12.75" x14ac:dyDescent="0.2">
      <c r="R49864" s="1288"/>
    </row>
    <row r="49865" spans="18:18" s="2" customFormat="1" ht="12.75" x14ac:dyDescent="0.2">
      <c r="R49865" s="1288"/>
    </row>
    <row r="49866" spans="18:18" s="2" customFormat="1" ht="12.75" x14ac:dyDescent="0.2">
      <c r="R49866" s="1288"/>
    </row>
    <row r="49867" spans="18:18" s="2" customFormat="1" ht="12.75" x14ac:dyDescent="0.2">
      <c r="R49867" s="1288"/>
    </row>
    <row r="49868" spans="18:18" s="2" customFormat="1" ht="12.75" x14ac:dyDescent="0.2">
      <c r="R49868" s="1288"/>
    </row>
    <row r="49869" spans="18:18" s="2" customFormat="1" ht="12.75" x14ac:dyDescent="0.2">
      <c r="R49869" s="1288"/>
    </row>
    <row r="49870" spans="18:18" s="2" customFormat="1" ht="12.75" x14ac:dyDescent="0.2">
      <c r="R49870" s="1288"/>
    </row>
    <row r="49871" spans="18:18" s="2" customFormat="1" ht="12.75" x14ac:dyDescent="0.2">
      <c r="R49871" s="1288"/>
    </row>
    <row r="49872" spans="18:18" s="2" customFormat="1" ht="12.75" x14ac:dyDescent="0.2">
      <c r="R49872" s="1288"/>
    </row>
    <row r="49873" spans="18:18" s="2" customFormat="1" ht="12.75" x14ac:dyDescent="0.2">
      <c r="R49873" s="1288"/>
    </row>
    <row r="49874" spans="18:18" s="2" customFormat="1" ht="12.75" x14ac:dyDescent="0.2">
      <c r="R49874" s="1288"/>
    </row>
    <row r="49875" spans="18:18" s="2" customFormat="1" ht="12.75" x14ac:dyDescent="0.2">
      <c r="R49875" s="1288"/>
    </row>
    <row r="49876" spans="18:18" s="2" customFormat="1" ht="12.75" x14ac:dyDescent="0.2">
      <c r="R49876" s="1288"/>
    </row>
    <row r="49877" spans="18:18" s="2" customFormat="1" ht="12.75" x14ac:dyDescent="0.2">
      <c r="R49877" s="1288"/>
    </row>
    <row r="49878" spans="18:18" s="2" customFormat="1" ht="12.75" x14ac:dyDescent="0.2">
      <c r="R49878" s="1288"/>
    </row>
    <row r="49879" spans="18:18" s="2" customFormat="1" ht="12.75" x14ac:dyDescent="0.2">
      <c r="R49879" s="1288"/>
    </row>
    <row r="49880" spans="18:18" s="2" customFormat="1" ht="12.75" x14ac:dyDescent="0.2">
      <c r="R49880" s="1288"/>
    </row>
    <row r="49881" spans="18:18" s="2" customFormat="1" ht="12.75" x14ac:dyDescent="0.2">
      <c r="R49881" s="1288"/>
    </row>
    <row r="49882" spans="18:18" s="2" customFormat="1" ht="12.75" x14ac:dyDescent="0.2">
      <c r="R49882" s="1288"/>
    </row>
    <row r="49883" spans="18:18" s="2" customFormat="1" ht="12.75" x14ac:dyDescent="0.2">
      <c r="R49883" s="1288"/>
    </row>
    <row r="49884" spans="18:18" s="2" customFormat="1" ht="12.75" x14ac:dyDescent="0.2">
      <c r="R49884" s="1288"/>
    </row>
    <row r="49885" spans="18:18" s="2" customFormat="1" ht="12.75" x14ac:dyDescent="0.2">
      <c r="R49885" s="1288"/>
    </row>
    <row r="49886" spans="18:18" s="2" customFormat="1" ht="12.75" x14ac:dyDescent="0.2">
      <c r="R49886" s="1288"/>
    </row>
    <row r="49887" spans="18:18" s="2" customFormat="1" ht="12.75" x14ac:dyDescent="0.2">
      <c r="R49887" s="1288"/>
    </row>
    <row r="49888" spans="18:18" s="2" customFormat="1" ht="12.75" x14ac:dyDescent="0.2">
      <c r="R49888" s="1288"/>
    </row>
    <row r="49889" spans="18:18" s="2" customFormat="1" ht="12.75" x14ac:dyDescent="0.2">
      <c r="R49889" s="1288"/>
    </row>
    <row r="49890" spans="18:18" s="2" customFormat="1" ht="12.75" x14ac:dyDescent="0.2">
      <c r="R49890" s="1288"/>
    </row>
    <row r="49891" spans="18:18" s="2" customFormat="1" ht="12.75" x14ac:dyDescent="0.2">
      <c r="R49891" s="1288"/>
    </row>
    <row r="49892" spans="18:18" s="2" customFormat="1" ht="12.75" x14ac:dyDescent="0.2">
      <c r="R49892" s="1288"/>
    </row>
    <row r="49893" spans="18:18" s="2" customFormat="1" ht="12.75" x14ac:dyDescent="0.2">
      <c r="R49893" s="1288"/>
    </row>
    <row r="49894" spans="18:18" s="2" customFormat="1" ht="12.75" x14ac:dyDescent="0.2">
      <c r="R49894" s="1288"/>
    </row>
    <row r="49895" spans="18:18" s="2" customFormat="1" ht="12.75" x14ac:dyDescent="0.2">
      <c r="R49895" s="1288"/>
    </row>
    <row r="49896" spans="18:18" s="2" customFormat="1" ht="12.75" x14ac:dyDescent="0.2">
      <c r="R49896" s="1288"/>
    </row>
    <row r="49897" spans="18:18" s="2" customFormat="1" ht="12.75" x14ac:dyDescent="0.2">
      <c r="R49897" s="1288"/>
    </row>
    <row r="49898" spans="18:18" s="2" customFormat="1" ht="12.75" x14ac:dyDescent="0.2">
      <c r="R49898" s="1288"/>
    </row>
    <row r="49899" spans="18:18" s="2" customFormat="1" ht="12.75" x14ac:dyDescent="0.2">
      <c r="R49899" s="1288"/>
    </row>
    <row r="49900" spans="18:18" s="2" customFormat="1" ht="12.75" x14ac:dyDescent="0.2">
      <c r="R49900" s="1288"/>
    </row>
    <row r="49901" spans="18:18" s="2" customFormat="1" ht="12.75" x14ac:dyDescent="0.2">
      <c r="R49901" s="1288"/>
    </row>
    <row r="49902" spans="18:18" s="2" customFormat="1" ht="12.75" x14ac:dyDescent="0.2">
      <c r="R49902" s="1288"/>
    </row>
    <row r="49903" spans="18:18" s="2" customFormat="1" ht="12.75" x14ac:dyDescent="0.2">
      <c r="R49903" s="1288"/>
    </row>
    <row r="49904" spans="18:18" s="2" customFormat="1" ht="12.75" x14ac:dyDescent="0.2">
      <c r="R49904" s="1288"/>
    </row>
    <row r="49905" spans="18:18" s="2" customFormat="1" ht="12.75" x14ac:dyDescent="0.2">
      <c r="R49905" s="1288"/>
    </row>
    <row r="49906" spans="18:18" s="2" customFormat="1" ht="12.75" x14ac:dyDescent="0.2">
      <c r="R49906" s="1288"/>
    </row>
    <row r="49907" spans="18:18" s="2" customFormat="1" ht="12.75" x14ac:dyDescent="0.2">
      <c r="R49907" s="1288"/>
    </row>
    <row r="49908" spans="18:18" s="2" customFormat="1" ht="12.75" x14ac:dyDescent="0.2">
      <c r="R49908" s="1288"/>
    </row>
    <row r="49909" spans="18:18" s="2" customFormat="1" ht="12.75" x14ac:dyDescent="0.2">
      <c r="R49909" s="1288"/>
    </row>
    <row r="49910" spans="18:18" s="2" customFormat="1" ht="12.75" x14ac:dyDescent="0.2">
      <c r="R49910" s="1288"/>
    </row>
    <row r="49911" spans="18:18" s="2" customFormat="1" ht="12.75" x14ac:dyDescent="0.2">
      <c r="R49911" s="1288"/>
    </row>
    <row r="49912" spans="18:18" s="2" customFormat="1" ht="12.75" x14ac:dyDescent="0.2">
      <c r="R49912" s="1288"/>
    </row>
    <row r="49913" spans="18:18" s="2" customFormat="1" ht="12.75" x14ac:dyDescent="0.2">
      <c r="R49913" s="1288"/>
    </row>
    <row r="49914" spans="18:18" s="2" customFormat="1" ht="12.75" x14ac:dyDescent="0.2">
      <c r="R49914" s="1288"/>
    </row>
    <row r="49915" spans="18:18" s="2" customFormat="1" ht="12.75" x14ac:dyDescent="0.2">
      <c r="R49915" s="1288"/>
    </row>
    <row r="49916" spans="18:18" s="2" customFormat="1" ht="12.75" x14ac:dyDescent="0.2">
      <c r="R49916" s="1288"/>
    </row>
    <row r="49917" spans="18:18" s="2" customFormat="1" ht="12.75" x14ac:dyDescent="0.2">
      <c r="R49917" s="1288"/>
    </row>
    <row r="49918" spans="18:18" s="2" customFormat="1" ht="12.75" x14ac:dyDescent="0.2">
      <c r="R49918" s="1288"/>
    </row>
    <row r="49919" spans="18:18" s="2" customFormat="1" ht="12.75" x14ac:dyDescent="0.2">
      <c r="R49919" s="1288"/>
    </row>
    <row r="49920" spans="18:18" s="2" customFormat="1" ht="12.75" x14ac:dyDescent="0.2">
      <c r="R49920" s="1288"/>
    </row>
    <row r="49921" spans="18:18" s="2" customFormat="1" ht="12.75" x14ac:dyDescent="0.2">
      <c r="R49921" s="1288"/>
    </row>
    <row r="49922" spans="18:18" s="2" customFormat="1" ht="12.75" x14ac:dyDescent="0.2">
      <c r="R49922" s="1288"/>
    </row>
    <row r="49923" spans="18:18" s="2" customFormat="1" ht="12.75" x14ac:dyDescent="0.2">
      <c r="R49923" s="1288"/>
    </row>
    <row r="49924" spans="18:18" s="2" customFormat="1" ht="12.75" x14ac:dyDescent="0.2">
      <c r="R49924" s="1288"/>
    </row>
    <row r="49925" spans="18:18" s="2" customFormat="1" ht="12.75" x14ac:dyDescent="0.2">
      <c r="R49925" s="1288"/>
    </row>
    <row r="49926" spans="18:18" s="2" customFormat="1" ht="12.75" x14ac:dyDescent="0.2">
      <c r="R49926" s="1288"/>
    </row>
    <row r="49927" spans="18:18" s="2" customFormat="1" ht="12.75" x14ac:dyDescent="0.2">
      <c r="R49927" s="1288"/>
    </row>
    <row r="49928" spans="18:18" s="2" customFormat="1" ht="12.75" x14ac:dyDescent="0.2">
      <c r="R49928" s="1288"/>
    </row>
    <row r="49929" spans="18:18" s="2" customFormat="1" ht="12.75" x14ac:dyDescent="0.2">
      <c r="R49929" s="1288"/>
    </row>
    <row r="49930" spans="18:18" s="2" customFormat="1" ht="12.75" x14ac:dyDescent="0.2">
      <c r="R49930" s="1288"/>
    </row>
    <row r="49931" spans="18:18" s="2" customFormat="1" ht="12.75" x14ac:dyDescent="0.2">
      <c r="R49931" s="1288"/>
    </row>
    <row r="49932" spans="18:18" s="2" customFormat="1" ht="12.75" x14ac:dyDescent="0.2">
      <c r="R49932" s="1288"/>
    </row>
    <row r="49933" spans="18:18" s="2" customFormat="1" ht="12.75" x14ac:dyDescent="0.2">
      <c r="R49933" s="1288"/>
    </row>
    <row r="49934" spans="18:18" s="2" customFormat="1" ht="12.75" x14ac:dyDescent="0.2">
      <c r="R49934" s="1288"/>
    </row>
    <row r="49935" spans="18:18" s="2" customFormat="1" ht="12.75" x14ac:dyDescent="0.2">
      <c r="R49935" s="1288"/>
    </row>
    <row r="49936" spans="18:18" s="2" customFormat="1" ht="12.75" x14ac:dyDescent="0.2">
      <c r="R49936" s="1288"/>
    </row>
    <row r="49937" spans="18:18" s="2" customFormat="1" ht="12.75" x14ac:dyDescent="0.2">
      <c r="R49937" s="1288"/>
    </row>
    <row r="49938" spans="18:18" s="2" customFormat="1" ht="12.75" x14ac:dyDescent="0.2">
      <c r="R49938" s="1288"/>
    </row>
    <row r="49939" spans="18:18" s="2" customFormat="1" ht="12.75" x14ac:dyDescent="0.2">
      <c r="R49939" s="1288"/>
    </row>
    <row r="49940" spans="18:18" s="2" customFormat="1" ht="12.75" x14ac:dyDescent="0.2">
      <c r="R49940" s="1288"/>
    </row>
    <row r="49941" spans="18:18" s="2" customFormat="1" ht="12.75" x14ac:dyDescent="0.2">
      <c r="R49941" s="1288"/>
    </row>
    <row r="49942" spans="18:18" s="2" customFormat="1" ht="12.75" x14ac:dyDescent="0.2">
      <c r="R49942" s="1288"/>
    </row>
    <row r="49943" spans="18:18" s="2" customFormat="1" ht="12.75" x14ac:dyDescent="0.2">
      <c r="R49943" s="1288"/>
    </row>
    <row r="49944" spans="18:18" s="2" customFormat="1" ht="12.75" x14ac:dyDescent="0.2">
      <c r="R49944" s="1288"/>
    </row>
    <row r="49945" spans="18:18" s="2" customFormat="1" ht="12.75" x14ac:dyDescent="0.2">
      <c r="R49945" s="1288"/>
    </row>
    <row r="49946" spans="18:18" s="2" customFormat="1" ht="12.75" x14ac:dyDescent="0.2">
      <c r="R49946" s="1288"/>
    </row>
    <row r="49947" spans="18:18" s="2" customFormat="1" ht="12.75" x14ac:dyDescent="0.2">
      <c r="R49947" s="1288"/>
    </row>
    <row r="49948" spans="18:18" s="2" customFormat="1" ht="12.75" x14ac:dyDescent="0.2">
      <c r="R49948" s="1288"/>
    </row>
    <row r="49949" spans="18:18" s="2" customFormat="1" ht="12.75" x14ac:dyDescent="0.2">
      <c r="R49949" s="1288"/>
    </row>
    <row r="49950" spans="18:18" s="2" customFormat="1" ht="12.75" x14ac:dyDescent="0.2">
      <c r="R49950" s="1288"/>
    </row>
    <row r="49951" spans="18:18" s="2" customFormat="1" ht="12.75" x14ac:dyDescent="0.2">
      <c r="R49951" s="1288"/>
    </row>
    <row r="49952" spans="18:18" s="2" customFormat="1" ht="12.75" x14ac:dyDescent="0.2">
      <c r="R49952" s="1288"/>
    </row>
    <row r="49953" spans="18:18" s="2" customFormat="1" ht="12.75" x14ac:dyDescent="0.2">
      <c r="R49953" s="1288"/>
    </row>
    <row r="49954" spans="18:18" s="2" customFormat="1" ht="12.75" x14ac:dyDescent="0.2">
      <c r="R49954" s="1288"/>
    </row>
    <row r="49955" spans="18:18" s="2" customFormat="1" ht="12.75" x14ac:dyDescent="0.2">
      <c r="R49955" s="1288"/>
    </row>
    <row r="49956" spans="18:18" s="2" customFormat="1" ht="12.75" x14ac:dyDescent="0.2">
      <c r="R49956" s="1288"/>
    </row>
    <row r="49957" spans="18:18" s="2" customFormat="1" ht="12.75" x14ac:dyDescent="0.2">
      <c r="R49957" s="1288"/>
    </row>
    <row r="49958" spans="18:18" s="2" customFormat="1" ht="12.75" x14ac:dyDescent="0.2">
      <c r="R49958" s="1288"/>
    </row>
    <row r="49959" spans="18:18" s="2" customFormat="1" ht="12.75" x14ac:dyDescent="0.2">
      <c r="R49959" s="1288"/>
    </row>
    <row r="49960" spans="18:18" s="2" customFormat="1" ht="12.75" x14ac:dyDescent="0.2">
      <c r="R49960" s="1288"/>
    </row>
    <row r="49961" spans="18:18" s="2" customFormat="1" ht="12.75" x14ac:dyDescent="0.2">
      <c r="R49961" s="1288"/>
    </row>
    <row r="49962" spans="18:18" s="2" customFormat="1" ht="12.75" x14ac:dyDescent="0.2">
      <c r="R49962" s="1288"/>
    </row>
    <row r="49963" spans="18:18" s="2" customFormat="1" ht="12.75" x14ac:dyDescent="0.2">
      <c r="R49963" s="1288"/>
    </row>
    <row r="49964" spans="18:18" s="2" customFormat="1" ht="12.75" x14ac:dyDescent="0.2">
      <c r="R49964" s="1288"/>
    </row>
    <row r="49965" spans="18:18" s="2" customFormat="1" ht="12.75" x14ac:dyDescent="0.2">
      <c r="R49965" s="1288"/>
    </row>
    <row r="49966" spans="18:18" s="2" customFormat="1" ht="12.75" x14ac:dyDescent="0.2">
      <c r="R49966" s="1288"/>
    </row>
    <row r="49967" spans="18:18" s="2" customFormat="1" ht="12.75" x14ac:dyDescent="0.2">
      <c r="R49967" s="1288"/>
    </row>
    <row r="49968" spans="18:18" s="2" customFormat="1" ht="12.75" x14ac:dyDescent="0.2">
      <c r="R49968" s="1288"/>
    </row>
    <row r="49969" spans="18:18" s="2" customFormat="1" ht="12.75" x14ac:dyDescent="0.2">
      <c r="R49969" s="1288"/>
    </row>
    <row r="49970" spans="18:18" s="2" customFormat="1" ht="12.75" x14ac:dyDescent="0.2">
      <c r="R49970" s="1288"/>
    </row>
    <row r="49971" spans="18:18" s="2" customFormat="1" ht="12.75" x14ac:dyDescent="0.2">
      <c r="R49971" s="1288"/>
    </row>
    <row r="49972" spans="18:18" s="2" customFormat="1" ht="12.75" x14ac:dyDescent="0.2">
      <c r="R49972" s="1288"/>
    </row>
    <row r="49973" spans="18:18" s="2" customFormat="1" ht="12.75" x14ac:dyDescent="0.2">
      <c r="R49973" s="1288"/>
    </row>
    <row r="49974" spans="18:18" s="2" customFormat="1" ht="12.75" x14ac:dyDescent="0.2">
      <c r="R49974" s="1288"/>
    </row>
    <row r="49975" spans="18:18" s="2" customFormat="1" ht="12.75" x14ac:dyDescent="0.2">
      <c r="R49975" s="1288"/>
    </row>
    <row r="49976" spans="18:18" s="2" customFormat="1" ht="12.75" x14ac:dyDescent="0.2">
      <c r="R49976" s="1288"/>
    </row>
    <row r="49977" spans="18:18" s="2" customFormat="1" ht="12.75" x14ac:dyDescent="0.2">
      <c r="R49977" s="1288"/>
    </row>
    <row r="49978" spans="18:18" s="2" customFormat="1" ht="12.75" x14ac:dyDescent="0.2">
      <c r="R49978" s="1288"/>
    </row>
    <row r="49979" spans="18:18" s="2" customFormat="1" ht="12.75" x14ac:dyDescent="0.2">
      <c r="R49979" s="1288"/>
    </row>
    <row r="49980" spans="18:18" s="2" customFormat="1" ht="12.75" x14ac:dyDescent="0.2">
      <c r="R49980" s="1288"/>
    </row>
    <row r="49981" spans="18:18" s="2" customFormat="1" ht="12.75" x14ac:dyDescent="0.2">
      <c r="R49981" s="1288"/>
    </row>
    <row r="49982" spans="18:18" s="2" customFormat="1" ht="12.75" x14ac:dyDescent="0.2">
      <c r="R49982" s="1288"/>
    </row>
    <row r="49983" spans="18:18" s="2" customFormat="1" ht="12.75" x14ac:dyDescent="0.2">
      <c r="R49983" s="1288"/>
    </row>
    <row r="49984" spans="18:18" s="2" customFormat="1" ht="12.75" x14ac:dyDescent="0.2">
      <c r="R49984" s="1288"/>
    </row>
    <row r="49985" spans="18:18" s="2" customFormat="1" ht="12.75" x14ac:dyDescent="0.2">
      <c r="R49985" s="1288"/>
    </row>
    <row r="49986" spans="18:18" s="2" customFormat="1" ht="12.75" x14ac:dyDescent="0.2">
      <c r="R49986" s="1288"/>
    </row>
    <row r="49987" spans="18:18" s="2" customFormat="1" ht="12.75" x14ac:dyDescent="0.2">
      <c r="R49987" s="1288"/>
    </row>
    <row r="49988" spans="18:18" s="2" customFormat="1" ht="12.75" x14ac:dyDescent="0.2">
      <c r="R49988" s="1288"/>
    </row>
    <row r="49989" spans="18:18" s="2" customFormat="1" ht="12.75" x14ac:dyDescent="0.2">
      <c r="R49989" s="1288"/>
    </row>
    <row r="49990" spans="18:18" s="2" customFormat="1" ht="12.75" x14ac:dyDescent="0.2">
      <c r="R49990" s="1288"/>
    </row>
    <row r="49991" spans="18:18" s="2" customFormat="1" ht="12.75" x14ac:dyDescent="0.2">
      <c r="R49991" s="1288"/>
    </row>
    <row r="49992" spans="18:18" s="2" customFormat="1" ht="12.75" x14ac:dyDescent="0.2">
      <c r="R49992" s="1288"/>
    </row>
    <row r="49993" spans="18:18" s="2" customFormat="1" ht="12.75" x14ac:dyDescent="0.2">
      <c r="R49993" s="1288"/>
    </row>
    <row r="49994" spans="18:18" s="2" customFormat="1" ht="12.75" x14ac:dyDescent="0.2">
      <c r="R49994" s="1288"/>
    </row>
    <row r="49995" spans="18:18" s="2" customFormat="1" ht="12.75" x14ac:dyDescent="0.2">
      <c r="R49995" s="1288"/>
    </row>
    <row r="49996" spans="18:18" s="2" customFormat="1" ht="12.75" x14ac:dyDescent="0.2">
      <c r="R49996" s="1288"/>
    </row>
    <row r="49997" spans="18:18" s="2" customFormat="1" ht="12.75" x14ac:dyDescent="0.2">
      <c r="R49997" s="1288"/>
    </row>
    <row r="49998" spans="18:18" s="2" customFormat="1" ht="12.75" x14ac:dyDescent="0.2">
      <c r="R49998" s="1288"/>
    </row>
    <row r="49999" spans="18:18" s="2" customFormat="1" ht="12.75" x14ac:dyDescent="0.2">
      <c r="R49999" s="1288"/>
    </row>
    <row r="50000" spans="18:18" s="2" customFormat="1" ht="12.75" x14ac:dyDescent="0.2">
      <c r="R50000" s="1288"/>
    </row>
    <row r="50001" spans="18:18" s="2" customFormat="1" ht="12.75" x14ac:dyDescent="0.2">
      <c r="R50001" s="1288"/>
    </row>
    <row r="50002" spans="18:18" s="2" customFormat="1" ht="12.75" x14ac:dyDescent="0.2">
      <c r="R50002" s="1288"/>
    </row>
    <row r="50003" spans="18:18" s="2" customFormat="1" ht="12.75" x14ac:dyDescent="0.2">
      <c r="R50003" s="1288"/>
    </row>
    <row r="50004" spans="18:18" s="2" customFormat="1" ht="12.75" x14ac:dyDescent="0.2">
      <c r="R50004" s="1288"/>
    </row>
    <row r="50005" spans="18:18" s="2" customFormat="1" ht="12.75" x14ac:dyDescent="0.2">
      <c r="R50005" s="1288"/>
    </row>
    <row r="50006" spans="18:18" s="2" customFormat="1" ht="12.75" x14ac:dyDescent="0.2">
      <c r="R50006" s="1288"/>
    </row>
    <row r="50007" spans="18:18" s="2" customFormat="1" ht="12.75" x14ac:dyDescent="0.2">
      <c r="R50007" s="1288"/>
    </row>
    <row r="50008" spans="18:18" s="2" customFormat="1" ht="12.75" x14ac:dyDescent="0.2">
      <c r="R50008" s="1288"/>
    </row>
    <row r="50009" spans="18:18" s="2" customFormat="1" ht="12.75" x14ac:dyDescent="0.2">
      <c r="R50009" s="1288"/>
    </row>
    <row r="50010" spans="18:18" s="2" customFormat="1" ht="12.75" x14ac:dyDescent="0.2">
      <c r="R50010" s="1288"/>
    </row>
    <row r="50011" spans="18:18" s="2" customFormat="1" ht="12.75" x14ac:dyDescent="0.2">
      <c r="R50011" s="1288"/>
    </row>
    <row r="50012" spans="18:18" s="2" customFormat="1" ht="12.75" x14ac:dyDescent="0.2">
      <c r="R50012" s="1288"/>
    </row>
    <row r="50013" spans="18:18" s="2" customFormat="1" ht="12.75" x14ac:dyDescent="0.2">
      <c r="R50013" s="1288"/>
    </row>
    <row r="50014" spans="18:18" s="2" customFormat="1" ht="12.75" x14ac:dyDescent="0.2">
      <c r="R50014" s="1288"/>
    </row>
    <row r="50015" spans="18:18" s="2" customFormat="1" ht="12.75" x14ac:dyDescent="0.2">
      <c r="R50015" s="1288"/>
    </row>
    <row r="50016" spans="18:18" s="2" customFormat="1" ht="12.75" x14ac:dyDescent="0.2">
      <c r="R50016" s="1288"/>
    </row>
    <row r="50017" spans="18:18" s="2" customFormat="1" ht="12.75" x14ac:dyDescent="0.2">
      <c r="R50017" s="1288"/>
    </row>
    <row r="50018" spans="18:18" s="2" customFormat="1" ht="12.75" x14ac:dyDescent="0.2">
      <c r="R50018" s="1288"/>
    </row>
    <row r="50019" spans="18:18" s="2" customFormat="1" ht="12.75" x14ac:dyDescent="0.2">
      <c r="R50019" s="1288"/>
    </row>
    <row r="50020" spans="18:18" s="2" customFormat="1" ht="12.75" x14ac:dyDescent="0.2">
      <c r="R50020" s="1288"/>
    </row>
    <row r="50021" spans="18:18" s="2" customFormat="1" ht="12.75" x14ac:dyDescent="0.2">
      <c r="R50021" s="1288"/>
    </row>
    <row r="50022" spans="18:18" s="2" customFormat="1" ht="12.75" x14ac:dyDescent="0.2">
      <c r="R50022" s="1288"/>
    </row>
    <row r="50023" spans="18:18" s="2" customFormat="1" ht="12.75" x14ac:dyDescent="0.2">
      <c r="R50023" s="1288"/>
    </row>
    <row r="50024" spans="18:18" s="2" customFormat="1" ht="12.75" x14ac:dyDescent="0.2">
      <c r="R50024" s="1288"/>
    </row>
    <row r="50025" spans="18:18" s="2" customFormat="1" ht="12.75" x14ac:dyDescent="0.2">
      <c r="R50025" s="1288"/>
    </row>
    <row r="50026" spans="18:18" s="2" customFormat="1" ht="12.75" x14ac:dyDescent="0.2">
      <c r="R50026" s="1288"/>
    </row>
    <row r="50027" spans="18:18" s="2" customFormat="1" ht="12.75" x14ac:dyDescent="0.2">
      <c r="R50027" s="1288"/>
    </row>
    <row r="50028" spans="18:18" s="2" customFormat="1" ht="12.75" x14ac:dyDescent="0.2">
      <c r="R50028" s="1288"/>
    </row>
    <row r="50029" spans="18:18" s="2" customFormat="1" ht="12.75" x14ac:dyDescent="0.2">
      <c r="R50029" s="1288"/>
    </row>
    <row r="50030" spans="18:18" s="2" customFormat="1" ht="12.75" x14ac:dyDescent="0.2">
      <c r="R50030" s="1288"/>
    </row>
    <row r="50031" spans="18:18" s="2" customFormat="1" ht="12.75" x14ac:dyDescent="0.2">
      <c r="R50031" s="1288"/>
    </row>
    <row r="50032" spans="18:18" s="2" customFormat="1" ht="12.75" x14ac:dyDescent="0.2">
      <c r="R50032" s="1288"/>
    </row>
    <row r="50033" spans="18:18" s="2" customFormat="1" ht="12.75" x14ac:dyDescent="0.2">
      <c r="R50033" s="1288"/>
    </row>
    <row r="50034" spans="18:18" s="2" customFormat="1" ht="12.75" x14ac:dyDescent="0.2">
      <c r="R50034" s="1288"/>
    </row>
    <row r="50035" spans="18:18" s="2" customFormat="1" ht="12.75" x14ac:dyDescent="0.2">
      <c r="R50035" s="1288"/>
    </row>
    <row r="50036" spans="18:18" s="2" customFormat="1" ht="12.75" x14ac:dyDescent="0.2">
      <c r="R50036" s="1288"/>
    </row>
    <row r="50037" spans="18:18" s="2" customFormat="1" ht="12.75" x14ac:dyDescent="0.2">
      <c r="R50037" s="1288"/>
    </row>
    <row r="50038" spans="18:18" s="2" customFormat="1" ht="12.75" x14ac:dyDescent="0.2">
      <c r="R50038" s="1288"/>
    </row>
    <row r="50039" spans="18:18" s="2" customFormat="1" ht="12.75" x14ac:dyDescent="0.2">
      <c r="R50039" s="1288"/>
    </row>
    <row r="50040" spans="18:18" s="2" customFormat="1" ht="12.75" x14ac:dyDescent="0.2">
      <c r="R50040" s="1288"/>
    </row>
    <row r="50041" spans="18:18" s="2" customFormat="1" ht="12.75" x14ac:dyDescent="0.2">
      <c r="R50041" s="1288"/>
    </row>
    <row r="50042" spans="18:18" s="2" customFormat="1" ht="12.75" x14ac:dyDescent="0.2">
      <c r="R50042" s="1288"/>
    </row>
    <row r="50043" spans="18:18" s="2" customFormat="1" ht="12.75" x14ac:dyDescent="0.2">
      <c r="R50043" s="1288"/>
    </row>
    <row r="50044" spans="18:18" s="2" customFormat="1" ht="12.75" x14ac:dyDescent="0.2">
      <c r="R50044" s="1288"/>
    </row>
    <row r="50045" spans="18:18" s="2" customFormat="1" ht="12.75" x14ac:dyDescent="0.2">
      <c r="R50045" s="1288"/>
    </row>
    <row r="50046" spans="18:18" s="2" customFormat="1" ht="12.75" x14ac:dyDescent="0.2">
      <c r="R50046" s="1288"/>
    </row>
    <row r="50047" spans="18:18" s="2" customFormat="1" ht="12.75" x14ac:dyDescent="0.2">
      <c r="R50047" s="1288"/>
    </row>
    <row r="50048" spans="18:18" s="2" customFormat="1" ht="12.75" x14ac:dyDescent="0.2">
      <c r="R50048" s="1288"/>
    </row>
    <row r="50049" spans="18:18" s="2" customFormat="1" ht="12.75" x14ac:dyDescent="0.2">
      <c r="R50049" s="1288"/>
    </row>
    <row r="50050" spans="18:18" s="2" customFormat="1" ht="12.75" x14ac:dyDescent="0.2">
      <c r="R50050" s="1288"/>
    </row>
    <row r="50051" spans="18:18" s="2" customFormat="1" ht="12.75" x14ac:dyDescent="0.2">
      <c r="R50051" s="1288"/>
    </row>
    <row r="50052" spans="18:18" s="2" customFormat="1" ht="12.75" x14ac:dyDescent="0.2">
      <c r="R50052" s="1288"/>
    </row>
    <row r="50053" spans="18:18" s="2" customFormat="1" ht="12.75" x14ac:dyDescent="0.2">
      <c r="R50053" s="1288"/>
    </row>
    <row r="50054" spans="18:18" s="2" customFormat="1" ht="12.75" x14ac:dyDescent="0.2">
      <c r="R50054" s="1288"/>
    </row>
    <row r="50055" spans="18:18" s="2" customFormat="1" ht="12.75" x14ac:dyDescent="0.2">
      <c r="R50055" s="1288"/>
    </row>
    <row r="50056" spans="18:18" s="2" customFormat="1" ht="12.75" x14ac:dyDescent="0.2">
      <c r="R50056" s="1288"/>
    </row>
    <row r="50057" spans="18:18" s="2" customFormat="1" ht="12.75" x14ac:dyDescent="0.2">
      <c r="R50057" s="1288"/>
    </row>
    <row r="50058" spans="18:18" s="2" customFormat="1" ht="12.75" x14ac:dyDescent="0.2">
      <c r="R50058" s="1288"/>
    </row>
    <row r="50059" spans="18:18" s="2" customFormat="1" ht="12.75" x14ac:dyDescent="0.2">
      <c r="R50059" s="1288"/>
    </row>
    <row r="50060" spans="18:18" s="2" customFormat="1" ht="12.75" x14ac:dyDescent="0.2">
      <c r="R50060" s="1288"/>
    </row>
    <row r="50061" spans="18:18" s="2" customFormat="1" ht="12.75" x14ac:dyDescent="0.2">
      <c r="R50061" s="1288"/>
    </row>
    <row r="50062" spans="18:18" s="2" customFormat="1" ht="12.75" x14ac:dyDescent="0.2">
      <c r="R50062" s="1288"/>
    </row>
    <row r="50063" spans="18:18" s="2" customFormat="1" ht="12.75" x14ac:dyDescent="0.2">
      <c r="R50063" s="1288"/>
    </row>
    <row r="50064" spans="18:18" s="2" customFormat="1" ht="12.75" x14ac:dyDescent="0.2">
      <c r="R50064" s="1288"/>
    </row>
    <row r="50065" spans="18:18" s="2" customFormat="1" ht="12.75" x14ac:dyDescent="0.2">
      <c r="R50065" s="1288"/>
    </row>
    <row r="50066" spans="18:18" s="2" customFormat="1" ht="12.75" x14ac:dyDescent="0.2">
      <c r="R50066" s="1288"/>
    </row>
    <row r="50067" spans="18:18" s="2" customFormat="1" ht="12.75" x14ac:dyDescent="0.2">
      <c r="R50067" s="1288"/>
    </row>
    <row r="50068" spans="18:18" s="2" customFormat="1" ht="12.75" x14ac:dyDescent="0.2">
      <c r="R50068" s="1288"/>
    </row>
    <row r="50069" spans="18:18" s="2" customFormat="1" ht="12.75" x14ac:dyDescent="0.2">
      <c r="R50069" s="1288"/>
    </row>
    <row r="50070" spans="18:18" s="2" customFormat="1" ht="12.75" x14ac:dyDescent="0.2">
      <c r="R50070" s="1288"/>
    </row>
    <row r="50071" spans="18:18" s="2" customFormat="1" ht="12.75" x14ac:dyDescent="0.2">
      <c r="R50071" s="1288"/>
    </row>
    <row r="50072" spans="18:18" s="2" customFormat="1" ht="12.75" x14ac:dyDescent="0.2">
      <c r="R50072" s="1288"/>
    </row>
    <row r="50073" spans="18:18" s="2" customFormat="1" ht="12.75" x14ac:dyDescent="0.2">
      <c r="R50073" s="1288"/>
    </row>
    <row r="50074" spans="18:18" s="2" customFormat="1" ht="12.75" x14ac:dyDescent="0.2">
      <c r="R50074" s="1288"/>
    </row>
    <row r="50075" spans="18:18" s="2" customFormat="1" ht="12.75" x14ac:dyDescent="0.2">
      <c r="R50075" s="1288"/>
    </row>
    <row r="50076" spans="18:18" s="2" customFormat="1" ht="12.75" x14ac:dyDescent="0.2">
      <c r="R50076" s="1288"/>
    </row>
    <row r="50077" spans="18:18" s="2" customFormat="1" ht="12.75" x14ac:dyDescent="0.2">
      <c r="R50077" s="1288"/>
    </row>
    <row r="50078" spans="18:18" s="2" customFormat="1" ht="12.75" x14ac:dyDescent="0.2">
      <c r="R50078" s="1288"/>
    </row>
    <row r="50079" spans="18:18" s="2" customFormat="1" ht="12.75" x14ac:dyDescent="0.2">
      <c r="R50079" s="1288"/>
    </row>
    <row r="50080" spans="18:18" s="2" customFormat="1" ht="12.75" x14ac:dyDescent="0.2">
      <c r="R50080" s="1288"/>
    </row>
    <row r="50081" spans="18:18" s="2" customFormat="1" ht="12.75" x14ac:dyDescent="0.2">
      <c r="R50081" s="1288"/>
    </row>
    <row r="50082" spans="18:18" s="2" customFormat="1" ht="12.75" x14ac:dyDescent="0.2">
      <c r="R50082" s="1288"/>
    </row>
    <row r="50083" spans="18:18" s="2" customFormat="1" ht="12.75" x14ac:dyDescent="0.2">
      <c r="R50083" s="1288"/>
    </row>
    <row r="50084" spans="18:18" s="2" customFormat="1" ht="12.75" x14ac:dyDescent="0.2">
      <c r="R50084" s="1288"/>
    </row>
    <row r="50085" spans="18:18" s="2" customFormat="1" ht="12.75" x14ac:dyDescent="0.2">
      <c r="R50085" s="1288"/>
    </row>
    <row r="50086" spans="18:18" s="2" customFormat="1" ht="12.75" x14ac:dyDescent="0.2">
      <c r="R50086" s="1288"/>
    </row>
    <row r="50087" spans="18:18" s="2" customFormat="1" ht="12.75" x14ac:dyDescent="0.2">
      <c r="R50087" s="1288"/>
    </row>
    <row r="50088" spans="18:18" s="2" customFormat="1" ht="12.75" x14ac:dyDescent="0.2">
      <c r="R50088" s="1288"/>
    </row>
    <row r="50089" spans="18:18" s="2" customFormat="1" ht="12.75" x14ac:dyDescent="0.2">
      <c r="R50089" s="1288"/>
    </row>
    <row r="50090" spans="18:18" s="2" customFormat="1" ht="12.75" x14ac:dyDescent="0.2">
      <c r="R50090" s="1288"/>
    </row>
    <row r="50091" spans="18:18" s="2" customFormat="1" ht="12.75" x14ac:dyDescent="0.2">
      <c r="R50091" s="1288"/>
    </row>
    <row r="50092" spans="18:18" s="2" customFormat="1" ht="12.75" x14ac:dyDescent="0.2">
      <c r="R50092" s="1288"/>
    </row>
    <row r="50093" spans="18:18" s="2" customFormat="1" ht="12.75" x14ac:dyDescent="0.2">
      <c r="R50093" s="1288"/>
    </row>
    <row r="50094" spans="18:18" s="2" customFormat="1" ht="12.75" x14ac:dyDescent="0.2">
      <c r="R50094" s="1288"/>
    </row>
    <row r="50095" spans="18:18" s="2" customFormat="1" ht="12.75" x14ac:dyDescent="0.2">
      <c r="R50095" s="1288"/>
    </row>
    <row r="50096" spans="18:18" s="2" customFormat="1" ht="12.75" x14ac:dyDescent="0.2">
      <c r="R50096" s="1288"/>
    </row>
    <row r="50097" spans="18:18" s="2" customFormat="1" ht="12.75" x14ac:dyDescent="0.2">
      <c r="R50097" s="1288"/>
    </row>
    <row r="50098" spans="18:18" s="2" customFormat="1" ht="12.75" x14ac:dyDescent="0.2">
      <c r="R50098" s="1288"/>
    </row>
    <row r="50099" spans="18:18" s="2" customFormat="1" ht="12.75" x14ac:dyDescent="0.2">
      <c r="R50099" s="1288"/>
    </row>
    <row r="50100" spans="18:18" s="2" customFormat="1" ht="12.75" x14ac:dyDescent="0.2">
      <c r="R50100" s="1288"/>
    </row>
    <row r="50101" spans="18:18" s="2" customFormat="1" ht="12.75" x14ac:dyDescent="0.2">
      <c r="R50101" s="1288"/>
    </row>
    <row r="50102" spans="18:18" s="2" customFormat="1" ht="12.75" x14ac:dyDescent="0.2">
      <c r="R50102" s="1288"/>
    </row>
    <row r="50103" spans="18:18" s="2" customFormat="1" ht="12.75" x14ac:dyDescent="0.2">
      <c r="R50103" s="1288"/>
    </row>
    <row r="50104" spans="18:18" s="2" customFormat="1" ht="12.75" x14ac:dyDescent="0.2">
      <c r="R50104" s="1288"/>
    </row>
    <row r="50105" spans="18:18" s="2" customFormat="1" ht="12.75" x14ac:dyDescent="0.2">
      <c r="R50105" s="1288"/>
    </row>
    <row r="50106" spans="18:18" s="2" customFormat="1" ht="12.75" x14ac:dyDescent="0.2">
      <c r="R50106" s="1288"/>
    </row>
    <row r="50107" spans="18:18" s="2" customFormat="1" ht="12.75" x14ac:dyDescent="0.2">
      <c r="R50107" s="1288"/>
    </row>
    <row r="50108" spans="18:18" s="2" customFormat="1" ht="12.75" x14ac:dyDescent="0.2">
      <c r="R50108" s="1288"/>
    </row>
    <row r="50109" spans="18:18" s="2" customFormat="1" ht="12.75" x14ac:dyDescent="0.2">
      <c r="R50109" s="1288"/>
    </row>
    <row r="50110" spans="18:18" s="2" customFormat="1" ht="12.75" x14ac:dyDescent="0.2">
      <c r="R50110" s="1288"/>
    </row>
    <row r="50111" spans="18:18" s="2" customFormat="1" ht="12.75" x14ac:dyDescent="0.2">
      <c r="R50111" s="1288"/>
    </row>
    <row r="50112" spans="18:18" s="2" customFormat="1" ht="12.75" x14ac:dyDescent="0.2">
      <c r="R50112" s="1288"/>
    </row>
    <row r="50113" spans="18:18" s="2" customFormat="1" ht="12.75" x14ac:dyDescent="0.2">
      <c r="R50113" s="1288"/>
    </row>
    <row r="50114" spans="18:18" s="2" customFormat="1" ht="12.75" x14ac:dyDescent="0.2">
      <c r="R50114" s="1288"/>
    </row>
    <row r="50115" spans="18:18" s="2" customFormat="1" ht="12.75" x14ac:dyDescent="0.2">
      <c r="R50115" s="1288"/>
    </row>
    <row r="50116" spans="18:18" s="2" customFormat="1" ht="12.75" x14ac:dyDescent="0.2">
      <c r="R50116" s="1288"/>
    </row>
    <row r="50117" spans="18:18" s="2" customFormat="1" ht="12.75" x14ac:dyDescent="0.2">
      <c r="R50117" s="1288"/>
    </row>
    <row r="50118" spans="18:18" s="2" customFormat="1" ht="12.75" x14ac:dyDescent="0.2">
      <c r="R50118" s="1288"/>
    </row>
    <row r="50119" spans="18:18" s="2" customFormat="1" ht="12.75" x14ac:dyDescent="0.2">
      <c r="R50119" s="1288"/>
    </row>
    <row r="50120" spans="18:18" s="2" customFormat="1" ht="12.75" x14ac:dyDescent="0.2">
      <c r="R50120" s="1288"/>
    </row>
    <row r="50121" spans="18:18" s="2" customFormat="1" ht="12.75" x14ac:dyDescent="0.2">
      <c r="R50121" s="1288"/>
    </row>
    <row r="50122" spans="18:18" s="2" customFormat="1" ht="12.75" x14ac:dyDescent="0.2">
      <c r="R50122" s="1288"/>
    </row>
    <row r="50123" spans="18:18" s="2" customFormat="1" ht="12.75" x14ac:dyDescent="0.2">
      <c r="R50123" s="1288"/>
    </row>
    <row r="50124" spans="18:18" s="2" customFormat="1" ht="12.75" x14ac:dyDescent="0.2">
      <c r="R50124" s="1288"/>
    </row>
    <row r="50125" spans="18:18" s="2" customFormat="1" ht="12.75" x14ac:dyDescent="0.2">
      <c r="R50125" s="1288"/>
    </row>
    <row r="50126" spans="18:18" s="2" customFormat="1" ht="12.75" x14ac:dyDescent="0.2">
      <c r="R50126" s="1288"/>
    </row>
    <row r="50127" spans="18:18" s="2" customFormat="1" ht="12.75" x14ac:dyDescent="0.2">
      <c r="R50127" s="1288"/>
    </row>
    <row r="50128" spans="18:18" s="2" customFormat="1" ht="12.75" x14ac:dyDescent="0.2">
      <c r="R50128" s="1288"/>
    </row>
    <row r="50129" spans="18:18" s="2" customFormat="1" ht="12.75" x14ac:dyDescent="0.2">
      <c r="R50129" s="1288"/>
    </row>
    <row r="50130" spans="18:18" s="2" customFormat="1" ht="12.75" x14ac:dyDescent="0.2">
      <c r="R50130" s="1288"/>
    </row>
    <row r="50131" spans="18:18" s="2" customFormat="1" ht="12.75" x14ac:dyDescent="0.2">
      <c r="R50131" s="1288"/>
    </row>
    <row r="50132" spans="18:18" s="2" customFormat="1" ht="12.75" x14ac:dyDescent="0.2">
      <c r="R50132" s="1288"/>
    </row>
    <row r="50133" spans="18:18" s="2" customFormat="1" ht="12.75" x14ac:dyDescent="0.2">
      <c r="R50133" s="1288"/>
    </row>
    <row r="50134" spans="18:18" s="2" customFormat="1" ht="12.75" x14ac:dyDescent="0.2">
      <c r="R50134" s="1288"/>
    </row>
    <row r="50135" spans="18:18" s="2" customFormat="1" ht="12.75" x14ac:dyDescent="0.2">
      <c r="R50135" s="1288"/>
    </row>
    <row r="50136" spans="18:18" s="2" customFormat="1" ht="12.75" x14ac:dyDescent="0.2">
      <c r="R50136" s="1288"/>
    </row>
    <row r="50137" spans="18:18" s="2" customFormat="1" ht="12.75" x14ac:dyDescent="0.2">
      <c r="R50137" s="1288"/>
    </row>
    <row r="50138" spans="18:18" s="2" customFormat="1" ht="12.75" x14ac:dyDescent="0.2">
      <c r="R50138" s="1288"/>
    </row>
    <row r="50139" spans="18:18" s="2" customFormat="1" ht="12.75" x14ac:dyDescent="0.2">
      <c r="R50139" s="1288"/>
    </row>
    <row r="50140" spans="18:18" s="2" customFormat="1" ht="12.75" x14ac:dyDescent="0.2">
      <c r="R50140" s="1288"/>
    </row>
    <row r="50141" spans="18:18" s="2" customFormat="1" ht="12.75" x14ac:dyDescent="0.2">
      <c r="R50141" s="1288"/>
    </row>
    <row r="50142" spans="18:18" s="2" customFormat="1" ht="12.75" x14ac:dyDescent="0.2">
      <c r="R50142" s="1288"/>
    </row>
    <row r="50143" spans="18:18" s="2" customFormat="1" ht="12.75" x14ac:dyDescent="0.2">
      <c r="R50143" s="1288"/>
    </row>
    <row r="50144" spans="18:18" s="2" customFormat="1" ht="12.75" x14ac:dyDescent="0.2">
      <c r="R50144" s="1288"/>
    </row>
    <row r="50145" spans="18:18" s="2" customFormat="1" ht="12.75" x14ac:dyDescent="0.2">
      <c r="R50145" s="1288"/>
    </row>
    <row r="50146" spans="18:18" s="2" customFormat="1" ht="12.75" x14ac:dyDescent="0.2">
      <c r="R50146" s="1288"/>
    </row>
    <row r="50147" spans="18:18" s="2" customFormat="1" ht="12.75" x14ac:dyDescent="0.2">
      <c r="R50147" s="1288"/>
    </row>
    <row r="50148" spans="18:18" s="2" customFormat="1" ht="12.75" x14ac:dyDescent="0.2">
      <c r="R50148" s="1288"/>
    </row>
    <row r="50149" spans="18:18" s="2" customFormat="1" ht="12.75" x14ac:dyDescent="0.2">
      <c r="R50149" s="1288"/>
    </row>
    <row r="50150" spans="18:18" s="2" customFormat="1" ht="12.75" x14ac:dyDescent="0.2">
      <c r="R50150" s="1288"/>
    </row>
    <row r="50151" spans="18:18" s="2" customFormat="1" ht="12.75" x14ac:dyDescent="0.2">
      <c r="R50151" s="1288"/>
    </row>
    <row r="50152" spans="18:18" s="2" customFormat="1" ht="12.75" x14ac:dyDescent="0.2">
      <c r="R50152" s="1288"/>
    </row>
    <row r="50153" spans="18:18" s="2" customFormat="1" ht="12.75" x14ac:dyDescent="0.2">
      <c r="R50153" s="1288"/>
    </row>
    <row r="50154" spans="18:18" s="2" customFormat="1" ht="12.75" x14ac:dyDescent="0.2">
      <c r="R50154" s="1288"/>
    </row>
    <row r="50155" spans="18:18" s="2" customFormat="1" ht="12.75" x14ac:dyDescent="0.2">
      <c r="R50155" s="1288"/>
    </row>
    <row r="50156" spans="18:18" s="2" customFormat="1" ht="12.75" x14ac:dyDescent="0.2">
      <c r="R50156" s="1288"/>
    </row>
    <row r="50157" spans="18:18" s="2" customFormat="1" ht="12.75" x14ac:dyDescent="0.2">
      <c r="R50157" s="1288"/>
    </row>
    <row r="50158" spans="18:18" s="2" customFormat="1" ht="12.75" x14ac:dyDescent="0.2">
      <c r="R50158" s="1288"/>
    </row>
    <row r="50159" spans="18:18" s="2" customFormat="1" ht="12.75" x14ac:dyDescent="0.2">
      <c r="R50159" s="1288"/>
    </row>
    <row r="50160" spans="18:18" s="2" customFormat="1" ht="12.75" x14ac:dyDescent="0.2">
      <c r="R50160" s="1288"/>
    </row>
    <row r="50161" spans="18:18" s="2" customFormat="1" ht="12.75" x14ac:dyDescent="0.2">
      <c r="R50161" s="1288"/>
    </row>
    <row r="50162" spans="18:18" s="2" customFormat="1" ht="12.75" x14ac:dyDescent="0.2">
      <c r="R50162" s="1288"/>
    </row>
    <row r="50163" spans="18:18" s="2" customFormat="1" ht="12.75" x14ac:dyDescent="0.2">
      <c r="R50163" s="1288"/>
    </row>
    <row r="50164" spans="18:18" s="2" customFormat="1" ht="12.75" x14ac:dyDescent="0.2">
      <c r="R50164" s="1288"/>
    </row>
    <row r="50165" spans="18:18" s="2" customFormat="1" ht="12.75" x14ac:dyDescent="0.2">
      <c r="R50165" s="1288"/>
    </row>
    <row r="50166" spans="18:18" s="2" customFormat="1" ht="12.75" x14ac:dyDescent="0.2">
      <c r="R50166" s="1288"/>
    </row>
    <row r="50167" spans="18:18" s="2" customFormat="1" ht="12.75" x14ac:dyDescent="0.2">
      <c r="R50167" s="1288"/>
    </row>
    <row r="50168" spans="18:18" s="2" customFormat="1" ht="12.75" x14ac:dyDescent="0.2">
      <c r="R50168" s="1288"/>
    </row>
    <row r="50169" spans="18:18" s="2" customFormat="1" ht="12.75" x14ac:dyDescent="0.2">
      <c r="R50169" s="1288"/>
    </row>
    <row r="50170" spans="18:18" s="2" customFormat="1" ht="12.75" x14ac:dyDescent="0.2">
      <c r="R50170" s="1288"/>
    </row>
    <row r="50171" spans="18:18" s="2" customFormat="1" ht="12.75" x14ac:dyDescent="0.2">
      <c r="R50171" s="1288"/>
    </row>
    <row r="50172" spans="18:18" s="2" customFormat="1" ht="12.75" x14ac:dyDescent="0.2">
      <c r="R50172" s="1288"/>
    </row>
    <row r="50173" spans="18:18" s="2" customFormat="1" ht="12.75" x14ac:dyDescent="0.2">
      <c r="R50173" s="1288"/>
    </row>
    <row r="50174" spans="18:18" s="2" customFormat="1" ht="12.75" x14ac:dyDescent="0.2">
      <c r="R50174" s="1288"/>
    </row>
    <row r="50175" spans="18:18" s="2" customFormat="1" ht="12.75" x14ac:dyDescent="0.2">
      <c r="R50175" s="1288"/>
    </row>
    <row r="50176" spans="18:18" s="2" customFormat="1" ht="12.75" x14ac:dyDescent="0.2">
      <c r="R50176" s="1288"/>
    </row>
    <row r="50177" spans="18:18" s="2" customFormat="1" ht="12.75" x14ac:dyDescent="0.2">
      <c r="R50177" s="1288"/>
    </row>
    <row r="50178" spans="18:18" s="2" customFormat="1" ht="12.75" x14ac:dyDescent="0.2">
      <c r="R50178" s="1288"/>
    </row>
    <row r="50179" spans="18:18" s="2" customFormat="1" ht="12.75" x14ac:dyDescent="0.2">
      <c r="R50179" s="1288"/>
    </row>
    <row r="50180" spans="18:18" s="2" customFormat="1" ht="12.75" x14ac:dyDescent="0.2">
      <c r="R50180" s="1288"/>
    </row>
    <row r="50181" spans="18:18" s="2" customFormat="1" ht="12.75" x14ac:dyDescent="0.2">
      <c r="R50181" s="1288"/>
    </row>
    <row r="50182" spans="18:18" s="2" customFormat="1" ht="12.75" x14ac:dyDescent="0.2">
      <c r="R50182" s="1288"/>
    </row>
    <row r="50183" spans="18:18" s="2" customFormat="1" ht="12.75" x14ac:dyDescent="0.2">
      <c r="R50183" s="1288"/>
    </row>
    <row r="50184" spans="18:18" s="2" customFormat="1" ht="12.75" x14ac:dyDescent="0.2">
      <c r="R50184" s="1288"/>
    </row>
    <row r="50185" spans="18:18" s="2" customFormat="1" ht="12.75" x14ac:dyDescent="0.2">
      <c r="R50185" s="1288"/>
    </row>
    <row r="50186" spans="18:18" s="2" customFormat="1" ht="12.75" x14ac:dyDescent="0.2">
      <c r="R50186" s="1288"/>
    </row>
    <row r="50187" spans="18:18" s="2" customFormat="1" ht="12.75" x14ac:dyDescent="0.2">
      <c r="R50187" s="1288"/>
    </row>
    <row r="50188" spans="18:18" s="2" customFormat="1" ht="12.75" x14ac:dyDescent="0.2">
      <c r="R50188" s="1288"/>
    </row>
    <row r="50189" spans="18:18" s="2" customFormat="1" ht="12.75" x14ac:dyDescent="0.2">
      <c r="R50189" s="1288"/>
    </row>
    <row r="50190" spans="18:18" s="2" customFormat="1" ht="12.75" x14ac:dyDescent="0.2">
      <c r="R50190" s="1288"/>
    </row>
    <row r="50191" spans="18:18" s="2" customFormat="1" ht="12.75" x14ac:dyDescent="0.2">
      <c r="R50191" s="1288"/>
    </row>
    <row r="50192" spans="18:18" s="2" customFormat="1" ht="12.75" x14ac:dyDescent="0.2">
      <c r="R50192" s="1288"/>
    </row>
    <row r="50193" spans="18:18" s="2" customFormat="1" ht="12.75" x14ac:dyDescent="0.2">
      <c r="R50193" s="1288"/>
    </row>
    <row r="50194" spans="18:18" s="2" customFormat="1" ht="12.75" x14ac:dyDescent="0.2">
      <c r="R50194" s="1288"/>
    </row>
    <row r="50195" spans="18:18" s="2" customFormat="1" ht="12.75" x14ac:dyDescent="0.2">
      <c r="R50195" s="1288"/>
    </row>
    <row r="50196" spans="18:18" s="2" customFormat="1" ht="12.75" x14ac:dyDescent="0.2">
      <c r="R50196" s="1288"/>
    </row>
    <row r="50197" spans="18:18" s="2" customFormat="1" ht="12.75" x14ac:dyDescent="0.2">
      <c r="R50197" s="1288"/>
    </row>
    <row r="50198" spans="18:18" s="2" customFormat="1" ht="12.75" x14ac:dyDescent="0.2">
      <c r="R50198" s="1288"/>
    </row>
    <row r="50199" spans="18:18" s="2" customFormat="1" ht="12.75" x14ac:dyDescent="0.2">
      <c r="R50199" s="1288"/>
    </row>
    <row r="50200" spans="18:18" s="2" customFormat="1" ht="12.75" x14ac:dyDescent="0.2">
      <c r="R50200" s="1288"/>
    </row>
    <row r="50201" spans="18:18" s="2" customFormat="1" ht="12.75" x14ac:dyDescent="0.2">
      <c r="R50201" s="1288"/>
    </row>
    <row r="50202" spans="18:18" s="2" customFormat="1" ht="12.75" x14ac:dyDescent="0.2">
      <c r="R50202" s="1288"/>
    </row>
    <row r="50203" spans="18:18" s="2" customFormat="1" ht="12.75" x14ac:dyDescent="0.2">
      <c r="R50203" s="1288"/>
    </row>
    <row r="50204" spans="18:18" s="2" customFormat="1" ht="12.75" x14ac:dyDescent="0.2">
      <c r="R50204" s="1288"/>
    </row>
    <row r="50205" spans="18:18" s="2" customFormat="1" ht="12.75" x14ac:dyDescent="0.2">
      <c r="R50205" s="1288"/>
    </row>
    <row r="50206" spans="18:18" s="2" customFormat="1" ht="12.75" x14ac:dyDescent="0.2">
      <c r="R50206" s="1288"/>
    </row>
    <row r="50207" spans="18:18" s="2" customFormat="1" ht="12.75" x14ac:dyDescent="0.2">
      <c r="R50207" s="1288"/>
    </row>
    <row r="50208" spans="18:18" s="2" customFormat="1" ht="12.75" x14ac:dyDescent="0.2">
      <c r="R50208" s="1288"/>
    </row>
    <row r="50209" spans="18:18" s="2" customFormat="1" ht="12.75" x14ac:dyDescent="0.2">
      <c r="R50209" s="1288"/>
    </row>
    <row r="50210" spans="18:18" s="2" customFormat="1" ht="12.75" x14ac:dyDescent="0.2">
      <c r="R50210" s="1288"/>
    </row>
    <row r="50211" spans="18:18" s="2" customFormat="1" ht="12.75" x14ac:dyDescent="0.2">
      <c r="R50211" s="1288"/>
    </row>
    <row r="50212" spans="18:18" s="2" customFormat="1" ht="12.75" x14ac:dyDescent="0.2">
      <c r="R50212" s="1288"/>
    </row>
    <row r="50213" spans="18:18" s="2" customFormat="1" ht="12.75" x14ac:dyDescent="0.2">
      <c r="R50213" s="1288"/>
    </row>
    <row r="50214" spans="18:18" s="2" customFormat="1" ht="12.75" x14ac:dyDescent="0.2">
      <c r="R50214" s="1288"/>
    </row>
    <row r="50215" spans="18:18" s="2" customFormat="1" ht="12.75" x14ac:dyDescent="0.2">
      <c r="R50215" s="1288"/>
    </row>
    <row r="50216" spans="18:18" s="2" customFormat="1" ht="12.75" x14ac:dyDescent="0.2">
      <c r="R50216" s="1288"/>
    </row>
    <row r="50217" spans="18:18" s="2" customFormat="1" ht="12.75" x14ac:dyDescent="0.2">
      <c r="R50217" s="1288"/>
    </row>
    <row r="50218" spans="18:18" s="2" customFormat="1" ht="12.75" x14ac:dyDescent="0.2">
      <c r="R50218" s="1288"/>
    </row>
    <row r="50219" spans="18:18" s="2" customFormat="1" ht="12.75" x14ac:dyDescent="0.2">
      <c r="R50219" s="1288"/>
    </row>
    <row r="50220" spans="18:18" s="2" customFormat="1" ht="12.75" x14ac:dyDescent="0.2">
      <c r="R50220" s="1288"/>
    </row>
    <row r="50221" spans="18:18" s="2" customFormat="1" ht="12.75" x14ac:dyDescent="0.2">
      <c r="R50221" s="1288"/>
    </row>
    <row r="50222" spans="18:18" s="2" customFormat="1" ht="12.75" x14ac:dyDescent="0.2">
      <c r="R50222" s="1288"/>
    </row>
    <row r="50223" spans="18:18" s="2" customFormat="1" ht="12.75" x14ac:dyDescent="0.2">
      <c r="R50223" s="1288"/>
    </row>
    <row r="50224" spans="18:18" s="2" customFormat="1" ht="12.75" x14ac:dyDescent="0.2">
      <c r="R50224" s="1288"/>
    </row>
    <row r="50225" spans="18:18" s="2" customFormat="1" ht="12.75" x14ac:dyDescent="0.2">
      <c r="R50225" s="1288"/>
    </row>
    <row r="50226" spans="18:18" s="2" customFormat="1" ht="12.75" x14ac:dyDescent="0.2">
      <c r="R50226" s="1288"/>
    </row>
    <row r="50227" spans="18:18" s="2" customFormat="1" ht="12.75" x14ac:dyDescent="0.2">
      <c r="R50227" s="1288"/>
    </row>
    <row r="50228" spans="18:18" s="2" customFormat="1" ht="12.75" x14ac:dyDescent="0.2">
      <c r="R50228" s="1288"/>
    </row>
    <row r="50229" spans="18:18" s="2" customFormat="1" ht="12.75" x14ac:dyDescent="0.2">
      <c r="R50229" s="1288"/>
    </row>
    <row r="50230" spans="18:18" s="2" customFormat="1" ht="12.75" x14ac:dyDescent="0.2">
      <c r="R50230" s="1288"/>
    </row>
    <row r="50231" spans="18:18" s="2" customFormat="1" ht="12.75" x14ac:dyDescent="0.2">
      <c r="R50231" s="1288"/>
    </row>
    <row r="50232" spans="18:18" s="2" customFormat="1" ht="12.75" x14ac:dyDescent="0.2">
      <c r="R50232" s="1288"/>
    </row>
    <row r="50233" spans="18:18" s="2" customFormat="1" ht="12.75" x14ac:dyDescent="0.2">
      <c r="R50233" s="1288"/>
    </row>
    <row r="50234" spans="18:18" s="2" customFormat="1" ht="12.75" x14ac:dyDescent="0.2">
      <c r="R50234" s="1288"/>
    </row>
    <row r="50235" spans="18:18" s="2" customFormat="1" ht="12.75" x14ac:dyDescent="0.2">
      <c r="R50235" s="1288"/>
    </row>
    <row r="50236" spans="18:18" s="2" customFormat="1" ht="12.75" x14ac:dyDescent="0.2">
      <c r="R50236" s="1288"/>
    </row>
    <row r="50237" spans="18:18" s="2" customFormat="1" ht="12.75" x14ac:dyDescent="0.2">
      <c r="R50237" s="1288"/>
    </row>
    <row r="50238" spans="18:18" s="2" customFormat="1" ht="12.75" x14ac:dyDescent="0.2">
      <c r="R50238" s="1288"/>
    </row>
    <row r="50239" spans="18:18" s="2" customFormat="1" ht="12.75" x14ac:dyDescent="0.2">
      <c r="R50239" s="1288"/>
    </row>
    <row r="50240" spans="18:18" s="2" customFormat="1" ht="12.75" x14ac:dyDescent="0.2">
      <c r="R50240" s="1288"/>
    </row>
    <row r="50241" spans="18:18" s="2" customFormat="1" ht="12.75" x14ac:dyDescent="0.2">
      <c r="R50241" s="1288"/>
    </row>
    <row r="50242" spans="18:18" s="2" customFormat="1" ht="12.75" x14ac:dyDescent="0.2">
      <c r="R50242" s="1288"/>
    </row>
    <row r="50243" spans="18:18" s="2" customFormat="1" ht="12.75" x14ac:dyDescent="0.2">
      <c r="R50243" s="1288"/>
    </row>
    <row r="50244" spans="18:18" s="2" customFormat="1" ht="12.75" x14ac:dyDescent="0.2">
      <c r="R50244" s="1288"/>
    </row>
    <row r="50245" spans="18:18" s="2" customFormat="1" ht="12.75" x14ac:dyDescent="0.2">
      <c r="R50245" s="1288"/>
    </row>
    <row r="50246" spans="18:18" s="2" customFormat="1" ht="12.75" x14ac:dyDescent="0.2">
      <c r="R50246" s="1288"/>
    </row>
    <row r="50247" spans="18:18" s="2" customFormat="1" ht="12.75" x14ac:dyDescent="0.2">
      <c r="R50247" s="1288"/>
    </row>
    <row r="50248" spans="18:18" s="2" customFormat="1" ht="12.75" x14ac:dyDescent="0.2">
      <c r="R50248" s="1288"/>
    </row>
    <row r="50249" spans="18:18" s="2" customFormat="1" ht="12.75" x14ac:dyDescent="0.2">
      <c r="R50249" s="1288"/>
    </row>
    <row r="50250" spans="18:18" s="2" customFormat="1" ht="12.75" x14ac:dyDescent="0.2">
      <c r="R50250" s="1288"/>
    </row>
    <row r="50251" spans="18:18" s="2" customFormat="1" ht="12.75" x14ac:dyDescent="0.2">
      <c r="R50251" s="1288"/>
    </row>
    <row r="50252" spans="18:18" s="2" customFormat="1" ht="12.75" x14ac:dyDescent="0.2">
      <c r="R50252" s="1288"/>
    </row>
    <row r="50253" spans="18:18" s="2" customFormat="1" ht="12.75" x14ac:dyDescent="0.2">
      <c r="R50253" s="1288"/>
    </row>
    <row r="50254" spans="18:18" s="2" customFormat="1" ht="12.75" x14ac:dyDescent="0.2">
      <c r="R50254" s="1288"/>
    </row>
    <row r="50255" spans="18:18" s="2" customFormat="1" ht="12.75" x14ac:dyDescent="0.2">
      <c r="R50255" s="1288"/>
    </row>
    <row r="50256" spans="18:18" s="2" customFormat="1" ht="12.75" x14ac:dyDescent="0.2">
      <c r="R50256" s="1288"/>
    </row>
    <row r="50257" spans="18:18" s="2" customFormat="1" ht="12.75" x14ac:dyDescent="0.2">
      <c r="R50257" s="1288"/>
    </row>
    <row r="50258" spans="18:18" s="2" customFormat="1" ht="12.75" x14ac:dyDescent="0.2">
      <c r="R50258" s="1288"/>
    </row>
    <row r="50259" spans="18:18" s="2" customFormat="1" ht="12.75" x14ac:dyDescent="0.2">
      <c r="R50259" s="1288"/>
    </row>
    <row r="50260" spans="18:18" s="2" customFormat="1" ht="12.75" x14ac:dyDescent="0.2">
      <c r="R50260" s="1288"/>
    </row>
    <row r="50261" spans="18:18" s="2" customFormat="1" ht="12.75" x14ac:dyDescent="0.2">
      <c r="R50261" s="1288"/>
    </row>
    <row r="50262" spans="18:18" s="2" customFormat="1" ht="12.75" x14ac:dyDescent="0.2">
      <c r="R50262" s="1288"/>
    </row>
    <row r="50263" spans="18:18" s="2" customFormat="1" ht="12.75" x14ac:dyDescent="0.2">
      <c r="R50263" s="1288"/>
    </row>
    <row r="50264" spans="18:18" s="2" customFormat="1" ht="12.75" x14ac:dyDescent="0.2">
      <c r="R50264" s="1288"/>
    </row>
    <row r="50265" spans="18:18" s="2" customFormat="1" ht="12.75" x14ac:dyDescent="0.2">
      <c r="R50265" s="1288"/>
    </row>
    <row r="50266" spans="18:18" s="2" customFormat="1" ht="12.75" x14ac:dyDescent="0.2">
      <c r="R50266" s="1288"/>
    </row>
    <row r="50267" spans="18:18" s="2" customFormat="1" ht="12.75" x14ac:dyDescent="0.2">
      <c r="R50267" s="1288"/>
    </row>
    <row r="50268" spans="18:18" s="2" customFormat="1" ht="12.75" x14ac:dyDescent="0.2">
      <c r="R50268" s="1288"/>
    </row>
    <row r="50269" spans="18:18" s="2" customFormat="1" ht="12.75" x14ac:dyDescent="0.2">
      <c r="R50269" s="1288"/>
    </row>
    <row r="50270" spans="18:18" s="2" customFormat="1" ht="12.75" x14ac:dyDescent="0.2">
      <c r="R50270" s="1288"/>
    </row>
    <row r="50271" spans="18:18" s="2" customFormat="1" ht="12.75" x14ac:dyDescent="0.2">
      <c r="R50271" s="1288"/>
    </row>
    <row r="50272" spans="18:18" s="2" customFormat="1" ht="12.75" x14ac:dyDescent="0.2">
      <c r="R50272" s="1288"/>
    </row>
    <row r="50273" spans="18:18" s="2" customFormat="1" ht="12.75" x14ac:dyDescent="0.2">
      <c r="R50273" s="1288"/>
    </row>
    <row r="50274" spans="18:18" s="2" customFormat="1" ht="12.75" x14ac:dyDescent="0.2">
      <c r="R50274" s="1288"/>
    </row>
    <row r="50275" spans="18:18" s="2" customFormat="1" ht="12.75" x14ac:dyDescent="0.2">
      <c r="R50275" s="1288"/>
    </row>
    <row r="50276" spans="18:18" s="2" customFormat="1" ht="12.75" x14ac:dyDescent="0.2">
      <c r="R50276" s="1288"/>
    </row>
    <row r="50277" spans="18:18" s="2" customFormat="1" ht="12.75" x14ac:dyDescent="0.2">
      <c r="R50277" s="1288"/>
    </row>
    <row r="50278" spans="18:18" s="2" customFormat="1" ht="12.75" x14ac:dyDescent="0.2">
      <c r="R50278" s="1288"/>
    </row>
    <row r="50279" spans="18:18" s="2" customFormat="1" ht="12.75" x14ac:dyDescent="0.2">
      <c r="R50279" s="1288"/>
    </row>
    <row r="50280" spans="18:18" s="2" customFormat="1" ht="12.75" x14ac:dyDescent="0.2">
      <c r="R50280" s="1288"/>
    </row>
    <row r="50281" spans="18:18" s="2" customFormat="1" ht="12.75" x14ac:dyDescent="0.2">
      <c r="R50281" s="1288"/>
    </row>
    <row r="50282" spans="18:18" s="2" customFormat="1" ht="12.75" x14ac:dyDescent="0.2">
      <c r="R50282" s="1288"/>
    </row>
    <row r="50283" spans="18:18" s="2" customFormat="1" ht="12.75" x14ac:dyDescent="0.2">
      <c r="R50283" s="1288"/>
    </row>
    <row r="50284" spans="18:18" s="2" customFormat="1" ht="12.75" x14ac:dyDescent="0.2">
      <c r="R50284" s="1288"/>
    </row>
    <row r="50285" spans="18:18" s="2" customFormat="1" ht="12.75" x14ac:dyDescent="0.2">
      <c r="R50285" s="1288"/>
    </row>
    <row r="50286" spans="18:18" s="2" customFormat="1" ht="12.75" x14ac:dyDescent="0.2">
      <c r="R50286" s="1288"/>
    </row>
    <row r="50287" spans="18:18" s="2" customFormat="1" ht="12.75" x14ac:dyDescent="0.2">
      <c r="R50287" s="1288"/>
    </row>
    <row r="50288" spans="18:18" s="2" customFormat="1" ht="12.75" x14ac:dyDescent="0.2">
      <c r="R50288" s="1288"/>
    </row>
    <row r="50289" spans="18:18" s="2" customFormat="1" ht="12.75" x14ac:dyDescent="0.2">
      <c r="R50289" s="1288"/>
    </row>
    <row r="50290" spans="18:18" s="2" customFormat="1" ht="12.75" x14ac:dyDescent="0.2">
      <c r="R50290" s="1288"/>
    </row>
    <row r="50291" spans="18:18" s="2" customFormat="1" ht="12.75" x14ac:dyDescent="0.2">
      <c r="R50291" s="1288"/>
    </row>
    <row r="50292" spans="18:18" s="2" customFormat="1" ht="12.75" x14ac:dyDescent="0.2">
      <c r="R50292" s="1288"/>
    </row>
    <row r="50293" spans="18:18" s="2" customFormat="1" ht="12.75" x14ac:dyDescent="0.2">
      <c r="R50293" s="1288"/>
    </row>
    <row r="50294" spans="18:18" s="2" customFormat="1" ht="12.75" x14ac:dyDescent="0.2">
      <c r="R50294" s="1288"/>
    </row>
    <row r="50295" spans="18:18" s="2" customFormat="1" ht="12.75" x14ac:dyDescent="0.2">
      <c r="R50295" s="1288"/>
    </row>
    <row r="50296" spans="18:18" s="2" customFormat="1" ht="12.75" x14ac:dyDescent="0.2">
      <c r="R50296" s="1288"/>
    </row>
    <row r="50297" spans="18:18" s="2" customFormat="1" ht="12.75" x14ac:dyDescent="0.2">
      <c r="R50297" s="1288"/>
    </row>
    <row r="50298" spans="18:18" s="2" customFormat="1" ht="12.75" x14ac:dyDescent="0.2">
      <c r="R50298" s="1288"/>
    </row>
    <row r="50299" spans="18:18" s="2" customFormat="1" ht="12.75" x14ac:dyDescent="0.2">
      <c r="R50299" s="1288"/>
    </row>
    <row r="50300" spans="18:18" s="2" customFormat="1" ht="12.75" x14ac:dyDescent="0.2">
      <c r="R50300" s="1288"/>
    </row>
    <row r="50301" spans="18:18" s="2" customFormat="1" ht="12.75" x14ac:dyDescent="0.2">
      <c r="R50301" s="1288"/>
    </row>
    <row r="50302" spans="18:18" s="2" customFormat="1" ht="12.75" x14ac:dyDescent="0.2">
      <c r="R50302" s="1288"/>
    </row>
    <row r="50303" spans="18:18" s="2" customFormat="1" ht="12.75" x14ac:dyDescent="0.2">
      <c r="R50303" s="1288"/>
    </row>
    <row r="50304" spans="18:18" s="2" customFormat="1" ht="12.75" x14ac:dyDescent="0.2">
      <c r="R50304" s="1288"/>
    </row>
    <row r="50305" spans="18:18" s="2" customFormat="1" ht="12.75" x14ac:dyDescent="0.2">
      <c r="R50305" s="1288"/>
    </row>
    <row r="50306" spans="18:18" s="2" customFormat="1" ht="12.75" x14ac:dyDescent="0.2">
      <c r="R50306" s="1288"/>
    </row>
    <row r="50307" spans="18:18" s="2" customFormat="1" ht="12.75" x14ac:dyDescent="0.2">
      <c r="R50307" s="1288"/>
    </row>
    <row r="50308" spans="18:18" s="2" customFormat="1" ht="12.75" x14ac:dyDescent="0.2">
      <c r="R50308" s="1288"/>
    </row>
    <row r="50309" spans="18:18" s="2" customFormat="1" ht="12.75" x14ac:dyDescent="0.2">
      <c r="R50309" s="1288"/>
    </row>
    <row r="50310" spans="18:18" s="2" customFormat="1" ht="12.75" x14ac:dyDescent="0.2">
      <c r="R50310" s="1288"/>
    </row>
    <row r="50311" spans="18:18" s="2" customFormat="1" ht="12.75" x14ac:dyDescent="0.2">
      <c r="R50311" s="1288"/>
    </row>
    <row r="50312" spans="18:18" s="2" customFormat="1" ht="12.75" x14ac:dyDescent="0.2">
      <c r="R50312" s="1288"/>
    </row>
    <row r="50313" spans="18:18" s="2" customFormat="1" ht="12.75" x14ac:dyDescent="0.2">
      <c r="R50313" s="1288"/>
    </row>
    <row r="50314" spans="18:18" s="2" customFormat="1" ht="12.75" x14ac:dyDescent="0.2">
      <c r="R50314" s="1288"/>
    </row>
    <row r="50315" spans="18:18" s="2" customFormat="1" ht="12.75" x14ac:dyDescent="0.2">
      <c r="R50315" s="1288"/>
    </row>
    <row r="50316" spans="18:18" s="2" customFormat="1" ht="12.75" x14ac:dyDescent="0.2">
      <c r="R50316" s="1288"/>
    </row>
    <row r="50317" spans="18:18" s="2" customFormat="1" ht="12.75" x14ac:dyDescent="0.2">
      <c r="R50317" s="1288"/>
    </row>
    <row r="50318" spans="18:18" s="2" customFormat="1" ht="12.75" x14ac:dyDescent="0.2">
      <c r="R50318" s="1288"/>
    </row>
    <row r="50319" spans="18:18" s="2" customFormat="1" ht="12.75" x14ac:dyDescent="0.2">
      <c r="R50319" s="1288"/>
    </row>
    <row r="50320" spans="18:18" s="2" customFormat="1" ht="12.75" x14ac:dyDescent="0.2">
      <c r="R50320" s="1288"/>
    </row>
    <row r="50321" spans="18:18" s="2" customFormat="1" ht="12.75" x14ac:dyDescent="0.2">
      <c r="R50321" s="1288"/>
    </row>
    <row r="50322" spans="18:18" s="2" customFormat="1" ht="12.75" x14ac:dyDescent="0.2">
      <c r="R50322" s="1288"/>
    </row>
    <row r="50323" spans="18:18" s="2" customFormat="1" ht="12.75" x14ac:dyDescent="0.2">
      <c r="R50323" s="1288"/>
    </row>
    <row r="50324" spans="18:18" s="2" customFormat="1" ht="12.75" x14ac:dyDescent="0.2">
      <c r="R50324" s="1288"/>
    </row>
    <row r="50325" spans="18:18" s="2" customFormat="1" ht="12.75" x14ac:dyDescent="0.2">
      <c r="R50325" s="1288"/>
    </row>
    <row r="50326" spans="18:18" s="2" customFormat="1" ht="12.75" x14ac:dyDescent="0.2">
      <c r="R50326" s="1288"/>
    </row>
    <row r="50327" spans="18:18" s="2" customFormat="1" ht="12.75" x14ac:dyDescent="0.2">
      <c r="R50327" s="1288"/>
    </row>
    <row r="50328" spans="18:18" s="2" customFormat="1" ht="12.75" x14ac:dyDescent="0.2">
      <c r="R50328" s="1288"/>
    </row>
    <row r="50329" spans="18:18" s="2" customFormat="1" ht="12.75" x14ac:dyDescent="0.2">
      <c r="R50329" s="1288"/>
    </row>
    <row r="50330" spans="18:18" s="2" customFormat="1" ht="12.75" x14ac:dyDescent="0.2">
      <c r="R50330" s="1288"/>
    </row>
    <row r="50331" spans="18:18" s="2" customFormat="1" ht="12.75" x14ac:dyDescent="0.2">
      <c r="R50331" s="1288"/>
    </row>
    <row r="50332" spans="18:18" s="2" customFormat="1" ht="12.75" x14ac:dyDescent="0.2">
      <c r="R50332" s="1288"/>
    </row>
    <row r="50333" spans="18:18" s="2" customFormat="1" ht="12.75" x14ac:dyDescent="0.2">
      <c r="R50333" s="1288"/>
    </row>
    <row r="50334" spans="18:18" s="2" customFormat="1" ht="12.75" x14ac:dyDescent="0.2">
      <c r="R50334" s="1288"/>
    </row>
    <row r="50335" spans="18:18" s="2" customFormat="1" ht="12.75" x14ac:dyDescent="0.2">
      <c r="R50335" s="1288"/>
    </row>
    <row r="50336" spans="18:18" s="2" customFormat="1" ht="12.75" x14ac:dyDescent="0.2">
      <c r="R50336" s="1288"/>
    </row>
    <row r="50337" spans="18:18" s="2" customFormat="1" ht="12.75" x14ac:dyDescent="0.2">
      <c r="R50337" s="1288"/>
    </row>
    <row r="50338" spans="18:18" s="2" customFormat="1" ht="12.75" x14ac:dyDescent="0.2">
      <c r="R50338" s="1288"/>
    </row>
    <row r="50339" spans="18:18" s="2" customFormat="1" ht="12.75" x14ac:dyDescent="0.2">
      <c r="R50339" s="1288"/>
    </row>
    <row r="50340" spans="18:18" s="2" customFormat="1" ht="12.75" x14ac:dyDescent="0.2">
      <c r="R50340" s="1288"/>
    </row>
    <row r="50341" spans="18:18" s="2" customFormat="1" ht="12.75" x14ac:dyDescent="0.2">
      <c r="R50341" s="1288"/>
    </row>
    <row r="50342" spans="18:18" s="2" customFormat="1" ht="12.75" x14ac:dyDescent="0.2">
      <c r="R50342" s="1288"/>
    </row>
    <row r="50343" spans="18:18" s="2" customFormat="1" ht="12.75" x14ac:dyDescent="0.2">
      <c r="R50343" s="1288"/>
    </row>
    <row r="50344" spans="18:18" s="2" customFormat="1" ht="12.75" x14ac:dyDescent="0.2">
      <c r="R50344" s="1288"/>
    </row>
    <row r="50345" spans="18:18" s="2" customFormat="1" ht="12.75" x14ac:dyDescent="0.2">
      <c r="R50345" s="1288"/>
    </row>
    <row r="50346" spans="18:18" s="2" customFormat="1" ht="12.75" x14ac:dyDescent="0.2">
      <c r="R50346" s="1288"/>
    </row>
    <row r="50347" spans="18:18" s="2" customFormat="1" ht="12.75" x14ac:dyDescent="0.2">
      <c r="R50347" s="1288"/>
    </row>
    <row r="50348" spans="18:18" s="2" customFormat="1" ht="12.75" x14ac:dyDescent="0.2">
      <c r="R50348" s="1288"/>
    </row>
    <row r="50349" spans="18:18" s="2" customFormat="1" ht="12.75" x14ac:dyDescent="0.2">
      <c r="R50349" s="1288"/>
    </row>
    <row r="50350" spans="18:18" s="2" customFormat="1" ht="12.75" x14ac:dyDescent="0.2">
      <c r="R50350" s="1288"/>
    </row>
    <row r="50351" spans="18:18" s="2" customFormat="1" ht="12.75" x14ac:dyDescent="0.2">
      <c r="R50351" s="1288"/>
    </row>
    <row r="50352" spans="18:18" s="2" customFormat="1" ht="12.75" x14ac:dyDescent="0.2">
      <c r="R50352" s="1288"/>
    </row>
    <row r="50353" spans="18:18" s="2" customFormat="1" ht="12.75" x14ac:dyDescent="0.2">
      <c r="R50353" s="1288"/>
    </row>
    <row r="50354" spans="18:18" s="2" customFormat="1" ht="12.75" x14ac:dyDescent="0.2">
      <c r="R50354" s="1288"/>
    </row>
    <row r="50355" spans="18:18" s="2" customFormat="1" ht="12.75" x14ac:dyDescent="0.2">
      <c r="R50355" s="1288"/>
    </row>
    <row r="50356" spans="18:18" s="2" customFormat="1" ht="12.75" x14ac:dyDescent="0.2">
      <c r="R50356" s="1288"/>
    </row>
    <row r="50357" spans="18:18" s="2" customFormat="1" ht="12.75" x14ac:dyDescent="0.2">
      <c r="R50357" s="1288"/>
    </row>
    <row r="50358" spans="18:18" s="2" customFormat="1" ht="12.75" x14ac:dyDescent="0.2">
      <c r="R50358" s="1288"/>
    </row>
    <row r="50359" spans="18:18" s="2" customFormat="1" ht="12.75" x14ac:dyDescent="0.2">
      <c r="R50359" s="1288"/>
    </row>
    <row r="50360" spans="18:18" s="2" customFormat="1" ht="12.75" x14ac:dyDescent="0.2">
      <c r="R50360" s="1288"/>
    </row>
    <row r="50361" spans="18:18" s="2" customFormat="1" ht="12.75" x14ac:dyDescent="0.2">
      <c r="R50361" s="1288"/>
    </row>
    <row r="50362" spans="18:18" s="2" customFormat="1" ht="12.75" x14ac:dyDescent="0.2">
      <c r="R50362" s="1288"/>
    </row>
    <row r="50363" spans="18:18" s="2" customFormat="1" ht="12.75" x14ac:dyDescent="0.2">
      <c r="R50363" s="1288"/>
    </row>
    <row r="50364" spans="18:18" s="2" customFormat="1" ht="12.75" x14ac:dyDescent="0.2">
      <c r="R50364" s="1288"/>
    </row>
    <row r="50365" spans="18:18" s="2" customFormat="1" ht="12.75" x14ac:dyDescent="0.2">
      <c r="R50365" s="1288"/>
    </row>
    <row r="50366" spans="18:18" s="2" customFormat="1" ht="12.75" x14ac:dyDescent="0.2">
      <c r="R50366" s="1288"/>
    </row>
    <row r="50367" spans="18:18" s="2" customFormat="1" ht="12.75" x14ac:dyDescent="0.2">
      <c r="R50367" s="1288"/>
    </row>
    <row r="50368" spans="18:18" s="2" customFormat="1" ht="12.75" x14ac:dyDescent="0.2">
      <c r="R50368" s="1288"/>
    </row>
    <row r="50369" spans="18:18" s="2" customFormat="1" ht="12.75" x14ac:dyDescent="0.2">
      <c r="R50369" s="1288"/>
    </row>
    <row r="50370" spans="18:18" s="2" customFormat="1" ht="12.75" x14ac:dyDescent="0.2">
      <c r="R50370" s="1288"/>
    </row>
    <row r="50371" spans="18:18" s="2" customFormat="1" ht="12.75" x14ac:dyDescent="0.2">
      <c r="R50371" s="1288"/>
    </row>
    <row r="50372" spans="18:18" s="2" customFormat="1" ht="12.75" x14ac:dyDescent="0.2">
      <c r="R50372" s="1288"/>
    </row>
    <row r="50373" spans="18:18" s="2" customFormat="1" ht="12.75" x14ac:dyDescent="0.2">
      <c r="R50373" s="1288"/>
    </row>
    <row r="50374" spans="18:18" s="2" customFormat="1" ht="12.75" x14ac:dyDescent="0.2">
      <c r="R50374" s="1288"/>
    </row>
    <row r="50375" spans="18:18" s="2" customFormat="1" ht="12.75" x14ac:dyDescent="0.2">
      <c r="R50375" s="1288"/>
    </row>
    <row r="50376" spans="18:18" s="2" customFormat="1" ht="12.75" x14ac:dyDescent="0.2">
      <c r="R50376" s="1288"/>
    </row>
    <row r="50377" spans="18:18" s="2" customFormat="1" ht="12.75" x14ac:dyDescent="0.2">
      <c r="R50377" s="1288"/>
    </row>
    <row r="50378" spans="18:18" s="2" customFormat="1" ht="12.75" x14ac:dyDescent="0.2">
      <c r="R50378" s="1288"/>
    </row>
    <row r="50379" spans="18:18" s="2" customFormat="1" ht="12.75" x14ac:dyDescent="0.2">
      <c r="R50379" s="1288"/>
    </row>
    <row r="50380" spans="18:18" s="2" customFormat="1" ht="12.75" x14ac:dyDescent="0.2">
      <c r="R50380" s="1288"/>
    </row>
    <row r="50381" spans="18:18" s="2" customFormat="1" ht="12.75" x14ac:dyDescent="0.2">
      <c r="R50381" s="1288"/>
    </row>
    <row r="50382" spans="18:18" s="2" customFormat="1" ht="12.75" x14ac:dyDescent="0.2">
      <c r="R50382" s="1288"/>
    </row>
    <row r="50383" spans="18:18" s="2" customFormat="1" ht="12.75" x14ac:dyDescent="0.2">
      <c r="R50383" s="1288"/>
    </row>
    <row r="50384" spans="18:18" s="2" customFormat="1" ht="12.75" x14ac:dyDescent="0.2">
      <c r="R50384" s="1288"/>
    </row>
    <row r="50385" spans="18:18" s="2" customFormat="1" ht="12.75" x14ac:dyDescent="0.2">
      <c r="R50385" s="1288"/>
    </row>
    <row r="50386" spans="18:18" s="2" customFormat="1" ht="12.75" x14ac:dyDescent="0.2">
      <c r="R50386" s="1288"/>
    </row>
    <row r="50387" spans="18:18" s="2" customFormat="1" ht="12.75" x14ac:dyDescent="0.2">
      <c r="R50387" s="1288"/>
    </row>
    <row r="50388" spans="18:18" s="2" customFormat="1" ht="12.75" x14ac:dyDescent="0.2">
      <c r="R50388" s="1288"/>
    </row>
    <row r="50389" spans="18:18" s="2" customFormat="1" ht="12.75" x14ac:dyDescent="0.2">
      <c r="R50389" s="1288"/>
    </row>
    <row r="50390" spans="18:18" s="2" customFormat="1" ht="12.75" x14ac:dyDescent="0.2">
      <c r="R50390" s="1288"/>
    </row>
    <row r="50391" spans="18:18" s="2" customFormat="1" ht="12.75" x14ac:dyDescent="0.2">
      <c r="R50391" s="1288"/>
    </row>
    <row r="50392" spans="18:18" s="2" customFormat="1" ht="12.75" x14ac:dyDescent="0.2">
      <c r="R50392" s="1288"/>
    </row>
    <row r="50393" spans="18:18" s="2" customFormat="1" ht="12.75" x14ac:dyDescent="0.2">
      <c r="R50393" s="1288"/>
    </row>
    <row r="50394" spans="18:18" s="2" customFormat="1" ht="12.75" x14ac:dyDescent="0.2">
      <c r="R50394" s="1288"/>
    </row>
    <row r="50395" spans="18:18" s="2" customFormat="1" ht="12.75" x14ac:dyDescent="0.2">
      <c r="R50395" s="1288"/>
    </row>
    <row r="50396" spans="18:18" s="2" customFormat="1" ht="12.75" x14ac:dyDescent="0.2">
      <c r="R50396" s="1288"/>
    </row>
    <row r="50397" spans="18:18" s="2" customFormat="1" ht="12.75" x14ac:dyDescent="0.2">
      <c r="R50397" s="1288"/>
    </row>
    <row r="50398" spans="18:18" s="2" customFormat="1" ht="12.75" x14ac:dyDescent="0.2">
      <c r="R50398" s="1288"/>
    </row>
    <row r="50399" spans="18:18" s="2" customFormat="1" ht="12.75" x14ac:dyDescent="0.2">
      <c r="R50399" s="1288"/>
    </row>
    <row r="50400" spans="18:18" s="2" customFormat="1" ht="12.75" x14ac:dyDescent="0.2">
      <c r="R50400" s="1288"/>
    </row>
    <row r="50401" spans="18:18" s="2" customFormat="1" ht="12.75" x14ac:dyDescent="0.2">
      <c r="R50401" s="1288"/>
    </row>
    <row r="50402" spans="18:18" s="2" customFormat="1" ht="12.75" x14ac:dyDescent="0.2">
      <c r="R50402" s="1288"/>
    </row>
    <row r="50403" spans="18:18" s="2" customFormat="1" ht="12.75" x14ac:dyDescent="0.2">
      <c r="R50403" s="1288"/>
    </row>
    <row r="50404" spans="18:18" s="2" customFormat="1" ht="12.75" x14ac:dyDescent="0.2">
      <c r="R50404" s="1288"/>
    </row>
    <row r="50405" spans="18:18" s="2" customFormat="1" ht="12.75" x14ac:dyDescent="0.2">
      <c r="R50405" s="1288"/>
    </row>
    <row r="50406" spans="18:18" s="2" customFormat="1" ht="12.75" x14ac:dyDescent="0.2">
      <c r="R50406" s="1288"/>
    </row>
    <row r="50407" spans="18:18" s="2" customFormat="1" ht="12.75" x14ac:dyDescent="0.2">
      <c r="R50407" s="1288"/>
    </row>
    <row r="50408" spans="18:18" s="2" customFormat="1" ht="12.75" x14ac:dyDescent="0.2">
      <c r="R50408" s="1288"/>
    </row>
    <row r="50409" spans="18:18" s="2" customFormat="1" ht="12.75" x14ac:dyDescent="0.2">
      <c r="R50409" s="1288"/>
    </row>
    <row r="50410" spans="18:18" s="2" customFormat="1" ht="12.75" x14ac:dyDescent="0.2">
      <c r="R50410" s="1288"/>
    </row>
    <row r="50411" spans="18:18" s="2" customFormat="1" ht="12.75" x14ac:dyDescent="0.2">
      <c r="R50411" s="1288"/>
    </row>
    <row r="50412" spans="18:18" s="2" customFormat="1" ht="12.75" x14ac:dyDescent="0.2">
      <c r="R50412" s="1288"/>
    </row>
    <row r="50413" spans="18:18" s="2" customFormat="1" ht="12.75" x14ac:dyDescent="0.2">
      <c r="R50413" s="1288"/>
    </row>
    <row r="50414" spans="18:18" s="2" customFormat="1" ht="12.75" x14ac:dyDescent="0.2">
      <c r="R50414" s="1288"/>
    </row>
    <row r="50415" spans="18:18" s="2" customFormat="1" ht="12.75" x14ac:dyDescent="0.2">
      <c r="R50415" s="1288"/>
    </row>
    <row r="50416" spans="18:18" s="2" customFormat="1" ht="12.75" x14ac:dyDescent="0.2">
      <c r="R50416" s="1288"/>
    </row>
    <row r="50417" spans="18:18" s="2" customFormat="1" ht="12.75" x14ac:dyDescent="0.2">
      <c r="R50417" s="1288"/>
    </row>
    <row r="50418" spans="18:18" s="2" customFormat="1" ht="12.75" x14ac:dyDescent="0.2">
      <c r="R50418" s="1288"/>
    </row>
    <row r="50419" spans="18:18" s="2" customFormat="1" ht="12.75" x14ac:dyDescent="0.2">
      <c r="R50419" s="1288"/>
    </row>
    <row r="50420" spans="18:18" s="2" customFormat="1" ht="12.75" x14ac:dyDescent="0.2">
      <c r="R50420" s="1288"/>
    </row>
    <row r="50421" spans="18:18" s="2" customFormat="1" ht="12.75" x14ac:dyDescent="0.2">
      <c r="R50421" s="1288"/>
    </row>
    <row r="50422" spans="18:18" s="2" customFormat="1" ht="12.75" x14ac:dyDescent="0.2">
      <c r="R50422" s="1288"/>
    </row>
    <row r="50423" spans="18:18" s="2" customFormat="1" ht="12.75" x14ac:dyDescent="0.2">
      <c r="R50423" s="1288"/>
    </row>
    <row r="50424" spans="18:18" s="2" customFormat="1" ht="12.75" x14ac:dyDescent="0.2">
      <c r="R50424" s="1288"/>
    </row>
    <row r="50425" spans="18:18" s="2" customFormat="1" ht="12.75" x14ac:dyDescent="0.2">
      <c r="R50425" s="1288"/>
    </row>
    <row r="50426" spans="18:18" s="2" customFormat="1" ht="12.75" x14ac:dyDescent="0.2">
      <c r="R50426" s="1288"/>
    </row>
    <row r="50427" spans="18:18" s="2" customFormat="1" ht="12.75" x14ac:dyDescent="0.2">
      <c r="R50427" s="1288"/>
    </row>
    <row r="50428" spans="18:18" s="2" customFormat="1" ht="12.75" x14ac:dyDescent="0.2">
      <c r="R50428" s="1288"/>
    </row>
    <row r="50429" spans="18:18" s="2" customFormat="1" ht="12.75" x14ac:dyDescent="0.2">
      <c r="R50429" s="1288"/>
    </row>
    <row r="50430" spans="18:18" s="2" customFormat="1" ht="12.75" x14ac:dyDescent="0.2">
      <c r="R50430" s="1288"/>
    </row>
    <row r="50431" spans="18:18" s="2" customFormat="1" ht="12.75" x14ac:dyDescent="0.2">
      <c r="R50431" s="1288"/>
    </row>
    <row r="50432" spans="18:18" s="2" customFormat="1" ht="12.75" x14ac:dyDescent="0.2">
      <c r="R50432" s="1288"/>
    </row>
    <row r="50433" spans="18:18" s="2" customFormat="1" ht="12.75" x14ac:dyDescent="0.2">
      <c r="R50433" s="1288"/>
    </row>
    <row r="50434" spans="18:18" s="2" customFormat="1" ht="12.75" x14ac:dyDescent="0.2">
      <c r="R50434" s="1288"/>
    </row>
    <row r="50435" spans="18:18" s="2" customFormat="1" ht="12.75" x14ac:dyDescent="0.2">
      <c r="R50435" s="1288"/>
    </row>
    <row r="50436" spans="18:18" s="2" customFormat="1" ht="12.75" x14ac:dyDescent="0.2">
      <c r="R50436" s="1288"/>
    </row>
    <row r="50437" spans="18:18" s="2" customFormat="1" ht="12.75" x14ac:dyDescent="0.2">
      <c r="R50437" s="1288"/>
    </row>
    <row r="50438" spans="18:18" s="2" customFormat="1" ht="12.75" x14ac:dyDescent="0.2">
      <c r="R50438" s="1288"/>
    </row>
    <row r="50439" spans="18:18" s="2" customFormat="1" ht="12.75" x14ac:dyDescent="0.2">
      <c r="R50439" s="1288"/>
    </row>
    <row r="50440" spans="18:18" s="2" customFormat="1" ht="12.75" x14ac:dyDescent="0.2">
      <c r="R50440" s="1288"/>
    </row>
    <row r="50441" spans="18:18" s="2" customFormat="1" ht="12.75" x14ac:dyDescent="0.2">
      <c r="R50441" s="1288"/>
    </row>
    <row r="50442" spans="18:18" s="2" customFormat="1" ht="12.75" x14ac:dyDescent="0.2">
      <c r="R50442" s="1288"/>
    </row>
    <row r="50443" spans="18:18" s="2" customFormat="1" ht="12.75" x14ac:dyDescent="0.2">
      <c r="R50443" s="1288"/>
    </row>
    <row r="50444" spans="18:18" s="2" customFormat="1" ht="12.75" x14ac:dyDescent="0.2">
      <c r="R50444" s="1288"/>
    </row>
    <row r="50445" spans="18:18" s="2" customFormat="1" ht="12.75" x14ac:dyDescent="0.2">
      <c r="R50445" s="1288"/>
    </row>
    <row r="50446" spans="18:18" s="2" customFormat="1" ht="12.75" x14ac:dyDescent="0.2">
      <c r="R50446" s="1288"/>
    </row>
    <row r="50447" spans="18:18" s="2" customFormat="1" ht="12.75" x14ac:dyDescent="0.2">
      <c r="R50447" s="1288"/>
    </row>
    <row r="50448" spans="18:18" s="2" customFormat="1" ht="12.75" x14ac:dyDescent="0.2">
      <c r="R50448" s="1288"/>
    </row>
    <row r="50449" spans="18:18" s="2" customFormat="1" ht="12.75" x14ac:dyDescent="0.2">
      <c r="R50449" s="1288"/>
    </row>
    <row r="50450" spans="18:18" s="2" customFormat="1" ht="12.75" x14ac:dyDescent="0.2">
      <c r="R50450" s="1288"/>
    </row>
    <row r="50451" spans="18:18" s="2" customFormat="1" ht="12.75" x14ac:dyDescent="0.2">
      <c r="R50451" s="1288"/>
    </row>
    <row r="50452" spans="18:18" s="2" customFormat="1" ht="12.75" x14ac:dyDescent="0.2">
      <c r="R50452" s="1288"/>
    </row>
    <row r="50453" spans="18:18" s="2" customFormat="1" ht="12.75" x14ac:dyDescent="0.2">
      <c r="R50453" s="1288"/>
    </row>
    <row r="50454" spans="18:18" s="2" customFormat="1" ht="12.75" x14ac:dyDescent="0.2">
      <c r="R50454" s="1288"/>
    </row>
    <row r="50455" spans="18:18" s="2" customFormat="1" ht="12.75" x14ac:dyDescent="0.2">
      <c r="R50455" s="1288"/>
    </row>
    <row r="50456" spans="18:18" s="2" customFormat="1" ht="12.75" x14ac:dyDescent="0.2">
      <c r="R50456" s="1288"/>
    </row>
    <row r="50457" spans="18:18" s="2" customFormat="1" ht="12.75" x14ac:dyDescent="0.2">
      <c r="R50457" s="1288"/>
    </row>
    <row r="50458" spans="18:18" s="2" customFormat="1" ht="12.75" x14ac:dyDescent="0.2">
      <c r="R50458" s="1288"/>
    </row>
    <row r="50459" spans="18:18" s="2" customFormat="1" ht="12.75" x14ac:dyDescent="0.2">
      <c r="R50459" s="1288"/>
    </row>
    <row r="50460" spans="18:18" s="2" customFormat="1" ht="12.75" x14ac:dyDescent="0.2">
      <c r="R50460" s="1288"/>
    </row>
    <row r="50461" spans="18:18" s="2" customFormat="1" ht="12.75" x14ac:dyDescent="0.2">
      <c r="R50461" s="1288"/>
    </row>
    <row r="50462" spans="18:18" s="2" customFormat="1" ht="12.75" x14ac:dyDescent="0.2">
      <c r="R50462" s="1288"/>
    </row>
    <row r="50463" spans="18:18" s="2" customFormat="1" ht="12.75" x14ac:dyDescent="0.2">
      <c r="R50463" s="1288"/>
    </row>
    <row r="50464" spans="18:18" s="2" customFormat="1" ht="12.75" x14ac:dyDescent="0.2">
      <c r="R50464" s="1288"/>
    </row>
    <row r="50465" spans="18:18" s="2" customFormat="1" ht="12.75" x14ac:dyDescent="0.2">
      <c r="R50465" s="1288"/>
    </row>
    <row r="50466" spans="18:18" s="2" customFormat="1" ht="12.75" x14ac:dyDescent="0.2">
      <c r="R50466" s="1288"/>
    </row>
    <row r="50467" spans="18:18" s="2" customFormat="1" ht="12.75" x14ac:dyDescent="0.2">
      <c r="R50467" s="1288"/>
    </row>
    <row r="50468" spans="18:18" s="2" customFormat="1" ht="12.75" x14ac:dyDescent="0.2">
      <c r="R50468" s="1288"/>
    </row>
    <row r="50469" spans="18:18" s="2" customFormat="1" ht="12.75" x14ac:dyDescent="0.2">
      <c r="R50469" s="1288"/>
    </row>
    <row r="50470" spans="18:18" s="2" customFormat="1" ht="12.75" x14ac:dyDescent="0.2">
      <c r="R50470" s="1288"/>
    </row>
    <row r="50471" spans="18:18" s="2" customFormat="1" ht="12.75" x14ac:dyDescent="0.2">
      <c r="R50471" s="1288"/>
    </row>
    <row r="50472" spans="18:18" s="2" customFormat="1" ht="12.75" x14ac:dyDescent="0.2">
      <c r="R50472" s="1288"/>
    </row>
    <row r="50473" spans="18:18" s="2" customFormat="1" ht="12.75" x14ac:dyDescent="0.2">
      <c r="R50473" s="1288"/>
    </row>
    <row r="50474" spans="18:18" s="2" customFormat="1" ht="12.75" x14ac:dyDescent="0.2">
      <c r="R50474" s="1288"/>
    </row>
    <row r="50475" spans="18:18" s="2" customFormat="1" ht="12.75" x14ac:dyDescent="0.2">
      <c r="R50475" s="1288"/>
    </row>
    <row r="50476" spans="18:18" s="2" customFormat="1" ht="12.75" x14ac:dyDescent="0.2">
      <c r="R50476" s="1288"/>
    </row>
    <row r="50477" spans="18:18" s="2" customFormat="1" ht="12.75" x14ac:dyDescent="0.2">
      <c r="R50477" s="1288"/>
    </row>
    <row r="50478" spans="18:18" s="2" customFormat="1" ht="12.75" x14ac:dyDescent="0.2">
      <c r="R50478" s="1288"/>
    </row>
    <row r="50479" spans="18:18" s="2" customFormat="1" ht="12.75" x14ac:dyDescent="0.2">
      <c r="R50479" s="1288"/>
    </row>
    <row r="50480" spans="18:18" s="2" customFormat="1" ht="12.75" x14ac:dyDescent="0.2">
      <c r="R50480" s="1288"/>
    </row>
    <row r="50481" spans="18:18" s="2" customFormat="1" ht="12.75" x14ac:dyDescent="0.2">
      <c r="R50481" s="1288"/>
    </row>
    <row r="50482" spans="18:18" s="2" customFormat="1" ht="12.75" x14ac:dyDescent="0.2">
      <c r="R50482" s="1288"/>
    </row>
    <row r="50483" spans="18:18" s="2" customFormat="1" ht="12.75" x14ac:dyDescent="0.2">
      <c r="R50483" s="1288"/>
    </row>
    <row r="50484" spans="18:18" s="2" customFormat="1" ht="12.75" x14ac:dyDescent="0.2">
      <c r="R50484" s="1288"/>
    </row>
    <row r="50485" spans="18:18" s="2" customFormat="1" ht="12.75" x14ac:dyDescent="0.2">
      <c r="R50485" s="1288"/>
    </row>
    <row r="50486" spans="18:18" s="2" customFormat="1" ht="12.75" x14ac:dyDescent="0.2">
      <c r="R50486" s="1288"/>
    </row>
    <row r="50487" spans="18:18" s="2" customFormat="1" ht="12.75" x14ac:dyDescent="0.2">
      <c r="R50487" s="1288"/>
    </row>
    <row r="50488" spans="18:18" s="2" customFormat="1" ht="12.75" x14ac:dyDescent="0.2">
      <c r="R50488" s="1288"/>
    </row>
    <row r="50489" spans="18:18" s="2" customFormat="1" ht="12.75" x14ac:dyDescent="0.2">
      <c r="R50489" s="1288"/>
    </row>
    <row r="50490" spans="18:18" s="2" customFormat="1" ht="12.75" x14ac:dyDescent="0.2">
      <c r="R50490" s="1288"/>
    </row>
    <row r="50491" spans="18:18" s="2" customFormat="1" ht="12.75" x14ac:dyDescent="0.2">
      <c r="R50491" s="1288"/>
    </row>
    <row r="50492" spans="18:18" s="2" customFormat="1" ht="12.75" x14ac:dyDescent="0.2">
      <c r="R50492" s="1288"/>
    </row>
    <row r="50493" spans="18:18" s="2" customFormat="1" ht="12.75" x14ac:dyDescent="0.2">
      <c r="R50493" s="1288"/>
    </row>
    <row r="50494" spans="18:18" s="2" customFormat="1" ht="12.75" x14ac:dyDescent="0.2">
      <c r="R50494" s="1288"/>
    </row>
    <row r="50495" spans="18:18" s="2" customFormat="1" ht="12.75" x14ac:dyDescent="0.2">
      <c r="R50495" s="1288"/>
    </row>
    <row r="50496" spans="18:18" s="2" customFormat="1" ht="12.75" x14ac:dyDescent="0.2">
      <c r="R50496" s="1288"/>
    </row>
    <row r="50497" spans="18:18" s="2" customFormat="1" ht="12.75" x14ac:dyDescent="0.2">
      <c r="R50497" s="1288"/>
    </row>
    <row r="50498" spans="18:18" s="2" customFormat="1" ht="12.75" x14ac:dyDescent="0.2">
      <c r="R50498" s="1288"/>
    </row>
    <row r="50499" spans="18:18" s="2" customFormat="1" ht="12.75" x14ac:dyDescent="0.2">
      <c r="R50499" s="1288"/>
    </row>
    <row r="50500" spans="18:18" s="2" customFormat="1" ht="12.75" x14ac:dyDescent="0.2">
      <c r="R50500" s="1288"/>
    </row>
    <row r="50501" spans="18:18" s="2" customFormat="1" ht="12.75" x14ac:dyDescent="0.2">
      <c r="R50501" s="1288"/>
    </row>
    <row r="50502" spans="18:18" s="2" customFormat="1" ht="12.75" x14ac:dyDescent="0.2">
      <c r="R50502" s="1288"/>
    </row>
    <row r="50503" spans="18:18" s="2" customFormat="1" ht="12.75" x14ac:dyDescent="0.2">
      <c r="R50503" s="1288"/>
    </row>
    <row r="50504" spans="18:18" s="2" customFormat="1" ht="12.75" x14ac:dyDescent="0.2">
      <c r="R50504" s="1288"/>
    </row>
    <row r="50505" spans="18:18" s="2" customFormat="1" ht="12.75" x14ac:dyDescent="0.2">
      <c r="R50505" s="1288"/>
    </row>
    <row r="50506" spans="18:18" s="2" customFormat="1" ht="12.75" x14ac:dyDescent="0.2">
      <c r="R50506" s="1288"/>
    </row>
    <row r="50507" spans="18:18" s="2" customFormat="1" ht="12.75" x14ac:dyDescent="0.2">
      <c r="R50507" s="1288"/>
    </row>
    <row r="50508" spans="18:18" s="2" customFormat="1" ht="12.75" x14ac:dyDescent="0.2">
      <c r="R50508" s="1288"/>
    </row>
    <row r="50509" spans="18:18" s="2" customFormat="1" ht="12.75" x14ac:dyDescent="0.2">
      <c r="R50509" s="1288"/>
    </row>
    <row r="50510" spans="18:18" s="2" customFormat="1" ht="12.75" x14ac:dyDescent="0.2">
      <c r="R50510" s="1288"/>
    </row>
    <row r="50511" spans="18:18" s="2" customFormat="1" ht="12.75" x14ac:dyDescent="0.2">
      <c r="R50511" s="1288"/>
    </row>
    <row r="50512" spans="18:18" s="2" customFormat="1" ht="12.75" x14ac:dyDescent="0.2">
      <c r="R50512" s="1288"/>
    </row>
    <row r="50513" spans="18:18" s="2" customFormat="1" ht="12.75" x14ac:dyDescent="0.2">
      <c r="R50513" s="1288"/>
    </row>
    <row r="50514" spans="18:18" s="2" customFormat="1" ht="12.75" x14ac:dyDescent="0.2">
      <c r="R50514" s="1288"/>
    </row>
    <row r="50515" spans="18:18" s="2" customFormat="1" ht="12.75" x14ac:dyDescent="0.2">
      <c r="R50515" s="1288"/>
    </row>
    <row r="50516" spans="18:18" s="2" customFormat="1" ht="12.75" x14ac:dyDescent="0.2">
      <c r="R50516" s="1288"/>
    </row>
    <row r="50517" spans="18:18" s="2" customFormat="1" ht="12.75" x14ac:dyDescent="0.2">
      <c r="R50517" s="1288"/>
    </row>
    <row r="50518" spans="18:18" s="2" customFormat="1" ht="12.75" x14ac:dyDescent="0.2">
      <c r="R50518" s="1288"/>
    </row>
    <row r="50519" spans="18:18" s="2" customFormat="1" ht="12.75" x14ac:dyDescent="0.2">
      <c r="R50519" s="1288"/>
    </row>
    <row r="50520" spans="18:18" s="2" customFormat="1" ht="12.75" x14ac:dyDescent="0.2">
      <c r="R50520" s="1288"/>
    </row>
    <row r="50521" spans="18:18" s="2" customFormat="1" ht="12.75" x14ac:dyDescent="0.2">
      <c r="R50521" s="1288"/>
    </row>
    <row r="50522" spans="18:18" s="2" customFormat="1" ht="12.75" x14ac:dyDescent="0.2">
      <c r="R50522" s="1288"/>
    </row>
    <row r="50523" spans="18:18" s="2" customFormat="1" ht="12.75" x14ac:dyDescent="0.2">
      <c r="R50523" s="1288"/>
    </row>
    <row r="50524" spans="18:18" s="2" customFormat="1" ht="12.75" x14ac:dyDescent="0.2">
      <c r="R50524" s="1288"/>
    </row>
    <row r="50525" spans="18:18" s="2" customFormat="1" ht="12.75" x14ac:dyDescent="0.2">
      <c r="R50525" s="1288"/>
    </row>
    <row r="50526" spans="18:18" s="2" customFormat="1" ht="12.75" x14ac:dyDescent="0.2">
      <c r="R50526" s="1288"/>
    </row>
    <row r="50527" spans="18:18" s="2" customFormat="1" ht="12.75" x14ac:dyDescent="0.2">
      <c r="R50527" s="1288"/>
    </row>
    <row r="50528" spans="18:18" s="2" customFormat="1" ht="12.75" x14ac:dyDescent="0.2">
      <c r="R50528" s="1288"/>
    </row>
    <row r="50529" spans="18:18" s="2" customFormat="1" ht="12.75" x14ac:dyDescent="0.2">
      <c r="R50529" s="1288"/>
    </row>
    <row r="50530" spans="18:18" s="2" customFormat="1" ht="12.75" x14ac:dyDescent="0.2">
      <c r="R50530" s="1288"/>
    </row>
    <row r="50531" spans="18:18" s="2" customFormat="1" ht="12.75" x14ac:dyDescent="0.2">
      <c r="R50531" s="1288"/>
    </row>
    <row r="50532" spans="18:18" s="2" customFormat="1" ht="12.75" x14ac:dyDescent="0.2">
      <c r="R50532" s="1288"/>
    </row>
    <row r="50533" spans="18:18" s="2" customFormat="1" ht="12.75" x14ac:dyDescent="0.2">
      <c r="R50533" s="1288"/>
    </row>
    <row r="50534" spans="18:18" s="2" customFormat="1" ht="12.75" x14ac:dyDescent="0.2">
      <c r="R50534" s="1288"/>
    </row>
    <row r="50535" spans="18:18" s="2" customFormat="1" ht="12.75" x14ac:dyDescent="0.2">
      <c r="R50535" s="1288"/>
    </row>
    <row r="50536" spans="18:18" s="2" customFormat="1" ht="12.75" x14ac:dyDescent="0.2">
      <c r="R50536" s="1288"/>
    </row>
    <row r="50537" spans="18:18" s="2" customFormat="1" ht="12.75" x14ac:dyDescent="0.2">
      <c r="R50537" s="1288"/>
    </row>
    <row r="50538" spans="18:18" s="2" customFormat="1" ht="12.75" x14ac:dyDescent="0.2">
      <c r="R50538" s="1288"/>
    </row>
    <row r="50539" spans="18:18" s="2" customFormat="1" ht="12.75" x14ac:dyDescent="0.2">
      <c r="R50539" s="1288"/>
    </row>
    <row r="50540" spans="18:18" s="2" customFormat="1" ht="12.75" x14ac:dyDescent="0.2">
      <c r="R50540" s="1288"/>
    </row>
    <row r="50541" spans="18:18" s="2" customFormat="1" ht="12.75" x14ac:dyDescent="0.2">
      <c r="R50541" s="1288"/>
    </row>
    <row r="50542" spans="18:18" s="2" customFormat="1" ht="12.75" x14ac:dyDescent="0.2">
      <c r="R50542" s="1288"/>
    </row>
    <row r="50543" spans="18:18" s="2" customFormat="1" ht="12.75" x14ac:dyDescent="0.2">
      <c r="R50543" s="1288"/>
    </row>
    <row r="50544" spans="18:18" s="2" customFormat="1" ht="12.75" x14ac:dyDescent="0.2">
      <c r="R50544" s="1288"/>
    </row>
    <row r="50545" spans="18:18" s="2" customFormat="1" ht="12.75" x14ac:dyDescent="0.2">
      <c r="R50545" s="1288"/>
    </row>
    <row r="50546" spans="18:18" s="2" customFormat="1" ht="12.75" x14ac:dyDescent="0.2">
      <c r="R50546" s="1288"/>
    </row>
    <row r="50547" spans="18:18" s="2" customFormat="1" ht="12.75" x14ac:dyDescent="0.2">
      <c r="R50547" s="1288"/>
    </row>
    <row r="50548" spans="18:18" s="2" customFormat="1" ht="12.75" x14ac:dyDescent="0.2">
      <c r="R50548" s="1288"/>
    </row>
    <row r="50549" spans="18:18" s="2" customFormat="1" ht="12.75" x14ac:dyDescent="0.2">
      <c r="R50549" s="1288"/>
    </row>
    <row r="50550" spans="18:18" s="2" customFormat="1" ht="12.75" x14ac:dyDescent="0.2">
      <c r="R50550" s="1288"/>
    </row>
    <row r="50551" spans="18:18" s="2" customFormat="1" ht="12.75" x14ac:dyDescent="0.2">
      <c r="R50551" s="1288"/>
    </row>
    <row r="50552" spans="18:18" s="2" customFormat="1" ht="12.75" x14ac:dyDescent="0.2">
      <c r="R50552" s="1288"/>
    </row>
    <row r="50553" spans="18:18" s="2" customFormat="1" ht="12.75" x14ac:dyDescent="0.2">
      <c r="R50553" s="1288"/>
    </row>
    <row r="50554" spans="18:18" s="2" customFormat="1" ht="12.75" x14ac:dyDescent="0.2">
      <c r="R50554" s="1288"/>
    </row>
    <row r="50555" spans="18:18" s="2" customFormat="1" ht="12.75" x14ac:dyDescent="0.2">
      <c r="R50555" s="1288"/>
    </row>
    <row r="50556" spans="18:18" s="2" customFormat="1" ht="12.75" x14ac:dyDescent="0.2">
      <c r="R50556" s="1288"/>
    </row>
    <row r="50557" spans="18:18" s="2" customFormat="1" ht="12.75" x14ac:dyDescent="0.2">
      <c r="R50557" s="1288"/>
    </row>
    <row r="50558" spans="18:18" s="2" customFormat="1" ht="12.75" x14ac:dyDescent="0.2">
      <c r="R50558" s="1288"/>
    </row>
    <row r="50559" spans="18:18" s="2" customFormat="1" ht="12.75" x14ac:dyDescent="0.2">
      <c r="R50559" s="1288"/>
    </row>
    <row r="50560" spans="18:18" s="2" customFormat="1" ht="12.75" x14ac:dyDescent="0.2">
      <c r="R50560" s="1288"/>
    </row>
    <row r="50561" spans="18:18" s="2" customFormat="1" ht="12.75" x14ac:dyDescent="0.2">
      <c r="R50561" s="1288"/>
    </row>
    <row r="50562" spans="18:18" s="2" customFormat="1" ht="12.75" x14ac:dyDescent="0.2">
      <c r="R50562" s="1288"/>
    </row>
    <row r="50563" spans="18:18" s="2" customFormat="1" ht="12.75" x14ac:dyDescent="0.2">
      <c r="R50563" s="1288"/>
    </row>
    <row r="50564" spans="18:18" s="2" customFormat="1" ht="12.75" x14ac:dyDescent="0.2">
      <c r="R50564" s="1288"/>
    </row>
    <row r="50565" spans="18:18" s="2" customFormat="1" ht="12.75" x14ac:dyDescent="0.2">
      <c r="R50565" s="1288"/>
    </row>
    <row r="50566" spans="18:18" s="2" customFormat="1" ht="12.75" x14ac:dyDescent="0.2">
      <c r="R50566" s="1288"/>
    </row>
    <row r="50567" spans="18:18" s="2" customFormat="1" ht="12.75" x14ac:dyDescent="0.2">
      <c r="R50567" s="1288"/>
    </row>
    <row r="50568" spans="18:18" s="2" customFormat="1" ht="12.75" x14ac:dyDescent="0.2">
      <c r="R50568" s="1288"/>
    </row>
    <row r="50569" spans="18:18" s="2" customFormat="1" ht="12.75" x14ac:dyDescent="0.2">
      <c r="R50569" s="1288"/>
    </row>
    <row r="50570" spans="18:18" s="2" customFormat="1" ht="12.75" x14ac:dyDescent="0.2">
      <c r="R50570" s="1288"/>
    </row>
    <row r="50571" spans="18:18" s="2" customFormat="1" ht="12.75" x14ac:dyDescent="0.2">
      <c r="R50571" s="1288"/>
    </row>
    <row r="50572" spans="18:18" s="2" customFormat="1" ht="12.75" x14ac:dyDescent="0.2">
      <c r="R50572" s="1288"/>
    </row>
    <row r="50573" spans="18:18" s="2" customFormat="1" ht="12.75" x14ac:dyDescent="0.2">
      <c r="R50573" s="1288"/>
    </row>
    <row r="50574" spans="18:18" s="2" customFormat="1" ht="12.75" x14ac:dyDescent="0.2">
      <c r="R50574" s="1288"/>
    </row>
    <row r="50575" spans="18:18" s="2" customFormat="1" ht="12.75" x14ac:dyDescent="0.2">
      <c r="R50575" s="1288"/>
    </row>
    <row r="50576" spans="18:18" s="2" customFormat="1" ht="12.75" x14ac:dyDescent="0.2">
      <c r="R50576" s="1288"/>
    </row>
    <row r="50577" spans="18:18" s="2" customFormat="1" ht="12.75" x14ac:dyDescent="0.2">
      <c r="R50577" s="1288"/>
    </row>
    <row r="50578" spans="18:18" s="2" customFormat="1" ht="12.75" x14ac:dyDescent="0.2">
      <c r="R50578" s="1288"/>
    </row>
    <row r="50579" spans="18:18" s="2" customFormat="1" ht="12.75" x14ac:dyDescent="0.2">
      <c r="R50579" s="1288"/>
    </row>
    <row r="50580" spans="18:18" s="2" customFormat="1" ht="12.75" x14ac:dyDescent="0.2">
      <c r="R50580" s="1288"/>
    </row>
    <row r="50581" spans="18:18" s="2" customFormat="1" ht="12.75" x14ac:dyDescent="0.2">
      <c r="R50581" s="1288"/>
    </row>
    <row r="50582" spans="18:18" s="2" customFormat="1" ht="12.75" x14ac:dyDescent="0.2">
      <c r="R50582" s="1288"/>
    </row>
    <row r="50583" spans="18:18" s="2" customFormat="1" ht="12.75" x14ac:dyDescent="0.2">
      <c r="R50583" s="1288"/>
    </row>
    <row r="50584" spans="18:18" s="2" customFormat="1" ht="12.75" x14ac:dyDescent="0.2">
      <c r="R50584" s="1288"/>
    </row>
    <row r="50585" spans="18:18" s="2" customFormat="1" ht="12.75" x14ac:dyDescent="0.2">
      <c r="R50585" s="1288"/>
    </row>
    <row r="50586" spans="18:18" s="2" customFormat="1" ht="12.75" x14ac:dyDescent="0.2">
      <c r="R50586" s="1288"/>
    </row>
    <row r="50587" spans="18:18" s="2" customFormat="1" ht="12.75" x14ac:dyDescent="0.2">
      <c r="R50587" s="1288"/>
    </row>
    <row r="50588" spans="18:18" s="2" customFormat="1" ht="12.75" x14ac:dyDescent="0.2">
      <c r="R50588" s="1288"/>
    </row>
    <row r="50589" spans="18:18" s="2" customFormat="1" ht="12.75" x14ac:dyDescent="0.2">
      <c r="R50589" s="1288"/>
    </row>
    <row r="50590" spans="18:18" s="2" customFormat="1" ht="12.75" x14ac:dyDescent="0.2">
      <c r="R50590" s="1288"/>
    </row>
    <row r="50591" spans="18:18" s="2" customFormat="1" ht="12.75" x14ac:dyDescent="0.2">
      <c r="R50591" s="1288"/>
    </row>
    <row r="50592" spans="18:18" s="2" customFormat="1" ht="12.75" x14ac:dyDescent="0.2">
      <c r="R50592" s="1288"/>
    </row>
    <row r="50593" spans="18:18" s="2" customFormat="1" ht="12.75" x14ac:dyDescent="0.2">
      <c r="R50593" s="1288"/>
    </row>
    <row r="50594" spans="18:18" s="2" customFormat="1" ht="12.75" x14ac:dyDescent="0.2">
      <c r="R50594" s="1288"/>
    </row>
    <row r="50595" spans="18:18" s="2" customFormat="1" ht="12.75" x14ac:dyDescent="0.2">
      <c r="R50595" s="1288"/>
    </row>
    <row r="50596" spans="18:18" s="2" customFormat="1" ht="12.75" x14ac:dyDescent="0.2">
      <c r="R50596" s="1288"/>
    </row>
    <row r="50597" spans="18:18" s="2" customFormat="1" ht="12.75" x14ac:dyDescent="0.2">
      <c r="R50597" s="1288"/>
    </row>
    <row r="50598" spans="18:18" s="2" customFormat="1" ht="12.75" x14ac:dyDescent="0.2">
      <c r="R50598" s="1288"/>
    </row>
    <row r="50599" spans="18:18" s="2" customFormat="1" ht="12.75" x14ac:dyDescent="0.2">
      <c r="R50599" s="1288"/>
    </row>
    <row r="50600" spans="18:18" s="2" customFormat="1" ht="12.75" x14ac:dyDescent="0.2">
      <c r="R50600" s="1288"/>
    </row>
    <row r="50601" spans="18:18" s="2" customFormat="1" ht="12.75" x14ac:dyDescent="0.2">
      <c r="R50601" s="1288"/>
    </row>
    <row r="50602" spans="18:18" s="2" customFormat="1" ht="12.75" x14ac:dyDescent="0.2">
      <c r="R50602" s="1288"/>
    </row>
    <row r="50603" spans="18:18" s="2" customFormat="1" ht="12.75" x14ac:dyDescent="0.2">
      <c r="R50603" s="1288"/>
    </row>
    <row r="50604" spans="18:18" s="2" customFormat="1" ht="12.75" x14ac:dyDescent="0.2">
      <c r="R50604" s="1288"/>
    </row>
    <row r="50605" spans="18:18" s="2" customFormat="1" ht="12.75" x14ac:dyDescent="0.2">
      <c r="R50605" s="1288"/>
    </row>
    <row r="50606" spans="18:18" s="2" customFormat="1" ht="12.75" x14ac:dyDescent="0.2">
      <c r="R50606" s="1288"/>
    </row>
    <row r="50607" spans="18:18" s="2" customFormat="1" ht="12.75" x14ac:dyDescent="0.2">
      <c r="R50607" s="1288"/>
    </row>
    <row r="50608" spans="18:18" s="2" customFormat="1" ht="12.75" x14ac:dyDescent="0.2">
      <c r="R50608" s="1288"/>
    </row>
    <row r="50609" spans="18:18" s="2" customFormat="1" ht="12.75" x14ac:dyDescent="0.2">
      <c r="R50609" s="1288"/>
    </row>
    <row r="50610" spans="18:18" s="2" customFormat="1" ht="12.75" x14ac:dyDescent="0.2">
      <c r="R50610" s="1288"/>
    </row>
    <row r="50611" spans="18:18" s="2" customFormat="1" ht="12.75" x14ac:dyDescent="0.2">
      <c r="R50611" s="1288"/>
    </row>
    <row r="50612" spans="18:18" s="2" customFormat="1" ht="12.75" x14ac:dyDescent="0.2">
      <c r="R50612" s="1288"/>
    </row>
    <row r="50613" spans="18:18" s="2" customFormat="1" ht="12.75" x14ac:dyDescent="0.2">
      <c r="R50613" s="1288"/>
    </row>
    <row r="50614" spans="18:18" s="2" customFormat="1" ht="12.75" x14ac:dyDescent="0.2">
      <c r="R50614" s="1288"/>
    </row>
    <row r="50615" spans="18:18" s="2" customFormat="1" ht="12.75" x14ac:dyDescent="0.2">
      <c r="R50615" s="1288"/>
    </row>
    <row r="50616" spans="18:18" s="2" customFormat="1" ht="12.75" x14ac:dyDescent="0.2">
      <c r="R50616" s="1288"/>
    </row>
    <row r="50617" spans="18:18" s="2" customFormat="1" ht="12.75" x14ac:dyDescent="0.2">
      <c r="R50617" s="1288"/>
    </row>
    <row r="50618" spans="18:18" s="2" customFormat="1" ht="12.75" x14ac:dyDescent="0.2">
      <c r="R50618" s="1288"/>
    </row>
    <row r="50619" spans="18:18" s="2" customFormat="1" ht="12.75" x14ac:dyDescent="0.2">
      <c r="R50619" s="1288"/>
    </row>
    <row r="50620" spans="18:18" s="2" customFormat="1" ht="12.75" x14ac:dyDescent="0.2">
      <c r="R50620" s="1288"/>
    </row>
    <row r="50621" spans="18:18" s="2" customFormat="1" ht="12.75" x14ac:dyDescent="0.2">
      <c r="R50621" s="1288"/>
    </row>
    <row r="50622" spans="18:18" s="2" customFormat="1" ht="12.75" x14ac:dyDescent="0.2">
      <c r="R50622" s="1288"/>
    </row>
    <row r="50623" spans="18:18" s="2" customFormat="1" ht="12.75" x14ac:dyDescent="0.2">
      <c r="R50623" s="1288"/>
    </row>
    <row r="50624" spans="18:18" s="2" customFormat="1" ht="12.75" x14ac:dyDescent="0.2">
      <c r="R50624" s="1288"/>
    </row>
    <row r="50625" spans="18:18" s="2" customFormat="1" ht="12.75" x14ac:dyDescent="0.2">
      <c r="R50625" s="1288"/>
    </row>
    <row r="50626" spans="18:18" s="2" customFormat="1" ht="12.75" x14ac:dyDescent="0.2">
      <c r="R50626" s="1288"/>
    </row>
    <row r="50627" spans="18:18" s="2" customFormat="1" ht="12.75" x14ac:dyDescent="0.2">
      <c r="R50627" s="1288"/>
    </row>
    <row r="50628" spans="18:18" s="2" customFormat="1" ht="12.75" x14ac:dyDescent="0.2">
      <c r="R50628" s="1288"/>
    </row>
    <row r="50629" spans="18:18" s="2" customFormat="1" ht="12.75" x14ac:dyDescent="0.2">
      <c r="R50629" s="1288"/>
    </row>
    <row r="50630" spans="18:18" s="2" customFormat="1" ht="12.75" x14ac:dyDescent="0.2">
      <c r="R50630" s="1288"/>
    </row>
    <row r="50631" spans="18:18" s="2" customFormat="1" ht="12.75" x14ac:dyDescent="0.2">
      <c r="R50631" s="1288"/>
    </row>
    <row r="50632" spans="18:18" s="2" customFormat="1" ht="12.75" x14ac:dyDescent="0.2">
      <c r="R50632" s="1288"/>
    </row>
    <row r="50633" spans="18:18" s="2" customFormat="1" ht="12.75" x14ac:dyDescent="0.2">
      <c r="R50633" s="1288"/>
    </row>
    <row r="50634" spans="18:18" s="2" customFormat="1" ht="12.75" x14ac:dyDescent="0.2">
      <c r="R50634" s="1288"/>
    </row>
    <row r="50635" spans="18:18" s="2" customFormat="1" ht="12.75" x14ac:dyDescent="0.2">
      <c r="R50635" s="1288"/>
    </row>
    <row r="50636" spans="18:18" s="2" customFormat="1" ht="12.75" x14ac:dyDescent="0.2">
      <c r="R50636" s="1288"/>
    </row>
    <row r="50637" spans="18:18" s="2" customFormat="1" ht="12.75" x14ac:dyDescent="0.2">
      <c r="R50637" s="1288"/>
    </row>
    <row r="50638" spans="18:18" s="2" customFormat="1" ht="12.75" x14ac:dyDescent="0.2">
      <c r="R50638" s="1288"/>
    </row>
    <row r="50639" spans="18:18" s="2" customFormat="1" ht="12.75" x14ac:dyDescent="0.2">
      <c r="R50639" s="1288"/>
    </row>
    <row r="50640" spans="18:18" s="2" customFormat="1" ht="12.75" x14ac:dyDescent="0.2">
      <c r="R50640" s="1288"/>
    </row>
    <row r="50641" spans="18:18" s="2" customFormat="1" ht="12.75" x14ac:dyDescent="0.2">
      <c r="R50641" s="1288"/>
    </row>
    <row r="50642" spans="18:18" s="2" customFormat="1" ht="12.75" x14ac:dyDescent="0.2">
      <c r="R50642" s="1288"/>
    </row>
    <row r="50643" spans="18:18" s="2" customFormat="1" ht="12.75" x14ac:dyDescent="0.2">
      <c r="R50643" s="1288"/>
    </row>
    <row r="50644" spans="18:18" s="2" customFormat="1" ht="12.75" x14ac:dyDescent="0.2">
      <c r="R50644" s="1288"/>
    </row>
    <row r="50645" spans="18:18" s="2" customFormat="1" ht="12.75" x14ac:dyDescent="0.2">
      <c r="R50645" s="1288"/>
    </row>
    <row r="50646" spans="18:18" s="2" customFormat="1" ht="12.75" x14ac:dyDescent="0.2">
      <c r="R50646" s="1288"/>
    </row>
    <row r="50647" spans="18:18" s="2" customFormat="1" ht="12.75" x14ac:dyDescent="0.2">
      <c r="R50647" s="1288"/>
    </row>
    <row r="50648" spans="18:18" s="2" customFormat="1" ht="12.75" x14ac:dyDescent="0.2">
      <c r="R50648" s="1288"/>
    </row>
    <row r="50649" spans="18:18" s="2" customFormat="1" ht="12.75" x14ac:dyDescent="0.2">
      <c r="R50649" s="1288"/>
    </row>
    <row r="50650" spans="18:18" s="2" customFormat="1" ht="12.75" x14ac:dyDescent="0.2">
      <c r="R50650" s="1288"/>
    </row>
    <row r="50651" spans="18:18" s="2" customFormat="1" ht="12.75" x14ac:dyDescent="0.2">
      <c r="R50651" s="1288"/>
    </row>
    <row r="50652" spans="18:18" s="2" customFormat="1" ht="12.75" x14ac:dyDescent="0.2">
      <c r="R50652" s="1288"/>
    </row>
    <row r="50653" spans="18:18" s="2" customFormat="1" ht="12.75" x14ac:dyDescent="0.2">
      <c r="R50653" s="1288"/>
    </row>
    <row r="50654" spans="18:18" s="2" customFormat="1" ht="12.75" x14ac:dyDescent="0.2">
      <c r="R50654" s="1288"/>
    </row>
    <row r="50655" spans="18:18" s="2" customFormat="1" ht="12.75" x14ac:dyDescent="0.2">
      <c r="R50655" s="1288"/>
    </row>
    <row r="50656" spans="18:18" s="2" customFormat="1" ht="12.75" x14ac:dyDescent="0.2">
      <c r="R50656" s="1288"/>
    </row>
    <row r="50657" spans="18:18" s="2" customFormat="1" ht="12.75" x14ac:dyDescent="0.2">
      <c r="R50657" s="1288"/>
    </row>
    <row r="50658" spans="18:18" s="2" customFormat="1" ht="12.75" x14ac:dyDescent="0.2">
      <c r="R50658" s="1288"/>
    </row>
    <row r="50659" spans="18:18" s="2" customFormat="1" ht="12.75" x14ac:dyDescent="0.2">
      <c r="R50659" s="1288"/>
    </row>
    <row r="50660" spans="18:18" s="2" customFormat="1" ht="12.75" x14ac:dyDescent="0.2">
      <c r="R50660" s="1288"/>
    </row>
    <row r="50661" spans="18:18" s="2" customFormat="1" ht="12.75" x14ac:dyDescent="0.2">
      <c r="R50661" s="1288"/>
    </row>
    <row r="50662" spans="18:18" s="2" customFormat="1" ht="12.75" x14ac:dyDescent="0.2">
      <c r="R50662" s="1288"/>
    </row>
    <row r="50663" spans="18:18" s="2" customFormat="1" ht="12.75" x14ac:dyDescent="0.2">
      <c r="R50663" s="1288"/>
    </row>
    <row r="50664" spans="18:18" s="2" customFormat="1" ht="12.75" x14ac:dyDescent="0.2">
      <c r="R50664" s="1288"/>
    </row>
    <row r="50665" spans="18:18" s="2" customFormat="1" ht="12.75" x14ac:dyDescent="0.2">
      <c r="R50665" s="1288"/>
    </row>
    <row r="50666" spans="18:18" s="2" customFormat="1" ht="12.75" x14ac:dyDescent="0.2">
      <c r="R50666" s="1288"/>
    </row>
    <row r="50667" spans="18:18" s="2" customFormat="1" ht="12.75" x14ac:dyDescent="0.2">
      <c r="R50667" s="1288"/>
    </row>
    <row r="50668" spans="18:18" s="2" customFormat="1" ht="12.75" x14ac:dyDescent="0.2">
      <c r="R50668" s="1288"/>
    </row>
    <row r="50669" spans="18:18" s="2" customFormat="1" ht="12.75" x14ac:dyDescent="0.2">
      <c r="R50669" s="1288"/>
    </row>
    <row r="50670" spans="18:18" s="2" customFormat="1" ht="12.75" x14ac:dyDescent="0.2">
      <c r="R50670" s="1288"/>
    </row>
    <row r="50671" spans="18:18" s="2" customFormat="1" ht="12.75" x14ac:dyDescent="0.2">
      <c r="R50671" s="1288"/>
    </row>
    <row r="50672" spans="18:18" s="2" customFormat="1" ht="12.75" x14ac:dyDescent="0.2">
      <c r="R50672" s="1288"/>
    </row>
    <row r="50673" spans="18:18" s="2" customFormat="1" ht="12.75" x14ac:dyDescent="0.2">
      <c r="R50673" s="1288"/>
    </row>
    <row r="50674" spans="18:18" s="2" customFormat="1" ht="12.75" x14ac:dyDescent="0.2">
      <c r="R50674" s="1288"/>
    </row>
    <row r="50675" spans="18:18" s="2" customFormat="1" ht="12.75" x14ac:dyDescent="0.2">
      <c r="R50675" s="1288"/>
    </row>
    <row r="50676" spans="18:18" s="2" customFormat="1" ht="12.75" x14ac:dyDescent="0.2">
      <c r="R50676" s="1288"/>
    </row>
    <row r="50677" spans="18:18" s="2" customFormat="1" ht="12.75" x14ac:dyDescent="0.2">
      <c r="R50677" s="1288"/>
    </row>
    <row r="50678" spans="18:18" s="2" customFormat="1" ht="12.75" x14ac:dyDescent="0.2">
      <c r="R50678" s="1288"/>
    </row>
    <row r="50679" spans="18:18" s="2" customFormat="1" ht="12.75" x14ac:dyDescent="0.2">
      <c r="R50679" s="1288"/>
    </row>
    <row r="50680" spans="18:18" s="2" customFormat="1" ht="12.75" x14ac:dyDescent="0.2">
      <c r="R50680" s="1288"/>
    </row>
    <row r="50681" spans="18:18" s="2" customFormat="1" ht="12.75" x14ac:dyDescent="0.2">
      <c r="R50681" s="1288"/>
    </row>
    <row r="50682" spans="18:18" s="2" customFormat="1" ht="12.75" x14ac:dyDescent="0.2">
      <c r="R50682" s="1288"/>
    </row>
    <row r="50683" spans="18:18" s="2" customFormat="1" ht="12.75" x14ac:dyDescent="0.2">
      <c r="R50683" s="1288"/>
    </row>
    <row r="50684" spans="18:18" s="2" customFormat="1" ht="12.75" x14ac:dyDescent="0.2">
      <c r="R50684" s="1288"/>
    </row>
    <row r="50685" spans="18:18" s="2" customFormat="1" ht="12.75" x14ac:dyDescent="0.2">
      <c r="R50685" s="1288"/>
    </row>
    <row r="50686" spans="18:18" s="2" customFormat="1" ht="12.75" x14ac:dyDescent="0.2">
      <c r="R50686" s="1288"/>
    </row>
    <row r="50687" spans="18:18" s="2" customFormat="1" ht="12.75" x14ac:dyDescent="0.2">
      <c r="R50687" s="1288"/>
    </row>
    <row r="50688" spans="18:18" s="2" customFormat="1" ht="12.75" x14ac:dyDescent="0.2">
      <c r="R50688" s="1288"/>
    </row>
    <row r="50689" spans="18:18" s="2" customFormat="1" ht="12.75" x14ac:dyDescent="0.2">
      <c r="R50689" s="1288"/>
    </row>
    <row r="50690" spans="18:18" s="2" customFormat="1" ht="12.75" x14ac:dyDescent="0.2">
      <c r="R50690" s="1288"/>
    </row>
    <row r="50691" spans="18:18" s="2" customFormat="1" ht="12.75" x14ac:dyDescent="0.2">
      <c r="R50691" s="1288"/>
    </row>
    <row r="50692" spans="18:18" s="2" customFormat="1" ht="12.75" x14ac:dyDescent="0.2">
      <c r="R50692" s="1288"/>
    </row>
    <row r="50693" spans="18:18" s="2" customFormat="1" ht="12.75" x14ac:dyDescent="0.2">
      <c r="R50693" s="1288"/>
    </row>
    <row r="50694" spans="18:18" s="2" customFormat="1" ht="12.75" x14ac:dyDescent="0.2">
      <c r="R50694" s="1288"/>
    </row>
    <row r="50695" spans="18:18" s="2" customFormat="1" ht="12.75" x14ac:dyDescent="0.2">
      <c r="R50695" s="1288"/>
    </row>
    <row r="50696" spans="18:18" s="2" customFormat="1" ht="12.75" x14ac:dyDescent="0.2">
      <c r="R50696" s="1288"/>
    </row>
    <row r="50697" spans="18:18" s="2" customFormat="1" ht="12.75" x14ac:dyDescent="0.2">
      <c r="R50697" s="1288"/>
    </row>
    <row r="50698" spans="18:18" s="2" customFormat="1" ht="12.75" x14ac:dyDescent="0.2">
      <c r="R50698" s="1288"/>
    </row>
    <row r="50699" spans="18:18" s="2" customFormat="1" ht="12.75" x14ac:dyDescent="0.2">
      <c r="R50699" s="1288"/>
    </row>
    <row r="50700" spans="18:18" s="2" customFormat="1" ht="12.75" x14ac:dyDescent="0.2">
      <c r="R50700" s="1288"/>
    </row>
    <row r="50701" spans="18:18" s="2" customFormat="1" ht="12.75" x14ac:dyDescent="0.2">
      <c r="R50701" s="1288"/>
    </row>
    <row r="50702" spans="18:18" s="2" customFormat="1" ht="12.75" x14ac:dyDescent="0.2">
      <c r="R50702" s="1288"/>
    </row>
    <row r="50703" spans="18:18" s="2" customFormat="1" ht="12.75" x14ac:dyDescent="0.2">
      <c r="R50703" s="1288"/>
    </row>
    <row r="50704" spans="18:18" s="2" customFormat="1" ht="12.75" x14ac:dyDescent="0.2">
      <c r="R50704" s="1288"/>
    </row>
    <row r="50705" spans="18:18" s="2" customFormat="1" ht="12.75" x14ac:dyDescent="0.2">
      <c r="R50705" s="1288"/>
    </row>
    <row r="50706" spans="18:18" s="2" customFormat="1" ht="12.75" x14ac:dyDescent="0.2">
      <c r="R50706" s="1288"/>
    </row>
    <row r="50707" spans="18:18" s="2" customFormat="1" ht="12.75" x14ac:dyDescent="0.2">
      <c r="R50707" s="1288"/>
    </row>
    <row r="50708" spans="18:18" s="2" customFormat="1" ht="12.75" x14ac:dyDescent="0.2">
      <c r="R50708" s="1288"/>
    </row>
    <row r="50709" spans="18:18" s="2" customFormat="1" ht="12.75" x14ac:dyDescent="0.2">
      <c r="R50709" s="1288"/>
    </row>
    <row r="50710" spans="18:18" s="2" customFormat="1" ht="12.75" x14ac:dyDescent="0.2">
      <c r="R50710" s="1288"/>
    </row>
    <row r="50711" spans="18:18" s="2" customFormat="1" ht="12.75" x14ac:dyDescent="0.2">
      <c r="R50711" s="1288"/>
    </row>
    <row r="50712" spans="18:18" s="2" customFormat="1" ht="12.75" x14ac:dyDescent="0.2">
      <c r="R50712" s="1288"/>
    </row>
    <row r="50713" spans="18:18" s="2" customFormat="1" ht="12.75" x14ac:dyDescent="0.2">
      <c r="R50713" s="1288"/>
    </row>
    <row r="50714" spans="18:18" s="2" customFormat="1" ht="12.75" x14ac:dyDescent="0.2">
      <c r="R50714" s="1288"/>
    </row>
    <row r="50715" spans="18:18" s="2" customFormat="1" ht="12.75" x14ac:dyDescent="0.2">
      <c r="R50715" s="1288"/>
    </row>
    <row r="50716" spans="18:18" s="2" customFormat="1" ht="12.75" x14ac:dyDescent="0.2">
      <c r="R50716" s="1288"/>
    </row>
    <row r="50717" spans="18:18" s="2" customFormat="1" ht="12.75" x14ac:dyDescent="0.2">
      <c r="R50717" s="1288"/>
    </row>
    <row r="50718" spans="18:18" s="2" customFormat="1" ht="12.75" x14ac:dyDescent="0.2">
      <c r="R50718" s="1288"/>
    </row>
    <row r="50719" spans="18:18" s="2" customFormat="1" ht="12.75" x14ac:dyDescent="0.2">
      <c r="R50719" s="1288"/>
    </row>
    <row r="50720" spans="18:18" s="2" customFormat="1" ht="12.75" x14ac:dyDescent="0.2">
      <c r="R50720" s="1288"/>
    </row>
    <row r="50721" spans="18:18" s="2" customFormat="1" ht="12.75" x14ac:dyDescent="0.2">
      <c r="R50721" s="1288"/>
    </row>
    <row r="50722" spans="18:18" s="2" customFormat="1" ht="12.75" x14ac:dyDescent="0.2">
      <c r="R50722" s="1288"/>
    </row>
    <row r="50723" spans="18:18" s="2" customFormat="1" ht="12.75" x14ac:dyDescent="0.2">
      <c r="R50723" s="1288"/>
    </row>
    <row r="50724" spans="18:18" s="2" customFormat="1" ht="12.75" x14ac:dyDescent="0.2">
      <c r="R50724" s="1288"/>
    </row>
    <row r="50725" spans="18:18" s="2" customFormat="1" ht="12.75" x14ac:dyDescent="0.2">
      <c r="R50725" s="1288"/>
    </row>
    <row r="50726" spans="18:18" s="2" customFormat="1" ht="12.75" x14ac:dyDescent="0.2">
      <c r="R50726" s="1288"/>
    </row>
    <row r="50727" spans="18:18" s="2" customFormat="1" ht="12.75" x14ac:dyDescent="0.2">
      <c r="R50727" s="1288"/>
    </row>
    <row r="50728" spans="18:18" s="2" customFormat="1" ht="12.75" x14ac:dyDescent="0.2">
      <c r="R50728" s="1288"/>
    </row>
    <row r="50729" spans="18:18" s="2" customFormat="1" ht="12.75" x14ac:dyDescent="0.2">
      <c r="R50729" s="1288"/>
    </row>
    <row r="50730" spans="18:18" s="2" customFormat="1" ht="12.75" x14ac:dyDescent="0.2">
      <c r="R50730" s="1288"/>
    </row>
    <row r="50731" spans="18:18" s="2" customFormat="1" ht="12.75" x14ac:dyDescent="0.2">
      <c r="R50731" s="1288"/>
    </row>
    <row r="50732" spans="18:18" s="2" customFormat="1" ht="12.75" x14ac:dyDescent="0.2">
      <c r="R50732" s="1288"/>
    </row>
    <row r="50733" spans="18:18" s="2" customFormat="1" ht="12.75" x14ac:dyDescent="0.2">
      <c r="R50733" s="1288"/>
    </row>
    <row r="50734" spans="18:18" s="2" customFormat="1" ht="12.75" x14ac:dyDescent="0.2">
      <c r="R50734" s="1288"/>
    </row>
    <row r="50735" spans="18:18" s="2" customFormat="1" ht="12.75" x14ac:dyDescent="0.2">
      <c r="R50735" s="1288"/>
    </row>
    <row r="50736" spans="18:18" s="2" customFormat="1" ht="12.75" x14ac:dyDescent="0.2">
      <c r="R50736" s="1288"/>
    </row>
    <row r="50737" spans="18:18" s="2" customFormat="1" ht="12.75" x14ac:dyDescent="0.2">
      <c r="R50737" s="1288"/>
    </row>
    <row r="50738" spans="18:18" s="2" customFormat="1" ht="12.75" x14ac:dyDescent="0.2">
      <c r="R50738" s="1288"/>
    </row>
    <row r="50739" spans="18:18" s="2" customFormat="1" ht="12.75" x14ac:dyDescent="0.2">
      <c r="R50739" s="1288"/>
    </row>
    <row r="50740" spans="18:18" s="2" customFormat="1" ht="12.75" x14ac:dyDescent="0.2">
      <c r="R50740" s="1288"/>
    </row>
    <row r="50741" spans="18:18" s="2" customFormat="1" ht="12.75" x14ac:dyDescent="0.2">
      <c r="R50741" s="1288"/>
    </row>
    <row r="50742" spans="18:18" s="2" customFormat="1" ht="12.75" x14ac:dyDescent="0.2">
      <c r="R50742" s="1288"/>
    </row>
    <row r="50743" spans="18:18" s="2" customFormat="1" ht="12.75" x14ac:dyDescent="0.2">
      <c r="R50743" s="1288"/>
    </row>
    <row r="50744" spans="18:18" s="2" customFormat="1" ht="12.75" x14ac:dyDescent="0.2">
      <c r="R50744" s="1288"/>
    </row>
    <row r="50745" spans="18:18" s="2" customFormat="1" ht="12.75" x14ac:dyDescent="0.2">
      <c r="R50745" s="1288"/>
    </row>
    <row r="50746" spans="18:18" s="2" customFormat="1" ht="12.75" x14ac:dyDescent="0.2">
      <c r="R50746" s="1288"/>
    </row>
    <row r="50747" spans="18:18" s="2" customFormat="1" ht="12.75" x14ac:dyDescent="0.2">
      <c r="R50747" s="1288"/>
    </row>
    <row r="50748" spans="18:18" s="2" customFormat="1" ht="12.75" x14ac:dyDescent="0.2">
      <c r="R50748" s="1288"/>
    </row>
    <row r="50749" spans="18:18" s="2" customFormat="1" ht="12.75" x14ac:dyDescent="0.2">
      <c r="R50749" s="1288"/>
    </row>
    <row r="50750" spans="18:18" s="2" customFormat="1" ht="12.75" x14ac:dyDescent="0.2">
      <c r="R50750" s="1288"/>
    </row>
    <row r="50751" spans="18:18" s="2" customFormat="1" ht="12.75" x14ac:dyDescent="0.2">
      <c r="R50751" s="1288"/>
    </row>
    <row r="50752" spans="18:18" s="2" customFormat="1" ht="12.75" x14ac:dyDescent="0.2">
      <c r="R50752" s="1288"/>
    </row>
    <row r="50753" spans="18:18" s="2" customFormat="1" ht="12.75" x14ac:dyDescent="0.2">
      <c r="R50753" s="1288"/>
    </row>
    <row r="50754" spans="18:18" s="2" customFormat="1" ht="12.75" x14ac:dyDescent="0.2">
      <c r="R50754" s="1288"/>
    </row>
    <row r="50755" spans="18:18" s="2" customFormat="1" ht="12.75" x14ac:dyDescent="0.2">
      <c r="R50755" s="1288"/>
    </row>
    <row r="50756" spans="18:18" s="2" customFormat="1" ht="12.75" x14ac:dyDescent="0.2">
      <c r="R50756" s="1288"/>
    </row>
    <row r="50757" spans="18:18" s="2" customFormat="1" ht="12.75" x14ac:dyDescent="0.2">
      <c r="R50757" s="1288"/>
    </row>
    <row r="50758" spans="18:18" s="2" customFormat="1" ht="12.75" x14ac:dyDescent="0.2">
      <c r="R50758" s="1288"/>
    </row>
    <row r="50759" spans="18:18" s="2" customFormat="1" ht="12.75" x14ac:dyDescent="0.2">
      <c r="R50759" s="1288"/>
    </row>
    <row r="50760" spans="18:18" s="2" customFormat="1" ht="12.75" x14ac:dyDescent="0.2">
      <c r="R50760" s="1288"/>
    </row>
    <row r="50761" spans="18:18" s="2" customFormat="1" ht="12.75" x14ac:dyDescent="0.2">
      <c r="R50761" s="1288"/>
    </row>
    <row r="50762" spans="18:18" s="2" customFormat="1" ht="12.75" x14ac:dyDescent="0.2">
      <c r="R50762" s="1288"/>
    </row>
    <row r="50763" spans="18:18" s="2" customFormat="1" ht="12.75" x14ac:dyDescent="0.2">
      <c r="R50763" s="1288"/>
    </row>
    <row r="50764" spans="18:18" s="2" customFormat="1" ht="12.75" x14ac:dyDescent="0.2">
      <c r="R50764" s="1288"/>
    </row>
    <row r="50765" spans="18:18" s="2" customFormat="1" ht="12.75" x14ac:dyDescent="0.2">
      <c r="R50765" s="1288"/>
    </row>
    <row r="50766" spans="18:18" s="2" customFormat="1" ht="12.75" x14ac:dyDescent="0.2">
      <c r="R50766" s="1288"/>
    </row>
    <row r="50767" spans="18:18" s="2" customFormat="1" ht="12.75" x14ac:dyDescent="0.2">
      <c r="R50767" s="1288"/>
    </row>
    <row r="50768" spans="18:18" s="2" customFormat="1" ht="12.75" x14ac:dyDescent="0.2">
      <c r="R50768" s="1288"/>
    </row>
    <row r="50769" spans="18:18" s="2" customFormat="1" ht="12.75" x14ac:dyDescent="0.2">
      <c r="R50769" s="1288"/>
    </row>
    <row r="50770" spans="18:18" s="2" customFormat="1" ht="12.75" x14ac:dyDescent="0.2">
      <c r="R50770" s="1288"/>
    </row>
    <row r="50771" spans="18:18" s="2" customFormat="1" ht="12.75" x14ac:dyDescent="0.2">
      <c r="R50771" s="1288"/>
    </row>
    <row r="50772" spans="18:18" s="2" customFormat="1" ht="12.75" x14ac:dyDescent="0.2">
      <c r="R50772" s="1288"/>
    </row>
    <row r="50773" spans="18:18" s="2" customFormat="1" ht="12.75" x14ac:dyDescent="0.2">
      <c r="R50773" s="1288"/>
    </row>
    <row r="50774" spans="18:18" s="2" customFormat="1" ht="12.75" x14ac:dyDescent="0.2">
      <c r="R50774" s="1288"/>
    </row>
    <row r="50775" spans="18:18" s="2" customFormat="1" ht="12.75" x14ac:dyDescent="0.2">
      <c r="R50775" s="1288"/>
    </row>
    <row r="50776" spans="18:18" s="2" customFormat="1" ht="12.75" x14ac:dyDescent="0.2">
      <c r="R50776" s="1288"/>
    </row>
    <row r="50777" spans="18:18" s="2" customFormat="1" ht="12.75" x14ac:dyDescent="0.2">
      <c r="R50777" s="1288"/>
    </row>
    <row r="50778" spans="18:18" s="2" customFormat="1" ht="12.75" x14ac:dyDescent="0.2">
      <c r="R50778" s="1288"/>
    </row>
    <row r="50779" spans="18:18" s="2" customFormat="1" ht="12.75" x14ac:dyDescent="0.2">
      <c r="R50779" s="1288"/>
    </row>
    <row r="50780" spans="18:18" s="2" customFormat="1" ht="12.75" x14ac:dyDescent="0.2">
      <c r="R50780" s="1288"/>
    </row>
    <row r="50781" spans="18:18" s="2" customFormat="1" ht="12.75" x14ac:dyDescent="0.2">
      <c r="R50781" s="1288"/>
    </row>
    <row r="50782" spans="18:18" s="2" customFormat="1" ht="12.75" x14ac:dyDescent="0.2">
      <c r="R50782" s="1288"/>
    </row>
    <row r="50783" spans="18:18" s="2" customFormat="1" ht="12.75" x14ac:dyDescent="0.2">
      <c r="R50783" s="1288"/>
    </row>
    <row r="50784" spans="18:18" s="2" customFormat="1" ht="12.75" x14ac:dyDescent="0.2">
      <c r="R50784" s="1288"/>
    </row>
    <row r="50785" spans="18:18" s="2" customFormat="1" ht="12.75" x14ac:dyDescent="0.2">
      <c r="R50785" s="1288"/>
    </row>
    <row r="50786" spans="18:18" s="2" customFormat="1" ht="12.75" x14ac:dyDescent="0.2">
      <c r="R50786" s="1288"/>
    </row>
    <row r="50787" spans="18:18" s="2" customFormat="1" ht="12.75" x14ac:dyDescent="0.2">
      <c r="R50787" s="1288"/>
    </row>
    <row r="50788" spans="18:18" s="2" customFormat="1" ht="12.75" x14ac:dyDescent="0.2">
      <c r="R50788" s="1288"/>
    </row>
    <row r="50789" spans="18:18" s="2" customFormat="1" ht="12.75" x14ac:dyDescent="0.2">
      <c r="R50789" s="1288"/>
    </row>
    <row r="50790" spans="18:18" s="2" customFormat="1" ht="12.75" x14ac:dyDescent="0.2">
      <c r="R50790" s="1288"/>
    </row>
    <row r="50791" spans="18:18" s="2" customFormat="1" ht="12.75" x14ac:dyDescent="0.2">
      <c r="R50791" s="1288"/>
    </row>
    <row r="50792" spans="18:18" s="2" customFormat="1" ht="12.75" x14ac:dyDescent="0.2">
      <c r="R50792" s="1288"/>
    </row>
    <row r="50793" spans="18:18" s="2" customFormat="1" ht="12.75" x14ac:dyDescent="0.2">
      <c r="R50793" s="1288"/>
    </row>
    <row r="50794" spans="18:18" s="2" customFormat="1" ht="12.75" x14ac:dyDescent="0.2">
      <c r="R50794" s="1288"/>
    </row>
    <row r="50795" spans="18:18" s="2" customFormat="1" ht="12.75" x14ac:dyDescent="0.2">
      <c r="R50795" s="1288"/>
    </row>
    <row r="50796" spans="18:18" s="2" customFormat="1" ht="12.75" x14ac:dyDescent="0.2">
      <c r="R50796" s="1288"/>
    </row>
    <row r="50797" spans="18:18" s="2" customFormat="1" ht="12.75" x14ac:dyDescent="0.2">
      <c r="R50797" s="1288"/>
    </row>
    <row r="50798" spans="18:18" s="2" customFormat="1" ht="12.75" x14ac:dyDescent="0.2">
      <c r="R50798" s="1288"/>
    </row>
    <row r="50799" spans="18:18" s="2" customFormat="1" ht="12.75" x14ac:dyDescent="0.2">
      <c r="R50799" s="1288"/>
    </row>
    <row r="50800" spans="18:18" s="2" customFormat="1" ht="12.75" x14ac:dyDescent="0.2">
      <c r="R50800" s="1288"/>
    </row>
    <row r="50801" spans="18:18" s="2" customFormat="1" ht="12.75" x14ac:dyDescent="0.2">
      <c r="R50801" s="1288"/>
    </row>
    <row r="50802" spans="18:18" s="2" customFormat="1" ht="12.75" x14ac:dyDescent="0.2">
      <c r="R50802" s="1288"/>
    </row>
    <row r="50803" spans="18:18" s="2" customFormat="1" ht="12.75" x14ac:dyDescent="0.2">
      <c r="R50803" s="1288"/>
    </row>
    <row r="50804" spans="18:18" s="2" customFormat="1" ht="12.75" x14ac:dyDescent="0.2">
      <c r="R50804" s="1288"/>
    </row>
    <row r="50805" spans="18:18" s="2" customFormat="1" ht="12.75" x14ac:dyDescent="0.2">
      <c r="R50805" s="1288"/>
    </row>
    <row r="50806" spans="18:18" s="2" customFormat="1" ht="12.75" x14ac:dyDescent="0.2">
      <c r="R50806" s="1288"/>
    </row>
    <row r="50807" spans="18:18" s="2" customFormat="1" ht="12.75" x14ac:dyDescent="0.2">
      <c r="R50807" s="1288"/>
    </row>
    <row r="50808" spans="18:18" s="2" customFormat="1" ht="12.75" x14ac:dyDescent="0.2">
      <c r="R50808" s="1288"/>
    </row>
    <row r="50809" spans="18:18" s="2" customFormat="1" ht="12.75" x14ac:dyDescent="0.2">
      <c r="R50809" s="1288"/>
    </row>
    <row r="50810" spans="18:18" s="2" customFormat="1" ht="12.75" x14ac:dyDescent="0.2">
      <c r="R50810" s="1288"/>
    </row>
    <row r="50811" spans="18:18" s="2" customFormat="1" ht="12.75" x14ac:dyDescent="0.2">
      <c r="R50811" s="1288"/>
    </row>
    <row r="50812" spans="18:18" s="2" customFormat="1" ht="12.75" x14ac:dyDescent="0.2">
      <c r="R50812" s="1288"/>
    </row>
    <row r="50813" spans="18:18" s="2" customFormat="1" ht="12.75" x14ac:dyDescent="0.2">
      <c r="R50813" s="1288"/>
    </row>
    <row r="50814" spans="18:18" s="2" customFormat="1" ht="12.75" x14ac:dyDescent="0.2">
      <c r="R50814" s="1288"/>
    </row>
    <row r="50815" spans="18:18" s="2" customFormat="1" ht="12.75" x14ac:dyDescent="0.2">
      <c r="R50815" s="1288"/>
    </row>
    <row r="50816" spans="18:18" s="2" customFormat="1" ht="12.75" x14ac:dyDescent="0.2">
      <c r="R50816" s="1288"/>
    </row>
    <row r="50817" spans="18:18" s="2" customFormat="1" ht="12.75" x14ac:dyDescent="0.2">
      <c r="R50817" s="1288"/>
    </row>
    <row r="50818" spans="18:18" s="2" customFormat="1" ht="12.75" x14ac:dyDescent="0.2">
      <c r="R50818" s="1288"/>
    </row>
    <row r="50819" spans="18:18" s="2" customFormat="1" ht="12.75" x14ac:dyDescent="0.2">
      <c r="R50819" s="1288"/>
    </row>
    <row r="50820" spans="18:18" s="2" customFormat="1" ht="12.75" x14ac:dyDescent="0.2">
      <c r="R50820" s="1288"/>
    </row>
    <row r="50821" spans="18:18" s="2" customFormat="1" ht="12.75" x14ac:dyDescent="0.2">
      <c r="R50821" s="1288"/>
    </row>
    <row r="50822" spans="18:18" s="2" customFormat="1" ht="12.75" x14ac:dyDescent="0.2">
      <c r="R50822" s="1288"/>
    </row>
    <row r="50823" spans="18:18" s="2" customFormat="1" ht="12.75" x14ac:dyDescent="0.2">
      <c r="R50823" s="1288"/>
    </row>
    <row r="50824" spans="18:18" s="2" customFormat="1" ht="12.75" x14ac:dyDescent="0.2">
      <c r="R50824" s="1288"/>
    </row>
    <row r="50825" spans="18:18" s="2" customFormat="1" ht="12.75" x14ac:dyDescent="0.2">
      <c r="R50825" s="1288"/>
    </row>
    <row r="50826" spans="18:18" s="2" customFormat="1" ht="12.75" x14ac:dyDescent="0.2">
      <c r="R50826" s="1288"/>
    </row>
    <row r="50827" spans="18:18" s="2" customFormat="1" ht="12.75" x14ac:dyDescent="0.2">
      <c r="R50827" s="1288"/>
    </row>
    <row r="50828" spans="18:18" s="2" customFormat="1" ht="12.75" x14ac:dyDescent="0.2">
      <c r="R50828" s="1288"/>
    </row>
    <row r="50829" spans="18:18" s="2" customFormat="1" ht="12.75" x14ac:dyDescent="0.2">
      <c r="R50829" s="1288"/>
    </row>
    <row r="50830" spans="18:18" s="2" customFormat="1" ht="12.75" x14ac:dyDescent="0.2">
      <c r="R50830" s="1288"/>
    </row>
    <row r="50831" spans="18:18" s="2" customFormat="1" ht="12.75" x14ac:dyDescent="0.2">
      <c r="R50831" s="1288"/>
    </row>
    <row r="50832" spans="18:18" s="2" customFormat="1" ht="12.75" x14ac:dyDescent="0.2">
      <c r="R50832" s="1288"/>
    </row>
    <row r="50833" spans="18:18" s="2" customFormat="1" ht="12.75" x14ac:dyDescent="0.2">
      <c r="R50833" s="1288"/>
    </row>
    <row r="50834" spans="18:18" s="2" customFormat="1" ht="12.75" x14ac:dyDescent="0.2">
      <c r="R50834" s="1288"/>
    </row>
    <row r="50835" spans="18:18" s="2" customFormat="1" ht="12.75" x14ac:dyDescent="0.2">
      <c r="R50835" s="1288"/>
    </row>
    <row r="50836" spans="18:18" s="2" customFormat="1" ht="12.75" x14ac:dyDescent="0.2">
      <c r="R50836" s="1288"/>
    </row>
    <row r="50837" spans="18:18" s="2" customFormat="1" ht="12.75" x14ac:dyDescent="0.2">
      <c r="R50837" s="1288"/>
    </row>
    <row r="50838" spans="18:18" s="2" customFormat="1" ht="12.75" x14ac:dyDescent="0.2">
      <c r="R50838" s="1288"/>
    </row>
    <row r="50839" spans="18:18" s="2" customFormat="1" ht="12.75" x14ac:dyDescent="0.2">
      <c r="R50839" s="1288"/>
    </row>
    <row r="50840" spans="18:18" s="2" customFormat="1" ht="12.75" x14ac:dyDescent="0.2">
      <c r="R50840" s="1288"/>
    </row>
    <row r="50841" spans="18:18" s="2" customFormat="1" ht="12.75" x14ac:dyDescent="0.2">
      <c r="R50841" s="1288"/>
    </row>
    <row r="50842" spans="18:18" s="2" customFormat="1" ht="12.75" x14ac:dyDescent="0.2">
      <c r="R50842" s="1288"/>
    </row>
    <row r="50843" spans="18:18" s="2" customFormat="1" ht="12.75" x14ac:dyDescent="0.2">
      <c r="R50843" s="1288"/>
    </row>
    <row r="50844" spans="18:18" s="2" customFormat="1" ht="12.75" x14ac:dyDescent="0.2">
      <c r="R50844" s="1288"/>
    </row>
    <row r="50845" spans="18:18" s="2" customFormat="1" ht="12.75" x14ac:dyDescent="0.2">
      <c r="R50845" s="1288"/>
    </row>
    <row r="50846" spans="18:18" s="2" customFormat="1" ht="12.75" x14ac:dyDescent="0.2">
      <c r="R50846" s="1288"/>
    </row>
    <row r="50847" spans="18:18" s="2" customFormat="1" ht="12.75" x14ac:dyDescent="0.2">
      <c r="R50847" s="1288"/>
    </row>
    <row r="50848" spans="18:18" s="2" customFormat="1" ht="12.75" x14ac:dyDescent="0.2">
      <c r="R50848" s="1288"/>
    </row>
    <row r="50849" spans="18:18" s="2" customFormat="1" ht="12.75" x14ac:dyDescent="0.2">
      <c r="R50849" s="1288"/>
    </row>
    <row r="50850" spans="18:18" s="2" customFormat="1" ht="12.75" x14ac:dyDescent="0.2">
      <c r="R50850" s="1288"/>
    </row>
    <row r="50851" spans="18:18" s="2" customFormat="1" ht="12.75" x14ac:dyDescent="0.2">
      <c r="R50851" s="1288"/>
    </row>
    <row r="50852" spans="18:18" s="2" customFormat="1" ht="12.75" x14ac:dyDescent="0.2">
      <c r="R50852" s="1288"/>
    </row>
    <row r="50853" spans="18:18" s="2" customFormat="1" ht="12.75" x14ac:dyDescent="0.2">
      <c r="R50853" s="1288"/>
    </row>
    <row r="50854" spans="18:18" s="2" customFormat="1" ht="12.75" x14ac:dyDescent="0.2">
      <c r="R50854" s="1288"/>
    </row>
    <row r="50855" spans="18:18" s="2" customFormat="1" ht="12.75" x14ac:dyDescent="0.2">
      <c r="R50855" s="1288"/>
    </row>
    <row r="50856" spans="18:18" s="2" customFormat="1" ht="12.75" x14ac:dyDescent="0.2">
      <c r="R50856" s="1288"/>
    </row>
    <row r="50857" spans="18:18" s="2" customFormat="1" ht="12.75" x14ac:dyDescent="0.2">
      <c r="R50857" s="1288"/>
    </row>
    <row r="50858" spans="18:18" s="2" customFormat="1" ht="12.75" x14ac:dyDescent="0.2">
      <c r="R50858" s="1288"/>
    </row>
    <row r="50859" spans="18:18" s="2" customFormat="1" ht="12.75" x14ac:dyDescent="0.2">
      <c r="R50859" s="1288"/>
    </row>
    <row r="50860" spans="18:18" s="2" customFormat="1" ht="12.75" x14ac:dyDescent="0.2">
      <c r="R50860" s="1288"/>
    </row>
    <row r="50861" spans="18:18" s="2" customFormat="1" ht="12.75" x14ac:dyDescent="0.2">
      <c r="R50861" s="1288"/>
    </row>
    <row r="50862" spans="18:18" s="2" customFormat="1" ht="12.75" x14ac:dyDescent="0.2">
      <c r="R50862" s="1288"/>
    </row>
    <row r="50863" spans="18:18" s="2" customFormat="1" ht="12.75" x14ac:dyDescent="0.2">
      <c r="R50863" s="1288"/>
    </row>
    <row r="50864" spans="18:18" s="2" customFormat="1" ht="12.75" x14ac:dyDescent="0.2">
      <c r="R50864" s="1288"/>
    </row>
    <row r="50865" spans="18:18" s="2" customFormat="1" ht="12.75" x14ac:dyDescent="0.2">
      <c r="R50865" s="1288"/>
    </row>
    <row r="50866" spans="18:18" s="2" customFormat="1" ht="12.75" x14ac:dyDescent="0.2">
      <c r="R50866" s="1288"/>
    </row>
    <row r="50867" spans="18:18" s="2" customFormat="1" ht="12.75" x14ac:dyDescent="0.2">
      <c r="R50867" s="1288"/>
    </row>
    <row r="50868" spans="18:18" s="2" customFormat="1" ht="12.75" x14ac:dyDescent="0.2">
      <c r="R50868" s="1288"/>
    </row>
    <row r="50869" spans="18:18" s="2" customFormat="1" ht="12.75" x14ac:dyDescent="0.2">
      <c r="R50869" s="1288"/>
    </row>
    <row r="50870" spans="18:18" s="2" customFormat="1" ht="12.75" x14ac:dyDescent="0.2">
      <c r="R50870" s="1288"/>
    </row>
    <row r="50871" spans="18:18" s="2" customFormat="1" ht="12.75" x14ac:dyDescent="0.2">
      <c r="R50871" s="1288"/>
    </row>
    <row r="50872" spans="18:18" s="2" customFormat="1" ht="12.75" x14ac:dyDescent="0.2">
      <c r="R50872" s="1288"/>
    </row>
    <row r="50873" spans="18:18" s="2" customFormat="1" ht="12.75" x14ac:dyDescent="0.2">
      <c r="R50873" s="1288"/>
    </row>
    <row r="50874" spans="18:18" s="2" customFormat="1" ht="12.75" x14ac:dyDescent="0.2">
      <c r="R50874" s="1288"/>
    </row>
    <row r="50875" spans="18:18" s="2" customFormat="1" ht="12.75" x14ac:dyDescent="0.2">
      <c r="R50875" s="1288"/>
    </row>
    <row r="50876" spans="18:18" s="2" customFormat="1" ht="12.75" x14ac:dyDescent="0.2">
      <c r="R50876" s="1288"/>
    </row>
    <row r="50877" spans="18:18" s="2" customFormat="1" ht="12.75" x14ac:dyDescent="0.2">
      <c r="R50877" s="1288"/>
    </row>
    <row r="50878" spans="18:18" s="2" customFormat="1" ht="12.75" x14ac:dyDescent="0.2">
      <c r="R50878" s="1288"/>
    </row>
    <row r="50879" spans="18:18" s="2" customFormat="1" ht="12.75" x14ac:dyDescent="0.2">
      <c r="R50879" s="1288"/>
    </row>
    <row r="50880" spans="18:18" s="2" customFormat="1" ht="12.75" x14ac:dyDescent="0.2">
      <c r="R50880" s="1288"/>
    </row>
    <row r="50881" spans="18:18" s="2" customFormat="1" ht="12.75" x14ac:dyDescent="0.2">
      <c r="R50881" s="1288"/>
    </row>
    <row r="50882" spans="18:18" s="2" customFormat="1" ht="12.75" x14ac:dyDescent="0.2">
      <c r="R50882" s="1288"/>
    </row>
    <row r="50883" spans="18:18" s="2" customFormat="1" ht="12.75" x14ac:dyDescent="0.2">
      <c r="R50883" s="1288"/>
    </row>
    <row r="50884" spans="18:18" s="2" customFormat="1" ht="12.75" x14ac:dyDescent="0.2">
      <c r="R50884" s="1288"/>
    </row>
    <row r="50885" spans="18:18" s="2" customFormat="1" ht="12.75" x14ac:dyDescent="0.2">
      <c r="R50885" s="1288"/>
    </row>
    <row r="50886" spans="18:18" s="2" customFormat="1" ht="12.75" x14ac:dyDescent="0.2">
      <c r="R50886" s="1288"/>
    </row>
    <row r="50887" spans="18:18" s="2" customFormat="1" ht="12.75" x14ac:dyDescent="0.2">
      <c r="R50887" s="1288"/>
    </row>
    <row r="50888" spans="18:18" s="2" customFormat="1" ht="12.75" x14ac:dyDescent="0.2">
      <c r="R50888" s="1288"/>
    </row>
    <row r="50889" spans="18:18" s="2" customFormat="1" ht="12.75" x14ac:dyDescent="0.2">
      <c r="R50889" s="1288"/>
    </row>
    <row r="50890" spans="18:18" s="2" customFormat="1" ht="12.75" x14ac:dyDescent="0.2">
      <c r="R50890" s="1288"/>
    </row>
    <row r="50891" spans="18:18" s="2" customFormat="1" ht="12.75" x14ac:dyDescent="0.2">
      <c r="R50891" s="1288"/>
    </row>
    <row r="50892" spans="18:18" s="2" customFormat="1" ht="12.75" x14ac:dyDescent="0.2">
      <c r="R50892" s="1288"/>
    </row>
    <row r="50893" spans="18:18" s="2" customFormat="1" ht="12.75" x14ac:dyDescent="0.2">
      <c r="R50893" s="1288"/>
    </row>
    <row r="50894" spans="18:18" s="2" customFormat="1" ht="12.75" x14ac:dyDescent="0.2">
      <c r="R50894" s="1288"/>
    </row>
    <row r="50895" spans="18:18" s="2" customFormat="1" ht="12.75" x14ac:dyDescent="0.2">
      <c r="R50895" s="1288"/>
    </row>
    <row r="50896" spans="18:18" s="2" customFormat="1" ht="12.75" x14ac:dyDescent="0.2">
      <c r="R50896" s="1288"/>
    </row>
    <row r="50897" spans="18:18" s="2" customFormat="1" ht="12.75" x14ac:dyDescent="0.2">
      <c r="R50897" s="1288"/>
    </row>
    <row r="50898" spans="18:18" s="2" customFormat="1" ht="12.75" x14ac:dyDescent="0.2">
      <c r="R50898" s="1288"/>
    </row>
    <row r="50899" spans="18:18" s="2" customFormat="1" ht="12.75" x14ac:dyDescent="0.2">
      <c r="R50899" s="1288"/>
    </row>
    <row r="50900" spans="18:18" s="2" customFormat="1" ht="12.75" x14ac:dyDescent="0.2">
      <c r="R50900" s="1288"/>
    </row>
    <row r="50901" spans="18:18" s="2" customFormat="1" ht="12.75" x14ac:dyDescent="0.2">
      <c r="R50901" s="1288"/>
    </row>
    <row r="50902" spans="18:18" s="2" customFormat="1" ht="12.75" x14ac:dyDescent="0.2">
      <c r="R50902" s="1288"/>
    </row>
    <row r="50903" spans="18:18" s="2" customFormat="1" ht="12.75" x14ac:dyDescent="0.2">
      <c r="R50903" s="1288"/>
    </row>
    <row r="50904" spans="18:18" s="2" customFormat="1" ht="12.75" x14ac:dyDescent="0.2">
      <c r="R50904" s="1288"/>
    </row>
    <row r="50905" spans="18:18" s="2" customFormat="1" ht="12.75" x14ac:dyDescent="0.2">
      <c r="R50905" s="1288"/>
    </row>
    <row r="50906" spans="18:18" s="2" customFormat="1" ht="12.75" x14ac:dyDescent="0.2">
      <c r="R50906" s="1288"/>
    </row>
    <row r="50907" spans="18:18" s="2" customFormat="1" ht="12.75" x14ac:dyDescent="0.2">
      <c r="R50907" s="1288"/>
    </row>
    <row r="50908" spans="18:18" s="2" customFormat="1" ht="12.75" x14ac:dyDescent="0.2">
      <c r="R50908" s="1288"/>
    </row>
    <row r="50909" spans="18:18" s="2" customFormat="1" ht="12.75" x14ac:dyDescent="0.2">
      <c r="R50909" s="1288"/>
    </row>
    <row r="50910" spans="18:18" s="2" customFormat="1" ht="12.75" x14ac:dyDescent="0.2">
      <c r="R50910" s="1288"/>
    </row>
    <row r="50911" spans="18:18" s="2" customFormat="1" ht="12.75" x14ac:dyDescent="0.2">
      <c r="R50911" s="1288"/>
    </row>
    <row r="50912" spans="18:18" s="2" customFormat="1" ht="12.75" x14ac:dyDescent="0.2">
      <c r="R50912" s="1288"/>
    </row>
    <row r="50913" spans="18:18" s="2" customFormat="1" ht="12.75" x14ac:dyDescent="0.2">
      <c r="R50913" s="1288"/>
    </row>
    <row r="50914" spans="18:18" s="2" customFormat="1" ht="12.75" x14ac:dyDescent="0.2">
      <c r="R50914" s="1288"/>
    </row>
    <row r="50915" spans="18:18" s="2" customFormat="1" ht="12.75" x14ac:dyDescent="0.2">
      <c r="R50915" s="1288"/>
    </row>
    <row r="50916" spans="18:18" s="2" customFormat="1" ht="12.75" x14ac:dyDescent="0.2">
      <c r="R50916" s="1288"/>
    </row>
    <row r="50917" spans="18:18" s="2" customFormat="1" ht="12.75" x14ac:dyDescent="0.2">
      <c r="R50917" s="1288"/>
    </row>
    <row r="50918" spans="18:18" s="2" customFormat="1" ht="12.75" x14ac:dyDescent="0.2">
      <c r="R50918" s="1288"/>
    </row>
    <row r="50919" spans="18:18" s="2" customFormat="1" ht="12.75" x14ac:dyDescent="0.2">
      <c r="R50919" s="1288"/>
    </row>
    <row r="50920" spans="18:18" s="2" customFormat="1" ht="12.75" x14ac:dyDescent="0.2">
      <c r="R50920" s="1288"/>
    </row>
    <row r="50921" spans="18:18" s="2" customFormat="1" ht="12.75" x14ac:dyDescent="0.2">
      <c r="R50921" s="1288"/>
    </row>
    <row r="50922" spans="18:18" s="2" customFormat="1" ht="12.75" x14ac:dyDescent="0.2">
      <c r="R50922" s="1288"/>
    </row>
    <row r="50923" spans="18:18" s="2" customFormat="1" ht="12.75" x14ac:dyDescent="0.2">
      <c r="R50923" s="1288"/>
    </row>
    <row r="50924" spans="18:18" s="2" customFormat="1" ht="12.75" x14ac:dyDescent="0.2">
      <c r="R50924" s="1288"/>
    </row>
    <row r="50925" spans="18:18" s="2" customFormat="1" ht="12.75" x14ac:dyDescent="0.2">
      <c r="R50925" s="1288"/>
    </row>
    <row r="50926" spans="18:18" s="2" customFormat="1" ht="12.75" x14ac:dyDescent="0.2">
      <c r="R50926" s="1288"/>
    </row>
    <row r="50927" spans="18:18" s="2" customFormat="1" ht="12.75" x14ac:dyDescent="0.2">
      <c r="R50927" s="1288"/>
    </row>
    <row r="50928" spans="18:18" s="2" customFormat="1" ht="12.75" x14ac:dyDescent="0.2">
      <c r="R50928" s="1288"/>
    </row>
    <row r="50929" spans="18:18" s="2" customFormat="1" ht="12.75" x14ac:dyDescent="0.2">
      <c r="R50929" s="1288"/>
    </row>
    <row r="50930" spans="18:18" s="2" customFormat="1" ht="12.75" x14ac:dyDescent="0.2">
      <c r="R50930" s="1288"/>
    </row>
    <row r="50931" spans="18:18" s="2" customFormat="1" ht="12.75" x14ac:dyDescent="0.2">
      <c r="R50931" s="1288"/>
    </row>
    <row r="50932" spans="18:18" s="2" customFormat="1" ht="12.75" x14ac:dyDescent="0.2">
      <c r="R50932" s="1288"/>
    </row>
    <row r="50933" spans="18:18" s="2" customFormat="1" ht="12.75" x14ac:dyDescent="0.2">
      <c r="R50933" s="1288"/>
    </row>
    <row r="50934" spans="18:18" s="2" customFormat="1" ht="12.75" x14ac:dyDescent="0.2">
      <c r="R50934" s="1288"/>
    </row>
    <row r="50935" spans="18:18" s="2" customFormat="1" ht="12.75" x14ac:dyDescent="0.2">
      <c r="R50935" s="1288"/>
    </row>
    <row r="50936" spans="18:18" s="2" customFormat="1" ht="12.75" x14ac:dyDescent="0.2">
      <c r="R50936" s="1288"/>
    </row>
    <row r="50937" spans="18:18" s="2" customFormat="1" ht="12.75" x14ac:dyDescent="0.2">
      <c r="R50937" s="1288"/>
    </row>
    <row r="50938" spans="18:18" s="2" customFormat="1" ht="12.75" x14ac:dyDescent="0.2">
      <c r="R50938" s="1288"/>
    </row>
    <row r="50939" spans="18:18" s="2" customFormat="1" ht="12.75" x14ac:dyDescent="0.2">
      <c r="R50939" s="1288"/>
    </row>
    <row r="50940" spans="18:18" s="2" customFormat="1" ht="12.75" x14ac:dyDescent="0.2">
      <c r="R50940" s="1288"/>
    </row>
    <row r="50941" spans="18:18" s="2" customFormat="1" ht="12.75" x14ac:dyDescent="0.2">
      <c r="R50941" s="1288"/>
    </row>
    <row r="50942" spans="18:18" s="2" customFormat="1" ht="12.75" x14ac:dyDescent="0.2">
      <c r="R50942" s="1288"/>
    </row>
    <row r="50943" spans="18:18" s="2" customFormat="1" ht="12.75" x14ac:dyDescent="0.2">
      <c r="R50943" s="1288"/>
    </row>
    <row r="50944" spans="18:18" s="2" customFormat="1" ht="12.75" x14ac:dyDescent="0.2">
      <c r="R50944" s="1288"/>
    </row>
    <row r="50945" spans="18:18" s="2" customFormat="1" ht="12.75" x14ac:dyDescent="0.2">
      <c r="R50945" s="1288"/>
    </row>
    <row r="50946" spans="18:18" s="2" customFormat="1" ht="12.75" x14ac:dyDescent="0.2">
      <c r="R50946" s="1288"/>
    </row>
    <row r="50947" spans="18:18" s="2" customFormat="1" ht="12.75" x14ac:dyDescent="0.2">
      <c r="R50947" s="1288"/>
    </row>
    <row r="50948" spans="18:18" s="2" customFormat="1" ht="12.75" x14ac:dyDescent="0.2">
      <c r="R50948" s="1288"/>
    </row>
    <row r="50949" spans="18:18" s="2" customFormat="1" ht="12.75" x14ac:dyDescent="0.2">
      <c r="R50949" s="1288"/>
    </row>
    <row r="50950" spans="18:18" s="2" customFormat="1" ht="12.75" x14ac:dyDescent="0.2">
      <c r="R50950" s="1288"/>
    </row>
    <row r="50951" spans="18:18" s="2" customFormat="1" ht="12.75" x14ac:dyDescent="0.2">
      <c r="R50951" s="1288"/>
    </row>
    <row r="50952" spans="18:18" s="2" customFormat="1" ht="12.75" x14ac:dyDescent="0.2">
      <c r="R50952" s="1288"/>
    </row>
    <row r="50953" spans="18:18" s="2" customFormat="1" ht="12.75" x14ac:dyDescent="0.2">
      <c r="R50953" s="1288"/>
    </row>
    <row r="50954" spans="18:18" s="2" customFormat="1" ht="12.75" x14ac:dyDescent="0.2">
      <c r="R50954" s="1288"/>
    </row>
    <row r="50955" spans="18:18" s="2" customFormat="1" ht="12.75" x14ac:dyDescent="0.2">
      <c r="R50955" s="1288"/>
    </row>
    <row r="50956" spans="18:18" s="2" customFormat="1" ht="12.75" x14ac:dyDescent="0.2">
      <c r="R50956" s="1288"/>
    </row>
    <row r="50957" spans="18:18" s="2" customFormat="1" ht="12.75" x14ac:dyDescent="0.2">
      <c r="R50957" s="1288"/>
    </row>
    <row r="50958" spans="18:18" s="2" customFormat="1" ht="12.75" x14ac:dyDescent="0.2">
      <c r="R50958" s="1288"/>
    </row>
    <row r="50959" spans="18:18" s="2" customFormat="1" ht="12.75" x14ac:dyDescent="0.2">
      <c r="R50959" s="1288"/>
    </row>
    <row r="50960" spans="18:18" s="2" customFormat="1" ht="12.75" x14ac:dyDescent="0.2">
      <c r="R50960" s="1288"/>
    </row>
    <row r="50961" spans="18:18" s="2" customFormat="1" ht="12.75" x14ac:dyDescent="0.2">
      <c r="R50961" s="1288"/>
    </row>
    <row r="50962" spans="18:18" s="2" customFormat="1" ht="12.75" x14ac:dyDescent="0.2">
      <c r="R50962" s="1288"/>
    </row>
    <row r="50963" spans="18:18" s="2" customFormat="1" ht="12.75" x14ac:dyDescent="0.2">
      <c r="R50963" s="1288"/>
    </row>
    <row r="50964" spans="18:18" s="2" customFormat="1" ht="12.75" x14ac:dyDescent="0.2">
      <c r="R50964" s="1288"/>
    </row>
    <row r="50965" spans="18:18" s="2" customFormat="1" ht="12.75" x14ac:dyDescent="0.2">
      <c r="R50965" s="1288"/>
    </row>
    <row r="50966" spans="18:18" s="2" customFormat="1" ht="12.75" x14ac:dyDescent="0.2">
      <c r="R50966" s="1288"/>
    </row>
    <row r="50967" spans="18:18" s="2" customFormat="1" ht="12.75" x14ac:dyDescent="0.2">
      <c r="R50967" s="1288"/>
    </row>
    <row r="50968" spans="18:18" s="2" customFormat="1" ht="12.75" x14ac:dyDescent="0.2">
      <c r="R50968" s="1288"/>
    </row>
    <row r="50969" spans="18:18" s="2" customFormat="1" ht="12.75" x14ac:dyDescent="0.2">
      <c r="R50969" s="1288"/>
    </row>
    <row r="50970" spans="18:18" s="2" customFormat="1" ht="12.75" x14ac:dyDescent="0.2">
      <c r="R50970" s="1288"/>
    </row>
    <row r="50971" spans="18:18" s="2" customFormat="1" ht="12.75" x14ac:dyDescent="0.2">
      <c r="R50971" s="1288"/>
    </row>
    <row r="50972" spans="18:18" s="2" customFormat="1" ht="12.75" x14ac:dyDescent="0.2">
      <c r="R50972" s="1288"/>
    </row>
    <row r="50973" spans="18:18" s="2" customFormat="1" ht="12.75" x14ac:dyDescent="0.2">
      <c r="R50973" s="1288"/>
    </row>
    <row r="50974" spans="18:18" s="2" customFormat="1" ht="12.75" x14ac:dyDescent="0.2">
      <c r="R50974" s="1288"/>
    </row>
    <row r="50975" spans="18:18" s="2" customFormat="1" ht="12.75" x14ac:dyDescent="0.2">
      <c r="R50975" s="1288"/>
    </row>
    <row r="50976" spans="18:18" s="2" customFormat="1" ht="12.75" x14ac:dyDescent="0.2">
      <c r="R50976" s="1288"/>
    </row>
    <row r="50977" spans="18:18" s="2" customFormat="1" ht="12.75" x14ac:dyDescent="0.2">
      <c r="R50977" s="1288"/>
    </row>
    <row r="50978" spans="18:18" s="2" customFormat="1" ht="12.75" x14ac:dyDescent="0.2">
      <c r="R50978" s="1288"/>
    </row>
    <row r="50979" spans="18:18" s="2" customFormat="1" ht="12.75" x14ac:dyDescent="0.2">
      <c r="R50979" s="1288"/>
    </row>
    <row r="50980" spans="18:18" s="2" customFormat="1" ht="12.75" x14ac:dyDescent="0.2">
      <c r="R50980" s="1288"/>
    </row>
    <row r="50981" spans="18:18" s="2" customFormat="1" ht="12.75" x14ac:dyDescent="0.2">
      <c r="R50981" s="1288"/>
    </row>
    <row r="50982" spans="18:18" s="2" customFormat="1" ht="12.75" x14ac:dyDescent="0.2">
      <c r="R50982" s="1288"/>
    </row>
    <row r="50983" spans="18:18" s="2" customFormat="1" ht="12.75" x14ac:dyDescent="0.2">
      <c r="R50983" s="1288"/>
    </row>
    <row r="50984" spans="18:18" s="2" customFormat="1" ht="12.75" x14ac:dyDescent="0.2">
      <c r="R50984" s="1288"/>
    </row>
    <row r="50985" spans="18:18" s="2" customFormat="1" ht="12.75" x14ac:dyDescent="0.2">
      <c r="R50985" s="1288"/>
    </row>
    <row r="50986" spans="18:18" s="2" customFormat="1" ht="12.75" x14ac:dyDescent="0.2">
      <c r="R50986" s="1288"/>
    </row>
    <row r="50987" spans="18:18" s="2" customFormat="1" ht="12.75" x14ac:dyDescent="0.2">
      <c r="R50987" s="1288"/>
    </row>
    <row r="50988" spans="18:18" s="2" customFormat="1" ht="12.75" x14ac:dyDescent="0.2">
      <c r="R50988" s="1288"/>
    </row>
    <row r="50989" spans="18:18" s="2" customFormat="1" ht="12.75" x14ac:dyDescent="0.2">
      <c r="R50989" s="1288"/>
    </row>
    <row r="50990" spans="18:18" s="2" customFormat="1" ht="12.75" x14ac:dyDescent="0.2">
      <c r="R50990" s="1288"/>
    </row>
    <row r="50991" spans="18:18" s="2" customFormat="1" ht="12.75" x14ac:dyDescent="0.2">
      <c r="R50991" s="1288"/>
    </row>
    <row r="50992" spans="18:18" s="2" customFormat="1" ht="12.75" x14ac:dyDescent="0.2">
      <c r="R50992" s="1288"/>
    </row>
    <row r="50993" spans="18:18" s="2" customFormat="1" ht="12.75" x14ac:dyDescent="0.2">
      <c r="R50993" s="1288"/>
    </row>
    <row r="50994" spans="18:18" s="2" customFormat="1" ht="12.75" x14ac:dyDescent="0.2">
      <c r="R50994" s="1288"/>
    </row>
    <row r="50995" spans="18:18" s="2" customFormat="1" ht="12.75" x14ac:dyDescent="0.2">
      <c r="R50995" s="1288"/>
    </row>
    <row r="50996" spans="18:18" s="2" customFormat="1" ht="12.75" x14ac:dyDescent="0.2">
      <c r="R50996" s="1288"/>
    </row>
    <row r="50997" spans="18:18" s="2" customFormat="1" ht="12.75" x14ac:dyDescent="0.2">
      <c r="R50997" s="1288"/>
    </row>
    <row r="50998" spans="18:18" s="2" customFormat="1" ht="12.75" x14ac:dyDescent="0.2">
      <c r="R50998" s="1288"/>
    </row>
    <row r="50999" spans="18:18" s="2" customFormat="1" ht="12.75" x14ac:dyDescent="0.2">
      <c r="R50999" s="1288"/>
    </row>
    <row r="51000" spans="18:18" s="2" customFormat="1" ht="12.75" x14ac:dyDescent="0.2">
      <c r="R51000" s="1288"/>
    </row>
    <row r="51001" spans="18:18" s="2" customFormat="1" ht="12.75" x14ac:dyDescent="0.2">
      <c r="R51001" s="1288"/>
    </row>
    <row r="51002" spans="18:18" s="2" customFormat="1" ht="12.75" x14ac:dyDescent="0.2">
      <c r="R51002" s="1288"/>
    </row>
    <row r="51003" spans="18:18" s="2" customFormat="1" ht="12.75" x14ac:dyDescent="0.2">
      <c r="R51003" s="1288"/>
    </row>
    <row r="51004" spans="18:18" s="2" customFormat="1" ht="12.75" x14ac:dyDescent="0.2">
      <c r="R51004" s="1288"/>
    </row>
    <row r="51005" spans="18:18" s="2" customFormat="1" ht="12.75" x14ac:dyDescent="0.2">
      <c r="R51005" s="1288"/>
    </row>
    <row r="51006" spans="18:18" s="2" customFormat="1" ht="12.75" x14ac:dyDescent="0.2">
      <c r="R51006" s="1288"/>
    </row>
    <row r="51007" spans="18:18" s="2" customFormat="1" ht="12.75" x14ac:dyDescent="0.2">
      <c r="R51007" s="1288"/>
    </row>
    <row r="51008" spans="18:18" s="2" customFormat="1" ht="12.75" x14ac:dyDescent="0.2">
      <c r="R51008" s="1288"/>
    </row>
    <row r="51009" spans="18:18" s="2" customFormat="1" ht="12.75" x14ac:dyDescent="0.2">
      <c r="R51009" s="1288"/>
    </row>
    <row r="51010" spans="18:18" s="2" customFormat="1" ht="12.75" x14ac:dyDescent="0.2">
      <c r="R51010" s="1288"/>
    </row>
    <row r="51011" spans="18:18" s="2" customFormat="1" ht="12.75" x14ac:dyDescent="0.2">
      <c r="R51011" s="1288"/>
    </row>
    <row r="51012" spans="18:18" s="2" customFormat="1" ht="12.75" x14ac:dyDescent="0.2">
      <c r="R51012" s="1288"/>
    </row>
    <row r="51013" spans="18:18" s="2" customFormat="1" ht="12.75" x14ac:dyDescent="0.2">
      <c r="R51013" s="1288"/>
    </row>
    <row r="51014" spans="18:18" s="2" customFormat="1" ht="12.75" x14ac:dyDescent="0.2">
      <c r="R51014" s="1288"/>
    </row>
    <row r="51015" spans="18:18" s="2" customFormat="1" ht="12.75" x14ac:dyDescent="0.2">
      <c r="R51015" s="1288"/>
    </row>
    <row r="51016" spans="18:18" s="2" customFormat="1" ht="12.75" x14ac:dyDescent="0.2">
      <c r="R51016" s="1288"/>
    </row>
    <row r="51017" spans="18:18" s="2" customFormat="1" ht="12.75" x14ac:dyDescent="0.2">
      <c r="R51017" s="1288"/>
    </row>
    <row r="51018" spans="18:18" s="2" customFormat="1" ht="12.75" x14ac:dyDescent="0.2">
      <c r="R51018" s="1288"/>
    </row>
    <row r="51019" spans="18:18" s="2" customFormat="1" ht="12.75" x14ac:dyDescent="0.2">
      <c r="R51019" s="1288"/>
    </row>
    <row r="51020" spans="18:18" s="2" customFormat="1" ht="12.75" x14ac:dyDescent="0.2">
      <c r="R51020" s="1288"/>
    </row>
    <row r="51021" spans="18:18" s="2" customFormat="1" ht="12.75" x14ac:dyDescent="0.2">
      <c r="R51021" s="1288"/>
    </row>
    <row r="51022" spans="18:18" s="2" customFormat="1" ht="12.75" x14ac:dyDescent="0.2">
      <c r="R51022" s="1288"/>
    </row>
    <row r="51023" spans="18:18" s="2" customFormat="1" ht="12.75" x14ac:dyDescent="0.2">
      <c r="R51023" s="1288"/>
    </row>
    <row r="51024" spans="18:18" s="2" customFormat="1" ht="12.75" x14ac:dyDescent="0.2">
      <c r="R51024" s="1288"/>
    </row>
    <row r="51025" spans="18:18" s="2" customFormat="1" ht="12.75" x14ac:dyDescent="0.2">
      <c r="R51025" s="1288"/>
    </row>
    <row r="51026" spans="18:18" s="2" customFormat="1" ht="12.75" x14ac:dyDescent="0.2">
      <c r="R51026" s="1288"/>
    </row>
    <row r="51027" spans="18:18" s="2" customFormat="1" ht="12.75" x14ac:dyDescent="0.2">
      <c r="R51027" s="1288"/>
    </row>
    <row r="51028" spans="18:18" s="2" customFormat="1" ht="12.75" x14ac:dyDescent="0.2">
      <c r="R51028" s="1288"/>
    </row>
    <row r="51029" spans="18:18" s="2" customFormat="1" ht="12.75" x14ac:dyDescent="0.2">
      <c r="R51029" s="1288"/>
    </row>
    <row r="51030" spans="18:18" s="2" customFormat="1" ht="12.75" x14ac:dyDescent="0.2">
      <c r="R51030" s="1288"/>
    </row>
    <row r="51031" spans="18:18" s="2" customFormat="1" ht="12.75" x14ac:dyDescent="0.2">
      <c r="R51031" s="1288"/>
    </row>
    <row r="51032" spans="18:18" s="2" customFormat="1" ht="12.75" x14ac:dyDescent="0.2">
      <c r="R51032" s="1288"/>
    </row>
    <row r="51033" spans="18:18" s="2" customFormat="1" ht="12.75" x14ac:dyDescent="0.2">
      <c r="R51033" s="1288"/>
    </row>
    <row r="51034" spans="18:18" s="2" customFormat="1" ht="12.75" x14ac:dyDescent="0.2">
      <c r="R51034" s="1288"/>
    </row>
    <row r="51035" spans="18:18" s="2" customFormat="1" ht="12.75" x14ac:dyDescent="0.2">
      <c r="R51035" s="1288"/>
    </row>
    <row r="51036" spans="18:18" s="2" customFormat="1" ht="12.75" x14ac:dyDescent="0.2">
      <c r="R51036" s="1288"/>
    </row>
    <row r="51037" spans="18:18" s="2" customFormat="1" ht="12.75" x14ac:dyDescent="0.2">
      <c r="R51037" s="1288"/>
    </row>
    <row r="51038" spans="18:18" s="2" customFormat="1" ht="12.75" x14ac:dyDescent="0.2">
      <c r="R51038" s="1288"/>
    </row>
    <row r="51039" spans="18:18" s="2" customFormat="1" ht="12.75" x14ac:dyDescent="0.2">
      <c r="R51039" s="1288"/>
    </row>
    <row r="51040" spans="18:18" s="2" customFormat="1" ht="12.75" x14ac:dyDescent="0.2">
      <c r="R51040" s="1288"/>
    </row>
    <row r="51041" spans="18:18" s="2" customFormat="1" ht="12.75" x14ac:dyDescent="0.2">
      <c r="R51041" s="1288"/>
    </row>
    <row r="51042" spans="18:18" s="2" customFormat="1" ht="12.75" x14ac:dyDescent="0.2">
      <c r="R51042" s="1288"/>
    </row>
    <row r="51043" spans="18:18" s="2" customFormat="1" ht="12.75" x14ac:dyDescent="0.2">
      <c r="R51043" s="1288"/>
    </row>
    <row r="51044" spans="18:18" s="2" customFormat="1" ht="12.75" x14ac:dyDescent="0.2">
      <c r="R51044" s="1288"/>
    </row>
    <row r="51045" spans="18:18" s="2" customFormat="1" ht="12.75" x14ac:dyDescent="0.2">
      <c r="R51045" s="1288"/>
    </row>
    <row r="51046" spans="18:18" s="2" customFormat="1" ht="12.75" x14ac:dyDescent="0.2">
      <c r="R51046" s="1288"/>
    </row>
    <row r="51047" spans="18:18" s="2" customFormat="1" ht="12.75" x14ac:dyDescent="0.2">
      <c r="R51047" s="1288"/>
    </row>
    <row r="51048" spans="18:18" s="2" customFormat="1" ht="12.75" x14ac:dyDescent="0.2">
      <c r="R51048" s="1288"/>
    </row>
    <row r="51049" spans="18:18" s="2" customFormat="1" ht="12.75" x14ac:dyDescent="0.2">
      <c r="R51049" s="1288"/>
    </row>
    <row r="51050" spans="18:18" s="2" customFormat="1" ht="12.75" x14ac:dyDescent="0.2">
      <c r="R51050" s="1288"/>
    </row>
    <row r="51051" spans="18:18" s="2" customFormat="1" ht="12.75" x14ac:dyDescent="0.2">
      <c r="R51051" s="1288"/>
    </row>
    <row r="51052" spans="18:18" s="2" customFormat="1" ht="12.75" x14ac:dyDescent="0.2">
      <c r="R51052" s="1288"/>
    </row>
    <row r="51053" spans="18:18" s="2" customFormat="1" ht="12.75" x14ac:dyDescent="0.2">
      <c r="R51053" s="1288"/>
    </row>
    <row r="51054" spans="18:18" s="2" customFormat="1" ht="12.75" x14ac:dyDescent="0.2">
      <c r="R51054" s="1288"/>
    </row>
    <row r="51055" spans="18:18" s="2" customFormat="1" ht="12.75" x14ac:dyDescent="0.2">
      <c r="R51055" s="1288"/>
    </row>
    <row r="51056" spans="18:18" s="2" customFormat="1" ht="12.75" x14ac:dyDescent="0.2">
      <c r="R51056" s="1288"/>
    </row>
    <row r="51057" spans="18:18" s="2" customFormat="1" ht="12.75" x14ac:dyDescent="0.2">
      <c r="R51057" s="1288"/>
    </row>
    <row r="51058" spans="18:18" s="2" customFormat="1" ht="12.75" x14ac:dyDescent="0.2">
      <c r="R51058" s="1288"/>
    </row>
    <row r="51059" spans="18:18" s="2" customFormat="1" ht="12.75" x14ac:dyDescent="0.2">
      <c r="R51059" s="1288"/>
    </row>
    <row r="51060" spans="18:18" s="2" customFormat="1" ht="12.75" x14ac:dyDescent="0.2">
      <c r="R51060" s="1288"/>
    </row>
    <row r="51061" spans="18:18" s="2" customFormat="1" ht="12.75" x14ac:dyDescent="0.2">
      <c r="R51061" s="1288"/>
    </row>
    <row r="51062" spans="18:18" s="2" customFormat="1" ht="12.75" x14ac:dyDescent="0.2">
      <c r="R51062" s="1288"/>
    </row>
    <row r="51063" spans="18:18" s="2" customFormat="1" ht="12.75" x14ac:dyDescent="0.2">
      <c r="R51063" s="1288"/>
    </row>
    <row r="51064" spans="18:18" s="2" customFormat="1" ht="12.75" x14ac:dyDescent="0.2">
      <c r="R51064" s="1288"/>
    </row>
    <row r="51065" spans="18:18" s="2" customFormat="1" ht="12.75" x14ac:dyDescent="0.2">
      <c r="R51065" s="1288"/>
    </row>
    <row r="51066" spans="18:18" s="2" customFormat="1" ht="12.75" x14ac:dyDescent="0.2">
      <c r="R51066" s="1288"/>
    </row>
    <row r="51067" spans="18:18" s="2" customFormat="1" ht="12.75" x14ac:dyDescent="0.2">
      <c r="R51067" s="1288"/>
    </row>
    <row r="51068" spans="18:18" s="2" customFormat="1" ht="12.75" x14ac:dyDescent="0.2">
      <c r="R51068" s="1288"/>
    </row>
    <row r="51069" spans="18:18" s="2" customFormat="1" ht="12.75" x14ac:dyDescent="0.2">
      <c r="R51069" s="1288"/>
    </row>
    <row r="51070" spans="18:18" s="2" customFormat="1" ht="12.75" x14ac:dyDescent="0.2">
      <c r="R51070" s="1288"/>
    </row>
    <row r="51071" spans="18:18" s="2" customFormat="1" ht="12.75" x14ac:dyDescent="0.2">
      <c r="R51071" s="1288"/>
    </row>
    <row r="51072" spans="18:18" s="2" customFormat="1" ht="12.75" x14ac:dyDescent="0.2">
      <c r="R51072" s="1288"/>
    </row>
    <row r="51073" spans="18:18" s="2" customFormat="1" ht="12.75" x14ac:dyDescent="0.2">
      <c r="R51073" s="1288"/>
    </row>
    <row r="51074" spans="18:18" s="2" customFormat="1" ht="12.75" x14ac:dyDescent="0.2">
      <c r="R51074" s="1288"/>
    </row>
    <row r="51075" spans="18:18" s="2" customFormat="1" ht="12.75" x14ac:dyDescent="0.2">
      <c r="R51075" s="1288"/>
    </row>
    <row r="51076" spans="18:18" s="2" customFormat="1" ht="12.75" x14ac:dyDescent="0.2">
      <c r="R51076" s="1288"/>
    </row>
    <row r="51077" spans="18:18" s="2" customFormat="1" ht="12.75" x14ac:dyDescent="0.2">
      <c r="R51077" s="1288"/>
    </row>
    <row r="51078" spans="18:18" s="2" customFormat="1" ht="12.75" x14ac:dyDescent="0.2">
      <c r="R51078" s="1288"/>
    </row>
    <row r="51079" spans="18:18" s="2" customFormat="1" ht="12.75" x14ac:dyDescent="0.2">
      <c r="R51079" s="1288"/>
    </row>
    <row r="51080" spans="18:18" s="2" customFormat="1" ht="12.75" x14ac:dyDescent="0.2">
      <c r="R51080" s="1288"/>
    </row>
    <row r="51081" spans="18:18" s="2" customFormat="1" ht="12.75" x14ac:dyDescent="0.2">
      <c r="R51081" s="1288"/>
    </row>
    <row r="51082" spans="18:18" s="2" customFormat="1" ht="12.75" x14ac:dyDescent="0.2">
      <c r="R51082" s="1288"/>
    </row>
    <row r="51083" spans="18:18" s="2" customFormat="1" ht="12.75" x14ac:dyDescent="0.2">
      <c r="R51083" s="1288"/>
    </row>
    <row r="51084" spans="18:18" s="2" customFormat="1" ht="12.75" x14ac:dyDescent="0.2">
      <c r="R51084" s="1288"/>
    </row>
    <row r="51085" spans="18:18" s="2" customFormat="1" ht="12.75" x14ac:dyDescent="0.2">
      <c r="R51085" s="1288"/>
    </row>
    <row r="51086" spans="18:18" s="2" customFormat="1" ht="12.75" x14ac:dyDescent="0.2">
      <c r="R51086" s="1288"/>
    </row>
    <row r="51087" spans="18:18" s="2" customFormat="1" ht="12.75" x14ac:dyDescent="0.2">
      <c r="R51087" s="1288"/>
    </row>
    <row r="51088" spans="18:18" s="2" customFormat="1" ht="12.75" x14ac:dyDescent="0.2">
      <c r="R51088" s="1288"/>
    </row>
    <row r="51089" spans="18:18" s="2" customFormat="1" ht="12.75" x14ac:dyDescent="0.2">
      <c r="R51089" s="1288"/>
    </row>
    <row r="51090" spans="18:18" s="2" customFormat="1" ht="12.75" x14ac:dyDescent="0.2">
      <c r="R51090" s="1288"/>
    </row>
    <row r="51091" spans="18:18" s="2" customFormat="1" ht="12.75" x14ac:dyDescent="0.2">
      <c r="R51091" s="1288"/>
    </row>
    <row r="51092" spans="18:18" s="2" customFormat="1" ht="12.75" x14ac:dyDescent="0.2">
      <c r="R51092" s="1288"/>
    </row>
    <row r="51093" spans="18:18" s="2" customFormat="1" ht="12.75" x14ac:dyDescent="0.2">
      <c r="R51093" s="1288"/>
    </row>
    <row r="51094" spans="18:18" s="2" customFormat="1" ht="12.75" x14ac:dyDescent="0.2">
      <c r="R51094" s="1288"/>
    </row>
    <row r="51095" spans="18:18" s="2" customFormat="1" ht="12.75" x14ac:dyDescent="0.2">
      <c r="R51095" s="1288"/>
    </row>
    <row r="51096" spans="18:18" s="2" customFormat="1" ht="12.75" x14ac:dyDescent="0.2">
      <c r="R51096" s="1288"/>
    </row>
    <row r="51097" spans="18:18" s="2" customFormat="1" ht="12.75" x14ac:dyDescent="0.2">
      <c r="R51097" s="1288"/>
    </row>
    <row r="51098" spans="18:18" s="2" customFormat="1" ht="12.75" x14ac:dyDescent="0.2">
      <c r="R51098" s="1288"/>
    </row>
    <row r="51099" spans="18:18" s="2" customFormat="1" ht="12.75" x14ac:dyDescent="0.2">
      <c r="R51099" s="1288"/>
    </row>
    <row r="51100" spans="18:18" s="2" customFormat="1" ht="12.75" x14ac:dyDescent="0.2">
      <c r="R51100" s="1288"/>
    </row>
    <row r="51101" spans="18:18" s="2" customFormat="1" ht="12.75" x14ac:dyDescent="0.2">
      <c r="R51101" s="1288"/>
    </row>
    <row r="51102" spans="18:18" s="2" customFormat="1" ht="12.75" x14ac:dyDescent="0.2">
      <c r="R51102" s="1288"/>
    </row>
    <row r="51103" spans="18:18" s="2" customFormat="1" ht="12.75" x14ac:dyDescent="0.2">
      <c r="R51103" s="1288"/>
    </row>
    <row r="51104" spans="18:18" s="2" customFormat="1" ht="12.75" x14ac:dyDescent="0.2">
      <c r="R51104" s="1288"/>
    </row>
    <row r="51105" spans="18:18" s="2" customFormat="1" ht="12.75" x14ac:dyDescent="0.2">
      <c r="R51105" s="1288"/>
    </row>
    <row r="51106" spans="18:18" s="2" customFormat="1" ht="12.75" x14ac:dyDescent="0.2">
      <c r="R51106" s="1288"/>
    </row>
    <row r="51107" spans="18:18" s="2" customFormat="1" ht="12.75" x14ac:dyDescent="0.2">
      <c r="R51107" s="1288"/>
    </row>
    <row r="51108" spans="18:18" s="2" customFormat="1" ht="12.75" x14ac:dyDescent="0.2">
      <c r="R51108" s="1288"/>
    </row>
    <row r="51109" spans="18:18" s="2" customFormat="1" ht="12.75" x14ac:dyDescent="0.2">
      <c r="R51109" s="1288"/>
    </row>
    <row r="51110" spans="18:18" s="2" customFormat="1" ht="12.75" x14ac:dyDescent="0.2">
      <c r="R51110" s="1288"/>
    </row>
    <row r="51111" spans="18:18" s="2" customFormat="1" ht="12.75" x14ac:dyDescent="0.2">
      <c r="R51111" s="1288"/>
    </row>
    <row r="51112" spans="18:18" s="2" customFormat="1" ht="12.75" x14ac:dyDescent="0.2">
      <c r="R51112" s="1288"/>
    </row>
    <row r="51113" spans="18:18" s="2" customFormat="1" ht="12.75" x14ac:dyDescent="0.2">
      <c r="R51113" s="1288"/>
    </row>
    <row r="51114" spans="18:18" s="2" customFormat="1" ht="12.75" x14ac:dyDescent="0.2">
      <c r="R51114" s="1288"/>
    </row>
    <row r="51115" spans="18:18" s="2" customFormat="1" ht="12.75" x14ac:dyDescent="0.2">
      <c r="R51115" s="1288"/>
    </row>
    <row r="51116" spans="18:18" s="2" customFormat="1" ht="12.75" x14ac:dyDescent="0.2">
      <c r="R51116" s="1288"/>
    </row>
    <row r="51117" spans="18:18" s="2" customFormat="1" ht="12.75" x14ac:dyDescent="0.2">
      <c r="R51117" s="1288"/>
    </row>
    <row r="51118" spans="18:18" s="2" customFormat="1" ht="12.75" x14ac:dyDescent="0.2">
      <c r="R51118" s="1288"/>
    </row>
    <row r="51119" spans="18:18" s="2" customFormat="1" ht="12.75" x14ac:dyDescent="0.2">
      <c r="R51119" s="1288"/>
    </row>
    <row r="51120" spans="18:18" s="2" customFormat="1" ht="12.75" x14ac:dyDescent="0.2">
      <c r="R51120" s="1288"/>
    </row>
    <row r="51121" spans="18:18" s="2" customFormat="1" ht="12.75" x14ac:dyDescent="0.2">
      <c r="R51121" s="1288"/>
    </row>
    <row r="51122" spans="18:18" s="2" customFormat="1" ht="12.75" x14ac:dyDescent="0.2">
      <c r="R51122" s="1288"/>
    </row>
    <row r="51123" spans="18:18" s="2" customFormat="1" ht="12.75" x14ac:dyDescent="0.2">
      <c r="R51123" s="1288"/>
    </row>
    <row r="51124" spans="18:18" s="2" customFormat="1" ht="12.75" x14ac:dyDescent="0.2">
      <c r="R51124" s="1288"/>
    </row>
    <row r="51125" spans="18:18" s="2" customFormat="1" ht="12.75" x14ac:dyDescent="0.2">
      <c r="R51125" s="1288"/>
    </row>
    <row r="51126" spans="18:18" s="2" customFormat="1" ht="12.75" x14ac:dyDescent="0.2">
      <c r="R51126" s="1288"/>
    </row>
    <row r="51127" spans="18:18" s="2" customFormat="1" ht="12.75" x14ac:dyDescent="0.2">
      <c r="R51127" s="1288"/>
    </row>
    <row r="51128" spans="18:18" s="2" customFormat="1" ht="12.75" x14ac:dyDescent="0.2">
      <c r="R51128" s="1288"/>
    </row>
    <row r="51129" spans="18:18" s="2" customFormat="1" ht="12.75" x14ac:dyDescent="0.2">
      <c r="R51129" s="1288"/>
    </row>
    <row r="51130" spans="18:18" s="2" customFormat="1" ht="12.75" x14ac:dyDescent="0.2">
      <c r="R51130" s="1288"/>
    </row>
    <row r="51131" spans="18:18" s="2" customFormat="1" ht="12.75" x14ac:dyDescent="0.2">
      <c r="R51131" s="1288"/>
    </row>
    <row r="51132" spans="18:18" s="2" customFormat="1" ht="12.75" x14ac:dyDescent="0.2">
      <c r="R51132" s="1288"/>
    </row>
    <row r="51133" spans="18:18" s="2" customFormat="1" ht="12.75" x14ac:dyDescent="0.2">
      <c r="R51133" s="1288"/>
    </row>
    <row r="51134" spans="18:18" s="2" customFormat="1" ht="12.75" x14ac:dyDescent="0.2">
      <c r="R51134" s="1288"/>
    </row>
    <row r="51135" spans="18:18" s="2" customFormat="1" ht="12.75" x14ac:dyDescent="0.2">
      <c r="R51135" s="1288"/>
    </row>
    <row r="51136" spans="18:18" s="2" customFormat="1" ht="12.75" x14ac:dyDescent="0.2">
      <c r="R51136" s="1288"/>
    </row>
    <row r="51137" spans="18:18" s="2" customFormat="1" ht="12.75" x14ac:dyDescent="0.2">
      <c r="R51137" s="1288"/>
    </row>
    <row r="51138" spans="18:18" s="2" customFormat="1" ht="12.75" x14ac:dyDescent="0.2">
      <c r="R51138" s="1288"/>
    </row>
    <row r="51139" spans="18:18" s="2" customFormat="1" ht="12.75" x14ac:dyDescent="0.2">
      <c r="R51139" s="1288"/>
    </row>
    <row r="51140" spans="18:18" s="2" customFormat="1" ht="12.75" x14ac:dyDescent="0.2">
      <c r="R51140" s="1288"/>
    </row>
    <row r="51141" spans="18:18" s="2" customFormat="1" ht="12.75" x14ac:dyDescent="0.2">
      <c r="R51141" s="1288"/>
    </row>
    <row r="51142" spans="18:18" s="2" customFormat="1" ht="12.75" x14ac:dyDescent="0.2">
      <c r="R51142" s="1288"/>
    </row>
    <row r="51143" spans="18:18" s="2" customFormat="1" ht="12.75" x14ac:dyDescent="0.2">
      <c r="R51143" s="1288"/>
    </row>
    <row r="51144" spans="18:18" s="2" customFormat="1" ht="12.75" x14ac:dyDescent="0.2">
      <c r="R51144" s="1288"/>
    </row>
    <row r="51145" spans="18:18" s="2" customFormat="1" ht="12.75" x14ac:dyDescent="0.2">
      <c r="R51145" s="1288"/>
    </row>
    <row r="51146" spans="18:18" s="2" customFormat="1" ht="12.75" x14ac:dyDescent="0.2">
      <c r="R51146" s="1288"/>
    </row>
    <row r="51147" spans="18:18" s="2" customFormat="1" ht="12.75" x14ac:dyDescent="0.2">
      <c r="R51147" s="1288"/>
    </row>
    <row r="51148" spans="18:18" s="2" customFormat="1" ht="12.75" x14ac:dyDescent="0.2">
      <c r="R51148" s="1288"/>
    </row>
    <row r="51149" spans="18:18" s="2" customFormat="1" ht="12.75" x14ac:dyDescent="0.2">
      <c r="R51149" s="1288"/>
    </row>
    <row r="51150" spans="18:18" s="2" customFormat="1" ht="12.75" x14ac:dyDescent="0.2">
      <c r="R51150" s="1288"/>
    </row>
    <row r="51151" spans="18:18" s="2" customFormat="1" ht="12.75" x14ac:dyDescent="0.2">
      <c r="R51151" s="1288"/>
    </row>
    <row r="51152" spans="18:18" s="2" customFormat="1" ht="12.75" x14ac:dyDescent="0.2">
      <c r="R51152" s="1288"/>
    </row>
    <row r="51153" spans="18:18" s="2" customFormat="1" ht="12.75" x14ac:dyDescent="0.2">
      <c r="R51153" s="1288"/>
    </row>
    <row r="51154" spans="18:18" s="2" customFormat="1" ht="12.75" x14ac:dyDescent="0.2">
      <c r="R51154" s="1288"/>
    </row>
    <row r="51155" spans="18:18" s="2" customFormat="1" ht="12.75" x14ac:dyDescent="0.2">
      <c r="R51155" s="1288"/>
    </row>
    <row r="51156" spans="18:18" s="2" customFormat="1" ht="12.75" x14ac:dyDescent="0.2">
      <c r="R51156" s="1288"/>
    </row>
    <row r="51157" spans="18:18" s="2" customFormat="1" ht="12.75" x14ac:dyDescent="0.2">
      <c r="R51157" s="1288"/>
    </row>
    <row r="51158" spans="18:18" s="2" customFormat="1" ht="12.75" x14ac:dyDescent="0.2">
      <c r="R51158" s="1288"/>
    </row>
    <row r="51159" spans="18:18" s="2" customFormat="1" ht="12.75" x14ac:dyDescent="0.2">
      <c r="R51159" s="1288"/>
    </row>
    <row r="51160" spans="18:18" s="2" customFormat="1" ht="12.75" x14ac:dyDescent="0.2">
      <c r="R51160" s="1288"/>
    </row>
    <row r="51161" spans="18:18" s="2" customFormat="1" ht="12.75" x14ac:dyDescent="0.2">
      <c r="R51161" s="1288"/>
    </row>
    <row r="51162" spans="18:18" s="2" customFormat="1" ht="12.75" x14ac:dyDescent="0.2">
      <c r="R51162" s="1288"/>
    </row>
    <row r="51163" spans="18:18" s="2" customFormat="1" ht="12.75" x14ac:dyDescent="0.2">
      <c r="R51163" s="1288"/>
    </row>
    <row r="51164" spans="18:18" s="2" customFormat="1" ht="12.75" x14ac:dyDescent="0.2">
      <c r="R51164" s="1288"/>
    </row>
    <row r="51165" spans="18:18" s="2" customFormat="1" ht="12.75" x14ac:dyDescent="0.2">
      <c r="R51165" s="1288"/>
    </row>
    <row r="51166" spans="18:18" s="2" customFormat="1" ht="12.75" x14ac:dyDescent="0.2">
      <c r="R51166" s="1288"/>
    </row>
    <row r="51167" spans="18:18" s="2" customFormat="1" ht="12.75" x14ac:dyDescent="0.2">
      <c r="R51167" s="1288"/>
    </row>
    <row r="51168" spans="18:18" s="2" customFormat="1" ht="12.75" x14ac:dyDescent="0.2">
      <c r="R51168" s="1288"/>
    </row>
    <row r="51169" spans="18:18" s="2" customFormat="1" ht="12.75" x14ac:dyDescent="0.2">
      <c r="R51169" s="1288"/>
    </row>
    <row r="51170" spans="18:18" s="2" customFormat="1" ht="12.75" x14ac:dyDescent="0.2">
      <c r="R51170" s="1288"/>
    </row>
    <row r="51171" spans="18:18" s="2" customFormat="1" ht="12.75" x14ac:dyDescent="0.2">
      <c r="R51171" s="1288"/>
    </row>
    <row r="51172" spans="18:18" s="2" customFormat="1" ht="12.75" x14ac:dyDescent="0.2">
      <c r="R51172" s="1288"/>
    </row>
    <row r="51173" spans="18:18" s="2" customFormat="1" ht="12.75" x14ac:dyDescent="0.2">
      <c r="R51173" s="1288"/>
    </row>
    <row r="51174" spans="18:18" s="2" customFormat="1" ht="12.75" x14ac:dyDescent="0.2">
      <c r="R51174" s="1288"/>
    </row>
    <row r="51175" spans="18:18" s="2" customFormat="1" ht="12.75" x14ac:dyDescent="0.2">
      <c r="R51175" s="1288"/>
    </row>
    <row r="51176" spans="18:18" s="2" customFormat="1" ht="12.75" x14ac:dyDescent="0.2">
      <c r="R51176" s="1288"/>
    </row>
    <row r="51177" spans="18:18" s="2" customFormat="1" ht="12.75" x14ac:dyDescent="0.2">
      <c r="R51177" s="1288"/>
    </row>
    <row r="51178" spans="18:18" s="2" customFormat="1" ht="12.75" x14ac:dyDescent="0.2">
      <c r="R51178" s="1288"/>
    </row>
    <row r="51179" spans="18:18" s="2" customFormat="1" ht="12.75" x14ac:dyDescent="0.2">
      <c r="R51179" s="1288"/>
    </row>
    <row r="51180" spans="18:18" s="2" customFormat="1" ht="12.75" x14ac:dyDescent="0.2">
      <c r="R51180" s="1288"/>
    </row>
    <row r="51181" spans="18:18" s="2" customFormat="1" ht="12.75" x14ac:dyDescent="0.2">
      <c r="R51181" s="1288"/>
    </row>
    <row r="51182" spans="18:18" s="2" customFormat="1" ht="12.75" x14ac:dyDescent="0.2">
      <c r="R51182" s="1288"/>
    </row>
    <row r="51183" spans="18:18" s="2" customFormat="1" ht="12.75" x14ac:dyDescent="0.2">
      <c r="R51183" s="1288"/>
    </row>
    <row r="51184" spans="18:18" s="2" customFormat="1" ht="12.75" x14ac:dyDescent="0.2">
      <c r="R51184" s="1288"/>
    </row>
    <row r="51185" spans="18:18" s="2" customFormat="1" ht="12.75" x14ac:dyDescent="0.2">
      <c r="R51185" s="1288"/>
    </row>
    <row r="51186" spans="18:18" s="2" customFormat="1" ht="12.75" x14ac:dyDescent="0.2">
      <c r="R51186" s="1288"/>
    </row>
    <row r="51187" spans="18:18" s="2" customFormat="1" ht="12.75" x14ac:dyDescent="0.2">
      <c r="R51187" s="1288"/>
    </row>
    <row r="51188" spans="18:18" s="2" customFormat="1" ht="12.75" x14ac:dyDescent="0.2">
      <c r="R51188" s="1288"/>
    </row>
    <row r="51189" spans="18:18" s="2" customFormat="1" ht="12.75" x14ac:dyDescent="0.2">
      <c r="R51189" s="1288"/>
    </row>
    <row r="51190" spans="18:18" s="2" customFormat="1" ht="12.75" x14ac:dyDescent="0.2">
      <c r="R51190" s="1288"/>
    </row>
    <row r="51191" spans="18:18" s="2" customFormat="1" ht="12.75" x14ac:dyDescent="0.2">
      <c r="R51191" s="1288"/>
    </row>
    <row r="51192" spans="18:18" s="2" customFormat="1" ht="12.75" x14ac:dyDescent="0.2">
      <c r="R51192" s="1288"/>
    </row>
    <row r="51193" spans="18:18" s="2" customFormat="1" ht="12.75" x14ac:dyDescent="0.2">
      <c r="R51193" s="1288"/>
    </row>
    <row r="51194" spans="18:18" s="2" customFormat="1" ht="12.75" x14ac:dyDescent="0.2">
      <c r="R51194" s="1288"/>
    </row>
    <row r="51195" spans="18:18" s="2" customFormat="1" ht="12.75" x14ac:dyDescent="0.2">
      <c r="R51195" s="1288"/>
    </row>
    <row r="51196" spans="18:18" s="2" customFormat="1" ht="12.75" x14ac:dyDescent="0.2">
      <c r="R51196" s="1288"/>
    </row>
    <row r="51197" spans="18:18" s="2" customFormat="1" ht="12.75" x14ac:dyDescent="0.2">
      <c r="R51197" s="1288"/>
    </row>
    <row r="51198" spans="18:18" s="2" customFormat="1" ht="12.75" x14ac:dyDescent="0.2">
      <c r="R51198" s="1288"/>
    </row>
    <row r="51199" spans="18:18" s="2" customFormat="1" ht="12.75" x14ac:dyDescent="0.2">
      <c r="R51199" s="1288"/>
    </row>
    <row r="51200" spans="18:18" s="2" customFormat="1" ht="12.75" x14ac:dyDescent="0.2">
      <c r="R51200" s="1288"/>
    </row>
    <row r="51201" spans="18:18" s="2" customFormat="1" ht="12.75" x14ac:dyDescent="0.2">
      <c r="R51201" s="1288"/>
    </row>
    <row r="51202" spans="18:18" s="2" customFormat="1" ht="12.75" x14ac:dyDescent="0.2">
      <c r="R51202" s="1288"/>
    </row>
    <row r="51203" spans="18:18" s="2" customFormat="1" ht="12.75" x14ac:dyDescent="0.2">
      <c r="R51203" s="1288"/>
    </row>
    <row r="51204" spans="18:18" s="2" customFormat="1" ht="12.75" x14ac:dyDescent="0.2">
      <c r="R51204" s="1288"/>
    </row>
    <row r="51205" spans="18:18" s="2" customFormat="1" ht="12.75" x14ac:dyDescent="0.2">
      <c r="R51205" s="1288"/>
    </row>
    <row r="51206" spans="18:18" s="2" customFormat="1" ht="12.75" x14ac:dyDescent="0.2">
      <c r="R51206" s="1288"/>
    </row>
    <row r="51207" spans="18:18" s="2" customFormat="1" ht="12.75" x14ac:dyDescent="0.2">
      <c r="R51207" s="1288"/>
    </row>
    <row r="51208" spans="18:18" s="2" customFormat="1" ht="12.75" x14ac:dyDescent="0.2">
      <c r="R51208" s="1288"/>
    </row>
    <row r="51209" spans="18:18" s="2" customFormat="1" ht="12.75" x14ac:dyDescent="0.2">
      <c r="R51209" s="1288"/>
    </row>
    <row r="51210" spans="18:18" s="2" customFormat="1" ht="12.75" x14ac:dyDescent="0.2">
      <c r="R51210" s="1288"/>
    </row>
    <row r="51211" spans="18:18" s="2" customFormat="1" ht="12.75" x14ac:dyDescent="0.2">
      <c r="R51211" s="1288"/>
    </row>
    <row r="51212" spans="18:18" s="2" customFormat="1" ht="12.75" x14ac:dyDescent="0.2">
      <c r="R51212" s="1288"/>
    </row>
    <row r="51213" spans="18:18" s="2" customFormat="1" ht="12.75" x14ac:dyDescent="0.2">
      <c r="R51213" s="1288"/>
    </row>
    <row r="51214" spans="18:18" s="2" customFormat="1" ht="12.75" x14ac:dyDescent="0.2">
      <c r="R51214" s="1288"/>
    </row>
    <row r="51215" spans="18:18" s="2" customFormat="1" ht="12.75" x14ac:dyDescent="0.2">
      <c r="R51215" s="1288"/>
    </row>
    <row r="51216" spans="18:18" s="2" customFormat="1" ht="12.75" x14ac:dyDescent="0.2">
      <c r="R51216" s="1288"/>
    </row>
    <row r="51217" spans="18:18" s="2" customFormat="1" ht="12.75" x14ac:dyDescent="0.2">
      <c r="R51217" s="1288"/>
    </row>
    <row r="51218" spans="18:18" s="2" customFormat="1" ht="12.75" x14ac:dyDescent="0.2">
      <c r="R51218" s="1288"/>
    </row>
    <row r="51219" spans="18:18" s="2" customFormat="1" ht="12.75" x14ac:dyDescent="0.2">
      <c r="R51219" s="1288"/>
    </row>
    <row r="51220" spans="18:18" s="2" customFormat="1" ht="12.75" x14ac:dyDescent="0.2">
      <c r="R51220" s="1288"/>
    </row>
    <row r="51221" spans="18:18" s="2" customFormat="1" ht="12.75" x14ac:dyDescent="0.2">
      <c r="R51221" s="1288"/>
    </row>
    <row r="51222" spans="18:18" s="2" customFormat="1" ht="12.75" x14ac:dyDescent="0.2">
      <c r="R51222" s="1288"/>
    </row>
    <row r="51223" spans="18:18" s="2" customFormat="1" ht="12.75" x14ac:dyDescent="0.2">
      <c r="R51223" s="1288"/>
    </row>
    <row r="51224" spans="18:18" s="2" customFormat="1" ht="12.75" x14ac:dyDescent="0.2">
      <c r="R51224" s="1288"/>
    </row>
    <row r="51225" spans="18:18" s="2" customFormat="1" ht="12.75" x14ac:dyDescent="0.2">
      <c r="R51225" s="1288"/>
    </row>
    <row r="51226" spans="18:18" s="2" customFormat="1" ht="12.75" x14ac:dyDescent="0.2">
      <c r="R51226" s="1288"/>
    </row>
    <row r="51227" spans="18:18" s="2" customFormat="1" ht="12.75" x14ac:dyDescent="0.2">
      <c r="R51227" s="1288"/>
    </row>
    <row r="51228" spans="18:18" s="2" customFormat="1" ht="12.75" x14ac:dyDescent="0.2">
      <c r="R51228" s="1288"/>
    </row>
    <row r="51229" spans="18:18" s="2" customFormat="1" ht="12.75" x14ac:dyDescent="0.2">
      <c r="R51229" s="1288"/>
    </row>
    <row r="51230" spans="18:18" s="2" customFormat="1" ht="12.75" x14ac:dyDescent="0.2">
      <c r="R51230" s="1288"/>
    </row>
    <row r="51231" spans="18:18" s="2" customFormat="1" ht="12.75" x14ac:dyDescent="0.2">
      <c r="R51231" s="1288"/>
    </row>
    <row r="51232" spans="18:18" s="2" customFormat="1" ht="12.75" x14ac:dyDescent="0.2">
      <c r="R51232" s="1288"/>
    </row>
    <row r="51233" spans="18:18" s="2" customFormat="1" ht="12.75" x14ac:dyDescent="0.2">
      <c r="R51233" s="1288"/>
    </row>
    <row r="51234" spans="18:18" s="2" customFormat="1" ht="12.75" x14ac:dyDescent="0.2">
      <c r="R51234" s="1288"/>
    </row>
    <row r="51235" spans="18:18" s="2" customFormat="1" ht="12.75" x14ac:dyDescent="0.2">
      <c r="R51235" s="1288"/>
    </row>
    <row r="51236" spans="18:18" s="2" customFormat="1" ht="12.75" x14ac:dyDescent="0.2">
      <c r="R51236" s="1288"/>
    </row>
    <row r="51237" spans="18:18" s="2" customFormat="1" ht="12.75" x14ac:dyDescent="0.2">
      <c r="R51237" s="1288"/>
    </row>
    <row r="51238" spans="18:18" s="2" customFormat="1" ht="12.75" x14ac:dyDescent="0.2">
      <c r="R51238" s="1288"/>
    </row>
    <row r="51239" spans="18:18" s="2" customFormat="1" ht="12.75" x14ac:dyDescent="0.2">
      <c r="R51239" s="1288"/>
    </row>
    <row r="51240" spans="18:18" s="2" customFormat="1" ht="12.75" x14ac:dyDescent="0.2">
      <c r="R51240" s="1288"/>
    </row>
    <row r="51241" spans="18:18" s="2" customFormat="1" ht="12.75" x14ac:dyDescent="0.2">
      <c r="R51241" s="1288"/>
    </row>
    <row r="51242" spans="18:18" s="2" customFormat="1" ht="12.75" x14ac:dyDescent="0.2">
      <c r="R51242" s="1288"/>
    </row>
    <row r="51243" spans="18:18" s="2" customFormat="1" ht="12.75" x14ac:dyDescent="0.2">
      <c r="R51243" s="1288"/>
    </row>
    <row r="51244" spans="18:18" s="2" customFormat="1" ht="12.75" x14ac:dyDescent="0.2">
      <c r="R51244" s="1288"/>
    </row>
    <row r="51245" spans="18:18" s="2" customFormat="1" ht="12.75" x14ac:dyDescent="0.2">
      <c r="R51245" s="1288"/>
    </row>
    <row r="51246" spans="18:18" s="2" customFormat="1" ht="12.75" x14ac:dyDescent="0.2">
      <c r="R51246" s="1288"/>
    </row>
    <row r="51247" spans="18:18" s="2" customFormat="1" ht="12.75" x14ac:dyDescent="0.2">
      <c r="R51247" s="1288"/>
    </row>
    <row r="51248" spans="18:18" s="2" customFormat="1" ht="12.75" x14ac:dyDescent="0.2">
      <c r="R51248" s="1288"/>
    </row>
    <row r="51249" spans="18:18" s="2" customFormat="1" ht="12.75" x14ac:dyDescent="0.2">
      <c r="R51249" s="1288"/>
    </row>
    <row r="51250" spans="18:18" s="2" customFormat="1" ht="12.75" x14ac:dyDescent="0.2">
      <c r="R51250" s="1288"/>
    </row>
    <row r="51251" spans="18:18" s="2" customFormat="1" ht="12.75" x14ac:dyDescent="0.2">
      <c r="R51251" s="1288"/>
    </row>
    <row r="51252" spans="18:18" s="2" customFormat="1" ht="12.75" x14ac:dyDescent="0.2">
      <c r="R51252" s="1288"/>
    </row>
    <row r="51253" spans="18:18" s="2" customFormat="1" ht="12.75" x14ac:dyDescent="0.2">
      <c r="R51253" s="1288"/>
    </row>
    <row r="51254" spans="18:18" s="2" customFormat="1" ht="12.75" x14ac:dyDescent="0.2">
      <c r="R51254" s="1288"/>
    </row>
    <row r="51255" spans="18:18" s="2" customFormat="1" ht="12.75" x14ac:dyDescent="0.2">
      <c r="R51255" s="1288"/>
    </row>
    <row r="51256" spans="18:18" s="2" customFormat="1" ht="12.75" x14ac:dyDescent="0.2">
      <c r="R51256" s="1288"/>
    </row>
    <row r="51257" spans="18:18" s="2" customFormat="1" ht="12.75" x14ac:dyDescent="0.2">
      <c r="R51257" s="1288"/>
    </row>
    <row r="51258" spans="18:18" s="2" customFormat="1" ht="12.75" x14ac:dyDescent="0.2">
      <c r="R51258" s="1288"/>
    </row>
    <row r="51259" spans="18:18" s="2" customFormat="1" ht="12.75" x14ac:dyDescent="0.2">
      <c r="R51259" s="1288"/>
    </row>
    <row r="51260" spans="18:18" s="2" customFormat="1" ht="12.75" x14ac:dyDescent="0.2">
      <c r="R51260" s="1288"/>
    </row>
    <row r="51261" spans="18:18" s="2" customFormat="1" ht="12.75" x14ac:dyDescent="0.2">
      <c r="R51261" s="1288"/>
    </row>
    <row r="51262" spans="18:18" s="2" customFormat="1" ht="12.75" x14ac:dyDescent="0.2">
      <c r="R51262" s="1288"/>
    </row>
    <row r="51263" spans="18:18" s="2" customFormat="1" ht="12.75" x14ac:dyDescent="0.2">
      <c r="R51263" s="1288"/>
    </row>
    <row r="51264" spans="18:18" s="2" customFormat="1" ht="12.75" x14ac:dyDescent="0.2">
      <c r="R51264" s="1288"/>
    </row>
    <row r="51265" spans="18:18" s="2" customFormat="1" ht="12.75" x14ac:dyDescent="0.2">
      <c r="R51265" s="1288"/>
    </row>
    <row r="51266" spans="18:18" s="2" customFormat="1" ht="12.75" x14ac:dyDescent="0.2">
      <c r="R51266" s="1288"/>
    </row>
    <row r="51267" spans="18:18" s="2" customFormat="1" ht="12.75" x14ac:dyDescent="0.2">
      <c r="R51267" s="1288"/>
    </row>
    <row r="51268" spans="18:18" s="2" customFormat="1" ht="12.75" x14ac:dyDescent="0.2">
      <c r="R51268" s="1288"/>
    </row>
    <row r="51269" spans="18:18" s="2" customFormat="1" ht="12.75" x14ac:dyDescent="0.2">
      <c r="R51269" s="1288"/>
    </row>
    <row r="51270" spans="18:18" s="2" customFormat="1" ht="12.75" x14ac:dyDescent="0.2">
      <c r="R51270" s="1288"/>
    </row>
    <row r="51271" spans="18:18" s="2" customFormat="1" ht="12.75" x14ac:dyDescent="0.2">
      <c r="R51271" s="1288"/>
    </row>
    <row r="51272" spans="18:18" s="2" customFormat="1" ht="12.75" x14ac:dyDescent="0.2">
      <c r="R51272" s="1288"/>
    </row>
    <row r="51273" spans="18:18" s="2" customFormat="1" ht="12.75" x14ac:dyDescent="0.2">
      <c r="R51273" s="1288"/>
    </row>
    <row r="51274" spans="18:18" s="2" customFormat="1" ht="12.75" x14ac:dyDescent="0.2">
      <c r="R51274" s="1288"/>
    </row>
    <row r="51275" spans="18:18" s="2" customFormat="1" ht="12.75" x14ac:dyDescent="0.2">
      <c r="R51275" s="1288"/>
    </row>
    <row r="51276" spans="18:18" s="2" customFormat="1" ht="12.75" x14ac:dyDescent="0.2">
      <c r="R51276" s="1288"/>
    </row>
    <row r="51277" spans="18:18" s="2" customFormat="1" ht="12.75" x14ac:dyDescent="0.2">
      <c r="R51277" s="1288"/>
    </row>
    <row r="51278" spans="18:18" s="2" customFormat="1" ht="12.75" x14ac:dyDescent="0.2">
      <c r="R51278" s="1288"/>
    </row>
    <row r="51279" spans="18:18" s="2" customFormat="1" ht="12.75" x14ac:dyDescent="0.2">
      <c r="R51279" s="1288"/>
    </row>
    <row r="51280" spans="18:18" s="2" customFormat="1" ht="12.75" x14ac:dyDescent="0.2">
      <c r="R51280" s="1288"/>
    </row>
    <row r="51281" spans="18:18" s="2" customFormat="1" ht="12.75" x14ac:dyDescent="0.2">
      <c r="R51281" s="1288"/>
    </row>
    <row r="51282" spans="18:18" s="2" customFormat="1" ht="12.75" x14ac:dyDescent="0.2">
      <c r="R51282" s="1288"/>
    </row>
    <row r="51283" spans="18:18" s="2" customFormat="1" ht="12.75" x14ac:dyDescent="0.2">
      <c r="R51283" s="1288"/>
    </row>
    <row r="51284" spans="18:18" s="2" customFormat="1" ht="12.75" x14ac:dyDescent="0.2">
      <c r="R51284" s="1288"/>
    </row>
    <row r="51285" spans="18:18" s="2" customFormat="1" ht="12.75" x14ac:dyDescent="0.2">
      <c r="R51285" s="1288"/>
    </row>
    <row r="51286" spans="18:18" s="2" customFormat="1" ht="12.75" x14ac:dyDescent="0.2">
      <c r="R51286" s="1288"/>
    </row>
    <row r="51287" spans="18:18" s="2" customFormat="1" ht="12.75" x14ac:dyDescent="0.2">
      <c r="R51287" s="1288"/>
    </row>
    <row r="51288" spans="18:18" s="2" customFormat="1" ht="12.75" x14ac:dyDescent="0.2">
      <c r="R51288" s="1288"/>
    </row>
    <row r="51289" spans="18:18" s="2" customFormat="1" ht="12.75" x14ac:dyDescent="0.2">
      <c r="R51289" s="1288"/>
    </row>
    <row r="51290" spans="18:18" s="2" customFormat="1" ht="12.75" x14ac:dyDescent="0.2">
      <c r="R51290" s="1288"/>
    </row>
    <row r="51291" spans="18:18" s="2" customFormat="1" ht="12.75" x14ac:dyDescent="0.2">
      <c r="R51291" s="1288"/>
    </row>
    <row r="51292" spans="18:18" s="2" customFormat="1" ht="12.75" x14ac:dyDescent="0.2">
      <c r="R51292" s="1288"/>
    </row>
    <row r="51293" spans="18:18" s="2" customFormat="1" ht="12.75" x14ac:dyDescent="0.2">
      <c r="R51293" s="1288"/>
    </row>
    <row r="51294" spans="18:18" s="2" customFormat="1" ht="12.75" x14ac:dyDescent="0.2">
      <c r="R51294" s="1288"/>
    </row>
    <row r="51295" spans="18:18" s="2" customFormat="1" ht="12.75" x14ac:dyDescent="0.2">
      <c r="R51295" s="1288"/>
    </row>
    <row r="51296" spans="18:18" s="2" customFormat="1" ht="12.75" x14ac:dyDescent="0.2">
      <c r="R51296" s="1288"/>
    </row>
    <row r="51297" spans="18:18" s="2" customFormat="1" ht="12.75" x14ac:dyDescent="0.2">
      <c r="R51297" s="1288"/>
    </row>
    <row r="51298" spans="18:18" s="2" customFormat="1" ht="12.75" x14ac:dyDescent="0.2">
      <c r="R51298" s="1288"/>
    </row>
    <row r="51299" spans="18:18" s="2" customFormat="1" ht="12.75" x14ac:dyDescent="0.2">
      <c r="R51299" s="1288"/>
    </row>
    <row r="51300" spans="18:18" s="2" customFormat="1" ht="12.75" x14ac:dyDescent="0.2">
      <c r="R51300" s="1288"/>
    </row>
    <row r="51301" spans="18:18" s="2" customFormat="1" ht="12.75" x14ac:dyDescent="0.2">
      <c r="R51301" s="1288"/>
    </row>
    <row r="51302" spans="18:18" s="2" customFormat="1" ht="12.75" x14ac:dyDescent="0.2">
      <c r="R51302" s="1288"/>
    </row>
    <row r="51303" spans="18:18" s="2" customFormat="1" ht="12.75" x14ac:dyDescent="0.2">
      <c r="R51303" s="1288"/>
    </row>
    <row r="51304" spans="18:18" s="2" customFormat="1" ht="12.75" x14ac:dyDescent="0.2">
      <c r="R51304" s="1288"/>
    </row>
    <row r="51305" spans="18:18" s="2" customFormat="1" ht="12.75" x14ac:dyDescent="0.2">
      <c r="R51305" s="1288"/>
    </row>
    <row r="51306" spans="18:18" s="2" customFormat="1" ht="12.75" x14ac:dyDescent="0.2">
      <c r="R51306" s="1288"/>
    </row>
    <row r="51307" spans="18:18" s="2" customFormat="1" ht="12.75" x14ac:dyDescent="0.2">
      <c r="R51307" s="1288"/>
    </row>
    <row r="51308" spans="18:18" s="2" customFormat="1" ht="12.75" x14ac:dyDescent="0.2">
      <c r="R51308" s="1288"/>
    </row>
    <row r="51309" spans="18:18" s="2" customFormat="1" ht="12.75" x14ac:dyDescent="0.2">
      <c r="R51309" s="1288"/>
    </row>
    <row r="51310" spans="18:18" s="2" customFormat="1" ht="12.75" x14ac:dyDescent="0.2">
      <c r="R51310" s="1288"/>
    </row>
    <row r="51311" spans="18:18" s="2" customFormat="1" ht="12.75" x14ac:dyDescent="0.2">
      <c r="R51311" s="1288"/>
    </row>
    <row r="51312" spans="18:18" s="2" customFormat="1" ht="12.75" x14ac:dyDescent="0.2">
      <c r="R51312" s="1288"/>
    </row>
    <row r="51313" spans="18:18" s="2" customFormat="1" ht="12.75" x14ac:dyDescent="0.2">
      <c r="R51313" s="1288"/>
    </row>
    <row r="51314" spans="18:18" s="2" customFormat="1" ht="12.75" x14ac:dyDescent="0.2">
      <c r="R51314" s="1288"/>
    </row>
    <row r="51315" spans="18:18" s="2" customFormat="1" ht="12.75" x14ac:dyDescent="0.2">
      <c r="R51315" s="1288"/>
    </row>
    <row r="51316" spans="18:18" s="2" customFormat="1" ht="12.75" x14ac:dyDescent="0.2">
      <c r="R51316" s="1288"/>
    </row>
    <row r="51317" spans="18:18" s="2" customFormat="1" ht="12.75" x14ac:dyDescent="0.2">
      <c r="R51317" s="1288"/>
    </row>
    <row r="51318" spans="18:18" s="2" customFormat="1" ht="12.75" x14ac:dyDescent="0.2">
      <c r="R51318" s="1288"/>
    </row>
    <row r="51319" spans="18:18" s="2" customFormat="1" ht="12.75" x14ac:dyDescent="0.2">
      <c r="R51319" s="1288"/>
    </row>
    <row r="51320" spans="18:18" s="2" customFormat="1" ht="12.75" x14ac:dyDescent="0.2">
      <c r="R51320" s="1288"/>
    </row>
    <row r="51321" spans="18:18" s="2" customFormat="1" ht="12.75" x14ac:dyDescent="0.2">
      <c r="R51321" s="1288"/>
    </row>
    <row r="51322" spans="18:18" s="2" customFormat="1" ht="12.75" x14ac:dyDescent="0.2">
      <c r="R51322" s="1288"/>
    </row>
    <row r="51323" spans="18:18" s="2" customFormat="1" ht="12.75" x14ac:dyDescent="0.2">
      <c r="R51323" s="1288"/>
    </row>
    <row r="51324" spans="18:18" s="2" customFormat="1" ht="12.75" x14ac:dyDescent="0.2">
      <c r="R51324" s="1288"/>
    </row>
    <row r="51325" spans="18:18" s="2" customFormat="1" ht="12.75" x14ac:dyDescent="0.2">
      <c r="R51325" s="1288"/>
    </row>
    <row r="51326" spans="18:18" s="2" customFormat="1" ht="12.75" x14ac:dyDescent="0.2">
      <c r="R51326" s="1288"/>
    </row>
    <row r="51327" spans="18:18" s="2" customFormat="1" ht="12.75" x14ac:dyDescent="0.2">
      <c r="R51327" s="1288"/>
    </row>
    <row r="51328" spans="18:18" s="2" customFormat="1" ht="12.75" x14ac:dyDescent="0.2">
      <c r="R51328" s="1288"/>
    </row>
    <row r="51329" spans="18:18" s="2" customFormat="1" ht="12.75" x14ac:dyDescent="0.2">
      <c r="R51329" s="1288"/>
    </row>
    <row r="51330" spans="18:18" s="2" customFormat="1" ht="12.75" x14ac:dyDescent="0.2">
      <c r="R51330" s="1288"/>
    </row>
    <row r="51331" spans="18:18" s="2" customFormat="1" ht="12.75" x14ac:dyDescent="0.2">
      <c r="R51331" s="1288"/>
    </row>
    <row r="51332" spans="18:18" s="2" customFormat="1" ht="12.75" x14ac:dyDescent="0.2">
      <c r="R51332" s="1288"/>
    </row>
    <row r="51333" spans="18:18" s="2" customFormat="1" ht="12.75" x14ac:dyDescent="0.2">
      <c r="R51333" s="1288"/>
    </row>
    <row r="51334" spans="18:18" s="2" customFormat="1" ht="12.75" x14ac:dyDescent="0.2">
      <c r="R51334" s="1288"/>
    </row>
    <row r="51335" spans="18:18" s="2" customFormat="1" ht="12.75" x14ac:dyDescent="0.2">
      <c r="R51335" s="1288"/>
    </row>
    <row r="51336" spans="18:18" s="2" customFormat="1" ht="12.75" x14ac:dyDescent="0.2">
      <c r="R51336" s="1288"/>
    </row>
    <row r="51337" spans="18:18" s="2" customFormat="1" ht="12.75" x14ac:dyDescent="0.2">
      <c r="R51337" s="1288"/>
    </row>
    <row r="51338" spans="18:18" s="2" customFormat="1" ht="12.75" x14ac:dyDescent="0.2">
      <c r="R51338" s="1288"/>
    </row>
    <row r="51339" spans="18:18" s="2" customFormat="1" ht="12.75" x14ac:dyDescent="0.2">
      <c r="R51339" s="1288"/>
    </row>
    <row r="51340" spans="18:18" s="2" customFormat="1" ht="12.75" x14ac:dyDescent="0.2">
      <c r="R51340" s="1288"/>
    </row>
    <row r="51341" spans="18:18" s="2" customFormat="1" ht="12.75" x14ac:dyDescent="0.2">
      <c r="R51341" s="1288"/>
    </row>
    <row r="51342" spans="18:18" s="2" customFormat="1" ht="12.75" x14ac:dyDescent="0.2">
      <c r="R51342" s="1288"/>
    </row>
    <row r="51343" spans="18:18" s="2" customFormat="1" ht="12.75" x14ac:dyDescent="0.2">
      <c r="R51343" s="1288"/>
    </row>
    <row r="51344" spans="18:18" s="2" customFormat="1" ht="12.75" x14ac:dyDescent="0.2">
      <c r="R51344" s="1288"/>
    </row>
    <row r="51345" spans="18:18" s="2" customFormat="1" ht="12.75" x14ac:dyDescent="0.2">
      <c r="R51345" s="1288"/>
    </row>
    <row r="51346" spans="18:18" s="2" customFormat="1" ht="12.75" x14ac:dyDescent="0.2">
      <c r="R51346" s="1288"/>
    </row>
    <row r="51347" spans="18:18" s="2" customFormat="1" ht="12.75" x14ac:dyDescent="0.2">
      <c r="R51347" s="1288"/>
    </row>
    <row r="51348" spans="18:18" s="2" customFormat="1" ht="12.75" x14ac:dyDescent="0.2">
      <c r="R51348" s="1288"/>
    </row>
    <row r="51349" spans="18:18" s="2" customFormat="1" ht="12.75" x14ac:dyDescent="0.2">
      <c r="R51349" s="1288"/>
    </row>
    <row r="51350" spans="18:18" s="2" customFormat="1" ht="12.75" x14ac:dyDescent="0.2">
      <c r="R51350" s="1288"/>
    </row>
    <row r="51351" spans="18:18" s="2" customFormat="1" ht="12.75" x14ac:dyDescent="0.2">
      <c r="R51351" s="1288"/>
    </row>
    <row r="51352" spans="18:18" s="2" customFormat="1" ht="12.75" x14ac:dyDescent="0.2">
      <c r="R51352" s="1288"/>
    </row>
    <row r="51353" spans="18:18" s="2" customFormat="1" ht="12.75" x14ac:dyDescent="0.2">
      <c r="R51353" s="1288"/>
    </row>
    <row r="51354" spans="18:18" s="2" customFormat="1" ht="12.75" x14ac:dyDescent="0.2">
      <c r="R51354" s="1288"/>
    </row>
    <row r="51355" spans="18:18" s="2" customFormat="1" ht="12.75" x14ac:dyDescent="0.2">
      <c r="R51355" s="1288"/>
    </row>
    <row r="51356" spans="18:18" s="2" customFormat="1" ht="12.75" x14ac:dyDescent="0.2">
      <c r="R51356" s="1288"/>
    </row>
    <row r="51357" spans="18:18" s="2" customFormat="1" ht="12.75" x14ac:dyDescent="0.2">
      <c r="R51357" s="1288"/>
    </row>
    <row r="51358" spans="18:18" s="2" customFormat="1" ht="12.75" x14ac:dyDescent="0.2">
      <c r="R51358" s="1288"/>
    </row>
    <row r="51359" spans="18:18" s="2" customFormat="1" ht="12.75" x14ac:dyDescent="0.2">
      <c r="R51359" s="1288"/>
    </row>
    <row r="51360" spans="18:18" s="2" customFormat="1" ht="12.75" x14ac:dyDescent="0.2">
      <c r="R51360" s="1288"/>
    </row>
    <row r="51361" spans="18:18" s="2" customFormat="1" ht="12.75" x14ac:dyDescent="0.2">
      <c r="R51361" s="1288"/>
    </row>
    <row r="51362" spans="18:18" s="2" customFormat="1" ht="12.75" x14ac:dyDescent="0.2">
      <c r="R51362" s="1288"/>
    </row>
    <row r="51363" spans="18:18" s="2" customFormat="1" ht="12.75" x14ac:dyDescent="0.2">
      <c r="R51363" s="1288"/>
    </row>
    <row r="51364" spans="18:18" s="2" customFormat="1" ht="12.75" x14ac:dyDescent="0.2">
      <c r="R51364" s="1288"/>
    </row>
    <row r="51365" spans="18:18" s="2" customFormat="1" ht="12.75" x14ac:dyDescent="0.2">
      <c r="R51365" s="1288"/>
    </row>
    <row r="51366" spans="18:18" s="2" customFormat="1" ht="12.75" x14ac:dyDescent="0.2">
      <c r="R51366" s="1288"/>
    </row>
    <row r="51367" spans="18:18" s="2" customFormat="1" ht="12.75" x14ac:dyDescent="0.2">
      <c r="R51367" s="1288"/>
    </row>
    <row r="51368" spans="18:18" s="2" customFormat="1" ht="12.75" x14ac:dyDescent="0.2">
      <c r="R51368" s="1288"/>
    </row>
    <row r="51369" spans="18:18" s="2" customFormat="1" ht="12.75" x14ac:dyDescent="0.2">
      <c r="R51369" s="1288"/>
    </row>
    <row r="51370" spans="18:18" s="2" customFormat="1" ht="12.75" x14ac:dyDescent="0.2">
      <c r="R51370" s="1288"/>
    </row>
    <row r="51371" spans="18:18" s="2" customFormat="1" ht="12.75" x14ac:dyDescent="0.2">
      <c r="R51371" s="1288"/>
    </row>
    <row r="51372" spans="18:18" s="2" customFormat="1" ht="12.75" x14ac:dyDescent="0.2">
      <c r="R51372" s="1288"/>
    </row>
    <row r="51373" spans="18:18" s="2" customFormat="1" ht="12.75" x14ac:dyDescent="0.2">
      <c r="R51373" s="1288"/>
    </row>
    <row r="51374" spans="18:18" s="2" customFormat="1" ht="12.75" x14ac:dyDescent="0.2">
      <c r="R51374" s="1288"/>
    </row>
    <row r="51375" spans="18:18" s="2" customFormat="1" ht="12.75" x14ac:dyDescent="0.2">
      <c r="R51375" s="1288"/>
    </row>
    <row r="51376" spans="18:18" s="2" customFormat="1" ht="12.75" x14ac:dyDescent="0.2">
      <c r="R51376" s="1288"/>
    </row>
    <row r="51377" spans="18:18" s="2" customFormat="1" ht="12.75" x14ac:dyDescent="0.2">
      <c r="R51377" s="1288"/>
    </row>
    <row r="51378" spans="18:18" s="2" customFormat="1" ht="12.75" x14ac:dyDescent="0.2">
      <c r="R51378" s="1288"/>
    </row>
    <row r="51379" spans="18:18" s="2" customFormat="1" ht="12.75" x14ac:dyDescent="0.2">
      <c r="R51379" s="1288"/>
    </row>
    <row r="51380" spans="18:18" s="2" customFormat="1" ht="12.75" x14ac:dyDescent="0.2">
      <c r="R51380" s="1288"/>
    </row>
    <row r="51381" spans="18:18" s="2" customFormat="1" ht="12.75" x14ac:dyDescent="0.2">
      <c r="R51381" s="1288"/>
    </row>
    <row r="51382" spans="18:18" s="2" customFormat="1" ht="12.75" x14ac:dyDescent="0.2">
      <c r="R51382" s="1288"/>
    </row>
    <row r="51383" spans="18:18" s="2" customFormat="1" ht="12.75" x14ac:dyDescent="0.2">
      <c r="R51383" s="1288"/>
    </row>
    <row r="51384" spans="18:18" s="2" customFormat="1" ht="12.75" x14ac:dyDescent="0.2">
      <c r="R51384" s="1288"/>
    </row>
    <row r="51385" spans="18:18" s="2" customFormat="1" ht="12.75" x14ac:dyDescent="0.2">
      <c r="R51385" s="1288"/>
    </row>
    <row r="51386" spans="18:18" s="2" customFormat="1" ht="12.75" x14ac:dyDescent="0.2">
      <c r="R51386" s="1288"/>
    </row>
    <row r="51387" spans="18:18" s="2" customFormat="1" ht="12.75" x14ac:dyDescent="0.2">
      <c r="R51387" s="1288"/>
    </row>
    <row r="51388" spans="18:18" s="2" customFormat="1" ht="12.75" x14ac:dyDescent="0.2">
      <c r="R51388" s="1288"/>
    </row>
    <row r="51389" spans="18:18" s="2" customFormat="1" ht="12.75" x14ac:dyDescent="0.2">
      <c r="R51389" s="1288"/>
    </row>
    <row r="51390" spans="18:18" s="2" customFormat="1" ht="12.75" x14ac:dyDescent="0.2">
      <c r="R51390" s="1288"/>
    </row>
    <row r="51391" spans="18:18" s="2" customFormat="1" ht="12.75" x14ac:dyDescent="0.2">
      <c r="R51391" s="1288"/>
    </row>
    <row r="51392" spans="18:18" s="2" customFormat="1" ht="12.75" x14ac:dyDescent="0.2">
      <c r="R51392" s="1288"/>
    </row>
    <row r="51393" spans="18:18" s="2" customFormat="1" ht="12.75" x14ac:dyDescent="0.2">
      <c r="R51393" s="1288"/>
    </row>
    <row r="51394" spans="18:18" s="2" customFormat="1" ht="12.75" x14ac:dyDescent="0.2">
      <c r="R51394" s="1288"/>
    </row>
    <row r="51395" spans="18:18" s="2" customFormat="1" ht="12.75" x14ac:dyDescent="0.2">
      <c r="R51395" s="1288"/>
    </row>
    <row r="51396" spans="18:18" s="2" customFormat="1" ht="12.75" x14ac:dyDescent="0.2">
      <c r="R51396" s="1288"/>
    </row>
    <row r="51397" spans="18:18" s="2" customFormat="1" ht="12.75" x14ac:dyDescent="0.2">
      <c r="R51397" s="1288"/>
    </row>
    <row r="51398" spans="18:18" s="2" customFormat="1" ht="12.75" x14ac:dyDescent="0.2">
      <c r="R51398" s="1288"/>
    </row>
    <row r="51399" spans="18:18" s="2" customFormat="1" ht="12.75" x14ac:dyDescent="0.2">
      <c r="R51399" s="1288"/>
    </row>
    <row r="51400" spans="18:18" s="2" customFormat="1" ht="12.75" x14ac:dyDescent="0.2">
      <c r="R51400" s="1288"/>
    </row>
    <row r="51401" spans="18:18" s="2" customFormat="1" ht="12.75" x14ac:dyDescent="0.2">
      <c r="R51401" s="1288"/>
    </row>
    <row r="51402" spans="18:18" s="2" customFormat="1" ht="12.75" x14ac:dyDescent="0.2">
      <c r="R51402" s="1288"/>
    </row>
    <row r="51403" spans="18:18" s="2" customFormat="1" ht="12.75" x14ac:dyDescent="0.2">
      <c r="R51403" s="1288"/>
    </row>
    <row r="51404" spans="18:18" s="2" customFormat="1" ht="12.75" x14ac:dyDescent="0.2">
      <c r="R51404" s="1288"/>
    </row>
    <row r="51405" spans="18:18" s="2" customFormat="1" ht="12.75" x14ac:dyDescent="0.2">
      <c r="R51405" s="1288"/>
    </row>
    <row r="51406" spans="18:18" s="2" customFormat="1" ht="12.75" x14ac:dyDescent="0.2">
      <c r="R51406" s="1288"/>
    </row>
    <row r="51407" spans="18:18" s="2" customFormat="1" ht="12.75" x14ac:dyDescent="0.2">
      <c r="R51407" s="1288"/>
    </row>
    <row r="51408" spans="18:18" s="2" customFormat="1" ht="12.75" x14ac:dyDescent="0.2">
      <c r="R51408" s="1288"/>
    </row>
    <row r="51409" spans="18:18" s="2" customFormat="1" ht="12.75" x14ac:dyDescent="0.2">
      <c r="R51409" s="1288"/>
    </row>
    <row r="51410" spans="18:18" s="2" customFormat="1" ht="12.75" x14ac:dyDescent="0.2">
      <c r="R51410" s="1288"/>
    </row>
    <row r="51411" spans="18:18" s="2" customFormat="1" ht="12.75" x14ac:dyDescent="0.2">
      <c r="R51411" s="1288"/>
    </row>
    <row r="51412" spans="18:18" s="2" customFormat="1" ht="12.75" x14ac:dyDescent="0.2">
      <c r="R51412" s="1288"/>
    </row>
    <row r="51413" spans="18:18" s="2" customFormat="1" ht="12.75" x14ac:dyDescent="0.2">
      <c r="R51413" s="1288"/>
    </row>
    <row r="51414" spans="18:18" s="2" customFormat="1" ht="12.75" x14ac:dyDescent="0.2">
      <c r="R51414" s="1288"/>
    </row>
    <row r="51415" spans="18:18" s="2" customFormat="1" ht="12.75" x14ac:dyDescent="0.2">
      <c r="R51415" s="1288"/>
    </row>
    <row r="51416" spans="18:18" s="2" customFormat="1" ht="12.75" x14ac:dyDescent="0.2">
      <c r="R51416" s="1288"/>
    </row>
    <row r="51417" spans="18:18" s="2" customFormat="1" ht="12.75" x14ac:dyDescent="0.2">
      <c r="R51417" s="1288"/>
    </row>
    <row r="51418" spans="18:18" s="2" customFormat="1" ht="12.75" x14ac:dyDescent="0.2">
      <c r="R51418" s="1288"/>
    </row>
    <row r="51419" spans="18:18" s="2" customFormat="1" ht="12.75" x14ac:dyDescent="0.2">
      <c r="R51419" s="1288"/>
    </row>
    <row r="51420" spans="18:18" s="2" customFormat="1" ht="12.75" x14ac:dyDescent="0.2">
      <c r="R51420" s="1288"/>
    </row>
    <row r="51421" spans="18:18" s="2" customFormat="1" ht="12.75" x14ac:dyDescent="0.2">
      <c r="R51421" s="1288"/>
    </row>
    <row r="51422" spans="18:18" s="2" customFormat="1" ht="12.75" x14ac:dyDescent="0.2">
      <c r="R51422" s="1288"/>
    </row>
    <row r="51423" spans="18:18" s="2" customFormat="1" ht="12.75" x14ac:dyDescent="0.2">
      <c r="R51423" s="1288"/>
    </row>
    <row r="51424" spans="18:18" s="2" customFormat="1" ht="12.75" x14ac:dyDescent="0.2">
      <c r="R51424" s="1288"/>
    </row>
    <row r="51425" spans="18:18" s="2" customFormat="1" ht="12.75" x14ac:dyDescent="0.2">
      <c r="R51425" s="1288"/>
    </row>
    <row r="51426" spans="18:18" s="2" customFormat="1" ht="12.75" x14ac:dyDescent="0.2">
      <c r="R51426" s="1288"/>
    </row>
    <row r="51427" spans="18:18" s="2" customFormat="1" ht="12.75" x14ac:dyDescent="0.2">
      <c r="R51427" s="1288"/>
    </row>
    <row r="51428" spans="18:18" s="2" customFormat="1" ht="12.75" x14ac:dyDescent="0.2">
      <c r="R51428" s="1288"/>
    </row>
    <row r="51429" spans="18:18" s="2" customFormat="1" ht="12.75" x14ac:dyDescent="0.2">
      <c r="R51429" s="1288"/>
    </row>
    <row r="51430" spans="18:18" s="2" customFormat="1" ht="12.75" x14ac:dyDescent="0.2">
      <c r="R51430" s="1288"/>
    </row>
    <row r="51431" spans="18:18" s="2" customFormat="1" ht="12.75" x14ac:dyDescent="0.2">
      <c r="R51431" s="1288"/>
    </row>
    <row r="51432" spans="18:18" s="2" customFormat="1" ht="12.75" x14ac:dyDescent="0.2">
      <c r="R51432" s="1288"/>
    </row>
    <row r="51433" spans="18:18" s="2" customFormat="1" ht="12.75" x14ac:dyDescent="0.2">
      <c r="R51433" s="1288"/>
    </row>
    <row r="51434" spans="18:18" s="2" customFormat="1" ht="12.75" x14ac:dyDescent="0.2">
      <c r="R51434" s="1288"/>
    </row>
    <row r="51435" spans="18:18" s="2" customFormat="1" ht="12.75" x14ac:dyDescent="0.2">
      <c r="R51435" s="1288"/>
    </row>
    <row r="51436" spans="18:18" s="2" customFormat="1" ht="12.75" x14ac:dyDescent="0.2">
      <c r="R51436" s="1288"/>
    </row>
    <row r="51437" spans="18:18" s="2" customFormat="1" ht="12.75" x14ac:dyDescent="0.2">
      <c r="R51437" s="1288"/>
    </row>
    <row r="51438" spans="18:18" s="2" customFormat="1" ht="12.75" x14ac:dyDescent="0.2">
      <c r="R51438" s="1288"/>
    </row>
    <row r="51439" spans="18:18" s="2" customFormat="1" ht="12.75" x14ac:dyDescent="0.2">
      <c r="R51439" s="1288"/>
    </row>
    <row r="51440" spans="18:18" s="2" customFormat="1" ht="12.75" x14ac:dyDescent="0.2">
      <c r="R51440" s="1288"/>
    </row>
    <row r="51441" spans="18:18" s="2" customFormat="1" ht="12.75" x14ac:dyDescent="0.2">
      <c r="R51441" s="1288"/>
    </row>
    <row r="51442" spans="18:18" s="2" customFormat="1" ht="12.75" x14ac:dyDescent="0.2">
      <c r="R51442" s="1288"/>
    </row>
    <row r="51443" spans="18:18" s="2" customFormat="1" ht="12.75" x14ac:dyDescent="0.2">
      <c r="R51443" s="1288"/>
    </row>
    <row r="51444" spans="18:18" s="2" customFormat="1" ht="12.75" x14ac:dyDescent="0.2">
      <c r="R51444" s="1288"/>
    </row>
    <row r="51445" spans="18:18" s="2" customFormat="1" ht="12.75" x14ac:dyDescent="0.2">
      <c r="R51445" s="1288"/>
    </row>
    <row r="51446" spans="18:18" s="2" customFormat="1" ht="12.75" x14ac:dyDescent="0.2">
      <c r="R51446" s="1288"/>
    </row>
    <row r="51447" spans="18:18" s="2" customFormat="1" ht="12.75" x14ac:dyDescent="0.2">
      <c r="R51447" s="1288"/>
    </row>
    <row r="51448" spans="18:18" s="2" customFormat="1" ht="12.75" x14ac:dyDescent="0.2">
      <c r="R51448" s="1288"/>
    </row>
    <row r="51449" spans="18:18" s="2" customFormat="1" ht="12.75" x14ac:dyDescent="0.2">
      <c r="R51449" s="1288"/>
    </row>
    <row r="51450" spans="18:18" s="2" customFormat="1" ht="12.75" x14ac:dyDescent="0.2">
      <c r="R51450" s="1288"/>
    </row>
    <row r="51451" spans="18:18" s="2" customFormat="1" ht="12.75" x14ac:dyDescent="0.2">
      <c r="R51451" s="1288"/>
    </row>
    <row r="51452" spans="18:18" s="2" customFormat="1" ht="12.75" x14ac:dyDescent="0.2">
      <c r="R51452" s="1288"/>
    </row>
    <row r="51453" spans="18:18" s="2" customFormat="1" ht="12.75" x14ac:dyDescent="0.2">
      <c r="R51453" s="1288"/>
    </row>
    <row r="51454" spans="18:18" s="2" customFormat="1" ht="12.75" x14ac:dyDescent="0.2">
      <c r="R51454" s="1288"/>
    </row>
    <row r="51455" spans="18:18" s="2" customFormat="1" ht="12.75" x14ac:dyDescent="0.2">
      <c r="R51455" s="1288"/>
    </row>
    <row r="51456" spans="18:18" s="2" customFormat="1" ht="12.75" x14ac:dyDescent="0.2">
      <c r="R51456" s="1288"/>
    </row>
    <row r="51457" spans="18:18" s="2" customFormat="1" ht="12.75" x14ac:dyDescent="0.2">
      <c r="R51457" s="1288"/>
    </row>
    <row r="51458" spans="18:18" s="2" customFormat="1" ht="12.75" x14ac:dyDescent="0.2">
      <c r="R51458" s="1288"/>
    </row>
    <row r="51459" spans="18:18" s="2" customFormat="1" ht="12.75" x14ac:dyDescent="0.2">
      <c r="R51459" s="1288"/>
    </row>
    <row r="51460" spans="18:18" s="2" customFormat="1" ht="12.75" x14ac:dyDescent="0.2">
      <c r="R51460" s="1288"/>
    </row>
    <row r="51461" spans="18:18" s="2" customFormat="1" ht="12.75" x14ac:dyDescent="0.2">
      <c r="R51461" s="1288"/>
    </row>
    <row r="51462" spans="18:18" s="2" customFormat="1" ht="12.75" x14ac:dyDescent="0.2">
      <c r="R51462" s="1288"/>
    </row>
    <row r="51463" spans="18:18" s="2" customFormat="1" ht="12.75" x14ac:dyDescent="0.2">
      <c r="R51463" s="1288"/>
    </row>
    <row r="51464" spans="18:18" s="2" customFormat="1" ht="12.75" x14ac:dyDescent="0.2">
      <c r="R51464" s="1288"/>
    </row>
    <row r="51465" spans="18:18" s="2" customFormat="1" ht="12.75" x14ac:dyDescent="0.2">
      <c r="R51465" s="1288"/>
    </row>
    <row r="51466" spans="18:18" s="2" customFormat="1" ht="12.75" x14ac:dyDescent="0.2">
      <c r="R51466" s="1288"/>
    </row>
    <row r="51467" spans="18:18" s="2" customFormat="1" ht="12.75" x14ac:dyDescent="0.2">
      <c r="R51467" s="1288"/>
    </row>
    <row r="51468" spans="18:18" s="2" customFormat="1" ht="12.75" x14ac:dyDescent="0.2">
      <c r="R51468" s="1288"/>
    </row>
    <row r="51469" spans="18:18" s="2" customFormat="1" ht="12.75" x14ac:dyDescent="0.2">
      <c r="R51469" s="1288"/>
    </row>
    <row r="51470" spans="18:18" s="2" customFormat="1" ht="12.75" x14ac:dyDescent="0.2">
      <c r="R51470" s="1288"/>
    </row>
    <row r="51471" spans="18:18" s="2" customFormat="1" ht="12.75" x14ac:dyDescent="0.2">
      <c r="R51471" s="1288"/>
    </row>
    <row r="51472" spans="18:18" s="2" customFormat="1" ht="12.75" x14ac:dyDescent="0.2">
      <c r="R51472" s="1288"/>
    </row>
    <row r="51473" spans="18:18" s="2" customFormat="1" ht="12.75" x14ac:dyDescent="0.2">
      <c r="R51473" s="1288"/>
    </row>
    <row r="51474" spans="18:18" s="2" customFormat="1" ht="12.75" x14ac:dyDescent="0.2">
      <c r="R51474" s="1288"/>
    </row>
    <row r="51475" spans="18:18" s="2" customFormat="1" ht="12.75" x14ac:dyDescent="0.2">
      <c r="R51475" s="1288"/>
    </row>
    <row r="51476" spans="18:18" s="2" customFormat="1" ht="12.75" x14ac:dyDescent="0.2">
      <c r="R51476" s="1288"/>
    </row>
    <row r="51477" spans="18:18" s="2" customFormat="1" ht="12.75" x14ac:dyDescent="0.2">
      <c r="R51477" s="1288"/>
    </row>
    <row r="51478" spans="18:18" s="2" customFormat="1" ht="12.75" x14ac:dyDescent="0.2">
      <c r="R51478" s="1288"/>
    </row>
    <row r="51479" spans="18:18" s="2" customFormat="1" ht="12.75" x14ac:dyDescent="0.2">
      <c r="R51479" s="1288"/>
    </row>
    <row r="51480" spans="18:18" s="2" customFormat="1" ht="12.75" x14ac:dyDescent="0.2">
      <c r="R51480" s="1288"/>
    </row>
    <row r="51481" spans="18:18" s="2" customFormat="1" ht="12.75" x14ac:dyDescent="0.2">
      <c r="R51481" s="1288"/>
    </row>
    <row r="51482" spans="18:18" s="2" customFormat="1" ht="12.75" x14ac:dyDescent="0.2">
      <c r="R51482" s="1288"/>
    </row>
    <row r="51483" spans="18:18" s="2" customFormat="1" ht="12.75" x14ac:dyDescent="0.2">
      <c r="R51483" s="1288"/>
    </row>
    <row r="51484" spans="18:18" s="2" customFormat="1" ht="12.75" x14ac:dyDescent="0.2">
      <c r="R51484" s="1288"/>
    </row>
    <row r="51485" spans="18:18" s="2" customFormat="1" ht="12.75" x14ac:dyDescent="0.2">
      <c r="R51485" s="1288"/>
    </row>
    <row r="51486" spans="18:18" s="2" customFormat="1" ht="12.75" x14ac:dyDescent="0.2">
      <c r="R51486" s="1288"/>
    </row>
    <row r="51487" spans="18:18" s="2" customFormat="1" ht="12.75" x14ac:dyDescent="0.2">
      <c r="R51487" s="1288"/>
    </row>
    <row r="51488" spans="18:18" s="2" customFormat="1" ht="12.75" x14ac:dyDescent="0.2">
      <c r="R51488" s="1288"/>
    </row>
    <row r="51489" spans="18:18" s="2" customFormat="1" ht="12.75" x14ac:dyDescent="0.2">
      <c r="R51489" s="1288"/>
    </row>
    <row r="51490" spans="18:18" s="2" customFormat="1" ht="12.75" x14ac:dyDescent="0.2">
      <c r="R51490" s="1288"/>
    </row>
    <row r="51491" spans="18:18" s="2" customFormat="1" ht="12.75" x14ac:dyDescent="0.2">
      <c r="R51491" s="1288"/>
    </row>
    <row r="51492" spans="18:18" s="2" customFormat="1" ht="12.75" x14ac:dyDescent="0.2">
      <c r="R51492" s="1288"/>
    </row>
    <row r="51493" spans="18:18" s="2" customFormat="1" ht="12.75" x14ac:dyDescent="0.2">
      <c r="R51493" s="1288"/>
    </row>
    <row r="51494" spans="18:18" s="2" customFormat="1" ht="12.75" x14ac:dyDescent="0.2">
      <c r="R51494" s="1288"/>
    </row>
    <row r="51495" spans="18:18" s="2" customFormat="1" ht="12.75" x14ac:dyDescent="0.2">
      <c r="R51495" s="1288"/>
    </row>
    <row r="51496" spans="18:18" s="2" customFormat="1" ht="12.75" x14ac:dyDescent="0.2">
      <c r="R51496" s="1288"/>
    </row>
    <row r="51497" spans="18:18" s="2" customFormat="1" ht="12.75" x14ac:dyDescent="0.2">
      <c r="R51497" s="1288"/>
    </row>
    <row r="51498" spans="18:18" s="2" customFormat="1" ht="12.75" x14ac:dyDescent="0.2">
      <c r="R51498" s="1288"/>
    </row>
    <row r="51499" spans="18:18" s="2" customFormat="1" ht="12.75" x14ac:dyDescent="0.2">
      <c r="R51499" s="1288"/>
    </row>
    <row r="51500" spans="18:18" s="2" customFormat="1" ht="12.75" x14ac:dyDescent="0.2">
      <c r="R51500" s="1288"/>
    </row>
    <row r="51501" spans="18:18" s="2" customFormat="1" ht="12.75" x14ac:dyDescent="0.2">
      <c r="R51501" s="1288"/>
    </row>
    <row r="51502" spans="18:18" s="2" customFormat="1" ht="12.75" x14ac:dyDescent="0.2">
      <c r="R51502" s="1288"/>
    </row>
    <row r="51503" spans="18:18" s="2" customFormat="1" ht="12.75" x14ac:dyDescent="0.2">
      <c r="R51503" s="1288"/>
    </row>
    <row r="51504" spans="18:18" s="2" customFormat="1" ht="12.75" x14ac:dyDescent="0.2">
      <c r="R51504" s="1288"/>
    </row>
    <row r="51505" spans="18:18" s="2" customFormat="1" ht="12.75" x14ac:dyDescent="0.2">
      <c r="R51505" s="1288"/>
    </row>
    <row r="51506" spans="18:18" s="2" customFormat="1" ht="12.75" x14ac:dyDescent="0.2">
      <c r="R51506" s="1288"/>
    </row>
    <row r="51507" spans="18:18" s="2" customFormat="1" ht="12.75" x14ac:dyDescent="0.2">
      <c r="R51507" s="1288"/>
    </row>
    <row r="51508" spans="18:18" s="2" customFormat="1" ht="12.75" x14ac:dyDescent="0.2">
      <c r="R51508" s="1288"/>
    </row>
    <row r="51509" spans="18:18" s="2" customFormat="1" ht="12.75" x14ac:dyDescent="0.2">
      <c r="R51509" s="1288"/>
    </row>
    <row r="51510" spans="18:18" s="2" customFormat="1" ht="12.75" x14ac:dyDescent="0.2">
      <c r="R51510" s="1288"/>
    </row>
    <row r="51511" spans="18:18" s="2" customFormat="1" ht="12.75" x14ac:dyDescent="0.2">
      <c r="R51511" s="1288"/>
    </row>
    <row r="51512" spans="18:18" s="2" customFormat="1" ht="12.75" x14ac:dyDescent="0.2">
      <c r="R51512" s="1288"/>
    </row>
    <row r="51513" spans="18:18" s="2" customFormat="1" ht="12.75" x14ac:dyDescent="0.2">
      <c r="R51513" s="1288"/>
    </row>
    <row r="51514" spans="18:18" s="2" customFormat="1" ht="12.75" x14ac:dyDescent="0.2">
      <c r="R51514" s="1288"/>
    </row>
    <row r="51515" spans="18:18" s="2" customFormat="1" ht="12.75" x14ac:dyDescent="0.2">
      <c r="R51515" s="1288"/>
    </row>
    <row r="51516" spans="18:18" s="2" customFormat="1" ht="12.75" x14ac:dyDescent="0.2">
      <c r="R51516" s="1288"/>
    </row>
    <row r="51517" spans="18:18" s="2" customFormat="1" ht="12.75" x14ac:dyDescent="0.2">
      <c r="R51517" s="1288"/>
    </row>
    <row r="51518" spans="18:18" s="2" customFormat="1" ht="12.75" x14ac:dyDescent="0.2">
      <c r="R51518" s="1288"/>
    </row>
    <row r="51519" spans="18:18" s="2" customFormat="1" ht="12.75" x14ac:dyDescent="0.2">
      <c r="R51519" s="1288"/>
    </row>
    <row r="51520" spans="18:18" s="2" customFormat="1" ht="12.75" x14ac:dyDescent="0.2">
      <c r="R51520" s="1288"/>
    </row>
    <row r="51521" spans="18:18" s="2" customFormat="1" ht="12.75" x14ac:dyDescent="0.2">
      <c r="R51521" s="1288"/>
    </row>
    <row r="51522" spans="18:18" s="2" customFormat="1" ht="12.75" x14ac:dyDescent="0.2">
      <c r="R51522" s="1288"/>
    </row>
    <row r="51523" spans="18:18" s="2" customFormat="1" ht="12.75" x14ac:dyDescent="0.2">
      <c r="R51523" s="1288"/>
    </row>
    <row r="51524" spans="18:18" s="2" customFormat="1" ht="12.75" x14ac:dyDescent="0.2">
      <c r="R51524" s="1288"/>
    </row>
    <row r="51525" spans="18:18" s="2" customFormat="1" ht="12.75" x14ac:dyDescent="0.2">
      <c r="R51525" s="1288"/>
    </row>
    <row r="51526" spans="18:18" s="2" customFormat="1" ht="12.75" x14ac:dyDescent="0.2">
      <c r="R51526" s="1288"/>
    </row>
    <row r="51527" spans="18:18" s="2" customFormat="1" ht="12.75" x14ac:dyDescent="0.2">
      <c r="R51527" s="1288"/>
    </row>
    <row r="51528" spans="18:18" s="2" customFormat="1" ht="12.75" x14ac:dyDescent="0.2">
      <c r="R51528" s="1288"/>
    </row>
    <row r="51529" spans="18:18" s="2" customFormat="1" ht="12.75" x14ac:dyDescent="0.2">
      <c r="R51529" s="1288"/>
    </row>
    <row r="51530" spans="18:18" s="2" customFormat="1" ht="12.75" x14ac:dyDescent="0.2">
      <c r="R51530" s="1288"/>
    </row>
    <row r="51531" spans="18:18" s="2" customFormat="1" ht="12.75" x14ac:dyDescent="0.2">
      <c r="R51531" s="1288"/>
    </row>
    <row r="51532" spans="18:18" s="2" customFormat="1" ht="12.75" x14ac:dyDescent="0.2">
      <c r="R51532" s="1288"/>
    </row>
    <row r="51533" spans="18:18" s="2" customFormat="1" ht="12.75" x14ac:dyDescent="0.2">
      <c r="R51533" s="1288"/>
    </row>
    <row r="51534" spans="18:18" s="2" customFormat="1" ht="12.75" x14ac:dyDescent="0.2">
      <c r="R51534" s="1288"/>
    </row>
    <row r="51535" spans="18:18" s="2" customFormat="1" ht="12.75" x14ac:dyDescent="0.2">
      <c r="R51535" s="1288"/>
    </row>
    <row r="51536" spans="18:18" s="2" customFormat="1" ht="12.75" x14ac:dyDescent="0.2">
      <c r="R51536" s="1288"/>
    </row>
    <row r="51537" spans="18:18" s="2" customFormat="1" ht="12.75" x14ac:dyDescent="0.2">
      <c r="R51537" s="1288"/>
    </row>
    <row r="51538" spans="18:18" s="2" customFormat="1" ht="12.75" x14ac:dyDescent="0.2">
      <c r="R51538" s="1288"/>
    </row>
    <row r="51539" spans="18:18" s="2" customFormat="1" ht="12.75" x14ac:dyDescent="0.2">
      <c r="R51539" s="1288"/>
    </row>
    <row r="51540" spans="18:18" s="2" customFormat="1" ht="12.75" x14ac:dyDescent="0.2">
      <c r="R51540" s="1288"/>
    </row>
    <row r="51541" spans="18:18" s="2" customFormat="1" ht="12.75" x14ac:dyDescent="0.2">
      <c r="R51541" s="1288"/>
    </row>
    <row r="51542" spans="18:18" s="2" customFormat="1" ht="12.75" x14ac:dyDescent="0.2">
      <c r="R51542" s="1288"/>
    </row>
    <row r="51543" spans="18:18" s="2" customFormat="1" ht="12.75" x14ac:dyDescent="0.2">
      <c r="R51543" s="1288"/>
    </row>
    <row r="51544" spans="18:18" s="2" customFormat="1" ht="12.75" x14ac:dyDescent="0.2">
      <c r="R51544" s="1288"/>
    </row>
    <row r="51545" spans="18:18" s="2" customFormat="1" ht="12.75" x14ac:dyDescent="0.2">
      <c r="R51545" s="1288"/>
    </row>
    <row r="51546" spans="18:18" s="2" customFormat="1" ht="12.75" x14ac:dyDescent="0.2">
      <c r="R51546" s="1288"/>
    </row>
    <row r="51547" spans="18:18" s="2" customFormat="1" ht="12.75" x14ac:dyDescent="0.2">
      <c r="R51547" s="1288"/>
    </row>
    <row r="51548" spans="18:18" s="2" customFormat="1" ht="12.75" x14ac:dyDescent="0.2">
      <c r="R51548" s="1288"/>
    </row>
    <row r="51549" spans="18:18" s="2" customFormat="1" ht="12.75" x14ac:dyDescent="0.2">
      <c r="R51549" s="1288"/>
    </row>
    <row r="51550" spans="18:18" s="2" customFormat="1" ht="12.75" x14ac:dyDescent="0.2">
      <c r="R51550" s="1288"/>
    </row>
    <row r="51551" spans="18:18" s="2" customFormat="1" ht="12.75" x14ac:dyDescent="0.2">
      <c r="R51551" s="1288"/>
    </row>
    <row r="51552" spans="18:18" s="2" customFormat="1" ht="12.75" x14ac:dyDescent="0.2">
      <c r="R51552" s="1288"/>
    </row>
    <row r="51553" spans="18:18" s="2" customFormat="1" ht="12.75" x14ac:dyDescent="0.2">
      <c r="R51553" s="1288"/>
    </row>
    <row r="51554" spans="18:18" s="2" customFormat="1" ht="12.75" x14ac:dyDescent="0.2">
      <c r="R51554" s="1288"/>
    </row>
    <row r="51555" spans="18:18" s="2" customFormat="1" ht="12.75" x14ac:dyDescent="0.2">
      <c r="R51555" s="1288"/>
    </row>
    <row r="51556" spans="18:18" s="2" customFormat="1" ht="12.75" x14ac:dyDescent="0.2">
      <c r="R51556" s="1288"/>
    </row>
    <row r="51557" spans="18:18" s="2" customFormat="1" ht="12.75" x14ac:dyDescent="0.2">
      <c r="R51557" s="1288"/>
    </row>
    <row r="51558" spans="18:18" s="2" customFormat="1" ht="12.75" x14ac:dyDescent="0.2">
      <c r="R51558" s="1288"/>
    </row>
    <row r="51559" spans="18:18" s="2" customFormat="1" ht="12.75" x14ac:dyDescent="0.2">
      <c r="R51559" s="1288"/>
    </row>
    <row r="51560" spans="18:18" s="2" customFormat="1" ht="12.75" x14ac:dyDescent="0.2">
      <c r="R51560" s="1288"/>
    </row>
    <row r="51561" spans="18:18" s="2" customFormat="1" ht="12.75" x14ac:dyDescent="0.2">
      <c r="R51561" s="1288"/>
    </row>
    <row r="51562" spans="18:18" s="2" customFormat="1" ht="12.75" x14ac:dyDescent="0.2">
      <c r="R51562" s="1288"/>
    </row>
    <row r="51563" spans="18:18" s="2" customFormat="1" ht="12.75" x14ac:dyDescent="0.2">
      <c r="R51563" s="1288"/>
    </row>
    <row r="51564" spans="18:18" s="2" customFormat="1" ht="12.75" x14ac:dyDescent="0.2">
      <c r="R51564" s="1288"/>
    </row>
    <row r="51565" spans="18:18" s="2" customFormat="1" ht="12.75" x14ac:dyDescent="0.2">
      <c r="R51565" s="1288"/>
    </row>
    <row r="51566" spans="18:18" s="2" customFormat="1" ht="12.75" x14ac:dyDescent="0.2">
      <c r="R51566" s="1288"/>
    </row>
    <row r="51567" spans="18:18" s="2" customFormat="1" ht="12.75" x14ac:dyDescent="0.2">
      <c r="R51567" s="1288"/>
    </row>
    <row r="51568" spans="18:18" s="2" customFormat="1" ht="12.75" x14ac:dyDescent="0.2">
      <c r="R51568" s="1288"/>
    </row>
    <row r="51569" spans="18:18" s="2" customFormat="1" ht="12.75" x14ac:dyDescent="0.2">
      <c r="R51569" s="1288"/>
    </row>
    <row r="51570" spans="18:18" s="2" customFormat="1" ht="12.75" x14ac:dyDescent="0.2">
      <c r="R51570" s="1288"/>
    </row>
    <row r="51571" spans="18:18" s="2" customFormat="1" ht="12.75" x14ac:dyDescent="0.2">
      <c r="R51571" s="1288"/>
    </row>
    <row r="51572" spans="18:18" s="2" customFormat="1" ht="12.75" x14ac:dyDescent="0.2">
      <c r="R51572" s="1288"/>
    </row>
    <row r="51573" spans="18:18" s="2" customFormat="1" ht="12.75" x14ac:dyDescent="0.2">
      <c r="R51573" s="1288"/>
    </row>
    <row r="51574" spans="18:18" s="2" customFormat="1" ht="12.75" x14ac:dyDescent="0.2">
      <c r="R51574" s="1288"/>
    </row>
    <row r="51575" spans="18:18" s="2" customFormat="1" ht="12.75" x14ac:dyDescent="0.2">
      <c r="R51575" s="1288"/>
    </row>
    <row r="51576" spans="18:18" s="2" customFormat="1" ht="12.75" x14ac:dyDescent="0.2">
      <c r="R51576" s="1288"/>
    </row>
    <row r="51577" spans="18:18" s="2" customFormat="1" ht="12.75" x14ac:dyDescent="0.2">
      <c r="R51577" s="1288"/>
    </row>
    <row r="51578" spans="18:18" s="2" customFormat="1" ht="12.75" x14ac:dyDescent="0.2">
      <c r="R51578" s="1288"/>
    </row>
    <row r="51579" spans="18:18" s="2" customFormat="1" ht="12.75" x14ac:dyDescent="0.2">
      <c r="R51579" s="1288"/>
    </row>
    <row r="51580" spans="18:18" s="2" customFormat="1" ht="12.75" x14ac:dyDescent="0.2">
      <c r="R51580" s="1288"/>
    </row>
    <row r="51581" spans="18:18" s="2" customFormat="1" ht="12.75" x14ac:dyDescent="0.2">
      <c r="R51581" s="1288"/>
    </row>
    <row r="51582" spans="18:18" s="2" customFormat="1" ht="12.75" x14ac:dyDescent="0.2">
      <c r="R51582" s="1288"/>
    </row>
    <row r="51583" spans="18:18" s="2" customFormat="1" ht="12.75" x14ac:dyDescent="0.2">
      <c r="R51583" s="1288"/>
    </row>
    <row r="51584" spans="18:18" s="2" customFormat="1" ht="12.75" x14ac:dyDescent="0.2">
      <c r="R51584" s="1288"/>
    </row>
    <row r="51585" spans="18:18" s="2" customFormat="1" ht="12.75" x14ac:dyDescent="0.2">
      <c r="R51585" s="1288"/>
    </row>
    <row r="51586" spans="18:18" s="2" customFormat="1" ht="12.75" x14ac:dyDescent="0.2">
      <c r="R51586" s="1288"/>
    </row>
    <row r="51587" spans="18:18" s="2" customFormat="1" ht="12.75" x14ac:dyDescent="0.2">
      <c r="R51587" s="1288"/>
    </row>
    <row r="51588" spans="18:18" s="2" customFormat="1" ht="12.75" x14ac:dyDescent="0.2">
      <c r="R51588" s="1288"/>
    </row>
    <row r="51589" spans="18:18" s="2" customFormat="1" ht="12.75" x14ac:dyDescent="0.2">
      <c r="R51589" s="1288"/>
    </row>
    <row r="51590" spans="18:18" s="2" customFormat="1" ht="12.75" x14ac:dyDescent="0.2">
      <c r="R51590" s="1288"/>
    </row>
    <row r="51591" spans="18:18" s="2" customFormat="1" ht="12.75" x14ac:dyDescent="0.2">
      <c r="R51591" s="1288"/>
    </row>
    <row r="51592" spans="18:18" s="2" customFormat="1" ht="12.75" x14ac:dyDescent="0.2">
      <c r="R51592" s="1288"/>
    </row>
    <row r="51593" spans="18:18" s="2" customFormat="1" ht="12.75" x14ac:dyDescent="0.2">
      <c r="R51593" s="1288"/>
    </row>
    <row r="51594" spans="18:18" s="2" customFormat="1" ht="12.75" x14ac:dyDescent="0.2">
      <c r="R51594" s="1288"/>
    </row>
    <row r="51595" spans="18:18" s="2" customFormat="1" ht="12.75" x14ac:dyDescent="0.2">
      <c r="R51595" s="1288"/>
    </row>
    <row r="51596" spans="18:18" s="2" customFormat="1" ht="12.75" x14ac:dyDescent="0.2">
      <c r="R51596" s="1288"/>
    </row>
    <row r="51597" spans="18:18" s="2" customFormat="1" ht="12.75" x14ac:dyDescent="0.2">
      <c r="R51597" s="1288"/>
    </row>
    <row r="51598" spans="18:18" s="2" customFormat="1" ht="12.75" x14ac:dyDescent="0.2">
      <c r="R51598" s="1288"/>
    </row>
    <row r="51599" spans="18:18" s="2" customFormat="1" ht="12.75" x14ac:dyDescent="0.2">
      <c r="R51599" s="1288"/>
    </row>
    <row r="51600" spans="18:18" s="2" customFormat="1" ht="12.75" x14ac:dyDescent="0.2">
      <c r="R51600" s="1288"/>
    </row>
    <row r="51601" spans="18:18" s="2" customFormat="1" ht="12.75" x14ac:dyDescent="0.2">
      <c r="R51601" s="1288"/>
    </row>
    <row r="51602" spans="18:18" s="2" customFormat="1" ht="12.75" x14ac:dyDescent="0.2">
      <c r="R51602" s="1288"/>
    </row>
    <row r="51603" spans="18:18" s="2" customFormat="1" ht="12.75" x14ac:dyDescent="0.2">
      <c r="R51603" s="1288"/>
    </row>
    <row r="51604" spans="18:18" s="2" customFormat="1" ht="12.75" x14ac:dyDescent="0.2">
      <c r="R51604" s="1288"/>
    </row>
    <row r="51605" spans="18:18" s="2" customFormat="1" ht="12.75" x14ac:dyDescent="0.2">
      <c r="R51605" s="1288"/>
    </row>
    <row r="51606" spans="18:18" s="2" customFormat="1" ht="12.75" x14ac:dyDescent="0.2">
      <c r="R51606" s="1288"/>
    </row>
    <row r="51607" spans="18:18" s="2" customFormat="1" ht="12.75" x14ac:dyDescent="0.2">
      <c r="R51607" s="1288"/>
    </row>
    <row r="51608" spans="18:18" s="2" customFormat="1" ht="12.75" x14ac:dyDescent="0.2">
      <c r="R51608" s="1288"/>
    </row>
    <row r="51609" spans="18:18" s="2" customFormat="1" ht="12.75" x14ac:dyDescent="0.2">
      <c r="R51609" s="1288"/>
    </row>
    <row r="51610" spans="18:18" s="2" customFormat="1" ht="12.75" x14ac:dyDescent="0.2">
      <c r="R51610" s="1288"/>
    </row>
    <row r="51611" spans="18:18" s="2" customFormat="1" ht="12.75" x14ac:dyDescent="0.2">
      <c r="R51611" s="1288"/>
    </row>
    <row r="51612" spans="18:18" s="2" customFormat="1" ht="12.75" x14ac:dyDescent="0.2">
      <c r="R51612" s="1288"/>
    </row>
    <row r="51613" spans="18:18" s="2" customFormat="1" ht="12.75" x14ac:dyDescent="0.2">
      <c r="R51613" s="1288"/>
    </row>
    <row r="51614" spans="18:18" s="2" customFormat="1" ht="12.75" x14ac:dyDescent="0.2">
      <c r="R51614" s="1288"/>
    </row>
    <row r="51615" spans="18:18" s="2" customFormat="1" ht="12.75" x14ac:dyDescent="0.2">
      <c r="R51615" s="1288"/>
    </row>
    <row r="51616" spans="18:18" s="2" customFormat="1" ht="12.75" x14ac:dyDescent="0.2">
      <c r="R51616" s="1288"/>
    </row>
    <row r="51617" spans="18:18" s="2" customFormat="1" ht="12.75" x14ac:dyDescent="0.2">
      <c r="R51617" s="1288"/>
    </row>
    <row r="51618" spans="18:18" s="2" customFormat="1" ht="12.75" x14ac:dyDescent="0.2">
      <c r="R51618" s="1288"/>
    </row>
    <row r="51619" spans="18:18" s="2" customFormat="1" ht="12.75" x14ac:dyDescent="0.2">
      <c r="R51619" s="1288"/>
    </row>
    <row r="51620" spans="18:18" s="2" customFormat="1" ht="12.75" x14ac:dyDescent="0.2">
      <c r="R51620" s="1288"/>
    </row>
    <row r="51621" spans="18:18" s="2" customFormat="1" ht="12.75" x14ac:dyDescent="0.2">
      <c r="R51621" s="1288"/>
    </row>
    <row r="51622" spans="18:18" s="2" customFormat="1" ht="12.75" x14ac:dyDescent="0.2">
      <c r="R51622" s="1288"/>
    </row>
    <row r="51623" spans="18:18" s="2" customFormat="1" ht="12.75" x14ac:dyDescent="0.2">
      <c r="R51623" s="1288"/>
    </row>
    <row r="51624" spans="18:18" s="2" customFormat="1" ht="12.75" x14ac:dyDescent="0.2">
      <c r="R51624" s="1288"/>
    </row>
    <row r="51625" spans="18:18" s="2" customFormat="1" ht="12.75" x14ac:dyDescent="0.2">
      <c r="R51625" s="1288"/>
    </row>
    <row r="51626" spans="18:18" s="2" customFormat="1" ht="12.75" x14ac:dyDescent="0.2">
      <c r="R51626" s="1288"/>
    </row>
    <row r="51627" spans="18:18" s="2" customFormat="1" ht="12.75" x14ac:dyDescent="0.2">
      <c r="R51627" s="1288"/>
    </row>
    <row r="51628" spans="18:18" s="2" customFormat="1" ht="12.75" x14ac:dyDescent="0.2">
      <c r="R51628" s="1288"/>
    </row>
    <row r="51629" spans="18:18" s="2" customFormat="1" ht="12.75" x14ac:dyDescent="0.2">
      <c r="R51629" s="1288"/>
    </row>
    <row r="51630" spans="18:18" s="2" customFormat="1" ht="12.75" x14ac:dyDescent="0.2">
      <c r="R51630" s="1288"/>
    </row>
    <row r="51631" spans="18:18" s="2" customFormat="1" ht="12.75" x14ac:dyDescent="0.2">
      <c r="R51631" s="1288"/>
    </row>
    <row r="51632" spans="18:18" s="2" customFormat="1" ht="12.75" x14ac:dyDescent="0.2">
      <c r="R51632" s="1288"/>
    </row>
    <row r="51633" spans="18:18" s="2" customFormat="1" ht="12.75" x14ac:dyDescent="0.2">
      <c r="R51633" s="1288"/>
    </row>
    <row r="51634" spans="18:18" s="2" customFormat="1" ht="12.75" x14ac:dyDescent="0.2">
      <c r="R51634" s="1288"/>
    </row>
    <row r="51635" spans="18:18" s="2" customFormat="1" ht="12.75" x14ac:dyDescent="0.2">
      <c r="R51635" s="1288"/>
    </row>
    <row r="51636" spans="18:18" s="2" customFormat="1" ht="12.75" x14ac:dyDescent="0.2">
      <c r="R51636" s="1288"/>
    </row>
    <row r="51637" spans="18:18" s="2" customFormat="1" ht="12.75" x14ac:dyDescent="0.2">
      <c r="R51637" s="1288"/>
    </row>
    <row r="51638" spans="18:18" s="2" customFormat="1" ht="12.75" x14ac:dyDescent="0.2">
      <c r="R51638" s="1288"/>
    </row>
    <row r="51639" spans="18:18" s="2" customFormat="1" ht="12.75" x14ac:dyDescent="0.2">
      <c r="R51639" s="1288"/>
    </row>
    <row r="51640" spans="18:18" s="2" customFormat="1" ht="12.75" x14ac:dyDescent="0.2">
      <c r="R51640" s="1288"/>
    </row>
    <row r="51641" spans="18:18" s="2" customFormat="1" ht="12.75" x14ac:dyDescent="0.2">
      <c r="R51641" s="1288"/>
    </row>
    <row r="51642" spans="18:18" s="2" customFormat="1" ht="12.75" x14ac:dyDescent="0.2">
      <c r="R51642" s="1288"/>
    </row>
    <row r="51643" spans="18:18" s="2" customFormat="1" ht="12.75" x14ac:dyDescent="0.2">
      <c r="R51643" s="1288"/>
    </row>
    <row r="51644" spans="18:18" s="2" customFormat="1" ht="12.75" x14ac:dyDescent="0.2">
      <c r="R51644" s="1288"/>
    </row>
    <row r="51645" spans="18:18" s="2" customFormat="1" ht="12.75" x14ac:dyDescent="0.2">
      <c r="R51645" s="1288"/>
    </row>
    <row r="51646" spans="18:18" s="2" customFormat="1" ht="12.75" x14ac:dyDescent="0.2">
      <c r="R51646" s="1288"/>
    </row>
    <row r="51647" spans="18:18" s="2" customFormat="1" ht="12.75" x14ac:dyDescent="0.2">
      <c r="R51647" s="1288"/>
    </row>
    <row r="51648" spans="18:18" s="2" customFormat="1" ht="12.75" x14ac:dyDescent="0.2">
      <c r="R51648" s="1288"/>
    </row>
    <row r="51649" spans="18:18" s="2" customFormat="1" ht="12.75" x14ac:dyDescent="0.2">
      <c r="R51649" s="1288"/>
    </row>
    <row r="51650" spans="18:18" s="2" customFormat="1" ht="12.75" x14ac:dyDescent="0.2">
      <c r="R51650" s="1288"/>
    </row>
    <row r="51651" spans="18:18" s="2" customFormat="1" ht="12.75" x14ac:dyDescent="0.2">
      <c r="R51651" s="1288"/>
    </row>
    <row r="51652" spans="18:18" s="2" customFormat="1" ht="12.75" x14ac:dyDescent="0.2">
      <c r="R51652" s="1288"/>
    </row>
    <row r="51653" spans="18:18" s="2" customFormat="1" ht="12.75" x14ac:dyDescent="0.2">
      <c r="R51653" s="1288"/>
    </row>
    <row r="51654" spans="18:18" s="2" customFormat="1" ht="12.75" x14ac:dyDescent="0.2">
      <c r="R51654" s="1288"/>
    </row>
    <row r="51655" spans="18:18" s="2" customFormat="1" ht="12.75" x14ac:dyDescent="0.2">
      <c r="R51655" s="1288"/>
    </row>
    <row r="51656" spans="18:18" s="2" customFormat="1" ht="12.75" x14ac:dyDescent="0.2">
      <c r="R51656" s="1288"/>
    </row>
    <row r="51657" spans="18:18" s="2" customFormat="1" ht="12.75" x14ac:dyDescent="0.2">
      <c r="R51657" s="1288"/>
    </row>
    <row r="51658" spans="18:18" s="2" customFormat="1" ht="12.75" x14ac:dyDescent="0.2">
      <c r="R51658" s="1288"/>
    </row>
    <row r="51659" spans="18:18" s="2" customFormat="1" ht="12.75" x14ac:dyDescent="0.2">
      <c r="R51659" s="1288"/>
    </row>
    <row r="51660" spans="18:18" s="2" customFormat="1" ht="12.75" x14ac:dyDescent="0.2">
      <c r="R51660" s="1288"/>
    </row>
    <row r="51661" spans="18:18" s="2" customFormat="1" ht="12.75" x14ac:dyDescent="0.2">
      <c r="R51661" s="1288"/>
    </row>
    <row r="51662" spans="18:18" s="2" customFormat="1" ht="12.75" x14ac:dyDescent="0.2">
      <c r="R51662" s="1288"/>
    </row>
    <row r="51663" spans="18:18" s="2" customFormat="1" ht="12.75" x14ac:dyDescent="0.2">
      <c r="R51663" s="1288"/>
    </row>
    <row r="51664" spans="18:18" s="2" customFormat="1" ht="12.75" x14ac:dyDescent="0.2">
      <c r="R51664" s="1288"/>
    </row>
    <row r="51665" spans="18:18" s="2" customFormat="1" ht="12.75" x14ac:dyDescent="0.2">
      <c r="R51665" s="1288"/>
    </row>
    <row r="51666" spans="18:18" s="2" customFormat="1" ht="12.75" x14ac:dyDescent="0.2">
      <c r="R51666" s="1288"/>
    </row>
    <row r="51667" spans="18:18" s="2" customFormat="1" ht="12.75" x14ac:dyDescent="0.2">
      <c r="R51667" s="1288"/>
    </row>
    <row r="51668" spans="18:18" s="2" customFormat="1" ht="12.75" x14ac:dyDescent="0.2">
      <c r="R51668" s="1288"/>
    </row>
    <row r="51669" spans="18:18" s="2" customFormat="1" ht="12.75" x14ac:dyDescent="0.2">
      <c r="R51669" s="1288"/>
    </row>
    <row r="51670" spans="18:18" s="2" customFormat="1" ht="12.75" x14ac:dyDescent="0.2">
      <c r="R51670" s="1288"/>
    </row>
    <row r="51671" spans="18:18" s="2" customFormat="1" ht="12.75" x14ac:dyDescent="0.2">
      <c r="R51671" s="1288"/>
    </row>
    <row r="51672" spans="18:18" s="2" customFormat="1" ht="12.75" x14ac:dyDescent="0.2">
      <c r="R51672" s="1288"/>
    </row>
    <row r="51673" spans="18:18" s="2" customFormat="1" ht="12.75" x14ac:dyDescent="0.2">
      <c r="R51673" s="1288"/>
    </row>
    <row r="51674" spans="18:18" s="2" customFormat="1" ht="12.75" x14ac:dyDescent="0.2">
      <c r="R51674" s="1288"/>
    </row>
    <row r="51675" spans="18:18" s="2" customFormat="1" ht="12.75" x14ac:dyDescent="0.2">
      <c r="R51675" s="1288"/>
    </row>
    <row r="51676" spans="18:18" s="2" customFormat="1" ht="12.75" x14ac:dyDescent="0.2">
      <c r="R51676" s="1288"/>
    </row>
    <row r="51677" spans="18:18" s="2" customFormat="1" ht="12.75" x14ac:dyDescent="0.2">
      <c r="R51677" s="1288"/>
    </row>
    <row r="51678" spans="18:18" s="2" customFormat="1" ht="12.75" x14ac:dyDescent="0.2">
      <c r="R51678" s="1288"/>
    </row>
    <row r="51679" spans="18:18" s="2" customFormat="1" ht="12.75" x14ac:dyDescent="0.2">
      <c r="R51679" s="1288"/>
    </row>
    <row r="51680" spans="18:18" s="2" customFormat="1" ht="12.75" x14ac:dyDescent="0.2">
      <c r="R51680" s="1288"/>
    </row>
    <row r="51681" spans="18:18" s="2" customFormat="1" ht="12.75" x14ac:dyDescent="0.2">
      <c r="R51681" s="1288"/>
    </row>
    <row r="51682" spans="18:18" s="2" customFormat="1" ht="12.75" x14ac:dyDescent="0.2">
      <c r="R51682" s="1288"/>
    </row>
    <row r="51683" spans="18:18" s="2" customFormat="1" ht="12.75" x14ac:dyDescent="0.2">
      <c r="R51683" s="1288"/>
    </row>
    <row r="51684" spans="18:18" s="2" customFormat="1" ht="12.75" x14ac:dyDescent="0.2">
      <c r="R51684" s="1288"/>
    </row>
    <row r="51685" spans="18:18" s="2" customFormat="1" ht="12.75" x14ac:dyDescent="0.2">
      <c r="R51685" s="1288"/>
    </row>
    <row r="51686" spans="18:18" s="2" customFormat="1" ht="12.75" x14ac:dyDescent="0.2">
      <c r="R51686" s="1288"/>
    </row>
    <row r="51687" spans="18:18" s="2" customFormat="1" ht="12.75" x14ac:dyDescent="0.2">
      <c r="R51687" s="1288"/>
    </row>
    <row r="51688" spans="18:18" s="2" customFormat="1" ht="12.75" x14ac:dyDescent="0.2">
      <c r="R51688" s="1288"/>
    </row>
    <row r="51689" spans="18:18" s="2" customFormat="1" ht="12.75" x14ac:dyDescent="0.2">
      <c r="R51689" s="1288"/>
    </row>
    <row r="51690" spans="18:18" s="2" customFormat="1" ht="12.75" x14ac:dyDescent="0.2">
      <c r="R51690" s="1288"/>
    </row>
    <row r="51691" spans="18:18" s="2" customFormat="1" ht="12.75" x14ac:dyDescent="0.2">
      <c r="R51691" s="1288"/>
    </row>
    <row r="51692" spans="18:18" s="2" customFormat="1" ht="12.75" x14ac:dyDescent="0.2">
      <c r="R51692" s="1288"/>
    </row>
    <row r="51693" spans="18:18" s="2" customFormat="1" ht="12.75" x14ac:dyDescent="0.2">
      <c r="R51693" s="1288"/>
    </row>
    <row r="51694" spans="18:18" s="2" customFormat="1" ht="12.75" x14ac:dyDescent="0.2">
      <c r="R51694" s="1288"/>
    </row>
    <row r="51695" spans="18:18" s="2" customFormat="1" ht="12.75" x14ac:dyDescent="0.2">
      <c r="R51695" s="1288"/>
    </row>
    <row r="51696" spans="18:18" s="2" customFormat="1" ht="12.75" x14ac:dyDescent="0.2">
      <c r="R51696" s="1288"/>
    </row>
    <row r="51697" spans="18:18" s="2" customFormat="1" ht="12.75" x14ac:dyDescent="0.2">
      <c r="R51697" s="1288"/>
    </row>
    <row r="51698" spans="18:18" s="2" customFormat="1" ht="12.75" x14ac:dyDescent="0.2">
      <c r="R51698" s="1288"/>
    </row>
    <row r="51699" spans="18:18" s="2" customFormat="1" ht="12.75" x14ac:dyDescent="0.2">
      <c r="R51699" s="1288"/>
    </row>
    <row r="51700" spans="18:18" s="2" customFormat="1" ht="12.75" x14ac:dyDescent="0.2">
      <c r="R51700" s="1288"/>
    </row>
    <row r="51701" spans="18:18" s="2" customFormat="1" ht="12.75" x14ac:dyDescent="0.2">
      <c r="R51701" s="1288"/>
    </row>
    <row r="51702" spans="18:18" s="2" customFormat="1" ht="12.75" x14ac:dyDescent="0.2">
      <c r="R51702" s="1288"/>
    </row>
    <row r="51703" spans="18:18" s="2" customFormat="1" ht="12.75" x14ac:dyDescent="0.2">
      <c r="R51703" s="1288"/>
    </row>
    <row r="51704" spans="18:18" s="2" customFormat="1" ht="12.75" x14ac:dyDescent="0.2">
      <c r="R51704" s="1288"/>
    </row>
    <row r="51705" spans="18:18" s="2" customFormat="1" ht="12.75" x14ac:dyDescent="0.2">
      <c r="R51705" s="1288"/>
    </row>
    <row r="51706" spans="18:18" s="2" customFormat="1" ht="12.75" x14ac:dyDescent="0.2">
      <c r="R51706" s="1288"/>
    </row>
    <row r="51707" spans="18:18" s="2" customFormat="1" ht="12.75" x14ac:dyDescent="0.2">
      <c r="R51707" s="1288"/>
    </row>
    <row r="51708" spans="18:18" s="2" customFormat="1" ht="12.75" x14ac:dyDescent="0.2">
      <c r="R51708" s="1288"/>
    </row>
    <row r="51709" spans="18:18" s="2" customFormat="1" ht="12.75" x14ac:dyDescent="0.2">
      <c r="R51709" s="1288"/>
    </row>
    <row r="51710" spans="18:18" s="2" customFormat="1" ht="12.75" x14ac:dyDescent="0.2">
      <c r="R51710" s="1288"/>
    </row>
    <row r="51711" spans="18:18" s="2" customFormat="1" ht="12.75" x14ac:dyDescent="0.2">
      <c r="R51711" s="1288"/>
    </row>
    <row r="51712" spans="18:18" s="2" customFormat="1" ht="12.75" x14ac:dyDescent="0.2">
      <c r="R51712" s="1288"/>
    </row>
    <row r="51713" spans="18:18" s="2" customFormat="1" ht="12.75" x14ac:dyDescent="0.2">
      <c r="R51713" s="1288"/>
    </row>
    <row r="51714" spans="18:18" s="2" customFormat="1" ht="12.75" x14ac:dyDescent="0.2">
      <c r="R51714" s="1288"/>
    </row>
    <row r="51715" spans="18:18" s="2" customFormat="1" ht="12.75" x14ac:dyDescent="0.2">
      <c r="R51715" s="1288"/>
    </row>
    <row r="51716" spans="18:18" s="2" customFormat="1" ht="12.75" x14ac:dyDescent="0.2">
      <c r="R51716" s="1288"/>
    </row>
    <row r="51717" spans="18:18" s="2" customFormat="1" ht="12.75" x14ac:dyDescent="0.2">
      <c r="R51717" s="1288"/>
    </row>
    <row r="51718" spans="18:18" s="2" customFormat="1" ht="12.75" x14ac:dyDescent="0.2">
      <c r="R51718" s="1288"/>
    </row>
    <row r="51719" spans="18:18" s="2" customFormat="1" ht="12.75" x14ac:dyDescent="0.2">
      <c r="R51719" s="1288"/>
    </row>
    <row r="51720" spans="18:18" s="2" customFormat="1" ht="12.75" x14ac:dyDescent="0.2">
      <c r="R51720" s="1288"/>
    </row>
    <row r="51721" spans="18:18" s="2" customFormat="1" ht="12.75" x14ac:dyDescent="0.2">
      <c r="R51721" s="1288"/>
    </row>
    <row r="51722" spans="18:18" s="2" customFormat="1" ht="12.75" x14ac:dyDescent="0.2">
      <c r="R51722" s="1288"/>
    </row>
    <row r="51723" spans="18:18" s="2" customFormat="1" ht="12.75" x14ac:dyDescent="0.2">
      <c r="R51723" s="1288"/>
    </row>
    <row r="51724" spans="18:18" s="2" customFormat="1" ht="12.75" x14ac:dyDescent="0.2">
      <c r="R51724" s="1288"/>
    </row>
    <row r="51725" spans="18:18" s="2" customFormat="1" ht="12.75" x14ac:dyDescent="0.2">
      <c r="R51725" s="1288"/>
    </row>
    <row r="51726" spans="18:18" s="2" customFormat="1" ht="12.75" x14ac:dyDescent="0.2">
      <c r="R51726" s="1288"/>
    </row>
    <row r="51727" spans="18:18" s="2" customFormat="1" ht="12.75" x14ac:dyDescent="0.2">
      <c r="R51727" s="1288"/>
    </row>
    <row r="51728" spans="18:18" s="2" customFormat="1" ht="12.75" x14ac:dyDescent="0.2">
      <c r="R51728" s="1288"/>
    </row>
    <row r="51729" spans="18:18" s="2" customFormat="1" ht="12.75" x14ac:dyDescent="0.2">
      <c r="R51729" s="1288"/>
    </row>
    <row r="51730" spans="18:18" s="2" customFormat="1" ht="12.75" x14ac:dyDescent="0.2">
      <c r="R51730" s="1288"/>
    </row>
    <row r="51731" spans="18:18" s="2" customFormat="1" ht="12.75" x14ac:dyDescent="0.2">
      <c r="R51731" s="1288"/>
    </row>
    <row r="51732" spans="18:18" s="2" customFormat="1" ht="12.75" x14ac:dyDescent="0.2">
      <c r="R51732" s="1288"/>
    </row>
    <row r="51733" spans="18:18" s="2" customFormat="1" ht="12.75" x14ac:dyDescent="0.2">
      <c r="R51733" s="1288"/>
    </row>
    <row r="51734" spans="18:18" s="2" customFormat="1" ht="12.75" x14ac:dyDescent="0.2">
      <c r="R51734" s="1288"/>
    </row>
    <row r="51735" spans="18:18" s="2" customFormat="1" ht="12.75" x14ac:dyDescent="0.2">
      <c r="R51735" s="1288"/>
    </row>
    <row r="51736" spans="18:18" s="2" customFormat="1" ht="12.75" x14ac:dyDescent="0.2">
      <c r="R51736" s="1288"/>
    </row>
    <row r="51737" spans="18:18" s="2" customFormat="1" ht="12.75" x14ac:dyDescent="0.2">
      <c r="R51737" s="1288"/>
    </row>
    <row r="51738" spans="18:18" s="2" customFormat="1" ht="12.75" x14ac:dyDescent="0.2">
      <c r="R51738" s="1288"/>
    </row>
    <row r="51739" spans="18:18" s="2" customFormat="1" ht="12.75" x14ac:dyDescent="0.2">
      <c r="R51739" s="1288"/>
    </row>
    <row r="51740" spans="18:18" s="2" customFormat="1" ht="12.75" x14ac:dyDescent="0.2">
      <c r="R51740" s="1288"/>
    </row>
    <row r="51741" spans="18:18" s="2" customFormat="1" ht="12.75" x14ac:dyDescent="0.2">
      <c r="R51741" s="1288"/>
    </row>
    <row r="51742" spans="18:18" s="2" customFormat="1" ht="12.75" x14ac:dyDescent="0.2">
      <c r="R51742" s="1288"/>
    </row>
    <row r="51743" spans="18:18" s="2" customFormat="1" ht="12.75" x14ac:dyDescent="0.2">
      <c r="R51743" s="1288"/>
    </row>
    <row r="51744" spans="18:18" s="2" customFormat="1" ht="12.75" x14ac:dyDescent="0.2">
      <c r="R51744" s="1288"/>
    </row>
    <row r="51745" spans="18:18" s="2" customFormat="1" ht="12.75" x14ac:dyDescent="0.2">
      <c r="R51745" s="1288"/>
    </row>
    <row r="51746" spans="18:18" s="2" customFormat="1" ht="12.75" x14ac:dyDescent="0.2">
      <c r="R51746" s="1288"/>
    </row>
    <row r="51747" spans="18:18" s="2" customFormat="1" ht="12.75" x14ac:dyDescent="0.2">
      <c r="R51747" s="1288"/>
    </row>
    <row r="51748" spans="18:18" s="2" customFormat="1" ht="12.75" x14ac:dyDescent="0.2">
      <c r="R51748" s="1288"/>
    </row>
    <row r="51749" spans="18:18" s="2" customFormat="1" ht="12.75" x14ac:dyDescent="0.2">
      <c r="R51749" s="1288"/>
    </row>
    <row r="51750" spans="18:18" s="2" customFormat="1" ht="12.75" x14ac:dyDescent="0.2">
      <c r="R51750" s="1288"/>
    </row>
    <row r="51751" spans="18:18" s="2" customFormat="1" ht="12.75" x14ac:dyDescent="0.2">
      <c r="R51751" s="1288"/>
    </row>
    <row r="51752" spans="18:18" s="2" customFormat="1" ht="12.75" x14ac:dyDescent="0.2">
      <c r="R51752" s="1288"/>
    </row>
    <row r="51753" spans="18:18" s="2" customFormat="1" ht="12.75" x14ac:dyDescent="0.2">
      <c r="R51753" s="1288"/>
    </row>
    <row r="51754" spans="18:18" s="2" customFormat="1" ht="12.75" x14ac:dyDescent="0.2">
      <c r="R51754" s="1288"/>
    </row>
    <row r="51755" spans="18:18" s="2" customFormat="1" ht="12.75" x14ac:dyDescent="0.2">
      <c r="R51755" s="1288"/>
    </row>
    <row r="51756" spans="18:18" s="2" customFormat="1" ht="12.75" x14ac:dyDescent="0.2">
      <c r="R51756" s="1288"/>
    </row>
    <row r="51757" spans="18:18" s="2" customFormat="1" ht="12.75" x14ac:dyDescent="0.2">
      <c r="R51757" s="1288"/>
    </row>
    <row r="51758" spans="18:18" s="2" customFormat="1" ht="12.75" x14ac:dyDescent="0.2">
      <c r="R51758" s="1288"/>
    </row>
    <row r="51759" spans="18:18" s="2" customFormat="1" ht="12.75" x14ac:dyDescent="0.2">
      <c r="R51759" s="1288"/>
    </row>
    <row r="51760" spans="18:18" s="2" customFormat="1" ht="12.75" x14ac:dyDescent="0.2">
      <c r="R51760" s="1288"/>
    </row>
    <row r="51761" spans="18:18" s="2" customFormat="1" ht="12.75" x14ac:dyDescent="0.2">
      <c r="R51761" s="1288"/>
    </row>
    <row r="51762" spans="18:18" s="2" customFormat="1" ht="12.75" x14ac:dyDescent="0.2">
      <c r="R51762" s="1288"/>
    </row>
    <row r="51763" spans="18:18" s="2" customFormat="1" ht="12.75" x14ac:dyDescent="0.2">
      <c r="R51763" s="1288"/>
    </row>
    <row r="51764" spans="18:18" s="2" customFormat="1" ht="12.75" x14ac:dyDescent="0.2">
      <c r="R51764" s="1288"/>
    </row>
    <row r="51765" spans="18:18" s="2" customFormat="1" ht="12.75" x14ac:dyDescent="0.2">
      <c r="R51765" s="1288"/>
    </row>
    <row r="51766" spans="18:18" s="2" customFormat="1" ht="12.75" x14ac:dyDescent="0.2">
      <c r="R51766" s="1288"/>
    </row>
    <row r="51767" spans="18:18" s="2" customFormat="1" ht="12.75" x14ac:dyDescent="0.2">
      <c r="R51767" s="1288"/>
    </row>
    <row r="51768" spans="18:18" s="2" customFormat="1" ht="12.75" x14ac:dyDescent="0.2">
      <c r="R51768" s="1288"/>
    </row>
    <row r="51769" spans="18:18" s="2" customFormat="1" ht="12.75" x14ac:dyDescent="0.2">
      <c r="R51769" s="1288"/>
    </row>
    <row r="51770" spans="18:18" s="2" customFormat="1" ht="12.75" x14ac:dyDescent="0.2">
      <c r="R51770" s="1288"/>
    </row>
    <row r="51771" spans="18:18" s="2" customFormat="1" ht="12.75" x14ac:dyDescent="0.2">
      <c r="R51771" s="1288"/>
    </row>
    <row r="51772" spans="18:18" s="2" customFormat="1" ht="12.75" x14ac:dyDescent="0.2">
      <c r="R51772" s="1288"/>
    </row>
    <row r="51773" spans="18:18" s="2" customFormat="1" ht="12.75" x14ac:dyDescent="0.2">
      <c r="R51773" s="1288"/>
    </row>
    <row r="51774" spans="18:18" s="2" customFormat="1" ht="12.75" x14ac:dyDescent="0.2">
      <c r="R51774" s="1288"/>
    </row>
    <row r="51775" spans="18:18" s="2" customFormat="1" ht="12.75" x14ac:dyDescent="0.2">
      <c r="R51775" s="1288"/>
    </row>
    <row r="51776" spans="18:18" s="2" customFormat="1" ht="12.75" x14ac:dyDescent="0.2">
      <c r="R51776" s="1288"/>
    </row>
    <row r="51777" spans="18:18" s="2" customFormat="1" ht="12.75" x14ac:dyDescent="0.2">
      <c r="R51777" s="1288"/>
    </row>
    <row r="51778" spans="18:18" s="2" customFormat="1" ht="12.75" x14ac:dyDescent="0.2">
      <c r="R51778" s="1288"/>
    </row>
    <row r="51779" spans="18:18" s="2" customFormat="1" ht="12.75" x14ac:dyDescent="0.2">
      <c r="R51779" s="1288"/>
    </row>
    <row r="51780" spans="18:18" s="2" customFormat="1" ht="12.75" x14ac:dyDescent="0.2">
      <c r="R51780" s="1288"/>
    </row>
    <row r="51781" spans="18:18" s="2" customFormat="1" ht="12.75" x14ac:dyDescent="0.2">
      <c r="R51781" s="1288"/>
    </row>
    <row r="51782" spans="18:18" s="2" customFormat="1" ht="12.75" x14ac:dyDescent="0.2">
      <c r="R51782" s="1288"/>
    </row>
    <row r="51783" spans="18:18" s="2" customFormat="1" ht="12.75" x14ac:dyDescent="0.2">
      <c r="R51783" s="1288"/>
    </row>
    <row r="51784" spans="18:18" s="2" customFormat="1" ht="12.75" x14ac:dyDescent="0.2">
      <c r="R51784" s="1288"/>
    </row>
    <row r="51785" spans="18:18" s="2" customFormat="1" ht="12.75" x14ac:dyDescent="0.2">
      <c r="R51785" s="1288"/>
    </row>
    <row r="51786" spans="18:18" s="2" customFormat="1" ht="12.75" x14ac:dyDescent="0.2">
      <c r="R51786" s="1288"/>
    </row>
    <row r="51787" spans="18:18" s="2" customFormat="1" ht="12.75" x14ac:dyDescent="0.2">
      <c r="R51787" s="1288"/>
    </row>
    <row r="51788" spans="18:18" s="2" customFormat="1" ht="12.75" x14ac:dyDescent="0.2">
      <c r="R51788" s="1288"/>
    </row>
    <row r="51789" spans="18:18" s="2" customFormat="1" ht="12.75" x14ac:dyDescent="0.2">
      <c r="R51789" s="1288"/>
    </row>
    <row r="51790" spans="18:18" s="2" customFormat="1" ht="12.75" x14ac:dyDescent="0.2">
      <c r="R51790" s="1288"/>
    </row>
    <row r="51791" spans="18:18" s="2" customFormat="1" ht="12.75" x14ac:dyDescent="0.2">
      <c r="R51791" s="1288"/>
    </row>
    <row r="51792" spans="18:18" s="2" customFormat="1" ht="12.75" x14ac:dyDescent="0.2">
      <c r="R51792" s="1288"/>
    </row>
    <row r="51793" spans="18:18" s="2" customFormat="1" ht="12.75" x14ac:dyDescent="0.2">
      <c r="R51793" s="1288"/>
    </row>
    <row r="51794" spans="18:18" s="2" customFormat="1" ht="12.75" x14ac:dyDescent="0.2">
      <c r="R51794" s="1288"/>
    </row>
    <row r="51795" spans="18:18" s="2" customFormat="1" ht="12.75" x14ac:dyDescent="0.2">
      <c r="R51795" s="1288"/>
    </row>
    <row r="51796" spans="18:18" s="2" customFormat="1" ht="12.75" x14ac:dyDescent="0.2">
      <c r="R51796" s="1288"/>
    </row>
    <row r="51797" spans="18:18" s="2" customFormat="1" ht="12.75" x14ac:dyDescent="0.2">
      <c r="R51797" s="1288"/>
    </row>
    <row r="51798" spans="18:18" s="2" customFormat="1" ht="12.75" x14ac:dyDescent="0.2">
      <c r="R51798" s="1288"/>
    </row>
    <row r="51799" spans="18:18" s="2" customFormat="1" ht="12.75" x14ac:dyDescent="0.2">
      <c r="R51799" s="1288"/>
    </row>
    <row r="51800" spans="18:18" s="2" customFormat="1" ht="12.75" x14ac:dyDescent="0.2">
      <c r="R51800" s="1288"/>
    </row>
    <row r="51801" spans="18:18" s="2" customFormat="1" ht="12.75" x14ac:dyDescent="0.2">
      <c r="R51801" s="1288"/>
    </row>
    <row r="51802" spans="18:18" s="2" customFormat="1" ht="12.75" x14ac:dyDescent="0.2">
      <c r="R51802" s="1288"/>
    </row>
    <row r="51803" spans="18:18" s="2" customFormat="1" ht="12.75" x14ac:dyDescent="0.2">
      <c r="R51803" s="1288"/>
    </row>
    <row r="51804" spans="18:18" s="2" customFormat="1" ht="12.75" x14ac:dyDescent="0.2">
      <c r="R51804" s="1288"/>
    </row>
    <row r="51805" spans="18:18" s="2" customFormat="1" ht="12.75" x14ac:dyDescent="0.2">
      <c r="R51805" s="1288"/>
    </row>
    <row r="51806" spans="18:18" s="2" customFormat="1" ht="12.75" x14ac:dyDescent="0.2">
      <c r="R51806" s="1288"/>
    </row>
    <row r="51807" spans="18:18" s="2" customFormat="1" ht="12.75" x14ac:dyDescent="0.2">
      <c r="R51807" s="1288"/>
    </row>
    <row r="51808" spans="18:18" s="2" customFormat="1" ht="12.75" x14ac:dyDescent="0.2">
      <c r="R51808" s="1288"/>
    </row>
    <row r="51809" spans="18:18" s="2" customFormat="1" ht="12.75" x14ac:dyDescent="0.2">
      <c r="R51809" s="1288"/>
    </row>
    <row r="51810" spans="18:18" s="2" customFormat="1" ht="12.75" x14ac:dyDescent="0.2">
      <c r="R51810" s="1288"/>
    </row>
    <row r="51811" spans="18:18" s="2" customFormat="1" ht="12.75" x14ac:dyDescent="0.2">
      <c r="R51811" s="1288"/>
    </row>
    <row r="51812" spans="18:18" s="2" customFormat="1" ht="12.75" x14ac:dyDescent="0.2">
      <c r="R51812" s="1288"/>
    </row>
    <row r="51813" spans="18:18" s="2" customFormat="1" ht="12.75" x14ac:dyDescent="0.2">
      <c r="R51813" s="1288"/>
    </row>
    <row r="51814" spans="18:18" s="2" customFormat="1" ht="12.75" x14ac:dyDescent="0.2">
      <c r="R51814" s="1288"/>
    </row>
    <row r="51815" spans="18:18" s="2" customFormat="1" ht="12.75" x14ac:dyDescent="0.2">
      <c r="R51815" s="1288"/>
    </row>
    <row r="51816" spans="18:18" s="2" customFormat="1" ht="12.75" x14ac:dyDescent="0.2">
      <c r="R51816" s="1288"/>
    </row>
    <row r="51817" spans="18:18" s="2" customFormat="1" ht="12.75" x14ac:dyDescent="0.2">
      <c r="R51817" s="1288"/>
    </row>
    <row r="51818" spans="18:18" s="2" customFormat="1" ht="12.75" x14ac:dyDescent="0.2">
      <c r="R51818" s="1288"/>
    </row>
    <row r="51819" spans="18:18" s="2" customFormat="1" ht="12.75" x14ac:dyDescent="0.2">
      <c r="R51819" s="1288"/>
    </row>
    <row r="51820" spans="18:18" s="2" customFormat="1" ht="12.75" x14ac:dyDescent="0.2">
      <c r="R51820" s="1288"/>
    </row>
    <row r="51821" spans="18:18" s="2" customFormat="1" ht="12.75" x14ac:dyDescent="0.2">
      <c r="R51821" s="1288"/>
    </row>
    <row r="51822" spans="18:18" s="2" customFormat="1" ht="12.75" x14ac:dyDescent="0.2">
      <c r="R51822" s="1288"/>
    </row>
    <row r="51823" spans="18:18" s="2" customFormat="1" ht="12.75" x14ac:dyDescent="0.2">
      <c r="R51823" s="1288"/>
    </row>
    <row r="51824" spans="18:18" s="2" customFormat="1" ht="12.75" x14ac:dyDescent="0.2">
      <c r="R51824" s="1288"/>
    </row>
    <row r="51825" spans="18:18" s="2" customFormat="1" ht="12.75" x14ac:dyDescent="0.2">
      <c r="R51825" s="1288"/>
    </row>
    <row r="51826" spans="18:18" s="2" customFormat="1" ht="12.75" x14ac:dyDescent="0.2">
      <c r="R51826" s="1288"/>
    </row>
    <row r="51827" spans="18:18" s="2" customFormat="1" ht="12.75" x14ac:dyDescent="0.2">
      <c r="R51827" s="1288"/>
    </row>
    <row r="51828" spans="18:18" s="2" customFormat="1" ht="12.75" x14ac:dyDescent="0.2">
      <c r="R51828" s="1288"/>
    </row>
    <row r="51829" spans="18:18" s="2" customFormat="1" ht="12.75" x14ac:dyDescent="0.2">
      <c r="R51829" s="1288"/>
    </row>
    <row r="51830" spans="18:18" s="2" customFormat="1" ht="12.75" x14ac:dyDescent="0.2">
      <c r="R51830" s="1288"/>
    </row>
    <row r="51831" spans="18:18" s="2" customFormat="1" ht="12.75" x14ac:dyDescent="0.2">
      <c r="R51831" s="1288"/>
    </row>
    <row r="51832" spans="18:18" s="2" customFormat="1" ht="12.75" x14ac:dyDescent="0.2">
      <c r="R51832" s="1288"/>
    </row>
    <row r="51833" spans="18:18" s="2" customFormat="1" ht="12.75" x14ac:dyDescent="0.2">
      <c r="R51833" s="1288"/>
    </row>
    <row r="51834" spans="18:18" s="2" customFormat="1" ht="12.75" x14ac:dyDescent="0.2">
      <c r="R51834" s="1288"/>
    </row>
    <row r="51835" spans="18:18" s="2" customFormat="1" ht="12.75" x14ac:dyDescent="0.2">
      <c r="R51835" s="1288"/>
    </row>
    <row r="51836" spans="18:18" s="2" customFormat="1" ht="12.75" x14ac:dyDescent="0.2">
      <c r="R51836" s="1288"/>
    </row>
    <row r="51837" spans="18:18" s="2" customFormat="1" ht="12.75" x14ac:dyDescent="0.2">
      <c r="R51837" s="1288"/>
    </row>
    <row r="51838" spans="18:18" s="2" customFormat="1" ht="12.75" x14ac:dyDescent="0.2">
      <c r="R51838" s="1288"/>
    </row>
    <row r="51839" spans="18:18" s="2" customFormat="1" ht="12.75" x14ac:dyDescent="0.2">
      <c r="R51839" s="1288"/>
    </row>
    <row r="51840" spans="18:18" s="2" customFormat="1" ht="12.75" x14ac:dyDescent="0.2">
      <c r="R51840" s="1288"/>
    </row>
    <row r="51841" spans="18:18" s="2" customFormat="1" ht="12.75" x14ac:dyDescent="0.2">
      <c r="R51841" s="1288"/>
    </row>
    <row r="51842" spans="18:18" s="2" customFormat="1" ht="12.75" x14ac:dyDescent="0.2">
      <c r="R51842" s="1288"/>
    </row>
    <row r="51843" spans="18:18" s="2" customFormat="1" ht="12.75" x14ac:dyDescent="0.2">
      <c r="R51843" s="1288"/>
    </row>
    <row r="51844" spans="18:18" s="2" customFormat="1" ht="12.75" x14ac:dyDescent="0.2">
      <c r="R51844" s="1288"/>
    </row>
    <row r="51845" spans="18:18" s="2" customFormat="1" ht="12.75" x14ac:dyDescent="0.2">
      <c r="R51845" s="1288"/>
    </row>
    <row r="51846" spans="18:18" s="2" customFormat="1" ht="12.75" x14ac:dyDescent="0.2">
      <c r="R51846" s="1288"/>
    </row>
    <row r="51847" spans="18:18" s="2" customFormat="1" ht="12.75" x14ac:dyDescent="0.2">
      <c r="R51847" s="1288"/>
    </row>
    <row r="51848" spans="18:18" s="2" customFormat="1" ht="12.75" x14ac:dyDescent="0.2">
      <c r="R51848" s="1288"/>
    </row>
    <row r="51849" spans="18:18" s="2" customFormat="1" ht="12.75" x14ac:dyDescent="0.2">
      <c r="R51849" s="1288"/>
    </row>
    <row r="51850" spans="18:18" s="2" customFormat="1" ht="12.75" x14ac:dyDescent="0.2">
      <c r="R51850" s="1288"/>
    </row>
    <row r="51851" spans="18:18" s="2" customFormat="1" ht="12.75" x14ac:dyDescent="0.2">
      <c r="R51851" s="1288"/>
    </row>
    <row r="51852" spans="18:18" s="2" customFormat="1" ht="12.75" x14ac:dyDescent="0.2">
      <c r="R51852" s="1288"/>
    </row>
    <row r="51853" spans="18:18" s="2" customFormat="1" ht="12.75" x14ac:dyDescent="0.2">
      <c r="R51853" s="1288"/>
    </row>
    <row r="51854" spans="18:18" s="2" customFormat="1" ht="12.75" x14ac:dyDescent="0.2">
      <c r="R51854" s="1288"/>
    </row>
    <row r="51855" spans="18:18" s="2" customFormat="1" ht="12.75" x14ac:dyDescent="0.2">
      <c r="R51855" s="1288"/>
    </row>
    <row r="51856" spans="18:18" s="2" customFormat="1" ht="12.75" x14ac:dyDescent="0.2">
      <c r="R51856" s="1288"/>
    </row>
    <row r="51857" spans="18:18" s="2" customFormat="1" ht="12.75" x14ac:dyDescent="0.2">
      <c r="R51857" s="1288"/>
    </row>
    <row r="51858" spans="18:18" s="2" customFormat="1" ht="12.75" x14ac:dyDescent="0.2">
      <c r="R51858" s="1288"/>
    </row>
    <row r="51859" spans="18:18" s="2" customFormat="1" ht="12.75" x14ac:dyDescent="0.2">
      <c r="R51859" s="1288"/>
    </row>
    <row r="51860" spans="18:18" s="2" customFormat="1" ht="12.75" x14ac:dyDescent="0.2">
      <c r="R51860" s="1288"/>
    </row>
    <row r="51861" spans="18:18" s="2" customFormat="1" ht="12.75" x14ac:dyDescent="0.2">
      <c r="R51861" s="1288"/>
    </row>
    <row r="51862" spans="18:18" s="2" customFormat="1" ht="12.75" x14ac:dyDescent="0.2">
      <c r="R51862" s="1288"/>
    </row>
    <row r="51863" spans="18:18" s="2" customFormat="1" ht="12.75" x14ac:dyDescent="0.2">
      <c r="R51863" s="1288"/>
    </row>
    <row r="51864" spans="18:18" s="2" customFormat="1" ht="12.75" x14ac:dyDescent="0.2">
      <c r="R51864" s="1288"/>
    </row>
    <row r="51865" spans="18:18" s="2" customFormat="1" ht="12.75" x14ac:dyDescent="0.2">
      <c r="R51865" s="1288"/>
    </row>
    <row r="51866" spans="18:18" s="2" customFormat="1" ht="12.75" x14ac:dyDescent="0.2">
      <c r="R51866" s="1288"/>
    </row>
    <row r="51867" spans="18:18" s="2" customFormat="1" ht="12.75" x14ac:dyDescent="0.2">
      <c r="R51867" s="1288"/>
    </row>
    <row r="51868" spans="18:18" s="2" customFormat="1" ht="12.75" x14ac:dyDescent="0.2">
      <c r="R51868" s="1288"/>
    </row>
    <row r="51869" spans="18:18" s="2" customFormat="1" ht="12.75" x14ac:dyDescent="0.2">
      <c r="R51869" s="1288"/>
    </row>
    <row r="51870" spans="18:18" s="2" customFormat="1" ht="12.75" x14ac:dyDescent="0.2">
      <c r="R51870" s="1288"/>
    </row>
    <row r="51871" spans="18:18" s="2" customFormat="1" ht="12.75" x14ac:dyDescent="0.2">
      <c r="R51871" s="1288"/>
    </row>
    <row r="51872" spans="18:18" s="2" customFormat="1" ht="12.75" x14ac:dyDescent="0.2">
      <c r="R51872" s="1288"/>
    </row>
    <row r="51873" spans="18:18" s="2" customFormat="1" ht="12.75" x14ac:dyDescent="0.2">
      <c r="R51873" s="1288"/>
    </row>
    <row r="51874" spans="18:18" s="2" customFormat="1" ht="12.75" x14ac:dyDescent="0.2">
      <c r="R51874" s="1288"/>
    </row>
    <row r="51875" spans="18:18" s="2" customFormat="1" ht="12.75" x14ac:dyDescent="0.2">
      <c r="R51875" s="1288"/>
    </row>
    <row r="51876" spans="18:18" s="2" customFormat="1" ht="12.75" x14ac:dyDescent="0.2">
      <c r="R51876" s="1288"/>
    </row>
    <row r="51877" spans="18:18" s="2" customFormat="1" ht="12.75" x14ac:dyDescent="0.2">
      <c r="R51877" s="1288"/>
    </row>
    <row r="51878" spans="18:18" s="2" customFormat="1" ht="12.75" x14ac:dyDescent="0.2">
      <c r="R51878" s="1288"/>
    </row>
    <row r="51879" spans="18:18" s="2" customFormat="1" ht="12.75" x14ac:dyDescent="0.2">
      <c r="R51879" s="1288"/>
    </row>
    <row r="51880" spans="18:18" s="2" customFormat="1" ht="12.75" x14ac:dyDescent="0.2">
      <c r="R51880" s="1288"/>
    </row>
    <row r="51881" spans="18:18" s="2" customFormat="1" ht="12.75" x14ac:dyDescent="0.2">
      <c r="R51881" s="1288"/>
    </row>
    <row r="51882" spans="18:18" s="2" customFormat="1" ht="12.75" x14ac:dyDescent="0.2">
      <c r="R51882" s="1288"/>
    </row>
    <row r="51883" spans="18:18" s="2" customFormat="1" ht="12.75" x14ac:dyDescent="0.2">
      <c r="R51883" s="1288"/>
    </row>
    <row r="51884" spans="18:18" s="2" customFormat="1" ht="12.75" x14ac:dyDescent="0.2">
      <c r="R51884" s="1288"/>
    </row>
    <row r="51885" spans="18:18" s="2" customFormat="1" ht="12.75" x14ac:dyDescent="0.2">
      <c r="R51885" s="1288"/>
    </row>
    <row r="51886" spans="18:18" s="2" customFormat="1" ht="12.75" x14ac:dyDescent="0.2">
      <c r="R51886" s="1288"/>
    </row>
    <row r="51887" spans="18:18" s="2" customFormat="1" ht="12.75" x14ac:dyDescent="0.2">
      <c r="R51887" s="1288"/>
    </row>
    <row r="51888" spans="18:18" s="2" customFormat="1" ht="12.75" x14ac:dyDescent="0.2">
      <c r="R51888" s="1288"/>
    </row>
    <row r="51889" spans="18:18" s="2" customFormat="1" ht="12.75" x14ac:dyDescent="0.2">
      <c r="R51889" s="1288"/>
    </row>
    <row r="51890" spans="18:18" s="2" customFormat="1" ht="12.75" x14ac:dyDescent="0.2">
      <c r="R51890" s="1288"/>
    </row>
    <row r="51891" spans="18:18" s="2" customFormat="1" ht="12.75" x14ac:dyDescent="0.2">
      <c r="R51891" s="1288"/>
    </row>
    <row r="51892" spans="18:18" s="2" customFormat="1" ht="12.75" x14ac:dyDescent="0.2">
      <c r="R51892" s="1288"/>
    </row>
    <row r="51893" spans="18:18" s="2" customFormat="1" ht="12.75" x14ac:dyDescent="0.2">
      <c r="R51893" s="1288"/>
    </row>
    <row r="51894" spans="18:18" s="2" customFormat="1" ht="12.75" x14ac:dyDescent="0.2">
      <c r="R51894" s="1288"/>
    </row>
    <row r="51895" spans="18:18" s="2" customFormat="1" ht="12.75" x14ac:dyDescent="0.2">
      <c r="R51895" s="1288"/>
    </row>
    <row r="51896" spans="18:18" s="2" customFormat="1" ht="12.75" x14ac:dyDescent="0.2">
      <c r="R51896" s="1288"/>
    </row>
    <row r="51897" spans="18:18" s="2" customFormat="1" ht="12.75" x14ac:dyDescent="0.2">
      <c r="R51897" s="1288"/>
    </row>
    <row r="51898" spans="18:18" s="2" customFormat="1" ht="12.75" x14ac:dyDescent="0.2">
      <c r="R51898" s="1288"/>
    </row>
    <row r="51899" spans="18:18" s="2" customFormat="1" ht="12.75" x14ac:dyDescent="0.2">
      <c r="R51899" s="1288"/>
    </row>
    <row r="51900" spans="18:18" s="2" customFormat="1" ht="12.75" x14ac:dyDescent="0.2">
      <c r="R51900" s="1288"/>
    </row>
    <row r="51901" spans="18:18" s="2" customFormat="1" ht="12.75" x14ac:dyDescent="0.2">
      <c r="R51901" s="1288"/>
    </row>
    <row r="51902" spans="18:18" s="2" customFormat="1" ht="12.75" x14ac:dyDescent="0.2">
      <c r="R51902" s="1288"/>
    </row>
    <row r="51903" spans="18:18" s="2" customFormat="1" ht="12.75" x14ac:dyDescent="0.2">
      <c r="R51903" s="1288"/>
    </row>
    <row r="51904" spans="18:18" s="2" customFormat="1" ht="12.75" x14ac:dyDescent="0.2">
      <c r="R51904" s="1288"/>
    </row>
    <row r="51905" spans="18:18" s="2" customFormat="1" ht="12.75" x14ac:dyDescent="0.2">
      <c r="R51905" s="1288"/>
    </row>
    <row r="51906" spans="18:18" s="2" customFormat="1" ht="12.75" x14ac:dyDescent="0.2">
      <c r="R51906" s="1288"/>
    </row>
    <row r="51907" spans="18:18" s="2" customFormat="1" ht="12.75" x14ac:dyDescent="0.2">
      <c r="R51907" s="1288"/>
    </row>
    <row r="51908" spans="18:18" s="2" customFormat="1" ht="12.75" x14ac:dyDescent="0.2">
      <c r="R51908" s="1288"/>
    </row>
    <row r="51909" spans="18:18" s="2" customFormat="1" ht="12.75" x14ac:dyDescent="0.2">
      <c r="R51909" s="1288"/>
    </row>
    <row r="51910" spans="18:18" s="2" customFormat="1" ht="12.75" x14ac:dyDescent="0.2">
      <c r="R51910" s="1288"/>
    </row>
    <row r="51911" spans="18:18" s="2" customFormat="1" ht="12.75" x14ac:dyDescent="0.2">
      <c r="R51911" s="1288"/>
    </row>
    <row r="51912" spans="18:18" s="2" customFormat="1" ht="12.75" x14ac:dyDescent="0.2">
      <c r="R51912" s="1288"/>
    </row>
    <row r="51913" spans="18:18" s="2" customFormat="1" ht="12.75" x14ac:dyDescent="0.2">
      <c r="R51913" s="1288"/>
    </row>
    <row r="51914" spans="18:18" s="2" customFormat="1" ht="12.75" x14ac:dyDescent="0.2">
      <c r="R51914" s="1288"/>
    </row>
    <row r="51915" spans="18:18" s="2" customFormat="1" ht="12.75" x14ac:dyDescent="0.2">
      <c r="R51915" s="1288"/>
    </row>
    <row r="51916" spans="18:18" s="2" customFormat="1" ht="12.75" x14ac:dyDescent="0.2">
      <c r="R51916" s="1288"/>
    </row>
    <row r="51917" spans="18:18" s="2" customFormat="1" ht="12.75" x14ac:dyDescent="0.2">
      <c r="R51917" s="1288"/>
    </row>
    <row r="51918" spans="18:18" s="2" customFormat="1" ht="12.75" x14ac:dyDescent="0.2">
      <c r="R51918" s="1288"/>
    </row>
    <row r="51919" spans="18:18" s="2" customFormat="1" ht="12.75" x14ac:dyDescent="0.2">
      <c r="R51919" s="1288"/>
    </row>
    <row r="51920" spans="18:18" s="2" customFormat="1" ht="12.75" x14ac:dyDescent="0.2">
      <c r="R51920" s="1288"/>
    </row>
    <row r="51921" spans="18:18" s="2" customFormat="1" ht="12.75" x14ac:dyDescent="0.2">
      <c r="R51921" s="1288"/>
    </row>
    <row r="51922" spans="18:18" s="2" customFormat="1" ht="12.75" x14ac:dyDescent="0.2">
      <c r="R51922" s="1288"/>
    </row>
    <row r="51923" spans="18:18" s="2" customFormat="1" ht="12.75" x14ac:dyDescent="0.2">
      <c r="R51923" s="1288"/>
    </row>
    <row r="51924" spans="18:18" s="2" customFormat="1" ht="12.75" x14ac:dyDescent="0.2">
      <c r="R51924" s="1288"/>
    </row>
    <row r="51925" spans="18:18" s="2" customFormat="1" ht="12.75" x14ac:dyDescent="0.2">
      <c r="R51925" s="1288"/>
    </row>
    <row r="51926" spans="18:18" s="2" customFormat="1" ht="12.75" x14ac:dyDescent="0.2">
      <c r="R51926" s="1288"/>
    </row>
    <row r="51927" spans="18:18" s="2" customFormat="1" ht="12.75" x14ac:dyDescent="0.2">
      <c r="R51927" s="1288"/>
    </row>
    <row r="51928" spans="18:18" s="2" customFormat="1" ht="12.75" x14ac:dyDescent="0.2">
      <c r="R51928" s="1288"/>
    </row>
    <row r="51929" spans="18:18" s="2" customFormat="1" ht="12.75" x14ac:dyDescent="0.2">
      <c r="R51929" s="1288"/>
    </row>
    <row r="51930" spans="18:18" s="2" customFormat="1" ht="12.75" x14ac:dyDescent="0.2">
      <c r="R51930" s="1288"/>
    </row>
    <row r="51931" spans="18:18" s="2" customFormat="1" ht="12.75" x14ac:dyDescent="0.2">
      <c r="R51931" s="1288"/>
    </row>
    <row r="51932" spans="18:18" s="2" customFormat="1" ht="12.75" x14ac:dyDescent="0.2">
      <c r="R51932" s="1288"/>
    </row>
    <row r="51933" spans="18:18" s="2" customFormat="1" ht="12.75" x14ac:dyDescent="0.2">
      <c r="R51933" s="1288"/>
    </row>
    <row r="51934" spans="18:18" s="2" customFormat="1" ht="12.75" x14ac:dyDescent="0.2">
      <c r="R51934" s="1288"/>
    </row>
    <row r="51935" spans="18:18" s="2" customFormat="1" ht="12.75" x14ac:dyDescent="0.2">
      <c r="R51935" s="1288"/>
    </row>
    <row r="51936" spans="18:18" s="2" customFormat="1" ht="12.75" x14ac:dyDescent="0.2">
      <c r="R51936" s="1288"/>
    </row>
    <row r="51937" spans="18:18" s="2" customFormat="1" ht="12.75" x14ac:dyDescent="0.2">
      <c r="R51937" s="1288"/>
    </row>
    <row r="51938" spans="18:18" s="2" customFormat="1" ht="12.75" x14ac:dyDescent="0.2">
      <c r="R51938" s="1288"/>
    </row>
    <row r="51939" spans="18:18" s="2" customFormat="1" ht="12.75" x14ac:dyDescent="0.2">
      <c r="R51939" s="1288"/>
    </row>
    <row r="51940" spans="18:18" s="2" customFormat="1" ht="12.75" x14ac:dyDescent="0.2">
      <c r="R51940" s="1288"/>
    </row>
    <row r="51941" spans="18:18" s="2" customFormat="1" ht="12.75" x14ac:dyDescent="0.2">
      <c r="R51941" s="1288"/>
    </row>
    <row r="51942" spans="18:18" s="2" customFormat="1" ht="12.75" x14ac:dyDescent="0.2">
      <c r="R51942" s="1288"/>
    </row>
    <row r="51943" spans="18:18" s="2" customFormat="1" ht="12.75" x14ac:dyDescent="0.2">
      <c r="R51943" s="1288"/>
    </row>
    <row r="51944" spans="18:18" s="2" customFormat="1" ht="12.75" x14ac:dyDescent="0.2">
      <c r="R51944" s="1288"/>
    </row>
    <row r="51945" spans="18:18" s="2" customFormat="1" ht="12.75" x14ac:dyDescent="0.2">
      <c r="R51945" s="1288"/>
    </row>
    <row r="51946" spans="18:18" s="2" customFormat="1" ht="12.75" x14ac:dyDescent="0.2">
      <c r="R51946" s="1288"/>
    </row>
    <row r="51947" spans="18:18" s="2" customFormat="1" ht="12.75" x14ac:dyDescent="0.2">
      <c r="R51947" s="1288"/>
    </row>
    <row r="51948" spans="18:18" s="2" customFormat="1" ht="12.75" x14ac:dyDescent="0.2">
      <c r="R51948" s="1288"/>
    </row>
    <row r="51949" spans="18:18" s="2" customFormat="1" ht="12.75" x14ac:dyDescent="0.2">
      <c r="R51949" s="1288"/>
    </row>
    <row r="51950" spans="18:18" s="2" customFormat="1" ht="12.75" x14ac:dyDescent="0.2">
      <c r="R51950" s="1288"/>
    </row>
    <row r="51951" spans="18:18" s="2" customFormat="1" ht="12.75" x14ac:dyDescent="0.2">
      <c r="R51951" s="1288"/>
    </row>
    <row r="51952" spans="18:18" s="2" customFormat="1" ht="12.75" x14ac:dyDescent="0.2">
      <c r="R51952" s="1288"/>
    </row>
    <row r="51953" spans="18:18" s="2" customFormat="1" ht="12.75" x14ac:dyDescent="0.2">
      <c r="R51953" s="1288"/>
    </row>
    <row r="51954" spans="18:18" s="2" customFormat="1" ht="12.75" x14ac:dyDescent="0.2">
      <c r="R51954" s="1288"/>
    </row>
    <row r="51955" spans="18:18" s="2" customFormat="1" ht="12.75" x14ac:dyDescent="0.2">
      <c r="R51955" s="1288"/>
    </row>
    <row r="51956" spans="18:18" s="2" customFormat="1" ht="12.75" x14ac:dyDescent="0.2">
      <c r="R51956" s="1288"/>
    </row>
    <row r="51957" spans="18:18" s="2" customFormat="1" ht="12.75" x14ac:dyDescent="0.2">
      <c r="R51957" s="1288"/>
    </row>
    <row r="51958" spans="18:18" s="2" customFormat="1" ht="12.75" x14ac:dyDescent="0.2">
      <c r="R51958" s="1288"/>
    </row>
    <row r="51959" spans="18:18" s="2" customFormat="1" ht="12.75" x14ac:dyDescent="0.2">
      <c r="R51959" s="1288"/>
    </row>
    <row r="51960" spans="18:18" s="2" customFormat="1" ht="12.75" x14ac:dyDescent="0.2">
      <c r="R51960" s="1288"/>
    </row>
    <row r="51961" spans="18:18" s="2" customFormat="1" ht="12.75" x14ac:dyDescent="0.2">
      <c r="R51961" s="1288"/>
    </row>
    <row r="51962" spans="18:18" s="2" customFormat="1" ht="12.75" x14ac:dyDescent="0.2">
      <c r="R51962" s="1288"/>
    </row>
    <row r="51963" spans="18:18" s="2" customFormat="1" ht="12.75" x14ac:dyDescent="0.2">
      <c r="R51963" s="1288"/>
    </row>
    <row r="51964" spans="18:18" s="2" customFormat="1" ht="12.75" x14ac:dyDescent="0.2">
      <c r="R51964" s="1288"/>
    </row>
    <row r="51965" spans="18:18" s="2" customFormat="1" ht="12.75" x14ac:dyDescent="0.2">
      <c r="R51965" s="1288"/>
    </row>
    <row r="51966" spans="18:18" s="2" customFormat="1" ht="12.75" x14ac:dyDescent="0.2">
      <c r="R51966" s="1288"/>
    </row>
    <row r="51967" spans="18:18" s="2" customFormat="1" ht="12.75" x14ac:dyDescent="0.2">
      <c r="R51967" s="1288"/>
    </row>
    <row r="51968" spans="18:18" s="2" customFormat="1" ht="12.75" x14ac:dyDescent="0.2">
      <c r="R51968" s="1288"/>
    </row>
    <row r="51969" spans="18:18" s="2" customFormat="1" ht="12.75" x14ac:dyDescent="0.2">
      <c r="R51969" s="1288"/>
    </row>
    <row r="51970" spans="18:18" s="2" customFormat="1" ht="12.75" x14ac:dyDescent="0.2">
      <c r="R51970" s="1288"/>
    </row>
    <row r="51971" spans="18:18" s="2" customFormat="1" ht="12.75" x14ac:dyDescent="0.2">
      <c r="R51971" s="1288"/>
    </row>
    <row r="51972" spans="18:18" s="2" customFormat="1" ht="12.75" x14ac:dyDescent="0.2">
      <c r="R51972" s="1288"/>
    </row>
    <row r="51973" spans="18:18" s="2" customFormat="1" ht="12.75" x14ac:dyDescent="0.2">
      <c r="R51973" s="1288"/>
    </row>
    <row r="51974" spans="18:18" s="2" customFormat="1" ht="12.75" x14ac:dyDescent="0.2">
      <c r="R51974" s="1288"/>
    </row>
    <row r="51975" spans="18:18" s="2" customFormat="1" ht="12.75" x14ac:dyDescent="0.2">
      <c r="R51975" s="1288"/>
    </row>
    <row r="51976" spans="18:18" s="2" customFormat="1" ht="12.75" x14ac:dyDescent="0.2">
      <c r="R51976" s="1288"/>
    </row>
    <row r="51977" spans="18:18" s="2" customFormat="1" ht="12.75" x14ac:dyDescent="0.2">
      <c r="R51977" s="1288"/>
    </row>
    <row r="51978" spans="18:18" s="2" customFormat="1" ht="12.75" x14ac:dyDescent="0.2">
      <c r="R51978" s="1288"/>
    </row>
    <row r="51979" spans="18:18" s="2" customFormat="1" ht="12.75" x14ac:dyDescent="0.2">
      <c r="R51979" s="1288"/>
    </row>
    <row r="51980" spans="18:18" s="2" customFormat="1" ht="12.75" x14ac:dyDescent="0.2">
      <c r="R51980" s="1288"/>
    </row>
    <row r="51981" spans="18:18" s="2" customFormat="1" ht="12.75" x14ac:dyDescent="0.2">
      <c r="R51981" s="1288"/>
    </row>
    <row r="51982" spans="18:18" s="2" customFormat="1" ht="12.75" x14ac:dyDescent="0.2">
      <c r="R51982" s="1288"/>
    </row>
    <row r="51983" spans="18:18" s="2" customFormat="1" ht="12.75" x14ac:dyDescent="0.2">
      <c r="R51983" s="1288"/>
    </row>
    <row r="51984" spans="18:18" s="2" customFormat="1" ht="12.75" x14ac:dyDescent="0.2">
      <c r="R51984" s="1288"/>
    </row>
    <row r="51985" spans="18:18" s="2" customFormat="1" ht="12.75" x14ac:dyDescent="0.2">
      <c r="R51985" s="1288"/>
    </row>
    <row r="51986" spans="18:18" s="2" customFormat="1" ht="12.75" x14ac:dyDescent="0.2">
      <c r="R51986" s="1288"/>
    </row>
    <row r="51987" spans="18:18" s="2" customFormat="1" ht="12.75" x14ac:dyDescent="0.2">
      <c r="R51987" s="1288"/>
    </row>
    <row r="51988" spans="18:18" s="2" customFormat="1" ht="12.75" x14ac:dyDescent="0.2">
      <c r="R51988" s="1288"/>
    </row>
    <row r="51989" spans="18:18" s="2" customFormat="1" ht="12.75" x14ac:dyDescent="0.2">
      <c r="R51989" s="1288"/>
    </row>
    <row r="51990" spans="18:18" s="2" customFormat="1" ht="12.75" x14ac:dyDescent="0.2">
      <c r="R51990" s="1288"/>
    </row>
    <row r="51991" spans="18:18" s="2" customFormat="1" ht="12.75" x14ac:dyDescent="0.2">
      <c r="R51991" s="1288"/>
    </row>
    <row r="51992" spans="18:18" s="2" customFormat="1" ht="12.75" x14ac:dyDescent="0.2">
      <c r="R51992" s="1288"/>
    </row>
    <row r="51993" spans="18:18" s="2" customFormat="1" ht="12.75" x14ac:dyDescent="0.2">
      <c r="R51993" s="1288"/>
    </row>
    <row r="51994" spans="18:18" s="2" customFormat="1" ht="12.75" x14ac:dyDescent="0.2">
      <c r="R51994" s="1288"/>
    </row>
    <row r="51995" spans="18:18" s="2" customFormat="1" ht="12.75" x14ac:dyDescent="0.2">
      <c r="R51995" s="1288"/>
    </row>
    <row r="51996" spans="18:18" s="2" customFormat="1" ht="12.75" x14ac:dyDescent="0.2">
      <c r="R51996" s="1288"/>
    </row>
    <row r="51997" spans="18:18" s="2" customFormat="1" ht="12.75" x14ac:dyDescent="0.2">
      <c r="R51997" s="1288"/>
    </row>
    <row r="51998" spans="18:18" s="2" customFormat="1" ht="12.75" x14ac:dyDescent="0.2">
      <c r="R51998" s="1288"/>
    </row>
    <row r="51999" spans="18:18" s="2" customFormat="1" ht="12.75" x14ac:dyDescent="0.2">
      <c r="R51999" s="1288"/>
    </row>
    <row r="52000" spans="18:18" s="2" customFormat="1" ht="12.75" x14ac:dyDescent="0.2">
      <c r="R52000" s="1288"/>
    </row>
    <row r="52001" spans="18:18" s="2" customFormat="1" ht="12.75" x14ac:dyDescent="0.2">
      <c r="R52001" s="1288"/>
    </row>
    <row r="52002" spans="18:18" s="2" customFormat="1" ht="12.75" x14ac:dyDescent="0.2">
      <c r="R52002" s="1288"/>
    </row>
    <row r="52003" spans="18:18" s="2" customFormat="1" ht="12.75" x14ac:dyDescent="0.2">
      <c r="R52003" s="1288"/>
    </row>
    <row r="52004" spans="18:18" s="2" customFormat="1" ht="12.75" x14ac:dyDescent="0.2">
      <c r="R52004" s="1288"/>
    </row>
    <row r="52005" spans="18:18" s="2" customFormat="1" ht="12.75" x14ac:dyDescent="0.2">
      <c r="R52005" s="1288"/>
    </row>
    <row r="52006" spans="18:18" s="2" customFormat="1" ht="12.75" x14ac:dyDescent="0.2">
      <c r="R52006" s="1288"/>
    </row>
    <row r="52007" spans="18:18" s="2" customFormat="1" ht="12.75" x14ac:dyDescent="0.2">
      <c r="R52007" s="1288"/>
    </row>
    <row r="52008" spans="18:18" s="2" customFormat="1" ht="12.75" x14ac:dyDescent="0.2">
      <c r="R52008" s="1288"/>
    </row>
    <row r="52009" spans="18:18" s="2" customFormat="1" ht="12.75" x14ac:dyDescent="0.2">
      <c r="R52009" s="1288"/>
    </row>
    <row r="52010" spans="18:18" s="2" customFormat="1" ht="12.75" x14ac:dyDescent="0.2">
      <c r="R52010" s="1288"/>
    </row>
    <row r="52011" spans="18:18" s="2" customFormat="1" ht="12.75" x14ac:dyDescent="0.2">
      <c r="R52011" s="1288"/>
    </row>
    <row r="52012" spans="18:18" s="2" customFormat="1" ht="12.75" x14ac:dyDescent="0.2">
      <c r="R52012" s="1288"/>
    </row>
    <row r="52013" spans="18:18" s="2" customFormat="1" ht="12.75" x14ac:dyDescent="0.2">
      <c r="R52013" s="1288"/>
    </row>
    <row r="52014" spans="18:18" s="2" customFormat="1" ht="12.75" x14ac:dyDescent="0.2">
      <c r="R52014" s="1288"/>
    </row>
    <row r="52015" spans="18:18" s="2" customFormat="1" ht="12.75" x14ac:dyDescent="0.2">
      <c r="R52015" s="1288"/>
    </row>
    <row r="52016" spans="18:18" s="2" customFormat="1" ht="12.75" x14ac:dyDescent="0.2">
      <c r="R52016" s="1288"/>
    </row>
    <row r="52017" spans="18:18" s="2" customFormat="1" ht="12.75" x14ac:dyDescent="0.2">
      <c r="R52017" s="1288"/>
    </row>
    <row r="52018" spans="18:18" s="2" customFormat="1" ht="12.75" x14ac:dyDescent="0.2">
      <c r="R52018" s="1288"/>
    </row>
    <row r="52019" spans="18:18" s="2" customFormat="1" ht="12.75" x14ac:dyDescent="0.2">
      <c r="R52019" s="1288"/>
    </row>
    <row r="52020" spans="18:18" s="2" customFormat="1" ht="12.75" x14ac:dyDescent="0.2">
      <c r="R52020" s="1288"/>
    </row>
    <row r="52021" spans="18:18" s="2" customFormat="1" ht="12.75" x14ac:dyDescent="0.2">
      <c r="R52021" s="1288"/>
    </row>
    <row r="52022" spans="18:18" s="2" customFormat="1" ht="12.75" x14ac:dyDescent="0.2">
      <c r="R52022" s="1288"/>
    </row>
    <row r="52023" spans="18:18" s="2" customFormat="1" ht="12.75" x14ac:dyDescent="0.2">
      <c r="R52023" s="1288"/>
    </row>
    <row r="52024" spans="18:18" s="2" customFormat="1" ht="12.75" x14ac:dyDescent="0.2">
      <c r="R52024" s="1288"/>
    </row>
    <row r="52025" spans="18:18" s="2" customFormat="1" ht="12.75" x14ac:dyDescent="0.2">
      <c r="R52025" s="1288"/>
    </row>
    <row r="52026" spans="18:18" s="2" customFormat="1" ht="12.75" x14ac:dyDescent="0.2">
      <c r="R52026" s="1288"/>
    </row>
    <row r="52027" spans="18:18" s="2" customFormat="1" ht="12.75" x14ac:dyDescent="0.2">
      <c r="R52027" s="1288"/>
    </row>
    <row r="52028" spans="18:18" s="2" customFormat="1" ht="12.75" x14ac:dyDescent="0.2">
      <c r="R52028" s="1288"/>
    </row>
    <row r="52029" spans="18:18" s="2" customFormat="1" ht="12.75" x14ac:dyDescent="0.2">
      <c r="R52029" s="1288"/>
    </row>
    <row r="52030" spans="18:18" s="2" customFormat="1" ht="12.75" x14ac:dyDescent="0.2">
      <c r="R52030" s="1288"/>
    </row>
    <row r="52031" spans="18:18" s="2" customFormat="1" ht="12.75" x14ac:dyDescent="0.2">
      <c r="R52031" s="1288"/>
    </row>
    <row r="52032" spans="18:18" s="2" customFormat="1" ht="12.75" x14ac:dyDescent="0.2">
      <c r="R52032" s="1288"/>
    </row>
    <row r="52033" spans="18:18" s="2" customFormat="1" ht="12.75" x14ac:dyDescent="0.2">
      <c r="R52033" s="1288"/>
    </row>
    <row r="52034" spans="18:18" s="2" customFormat="1" ht="12.75" x14ac:dyDescent="0.2">
      <c r="R52034" s="1288"/>
    </row>
    <row r="52035" spans="18:18" s="2" customFormat="1" ht="12.75" x14ac:dyDescent="0.2">
      <c r="R52035" s="1288"/>
    </row>
    <row r="52036" spans="18:18" s="2" customFormat="1" ht="12.75" x14ac:dyDescent="0.2">
      <c r="R52036" s="1288"/>
    </row>
    <row r="52037" spans="18:18" s="2" customFormat="1" ht="12.75" x14ac:dyDescent="0.2">
      <c r="R52037" s="1288"/>
    </row>
    <row r="52038" spans="18:18" s="2" customFormat="1" ht="12.75" x14ac:dyDescent="0.2">
      <c r="R52038" s="1288"/>
    </row>
    <row r="52039" spans="18:18" s="2" customFormat="1" ht="12.75" x14ac:dyDescent="0.2">
      <c r="R52039" s="1288"/>
    </row>
    <row r="52040" spans="18:18" s="2" customFormat="1" ht="12.75" x14ac:dyDescent="0.2">
      <c r="R52040" s="1288"/>
    </row>
    <row r="52041" spans="18:18" s="2" customFormat="1" ht="12.75" x14ac:dyDescent="0.2">
      <c r="R52041" s="1288"/>
    </row>
    <row r="52042" spans="18:18" s="2" customFormat="1" ht="12.75" x14ac:dyDescent="0.2">
      <c r="R52042" s="1288"/>
    </row>
    <row r="52043" spans="18:18" s="2" customFormat="1" ht="12.75" x14ac:dyDescent="0.2">
      <c r="R52043" s="1288"/>
    </row>
    <row r="52044" spans="18:18" s="2" customFormat="1" ht="12.75" x14ac:dyDescent="0.2">
      <c r="R52044" s="1288"/>
    </row>
    <row r="52045" spans="18:18" s="2" customFormat="1" ht="12.75" x14ac:dyDescent="0.2">
      <c r="R52045" s="1288"/>
    </row>
    <row r="52046" spans="18:18" s="2" customFormat="1" ht="12.75" x14ac:dyDescent="0.2">
      <c r="R52046" s="1288"/>
    </row>
    <row r="52047" spans="18:18" s="2" customFormat="1" ht="12.75" x14ac:dyDescent="0.2">
      <c r="R52047" s="1288"/>
    </row>
    <row r="52048" spans="18:18" s="2" customFormat="1" ht="12.75" x14ac:dyDescent="0.2">
      <c r="R52048" s="1288"/>
    </row>
    <row r="52049" spans="18:18" s="2" customFormat="1" ht="12.75" x14ac:dyDescent="0.2">
      <c r="R52049" s="1288"/>
    </row>
    <row r="52050" spans="18:18" s="2" customFormat="1" ht="12.75" x14ac:dyDescent="0.2">
      <c r="R52050" s="1288"/>
    </row>
    <row r="52051" spans="18:18" s="2" customFormat="1" ht="12.75" x14ac:dyDescent="0.2">
      <c r="R52051" s="1288"/>
    </row>
    <row r="52052" spans="18:18" s="2" customFormat="1" ht="12.75" x14ac:dyDescent="0.2">
      <c r="R52052" s="1288"/>
    </row>
    <row r="52053" spans="18:18" s="2" customFormat="1" ht="12.75" x14ac:dyDescent="0.2">
      <c r="R52053" s="1288"/>
    </row>
    <row r="52054" spans="18:18" s="2" customFormat="1" ht="12.75" x14ac:dyDescent="0.2">
      <c r="R52054" s="1288"/>
    </row>
    <row r="52055" spans="18:18" s="2" customFormat="1" ht="12.75" x14ac:dyDescent="0.2">
      <c r="R52055" s="1288"/>
    </row>
    <row r="52056" spans="18:18" s="2" customFormat="1" ht="12.75" x14ac:dyDescent="0.2">
      <c r="R52056" s="1288"/>
    </row>
    <row r="52057" spans="18:18" s="2" customFormat="1" ht="12.75" x14ac:dyDescent="0.2">
      <c r="R52057" s="1288"/>
    </row>
    <row r="52058" spans="18:18" s="2" customFormat="1" ht="12.75" x14ac:dyDescent="0.2">
      <c r="R52058" s="1288"/>
    </row>
    <row r="52059" spans="18:18" s="2" customFormat="1" ht="12.75" x14ac:dyDescent="0.2">
      <c r="R52059" s="1288"/>
    </row>
    <row r="52060" spans="18:18" s="2" customFormat="1" ht="12.75" x14ac:dyDescent="0.2">
      <c r="R52060" s="1288"/>
    </row>
    <row r="52061" spans="18:18" s="2" customFormat="1" ht="12.75" x14ac:dyDescent="0.2">
      <c r="R52061" s="1288"/>
    </row>
    <row r="52062" spans="18:18" s="2" customFormat="1" ht="12.75" x14ac:dyDescent="0.2">
      <c r="R52062" s="1288"/>
    </row>
    <row r="52063" spans="18:18" s="2" customFormat="1" ht="12.75" x14ac:dyDescent="0.2">
      <c r="R52063" s="1288"/>
    </row>
    <row r="52064" spans="18:18" s="2" customFormat="1" ht="12.75" x14ac:dyDescent="0.2">
      <c r="R52064" s="1288"/>
    </row>
    <row r="52065" spans="18:18" s="2" customFormat="1" ht="12.75" x14ac:dyDescent="0.2">
      <c r="R52065" s="1288"/>
    </row>
    <row r="52066" spans="18:18" s="2" customFormat="1" ht="12.75" x14ac:dyDescent="0.2">
      <c r="R52066" s="1288"/>
    </row>
    <row r="52067" spans="18:18" s="2" customFormat="1" ht="12.75" x14ac:dyDescent="0.2">
      <c r="R52067" s="1288"/>
    </row>
    <row r="52068" spans="18:18" s="2" customFormat="1" ht="12.75" x14ac:dyDescent="0.2">
      <c r="R52068" s="1288"/>
    </row>
    <row r="52069" spans="18:18" s="2" customFormat="1" ht="12.75" x14ac:dyDescent="0.2">
      <c r="R52069" s="1288"/>
    </row>
    <row r="52070" spans="18:18" s="2" customFormat="1" ht="12.75" x14ac:dyDescent="0.2">
      <c r="R52070" s="1288"/>
    </row>
    <row r="52071" spans="18:18" s="2" customFormat="1" ht="12.75" x14ac:dyDescent="0.2">
      <c r="R52071" s="1288"/>
    </row>
    <row r="52072" spans="18:18" s="2" customFormat="1" ht="12.75" x14ac:dyDescent="0.2">
      <c r="R52072" s="1288"/>
    </row>
    <row r="52073" spans="18:18" s="2" customFormat="1" ht="12.75" x14ac:dyDescent="0.2">
      <c r="R52073" s="1288"/>
    </row>
    <row r="52074" spans="18:18" s="2" customFormat="1" ht="12.75" x14ac:dyDescent="0.2">
      <c r="R52074" s="1288"/>
    </row>
    <row r="52075" spans="18:18" s="2" customFormat="1" ht="12.75" x14ac:dyDescent="0.2">
      <c r="R52075" s="1288"/>
    </row>
    <row r="52076" spans="18:18" s="2" customFormat="1" ht="12.75" x14ac:dyDescent="0.2">
      <c r="R52076" s="1288"/>
    </row>
    <row r="52077" spans="18:18" s="2" customFormat="1" ht="12.75" x14ac:dyDescent="0.2">
      <c r="R52077" s="1288"/>
    </row>
    <row r="52078" spans="18:18" s="2" customFormat="1" ht="12.75" x14ac:dyDescent="0.2">
      <c r="R52078" s="1288"/>
    </row>
    <row r="52079" spans="18:18" s="2" customFormat="1" ht="12.75" x14ac:dyDescent="0.2">
      <c r="R52079" s="1288"/>
    </row>
    <row r="52080" spans="18:18" s="2" customFormat="1" ht="12.75" x14ac:dyDescent="0.2">
      <c r="R52080" s="1288"/>
    </row>
    <row r="52081" spans="18:18" s="2" customFormat="1" ht="12.75" x14ac:dyDescent="0.2">
      <c r="R52081" s="1288"/>
    </row>
    <row r="52082" spans="18:18" s="2" customFormat="1" ht="12.75" x14ac:dyDescent="0.2">
      <c r="R52082" s="1288"/>
    </row>
    <row r="52083" spans="18:18" s="2" customFormat="1" ht="12.75" x14ac:dyDescent="0.2">
      <c r="R52083" s="1288"/>
    </row>
    <row r="52084" spans="18:18" s="2" customFormat="1" ht="12.75" x14ac:dyDescent="0.2">
      <c r="R52084" s="1288"/>
    </row>
    <row r="52085" spans="18:18" s="2" customFormat="1" ht="12.75" x14ac:dyDescent="0.2">
      <c r="R52085" s="1288"/>
    </row>
    <row r="52086" spans="18:18" s="2" customFormat="1" ht="12.75" x14ac:dyDescent="0.2">
      <c r="R52086" s="1288"/>
    </row>
    <row r="52087" spans="18:18" s="2" customFormat="1" ht="12.75" x14ac:dyDescent="0.2">
      <c r="R52087" s="1288"/>
    </row>
    <row r="52088" spans="18:18" s="2" customFormat="1" ht="12.75" x14ac:dyDescent="0.2">
      <c r="R52088" s="1288"/>
    </row>
    <row r="52089" spans="18:18" s="2" customFormat="1" ht="12.75" x14ac:dyDescent="0.2">
      <c r="R52089" s="1288"/>
    </row>
    <row r="52090" spans="18:18" s="2" customFormat="1" ht="12.75" x14ac:dyDescent="0.2">
      <c r="R52090" s="1288"/>
    </row>
    <row r="52091" spans="18:18" s="2" customFormat="1" ht="12.75" x14ac:dyDescent="0.2">
      <c r="R52091" s="1288"/>
    </row>
    <row r="52092" spans="18:18" s="2" customFormat="1" ht="12.75" x14ac:dyDescent="0.2">
      <c r="R52092" s="1288"/>
    </row>
    <row r="52093" spans="18:18" s="2" customFormat="1" ht="12.75" x14ac:dyDescent="0.2">
      <c r="R52093" s="1288"/>
    </row>
    <row r="52094" spans="18:18" s="2" customFormat="1" ht="12.75" x14ac:dyDescent="0.2">
      <c r="R52094" s="1288"/>
    </row>
    <row r="52095" spans="18:18" s="2" customFormat="1" ht="12.75" x14ac:dyDescent="0.2">
      <c r="R52095" s="1288"/>
    </row>
    <row r="52096" spans="18:18" s="2" customFormat="1" ht="12.75" x14ac:dyDescent="0.2">
      <c r="R52096" s="1288"/>
    </row>
    <row r="52097" spans="18:18" s="2" customFormat="1" ht="12.75" x14ac:dyDescent="0.2">
      <c r="R52097" s="1288"/>
    </row>
    <row r="52098" spans="18:18" s="2" customFormat="1" ht="12.75" x14ac:dyDescent="0.2">
      <c r="R52098" s="1288"/>
    </row>
    <row r="52099" spans="18:18" s="2" customFormat="1" ht="12.75" x14ac:dyDescent="0.2">
      <c r="R52099" s="1288"/>
    </row>
    <row r="52100" spans="18:18" s="2" customFormat="1" ht="12.75" x14ac:dyDescent="0.2">
      <c r="R52100" s="1288"/>
    </row>
    <row r="52101" spans="18:18" s="2" customFormat="1" ht="12.75" x14ac:dyDescent="0.2">
      <c r="R52101" s="1288"/>
    </row>
    <row r="52102" spans="18:18" s="2" customFormat="1" ht="12.75" x14ac:dyDescent="0.2">
      <c r="R52102" s="1288"/>
    </row>
    <row r="52103" spans="18:18" s="2" customFormat="1" ht="12.75" x14ac:dyDescent="0.2">
      <c r="R52103" s="1288"/>
    </row>
    <row r="52104" spans="18:18" s="2" customFormat="1" ht="12.75" x14ac:dyDescent="0.2">
      <c r="R52104" s="1288"/>
    </row>
    <row r="52105" spans="18:18" s="2" customFormat="1" ht="12.75" x14ac:dyDescent="0.2">
      <c r="R52105" s="1288"/>
    </row>
    <row r="52106" spans="18:18" s="2" customFormat="1" ht="12.75" x14ac:dyDescent="0.2">
      <c r="R52106" s="1288"/>
    </row>
    <row r="52107" spans="18:18" s="2" customFormat="1" ht="12.75" x14ac:dyDescent="0.2">
      <c r="R52107" s="1288"/>
    </row>
    <row r="52108" spans="18:18" s="2" customFormat="1" ht="12.75" x14ac:dyDescent="0.2">
      <c r="R52108" s="1288"/>
    </row>
    <row r="52109" spans="18:18" s="2" customFormat="1" ht="12.75" x14ac:dyDescent="0.2">
      <c r="R52109" s="1288"/>
    </row>
    <row r="52110" spans="18:18" s="2" customFormat="1" ht="12.75" x14ac:dyDescent="0.2">
      <c r="R52110" s="1288"/>
    </row>
    <row r="52111" spans="18:18" s="2" customFormat="1" ht="12.75" x14ac:dyDescent="0.2">
      <c r="R52111" s="1288"/>
    </row>
    <row r="52112" spans="18:18" s="2" customFormat="1" ht="12.75" x14ac:dyDescent="0.2">
      <c r="R52112" s="1288"/>
    </row>
    <row r="52113" spans="18:18" s="2" customFormat="1" ht="12.75" x14ac:dyDescent="0.2">
      <c r="R52113" s="1288"/>
    </row>
    <row r="52114" spans="18:18" s="2" customFormat="1" ht="12.75" x14ac:dyDescent="0.2">
      <c r="R52114" s="1288"/>
    </row>
    <row r="52115" spans="18:18" s="2" customFormat="1" ht="12.75" x14ac:dyDescent="0.2">
      <c r="R52115" s="1288"/>
    </row>
    <row r="52116" spans="18:18" s="2" customFormat="1" ht="12.75" x14ac:dyDescent="0.2">
      <c r="R52116" s="1288"/>
    </row>
    <row r="52117" spans="18:18" s="2" customFormat="1" ht="12.75" x14ac:dyDescent="0.2">
      <c r="R52117" s="1288"/>
    </row>
    <row r="52118" spans="18:18" s="2" customFormat="1" ht="12.75" x14ac:dyDescent="0.2">
      <c r="R52118" s="1288"/>
    </row>
    <row r="52119" spans="18:18" s="2" customFormat="1" ht="12.75" x14ac:dyDescent="0.2">
      <c r="R52119" s="1288"/>
    </row>
    <row r="52120" spans="18:18" s="2" customFormat="1" ht="12.75" x14ac:dyDescent="0.2">
      <c r="R52120" s="1288"/>
    </row>
    <row r="52121" spans="18:18" s="2" customFormat="1" ht="12.75" x14ac:dyDescent="0.2">
      <c r="R52121" s="1288"/>
    </row>
    <row r="52122" spans="18:18" s="2" customFormat="1" ht="12.75" x14ac:dyDescent="0.2">
      <c r="R52122" s="1288"/>
    </row>
    <row r="52123" spans="18:18" s="2" customFormat="1" ht="12.75" x14ac:dyDescent="0.2">
      <c r="R52123" s="1288"/>
    </row>
    <row r="52124" spans="18:18" s="2" customFormat="1" ht="12.75" x14ac:dyDescent="0.2">
      <c r="R52124" s="1288"/>
    </row>
    <row r="52125" spans="18:18" s="2" customFormat="1" ht="12.75" x14ac:dyDescent="0.2">
      <c r="R52125" s="1288"/>
    </row>
    <row r="52126" spans="18:18" s="2" customFormat="1" ht="12.75" x14ac:dyDescent="0.2">
      <c r="R52126" s="1288"/>
    </row>
    <row r="52127" spans="18:18" s="2" customFormat="1" ht="12.75" x14ac:dyDescent="0.2">
      <c r="R52127" s="1288"/>
    </row>
    <row r="52128" spans="18:18" s="2" customFormat="1" ht="12.75" x14ac:dyDescent="0.2">
      <c r="R52128" s="1288"/>
    </row>
    <row r="52129" spans="18:18" s="2" customFormat="1" ht="12.75" x14ac:dyDescent="0.2">
      <c r="R52129" s="1288"/>
    </row>
    <row r="52130" spans="18:18" s="2" customFormat="1" ht="12.75" x14ac:dyDescent="0.2">
      <c r="R52130" s="1288"/>
    </row>
    <row r="52131" spans="18:18" s="2" customFormat="1" ht="12.75" x14ac:dyDescent="0.2">
      <c r="R52131" s="1288"/>
    </row>
    <row r="52132" spans="18:18" s="2" customFormat="1" ht="12.75" x14ac:dyDescent="0.2">
      <c r="R52132" s="1288"/>
    </row>
    <row r="52133" spans="18:18" s="2" customFormat="1" ht="12.75" x14ac:dyDescent="0.2">
      <c r="R52133" s="1288"/>
    </row>
    <row r="52134" spans="18:18" s="2" customFormat="1" ht="12.75" x14ac:dyDescent="0.2">
      <c r="R52134" s="1288"/>
    </row>
    <row r="52135" spans="18:18" s="2" customFormat="1" ht="12.75" x14ac:dyDescent="0.2">
      <c r="R52135" s="1288"/>
    </row>
    <row r="52136" spans="18:18" s="2" customFormat="1" ht="12.75" x14ac:dyDescent="0.2">
      <c r="R52136" s="1288"/>
    </row>
    <row r="52137" spans="18:18" s="2" customFormat="1" ht="12.75" x14ac:dyDescent="0.2">
      <c r="R52137" s="1288"/>
    </row>
    <row r="52138" spans="18:18" s="2" customFormat="1" ht="12.75" x14ac:dyDescent="0.2">
      <c r="R52138" s="1288"/>
    </row>
    <row r="52139" spans="18:18" s="2" customFormat="1" ht="12.75" x14ac:dyDescent="0.2">
      <c r="R52139" s="1288"/>
    </row>
    <row r="52140" spans="18:18" s="2" customFormat="1" ht="12.75" x14ac:dyDescent="0.2">
      <c r="R52140" s="1288"/>
    </row>
    <row r="52141" spans="18:18" s="2" customFormat="1" ht="12.75" x14ac:dyDescent="0.2">
      <c r="R52141" s="1288"/>
    </row>
    <row r="52142" spans="18:18" s="2" customFormat="1" ht="12.75" x14ac:dyDescent="0.2">
      <c r="R52142" s="1288"/>
    </row>
    <row r="52143" spans="18:18" s="2" customFormat="1" ht="12.75" x14ac:dyDescent="0.2">
      <c r="R52143" s="1288"/>
    </row>
    <row r="52144" spans="18:18" s="2" customFormat="1" ht="12.75" x14ac:dyDescent="0.2">
      <c r="R52144" s="1288"/>
    </row>
    <row r="52145" spans="18:18" s="2" customFormat="1" ht="12.75" x14ac:dyDescent="0.2">
      <c r="R52145" s="1288"/>
    </row>
    <row r="52146" spans="18:18" s="2" customFormat="1" ht="12.75" x14ac:dyDescent="0.2">
      <c r="R52146" s="1288"/>
    </row>
    <row r="52147" spans="18:18" s="2" customFormat="1" ht="12.75" x14ac:dyDescent="0.2">
      <c r="R52147" s="1288"/>
    </row>
    <row r="52148" spans="18:18" s="2" customFormat="1" ht="12.75" x14ac:dyDescent="0.2">
      <c r="R52148" s="1288"/>
    </row>
    <row r="52149" spans="18:18" s="2" customFormat="1" ht="12.75" x14ac:dyDescent="0.2">
      <c r="R52149" s="1288"/>
    </row>
    <row r="52150" spans="18:18" s="2" customFormat="1" ht="12.75" x14ac:dyDescent="0.2">
      <c r="R52150" s="1288"/>
    </row>
    <row r="52151" spans="18:18" s="2" customFormat="1" ht="12.75" x14ac:dyDescent="0.2">
      <c r="R52151" s="1288"/>
    </row>
    <row r="52152" spans="18:18" s="2" customFormat="1" ht="12.75" x14ac:dyDescent="0.2">
      <c r="R52152" s="1288"/>
    </row>
    <row r="52153" spans="18:18" s="2" customFormat="1" ht="12.75" x14ac:dyDescent="0.2">
      <c r="R52153" s="1288"/>
    </row>
    <row r="52154" spans="18:18" s="2" customFormat="1" ht="12.75" x14ac:dyDescent="0.2">
      <c r="R52154" s="1288"/>
    </row>
    <row r="52155" spans="18:18" s="2" customFormat="1" ht="12.75" x14ac:dyDescent="0.2">
      <c r="R52155" s="1288"/>
    </row>
    <row r="52156" spans="18:18" s="2" customFormat="1" ht="12.75" x14ac:dyDescent="0.2">
      <c r="R52156" s="1288"/>
    </row>
    <row r="52157" spans="18:18" s="2" customFormat="1" ht="12.75" x14ac:dyDescent="0.2">
      <c r="R52157" s="1288"/>
    </row>
    <row r="52158" spans="18:18" s="2" customFormat="1" ht="12.75" x14ac:dyDescent="0.2">
      <c r="R52158" s="1288"/>
    </row>
    <row r="52159" spans="18:18" s="2" customFormat="1" ht="12.75" x14ac:dyDescent="0.2">
      <c r="R52159" s="1288"/>
    </row>
    <row r="52160" spans="18:18" s="2" customFormat="1" ht="12.75" x14ac:dyDescent="0.2">
      <c r="R52160" s="1288"/>
    </row>
    <row r="52161" spans="18:18" s="2" customFormat="1" ht="12.75" x14ac:dyDescent="0.2">
      <c r="R52161" s="1288"/>
    </row>
    <row r="52162" spans="18:18" s="2" customFormat="1" ht="12.75" x14ac:dyDescent="0.2">
      <c r="R52162" s="1288"/>
    </row>
    <row r="52163" spans="18:18" s="2" customFormat="1" ht="12.75" x14ac:dyDescent="0.2">
      <c r="R52163" s="1288"/>
    </row>
    <row r="52164" spans="18:18" s="2" customFormat="1" ht="12.75" x14ac:dyDescent="0.2">
      <c r="R52164" s="1288"/>
    </row>
    <row r="52165" spans="18:18" s="2" customFormat="1" ht="12.75" x14ac:dyDescent="0.2">
      <c r="R52165" s="1288"/>
    </row>
    <row r="52166" spans="18:18" s="2" customFormat="1" ht="12.75" x14ac:dyDescent="0.2">
      <c r="R52166" s="1288"/>
    </row>
    <row r="52167" spans="18:18" s="2" customFormat="1" ht="12.75" x14ac:dyDescent="0.2">
      <c r="R52167" s="1288"/>
    </row>
    <row r="52168" spans="18:18" s="2" customFormat="1" ht="12.75" x14ac:dyDescent="0.2">
      <c r="R52168" s="1288"/>
    </row>
    <row r="52169" spans="18:18" s="2" customFormat="1" ht="12.75" x14ac:dyDescent="0.2">
      <c r="R52169" s="1288"/>
    </row>
    <row r="52170" spans="18:18" s="2" customFormat="1" ht="12.75" x14ac:dyDescent="0.2">
      <c r="R52170" s="1288"/>
    </row>
    <row r="52171" spans="18:18" s="2" customFormat="1" ht="12.75" x14ac:dyDescent="0.2">
      <c r="R52171" s="1288"/>
    </row>
    <row r="52172" spans="18:18" s="2" customFormat="1" ht="12.75" x14ac:dyDescent="0.2">
      <c r="R52172" s="1288"/>
    </row>
    <row r="52173" spans="18:18" s="2" customFormat="1" ht="12.75" x14ac:dyDescent="0.2">
      <c r="R52173" s="1288"/>
    </row>
    <row r="52174" spans="18:18" s="2" customFormat="1" ht="12.75" x14ac:dyDescent="0.2">
      <c r="R52174" s="1288"/>
    </row>
    <row r="52175" spans="18:18" s="2" customFormat="1" ht="12.75" x14ac:dyDescent="0.2">
      <c r="R52175" s="1288"/>
    </row>
    <row r="52176" spans="18:18" s="2" customFormat="1" ht="12.75" x14ac:dyDescent="0.2">
      <c r="R52176" s="1288"/>
    </row>
    <row r="52177" spans="18:18" s="2" customFormat="1" ht="12.75" x14ac:dyDescent="0.2">
      <c r="R52177" s="1288"/>
    </row>
    <row r="52178" spans="18:18" s="2" customFormat="1" ht="12.75" x14ac:dyDescent="0.2">
      <c r="R52178" s="1288"/>
    </row>
    <row r="52179" spans="18:18" s="2" customFormat="1" ht="12.75" x14ac:dyDescent="0.2">
      <c r="R52179" s="1288"/>
    </row>
    <row r="52180" spans="18:18" s="2" customFormat="1" ht="12.75" x14ac:dyDescent="0.2">
      <c r="R52180" s="1288"/>
    </row>
    <row r="52181" spans="18:18" s="2" customFormat="1" ht="12.75" x14ac:dyDescent="0.2">
      <c r="R52181" s="1288"/>
    </row>
    <row r="52182" spans="18:18" s="2" customFormat="1" ht="12.75" x14ac:dyDescent="0.2">
      <c r="R52182" s="1288"/>
    </row>
    <row r="52183" spans="18:18" s="2" customFormat="1" ht="12.75" x14ac:dyDescent="0.2">
      <c r="R52183" s="1288"/>
    </row>
    <row r="52184" spans="18:18" s="2" customFormat="1" ht="12.75" x14ac:dyDescent="0.2">
      <c r="R52184" s="1288"/>
    </row>
    <row r="52185" spans="18:18" s="2" customFormat="1" ht="12.75" x14ac:dyDescent="0.2">
      <c r="R52185" s="1288"/>
    </row>
    <row r="52186" spans="18:18" s="2" customFormat="1" ht="12.75" x14ac:dyDescent="0.2">
      <c r="R52186" s="1288"/>
    </row>
    <row r="52187" spans="18:18" s="2" customFormat="1" ht="12.75" x14ac:dyDescent="0.2">
      <c r="R52187" s="1288"/>
    </row>
    <row r="52188" spans="18:18" s="2" customFormat="1" ht="12.75" x14ac:dyDescent="0.2">
      <c r="R52188" s="1288"/>
    </row>
    <row r="52189" spans="18:18" s="2" customFormat="1" ht="12.75" x14ac:dyDescent="0.2">
      <c r="R52189" s="1288"/>
    </row>
    <row r="52190" spans="18:18" s="2" customFormat="1" ht="12.75" x14ac:dyDescent="0.2">
      <c r="R52190" s="1288"/>
    </row>
    <row r="52191" spans="18:18" s="2" customFormat="1" ht="12.75" x14ac:dyDescent="0.2">
      <c r="R52191" s="1288"/>
    </row>
    <row r="52192" spans="18:18" s="2" customFormat="1" ht="12.75" x14ac:dyDescent="0.2">
      <c r="R52192" s="1288"/>
    </row>
    <row r="52193" spans="18:18" s="2" customFormat="1" ht="12.75" x14ac:dyDescent="0.2">
      <c r="R52193" s="1288"/>
    </row>
    <row r="52194" spans="18:18" s="2" customFormat="1" ht="12.75" x14ac:dyDescent="0.2">
      <c r="R52194" s="1288"/>
    </row>
    <row r="52195" spans="18:18" s="2" customFormat="1" ht="12.75" x14ac:dyDescent="0.2">
      <c r="R52195" s="1288"/>
    </row>
    <row r="52196" spans="18:18" s="2" customFormat="1" ht="12.75" x14ac:dyDescent="0.2">
      <c r="R52196" s="1288"/>
    </row>
    <row r="52197" spans="18:18" s="2" customFormat="1" ht="12.75" x14ac:dyDescent="0.2">
      <c r="R52197" s="1288"/>
    </row>
    <row r="52198" spans="18:18" s="2" customFormat="1" ht="12.75" x14ac:dyDescent="0.2">
      <c r="R52198" s="1288"/>
    </row>
    <row r="52199" spans="18:18" s="2" customFormat="1" ht="12.75" x14ac:dyDescent="0.2">
      <c r="R52199" s="1288"/>
    </row>
    <row r="52200" spans="18:18" s="2" customFormat="1" ht="12.75" x14ac:dyDescent="0.2">
      <c r="R52200" s="1288"/>
    </row>
    <row r="52201" spans="18:18" s="2" customFormat="1" ht="12.75" x14ac:dyDescent="0.2">
      <c r="R52201" s="1288"/>
    </row>
    <row r="52202" spans="18:18" s="2" customFormat="1" ht="12.75" x14ac:dyDescent="0.2">
      <c r="R52202" s="1288"/>
    </row>
    <row r="52203" spans="18:18" s="2" customFormat="1" ht="12.75" x14ac:dyDescent="0.2">
      <c r="R52203" s="1288"/>
    </row>
    <row r="52204" spans="18:18" s="2" customFormat="1" ht="12.75" x14ac:dyDescent="0.2">
      <c r="R52204" s="1288"/>
    </row>
    <row r="52205" spans="18:18" s="2" customFormat="1" ht="12.75" x14ac:dyDescent="0.2">
      <c r="R52205" s="1288"/>
    </row>
    <row r="52206" spans="18:18" s="2" customFormat="1" ht="12.75" x14ac:dyDescent="0.2">
      <c r="R52206" s="1288"/>
    </row>
    <row r="52207" spans="18:18" s="2" customFormat="1" ht="12.75" x14ac:dyDescent="0.2">
      <c r="R52207" s="1288"/>
    </row>
    <row r="52208" spans="18:18" s="2" customFormat="1" ht="12.75" x14ac:dyDescent="0.2">
      <c r="R52208" s="1288"/>
    </row>
    <row r="52209" spans="18:18" s="2" customFormat="1" ht="12.75" x14ac:dyDescent="0.2">
      <c r="R52209" s="1288"/>
    </row>
    <row r="52210" spans="18:18" s="2" customFormat="1" ht="12.75" x14ac:dyDescent="0.2">
      <c r="R52210" s="1288"/>
    </row>
    <row r="52211" spans="18:18" s="2" customFormat="1" ht="12.75" x14ac:dyDescent="0.2">
      <c r="R52211" s="1288"/>
    </row>
    <row r="52212" spans="18:18" s="2" customFormat="1" ht="12.75" x14ac:dyDescent="0.2">
      <c r="R52212" s="1288"/>
    </row>
    <row r="52213" spans="18:18" s="2" customFormat="1" ht="12.75" x14ac:dyDescent="0.2">
      <c r="R52213" s="1288"/>
    </row>
    <row r="52214" spans="18:18" s="2" customFormat="1" ht="12.75" x14ac:dyDescent="0.2">
      <c r="R52214" s="1288"/>
    </row>
    <row r="52215" spans="18:18" s="2" customFormat="1" ht="12.75" x14ac:dyDescent="0.2">
      <c r="R52215" s="1288"/>
    </row>
    <row r="52216" spans="18:18" s="2" customFormat="1" ht="12.75" x14ac:dyDescent="0.2">
      <c r="R52216" s="1288"/>
    </row>
    <row r="52217" spans="18:18" s="2" customFormat="1" ht="12.75" x14ac:dyDescent="0.2">
      <c r="R52217" s="1288"/>
    </row>
    <row r="52218" spans="18:18" s="2" customFormat="1" ht="12.75" x14ac:dyDescent="0.2">
      <c r="R52218" s="1288"/>
    </row>
    <row r="52219" spans="18:18" s="2" customFormat="1" ht="12.75" x14ac:dyDescent="0.2">
      <c r="R52219" s="1288"/>
    </row>
    <row r="52220" spans="18:18" s="2" customFormat="1" ht="12.75" x14ac:dyDescent="0.2">
      <c r="R52220" s="1288"/>
    </row>
    <row r="52221" spans="18:18" s="2" customFormat="1" ht="12.75" x14ac:dyDescent="0.2">
      <c r="R52221" s="1288"/>
    </row>
    <row r="52222" spans="18:18" s="2" customFormat="1" ht="12.75" x14ac:dyDescent="0.2">
      <c r="R52222" s="1288"/>
    </row>
    <row r="52223" spans="18:18" s="2" customFormat="1" ht="12.75" x14ac:dyDescent="0.2">
      <c r="R52223" s="1288"/>
    </row>
    <row r="52224" spans="18:18" s="2" customFormat="1" ht="12.75" x14ac:dyDescent="0.2">
      <c r="R52224" s="1288"/>
    </row>
    <row r="52225" spans="18:18" s="2" customFormat="1" ht="12.75" x14ac:dyDescent="0.2">
      <c r="R52225" s="1288"/>
    </row>
    <row r="52226" spans="18:18" s="2" customFormat="1" ht="12.75" x14ac:dyDescent="0.2">
      <c r="R52226" s="1288"/>
    </row>
    <row r="52227" spans="18:18" s="2" customFormat="1" ht="12.75" x14ac:dyDescent="0.2">
      <c r="R52227" s="1288"/>
    </row>
    <row r="52228" spans="18:18" s="2" customFormat="1" ht="12.75" x14ac:dyDescent="0.2">
      <c r="R52228" s="1288"/>
    </row>
    <row r="52229" spans="18:18" s="2" customFormat="1" ht="12.75" x14ac:dyDescent="0.2">
      <c r="R52229" s="1288"/>
    </row>
    <row r="52230" spans="18:18" s="2" customFormat="1" ht="12.75" x14ac:dyDescent="0.2">
      <c r="R52230" s="1288"/>
    </row>
    <row r="52231" spans="18:18" s="2" customFormat="1" ht="12.75" x14ac:dyDescent="0.2">
      <c r="R52231" s="1288"/>
    </row>
    <row r="52232" spans="18:18" s="2" customFormat="1" ht="12.75" x14ac:dyDescent="0.2">
      <c r="R52232" s="1288"/>
    </row>
    <row r="52233" spans="18:18" s="2" customFormat="1" ht="12.75" x14ac:dyDescent="0.2">
      <c r="R52233" s="1288"/>
    </row>
    <row r="52234" spans="18:18" s="2" customFormat="1" ht="12.75" x14ac:dyDescent="0.2">
      <c r="R52234" s="1288"/>
    </row>
    <row r="52235" spans="18:18" s="2" customFormat="1" ht="12.75" x14ac:dyDescent="0.2">
      <c r="R52235" s="1288"/>
    </row>
    <row r="52236" spans="18:18" s="2" customFormat="1" ht="12.75" x14ac:dyDescent="0.2">
      <c r="R52236" s="1288"/>
    </row>
    <row r="52237" spans="18:18" s="2" customFormat="1" ht="12.75" x14ac:dyDescent="0.2">
      <c r="R52237" s="1288"/>
    </row>
    <row r="52238" spans="18:18" s="2" customFormat="1" ht="12.75" x14ac:dyDescent="0.2">
      <c r="R52238" s="1288"/>
    </row>
    <row r="52239" spans="18:18" s="2" customFormat="1" ht="12.75" x14ac:dyDescent="0.2">
      <c r="R52239" s="1288"/>
    </row>
    <row r="52240" spans="18:18" s="2" customFormat="1" ht="12.75" x14ac:dyDescent="0.2">
      <c r="R52240" s="1288"/>
    </row>
    <row r="52241" spans="18:18" s="2" customFormat="1" ht="12.75" x14ac:dyDescent="0.2">
      <c r="R52241" s="1288"/>
    </row>
    <row r="52242" spans="18:18" s="2" customFormat="1" ht="12.75" x14ac:dyDescent="0.2">
      <c r="R52242" s="1288"/>
    </row>
    <row r="52243" spans="18:18" s="2" customFormat="1" ht="12.75" x14ac:dyDescent="0.2">
      <c r="R52243" s="1288"/>
    </row>
    <row r="52244" spans="18:18" s="2" customFormat="1" ht="12.75" x14ac:dyDescent="0.2">
      <c r="R52244" s="1288"/>
    </row>
    <row r="52245" spans="18:18" s="2" customFormat="1" ht="12.75" x14ac:dyDescent="0.2">
      <c r="R52245" s="1288"/>
    </row>
    <row r="52246" spans="18:18" s="2" customFormat="1" ht="12.75" x14ac:dyDescent="0.2">
      <c r="R52246" s="1288"/>
    </row>
    <row r="52247" spans="18:18" s="2" customFormat="1" ht="12.75" x14ac:dyDescent="0.2">
      <c r="R52247" s="1288"/>
    </row>
    <row r="52248" spans="18:18" s="2" customFormat="1" ht="12.75" x14ac:dyDescent="0.2">
      <c r="R52248" s="1288"/>
    </row>
    <row r="52249" spans="18:18" s="2" customFormat="1" ht="12.75" x14ac:dyDescent="0.2">
      <c r="R52249" s="1288"/>
    </row>
    <row r="52250" spans="18:18" s="2" customFormat="1" ht="12.75" x14ac:dyDescent="0.2">
      <c r="R52250" s="1288"/>
    </row>
    <row r="52251" spans="18:18" s="2" customFormat="1" ht="12.75" x14ac:dyDescent="0.2">
      <c r="R52251" s="1288"/>
    </row>
    <row r="52252" spans="18:18" s="2" customFormat="1" ht="12.75" x14ac:dyDescent="0.2">
      <c r="R52252" s="1288"/>
    </row>
    <row r="52253" spans="18:18" s="2" customFormat="1" ht="12.75" x14ac:dyDescent="0.2">
      <c r="R52253" s="1288"/>
    </row>
    <row r="52254" spans="18:18" s="2" customFormat="1" ht="12.75" x14ac:dyDescent="0.2">
      <c r="R52254" s="1288"/>
    </row>
    <row r="52255" spans="18:18" s="2" customFormat="1" ht="12.75" x14ac:dyDescent="0.2">
      <c r="R52255" s="1288"/>
    </row>
    <row r="52256" spans="18:18" s="2" customFormat="1" ht="12.75" x14ac:dyDescent="0.2">
      <c r="R52256" s="1288"/>
    </row>
    <row r="52257" spans="18:18" s="2" customFormat="1" ht="12.75" x14ac:dyDescent="0.2">
      <c r="R52257" s="1288"/>
    </row>
    <row r="52258" spans="18:18" s="2" customFormat="1" ht="12.75" x14ac:dyDescent="0.2">
      <c r="R52258" s="1288"/>
    </row>
    <row r="52259" spans="18:18" s="2" customFormat="1" ht="12.75" x14ac:dyDescent="0.2">
      <c r="R52259" s="1288"/>
    </row>
    <row r="52260" spans="18:18" s="2" customFormat="1" ht="12.75" x14ac:dyDescent="0.2">
      <c r="R52260" s="1288"/>
    </row>
    <row r="52261" spans="18:18" s="2" customFormat="1" ht="12.75" x14ac:dyDescent="0.2">
      <c r="R52261" s="1288"/>
    </row>
    <row r="52262" spans="18:18" s="2" customFormat="1" ht="12.75" x14ac:dyDescent="0.2">
      <c r="R52262" s="1288"/>
    </row>
    <row r="52263" spans="18:18" s="2" customFormat="1" ht="12.75" x14ac:dyDescent="0.2">
      <c r="R52263" s="1288"/>
    </row>
    <row r="52264" spans="18:18" s="2" customFormat="1" ht="12.75" x14ac:dyDescent="0.2">
      <c r="R52264" s="1288"/>
    </row>
    <row r="52265" spans="18:18" s="2" customFormat="1" ht="12.75" x14ac:dyDescent="0.2">
      <c r="R52265" s="1288"/>
    </row>
    <row r="52266" spans="18:18" s="2" customFormat="1" ht="12.75" x14ac:dyDescent="0.2">
      <c r="R52266" s="1288"/>
    </row>
    <row r="52267" spans="18:18" s="2" customFormat="1" ht="12.75" x14ac:dyDescent="0.2">
      <c r="R52267" s="1288"/>
    </row>
    <row r="52268" spans="18:18" s="2" customFormat="1" ht="12.75" x14ac:dyDescent="0.2">
      <c r="R52268" s="1288"/>
    </row>
    <row r="52269" spans="18:18" s="2" customFormat="1" ht="12.75" x14ac:dyDescent="0.2">
      <c r="R52269" s="1288"/>
    </row>
    <row r="52270" spans="18:18" s="2" customFormat="1" ht="12.75" x14ac:dyDescent="0.2">
      <c r="R52270" s="1288"/>
    </row>
    <row r="52271" spans="18:18" s="2" customFormat="1" ht="12.75" x14ac:dyDescent="0.2">
      <c r="R52271" s="1288"/>
    </row>
    <row r="52272" spans="18:18" s="2" customFormat="1" ht="12.75" x14ac:dyDescent="0.2">
      <c r="R52272" s="1288"/>
    </row>
    <row r="52273" spans="18:18" s="2" customFormat="1" ht="12.75" x14ac:dyDescent="0.2">
      <c r="R52273" s="1288"/>
    </row>
    <row r="52274" spans="18:18" s="2" customFormat="1" ht="12.75" x14ac:dyDescent="0.2">
      <c r="R52274" s="1288"/>
    </row>
    <row r="52275" spans="18:18" s="2" customFormat="1" ht="12.75" x14ac:dyDescent="0.2">
      <c r="R52275" s="1288"/>
    </row>
    <row r="52276" spans="18:18" s="2" customFormat="1" ht="12.75" x14ac:dyDescent="0.2">
      <c r="R52276" s="1288"/>
    </row>
    <row r="52277" spans="18:18" s="2" customFormat="1" ht="12.75" x14ac:dyDescent="0.2">
      <c r="R52277" s="1288"/>
    </row>
    <row r="52278" spans="18:18" s="2" customFormat="1" ht="12.75" x14ac:dyDescent="0.2">
      <c r="R52278" s="1288"/>
    </row>
    <row r="52279" spans="18:18" s="2" customFormat="1" ht="12.75" x14ac:dyDescent="0.2">
      <c r="R52279" s="1288"/>
    </row>
    <row r="52280" spans="18:18" s="2" customFormat="1" ht="12.75" x14ac:dyDescent="0.2">
      <c r="R52280" s="1288"/>
    </row>
    <row r="52281" spans="18:18" s="2" customFormat="1" ht="12.75" x14ac:dyDescent="0.2">
      <c r="R52281" s="1288"/>
    </row>
    <row r="52282" spans="18:18" s="2" customFormat="1" ht="12.75" x14ac:dyDescent="0.2">
      <c r="R52282" s="1288"/>
    </row>
    <row r="52283" spans="18:18" s="2" customFormat="1" ht="12.75" x14ac:dyDescent="0.2">
      <c r="R52283" s="1288"/>
    </row>
    <row r="52284" spans="18:18" s="2" customFormat="1" ht="12.75" x14ac:dyDescent="0.2">
      <c r="R52284" s="1288"/>
    </row>
    <row r="52285" spans="18:18" s="2" customFormat="1" ht="12.75" x14ac:dyDescent="0.2">
      <c r="R52285" s="1288"/>
    </row>
    <row r="52286" spans="18:18" s="2" customFormat="1" ht="12.75" x14ac:dyDescent="0.2">
      <c r="R52286" s="1288"/>
    </row>
    <row r="52287" spans="18:18" s="2" customFormat="1" ht="12.75" x14ac:dyDescent="0.2">
      <c r="R52287" s="1288"/>
    </row>
    <row r="52288" spans="18:18" s="2" customFormat="1" ht="12.75" x14ac:dyDescent="0.2">
      <c r="R52288" s="1288"/>
    </row>
    <row r="52289" spans="18:18" s="2" customFormat="1" ht="12.75" x14ac:dyDescent="0.2">
      <c r="R52289" s="1288"/>
    </row>
    <row r="52290" spans="18:18" s="2" customFormat="1" ht="12.75" x14ac:dyDescent="0.2">
      <c r="R52290" s="1288"/>
    </row>
    <row r="52291" spans="18:18" s="2" customFormat="1" ht="12.75" x14ac:dyDescent="0.2">
      <c r="R52291" s="1288"/>
    </row>
    <row r="52292" spans="18:18" s="2" customFormat="1" ht="12.75" x14ac:dyDescent="0.2">
      <c r="R52292" s="1288"/>
    </row>
    <row r="52293" spans="18:18" s="2" customFormat="1" ht="12.75" x14ac:dyDescent="0.2">
      <c r="R52293" s="1288"/>
    </row>
    <row r="52294" spans="18:18" s="2" customFormat="1" ht="12.75" x14ac:dyDescent="0.2">
      <c r="R52294" s="1288"/>
    </row>
    <row r="52295" spans="18:18" s="2" customFormat="1" ht="12.75" x14ac:dyDescent="0.2">
      <c r="R52295" s="1288"/>
    </row>
    <row r="52296" spans="18:18" s="2" customFormat="1" ht="12.75" x14ac:dyDescent="0.2">
      <c r="R52296" s="1288"/>
    </row>
    <row r="52297" spans="18:18" s="2" customFormat="1" ht="12.75" x14ac:dyDescent="0.2">
      <c r="R52297" s="1288"/>
    </row>
    <row r="52298" spans="18:18" s="2" customFormat="1" ht="12.75" x14ac:dyDescent="0.2">
      <c r="R52298" s="1288"/>
    </row>
    <row r="52299" spans="18:18" s="2" customFormat="1" ht="12.75" x14ac:dyDescent="0.2">
      <c r="R52299" s="1288"/>
    </row>
    <row r="52300" spans="18:18" s="2" customFormat="1" ht="12.75" x14ac:dyDescent="0.2">
      <c r="R52300" s="1288"/>
    </row>
    <row r="52301" spans="18:18" s="2" customFormat="1" ht="12.75" x14ac:dyDescent="0.2">
      <c r="R52301" s="1288"/>
    </row>
    <row r="52302" spans="18:18" s="2" customFormat="1" ht="12.75" x14ac:dyDescent="0.2">
      <c r="R52302" s="1288"/>
    </row>
    <row r="52303" spans="18:18" s="2" customFormat="1" ht="12.75" x14ac:dyDescent="0.2">
      <c r="R52303" s="1288"/>
    </row>
    <row r="52304" spans="18:18" s="2" customFormat="1" ht="12.75" x14ac:dyDescent="0.2">
      <c r="R52304" s="1288"/>
    </row>
    <row r="52305" spans="18:18" s="2" customFormat="1" ht="12.75" x14ac:dyDescent="0.2">
      <c r="R52305" s="1288"/>
    </row>
    <row r="52306" spans="18:18" s="2" customFormat="1" ht="12.75" x14ac:dyDescent="0.2">
      <c r="R52306" s="1288"/>
    </row>
    <row r="52307" spans="18:18" s="2" customFormat="1" ht="12.75" x14ac:dyDescent="0.2">
      <c r="R52307" s="1288"/>
    </row>
    <row r="52308" spans="18:18" s="2" customFormat="1" ht="12.75" x14ac:dyDescent="0.2">
      <c r="R52308" s="1288"/>
    </row>
    <row r="52309" spans="18:18" s="2" customFormat="1" ht="12.75" x14ac:dyDescent="0.2">
      <c r="R52309" s="1288"/>
    </row>
    <row r="52310" spans="18:18" s="2" customFormat="1" ht="12.75" x14ac:dyDescent="0.2">
      <c r="R52310" s="1288"/>
    </row>
    <row r="52311" spans="18:18" s="2" customFormat="1" ht="12.75" x14ac:dyDescent="0.2">
      <c r="R52311" s="1288"/>
    </row>
    <row r="52312" spans="18:18" s="2" customFormat="1" ht="12.75" x14ac:dyDescent="0.2">
      <c r="R52312" s="1288"/>
    </row>
    <row r="52313" spans="18:18" s="2" customFormat="1" ht="12.75" x14ac:dyDescent="0.2">
      <c r="R52313" s="1288"/>
    </row>
    <row r="52314" spans="18:18" s="2" customFormat="1" ht="12.75" x14ac:dyDescent="0.2">
      <c r="R52314" s="1288"/>
    </row>
    <row r="52315" spans="18:18" s="2" customFormat="1" ht="12.75" x14ac:dyDescent="0.2">
      <c r="R52315" s="1288"/>
    </row>
    <row r="52316" spans="18:18" s="2" customFormat="1" ht="12.75" x14ac:dyDescent="0.2">
      <c r="R52316" s="1288"/>
    </row>
    <row r="52317" spans="18:18" s="2" customFormat="1" ht="12.75" x14ac:dyDescent="0.2">
      <c r="R52317" s="1288"/>
    </row>
    <row r="52318" spans="18:18" s="2" customFormat="1" ht="12.75" x14ac:dyDescent="0.2">
      <c r="R52318" s="1288"/>
    </row>
    <row r="52319" spans="18:18" s="2" customFormat="1" ht="12.75" x14ac:dyDescent="0.2">
      <c r="R52319" s="1288"/>
    </row>
    <row r="52320" spans="18:18" s="2" customFormat="1" ht="12.75" x14ac:dyDescent="0.2">
      <c r="R52320" s="1288"/>
    </row>
    <row r="52321" spans="18:18" s="2" customFormat="1" ht="12.75" x14ac:dyDescent="0.2">
      <c r="R52321" s="1288"/>
    </row>
    <row r="52322" spans="18:18" s="2" customFormat="1" ht="12.75" x14ac:dyDescent="0.2">
      <c r="R52322" s="1288"/>
    </row>
    <row r="52323" spans="18:18" s="2" customFormat="1" ht="12.75" x14ac:dyDescent="0.2">
      <c r="R52323" s="1288"/>
    </row>
    <row r="52324" spans="18:18" s="2" customFormat="1" ht="12.75" x14ac:dyDescent="0.2">
      <c r="R52324" s="1288"/>
    </row>
    <row r="52325" spans="18:18" s="2" customFormat="1" ht="12.75" x14ac:dyDescent="0.2">
      <c r="R52325" s="1288"/>
    </row>
    <row r="52326" spans="18:18" s="2" customFormat="1" ht="12.75" x14ac:dyDescent="0.2">
      <c r="R52326" s="1288"/>
    </row>
    <row r="52327" spans="18:18" s="2" customFormat="1" ht="12.75" x14ac:dyDescent="0.2">
      <c r="R52327" s="1288"/>
    </row>
    <row r="52328" spans="18:18" s="2" customFormat="1" ht="12.75" x14ac:dyDescent="0.2">
      <c r="R52328" s="1288"/>
    </row>
    <row r="52329" spans="18:18" s="2" customFormat="1" ht="12.75" x14ac:dyDescent="0.2">
      <c r="R52329" s="1288"/>
    </row>
    <row r="52330" spans="18:18" s="2" customFormat="1" ht="12.75" x14ac:dyDescent="0.2">
      <c r="R52330" s="1288"/>
    </row>
    <row r="52331" spans="18:18" s="2" customFormat="1" ht="12.75" x14ac:dyDescent="0.2">
      <c r="R52331" s="1288"/>
    </row>
    <row r="52332" spans="18:18" s="2" customFormat="1" ht="12.75" x14ac:dyDescent="0.2">
      <c r="R52332" s="1288"/>
    </row>
    <row r="52333" spans="18:18" s="2" customFormat="1" ht="12.75" x14ac:dyDescent="0.2">
      <c r="R52333" s="1288"/>
    </row>
    <row r="52334" spans="18:18" s="2" customFormat="1" ht="12.75" x14ac:dyDescent="0.2">
      <c r="R52334" s="1288"/>
    </row>
    <row r="52335" spans="18:18" s="2" customFormat="1" ht="12.75" x14ac:dyDescent="0.2">
      <c r="R52335" s="1288"/>
    </row>
    <row r="52336" spans="18:18" s="2" customFormat="1" ht="12.75" x14ac:dyDescent="0.2">
      <c r="R52336" s="1288"/>
    </row>
    <row r="52337" spans="18:18" s="2" customFormat="1" ht="12.75" x14ac:dyDescent="0.2">
      <c r="R52337" s="1288"/>
    </row>
    <row r="52338" spans="18:18" s="2" customFormat="1" ht="12.75" x14ac:dyDescent="0.2">
      <c r="R52338" s="1288"/>
    </row>
    <row r="52339" spans="18:18" s="2" customFormat="1" ht="12.75" x14ac:dyDescent="0.2">
      <c r="R52339" s="1288"/>
    </row>
    <row r="52340" spans="18:18" s="2" customFormat="1" ht="12.75" x14ac:dyDescent="0.2">
      <c r="R52340" s="1288"/>
    </row>
    <row r="52341" spans="18:18" s="2" customFormat="1" ht="12.75" x14ac:dyDescent="0.2">
      <c r="R52341" s="1288"/>
    </row>
    <row r="52342" spans="18:18" s="2" customFormat="1" ht="12.75" x14ac:dyDescent="0.2">
      <c r="R52342" s="1288"/>
    </row>
    <row r="52343" spans="18:18" s="2" customFormat="1" ht="12.75" x14ac:dyDescent="0.2">
      <c r="R52343" s="1288"/>
    </row>
    <row r="52344" spans="18:18" s="2" customFormat="1" ht="12.75" x14ac:dyDescent="0.2">
      <c r="R52344" s="1288"/>
    </row>
    <row r="52345" spans="18:18" s="2" customFormat="1" ht="12.75" x14ac:dyDescent="0.2">
      <c r="R52345" s="1288"/>
    </row>
    <row r="52346" spans="18:18" s="2" customFormat="1" ht="12.75" x14ac:dyDescent="0.2">
      <c r="R52346" s="1288"/>
    </row>
    <row r="52347" spans="18:18" s="2" customFormat="1" ht="12.75" x14ac:dyDescent="0.2">
      <c r="R52347" s="1288"/>
    </row>
    <row r="52348" spans="18:18" s="2" customFormat="1" ht="12.75" x14ac:dyDescent="0.2">
      <c r="R52348" s="1288"/>
    </row>
    <row r="52349" spans="18:18" s="2" customFormat="1" ht="12.75" x14ac:dyDescent="0.2">
      <c r="R52349" s="1288"/>
    </row>
    <row r="52350" spans="18:18" s="2" customFormat="1" ht="12.75" x14ac:dyDescent="0.2">
      <c r="R52350" s="1288"/>
    </row>
    <row r="52351" spans="18:18" s="2" customFormat="1" ht="12.75" x14ac:dyDescent="0.2">
      <c r="R52351" s="1288"/>
    </row>
    <row r="52352" spans="18:18" s="2" customFormat="1" ht="12.75" x14ac:dyDescent="0.2">
      <c r="R52352" s="1288"/>
    </row>
    <row r="52353" spans="18:18" s="2" customFormat="1" ht="12.75" x14ac:dyDescent="0.2">
      <c r="R52353" s="1288"/>
    </row>
    <row r="52354" spans="18:18" s="2" customFormat="1" ht="12.75" x14ac:dyDescent="0.2">
      <c r="R52354" s="1288"/>
    </row>
    <row r="52355" spans="18:18" s="2" customFormat="1" ht="12.75" x14ac:dyDescent="0.2">
      <c r="R52355" s="1288"/>
    </row>
    <row r="52356" spans="18:18" s="2" customFormat="1" ht="12.75" x14ac:dyDescent="0.2">
      <c r="R52356" s="1288"/>
    </row>
    <row r="52357" spans="18:18" s="2" customFormat="1" ht="12.75" x14ac:dyDescent="0.2">
      <c r="R52357" s="1288"/>
    </row>
    <row r="52358" spans="18:18" s="2" customFormat="1" ht="12.75" x14ac:dyDescent="0.2">
      <c r="R52358" s="1288"/>
    </row>
    <row r="52359" spans="18:18" s="2" customFormat="1" ht="12.75" x14ac:dyDescent="0.2">
      <c r="R52359" s="1288"/>
    </row>
    <row r="52360" spans="18:18" s="2" customFormat="1" ht="12.75" x14ac:dyDescent="0.2">
      <c r="R52360" s="1288"/>
    </row>
    <row r="52361" spans="18:18" s="2" customFormat="1" ht="12.75" x14ac:dyDescent="0.2">
      <c r="R52361" s="1288"/>
    </row>
    <row r="52362" spans="18:18" s="2" customFormat="1" ht="12.75" x14ac:dyDescent="0.2">
      <c r="R52362" s="1288"/>
    </row>
    <row r="52363" spans="18:18" s="2" customFormat="1" ht="12.75" x14ac:dyDescent="0.2">
      <c r="R52363" s="1288"/>
    </row>
    <row r="52364" spans="18:18" s="2" customFormat="1" ht="12.75" x14ac:dyDescent="0.2">
      <c r="R52364" s="1288"/>
    </row>
    <row r="52365" spans="18:18" s="2" customFormat="1" ht="12.75" x14ac:dyDescent="0.2">
      <c r="R52365" s="1288"/>
    </row>
    <row r="52366" spans="18:18" s="2" customFormat="1" ht="12.75" x14ac:dyDescent="0.2">
      <c r="R52366" s="1288"/>
    </row>
    <row r="52367" spans="18:18" s="2" customFormat="1" ht="12.75" x14ac:dyDescent="0.2">
      <c r="R52367" s="1288"/>
    </row>
    <row r="52368" spans="18:18" s="2" customFormat="1" ht="12.75" x14ac:dyDescent="0.2">
      <c r="R52368" s="1288"/>
    </row>
    <row r="52369" spans="18:18" s="2" customFormat="1" ht="12.75" x14ac:dyDescent="0.2">
      <c r="R52369" s="1288"/>
    </row>
    <row r="52370" spans="18:18" s="2" customFormat="1" ht="12.75" x14ac:dyDescent="0.2">
      <c r="R52370" s="1288"/>
    </row>
    <row r="52371" spans="18:18" s="2" customFormat="1" ht="12.75" x14ac:dyDescent="0.2">
      <c r="R52371" s="1288"/>
    </row>
    <row r="52372" spans="18:18" s="2" customFormat="1" ht="12.75" x14ac:dyDescent="0.2">
      <c r="R52372" s="1288"/>
    </row>
    <row r="52373" spans="18:18" s="2" customFormat="1" ht="12.75" x14ac:dyDescent="0.2">
      <c r="R52373" s="1288"/>
    </row>
    <row r="52374" spans="18:18" s="2" customFormat="1" ht="12.75" x14ac:dyDescent="0.2">
      <c r="R52374" s="1288"/>
    </row>
    <row r="52375" spans="18:18" s="2" customFormat="1" ht="12.75" x14ac:dyDescent="0.2">
      <c r="R52375" s="1288"/>
    </row>
    <row r="52376" spans="18:18" s="2" customFormat="1" ht="12.75" x14ac:dyDescent="0.2">
      <c r="R52376" s="1288"/>
    </row>
    <row r="52377" spans="18:18" s="2" customFormat="1" ht="12.75" x14ac:dyDescent="0.2">
      <c r="R52377" s="1288"/>
    </row>
    <row r="52378" spans="18:18" s="2" customFormat="1" ht="12.75" x14ac:dyDescent="0.2">
      <c r="R52378" s="1288"/>
    </row>
    <row r="52379" spans="18:18" s="2" customFormat="1" ht="12.75" x14ac:dyDescent="0.2">
      <c r="R52379" s="1288"/>
    </row>
    <row r="52380" spans="18:18" s="2" customFormat="1" ht="12.75" x14ac:dyDescent="0.2">
      <c r="R52380" s="1288"/>
    </row>
    <row r="52381" spans="18:18" s="2" customFormat="1" ht="12.75" x14ac:dyDescent="0.2">
      <c r="R52381" s="1288"/>
    </row>
    <row r="52382" spans="18:18" s="2" customFormat="1" ht="12.75" x14ac:dyDescent="0.2">
      <c r="R52382" s="1288"/>
    </row>
    <row r="52383" spans="18:18" s="2" customFormat="1" ht="12.75" x14ac:dyDescent="0.2">
      <c r="R52383" s="1288"/>
    </row>
    <row r="52384" spans="18:18" s="2" customFormat="1" ht="12.75" x14ac:dyDescent="0.2">
      <c r="R52384" s="1288"/>
    </row>
    <row r="52385" spans="18:18" s="2" customFormat="1" ht="12.75" x14ac:dyDescent="0.2">
      <c r="R52385" s="1288"/>
    </row>
    <row r="52386" spans="18:18" s="2" customFormat="1" ht="12.75" x14ac:dyDescent="0.2">
      <c r="R52386" s="1288"/>
    </row>
    <row r="52387" spans="18:18" s="2" customFormat="1" ht="12.75" x14ac:dyDescent="0.2">
      <c r="R52387" s="1288"/>
    </row>
    <row r="52388" spans="18:18" s="2" customFormat="1" ht="12.75" x14ac:dyDescent="0.2">
      <c r="R52388" s="1288"/>
    </row>
    <row r="52389" spans="18:18" s="2" customFormat="1" ht="12.75" x14ac:dyDescent="0.2">
      <c r="R52389" s="1288"/>
    </row>
    <row r="52390" spans="18:18" s="2" customFormat="1" ht="12.75" x14ac:dyDescent="0.2">
      <c r="R52390" s="1288"/>
    </row>
    <row r="52391" spans="18:18" s="2" customFormat="1" ht="12.75" x14ac:dyDescent="0.2">
      <c r="R52391" s="1288"/>
    </row>
    <row r="52392" spans="18:18" s="2" customFormat="1" ht="12.75" x14ac:dyDescent="0.2">
      <c r="R52392" s="1288"/>
    </row>
    <row r="52393" spans="18:18" s="2" customFormat="1" ht="12.75" x14ac:dyDescent="0.2">
      <c r="R52393" s="1288"/>
    </row>
    <row r="52394" spans="18:18" s="2" customFormat="1" ht="12.75" x14ac:dyDescent="0.2">
      <c r="R52394" s="1288"/>
    </row>
    <row r="52395" spans="18:18" s="2" customFormat="1" ht="12.75" x14ac:dyDescent="0.2">
      <c r="R52395" s="1288"/>
    </row>
    <row r="52396" spans="18:18" s="2" customFormat="1" ht="12.75" x14ac:dyDescent="0.2">
      <c r="R52396" s="1288"/>
    </row>
    <row r="52397" spans="18:18" s="2" customFormat="1" ht="12.75" x14ac:dyDescent="0.2">
      <c r="R52397" s="1288"/>
    </row>
    <row r="52398" spans="18:18" s="2" customFormat="1" ht="12.75" x14ac:dyDescent="0.2">
      <c r="R52398" s="1288"/>
    </row>
    <row r="52399" spans="18:18" s="2" customFormat="1" ht="12.75" x14ac:dyDescent="0.2">
      <c r="R52399" s="1288"/>
    </row>
    <row r="52400" spans="18:18" s="2" customFormat="1" ht="12.75" x14ac:dyDescent="0.2">
      <c r="R52400" s="1288"/>
    </row>
    <row r="52401" spans="18:18" s="2" customFormat="1" ht="12.75" x14ac:dyDescent="0.2">
      <c r="R52401" s="1288"/>
    </row>
    <row r="52402" spans="18:18" s="2" customFormat="1" ht="12.75" x14ac:dyDescent="0.2">
      <c r="R52402" s="1288"/>
    </row>
    <row r="52403" spans="18:18" s="2" customFormat="1" ht="12.75" x14ac:dyDescent="0.2">
      <c r="R52403" s="1288"/>
    </row>
    <row r="52404" spans="18:18" s="2" customFormat="1" ht="12.75" x14ac:dyDescent="0.2">
      <c r="R52404" s="1288"/>
    </row>
    <row r="52405" spans="18:18" s="2" customFormat="1" ht="12.75" x14ac:dyDescent="0.2">
      <c r="R52405" s="1288"/>
    </row>
    <row r="52406" spans="18:18" s="2" customFormat="1" ht="12.75" x14ac:dyDescent="0.2">
      <c r="R52406" s="1288"/>
    </row>
    <row r="52407" spans="18:18" s="2" customFormat="1" ht="12.75" x14ac:dyDescent="0.2">
      <c r="R52407" s="1288"/>
    </row>
    <row r="52408" spans="18:18" s="2" customFormat="1" ht="12.75" x14ac:dyDescent="0.2">
      <c r="R52408" s="1288"/>
    </row>
    <row r="52409" spans="18:18" s="2" customFormat="1" ht="12.75" x14ac:dyDescent="0.2">
      <c r="R52409" s="1288"/>
    </row>
    <row r="52410" spans="18:18" s="2" customFormat="1" ht="12.75" x14ac:dyDescent="0.2">
      <c r="R52410" s="1288"/>
    </row>
    <row r="52411" spans="18:18" s="2" customFormat="1" ht="12.75" x14ac:dyDescent="0.2">
      <c r="R52411" s="1288"/>
    </row>
    <row r="52412" spans="18:18" s="2" customFormat="1" ht="12.75" x14ac:dyDescent="0.2">
      <c r="R52412" s="1288"/>
    </row>
    <row r="52413" spans="18:18" s="2" customFormat="1" ht="12.75" x14ac:dyDescent="0.2">
      <c r="R52413" s="1288"/>
    </row>
    <row r="52414" spans="18:18" s="2" customFormat="1" ht="12.75" x14ac:dyDescent="0.2">
      <c r="R52414" s="1288"/>
    </row>
    <row r="52415" spans="18:18" s="2" customFormat="1" ht="12.75" x14ac:dyDescent="0.2">
      <c r="R52415" s="1288"/>
    </row>
    <row r="52416" spans="18:18" s="2" customFormat="1" ht="12.75" x14ac:dyDescent="0.2">
      <c r="R52416" s="1288"/>
    </row>
    <row r="52417" spans="18:18" s="2" customFormat="1" ht="12.75" x14ac:dyDescent="0.2">
      <c r="R52417" s="1288"/>
    </row>
    <row r="52418" spans="18:18" s="2" customFormat="1" ht="12.75" x14ac:dyDescent="0.2">
      <c r="R52418" s="1288"/>
    </row>
    <row r="52419" spans="18:18" s="2" customFormat="1" ht="12.75" x14ac:dyDescent="0.2">
      <c r="R52419" s="1288"/>
    </row>
    <row r="52420" spans="18:18" s="2" customFormat="1" ht="12.75" x14ac:dyDescent="0.2">
      <c r="R52420" s="1288"/>
    </row>
    <row r="52421" spans="18:18" s="2" customFormat="1" ht="12.75" x14ac:dyDescent="0.2">
      <c r="R52421" s="1288"/>
    </row>
    <row r="52422" spans="18:18" s="2" customFormat="1" ht="12.75" x14ac:dyDescent="0.2">
      <c r="R52422" s="1288"/>
    </row>
    <row r="52423" spans="18:18" s="2" customFormat="1" ht="12.75" x14ac:dyDescent="0.2">
      <c r="R52423" s="1288"/>
    </row>
    <row r="52424" spans="18:18" s="2" customFormat="1" ht="12.75" x14ac:dyDescent="0.2">
      <c r="R52424" s="1288"/>
    </row>
    <row r="52425" spans="18:18" s="2" customFormat="1" ht="12.75" x14ac:dyDescent="0.2">
      <c r="R52425" s="1288"/>
    </row>
    <row r="52426" spans="18:18" s="2" customFormat="1" ht="12.75" x14ac:dyDescent="0.2">
      <c r="R52426" s="1288"/>
    </row>
    <row r="52427" spans="18:18" s="2" customFormat="1" ht="12.75" x14ac:dyDescent="0.2">
      <c r="R52427" s="1288"/>
    </row>
    <row r="52428" spans="18:18" s="2" customFormat="1" ht="12.75" x14ac:dyDescent="0.2">
      <c r="R52428" s="1288"/>
    </row>
    <row r="52429" spans="18:18" s="2" customFormat="1" ht="12.75" x14ac:dyDescent="0.2">
      <c r="R52429" s="1288"/>
    </row>
    <row r="52430" spans="18:18" s="2" customFormat="1" ht="12.75" x14ac:dyDescent="0.2">
      <c r="R52430" s="1288"/>
    </row>
    <row r="52431" spans="18:18" s="2" customFormat="1" ht="12.75" x14ac:dyDescent="0.2">
      <c r="R52431" s="1288"/>
    </row>
    <row r="52432" spans="18:18" s="2" customFormat="1" ht="12.75" x14ac:dyDescent="0.2">
      <c r="R52432" s="1288"/>
    </row>
    <row r="52433" spans="18:18" s="2" customFormat="1" ht="12.75" x14ac:dyDescent="0.2">
      <c r="R52433" s="1288"/>
    </row>
    <row r="52434" spans="18:18" s="2" customFormat="1" ht="12.75" x14ac:dyDescent="0.2">
      <c r="R52434" s="1288"/>
    </row>
    <row r="52435" spans="18:18" s="2" customFormat="1" ht="12.75" x14ac:dyDescent="0.2">
      <c r="R52435" s="1288"/>
    </row>
    <row r="52436" spans="18:18" s="2" customFormat="1" ht="12.75" x14ac:dyDescent="0.2">
      <c r="R52436" s="1288"/>
    </row>
    <row r="52437" spans="18:18" s="2" customFormat="1" ht="12.75" x14ac:dyDescent="0.2">
      <c r="R52437" s="1288"/>
    </row>
    <row r="52438" spans="18:18" s="2" customFormat="1" ht="12.75" x14ac:dyDescent="0.2">
      <c r="R52438" s="1288"/>
    </row>
    <row r="52439" spans="18:18" s="2" customFormat="1" ht="12.75" x14ac:dyDescent="0.2">
      <c r="R52439" s="1288"/>
    </row>
    <row r="52440" spans="18:18" s="2" customFormat="1" ht="12.75" x14ac:dyDescent="0.2">
      <c r="R52440" s="1288"/>
    </row>
    <row r="52441" spans="18:18" s="2" customFormat="1" ht="12.75" x14ac:dyDescent="0.2">
      <c r="R52441" s="1288"/>
    </row>
    <row r="52442" spans="18:18" s="2" customFormat="1" ht="12.75" x14ac:dyDescent="0.2">
      <c r="R52442" s="1288"/>
    </row>
    <row r="52443" spans="18:18" s="2" customFormat="1" ht="12.75" x14ac:dyDescent="0.2">
      <c r="R52443" s="1288"/>
    </row>
    <row r="52444" spans="18:18" s="2" customFormat="1" ht="12.75" x14ac:dyDescent="0.2">
      <c r="R52444" s="1288"/>
    </row>
    <row r="52445" spans="18:18" s="2" customFormat="1" ht="12.75" x14ac:dyDescent="0.2">
      <c r="R52445" s="1288"/>
    </row>
    <row r="52446" spans="18:18" s="2" customFormat="1" ht="12.75" x14ac:dyDescent="0.2">
      <c r="R52446" s="1288"/>
    </row>
    <row r="52447" spans="18:18" s="2" customFormat="1" ht="12.75" x14ac:dyDescent="0.2">
      <c r="R52447" s="1288"/>
    </row>
    <row r="52448" spans="18:18" s="2" customFormat="1" ht="12.75" x14ac:dyDescent="0.2">
      <c r="R52448" s="1288"/>
    </row>
    <row r="52449" spans="18:18" s="2" customFormat="1" ht="12.75" x14ac:dyDescent="0.2">
      <c r="R52449" s="1288"/>
    </row>
    <row r="52450" spans="18:18" s="2" customFormat="1" ht="12.75" x14ac:dyDescent="0.2">
      <c r="R52450" s="1288"/>
    </row>
    <row r="52451" spans="18:18" s="2" customFormat="1" ht="12.75" x14ac:dyDescent="0.2">
      <c r="R52451" s="1288"/>
    </row>
    <row r="52452" spans="18:18" s="2" customFormat="1" ht="12.75" x14ac:dyDescent="0.2">
      <c r="R52452" s="1288"/>
    </row>
    <row r="52453" spans="18:18" s="2" customFormat="1" ht="12.75" x14ac:dyDescent="0.2">
      <c r="R52453" s="1288"/>
    </row>
    <row r="52454" spans="18:18" s="2" customFormat="1" ht="12.75" x14ac:dyDescent="0.2">
      <c r="R52454" s="1288"/>
    </row>
    <row r="52455" spans="18:18" s="2" customFormat="1" ht="12.75" x14ac:dyDescent="0.2">
      <c r="R52455" s="1288"/>
    </row>
    <row r="52456" spans="18:18" s="2" customFormat="1" ht="12.75" x14ac:dyDescent="0.2">
      <c r="R52456" s="1288"/>
    </row>
    <row r="52457" spans="18:18" s="2" customFormat="1" ht="12.75" x14ac:dyDescent="0.2">
      <c r="R52457" s="1288"/>
    </row>
    <row r="52458" spans="18:18" s="2" customFormat="1" ht="12.75" x14ac:dyDescent="0.2">
      <c r="R52458" s="1288"/>
    </row>
    <row r="52459" spans="18:18" s="2" customFormat="1" ht="12.75" x14ac:dyDescent="0.2">
      <c r="R52459" s="1288"/>
    </row>
    <row r="52460" spans="18:18" s="2" customFormat="1" ht="12.75" x14ac:dyDescent="0.2">
      <c r="R52460" s="1288"/>
    </row>
    <row r="52461" spans="18:18" s="2" customFormat="1" ht="12.75" x14ac:dyDescent="0.2">
      <c r="R52461" s="1288"/>
    </row>
    <row r="52462" spans="18:18" s="2" customFormat="1" ht="12.75" x14ac:dyDescent="0.2">
      <c r="R52462" s="1288"/>
    </row>
    <row r="52463" spans="18:18" s="2" customFormat="1" ht="12.75" x14ac:dyDescent="0.2">
      <c r="R52463" s="1288"/>
    </row>
    <row r="52464" spans="18:18" s="2" customFormat="1" ht="12.75" x14ac:dyDescent="0.2">
      <c r="R52464" s="1288"/>
    </row>
    <row r="52465" spans="18:18" s="2" customFormat="1" ht="12.75" x14ac:dyDescent="0.2">
      <c r="R52465" s="1288"/>
    </row>
    <row r="52466" spans="18:18" s="2" customFormat="1" ht="12.75" x14ac:dyDescent="0.2">
      <c r="R52466" s="1288"/>
    </row>
    <row r="52467" spans="18:18" s="2" customFormat="1" ht="12.75" x14ac:dyDescent="0.2">
      <c r="R52467" s="1288"/>
    </row>
    <row r="52468" spans="18:18" s="2" customFormat="1" ht="12.75" x14ac:dyDescent="0.2">
      <c r="R52468" s="1288"/>
    </row>
    <row r="52469" spans="18:18" s="2" customFormat="1" ht="12.75" x14ac:dyDescent="0.2">
      <c r="R52469" s="1288"/>
    </row>
    <row r="52470" spans="18:18" s="2" customFormat="1" ht="12.75" x14ac:dyDescent="0.2">
      <c r="R52470" s="1288"/>
    </row>
    <row r="52471" spans="18:18" s="2" customFormat="1" ht="12.75" x14ac:dyDescent="0.2">
      <c r="R52471" s="1288"/>
    </row>
    <row r="52472" spans="18:18" s="2" customFormat="1" ht="12.75" x14ac:dyDescent="0.2">
      <c r="R52472" s="1288"/>
    </row>
    <row r="52473" spans="18:18" s="2" customFormat="1" ht="12.75" x14ac:dyDescent="0.2">
      <c r="R52473" s="1288"/>
    </row>
    <row r="52474" spans="18:18" s="2" customFormat="1" ht="12.75" x14ac:dyDescent="0.2">
      <c r="R52474" s="1288"/>
    </row>
    <row r="52475" spans="18:18" s="2" customFormat="1" ht="12.75" x14ac:dyDescent="0.2">
      <c r="R52475" s="1288"/>
    </row>
    <row r="52476" spans="18:18" s="2" customFormat="1" ht="12.75" x14ac:dyDescent="0.2">
      <c r="R52476" s="1288"/>
    </row>
    <row r="52477" spans="18:18" s="2" customFormat="1" ht="12.75" x14ac:dyDescent="0.2">
      <c r="R52477" s="1288"/>
    </row>
    <row r="52478" spans="18:18" s="2" customFormat="1" ht="12.75" x14ac:dyDescent="0.2">
      <c r="R52478" s="1288"/>
    </row>
    <row r="52479" spans="18:18" s="2" customFormat="1" ht="12.75" x14ac:dyDescent="0.2">
      <c r="R52479" s="1288"/>
    </row>
    <row r="52480" spans="18:18" s="2" customFormat="1" ht="12.75" x14ac:dyDescent="0.2">
      <c r="R52480" s="1288"/>
    </row>
    <row r="52481" spans="18:18" s="2" customFormat="1" ht="12.75" x14ac:dyDescent="0.2">
      <c r="R52481" s="1288"/>
    </row>
    <row r="52482" spans="18:18" s="2" customFormat="1" ht="12.75" x14ac:dyDescent="0.2">
      <c r="R52482" s="1288"/>
    </row>
    <row r="52483" spans="18:18" s="2" customFormat="1" ht="12.75" x14ac:dyDescent="0.2">
      <c r="R52483" s="1288"/>
    </row>
    <row r="52484" spans="18:18" s="2" customFormat="1" ht="12.75" x14ac:dyDescent="0.2">
      <c r="R52484" s="1288"/>
    </row>
    <row r="52485" spans="18:18" s="2" customFormat="1" ht="12.75" x14ac:dyDescent="0.2">
      <c r="R52485" s="1288"/>
    </row>
    <row r="52486" spans="18:18" s="2" customFormat="1" ht="12.75" x14ac:dyDescent="0.2">
      <c r="R52486" s="1288"/>
    </row>
    <row r="52487" spans="18:18" s="2" customFormat="1" ht="12.75" x14ac:dyDescent="0.2">
      <c r="R52487" s="1288"/>
    </row>
    <row r="52488" spans="18:18" s="2" customFormat="1" ht="12.75" x14ac:dyDescent="0.2">
      <c r="R52488" s="1288"/>
    </row>
    <row r="52489" spans="18:18" s="2" customFormat="1" ht="12.75" x14ac:dyDescent="0.2">
      <c r="R52489" s="1288"/>
    </row>
    <row r="52490" spans="18:18" s="2" customFormat="1" ht="12.75" x14ac:dyDescent="0.2">
      <c r="R52490" s="1288"/>
    </row>
    <row r="52491" spans="18:18" s="2" customFormat="1" ht="12.75" x14ac:dyDescent="0.2">
      <c r="R52491" s="1288"/>
    </row>
    <row r="52492" spans="18:18" s="2" customFormat="1" ht="12.75" x14ac:dyDescent="0.2">
      <c r="R52492" s="1288"/>
    </row>
    <row r="52493" spans="18:18" s="2" customFormat="1" ht="12.75" x14ac:dyDescent="0.2">
      <c r="R52493" s="1288"/>
    </row>
    <row r="52494" spans="18:18" s="2" customFormat="1" ht="12.75" x14ac:dyDescent="0.2">
      <c r="R52494" s="1288"/>
    </row>
    <row r="52495" spans="18:18" s="2" customFormat="1" ht="12.75" x14ac:dyDescent="0.2">
      <c r="R52495" s="1288"/>
    </row>
    <row r="52496" spans="18:18" s="2" customFormat="1" ht="12.75" x14ac:dyDescent="0.2">
      <c r="R52496" s="1288"/>
    </row>
    <row r="52497" spans="18:18" s="2" customFormat="1" ht="12.75" x14ac:dyDescent="0.2">
      <c r="R52497" s="1288"/>
    </row>
    <row r="52498" spans="18:18" s="2" customFormat="1" ht="12.75" x14ac:dyDescent="0.2">
      <c r="R52498" s="1288"/>
    </row>
    <row r="52499" spans="18:18" s="2" customFormat="1" ht="12.75" x14ac:dyDescent="0.2">
      <c r="R52499" s="1288"/>
    </row>
    <row r="52500" spans="18:18" s="2" customFormat="1" ht="12.75" x14ac:dyDescent="0.2">
      <c r="R52500" s="1288"/>
    </row>
    <row r="52501" spans="18:18" s="2" customFormat="1" ht="12.75" x14ac:dyDescent="0.2">
      <c r="R52501" s="1288"/>
    </row>
    <row r="52502" spans="18:18" s="2" customFormat="1" ht="12.75" x14ac:dyDescent="0.2">
      <c r="R52502" s="1288"/>
    </row>
    <row r="52503" spans="18:18" s="2" customFormat="1" ht="12.75" x14ac:dyDescent="0.2">
      <c r="R52503" s="1288"/>
    </row>
    <row r="52504" spans="18:18" s="2" customFormat="1" ht="12.75" x14ac:dyDescent="0.2">
      <c r="R52504" s="1288"/>
    </row>
    <row r="52505" spans="18:18" s="2" customFormat="1" ht="12.75" x14ac:dyDescent="0.2">
      <c r="R52505" s="1288"/>
    </row>
    <row r="52506" spans="18:18" s="2" customFormat="1" ht="12.75" x14ac:dyDescent="0.2">
      <c r="R52506" s="1288"/>
    </row>
    <row r="52507" spans="18:18" s="2" customFormat="1" ht="12.75" x14ac:dyDescent="0.2">
      <c r="R52507" s="1288"/>
    </row>
    <row r="52508" spans="18:18" s="2" customFormat="1" ht="12.75" x14ac:dyDescent="0.2">
      <c r="R52508" s="1288"/>
    </row>
    <row r="52509" spans="18:18" s="2" customFormat="1" ht="12.75" x14ac:dyDescent="0.2">
      <c r="R52509" s="1288"/>
    </row>
    <row r="52510" spans="18:18" s="2" customFormat="1" ht="12.75" x14ac:dyDescent="0.2">
      <c r="R52510" s="1288"/>
    </row>
    <row r="52511" spans="18:18" s="2" customFormat="1" ht="12.75" x14ac:dyDescent="0.2">
      <c r="R52511" s="1288"/>
    </row>
    <row r="52512" spans="18:18" s="2" customFormat="1" ht="12.75" x14ac:dyDescent="0.2">
      <c r="R52512" s="1288"/>
    </row>
    <row r="52513" spans="18:18" s="2" customFormat="1" ht="12.75" x14ac:dyDescent="0.2">
      <c r="R52513" s="1288"/>
    </row>
    <row r="52514" spans="18:18" s="2" customFormat="1" ht="12.75" x14ac:dyDescent="0.2">
      <c r="R52514" s="1288"/>
    </row>
    <row r="52515" spans="18:18" s="2" customFormat="1" ht="12.75" x14ac:dyDescent="0.2">
      <c r="R52515" s="1288"/>
    </row>
    <row r="52516" spans="18:18" s="2" customFormat="1" ht="12.75" x14ac:dyDescent="0.2">
      <c r="R52516" s="1288"/>
    </row>
    <row r="52517" spans="18:18" s="2" customFormat="1" ht="12.75" x14ac:dyDescent="0.2">
      <c r="R52517" s="1288"/>
    </row>
    <row r="52518" spans="18:18" s="2" customFormat="1" ht="12.75" x14ac:dyDescent="0.2">
      <c r="R52518" s="1288"/>
    </row>
    <row r="52519" spans="18:18" s="2" customFormat="1" ht="12.75" x14ac:dyDescent="0.2">
      <c r="R52519" s="1288"/>
    </row>
    <row r="52520" spans="18:18" s="2" customFormat="1" ht="12.75" x14ac:dyDescent="0.2">
      <c r="R52520" s="1288"/>
    </row>
    <row r="52521" spans="18:18" s="2" customFormat="1" ht="12.75" x14ac:dyDescent="0.2">
      <c r="R52521" s="1288"/>
    </row>
    <row r="52522" spans="18:18" s="2" customFormat="1" ht="12.75" x14ac:dyDescent="0.2">
      <c r="R52522" s="1288"/>
    </row>
    <row r="52523" spans="18:18" s="2" customFormat="1" ht="12.75" x14ac:dyDescent="0.2">
      <c r="R52523" s="1288"/>
    </row>
    <row r="52524" spans="18:18" s="2" customFormat="1" ht="12.75" x14ac:dyDescent="0.2">
      <c r="R52524" s="1288"/>
    </row>
    <row r="52525" spans="18:18" s="2" customFormat="1" ht="12.75" x14ac:dyDescent="0.2">
      <c r="R52525" s="1288"/>
    </row>
    <row r="52526" spans="18:18" s="2" customFormat="1" ht="12.75" x14ac:dyDescent="0.2">
      <c r="R52526" s="1288"/>
    </row>
    <row r="52527" spans="18:18" s="2" customFormat="1" ht="12.75" x14ac:dyDescent="0.2">
      <c r="R52527" s="1288"/>
    </row>
    <row r="52528" spans="18:18" s="2" customFormat="1" ht="12.75" x14ac:dyDescent="0.2">
      <c r="R52528" s="1288"/>
    </row>
    <row r="52529" spans="18:18" s="2" customFormat="1" ht="12.75" x14ac:dyDescent="0.2">
      <c r="R52529" s="1288"/>
    </row>
    <row r="52530" spans="18:18" s="2" customFormat="1" ht="12.75" x14ac:dyDescent="0.2">
      <c r="R52530" s="1288"/>
    </row>
    <row r="52531" spans="18:18" s="2" customFormat="1" ht="12.75" x14ac:dyDescent="0.2">
      <c r="R52531" s="1288"/>
    </row>
    <row r="52532" spans="18:18" s="2" customFormat="1" ht="12.75" x14ac:dyDescent="0.2">
      <c r="R52532" s="1288"/>
    </row>
    <row r="52533" spans="18:18" s="2" customFormat="1" ht="12.75" x14ac:dyDescent="0.2">
      <c r="R52533" s="1288"/>
    </row>
    <row r="52534" spans="18:18" s="2" customFormat="1" ht="12.75" x14ac:dyDescent="0.2">
      <c r="R52534" s="1288"/>
    </row>
    <row r="52535" spans="18:18" s="2" customFormat="1" ht="12.75" x14ac:dyDescent="0.2">
      <c r="R52535" s="1288"/>
    </row>
    <row r="52536" spans="18:18" s="2" customFormat="1" ht="12.75" x14ac:dyDescent="0.2">
      <c r="R52536" s="1288"/>
    </row>
    <row r="52537" spans="18:18" s="2" customFormat="1" ht="12.75" x14ac:dyDescent="0.2">
      <c r="R52537" s="1288"/>
    </row>
    <row r="52538" spans="18:18" s="2" customFormat="1" ht="12.75" x14ac:dyDescent="0.2">
      <c r="R52538" s="1288"/>
    </row>
    <row r="52539" spans="18:18" s="2" customFormat="1" ht="12.75" x14ac:dyDescent="0.2">
      <c r="R52539" s="1288"/>
    </row>
    <row r="52540" spans="18:18" s="2" customFormat="1" ht="12.75" x14ac:dyDescent="0.2">
      <c r="R52540" s="1288"/>
    </row>
    <row r="52541" spans="18:18" s="2" customFormat="1" ht="12.75" x14ac:dyDescent="0.2">
      <c r="R52541" s="1288"/>
    </row>
    <row r="52542" spans="18:18" s="2" customFormat="1" ht="12.75" x14ac:dyDescent="0.2">
      <c r="R52542" s="1288"/>
    </row>
    <row r="52543" spans="18:18" s="2" customFormat="1" ht="12.75" x14ac:dyDescent="0.2">
      <c r="R52543" s="1288"/>
    </row>
    <row r="52544" spans="18:18" s="2" customFormat="1" ht="12.75" x14ac:dyDescent="0.2">
      <c r="R52544" s="1288"/>
    </row>
    <row r="52545" spans="18:18" s="2" customFormat="1" ht="12.75" x14ac:dyDescent="0.2">
      <c r="R52545" s="1288"/>
    </row>
    <row r="52546" spans="18:18" s="2" customFormat="1" ht="12.75" x14ac:dyDescent="0.2">
      <c r="R52546" s="1288"/>
    </row>
    <row r="52547" spans="18:18" s="2" customFormat="1" ht="12.75" x14ac:dyDescent="0.2">
      <c r="R52547" s="1288"/>
    </row>
    <row r="52548" spans="18:18" s="2" customFormat="1" ht="12.75" x14ac:dyDescent="0.2">
      <c r="R52548" s="1288"/>
    </row>
    <row r="52549" spans="18:18" s="2" customFormat="1" ht="12.75" x14ac:dyDescent="0.2">
      <c r="R52549" s="1288"/>
    </row>
    <row r="52550" spans="18:18" s="2" customFormat="1" ht="12.75" x14ac:dyDescent="0.2">
      <c r="R52550" s="1288"/>
    </row>
    <row r="52551" spans="18:18" s="2" customFormat="1" ht="12.75" x14ac:dyDescent="0.2">
      <c r="R52551" s="1288"/>
    </row>
    <row r="52552" spans="18:18" s="2" customFormat="1" ht="12.75" x14ac:dyDescent="0.2">
      <c r="R52552" s="1288"/>
    </row>
    <row r="52553" spans="18:18" s="2" customFormat="1" ht="12.75" x14ac:dyDescent="0.2">
      <c r="R52553" s="1288"/>
    </row>
    <row r="52554" spans="18:18" s="2" customFormat="1" ht="12.75" x14ac:dyDescent="0.2">
      <c r="R52554" s="1288"/>
    </row>
    <row r="52555" spans="18:18" s="2" customFormat="1" ht="12.75" x14ac:dyDescent="0.2">
      <c r="R52555" s="1288"/>
    </row>
    <row r="52556" spans="18:18" s="2" customFormat="1" ht="12.75" x14ac:dyDescent="0.2">
      <c r="R52556" s="1288"/>
    </row>
    <row r="52557" spans="18:18" s="2" customFormat="1" ht="12.75" x14ac:dyDescent="0.2">
      <c r="R52557" s="1288"/>
    </row>
    <row r="52558" spans="18:18" s="2" customFormat="1" ht="12.75" x14ac:dyDescent="0.2">
      <c r="R52558" s="1288"/>
    </row>
    <row r="52559" spans="18:18" s="2" customFormat="1" ht="12.75" x14ac:dyDescent="0.2">
      <c r="R52559" s="1288"/>
    </row>
    <row r="52560" spans="18:18" s="2" customFormat="1" ht="12.75" x14ac:dyDescent="0.2">
      <c r="R52560" s="1288"/>
    </row>
    <row r="52561" spans="18:18" s="2" customFormat="1" ht="12.75" x14ac:dyDescent="0.2">
      <c r="R52561" s="1288"/>
    </row>
    <row r="52562" spans="18:18" s="2" customFormat="1" ht="12.75" x14ac:dyDescent="0.2">
      <c r="R52562" s="1288"/>
    </row>
    <row r="52563" spans="18:18" s="2" customFormat="1" ht="12.75" x14ac:dyDescent="0.2">
      <c r="R52563" s="1288"/>
    </row>
    <row r="52564" spans="18:18" s="2" customFormat="1" ht="12.75" x14ac:dyDescent="0.2">
      <c r="R52564" s="1288"/>
    </row>
    <row r="52565" spans="18:18" s="2" customFormat="1" ht="12.75" x14ac:dyDescent="0.2">
      <c r="R52565" s="1288"/>
    </row>
    <row r="52566" spans="18:18" s="2" customFormat="1" ht="12.75" x14ac:dyDescent="0.2">
      <c r="R52566" s="1288"/>
    </row>
    <row r="52567" spans="18:18" s="2" customFormat="1" ht="12.75" x14ac:dyDescent="0.2">
      <c r="R52567" s="1288"/>
    </row>
    <row r="52568" spans="18:18" s="2" customFormat="1" ht="12.75" x14ac:dyDescent="0.2">
      <c r="R52568" s="1288"/>
    </row>
    <row r="52569" spans="18:18" s="2" customFormat="1" ht="12.75" x14ac:dyDescent="0.2">
      <c r="R52569" s="1288"/>
    </row>
    <row r="52570" spans="18:18" s="2" customFormat="1" ht="12.75" x14ac:dyDescent="0.2">
      <c r="R52570" s="1288"/>
    </row>
    <row r="52571" spans="18:18" s="2" customFormat="1" ht="12.75" x14ac:dyDescent="0.2">
      <c r="R52571" s="1288"/>
    </row>
    <row r="52572" spans="18:18" s="2" customFormat="1" ht="12.75" x14ac:dyDescent="0.2">
      <c r="R52572" s="1288"/>
    </row>
    <row r="52573" spans="18:18" s="2" customFormat="1" ht="12.75" x14ac:dyDescent="0.2">
      <c r="R52573" s="1288"/>
    </row>
    <row r="52574" spans="18:18" s="2" customFormat="1" ht="12.75" x14ac:dyDescent="0.2">
      <c r="R52574" s="1288"/>
    </row>
    <row r="52575" spans="18:18" s="2" customFormat="1" ht="12.75" x14ac:dyDescent="0.2">
      <c r="R52575" s="1288"/>
    </row>
    <row r="52576" spans="18:18" s="2" customFormat="1" ht="12.75" x14ac:dyDescent="0.2">
      <c r="R52576" s="1288"/>
    </row>
    <row r="52577" spans="18:18" s="2" customFormat="1" ht="12.75" x14ac:dyDescent="0.2">
      <c r="R52577" s="1288"/>
    </row>
    <row r="52578" spans="18:18" s="2" customFormat="1" ht="12.75" x14ac:dyDescent="0.2">
      <c r="R52578" s="1288"/>
    </row>
    <row r="52579" spans="18:18" s="2" customFormat="1" ht="12.75" x14ac:dyDescent="0.2">
      <c r="R52579" s="1288"/>
    </row>
    <row r="52580" spans="18:18" s="2" customFormat="1" ht="12.75" x14ac:dyDescent="0.2">
      <c r="R52580" s="1288"/>
    </row>
    <row r="52581" spans="18:18" s="2" customFormat="1" ht="12.75" x14ac:dyDescent="0.2">
      <c r="R52581" s="1288"/>
    </row>
    <row r="52582" spans="18:18" s="2" customFormat="1" ht="12.75" x14ac:dyDescent="0.2">
      <c r="R52582" s="1288"/>
    </row>
    <row r="52583" spans="18:18" s="2" customFormat="1" ht="12.75" x14ac:dyDescent="0.2">
      <c r="R52583" s="1288"/>
    </row>
    <row r="52584" spans="18:18" s="2" customFormat="1" ht="12.75" x14ac:dyDescent="0.2">
      <c r="R52584" s="1288"/>
    </row>
    <row r="52585" spans="18:18" s="2" customFormat="1" ht="12.75" x14ac:dyDescent="0.2">
      <c r="R52585" s="1288"/>
    </row>
    <row r="52586" spans="18:18" s="2" customFormat="1" ht="12.75" x14ac:dyDescent="0.2">
      <c r="R52586" s="1288"/>
    </row>
    <row r="52587" spans="18:18" s="2" customFormat="1" ht="12.75" x14ac:dyDescent="0.2">
      <c r="R52587" s="1288"/>
    </row>
    <row r="52588" spans="18:18" s="2" customFormat="1" ht="12.75" x14ac:dyDescent="0.2">
      <c r="R52588" s="1288"/>
    </row>
    <row r="52589" spans="18:18" s="2" customFormat="1" ht="12.75" x14ac:dyDescent="0.2">
      <c r="R52589" s="1288"/>
    </row>
    <row r="52590" spans="18:18" s="2" customFormat="1" ht="12.75" x14ac:dyDescent="0.2">
      <c r="R52590" s="1288"/>
    </row>
    <row r="52591" spans="18:18" s="2" customFormat="1" ht="12.75" x14ac:dyDescent="0.2">
      <c r="R52591" s="1288"/>
    </row>
    <row r="52592" spans="18:18" s="2" customFormat="1" ht="12.75" x14ac:dyDescent="0.2">
      <c r="R52592" s="1288"/>
    </row>
    <row r="52593" spans="18:18" s="2" customFormat="1" ht="12.75" x14ac:dyDescent="0.2">
      <c r="R52593" s="1288"/>
    </row>
    <row r="52594" spans="18:18" s="2" customFormat="1" ht="12.75" x14ac:dyDescent="0.2">
      <c r="R52594" s="1288"/>
    </row>
    <row r="52595" spans="18:18" s="2" customFormat="1" ht="12.75" x14ac:dyDescent="0.2">
      <c r="R52595" s="1288"/>
    </row>
    <row r="52596" spans="18:18" s="2" customFormat="1" ht="12.75" x14ac:dyDescent="0.2">
      <c r="R52596" s="1288"/>
    </row>
    <row r="52597" spans="18:18" s="2" customFormat="1" ht="12.75" x14ac:dyDescent="0.2">
      <c r="R52597" s="1288"/>
    </row>
    <row r="52598" spans="18:18" s="2" customFormat="1" ht="12.75" x14ac:dyDescent="0.2">
      <c r="R52598" s="1288"/>
    </row>
    <row r="52599" spans="18:18" s="2" customFormat="1" ht="12.75" x14ac:dyDescent="0.2">
      <c r="R52599" s="1288"/>
    </row>
    <row r="52600" spans="18:18" s="2" customFormat="1" ht="12.75" x14ac:dyDescent="0.2">
      <c r="R52600" s="1288"/>
    </row>
    <row r="52601" spans="18:18" s="2" customFormat="1" ht="12.75" x14ac:dyDescent="0.2">
      <c r="R52601" s="1288"/>
    </row>
    <row r="52602" spans="18:18" s="2" customFormat="1" ht="12.75" x14ac:dyDescent="0.2">
      <c r="R52602" s="1288"/>
    </row>
    <row r="52603" spans="18:18" s="2" customFormat="1" ht="12.75" x14ac:dyDescent="0.2">
      <c r="R52603" s="1288"/>
    </row>
    <row r="52604" spans="18:18" s="2" customFormat="1" ht="12.75" x14ac:dyDescent="0.2">
      <c r="R52604" s="1288"/>
    </row>
    <row r="52605" spans="18:18" s="2" customFormat="1" ht="12.75" x14ac:dyDescent="0.2">
      <c r="R52605" s="1288"/>
    </row>
    <row r="52606" spans="18:18" s="2" customFormat="1" ht="12.75" x14ac:dyDescent="0.2">
      <c r="R52606" s="1288"/>
    </row>
    <row r="52607" spans="18:18" s="2" customFormat="1" ht="12.75" x14ac:dyDescent="0.2">
      <c r="R52607" s="1288"/>
    </row>
    <row r="52608" spans="18:18" s="2" customFormat="1" ht="12.75" x14ac:dyDescent="0.2">
      <c r="R52608" s="1288"/>
    </row>
    <row r="52609" spans="18:18" s="2" customFormat="1" ht="12.75" x14ac:dyDescent="0.2">
      <c r="R52609" s="1288"/>
    </row>
    <row r="52610" spans="18:18" s="2" customFormat="1" ht="12.75" x14ac:dyDescent="0.2">
      <c r="R52610" s="1288"/>
    </row>
    <row r="52611" spans="18:18" s="2" customFormat="1" ht="12.75" x14ac:dyDescent="0.2">
      <c r="R52611" s="1288"/>
    </row>
    <row r="52612" spans="18:18" s="2" customFormat="1" ht="12.75" x14ac:dyDescent="0.2">
      <c r="R52612" s="1288"/>
    </row>
    <row r="52613" spans="18:18" s="2" customFormat="1" ht="12.75" x14ac:dyDescent="0.2">
      <c r="R52613" s="1288"/>
    </row>
    <row r="52614" spans="18:18" s="2" customFormat="1" ht="12.75" x14ac:dyDescent="0.2">
      <c r="R52614" s="1288"/>
    </row>
    <row r="52615" spans="18:18" s="2" customFormat="1" ht="12.75" x14ac:dyDescent="0.2">
      <c r="R52615" s="1288"/>
    </row>
    <row r="52616" spans="18:18" s="2" customFormat="1" ht="12.75" x14ac:dyDescent="0.2">
      <c r="R52616" s="1288"/>
    </row>
    <row r="52617" spans="18:18" s="2" customFormat="1" ht="12.75" x14ac:dyDescent="0.2">
      <c r="R52617" s="1288"/>
    </row>
    <row r="52618" spans="18:18" s="2" customFormat="1" ht="12.75" x14ac:dyDescent="0.2">
      <c r="R52618" s="1288"/>
    </row>
    <row r="52619" spans="18:18" s="2" customFormat="1" ht="12.75" x14ac:dyDescent="0.2">
      <c r="R52619" s="1288"/>
    </row>
    <row r="52620" spans="18:18" s="2" customFormat="1" ht="12.75" x14ac:dyDescent="0.2">
      <c r="R52620" s="1288"/>
    </row>
    <row r="52621" spans="18:18" s="2" customFormat="1" ht="12.75" x14ac:dyDescent="0.2">
      <c r="R52621" s="1288"/>
    </row>
    <row r="52622" spans="18:18" s="2" customFormat="1" ht="12.75" x14ac:dyDescent="0.2">
      <c r="R52622" s="1288"/>
    </row>
    <row r="52623" spans="18:18" s="2" customFormat="1" ht="12.75" x14ac:dyDescent="0.2">
      <c r="R52623" s="1288"/>
    </row>
    <row r="52624" spans="18:18" s="2" customFormat="1" ht="12.75" x14ac:dyDescent="0.2">
      <c r="R52624" s="1288"/>
    </row>
    <row r="52625" spans="18:18" s="2" customFormat="1" ht="12.75" x14ac:dyDescent="0.2">
      <c r="R52625" s="1288"/>
    </row>
    <row r="52626" spans="18:18" s="2" customFormat="1" ht="12.75" x14ac:dyDescent="0.2">
      <c r="R52626" s="1288"/>
    </row>
    <row r="52627" spans="18:18" s="2" customFormat="1" ht="12.75" x14ac:dyDescent="0.2">
      <c r="R52627" s="1288"/>
    </row>
    <row r="52628" spans="18:18" s="2" customFormat="1" ht="12.75" x14ac:dyDescent="0.2">
      <c r="R52628" s="1288"/>
    </row>
    <row r="52629" spans="18:18" s="2" customFormat="1" ht="12.75" x14ac:dyDescent="0.2">
      <c r="R52629" s="1288"/>
    </row>
    <row r="52630" spans="18:18" s="2" customFormat="1" ht="12.75" x14ac:dyDescent="0.2">
      <c r="R52630" s="1288"/>
    </row>
    <row r="52631" spans="18:18" s="2" customFormat="1" ht="12.75" x14ac:dyDescent="0.2">
      <c r="R52631" s="1288"/>
    </row>
    <row r="52632" spans="18:18" s="2" customFormat="1" ht="12.75" x14ac:dyDescent="0.2">
      <c r="R52632" s="1288"/>
    </row>
    <row r="52633" spans="18:18" s="2" customFormat="1" ht="12.75" x14ac:dyDescent="0.2">
      <c r="R52633" s="1288"/>
    </row>
    <row r="52634" spans="18:18" s="2" customFormat="1" ht="12.75" x14ac:dyDescent="0.2">
      <c r="R52634" s="1288"/>
    </row>
    <row r="52635" spans="18:18" s="2" customFormat="1" ht="12.75" x14ac:dyDescent="0.2">
      <c r="R52635" s="1288"/>
    </row>
    <row r="52636" spans="18:18" s="2" customFormat="1" ht="12.75" x14ac:dyDescent="0.2">
      <c r="R52636" s="1288"/>
    </row>
    <row r="52637" spans="18:18" s="2" customFormat="1" ht="12.75" x14ac:dyDescent="0.2">
      <c r="R52637" s="1288"/>
    </row>
    <row r="52638" spans="18:18" s="2" customFormat="1" ht="12.75" x14ac:dyDescent="0.2">
      <c r="R52638" s="1288"/>
    </row>
    <row r="52639" spans="18:18" s="2" customFormat="1" ht="12.75" x14ac:dyDescent="0.2">
      <c r="R52639" s="1288"/>
    </row>
    <row r="52640" spans="18:18" s="2" customFormat="1" ht="12.75" x14ac:dyDescent="0.2">
      <c r="R52640" s="1288"/>
    </row>
    <row r="52641" spans="18:18" s="2" customFormat="1" ht="12.75" x14ac:dyDescent="0.2">
      <c r="R52641" s="1288"/>
    </row>
    <row r="52642" spans="18:18" s="2" customFormat="1" ht="12.75" x14ac:dyDescent="0.2">
      <c r="R52642" s="1288"/>
    </row>
    <row r="52643" spans="18:18" s="2" customFormat="1" ht="12.75" x14ac:dyDescent="0.2">
      <c r="R52643" s="1288"/>
    </row>
    <row r="52644" spans="18:18" s="2" customFormat="1" ht="12.75" x14ac:dyDescent="0.2">
      <c r="R52644" s="1288"/>
    </row>
    <row r="52645" spans="18:18" s="2" customFormat="1" ht="12.75" x14ac:dyDescent="0.2">
      <c r="R52645" s="1288"/>
    </row>
    <row r="52646" spans="18:18" s="2" customFormat="1" ht="12.75" x14ac:dyDescent="0.2">
      <c r="R52646" s="1288"/>
    </row>
    <row r="52647" spans="18:18" s="2" customFormat="1" ht="12.75" x14ac:dyDescent="0.2">
      <c r="R52647" s="1288"/>
    </row>
    <row r="52648" spans="18:18" s="2" customFormat="1" ht="12.75" x14ac:dyDescent="0.2">
      <c r="R52648" s="1288"/>
    </row>
    <row r="52649" spans="18:18" s="2" customFormat="1" ht="12.75" x14ac:dyDescent="0.2">
      <c r="R52649" s="1288"/>
    </row>
    <row r="52650" spans="18:18" s="2" customFormat="1" ht="12.75" x14ac:dyDescent="0.2">
      <c r="R52650" s="1288"/>
    </row>
    <row r="52651" spans="18:18" s="2" customFormat="1" ht="12.75" x14ac:dyDescent="0.2">
      <c r="R52651" s="1288"/>
    </row>
    <row r="52652" spans="18:18" s="2" customFormat="1" ht="12.75" x14ac:dyDescent="0.2">
      <c r="R52652" s="1288"/>
    </row>
    <row r="52653" spans="18:18" s="2" customFormat="1" ht="12.75" x14ac:dyDescent="0.2">
      <c r="R52653" s="1288"/>
    </row>
    <row r="52654" spans="18:18" s="2" customFormat="1" ht="12.75" x14ac:dyDescent="0.2">
      <c r="R52654" s="1288"/>
    </row>
    <row r="52655" spans="18:18" s="2" customFormat="1" ht="12.75" x14ac:dyDescent="0.2">
      <c r="R52655" s="1288"/>
    </row>
    <row r="52656" spans="18:18" s="2" customFormat="1" ht="12.75" x14ac:dyDescent="0.2">
      <c r="R52656" s="1288"/>
    </row>
    <row r="52657" spans="18:18" s="2" customFormat="1" ht="12.75" x14ac:dyDescent="0.2">
      <c r="R52657" s="1288"/>
    </row>
    <row r="52658" spans="18:18" s="2" customFormat="1" ht="12.75" x14ac:dyDescent="0.2">
      <c r="R52658" s="1288"/>
    </row>
    <row r="52659" spans="18:18" s="2" customFormat="1" ht="12.75" x14ac:dyDescent="0.2">
      <c r="R52659" s="1288"/>
    </row>
    <row r="52660" spans="18:18" s="2" customFormat="1" ht="12.75" x14ac:dyDescent="0.2">
      <c r="R52660" s="1288"/>
    </row>
    <row r="52661" spans="18:18" s="2" customFormat="1" ht="12.75" x14ac:dyDescent="0.2">
      <c r="R52661" s="1288"/>
    </row>
    <row r="52662" spans="18:18" s="2" customFormat="1" ht="12.75" x14ac:dyDescent="0.2">
      <c r="R52662" s="1288"/>
    </row>
    <row r="52663" spans="18:18" s="2" customFormat="1" ht="12.75" x14ac:dyDescent="0.2">
      <c r="R52663" s="1288"/>
    </row>
    <row r="52664" spans="18:18" s="2" customFormat="1" ht="12.75" x14ac:dyDescent="0.2">
      <c r="R52664" s="1288"/>
    </row>
    <row r="52665" spans="18:18" s="2" customFormat="1" ht="12.75" x14ac:dyDescent="0.2">
      <c r="R52665" s="1288"/>
    </row>
    <row r="52666" spans="18:18" s="2" customFormat="1" ht="12.75" x14ac:dyDescent="0.2">
      <c r="R52666" s="1288"/>
    </row>
    <row r="52667" spans="18:18" s="2" customFormat="1" ht="12.75" x14ac:dyDescent="0.2">
      <c r="R52667" s="1288"/>
    </row>
    <row r="52668" spans="18:18" s="2" customFormat="1" ht="12.75" x14ac:dyDescent="0.2">
      <c r="R52668" s="1288"/>
    </row>
    <row r="52669" spans="18:18" s="2" customFormat="1" ht="12.75" x14ac:dyDescent="0.2">
      <c r="R52669" s="1288"/>
    </row>
    <row r="52670" spans="18:18" s="2" customFormat="1" ht="12.75" x14ac:dyDescent="0.2">
      <c r="R52670" s="1288"/>
    </row>
    <row r="52671" spans="18:18" s="2" customFormat="1" ht="12.75" x14ac:dyDescent="0.2">
      <c r="R52671" s="1288"/>
    </row>
    <row r="52672" spans="18:18" s="2" customFormat="1" ht="12.75" x14ac:dyDescent="0.2">
      <c r="R52672" s="1288"/>
    </row>
    <row r="52673" spans="18:18" s="2" customFormat="1" ht="12.75" x14ac:dyDescent="0.2">
      <c r="R52673" s="1288"/>
    </row>
    <row r="52674" spans="18:18" s="2" customFormat="1" ht="12.75" x14ac:dyDescent="0.2">
      <c r="R52674" s="1288"/>
    </row>
    <row r="52675" spans="18:18" s="2" customFormat="1" ht="12.75" x14ac:dyDescent="0.2">
      <c r="R52675" s="1288"/>
    </row>
    <row r="52676" spans="18:18" s="2" customFormat="1" ht="12.75" x14ac:dyDescent="0.2">
      <c r="R52676" s="1288"/>
    </row>
    <row r="52677" spans="18:18" s="2" customFormat="1" ht="12.75" x14ac:dyDescent="0.2">
      <c r="R52677" s="1288"/>
    </row>
    <row r="52678" spans="18:18" s="2" customFormat="1" ht="12.75" x14ac:dyDescent="0.2">
      <c r="R52678" s="1288"/>
    </row>
    <row r="52679" spans="18:18" s="2" customFormat="1" ht="12.75" x14ac:dyDescent="0.2">
      <c r="R52679" s="1288"/>
    </row>
    <row r="52680" spans="18:18" s="2" customFormat="1" ht="12.75" x14ac:dyDescent="0.2">
      <c r="R52680" s="1288"/>
    </row>
    <row r="52681" spans="18:18" s="2" customFormat="1" ht="12.75" x14ac:dyDescent="0.2">
      <c r="R52681" s="1288"/>
    </row>
    <row r="52682" spans="18:18" s="2" customFormat="1" ht="12.75" x14ac:dyDescent="0.2">
      <c r="R52682" s="1288"/>
    </row>
    <row r="52683" spans="18:18" s="2" customFormat="1" ht="12.75" x14ac:dyDescent="0.2">
      <c r="R52683" s="1288"/>
    </row>
    <row r="52684" spans="18:18" s="2" customFormat="1" ht="12.75" x14ac:dyDescent="0.2">
      <c r="R52684" s="1288"/>
    </row>
    <row r="52685" spans="18:18" s="2" customFormat="1" ht="12.75" x14ac:dyDescent="0.2">
      <c r="R52685" s="1288"/>
    </row>
    <row r="52686" spans="18:18" s="2" customFormat="1" ht="12.75" x14ac:dyDescent="0.2">
      <c r="R52686" s="1288"/>
    </row>
    <row r="52687" spans="18:18" s="2" customFormat="1" ht="12.75" x14ac:dyDescent="0.2">
      <c r="R52687" s="1288"/>
    </row>
    <row r="52688" spans="18:18" s="2" customFormat="1" ht="12.75" x14ac:dyDescent="0.2">
      <c r="R52688" s="1288"/>
    </row>
    <row r="52689" spans="18:18" s="2" customFormat="1" ht="12.75" x14ac:dyDescent="0.2">
      <c r="R52689" s="1288"/>
    </row>
    <row r="52690" spans="18:18" s="2" customFormat="1" ht="12.75" x14ac:dyDescent="0.2">
      <c r="R52690" s="1288"/>
    </row>
    <row r="52691" spans="18:18" s="2" customFormat="1" ht="12.75" x14ac:dyDescent="0.2">
      <c r="R52691" s="1288"/>
    </row>
    <row r="52692" spans="18:18" s="2" customFormat="1" ht="12.75" x14ac:dyDescent="0.2">
      <c r="R52692" s="1288"/>
    </row>
    <row r="52693" spans="18:18" s="2" customFormat="1" ht="12.75" x14ac:dyDescent="0.2">
      <c r="R52693" s="1288"/>
    </row>
    <row r="52694" spans="18:18" s="2" customFormat="1" ht="12.75" x14ac:dyDescent="0.2">
      <c r="R52694" s="1288"/>
    </row>
    <row r="52695" spans="18:18" s="2" customFormat="1" ht="12.75" x14ac:dyDescent="0.2">
      <c r="R52695" s="1288"/>
    </row>
    <row r="52696" spans="18:18" s="2" customFormat="1" ht="12.75" x14ac:dyDescent="0.2">
      <c r="R52696" s="1288"/>
    </row>
    <row r="52697" spans="18:18" s="2" customFormat="1" ht="12.75" x14ac:dyDescent="0.2">
      <c r="R52697" s="1288"/>
    </row>
    <row r="52698" spans="18:18" s="2" customFormat="1" ht="12.75" x14ac:dyDescent="0.2">
      <c r="R52698" s="1288"/>
    </row>
    <row r="52699" spans="18:18" s="2" customFormat="1" ht="12.75" x14ac:dyDescent="0.2">
      <c r="R52699" s="1288"/>
    </row>
    <row r="52700" spans="18:18" s="2" customFormat="1" ht="12.75" x14ac:dyDescent="0.2">
      <c r="R52700" s="1288"/>
    </row>
    <row r="52701" spans="18:18" s="2" customFormat="1" ht="12.75" x14ac:dyDescent="0.2">
      <c r="R52701" s="1288"/>
    </row>
    <row r="52702" spans="18:18" s="2" customFormat="1" ht="12.75" x14ac:dyDescent="0.2">
      <c r="R52702" s="1288"/>
    </row>
    <row r="52703" spans="18:18" s="2" customFormat="1" ht="12.75" x14ac:dyDescent="0.2">
      <c r="R52703" s="1288"/>
    </row>
    <row r="52704" spans="18:18" s="2" customFormat="1" ht="12.75" x14ac:dyDescent="0.2">
      <c r="R52704" s="1288"/>
    </row>
    <row r="52705" spans="18:18" s="2" customFormat="1" ht="12.75" x14ac:dyDescent="0.2">
      <c r="R52705" s="1288"/>
    </row>
    <row r="52706" spans="18:18" s="2" customFormat="1" ht="12.75" x14ac:dyDescent="0.2">
      <c r="R52706" s="1288"/>
    </row>
    <row r="52707" spans="18:18" s="2" customFormat="1" ht="12.75" x14ac:dyDescent="0.2">
      <c r="R52707" s="1288"/>
    </row>
    <row r="52708" spans="18:18" s="2" customFormat="1" ht="12.75" x14ac:dyDescent="0.2">
      <c r="R52708" s="1288"/>
    </row>
    <row r="52709" spans="18:18" s="2" customFormat="1" ht="12.75" x14ac:dyDescent="0.2">
      <c r="R52709" s="1288"/>
    </row>
    <row r="52710" spans="18:18" s="2" customFormat="1" ht="12.75" x14ac:dyDescent="0.2">
      <c r="R52710" s="1288"/>
    </row>
    <row r="52711" spans="18:18" s="2" customFormat="1" ht="12.75" x14ac:dyDescent="0.2">
      <c r="R52711" s="1288"/>
    </row>
    <row r="52712" spans="18:18" s="2" customFormat="1" ht="12.75" x14ac:dyDescent="0.2">
      <c r="R52712" s="1288"/>
    </row>
    <row r="52713" spans="18:18" s="2" customFormat="1" ht="12.75" x14ac:dyDescent="0.2">
      <c r="R52713" s="1288"/>
    </row>
    <row r="52714" spans="18:18" s="2" customFormat="1" ht="12.75" x14ac:dyDescent="0.2">
      <c r="R52714" s="1288"/>
    </row>
    <row r="52715" spans="18:18" s="2" customFormat="1" ht="12.75" x14ac:dyDescent="0.2">
      <c r="R52715" s="1288"/>
    </row>
    <row r="52716" spans="18:18" s="2" customFormat="1" ht="12.75" x14ac:dyDescent="0.2">
      <c r="R52716" s="1288"/>
    </row>
    <row r="52717" spans="18:18" s="2" customFormat="1" ht="12.75" x14ac:dyDescent="0.2">
      <c r="R52717" s="1288"/>
    </row>
    <row r="52718" spans="18:18" s="2" customFormat="1" ht="12.75" x14ac:dyDescent="0.2">
      <c r="R52718" s="1288"/>
    </row>
    <row r="52719" spans="18:18" s="2" customFormat="1" ht="12.75" x14ac:dyDescent="0.2">
      <c r="R52719" s="1288"/>
    </row>
    <row r="52720" spans="18:18" s="2" customFormat="1" ht="12.75" x14ac:dyDescent="0.2">
      <c r="R52720" s="1288"/>
    </row>
    <row r="52721" spans="18:18" s="2" customFormat="1" ht="12.75" x14ac:dyDescent="0.2">
      <c r="R52721" s="1288"/>
    </row>
    <row r="52722" spans="18:18" s="2" customFormat="1" ht="12.75" x14ac:dyDescent="0.2">
      <c r="R52722" s="1288"/>
    </row>
    <row r="52723" spans="18:18" s="2" customFormat="1" ht="12.75" x14ac:dyDescent="0.2">
      <c r="R52723" s="1288"/>
    </row>
    <row r="52724" spans="18:18" s="2" customFormat="1" ht="12.75" x14ac:dyDescent="0.2">
      <c r="R52724" s="1288"/>
    </row>
    <row r="52725" spans="18:18" s="2" customFormat="1" ht="12.75" x14ac:dyDescent="0.2">
      <c r="R52725" s="1288"/>
    </row>
    <row r="52726" spans="18:18" s="2" customFormat="1" ht="12.75" x14ac:dyDescent="0.2">
      <c r="R52726" s="1288"/>
    </row>
    <row r="52727" spans="18:18" s="2" customFormat="1" ht="12.75" x14ac:dyDescent="0.2">
      <c r="R52727" s="1288"/>
    </row>
    <row r="52728" spans="18:18" s="2" customFormat="1" ht="12.75" x14ac:dyDescent="0.2">
      <c r="R52728" s="1288"/>
    </row>
    <row r="52729" spans="18:18" s="2" customFormat="1" ht="12.75" x14ac:dyDescent="0.2">
      <c r="R52729" s="1288"/>
    </row>
    <row r="52730" spans="18:18" s="2" customFormat="1" ht="12.75" x14ac:dyDescent="0.2">
      <c r="R52730" s="1288"/>
    </row>
    <row r="52731" spans="18:18" s="2" customFormat="1" ht="12.75" x14ac:dyDescent="0.2">
      <c r="R52731" s="1288"/>
    </row>
    <row r="52732" spans="18:18" s="2" customFormat="1" ht="12.75" x14ac:dyDescent="0.2">
      <c r="R52732" s="1288"/>
    </row>
    <row r="52733" spans="18:18" s="2" customFormat="1" ht="12.75" x14ac:dyDescent="0.2">
      <c r="R52733" s="1288"/>
    </row>
    <row r="52734" spans="18:18" s="2" customFormat="1" ht="12.75" x14ac:dyDescent="0.2">
      <c r="R52734" s="1288"/>
    </row>
    <row r="52735" spans="18:18" s="2" customFormat="1" ht="12.75" x14ac:dyDescent="0.2">
      <c r="R52735" s="1288"/>
    </row>
    <row r="52736" spans="18:18" s="2" customFormat="1" ht="12.75" x14ac:dyDescent="0.2">
      <c r="R52736" s="1288"/>
    </row>
    <row r="52737" spans="18:18" s="2" customFormat="1" ht="12.75" x14ac:dyDescent="0.2">
      <c r="R52737" s="1288"/>
    </row>
    <row r="52738" spans="18:18" s="2" customFormat="1" ht="12.75" x14ac:dyDescent="0.2">
      <c r="R52738" s="1288"/>
    </row>
    <row r="52739" spans="18:18" s="2" customFormat="1" ht="12.75" x14ac:dyDescent="0.2">
      <c r="R52739" s="1288"/>
    </row>
    <row r="52740" spans="18:18" s="2" customFormat="1" ht="12.75" x14ac:dyDescent="0.2">
      <c r="R52740" s="1288"/>
    </row>
    <row r="52741" spans="18:18" s="2" customFormat="1" ht="12.75" x14ac:dyDescent="0.2">
      <c r="R52741" s="1288"/>
    </row>
    <row r="52742" spans="18:18" s="2" customFormat="1" ht="12.75" x14ac:dyDescent="0.2">
      <c r="R52742" s="1288"/>
    </row>
    <row r="52743" spans="18:18" s="2" customFormat="1" ht="12.75" x14ac:dyDescent="0.2">
      <c r="R52743" s="1288"/>
    </row>
    <row r="52744" spans="18:18" s="2" customFormat="1" ht="12.75" x14ac:dyDescent="0.2">
      <c r="R52744" s="1288"/>
    </row>
    <row r="52745" spans="18:18" s="2" customFormat="1" ht="12.75" x14ac:dyDescent="0.2">
      <c r="R52745" s="1288"/>
    </row>
    <row r="52746" spans="18:18" s="2" customFormat="1" ht="12.75" x14ac:dyDescent="0.2">
      <c r="R52746" s="1288"/>
    </row>
    <row r="52747" spans="18:18" s="2" customFormat="1" ht="12.75" x14ac:dyDescent="0.2">
      <c r="R52747" s="1288"/>
    </row>
    <row r="52748" spans="18:18" s="2" customFormat="1" ht="12.75" x14ac:dyDescent="0.2">
      <c r="R52748" s="1288"/>
    </row>
    <row r="52749" spans="18:18" s="2" customFormat="1" ht="12.75" x14ac:dyDescent="0.2">
      <c r="R52749" s="1288"/>
    </row>
    <row r="52750" spans="18:18" s="2" customFormat="1" ht="12.75" x14ac:dyDescent="0.2">
      <c r="R52750" s="1288"/>
    </row>
    <row r="52751" spans="18:18" s="2" customFormat="1" ht="12.75" x14ac:dyDescent="0.2">
      <c r="R52751" s="1288"/>
    </row>
    <row r="52752" spans="18:18" s="2" customFormat="1" ht="12.75" x14ac:dyDescent="0.2">
      <c r="R52752" s="1288"/>
    </row>
    <row r="52753" spans="18:18" s="2" customFormat="1" ht="12.75" x14ac:dyDescent="0.2">
      <c r="R52753" s="1288"/>
    </row>
    <row r="52754" spans="18:18" s="2" customFormat="1" ht="12.75" x14ac:dyDescent="0.2">
      <c r="R52754" s="1288"/>
    </row>
    <row r="52755" spans="18:18" s="2" customFormat="1" ht="12.75" x14ac:dyDescent="0.2">
      <c r="R52755" s="1288"/>
    </row>
    <row r="52756" spans="18:18" s="2" customFormat="1" ht="12.75" x14ac:dyDescent="0.2">
      <c r="R52756" s="1288"/>
    </row>
    <row r="52757" spans="18:18" s="2" customFormat="1" ht="12.75" x14ac:dyDescent="0.2">
      <c r="R52757" s="1288"/>
    </row>
    <row r="52758" spans="18:18" s="2" customFormat="1" ht="12.75" x14ac:dyDescent="0.2">
      <c r="R52758" s="1288"/>
    </row>
    <row r="52759" spans="18:18" s="2" customFormat="1" ht="12.75" x14ac:dyDescent="0.2">
      <c r="R52759" s="1288"/>
    </row>
    <row r="52760" spans="18:18" s="2" customFormat="1" ht="12.75" x14ac:dyDescent="0.2">
      <c r="R52760" s="1288"/>
    </row>
    <row r="52761" spans="18:18" s="2" customFormat="1" ht="12.75" x14ac:dyDescent="0.2">
      <c r="R52761" s="1288"/>
    </row>
    <row r="52762" spans="18:18" s="2" customFormat="1" ht="12.75" x14ac:dyDescent="0.2">
      <c r="R52762" s="1288"/>
    </row>
    <row r="52763" spans="18:18" s="2" customFormat="1" ht="12.75" x14ac:dyDescent="0.2">
      <c r="R52763" s="1288"/>
    </row>
    <row r="52764" spans="18:18" s="2" customFormat="1" ht="12.75" x14ac:dyDescent="0.2">
      <c r="R52764" s="1288"/>
    </row>
    <row r="52765" spans="18:18" s="2" customFormat="1" ht="12.75" x14ac:dyDescent="0.2">
      <c r="R52765" s="1288"/>
    </row>
    <row r="52766" spans="18:18" s="2" customFormat="1" ht="12.75" x14ac:dyDescent="0.2">
      <c r="R52766" s="1288"/>
    </row>
    <row r="52767" spans="18:18" s="2" customFormat="1" ht="12.75" x14ac:dyDescent="0.2">
      <c r="R52767" s="1288"/>
    </row>
    <row r="52768" spans="18:18" s="2" customFormat="1" ht="12.75" x14ac:dyDescent="0.2">
      <c r="R52768" s="1288"/>
    </row>
    <row r="52769" spans="18:18" s="2" customFormat="1" ht="12.75" x14ac:dyDescent="0.2">
      <c r="R52769" s="1288"/>
    </row>
    <row r="52770" spans="18:18" s="2" customFormat="1" ht="12.75" x14ac:dyDescent="0.2">
      <c r="R52770" s="1288"/>
    </row>
    <row r="52771" spans="18:18" s="2" customFormat="1" ht="12.75" x14ac:dyDescent="0.2">
      <c r="R52771" s="1288"/>
    </row>
    <row r="52772" spans="18:18" s="2" customFormat="1" ht="12.75" x14ac:dyDescent="0.2">
      <c r="R52772" s="1288"/>
    </row>
    <row r="52773" spans="18:18" s="2" customFormat="1" ht="12.75" x14ac:dyDescent="0.2">
      <c r="R52773" s="1288"/>
    </row>
    <row r="52774" spans="18:18" s="2" customFormat="1" ht="12.75" x14ac:dyDescent="0.2">
      <c r="R52774" s="1288"/>
    </row>
    <row r="52775" spans="18:18" s="2" customFormat="1" ht="12.75" x14ac:dyDescent="0.2">
      <c r="R52775" s="1288"/>
    </row>
    <row r="52776" spans="18:18" s="2" customFormat="1" ht="12.75" x14ac:dyDescent="0.2">
      <c r="R52776" s="1288"/>
    </row>
    <row r="52777" spans="18:18" s="2" customFormat="1" ht="12.75" x14ac:dyDescent="0.2">
      <c r="R52777" s="1288"/>
    </row>
    <row r="52778" spans="18:18" s="2" customFormat="1" ht="12.75" x14ac:dyDescent="0.2">
      <c r="R52778" s="1288"/>
    </row>
    <row r="52779" spans="18:18" s="2" customFormat="1" ht="12.75" x14ac:dyDescent="0.2">
      <c r="R52779" s="1288"/>
    </row>
    <row r="52780" spans="18:18" s="2" customFormat="1" ht="12.75" x14ac:dyDescent="0.2">
      <c r="R52780" s="1288"/>
    </row>
    <row r="52781" spans="18:18" s="2" customFormat="1" ht="12.75" x14ac:dyDescent="0.2">
      <c r="R52781" s="1288"/>
    </row>
    <row r="52782" spans="18:18" s="2" customFormat="1" ht="12.75" x14ac:dyDescent="0.2">
      <c r="R52782" s="1288"/>
    </row>
    <row r="52783" spans="18:18" s="2" customFormat="1" ht="12.75" x14ac:dyDescent="0.2">
      <c r="R52783" s="1288"/>
    </row>
    <row r="52784" spans="18:18" s="2" customFormat="1" ht="12.75" x14ac:dyDescent="0.2">
      <c r="R52784" s="1288"/>
    </row>
    <row r="52785" spans="18:18" s="2" customFormat="1" ht="12.75" x14ac:dyDescent="0.2">
      <c r="R52785" s="1288"/>
    </row>
    <row r="52786" spans="18:18" s="2" customFormat="1" ht="12.75" x14ac:dyDescent="0.2">
      <c r="R52786" s="1288"/>
    </row>
    <row r="52787" spans="18:18" s="2" customFormat="1" ht="12.75" x14ac:dyDescent="0.2">
      <c r="R52787" s="1288"/>
    </row>
    <row r="52788" spans="18:18" s="2" customFormat="1" ht="12.75" x14ac:dyDescent="0.2">
      <c r="R52788" s="1288"/>
    </row>
    <row r="52789" spans="18:18" s="2" customFormat="1" ht="12.75" x14ac:dyDescent="0.2">
      <c r="R52789" s="1288"/>
    </row>
    <row r="52790" spans="18:18" s="2" customFormat="1" ht="12.75" x14ac:dyDescent="0.2">
      <c r="R52790" s="1288"/>
    </row>
    <row r="52791" spans="18:18" s="2" customFormat="1" ht="12.75" x14ac:dyDescent="0.2">
      <c r="R52791" s="1288"/>
    </row>
    <row r="52792" spans="18:18" s="2" customFormat="1" ht="12.75" x14ac:dyDescent="0.2">
      <c r="R52792" s="1288"/>
    </row>
    <row r="52793" spans="18:18" s="2" customFormat="1" ht="12.75" x14ac:dyDescent="0.2">
      <c r="R52793" s="1288"/>
    </row>
    <row r="52794" spans="18:18" s="2" customFormat="1" ht="12.75" x14ac:dyDescent="0.2">
      <c r="R52794" s="1288"/>
    </row>
    <row r="52795" spans="18:18" s="2" customFormat="1" ht="12.75" x14ac:dyDescent="0.2">
      <c r="R52795" s="1288"/>
    </row>
    <row r="52796" spans="18:18" s="2" customFormat="1" ht="12.75" x14ac:dyDescent="0.2">
      <c r="R52796" s="1288"/>
    </row>
    <row r="52797" spans="18:18" s="2" customFormat="1" ht="12.75" x14ac:dyDescent="0.2">
      <c r="R52797" s="1288"/>
    </row>
    <row r="52798" spans="18:18" s="2" customFormat="1" ht="12.75" x14ac:dyDescent="0.2">
      <c r="R52798" s="1288"/>
    </row>
    <row r="52799" spans="18:18" s="2" customFormat="1" ht="12.75" x14ac:dyDescent="0.2">
      <c r="R52799" s="1288"/>
    </row>
    <row r="52800" spans="18:18" s="2" customFormat="1" ht="12.75" x14ac:dyDescent="0.2">
      <c r="R52800" s="1288"/>
    </row>
    <row r="52801" spans="18:18" s="2" customFormat="1" ht="12.75" x14ac:dyDescent="0.2">
      <c r="R52801" s="1288"/>
    </row>
    <row r="52802" spans="18:18" s="2" customFormat="1" ht="12.75" x14ac:dyDescent="0.2">
      <c r="R52802" s="1288"/>
    </row>
    <row r="52803" spans="18:18" s="2" customFormat="1" ht="12.75" x14ac:dyDescent="0.2">
      <c r="R52803" s="1288"/>
    </row>
    <row r="52804" spans="18:18" s="2" customFormat="1" ht="12.75" x14ac:dyDescent="0.2">
      <c r="R52804" s="1288"/>
    </row>
    <row r="52805" spans="18:18" s="2" customFormat="1" ht="12.75" x14ac:dyDescent="0.2">
      <c r="R52805" s="1288"/>
    </row>
    <row r="52806" spans="18:18" s="2" customFormat="1" ht="12.75" x14ac:dyDescent="0.2">
      <c r="R52806" s="1288"/>
    </row>
    <row r="52807" spans="18:18" s="2" customFormat="1" ht="12.75" x14ac:dyDescent="0.2">
      <c r="R52807" s="1288"/>
    </row>
    <row r="52808" spans="18:18" s="2" customFormat="1" ht="12.75" x14ac:dyDescent="0.2">
      <c r="R52808" s="1288"/>
    </row>
    <row r="52809" spans="18:18" s="2" customFormat="1" ht="12.75" x14ac:dyDescent="0.2">
      <c r="R52809" s="1288"/>
    </row>
    <row r="52810" spans="18:18" s="2" customFormat="1" ht="12.75" x14ac:dyDescent="0.2">
      <c r="R52810" s="1288"/>
    </row>
    <row r="52811" spans="18:18" s="2" customFormat="1" ht="12.75" x14ac:dyDescent="0.2">
      <c r="R52811" s="1288"/>
    </row>
    <row r="52812" spans="18:18" s="2" customFormat="1" ht="12.75" x14ac:dyDescent="0.2">
      <c r="R52812" s="1288"/>
    </row>
    <row r="52813" spans="18:18" s="2" customFormat="1" ht="12.75" x14ac:dyDescent="0.2">
      <c r="R52813" s="1288"/>
    </row>
    <row r="52814" spans="18:18" s="2" customFormat="1" ht="12.75" x14ac:dyDescent="0.2">
      <c r="R52814" s="1288"/>
    </row>
    <row r="52815" spans="18:18" s="2" customFormat="1" ht="12.75" x14ac:dyDescent="0.2">
      <c r="R52815" s="1288"/>
    </row>
    <row r="52816" spans="18:18" s="2" customFormat="1" ht="12.75" x14ac:dyDescent="0.2">
      <c r="R52816" s="1288"/>
    </row>
    <row r="52817" spans="18:18" s="2" customFormat="1" ht="12.75" x14ac:dyDescent="0.2">
      <c r="R52817" s="1288"/>
    </row>
    <row r="52818" spans="18:18" s="2" customFormat="1" ht="12.75" x14ac:dyDescent="0.2">
      <c r="R52818" s="1288"/>
    </row>
    <row r="52819" spans="18:18" s="2" customFormat="1" ht="12.75" x14ac:dyDescent="0.2">
      <c r="R52819" s="1288"/>
    </row>
    <row r="52820" spans="18:18" s="2" customFormat="1" ht="12.75" x14ac:dyDescent="0.2">
      <c r="R52820" s="1288"/>
    </row>
    <row r="52821" spans="18:18" s="2" customFormat="1" ht="12.75" x14ac:dyDescent="0.2">
      <c r="R52821" s="1288"/>
    </row>
    <row r="52822" spans="18:18" s="2" customFormat="1" ht="12.75" x14ac:dyDescent="0.2">
      <c r="R52822" s="1288"/>
    </row>
    <row r="52823" spans="18:18" s="2" customFormat="1" ht="12.75" x14ac:dyDescent="0.2">
      <c r="R52823" s="1288"/>
    </row>
    <row r="52824" spans="18:18" s="2" customFormat="1" ht="12.75" x14ac:dyDescent="0.2">
      <c r="R52824" s="1288"/>
    </row>
    <row r="52825" spans="18:18" s="2" customFormat="1" ht="12.75" x14ac:dyDescent="0.2">
      <c r="R52825" s="1288"/>
    </row>
    <row r="52826" spans="18:18" s="2" customFormat="1" ht="12.75" x14ac:dyDescent="0.2">
      <c r="R52826" s="1288"/>
    </row>
    <row r="52827" spans="18:18" s="2" customFormat="1" ht="12.75" x14ac:dyDescent="0.2">
      <c r="R52827" s="1288"/>
    </row>
    <row r="52828" spans="18:18" s="2" customFormat="1" ht="12.75" x14ac:dyDescent="0.2">
      <c r="R52828" s="1288"/>
    </row>
    <row r="52829" spans="18:18" s="2" customFormat="1" ht="12.75" x14ac:dyDescent="0.2">
      <c r="R52829" s="1288"/>
    </row>
    <row r="52830" spans="18:18" s="2" customFormat="1" ht="12.75" x14ac:dyDescent="0.2">
      <c r="R52830" s="1288"/>
    </row>
    <row r="52831" spans="18:18" s="2" customFormat="1" ht="12.75" x14ac:dyDescent="0.2">
      <c r="R52831" s="1288"/>
    </row>
    <row r="52832" spans="18:18" s="2" customFormat="1" ht="12.75" x14ac:dyDescent="0.2">
      <c r="R52832" s="1288"/>
    </row>
    <row r="52833" spans="18:18" s="2" customFormat="1" ht="12.75" x14ac:dyDescent="0.2">
      <c r="R52833" s="1288"/>
    </row>
    <row r="52834" spans="18:18" s="2" customFormat="1" ht="12.75" x14ac:dyDescent="0.2">
      <c r="R52834" s="1288"/>
    </row>
    <row r="52835" spans="18:18" s="2" customFormat="1" ht="12.75" x14ac:dyDescent="0.2">
      <c r="R52835" s="1288"/>
    </row>
    <row r="52836" spans="18:18" s="2" customFormat="1" ht="12.75" x14ac:dyDescent="0.2">
      <c r="R52836" s="1288"/>
    </row>
    <row r="52837" spans="18:18" s="2" customFormat="1" ht="12.75" x14ac:dyDescent="0.2">
      <c r="R52837" s="1288"/>
    </row>
    <row r="52838" spans="18:18" s="2" customFormat="1" ht="12.75" x14ac:dyDescent="0.2">
      <c r="R52838" s="1288"/>
    </row>
    <row r="52839" spans="18:18" s="2" customFormat="1" ht="12.75" x14ac:dyDescent="0.2">
      <c r="R52839" s="1288"/>
    </row>
    <row r="52840" spans="18:18" s="2" customFormat="1" ht="12.75" x14ac:dyDescent="0.2">
      <c r="R52840" s="1288"/>
    </row>
    <row r="52841" spans="18:18" s="2" customFormat="1" ht="12.75" x14ac:dyDescent="0.2">
      <c r="R52841" s="1288"/>
    </row>
    <row r="52842" spans="18:18" s="2" customFormat="1" ht="12.75" x14ac:dyDescent="0.2">
      <c r="R52842" s="1288"/>
    </row>
    <row r="52843" spans="18:18" s="2" customFormat="1" ht="12.75" x14ac:dyDescent="0.2">
      <c r="R52843" s="1288"/>
    </row>
    <row r="52844" spans="18:18" s="2" customFormat="1" ht="12.75" x14ac:dyDescent="0.2">
      <c r="R52844" s="1288"/>
    </row>
    <row r="52845" spans="18:18" s="2" customFormat="1" ht="12.75" x14ac:dyDescent="0.2">
      <c r="R52845" s="1288"/>
    </row>
    <row r="52846" spans="18:18" s="2" customFormat="1" ht="12.75" x14ac:dyDescent="0.2">
      <c r="R52846" s="1288"/>
    </row>
    <row r="52847" spans="18:18" s="2" customFormat="1" ht="12.75" x14ac:dyDescent="0.2">
      <c r="R52847" s="1288"/>
    </row>
    <row r="52848" spans="18:18" s="2" customFormat="1" ht="12.75" x14ac:dyDescent="0.2">
      <c r="R52848" s="1288"/>
    </row>
    <row r="52849" spans="18:18" s="2" customFormat="1" ht="12.75" x14ac:dyDescent="0.2">
      <c r="R52849" s="1288"/>
    </row>
    <row r="52850" spans="18:18" s="2" customFormat="1" ht="12.75" x14ac:dyDescent="0.2">
      <c r="R52850" s="1288"/>
    </row>
    <row r="52851" spans="18:18" s="2" customFormat="1" ht="12.75" x14ac:dyDescent="0.2">
      <c r="R52851" s="1288"/>
    </row>
    <row r="52852" spans="18:18" s="2" customFormat="1" ht="12.75" x14ac:dyDescent="0.2">
      <c r="R52852" s="1288"/>
    </row>
    <row r="52853" spans="18:18" s="2" customFormat="1" ht="12.75" x14ac:dyDescent="0.2">
      <c r="R52853" s="1288"/>
    </row>
    <row r="52854" spans="18:18" s="2" customFormat="1" ht="12.75" x14ac:dyDescent="0.2">
      <c r="R52854" s="1288"/>
    </row>
    <row r="52855" spans="18:18" s="2" customFormat="1" ht="12.75" x14ac:dyDescent="0.2">
      <c r="R52855" s="1288"/>
    </row>
    <row r="52856" spans="18:18" s="2" customFormat="1" ht="12.75" x14ac:dyDescent="0.2">
      <c r="R52856" s="1288"/>
    </row>
    <row r="52857" spans="18:18" s="2" customFormat="1" ht="12.75" x14ac:dyDescent="0.2">
      <c r="R52857" s="1288"/>
    </row>
    <row r="52858" spans="18:18" s="2" customFormat="1" ht="12.75" x14ac:dyDescent="0.2">
      <c r="R52858" s="1288"/>
    </row>
    <row r="52859" spans="18:18" s="2" customFormat="1" ht="12.75" x14ac:dyDescent="0.2">
      <c r="R52859" s="1288"/>
    </row>
    <row r="52860" spans="18:18" s="2" customFormat="1" ht="12.75" x14ac:dyDescent="0.2">
      <c r="R52860" s="1288"/>
    </row>
    <row r="52861" spans="18:18" s="2" customFormat="1" ht="12.75" x14ac:dyDescent="0.2">
      <c r="R52861" s="1288"/>
    </row>
    <row r="52862" spans="18:18" s="2" customFormat="1" ht="12.75" x14ac:dyDescent="0.2">
      <c r="R52862" s="1288"/>
    </row>
    <row r="52863" spans="18:18" s="2" customFormat="1" ht="12.75" x14ac:dyDescent="0.2">
      <c r="R52863" s="1288"/>
    </row>
    <row r="52864" spans="18:18" s="2" customFormat="1" ht="12.75" x14ac:dyDescent="0.2">
      <c r="R52864" s="1288"/>
    </row>
    <row r="52865" spans="18:18" s="2" customFormat="1" ht="12.75" x14ac:dyDescent="0.2">
      <c r="R52865" s="1288"/>
    </row>
    <row r="52866" spans="18:18" s="2" customFormat="1" ht="12.75" x14ac:dyDescent="0.2">
      <c r="R52866" s="1288"/>
    </row>
    <row r="52867" spans="18:18" s="2" customFormat="1" ht="12.75" x14ac:dyDescent="0.2">
      <c r="R52867" s="1288"/>
    </row>
    <row r="52868" spans="18:18" s="2" customFormat="1" ht="12.75" x14ac:dyDescent="0.2">
      <c r="R52868" s="1288"/>
    </row>
    <row r="52869" spans="18:18" s="2" customFormat="1" ht="12.75" x14ac:dyDescent="0.2">
      <c r="R52869" s="1288"/>
    </row>
    <row r="52870" spans="18:18" s="2" customFormat="1" ht="12.75" x14ac:dyDescent="0.2">
      <c r="R52870" s="1288"/>
    </row>
    <row r="52871" spans="18:18" s="2" customFormat="1" ht="12.75" x14ac:dyDescent="0.2">
      <c r="R52871" s="1288"/>
    </row>
    <row r="52872" spans="18:18" s="2" customFormat="1" ht="12.75" x14ac:dyDescent="0.2">
      <c r="R52872" s="1288"/>
    </row>
    <row r="52873" spans="18:18" s="2" customFormat="1" ht="12.75" x14ac:dyDescent="0.2">
      <c r="R52873" s="1288"/>
    </row>
    <row r="52874" spans="18:18" s="2" customFormat="1" ht="12.75" x14ac:dyDescent="0.2">
      <c r="R52874" s="1288"/>
    </row>
    <row r="52875" spans="18:18" s="2" customFormat="1" ht="12.75" x14ac:dyDescent="0.2">
      <c r="R52875" s="1288"/>
    </row>
    <row r="52876" spans="18:18" s="2" customFormat="1" ht="12.75" x14ac:dyDescent="0.2">
      <c r="R52876" s="1288"/>
    </row>
    <row r="52877" spans="18:18" s="2" customFormat="1" ht="12.75" x14ac:dyDescent="0.2">
      <c r="R52877" s="1288"/>
    </row>
    <row r="52878" spans="18:18" s="2" customFormat="1" ht="12.75" x14ac:dyDescent="0.2">
      <c r="R52878" s="1288"/>
    </row>
    <row r="52879" spans="18:18" s="2" customFormat="1" ht="12.75" x14ac:dyDescent="0.2">
      <c r="R52879" s="1288"/>
    </row>
    <row r="52880" spans="18:18" s="2" customFormat="1" ht="12.75" x14ac:dyDescent="0.2">
      <c r="R52880" s="1288"/>
    </row>
    <row r="52881" spans="18:18" s="2" customFormat="1" ht="12.75" x14ac:dyDescent="0.2">
      <c r="R52881" s="1288"/>
    </row>
    <row r="52882" spans="18:18" s="2" customFormat="1" ht="12.75" x14ac:dyDescent="0.2">
      <c r="R52882" s="1288"/>
    </row>
    <row r="52883" spans="18:18" s="2" customFormat="1" ht="12.75" x14ac:dyDescent="0.2">
      <c r="R52883" s="1288"/>
    </row>
    <row r="52884" spans="18:18" s="2" customFormat="1" ht="12.75" x14ac:dyDescent="0.2">
      <c r="R52884" s="1288"/>
    </row>
    <row r="52885" spans="18:18" s="2" customFormat="1" ht="12.75" x14ac:dyDescent="0.2">
      <c r="R52885" s="1288"/>
    </row>
    <row r="52886" spans="18:18" s="2" customFormat="1" ht="12.75" x14ac:dyDescent="0.2">
      <c r="R52886" s="1288"/>
    </row>
    <row r="52887" spans="18:18" s="2" customFormat="1" ht="12.75" x14ac:dyDescent="0.2">
      <c r="R52887" s="1288"/>
    </row>
    <row r="52888" spans="18:18" s="2" customFormat="1" ht="12.75" x14ac:dyDescent="0.2">
      <c r="R52888" s="1288"/>
    </row>
    <row r="52889" spans="18:18" s="2" customFormat="1" ht="12.75" x14ac:dyDescent="0.2">
      <c r="R52889" s="1288"/>
    </row>
    <row r="52890" spans="18:18" s="2" customFormat="1" ht="12.75" x14ac:dyDescent="0.2">
      <c r="R52890" s="1288"/>
    </row>
    <row r="52891" spans="18:18" s="2" customFormat="1" ht="12.75" x14ac:dyDescent="0.2">
      <c r="R52891" s="1288"/>
    </row>
    <row r="52892" spans="18:18" s="2" customFormat="1" ht="12.75" x14ac:dyDescent="0.2">
      <c r="R52892" s="1288"/>
    </row>
    <row r="52893" spans="18:18" s="2" customFormat="1" ht="12.75" x14ac:dyDescent="0.2">
      <c r="R52893" s="1288"/>
    </row>
    <row r="52894" spans="18:18" s="2" customFormat="1" ht="12.75" x14ac:dyDescent="0.2">
      <c r="R52894" s="1288"/>
    </row>
    <row r="52895" spans="18:18" s="2" customFormat="1" ht="12.75" x14ac:dyDescent="0.2">
      <c r="R52895" s="1288"/>
    </row>
    <row r="52896" spans="18:18" s="2" customFormat="1" ht="12.75" x14ac:dyDescent="0.2">
      <c r="R52896" s="1288"/>
    </row>
    <row r="52897" spans="18:18" s="2" customFormat="1" ht="12.75" x14ac:dyDescent="0.2">
      <c r="R52897" s="1288"/>
    </row>
    <row r="52898" spans="18:18" s="2" customFormat="1" ht="12.75" x14ac:dyDescent="0.2">
      <c r="R52898" s="1288"/>
    </row>
    <row r="52899" spans="18:18" s="2" customFormat="1" ht="12.75" x14ac:dyDescent="0.2">
      <c r="R52899" s="1288"/>
    </row>
    <row r="52900" spans="18:18" s="2" customFormat="1" ht="12.75" x14ac:dyDescent="0.2">
      <c r="R52900" s="1288"/>
    </row>
    <row r="52901" spans="18:18" s="2" customFormat="1" ht="12.75" x14ac:dyDescent="0.2">
      <c r="R52901" s="1288"/>
    </row>
    <row r="52902" spans="18:18" s="2" customFormat="1" ht="12.75" x14ac:dyDescent="0.2">
      <c r="R52902" s="1288"/>
    </row>
    <row r="52903" spans="18:18" s="2" customFormat="1" ht="12.75" x14ac:dyDescent="0.2">
      <c r="R52903" s="1288"/>
    </row>
    <row r="52904" spans="18:18" s="2" customFormat="1" ht="12.75" x14ac:dyDescent="0.2">
      <c r="R52904" s="1288"/>
    </row>
    <row r="52905" spans="18:18" s="2" customFormat="1" ht="12.75" x14ac:dyDescent="0.2">
      <c r="R52905" s="1288"/>
    </row>
    <row r="52906" spans="18:18" s="2" customFormat="1" ht="12.75" x14ac:dyDescent="0.2">
      <c r="R52906" s="1288"/>
    </row>
    <row r="52907" spans="18:18" s="2" customFormat="1" ht="12.75" x14ac:dyDescent="0.2">
      <c r="R52907" s="1288"/>
    </row>
    <row r="52908" spans="18:18" s="2" customFormat="1" ht="12.75" x14ac:dyDescent="0.2">
      <c r="R52908" s="1288"/>
    </row>
    <row r="52909" spans="18:18" s="2" customFormat="1" ht="12.75" x14ac:dyDescent="0.2">
      <c r="R52909" s="1288"/>
    </row>
    <row r="52910" spans="18:18" s="2" customFormat="1" ht="12.75" x14ac:dyDescent="0.2">
      <c r="R52910" s="1288"/>
    </row>
    <row r="52911" spans="18:18" s="2" customFormat="1" ht="12.75" x14ac:dyDescent="0.2">
      <c r="R52911" s="1288"/>
    </row>
    <row r="52912" spans="18:18" s="2" customFormat="1" ht="12.75" x14ac:dyDescent="0.2">
      <c r="R52912" s="1288"/>
    </row>
    <row r="52913" spans="18:18" s="2" customFormat="1" ht="12.75" x14ac:dyDescent="0.2">
      <c r="R52913" s="1288"/>
    </row>
    <row r="52914" spans="18:18" s="2" customFormat="1" ht="12.75" x14ac:dyDescent="0.2">
      <c r="R52914" s="1288"/>
    </row>
    <row r="52915" spans="18:18" s="2" customFormat="1" ht="12.75" x14ac:dyDescent="0.2">
      <c r="R52915" s="1288"/>
    </row>
    <row r="52916" spans="18:18" s="2" customFormat="1" ht="12.75" x14ac:dyDescent="0.2">
      <c r="R52916" s="1288"/>
    </row>
    <row r="52917" spans="18:18" s="2" customFormat="1" ht="12.75" x14ac:dyDescent="0.2">
      <c r="R52917" s="1288"/>
    </row>
    <row r="52918" spans="18:18" s="2" customFormat="1" ht="12.75" x14ac:dyDescent="0.2">
      <c r="R52918" s="1288"/>
    </row>
    <row r="52919" spans="18:18" s="2" customFormat="1" ht="12.75" x14ac:dyDescent="0.2">
      <c r="R52919" s="1288"/>
    </row>
    <row r="52920" spans="18:18" s="2" customFormat="1" ht="12.75" x14ac:dyDescent="0.2">
      <c r="R52920" s="1288"/>
    </row>
    <row r="52921" spans="18:18" s="2" customFormat="1" ht="12.75" x14ac:dyDescent="0.2">
      <c r="R52921" s="1288"/>
    </row>
    <row r="52922" spans="18:18" s="2" customFormat="1" ht="12.75" x14ac:dyDescent="0.2">
      <c r="R52922" s="1288"/>
    </row>
    <row r="52923" spans="18:18" s="2" customFormat="1" ht="12.75" x14ac:dyDescent="0.2">
      <c r="R52923" s="1288"/>
    </row>
    <row r="52924" spans="18:18" s="2" customFormat="1" ht="12.75" x14ac:dyDescent="0.2">
      <c r="R52924" s="1288"/>
    </row>
    <row r="52925" spans="18:18" s="2" customFormat="1" ht="12.75" x14ac:dyDescent="0.2">
      <c r="R52925" s="1288"/>
    </row>
    <row r="52926" spans="18:18" s="2" customFormat="1" ht="12.75" x14ac:dyDescent="0.2">
      <c r="R52926" s="1288"/>
    </row>
    <row r="52927" spans="18:18" s="2" customFormat="1" ht="12.75" x14ac:dyDescent="0.2">
      <c r="R52927" s="1288"/>
    </row>
    <row r="52928" spans="18:18" s="2" customFormat="1" ht="12.75" x14ac:dyDescent="0.2">
      <c r="R52928" s="1288"/>
    </row>
    <row r="52929" spans="18:18" s="2" customFormat="1" ht="12.75" x14ac:dyDescent="0.2">
      <c r="R52929" s="1288"/>
    </row>
    <row r="52930" spans="18:18" s="2" customFormat="1" ht="12.75" x14ac:dyDescent="0.2">
      <c r="R52930" s="1288"/>
    </row>
    <row r="52931" spans="18:18" s="2" customFormat="1" ht="12.75" x14ac:dyDescent="0.2">
      <c r="R52931" s="1288"/>
    </row>
    <row r="52932" spans="18:18" s="2" customFormat="1" ht="12.75" x14ac:dyDescent="0.2">
      <c r="R52932" s="1288"/>
    </row>
    <row r="52933" spans="18:18" s="2" customFormat="1" ht="12.75" x14ac:dyDescent="0.2">
      <c r="R52933" s="1288"/>
    </row>
    <row r="52934" spans="18:18" s="2" customFormat="1" ht="12.75" x14ac:dyDescent="0.2">
      <c r="R52934" s="1288"/>
    </row>
    <row r="52935" spans="18:18" s="2" customFormat="1" ht="12.75" x14ac:dyDescent="0.2">
      <c r="R52935" s="1288"/>
    </row>
    <row r="52936" spans="18:18" s="2" customFormat="1" ht="12.75" x14ac:dyDescent="0.2">
      <c r="R52936" s="1288"/>
    </row>
    <row r="52937" spans="18:18" s="2" customFormat="1" ht="12.75" x14ac:dyDescent="0.2">
      <c r="R52937" s="1288"/>
    </row>
    <row r="52938" spans="18:18" s="2" customFormat="1" ht="12.75" x14ac:dyDescent="0.2">
      <c r="R52938" s="1288"/>
    </row>
    <row r="52939" spans="18:18" s="2" customFormat="1" ht="12.75" x14ac:dyDescent="0.2">
      <c r="R52939" s="1288"/>
    </row>
    <row r="52940" spans="18:18" s="2" customFormat="1" ht="12.75" x14ac:dyDescent="0.2">
      <c r="R52940" s="1288"/>
    </row>
    <row r="52941" spans="18:18" s="2" customFormat="1" ht="12.75" x14ac:dyDescent="0.2">
      <c r="R52941" s="1288"/>
    </row>
    <row r="52942" spans="18:18" s="2" customFormat="1" ht="12.75" x14ac:dyDescent="0.2">
      <c r="R52942" s="1288"/>
    </row>
    <row r="52943" spans="18:18" s="2" customFormat="1" ht="12.75" x14ac:dyDescent="0.2">
      <c r="R52943" s="1288"/>
    </row>
    <row r="52944" spans="18:18" s="2" customFormat="1" ht="12.75" x14ac:dyDescent="0.2">
      <c r="R52944" s="1288"/>
    </row>
    <row r="52945" spans="18:18" s="2" customFormat="1" ht="12.75" x14ac:dyDescent="0.2">
      <c r="R52945" s="1288"/>
    </row>
    <row r="52946" spans="18:18" s="2" customFormat="1" ht="12.75" x14ac:dyDescent="0.2">
      <c r="R52946" s="1288"/>
    </row>
    <row r="52947" spans="18:18" s="2" customFormat="1" ht="12.75" x14ac:dyDescent="0.2">
      <c r="R52947" s="1288"/>
    </row>
    <row r="52948" spans="18:18" s="2" customFormat="1" ht="12.75" x14ac:dyDescent="0.2">
      <c r="R52948" s="1288"/>
    </row>
    <row r="52949" spans="18:18" s="2" customFormat="1" ht="12.75" x14ac:dyDescent="0.2">
      <c r="R52949" s="1288"/>
    </row>
    <row r="52950" spans="18:18" s="2" customFormat="1" ht="12.75" x14ac:dyDescent="0.2">
      <c r="R52950" s="1288"/>
    </row>
    <row r="52951" spans="18:18" s="2" customFormat="1" ht="12.75" x14ac:dyDescent="0.2">
      <c r="R52951" s="1288"/>
    </row>
    <row r="52952" spans="18:18" s="2" customFormat="1" ht="12.75" x14ac:dyDescent="0.2">
      <c r="R52952" s="1288"/>
    </row>
    <row r="52953" spans="18:18" s="2" customFormat="1" ht="12.75" x14ac:dyDescent="0.2">
      <c r="R52953" s="1288"/>
    </row>
    <row r="52954" spans="18:18" s="2" customFormat="1" ht="12.75" x14ac:dyDescent="0.2">
      <c r="R52954" s="1288"/>
    </row>
    <row r="52955" spans="18:18" s="2" customFormat="1" ht="12.75" x14ac:dyDescent="0.2">
      <c r="R52955" s="1288"/>
    </row>
    <row r="52956" spans="18:18" s="2" customFormat="1" ht="12.75" x14ac:dyDescent="0.2">
      <c r="R52956" s="1288"/>
    </row>
    <row r="52957" spans="18:18" s="2" customFormat="1" ht="12.75" x14ac:dyDescent="0.2">
      <c r="R52957" s="1288"/>
    </row>
    <row r="52958" spans="18:18" s="2" customFormat="1" ht="12.75" x14ac:dyDescent="0.2">
      <c r="R52958" s="1288"/>
    </row>
    <row r="52959" spans="18:18" s="2" customFormat="1" ht="12.75" x14ac:dyDescent="0.2">
      <c r="R52959" s="1288"/>
    </row>
    <row r="52960" spans="18:18" s="2" customFormat="1" ht="12.75" x14ac:dyDescent="0.2">
      <c r="R52960" s="1288"/>
    </row>
    <row r="52961" spans="18:18" s="2" customFormat="1" ht="12.75" x14ac:dyDescent="0.2">
      <c r="R52961" s="1288"/>
    </row>
    <row r="52962" spans="18:18" s="2" customFormat="1" ht="12.75" x14ac:dyDescent="0.2">
      <c r="R52962" s="1288"/>
    </row>
    <row r="52963" spans="18:18" s="2" customFormat="1" ht="12.75" x14ac:dyDescent="0.2">
      <c r="R52963" s="1288"/>
    </row>
    <row r="52964" spans="18:18" s="2" customFormat="1" ht="12.75" x14ac:dyDescent="0.2">
      <c r="R52964" s="1288"/>
    </row>
    <row r="52965" spans="18:18" s="2" customFormat="1" ht="12.75" x14ac:dyDescent="0.2">
      <c r="R52965" s="1288"/>
    </row>
    <row r="52966" spans="18:18" s="2" customFormat="1" ht="12.75" x14ac:dyDescent="0.2">
      <c r="R52966" s="1288"/>
    </row>
    <row r="52967" spans="18:18" s="2" customFormat="1" ht="12.75" x14ac:dyDescent="0.2">
      <c r="R52967" s="1288"/>
    </row>
    <row r="52968" spans="18:18" s="2" customFormat="1" ht="12.75" x14ac:dyDescent="0.2">
      <c r="R52968" s="1288"/>
    </row>
    <row r="52969" spans="18:18" s="2" customFormat="1" ht="12.75" x14ac:dyDescent="0.2">
      <c r="R52969" s="1288"/>
    </row>
    <row r="52970" spans="18:18" s="2" customFormat="1" ht="12.75" x14ac:dyDescent="0.2">
      <c r="R52970" s="1288"/>
    </row>
    <row r="52971" spans="18:18" s="2" customFormat="1" ht="12.75" x14ac:dyDescent="0.2">
      <c r="R52971" s="1288"/>
    </row>
    <row r="52972" spans="18:18" s="2" customFormat="1" ht="12.75" x14ac:dyDescent="0.2">
      <c r="R52972" s="1288"/>
    </row>
    <row r="52973" spans="18:18" s="2" customFormat="1" ht="12.75" x14ac:dyDescent="0.2">
      <c r="R52973" s="1288"/>
    </row>
    <row r="52974" spans="18:18" s="2" customFormat="1" ht="12.75" x14ac:dyDescent="0.2">
      <c r="R52974" s="1288"/>
    </row>
    <row r="52975" spans="18:18" s="2" customFormat="1" ht="12.75" x14ac:dyDescent="0.2">
      <c r="R52975" s="1288"/>
    </row>
    <row r="52976" spans="18:18" s="2" customFormat="1" ht="12.75" x14ac:dyDescent="0.2">
      <c r="R52976" s="1288"/>
    </row>
    <row r="52977" spans="18:18" s="2" customFormat="1" ht="12.75" x14ac:dyDescent="0.2">
      <c r="R52977" s="1288"/>
    </row>
    <row r="52978" spans="18:18" s="2" customFormat="1" ht="12.75" x14ac:dyDescent="0.2">
      <c r="R52978" s="1288"/>
    </row>
    <row r="52979" spans="18:18" s="2" customFormat="1" ht="12.75" x14ac:dyDescent="0.2">
      <c r="R52979" s="1288"/>
    </row>
    <row r="52980" spans="18:18" s="2" customFormat="1" ht="12.75" x14ac:dyDescent="0.2">
      <c r="R52980" s="1288"/>
    </row>
    <row r="52981" spans="18:18" s="2" customFormat="1" ht="12.75" x14ac:dyDescent="0.2">
      <c r="R52981" s="1288"/>
    </row>
    <row r="52982" spans="18:18" s="2" customFormat="1" ht="12.75" x14ac:dyDescent="0.2">
      <c r="R52982" s="1288"/>
    </row>
    <row r="52983" spans="18:18" s="2" customFormat="1" ht="12.75" x14ac:dyDescent="0.2">
      <c r="R52983" s="1288"/>
    </row>
    <row r="52984" spans="18:18" s="2" customFormat="1" ht="12.75" x14ac:dyDescent="0.2">
      <c r="R52984" s="1288"/>
    </row>
    <row r="52985" spans="18:18" s="2" customFormat="1" ht="12.75" x14ac:dyDescent="0.2">
      <c r="R52985" s="1288"/>
    </row>
    <row r="52986" spans="18:18" s="2" customFormat="1" ht="12.75" x14ac:dyDescent="0.2">
      <c r="R52986" s="1288"/>
    </row>
    <row r="52987" spans="18:18" s="2" customFormat="1" ht="12.75" x14ac:dyDescent="0.2">
      <c r="R52987" s="1288"/>
    </row>
    <row r="52988" spans="18:18" s="2" customFormat="1" ht="12.75" x14ac:dyDescent="0.2">
      <c r="R52988" s="1288"/>
    </row>
    <row r="52989" spans="18:18" s="2" customFormat="1" ht="12.75" x14ac:dyDescent="0.2">
      <c r="R52989" s="1288"/>
    </row>
    <row r="52990" spans="18:18" s="2" customFormat="1" ht="12.75" x14ac:dyDescent="0.2">
      <c r="R52990" s="1288"/>
    </row>
    <row r="52991" spans="18:18" s="2" customFormat="1" ht="12.75" x14ac:dyDescent="0.2">
      <c r="R52991" s="1288"/>
    </row>
    <row r="52992" spans="18:18" s="2" customFormat="1" ht="12.75" x14ac:dyDescent="0.2">
      <c r="R52992" s="1288"/>
    </row>
    <row r="52993" spans="18:18" s="2" customFormat="1" ht="12.75" x14ac:dyDescent="0.2">
      <c r="R52993" s="1288"/>
    </row>
    <row r="52994" spans="18:18" s="2" customFormat="1" ht="12.75" x14ac:dyDescent="0.2">
      <c r="R52994" s="1288"/>
    </row>
    <row r="52995" spans="18:18" s="2" customFormat="1" ht="12.75" x14ac:dyDescent="0.2">
      <c r="R52995" s="1288"/>
    </row>
    <row r="52996" spans="18:18" s="2" customFormat="1" ht="12.75" x14ac:dyDescent="0.2">
      <c r="R52996" s="1288"/>
    </row>
    <row r="52997" spans="18:18" s="2" customFormat="1" ht="12.75" x14ac:dyDescent="0.2">
      <c r="R52997" s="1288"/>
    </row>
    <row r="52998" spans="18:18" s="2" customFormat="1" ht="12.75" x14ac:dyDescent="0.2">
      <c r="R52998" s="1288"/>
    </row>
    <row r="52999" spans="18:18" s="2" customFormat="1" ht="12.75" x14ac:dyDescent="0.2">
      <c r="R52999" s="1288"/>
    </row>
    <row r="53000" spans="18:18" s="2" customFormat="1" ht="12.75" x14ac:dyDescent="0.2">
      <c r="R53000" s="1288"/>
    </row>
    <row r="53001" spans="18:18" s="2" customFormat="1" ht="12.75" x14ac:dyDescent="0.2">
      <c r="R53001" s="1288"/>
    </row>
    <row r="53002" spans="18:18" s="2" customFormat="1" ht="12.75" x14ac:dyDescent="0.2">
      <c r="R53002" s="1288"/>
    </row>
    <row r="53003" spans="18:18" s="2" customFormat="1" ht="12.75" x14ac:dyDescent="0.2">
      <c r="R53003" s="1288"/>
    </row>
    <row r="53004" spans="18:18" s="2" customFormat="1" ht="12.75" x14ac:dyDescent="0.2">
      <c r="R53004" s="1288"/>
    </row>
    <row r="53005" spans="18:18" s="2" customFormat="1" ht="12.75" x14ac:dyDescent="0.2">
      <c r="R53005" s="1288"/>
    </row>
    <row r="53006" spans="18:18" s="2" customFormat="1" ht="12.75" x14ac:dyDescent="0.2">
      <c r="R53006" s="1288"/>
    </row>
    <row r="53007" spans="18:18" s="2" customFormat="1" ht="12.75" x14ac:dyDescent="0.2">
      <c r="R53007" s="1288"/>
    </row>
    <row r="53008" spans="18:18" s="2" customFormat="1" ht="12.75" x14ac:dyDescent="0.2">
      <c r="R53008" s="1288"/>
    </row>
    <row r="53009" spans="18:18" s="2" customFormat="1" ht="12.75" x14ac:dyDescent="0.2">
      <c r="R53009" s="1288"/>
    </row>
    <row r="53010" spans="18:18" s="2" customFormat="1" ht="12.75" x14ac:dyDescent="0.2">
      <c r="R53010" s="1288"/>
    </row>
    <row r="53011" spans="18:18" s="2" customFormat="1" ht="12.75" x14ac:dyDescent="0.2">
      <c r="R53011" s="1288"/>
    </row>
    <row r="53012" spans="18:18" s="2" customFormat="1" ht="12.75" x14ac:dyDescent="0.2">
      <c r="R53012" s="1288"/>
    </row>
    <row r="53013" spans="18:18" s="2" customFormat="1" ht="12.75" x14ac:dyDescent="0.2">
      <c r="R53013" s="1288"/>
    </row>
    <row r="53014" spans="18:18" s="2" customFormat="1" ht="12.75" x14ac:dyDescent="0.2">
      <c r="R53014" s="1288"/>
    </row>
    <row r="53015" spans="18:18" s="2" customFormat="1" ht="12.75" x14ac:dyDescent="0.2">
      <c r="R53015" s="1288"/>
    </row>
    <row r="53016" spans="18:18" s="2" customFormat="1" ht="12.75" x14ac:dyDescent="0.2">
      <c r="R53016" s="1288"/>
    </row>
    <row r="53017" spans="18:18" s="2" customFormat="1" ht="12.75" x14ac:dyDescent="0.2">
      <c r="R53017" s="1288"/>
    </row>
    <row r="53018" spans="18:18" s="2" customFormat="1" ht="12.75" x14ac:dyDescent="0.2">
      <c r="R53018" s="1288"/>
    </row>
    <row r="53019" spans="18:18" s="2" customFormat="1" ht="12.75" x14ac:dyDescent="0.2">
      <c r="R53019" s="1288"/>
    </row>
    <row r="53020" spans="18:18" s="2" customFormat="1" ht="12.75" x14ac:dyDescent="0.2">
      <c r="R53020" s="1288"/>
    </row>
    <row r="53021" spans="18:18" s="2" customFormat="1" ht="12.75" x14ac:dyDescent="0.2">
      <c r="R53021" s="1288"/>
    </row>
    <row r="53022" spans="18:18" s="2" customFormat="1" ht="12.75" x14ac:dyDescent="0.2">
      <c r="R53022" s="1288"/>
    </row>
    <row r="53023" spans="18:18" s="2" customFormat="1" ht="12.75" x14ac:dyDescent="0.2">
      <c r="R53023" s="1288"/>
    </row>
    <row r="53024" spans="18:18" s="2" customFormat="1" ht="12.75" x14ac:dyDescent="0.2">
      <c r="R53024" s="1288"/>
    </row>
    <row r="53025" spans="18:18" s="2" customFormat="1" ht="12.75" x14ac:dyDescent="0.2">
      <c r="R53025" s="1288"/>
    </row>
    <row r="53026" spans="18:18" s="2" customFormat="1" ht="12.75" x14ac:dyDescent="0.2">
      <c r="R53026" s="1288"/>
    </row>
    <row r="53027" spans="18:18" s="2" customFormat="1" ht="12.75" x14ac:dyDescent="0.2">
      <c r="R53027" s="1288"/>
    </row>
    <row r="53028" spans="18:18" s="2" customFormat="1" ht="12.75" x14ac:dyDescent="0.2">
      <c r="R53028" s="1288"/>
    </row>
    <row r="53029" spans="18:18" s="2" customFormat="1" ht="12.75" x14ac:dyDescent="0.2">
      <c r="R53029" s="1288"/>
    </row>
    <row r="53030" spans="18:18" s="2" customFormat="1" ht="12.75" x14ac:dyDescent="0.2">
      <c r="R53030" s="1288"/>
    </row>
    <row r="53031" spans="18:18" s="2" customFormat="1" ht="12.75" x14ac:dyDescent="0.2">
      <c r="R53031" s="1288"/>
    </row>
    <row r="53032" spans="18:18" s="2" customFormat="1" ht="12.75" x14ac:dyDescent="0.2">
      <c r="R53032" s="1288"/>
    </row>
    <row r="53033" spans="18:18" s="2" customFormat="1" ht="12.75" x14ac:dyDescent="0.2">
      <c r="R53033" s="1288"/>
    </row>
    <row r="53034" spans="18:18" s="2" customFormat="1" ht="12.75" x14ac:dyDescent="0.2">
      <c r="R53034" s="1288"/>
    </row>
    <row r="53035" spans="18:18" s="2" customFormat="1" ht="12.75" x14ac:dyDescent="0.2">
      <c r="R53035" s="1288"/>
    </row>
    <row r="53036" spans="18:18" s="2" customFormat="1" ht="12.75" x14ac:dyDescent="0.2">
      <c r="R53036" s="1288"/>
    </row>
    <row r="53037" spans="18:18" s="2" customFormat="1" ht="12.75" x14ac:dyDescent="0.2">
      <c r="R53037" s="1288"/>
    </row>
    <row r="53038" spans="18:18" s="2" customFormat="1" ht="12.75" x14ac:dyDescent="0.2">
      <c r="R53038" s="1288"/>
    </row>
    <row r="53039" spans="18:18" s="2" customFormat="1" ht="12.75" x14ac:dyDescent="0.2">
      <c r="R53039" s="1288"/>
    </row>
    <row r="53040" spans="18:18" s="2" customFormat="1" ht="12.75" x14ac:dyDescent="0.2">
      <c r="R53040" s="1288"/>
    </row>
    <row r="53041" spans="18:18" s="2" customFormat="1" ht="12.75" x14ac:dyDescent="0.2">
      <c r="R53041" s="1288"/>
    </row>
    <row r="53042" spans="18:18" s="2" customFormat="1" ht="12.75" x14ac:dyDescent="0.2">
      <c r="R53042" s="1288"/>
    </row>
    <row r="53043" spans="18:18" s="2" customFormat="1" ht="12.75" x14ac:dyDescent="0.2">
      <c r="R53043" s="1288"/>
    </row>
    <row r="53044" spans="18:18" s="2" customFormat="1" ht="12.75" x14ac:dyDescent="0.2">
      <c r="R53044" s="1288"/>
    </row>
    <row r="53045" spans="18:18" s="2" customFormat="1" ht="12.75" x14ac:dyDescent="0.2">
      <c r="R53045" s="1288"/>
    </row>
    <row r="53046" spans="18:18" s="2" customFormat="1" ht="12.75" x14ac:dyDescent="0.2">
      <c r="R53046" s="1288"/>
    </row>
    <row r="53047" spans="18:18" s="2" customFormat="1" ht="12.75" x14ac:dyDescent="0.2">
      <c r="R53047" s="1288"/>
    </row>
    <row r="53048" spans="18:18" s="2" customFormat="1" ht="12.75" x14ac:dyDescent="0.2">
      <c r="R53048" s="1288"/>
    </row>
    <row r="53049" spans="18:18" s="2" customFormat="1" ht="12.75" x14ac:dyDescent="0.2">
      <c r="R53049" s="1288"/>
    </row>
    <row r="53050" spans="18:18" s="2" customFormat="1" ht="12.75" x14ac:dyDescent="0.2">
      <c r="R53050" s="1288"/>
    </row>
    <row r="53051" spans="18:18" s="2" customFormat="1" ht="12.75" x14ac:dyDescent="0.2">
      <c r="R53051" s="1288"/>
    </row>
    <row r="53052" spans="18:18" s="2" customFormat="1" ht="12.75" x14ac:dyDescent="0.2">
      <c r="R53052" s="1288"/>
    </row>
    <row r="53053" spans="18:18" s="2" customFormat="1" ht="12.75" x14ac:dyDescent="0.2">
      <c r="R53053" s="1288"/>
    </row>
    <row r="53054" spans="18:18" s="2" customFormat="1" ht="12.75" x14ac:dyDescent="0.2">
      <c r="R53054" s="1288"/>
    </row>
    <row r="53055" spans="18:18" s="2" customFormat="1" ht="12.75" x14ac:dyDescent="0.2">
      <c r="R53055" s="1288"/>
    </row>
    <row r="53056" spans="18:18" s="2" customFormat="1" ht="12.75" x14ac:dyDescent="0.2">
      <c r="R53056" s="1288"/>
    </row>
    <row r="53057" spans="18:18" s="2" customFormat="1" ht="12.75" x14ac:dyDescent="0.2">
      <c r="R53057" s="1288"/>
    </row>
    <row r="53058" spans="18:18" s="2" customFormat="1" ht="12.75" x14ac:dyDescent="0.2">
      <c r="R53058" s="1288"/>
    </row>
    <row r="53059" spans="18:18" s="2" customFormat="1" ht="12.75" x14ac:dyDescent="0.2">
      <c r="R53059" s="1288"/>
    </row>
    <row r="53060" spans="18:18" s="2" customFormat="1" ht="12.75" x14ac:dyDescent="0.2">
      <c r="R53060" s="1288"/>
    </row>
    <row r="53061" spans="18:18" s="2" customFormat="1" ht="12.75" x14ac:dyDescent="0.2">
      <c r="R53061" s="1288"/>
    </row>
    <row r="53062" spans="18:18" s="2" customFormat="1" ht="12.75" x14ac:dyDescent="0.2">
      <c r="R53062" s="1288"/>
    </row>
    <row r="53063" spans="18:18" s="2" customFormat="1" ht="12.75" x14ac:dyDescent="0.2">
      <c r="R53063" s="1288"/>
    </row>
    <row r="53064" spans="18:18" s="2" customFormat="1" ht="12.75" x14ac:dyDescent="0.2">
      <c r="R53064" s="1288"/>
    </row>
    <row r="53065" spans="18:18" s="2" customFormat="1" ht="12.75" x14ac:dyDescent="0.2">
      <c r="R53065" s="1288"/>
    </row>
    <row r="53066" spans="18:18" s="2" customFormat="1" ht="12.75" x14ac:dyDescent="0.2">
      <c r="R53066" s="1288"/>
    </row>
    <row r="53067" spans="18:18" s="2" customFormat="1" ht="12.75" x14ac:dyDescent="0.2">
      <c r="R53067" s="1288"/>
    </row>
    <row r="53068" spans="18:18" s="2" customFormat="1" ht="12.75" x14ac:dyDescent="0.2">
      <c r="R53068" s="1288"/>
    </row>
    <row r="53069" spans="18:18" s="2" customFormat="1" ht="12.75" x14ac:dyDescent="0.2">
      <c r="R53069" s="1288"/>
    </row>
    <row r="53070" spans="18:18" s="2" customFormat="1" ht="12.75" x14ac:dyDescent="0.2">
      <c r="R53070" s="1288"/>
    </row>
    <row r="53071" spans="18:18" s="2" customFormat="1" ht="12.75" x14ac:dyDescent="0.2">
      <c r="R53071" s="1288"/>
    </row>
    <row r="53072" spans="18:18" s="2" customFormat="1" ht="12.75" x14ac:dyDescent="0.2">
      <c r="R53072" s="1288"/>
    </row>
    <row r="53073" spans="18:18" s="2" customFormat="1" ht="12.75" x14ac:dyDescent="0.2">
      <c r="R53073" s="1288"/>
    </row>
    <row r="53074" spans="18:18" s="2" customFormat="1" ht="12.75" x14ac:dyDescent="0.2">
      <c r="R53074" s="1288"/>
    </row>
    <row r="53075" spans="18:18" s="2" customFormat="1" ht="12.75" x14ac:dyDescent="0.2">
      <c r="R53075" s="1288"/>
    </row>
    <row r="53076" spans="18:18" s="2" customFormat="1" ht="12.75" x14ac:dyDescent="0.2">
      <c r="R53076" s="1288"/>
    </row>
    <row r="53077" spans="18:18" s="2" customFormat="1" ht="12.75" x14ac:dyDescent="0.2">
      <c r="R53077" s="1288"/>
    </row>
    <row r="53078" spans="18:18" s="2" customFormat="1" ht="12.75" x14ac:dyDescent="0.2">
      <c r="R53078" s="1288"/>
    </row>
    <row r="53079" spans="18:18" s="2" customFormat="1" ht="12.75" x14ac:dyDescent="0.2">
      <c r="R53079" s="1288"/>
    </row>
    <row r="53080" spans="18:18" s="2" customFormat="1" ht="12.75" x14ac:dyDescent="0.2">
      <c r="R53080" s="1288"/>
    </row>
    <row r="53081" spans="18:18" s="2" customFormat="1" ht="12.75" x14ac:dyDescent="0.2">
      <c r="R53081" s="1288"/>
    </row>
    <row r="53082" spans="18:18" s="2" customFormat="1" ht="12.75" x14ac:dyDescent="0.2">
      <c r="R53082" s="1288"/>
    </row>
    <row r="53083" spans="18:18" s="2" customFormat="1" ht="12.75" x14ac:dyDescent="0.2">
      <c r="R53083" s="1288"/>
    </row>
    <row r="53084" spans="18:18" s="2" customFormat="1" ht="12.75" x14ac:dyDescent="0.2">
      <c r="R53084" s="1288"/>
    </row>
    <row r="53085" spans="18:18" s="2" customFormat="1" ht="12.75" x14ac:dyDescent="0.2">
      <c r="R53085" s="1288"/>
    </row>
    <row r="53086" spans="18:18" s="2" customFormat="1" ht="12.75" x14ac:dyDescent="0.2">
      <c r="R53086" s="1288"/>
    </row>
    <row r="53087" spans="18:18" s="2" customFormat="1" ht="12.75" x14ac:dyDescent="0.2">
      <c r="R53087" s="1288"/>
    </row>
    <row r="53088" spans="18:18" s="2" customFormat="1" ht="12.75" x14ac:dyDescent="0.2">
      <c r="R53088" s="1288"/>
    </row>
    <row r="53089" spans="18:18" s="2" customFormat="1" ht="12.75" x14ac:dyDescent="0.2">
      <c r="R53089" s="1288"/>
    </row>
    <row r="53090" spans="18:18" s="2" customFormat="1" ht="12.75" x14ac:dyDescent="0.2">
      <c r="R53090" s="1288"/>
    </row>
    <row r="53091" spans="18:18" s="2" customFormat="1" ht="12.75" x14ac:dyDescent="0.2">
      <c r="R53091" s="1288"/>
    </row>
    <row r="53092" spans="18:18" s="2" customFormat="1" ht="12.75" x14ac:dyDescent="0.2">
      <c r="R53092" s="1288"/>
    </row>
    <row r="53093" spans="18:18" s="2" customFormat="1" ht="12.75" x14ac:dyDescent="0.2">
      <c r="R53093" s="1288"/>
    </row>
    <row r="53094" spans="18:18" s="2" customFormat="1" ht="12.75" x14ac:dyDescent="0.2">
      <c r="R53094" s="1288"/>
    </row>
    <row r="53095" spans="18:18" s="2" customFormat="1" ht="12.75" x14ac:dyDescent="0.2">
      <c r="R53095" s="1288"/>
    </row>
    <row r="53096" spans="18:18" s="2" customFormat="1" ht="12.75" x14ac:dyDescent="0.2">
      <c r="R53096" s="1288"/>
    </row>
    <row r="53097" spans="18:18" s="2" customFormat="1" ht="12.75" x14ac:dyDescent="0.2">
      <c r="R53097" s="1288"/>
    </row>
    <row r="53098" spans="18:18" s="2" customFormat="1" ht="12.75" x14ac:dyDescent="0.2">
      <c r="R53098" s="1288"/>
    </row>
    <row r="53099" spans="18:18" s="2" customFormat="1" ht="12.75" x14ac:dyDescent="0.2">
      <c r="R53099" s="1288"/>
    </row>
    <row r="53100" spans="18:18" s="2" customFormat="1" ht="12.75" x14ac:dyDescent="0.2">
      <c r="R53100" s="1288"/>
    </row>
    <row r="53101" spans="18:18" s="2" customFormat="1" ht="12.75" x14ac:dyDescent="0.2">
      <c r="R53101" s="1288"/>
    </row>
    <row r="53102" spans="18:18" s="2" customFormat="1" ht="12.75" x14ac:dyDescent="0.2">
      <c r="R53102" s="1288"/>
    </row>
    <row r="53103" spans="18:18" s="2" customFormat="1" ht="12.75" x14ac:dyDescent="0.2">
      <c r="R53103" s="1288"/>
    </row>
    <row r="53104" spans="18:18" s="2" customFormat="1" ht="12.75" x14ac:dyDescent="0.2">
      <c r="R53104" s="1288"/>
    </row>
    <row r="53105" spans="18:18" s="2" customFormat="1" ht="12.75" x14ac:dyDescent="0.2">
      <c r="R53105" s="1288"/>
    </row>
    <row r="53106" spans="18:18" s="2" customFormat="1" ht="12.75" x14ac:dyDescent="0.2">
      <c r="R53106" s="1288"/>
    </row>
    <row r="53107" spans="18:18" s="2" customFormat="1" ht="12.75" x14ac:dyDescent="0.2">
      <c r="R53107" s="1288"/>
    </row>
    <row r="53108" spans="18:18" s="2" customFormat="1" ht="12.75" x14ac:dyDescent="0.2">
      <c r="R53108" s="1288"/>
    </row>
    <row r="53109" spans="18:18" s="2" customFormat="1" ht="12.75" x14ac:dyDescent="0.2">
      <c r="R53109" s="1288"/>
    </row>
    <row r="53110" spans="18:18" s="2" customFormat="1" ht="12.75" x14ac:dyDescent="0.2">
      <c r="R53110" s="1288"/>
    </row>
    <row r="53111" spans="18:18" s="2" customFormat="1" ht="12.75" x14ac:dyDescent="0.2">
      <c r="R53111" s="1288"/>
    </row>
    <row r="53112" spans="18:18" s="2" customFormat="1" ht="12.75" x14ac:dyDescent="0.2">
      <c r="R53112" s="1288"/>
    </row>
    <row r="53113" spans="18:18" s="2" customFormat="1" ht="12.75" x14ac:dyDescent="0.2">
      <c r="R53113" s="1288"/>
    </row>
    <row r="53114" spans="18:18" s="2" customFormat="1" ht="12.75" x14ac:dyDescent="0.2">
      <c r="R53114" s="1288"/>
    </row>
    <row r="53115" spans="18:18" s="2" customFormat="1" ht="12.75" x14ac:dyDescent="0.2">
      <c r="R53115" s="1288"/>
    </row>
    <row r="53116" spans="18:18" s="2" customFormat="1" ht="12.75" x14ac:dyDescent="0.2">
      <c r="R53116" s="1288"/>
    </row>
    <row r="53117" spans="18:18" s="2" customFormat="1" ht="12.75" x14ac:dyDescent="0.2">
      <c r="R53117" s="1288"/>
    </row>
    <row r="53118" spans="18:18" s="2" customFormat="1" ht="12.75" x14ac:dyDescent="0.2">
      <c r="R53118" s="1288"/>
    </row>
    <row r="53119" spans="18:18" s="2" customFormat="1" ht="12.75" x14ac:dyDescent="0.2">
      <c r="R53119" s="1288"/>
    </row>
    <row r="53120" spans="18:18" s="2" customFormat="1" ht="12.75" x14ac:dyDescent="0.2">
      <c r="R53120" s="1288"/>
    </row>
    <row r="53121" spans="18:18" s="2" customFormat="1" ht="12.75" x14ac:dyDescent="0.2">
      <c r="R53121" s="1288"/>
    </row>
    <row r="53122" spans="18:18" s="2" customFormat="1" ht="12.75" x14ac:dyDescent="0.2">
      <c r="R53122" s="1288"/>
    </row>
    <row r="53123" spans="18:18" s="2" customFormat="1" ht="12.75" x14ac:dyDescent="0.2">
      <c r="R53123" s="1288"/>
    </row>
    <row r="53124" spans="18:18" s="2" customFormat="1" ht="12.75" x14ac:dyDescent="0.2">
      <c r="R53124" s="1288"/>
    </row>
    <row r="53125" spans="18:18" s="2" customFormat="1" ht="12.75" x14ac:dyDescent="0.2">
      <c r="R53125" s="1288"/>
    </row>
    <row r="53126" spans="18:18" s="2" customFormat="1" ht="12.75" x14ac:dyDescent="0.2">
      <c r="R53126" s="1288"/>
    </row>
    <row r="53127" spans="18:18" s="2" customFormat="1" ht="12.75" x14ac:dyDescent="0.2">
      <c r="R53127" s="1288"/>
    </row>
    <row r="53128" spans="18:18" s="2" customFormat="1" ht="12.75" x14ac:dyDescent="0.2">
      <c r="R53128" s="1288"/>
    </row>
    <row r="53129" spans="18:18" s="2" customFormat="1" ht="12.75" x14ac:dyDescent="0.2">
      <c r="R53129" s="1288"/>
    </row>
    <row r="53130" spans="18:18" s="2" customFormat="1" ht="12.75" x14ac:dyDescent="0.2">
      <c r="R53130" s="1288"/>
    </row>
    <row r="53131" spans="18:18" s="2" customFormat="1" ht="12.75" x14ac:dyDescent="0.2">
      <c r="R53131" s="1288"/>
    </row>
    <row r="53132" spans="18:18" s="2" customFormat="1" ht="12.75" x14ac:dyDescent="0.2">
      <c r="R53132" s="1288"/>
    </row>
    <row r="53133" spans="18:18" s="2" customFormat="1" ht="12.75" x14ac:dyDescent="0.2">
      <c r="R53133" s="1288"/>
    </row>
    <row r="53134" spans="18:18" s="2" customFormat="1" ht="12.75" x14ac:dyDescent="0.2">
      <c r="R53134" s="1288"/>
    </row>
    <row r="53135" spans="18:18" s="2" customFormat="1" ht="12.75" x14ac:dyDescent="0.2">
      <c r="R53135" s="1288"/>
    </row>
    <row r="53136" spans="18:18" s="2" customFormat="1" ht="12.75" x14ac:dyDescent="0.2">
      <c r="R53136" s="1288"/>
    </row>
    <row r="53137" spans="18:18" s="2" customFormat="1" ht="12.75" x14ac:dyDescent="0.2">
      <c r="R53137" s="1288"/>
    </row>
    <row r="53138" spans="18:18" s="2" customFormat="1" ht="12.75" x14ac:dyDescent="0.2">
      <c r="R53138" s="1288"/>
    </row>
    <row r="53139" spans="18:18" s="2" customFormat="1" ht="12.75" x14ac:dyDescent="0.2">
      <c r="R53139" s="1288"/>
    </row>
    <row r="53140" spans="18:18" s="2" customFormat="1" ht="12.75" x14ac:dyDescent="0.2">
      <c r="R53140" s="1288"/>
    </row>
    <row r="53141" spans="18:18" s="2" customFormat="1" ht="12.75" x14ac:dyDescent="0.2">
      <c r="R53141" s="1288"/>
    </row>
    <row r="53142" spans="18:18" s="2" customFormat="1" ht="12.75" x14ac:dyDescent="0.2">
      <c r="R53142" s="1288"/>
    </row>
    <row r="53143" spans="18:18" s="2" customFormat="1" ht="12.75" x14ac:dyDescent="0.2">
      <c r="R53143" s="1288"/>
    </row>
    <row r="53144" spans="18:18" s="2" customFormat="1" ht="12.75" x14ac:dyDescent="0.2">
      <c r="R53144" s="1288"/>
    </row>
    <row r="53145" spans="18:18" s="2" customFormat="1" ht="12.75" x14ac:dyDescent="0.2">
      <c r="R53145" s="1288"/>
    </row>
    <row r="53146" spans="18:18" s="2" customFormat="1" ht="12.75" x14ac:dyDescent="0.2">
      <c r="R53146" s="1288"/>
    </row>
    <row r="53147" spans="18:18" s="2" customFormat="1" ht="12.75" x14ac:dyDescent="0.2">
      <c r="R53147" s="1288"/>
    </row>
    <row r="53148" spans="18:18" s="2" customFormat="1" ht="12.75" x14ac:dyDescent="0.2">
      <c r="R53148" s="1288"/>
    </row>
    <row r="53149" spans="18:18" s="2" customFormat="1" ht="12.75" x14ac:dyDescent="0.2">
      <c r="R53149" s="1288"/>
    </row>
    <row r="53150" spans="18:18" s="2" customFormat="1" ht="12.75" x14ac:dyDescent="0.2">
      <c r="R53150" s="1288"/>
    </row>
    <row r="53151" spans="18:18" s="2" customFormat="1" ht="12.75" x14ac:dyDescent="0.2">
      <c r="R53151" s="1288"/>
    </row>
    <row r="53152" spans="18:18" s="2" customFormat="1" ht="12.75" x14ac:dyDescent="0.2">
      <c r="R53152" s="1288"/>
    </row>
    <row r="53153" spans="18:18" s="2" customFormat="1" ht="12.75" x14ac:dyDescent="0.2">
      <c r="R53153" s="1288"/>
    </row>
    <row r="53154" spans="18:18" s="2" customFormat="1" ht="12.75" x14ac:dyDescent="0.2">
      <c r="R53154" s="1288"/>
    </row>
    <row r="53155" spans="18:18" s="2" customFormat="1" ht="12.75" x14ac:dyDescent="0.2">
      <c r="R53155" s="1288"/>
    </row>
    <row r="53156" spans="18:18" s="2" customFormat="1" ht="12.75" x14ac:dyDescent="0.2">
      <c r="R53156" s="1288"/>
    </row>
    <row r="53157" spans="18:18" s="2" customFormat="1" ht="12.75" x14ac:dyDescent="0.2">
      <c r="R53157" s="1288"/>
    </row>
    <row r="53158" spans="18:18" s="2" customFormat="1" ht="12.75" x14ac:dyDescent="0.2">
      <c r="R53158" s="1288"/>
    </row>
    <row r="53159" spans="18:18" s="2" customFormat="1" ht="12.75" x14ac:dyDescent="0.2">
      <c r="R53159" s="1288"/>
    </row>
    <row r="53160" spans="18:18" s="2" customFormat="1" ht="12.75" x14ac:dyDescent="0.2">
      <c r="R53160" s="1288"/>
    </row>
    <row r="53161" spans="18:18" s="2" customFormat="1" ht="12.75" x14ac:dyDescent="0.2">
      <c r="R53161" s="1288"/>
    </row>
    <row r="53162" spans="18:18" s="2" customFormat="1" ht="12.75" x14ac:dyDescent="0.2">
      <c r="R53162" s="1288"/>
    </row>
    <row r="53163" spans="18:18" s="2" customFormat="1" ht="12.75" x14ac:dyDescent="0.2">
      <c r="R53163" s="1288"/>
    </row>
    <row r="53164" spans="18:18" s="2" customFormat="1" ht="12.75" x14ac:dyDescent="0.2">
      <c r="R53164" s="1288"/>
    </row>
    <row r="53165" spans="18:18" s="2" customFormat="1" ht="12.75" x14ac:dyDescent="0.2">
      <c r="R53165" s="1288"/>
    </row>
    <row r="53166" spans="18:18" s="2" customFormat="1" ht="12.75" x14ac:dyDescent="0.2">
      <c r="R53166" s="1288"/>
    </row>
    <row r="53167" spans="18:18" s="2" customFormat="1" ht="12.75" x14ac:dyDescent="0.2">
      <c r="R53167" s="1288"/>
    </row>
    <row r="53168" spans="18:18" s="2" customFormat="1" ht="12.75" x14ac:dyDescent="0.2">
      <c r="R53168" s="1288"/>
    </row>
    <row r="53169" spans="18:18" s="2" customFormat="1" ht="12.75" x14ac:dyDescent="0.2">
      <c r="R53169" s="1288"/>
    </row>
    <row r="53170" spans="18:18" s="2" customFormat="1" ht="12.75" x14ac:dyDescent="0.2">
      <c r="R53170" s="1288"/>
    </row>
    <row r="53171" spans="18:18" s="2" customFormat="1" ht="12.75" x14ac:dyDescent="0.2">
      <c r="R53171" s="1288"/>
    </row>
    <row r="53172" spans="18:18" s="2" customFormat="1" ht="12.75" x14ac:dyDescent="0.2">
      <c r="R53172" s="1288"/>
    </row>
    <row r="53173" spans="18:18" s="2" customFormat="1" ht="12.75" x14ac:dyDescent="0.2">
      <c r="R53173" s="1288"/>
    </row>
    <row r="53174" spans="18:18" s="2" customFormat="1" ht="12.75" x14ac:dyDescent="0.2">
      <c r="R53174" s="1288"/>
    </row>
    <row r="53175" spans="18:18" s="2" customFormat="1" ht="12.75" x14ac:dyDescent="0.2">
      <c r="R53175" s="1288"/>
    </row>
    <row r="53176" spans="18:18" s="2" customFormat="1" ht="12.75" x14ac:dyDescent="0.2">
      <c r="R53176" s="1288"/>
    </row>
    <row r="53177" spans="18:18" s="2" customFormat="1" ht="12.75" x14ac:dyDescent="0.2">
      <c r="R53177" s="1288"/>
    </row>
    <row r="53178" spans="18:18" s="2" customFormat="1" ht="12.75" x14ac:dyDescent="0.2">
      <c r="R53178" s="1288"/>
    </row>
    <row r="53179" spans="18:18" s="2" customFormat="1" ht="12.75" x14ac:dyDescent="0.2">
      <c r="R53179" s="1288"/>
    </row>
    <row r="53180" spans="18:18" s="2" customFormat="1" ht="12.75" x14ac:dyDescent="0.2">
      <c r="R53180" s="1288"/>
    </row>
    <row r="53181" spans="18:18" s="2" customFormat="1" ht="12.75" x14ac:dyDescent="0.2">
      <c r="R53181" s="1288"/>
    </row>
    <row r="53182" spans="18:18" s="2" customFormat="1" ht="12.75" x14ac:dyDescent="0.2">
      <c r="R53182" s="1288"/>
    </row>
    <row r="53183" spans="18:18" s="2" customFormat="1" ht="12.75" x14ac:dyDescent="0.2">
      <c r="R53183" s="1288"/>
    </row>
    <row r="53184" spans="18:18" s="2" customFormat="1" ht="12.75" x14ac:dyDescent="0.2">
      <c r="R53184" s="1288"/>
    </row>
    <row r="53185" spans="18:18" s="2" customFormat="1" ht="12.75" x14ac:dyDescent="0.2">
      <c r="R53185" s="1288"/>
    </row>
    <row r="53186" spans="18:18" s="2" customFormat="1" ht="12.75" x14ac:dyDescent="0.2">
      <c r="R53186" s="1288"/>
    </row>
    <row r="53187" spans="18:18" s="2" customFormat="1" ht="12.75" x14ac:dyDescent="0.2">
      <c r="R53187" s="1288"/>
    </row>
    <row r="53188" spans="18:18" s="2" customFormat="1" ht="12.75" x14ac:dyDescent="0.2">
      <c r="R53188" s="1288"/>
    </row>
    <row r="53189" spans="18:18" s="2" customFormat="1" ht="12.75" x14ac:dyDescent="0.2">
      <c r="R53189" s="1288"/>
    </row>
    <row r="53190" spans="18:18" s="2" customFormat="1" ht="12.75" x14ac:dyDescent="0.2">
      <c r="R53190" s="1288"/>
    </row>
    <row r="53191" spans="18:18" s="2" customFormat="1" ht="12.75" x14ac:dyDescent="0.2">
      <c r="R53191" s="1288"/>
    </row>
    <row r="53192" spans="18:18" s="2" customFormat="1" ht="12.75" x14ac:dyDescent="0.2">
      <c r="R53192" s="1288"/>
    </row>
    <row r="53193" spans="18:18" s="2" customFormat="1" ht="12.75" x14ac:dyDescent="0.2">
      <c r="R53193" s="1288"/>
    </row>
    <row r="53194" spans="18:18" s="2" customFormat="1" ht="12.75" x14ac:dyDescent="0.2">
      <c r="R53194" s="1288"/>
    </row>
    <row r="53195" spans="18:18" s="2" customFormat="1" ht="12.75" x14ac:dyDescent="0.2">
      <c r="R53195" s="1288"/>
    </row>
    <row r="53196" spans="18:18" s="2" customFormat="1" ht="12.75" x14ac:dyDescent="0.2">
      <c r="R53196" s="1288"/>
    </row>
    <row r="53197" spans="18:18" s="2" customFormat="1" ht="12.75" x14ac:dyDescent="0.2">
      <c r="R53197" s="1288"/>
    </row>
    <row r="53198" spans="18:18" s="2" customFormat="1" ht="12.75" x14ac:dyDescent="0.2">
      <c r="R53198" s="1288"/>
    </row>
    <row r="53199" spans="18:18" s="2" customFormat="1" ht="12.75" x14ac:dyDescent="0.2">
      <c r="R53199" s="1288"/>
    </row>
    <row r="53200" spans="18:18" s="2" customFormat="1" ht="12.75" x14ac:dyDescent="0.2">
      <c r="R53200" s="1288"/>
    </row>
    <row r="53201" spans="18:18" s="2" customFormat="1" ht="12.75" x14ac:dyDescent="0.2">
      <c r="R53201" s="1288"/>
    </row>
    <row r="53202" spans="18:18" s="2" customFormat="1" ht="12.75" x14ac:dyDescent="0.2">
      <c r="R53202" s="1288"/>
    </row>
    <row r="53203" spans="18:18" s="2" customFormat="1" ht="12.75" x14ac:dyDescent="0.2">
      <c r="R53203" s="1288"/>
    </row>
    <row r="53204" spans="18:18" s="2" customFormat="1" ht="12.75" x14ac:dyDescent="0.2">
      <c r="R53204" s="1288"/>
    </row>
    <row r="53205" spans="18:18" s="2" customFormat="1" ht="12.75" x14ac:dyDescent="0.2">
      <c r="R53205" s="1288"/>
    </row>
    <row r="53206" spans="18:18" s="2" customFormat="1" ht="12.75" x14ac:dyDescent="0.2">
      <c r="R53206" s="1288"/>
    </row>
    <row r="53207" spans="18:18" s="2" customFormat="1" ht="12.75" x14ac:dyDescent="0.2">
      <c r="R53207" s="1288"/>
    </row>
    <row r="53208" spans="18:18" s="2" customFormat="1" ht="12.75" x14ac:dyDescent="0.2">
      <c r="R53208" s="1288"/>
    </row>
    <row r="53209" spans="18:18" s="2" customFormat="1" ht="12.75" x14ac:dyDescent="0.2">
      <c r="R53209" s="1288"/>
    </row>
    <row r="53210" spans="18:18" s="2" customFormat="1" ht="12.75" x14ac:dyDescent="0.2">
      <c r="R53210" s="1288"/>
    </row>
    <row r="53211" spans="18:18" s="2" customFormat="1" ht="12.75" x14ac:dyDescent="0.2">
      <c r="R53211" s="1288"/>
    </row>
    <row r="53212" spans="18:18" s="2" customFormat="1" ht="12.75" x14ac:dyDescent="0.2">
      <c r="R53212" s="1288"/>
    </row>
    <row r="53213" spans="18:18" s="2" customFormat="1" ht="12.75" x14ac:dyDescent="0.2">
      <c r="R53213" s="1288"/>
    </row>
    <row r="53214" spans="18:18" s="2" customFormat="1" ht="12.75" x14ac:dyDescent="0.2">
      <c r="R53214" s="1288"/>
    </row>
    <row r="53215" spans="18:18" s="2" customFormat="1" ht="12.75" x14ac:dyDescent="0.2">
      <c r="R53215" s="1288"/>
    </row>
    <row r="53216" spans="18:18" s="2" customFormat="1" ht="12.75" x14ac:dyDescent="0.2">
      <c r="R53216" s="1288"/>
    </row>
    <row r="53217" spans="18:18" s="2" customFormat="1" ht="12.75" x14ac:dyDescent="0.2">
      <c r="R53217" s="1288"/>
    </row>
    <row r="53218" spans="18:18" s="2" customFormat="1" ht="12.75" x14ac:dyDescent="0.2">
      <c r="R53218" s="1288"/>
    </row>
    <row r="53219" spans="18:18" s="2" customFormat="1" ht="12.75" x14ac:dyDescent="0.2">
      <c r="R53219" s="1288"/>
    </row>
    <row r="53220" spans="18:18" s="2" customFormat="1" ht="12.75" x14ac:dyDescent="0.2">
      <c r="R53220" s="1288"/>
    </row>
    <row r="53221" spans="18:18" s="2" customFormat="1" ht="12.75" x14ac:dyDescent="0.2">
      <c r="R53221" s="1288"/>
    </row>
    <row r="53222" spans="18:18" s="2" customFormat="1" ht="12.75" x14ac:dyDescent="0.2">
      <c r="R53222" s="1288"/>
    </row>
    <row r="53223" spans="18:18" s="2" customFormat="1" ht="12.75" x14ac:dyDescent="0.2">
      <c r="R53223" s="1288"/>
    </row>
    <row r="53224" spans="18:18" s="2" customFormat="1" ht="12.75" x14ac:dyDescent="0.2">
      <c r="R53224" s="1288"/>
    </row>
    <row r="53225" spans="18:18" s="2" customFormat="1" ht="12.75" x14ac:dyDescent="0.2">
      <c r="R53225" s="1288"/>
    </row>
    <row r="53226" spans="18:18" s="2" customFormat="1" ht="12.75" x14ac:dyDescent="0.2">
      <c r="R53226" s="1288"/>
    </row>
    <row r="53227" spans="18:18" s="2" customFormat="1" ht="12.75" x14ac:dyDescent="0.2">
      <c r="R53227" s="1288"/>
    </row>
    <row r="53228" spans="18:18" s="2" customFormat="1" ht="12.75" x14ac:dyDescent="0.2">
      <c r="R53228" s="1288"/>
    </row>
    <row r="53229" spans="18:18" s="2" customFormat="1" ht="12.75" x14ac:dyDescent="0.2">
      <c r="R53229" s="1288"/>
    </row>
    <row r="53230" spans="18:18" s="2" customFormat="1" ht="12.75" x14ac:dyDescent="0.2">
      <c r="R53230" s="1288"/>
    </row>
    <row r="53231" spans="18:18" s="2" customFormat="1" ht="12.75" x14ac:dyDescent="0.2">
      <c r="R53231" s="1288"/>
    </row>
    <row r="53232" spans="18:18" s="2" customFormat="1" ht="12.75" x14ac:dyDescent="0.2">
      <c r="R53232" s="1288"/>
    </row>
    <row r="53233" spans="18:18" s="2" customFormat="1" ht="12.75" x14ac:dyDescent="0.2">
      <c r="R53233" s="1288"/>
    </row>
    <row r="53234" spans="18:18" s="2" customFormat="1" ht="12.75" x14ac:dyDescent="0.2">
      <c r="R53234" s="1288"/>
    </row>
    <row r="53235" spans="18:18" s="2" customFormat="1" ht="12.75" x14ac:dyDescent="0.2">
      <c r="R53235" s="1288"/>
    </row>
    <row r="53236" spans="18:18" s="2" customFormat="1" ht="12.75" x14ac:dyDescent="0.2">
      <c r="R53236" s="1288"/>
    </row>
    <row r="53237" spans="18:18" s="2" customFormat="1" ht="12.75" x14ac:dyDescent="0.2">
      <c r="R53237" s="1288"/>
    </row>
    <row r="53238" spans="18:18" s="2" customFormat="1" ht="12.75" x14ac:dyDescent="0.2">
      <c r="R53238" s="1288"/>
    </row>
    <row r="53239" spans="18:18" s="2" customFormat="1" ht="12.75" x14ac:dyDescent="0.2">
      <c r="R53239" s="1288"/>
    </row>
    <row r="53240" spans="18:18" s="2" customFormat="1" ht="12.75" x14ac:dyDescent="0.2">
      <c r="R53240" s="1288"/>
    </row>
    <row r="53241" spans="18:18" s="2" customFormat="1" ht="12.75" x14ac:dyDescent="0.2">
      <c r="R53241" s="1288"/>
    </row>
    <row r="53242" spans="18:18" s="2" customFormat="1" ht="12.75" x14ac:dyDescent="0.2">
      <c r="R53242" s="1288"/>
    </row>
    <row r="53243" spans="18:18" s="2" customFormat="1" ht="12.75" x14ac:dyDescent="0.2">
      <c r="R53243" s="1288"/>
    </row>
    <row r="53244" spans="18:18" s="2" customFormat="1" ht="12.75" x14ac:dyDescent="0.2">
      <c r="R53244" s="1288"/>
    </row>
    <row r="53245" spans="18:18" s="2" customFormat="1" ht="12.75" x14ac:dyDescent="0.2">
      <c r="R53245" s="1288"/>
    </row>
    <row r="53246" spans="18:18" s="2" customFormat="1" ht="12.75" x14ac:dyDescent="0.2">
      <c r="R53246" s="1288"/>
    </row>
    <row r="53247" spans="18:18" s="2" customFormat="1" ht="12.75" x14ac:dyDescent="0.2">
      <c r="R53247" s="1288"/>
    </row>
    <row r="53248" spans="18:18" s="2" customFormat="1" ht="12.75" x14ac:dyDescent="0.2">
      <c r="R53248" s="1288"/>
    </row>
    <row r="53249" spans="18:18" s="2" customFormat="1" ht="12.75" x14ac:dyDescent="0.2">
      <c r="R53249" s="1288"/>
    </row>
    <row r="53250" spans="18:18" s="2" customFormat="1" ht="12.75" x14ac:dyDescent="0.2">
      <c r="R53250" s="1288"/>
    </row>
    <row r="53251" spans="18:18" s="2" customFormat="1" ht="12.75" x14ac:dyDescent="0.2">
      <c r="R53251" s="1288"/>
    </row>
    <row r="53252" spans="18:18" s="2" customFormat="1" ht="12.75" x14ac:dyDescent="0.2">
      <c r="R53252" s="1288"/>
    </row>
    <row r="53253" spans="18:18" s="2" customFormat="1" ht="12.75" x14ac:dyDescent="0.2">
      <c r="R53253" s="1288"/>
    </row>
    <row r="53254" spans="18:18" s="2" customFormat="1" ht="12.75" x14ac:dyDescent="0.2">
      <c r="R53254" s="1288"/>
    </row>
    <row r="53255" spans="18:18" s="2" customFormat="1" ht="12.75" x14ac:dyDescent="0.2">
      <c r="R53255" s="1288"/>
    </row>
    <row r="53256" spans="18:18" s="2" customFormat="1" ht="12.75" x14ac:dyDescent="0.2">
      <c r="R53256" s="1288"/>
    </row>
    <row r="53257" spans="18:18" s="2" customFormat="1" ht="12.75" x14ac:dyDescent="0.2">
      <c r="R53257" s="1288"/>
    </row>
    <row r="53258" spans="18:18" s="2" customFormat="1" ht="12.75" x14ac:dyDescent="0.2">
      <c r="R53258" s="1288"/>
    </row>
    <row r="53259" spans="18:18" s="2" customFormat="1" ht="12.75" x14ac:dyDescent="0.2">
      <c r="R53259" s="1288"/>
    </row>
    <row r="53260" spans="18:18" s="2" customFormat="1" ht="12.75" x14ac:dyDescent="0.2">
      <c r="R53260" s="1288"/>
    </row>
    <row r="53261" spans="18:18" s="2" customFormat="1" ht="12.75" x14ac:dyDescent="0.2">
      <c r="R53261" s="1288"/>
    </row>
    <row r="53262" spans="18:18" s="2" customFormat="1" ht="12.75" x14ac:dyDescent="0.2">
      <c r="R53262" s="1288"/>
    </row>
    <row r="53263" spans="18:18" s="2" customFormat="1" ht="12.75" x14ac:dyDescent="0.2">
      <c r="R53263" s="1288"/>
    </row>
    <row r="53264" spans="18:18" s="2" customFormat="1" ht="12.75" x14ac:dyDescent="0.2">
      <c r="R53264" s="1288"/>
    </row>
    <row r="53265" spans="18:18" s="2" customFormat="1" ht="12.75" x14ac:dyDescent="0.2">
      <c r="R53265" s="1288"/>
    </row>
    <row r="53266" spans="18:18" s="2" customFormat="1" ht="12.75" x14ac:dyDescent="0.2">
      <c r="R53266" s="1288"/>
    </row>
    <row r="53267" spans="18:18" s="2" customFormat="1" ht="12.75" x14ac:dyDescent="0.2">
      <c r="R53267" s="1288"/>
    </row>
    <row r="53268" spans="18:18" s="2" customFormat="1" ht="12.75" x14ac:dyDescent="0.2">
      <c r="R53268" s="1288"/>
    </row>
    <row r="53269" spans="18:18" s="2" customFormat="1" ht="12.75" x14ac:dyDescent="0.2">
      <c r="R53269" s="1288"/>
    </row>
    <row r="53270" spans="18:18" s="2" customFormat="1" ht="12.75" x14ac:dyDescent="0.2">
      <c r="R53270" s="1288"/>
    </row>
    <row r="53271" spans="18:18" s="2" customFormat="1" ht="12.75" x14ac:dyDescent="0.2">
      <c r="R53271" s="1288"/>
    </row>
    <row r="53272" spans="18:18" s="2" customFormat="1" ht="12.75" x14ac:dyDescent="0.2">
      <c r="R53272" s="1288"/>
    </row>
    <row r="53273" spans="18:18" s="2" customFormat="1" ht="12.75" x14ac:dyDescent="0.2">
      <c r="R53273" s="1288"/>
    </row>
    <row r="53274" spans="18:18" s="2" customFormat="1" ht="12.75" x14ac:dyDescent="0.2">
      <c r="R53274" s="1288"/>
    </row>
    <row r="53275" spans="18:18" s="2" customFormat="1" ht="12.75" x14ac:dyDescent="0.2">
      <c r="R53275" s="1288"/>
    </row>
    <row r="53276" spans="18:18" s="2" customFormat="1" ht="12.75" x14ac:dyDescent="0.2">
      <c r="R53276" s="1288"/>
    </row>
    <row r="53277" spans="18:18" s="2" customFormat="1" ht="12.75" x14ac:dyDescent="0.2">
      <c r="R53277" s="1288"/>
    </row>
    <row r="53278" spans="18:18" s="2" customFormat="1" ht="12.75" x14ac:dyDescent="0.2">
      <c r="R53278" s="1288"/>
    </row>
    <row r="53279" spans="18:18" s="2" customFormat="1" ht="12.75" x14ac:dyDescent="0.2">
      <c r="R53279" s="1288"/>
    </row>
    <row r="53280" spans="18:18" s="2" customFormat="1" ht="12.75" x14ac:dyDescent="0.2">
      <c r="R53280" s="1288"/>
    </row>
    <row r="53281" spans="18:18" s="2" customFormat="1" ht="12.75" x14ac:dyDescent="0.2">
      <c r="R53281" s="1288"/>
    </row>
    <row r="53282" spans="18:18" s="2" customFormat="1" ht="12.75" x14ac:dyDescent="0.2">
      <c r="R53282" s="1288"/>
    </row>
    <row r="53283" spans="18:18" s="2" customFormat="1" ht="12.75" x14ac:dyDescent="0.2">
      <c r="R53283" s="1288"/>
    </row>
    <row r="53284" spans="18:18" s="2" customFormat="1" ht="12.75" x14ac:dyDescent="0.2">
      <c r="R53284" s="1288"/>
    </row>
    <row r="53285" spans="18:18" s="2" customFormat="1" ht="12.75" x14ac:dyDescent="0.2">
      <c r="R53285" s="1288"/>
    </row>
    <row r="53286" spans="18:18" s="2" customFormat="1" ht="12.75" x14ac:dyDescent="0.2">
      <c r="R53286" s="1288"/>
    </row>
    <row r="53287" spans="18:18" s="2" customFormat="1" ht="12.75" x14ac:dyDescent="0.2">
      <c r="R53287" s="1288"/>
    </row>
    <row r="53288" spans="18:18" s="2" customFormat="1" ht="12.75" x14ac:dyDescent="0.2">
      <c r="R53288" s="1288"/>
    </row>
    <row r="53289" spans="18:18" s="2" customFormat="1" ht="12.75" x14ac:dyDescent="0.2">
      <c r="R53289" s="1288"/>
    </row>
    <row r="53290" spans="18:18" s="2" customFormat="1" ht="12.75" x14ac:dyDescent="0.2">
      <c r="R53290" s="1288"/>
    </row>
    <row r="53291" spans="18:18" s="2" customFormat="1" ht="12.75" x14ac:dyDescent="0.2">
      <c r="R53291" s="1288"/>
    </row>
    <row r="53292" spans="18:18" s="2" customFormat="1" ht="12.75" x14ac:dyDescent="0.2">
      <c r="R53292" s="1288"/>
    </row>
    <row r="53293" spans="18:18" s="2" customFormat="1" ht="12.75" x14ac:dyDescent="0.2">
      <c r="R53293" s="1288"/>
    </row>
    <row r="53294" spans="18:18" s="2" customFormat="1" ht="12.75" x14ac:dyDescent="0.2">
      <c r="R53294" s="1288"/>
    </row>
    <row r="53295" spans="18:18" s="2" customFormat="1" ht="12.75" x14ac:dyDescent="0.2">
      <c r="R53295" s="1288"/>
    </row>
    <row r="53296" spans="18:18" s="2" customFormat="1" ht="12.75" x14ac:dyDescent="0.2">
      <c r="R53296" s="1288"/>
    </row>
    <row r="53297" spans="18:18" s="2" customFormat="1" ht="12.75" x14ac:dyDescent="0.2">
      <c r="R53297" s="1288"/>
    </row>
    <row r="53298" spans="18:18" s="2" customFormat="1" ht="12.75" x14ac:dyDescent="0.2">
      <c r="R53298" s="1288"/>
    </row>
    <row r="53299" spans="18:18" s="2" customFormat="1" ht="12.75" x14ac:dyDescent="0.2">
      <c r="R53299" s="1288"/>
    </row>
    <row r="53300" spans="18:18" s="2" customFormat="1" ht="12.75" x14ac:dyDescent="0.2">
      <c r="R53300" s="1288"/>
    </row>
    <row r="53301" spans="18:18" s="2" customFormat="1" ht="12.75" x14ac:dyDescent="0.2">
      <c r="R53301" s="1288"/>
    </row>
    <row r="53302" spans="18:18" s="2" customFormat="1" ht="12.75" x14ac:dyDescent="0.2">
      <c r="R53302" s="1288"/>
    </row>
    <row r="53303" spans="18:18" s="2" customFormat="1" ht="12.75" x14ac:dyDescent="0.2">
      <c r="R53303" s="1288"/>
    </row>
    <row r="53304" spans="18:18" s="2" customFormat="1" ht="12.75" x14ac:dyDescent="0.2">
      <c r="R53304" s="1288"/>
    </row>
    <row r="53305" spans="18:18" s="2" customFormat="1" ht="12.75" x14ac:dyDescent="0.2">
      <c r="R53305" s="1288"/>
    </row>
    <row r="53306" spans="18:18" s="2" customFormat="1" ht="12.75" x14ac:dyDescent="0.2">
      <c r="R53306" s="1288"/>
    </row>
    <row r="53307" spans="18:18" s="2" customFormat="1" ht="12.75" x14ac:dyDescent="0.2">
      <c r="R53307" s="1288"/>
    </row>
    <row r="53308" spans="18:18" s="2" customFormat="1" ht="12.75" x14ac:dyDescent="0.2">
      <c r="R53308" s="1288"/>
    </row>
    <row r="53309" spans="18:18" s="2" customFormat="1" ht="12.75" x14ac:dyDescent="0.2">
      <c r="R53309" s="1288"/>
    </row>
    <row r="53310" spans="18:18" s="2" customFormat="1" ht="12.75" x14ac:dyDescent="0.2">
      <c r="R53310" s="1288"/>
    </row>
    <row r="53311" spans="18:18" s="2" customFormat="1" ht="12.75" x14ac:dyDescent="0.2">
      <c r="R53311" s="1288"/>
    </row>
    <row r="53312" spans="18:18" s="2" customFormat="1" ht="12.75" x14ac:dyDescent="0.2">
      <c r="R53312" s="1288"/>
    </row>
    <row r="53313" spans="18:18" s="2" customFormat="1" ht="12.75" x14ac:dyDescent="0.2">
      <c r="R53313" s="1288"/>
    </row>
    <row r="53314" spans="18:18" s="2" customFormat="1" ht="12.75" x14ac:dyDescent="0.2">
      <c r="R53314" s="1288"/>
    </row>
    <row r="53315" spans="18:18" s="2" customFormat="1" ht="12.75" x14ac:dyDescent="0.2">
      <c r="R53315" s="1288"/>
    </row>
    <row r="53316" spans="18:18" s="2" customFormat="1" ht="12.75" x14ac:dyDescent="0.2">
      <c r="R53316" s="1288"/>
    </row>
    <row r="53317" spans="18:18" s="2" customFormat="1" ht="12.75" x14ac:dyDescent="0.2">
      <c r="R53317" s="1288"/>
    </row>
    <row r="53318" spans="18:18" s="2" customFormat="1" ht="12.75" x14ac:dyDescent="0.2">
      <c r="R53318" s="1288"/>
    </row>
    <row r="53319" spans="18:18" s="2" customFormat="1" ht="12.75" x14ac:dyDescent="0.2">
      <c r="R53319" s="1288"/>
    </row>
    <row r="53320" spans="18:18" s="2" customFormat="1" ht="12.75" x14ac:dyDescent="0.2">
      <c r="R53320" s="1288"/>
    </row>
    <row r="53321" spans="18:18" s="2" customFormat="1" ht="12.75" x14ac:dyDescent="0.2">
      <c r="R53321" s="1288"/>
    </row>
    <row r="53322" spans="18:18" s="2" customFormat="1" ht="12.75" x14ac:dyDescent="0.2">
      <c r="R53322" s="1288"/>
    </row>
    <row r="53323" spans="18:18" s="2" customFormat="1" ht="12.75" x14ac:dyDescent="0.2">
      <c r="R53323" s="1288"/>
    </row>
    <row r="53324" spans="18:18" s="2" customFormat="1" ht="12.75" x14ac:dyDescent="0.2">
      <c r="R53324" s="1288"/>
    </row>
    <row r="53325" spans="18:18" s="2" customFormat="1" ht="12.75" x14ac:dyDescent="0.2">
      <c r="R53325" s="1288"/>
    </row>
    <row r="53326" spans="18:18" s="2" customFormat="1" ht="12.75" x14ac:dyDescent="0.2">
      <c r="R53326" s="1288"/>
    </row>
    <row r="53327" spans="18:18" s="2" customFormat="1" ht="12.75" x14ac:dyDescent="0.2">
      <c r="R53327" s="1288"/>
    </row>
    <row r="53328" spans="18:18" s="2" customFormat="1" ht="12.75" x14ac:dyDescent="0.2">
      <c r="R53328" s="1288"/>
    </row>
    <row r="53329" spans="18:18" s="2" customFormat="1" ht="12.75" x14ac:dyDescent="0.2">
      <c r="R53329" s="1288"/>
    </row>
    <row r="53330" spans="18:18" s="2" customFormat="1" ht="12.75" x14ac:dyDescent="0.2">
      <c r="R53330" s="1288"/>
    </row>
    <row r="53331" spans="18:18" s="2" customFormat="1" ht="12.75" x14ac:dyDescent="0.2">
      <c r="R53331" s="1288"/>
    </row>
    <row r="53332" spans="18:18" s="2" customFormat="1" ht="12.75" x14ac:dyDescent="0.2">
      <c r="R53332" s="1288"/>
    </row>
    <row r="53333" spans="18:18" s="2" customFormat="1" ht="12.75" x14ac:dyDescent="0.2">
      <c r="R53333" s="1288"/>
    </row>
    <row r="53334" spans="18:18" s="2" customFormat="1" ht="12.75" x14ac:dyDescent="0.2">
      <c r="R53334" s="1288"/>
    </row>
    <row r="53335" spans="18:18" s="2" customFormat="1" ht="12.75" x14ac:dyDescent="0.2">
      <c r="R53335" s="1288"/>
    </row>
    <row r="53336" spans="18:18" s="2" customFormat="1" ht="12.75" x14ac:dyDescent="0.2">
      <c r="R53336" s="1288"/>
    </row>
    <row r="53337" spans="18:18" s="2" customFormat="1" ht="12.75" x14ac:dyDescent="0.2">
      <c r="R53337" s="1288"/>
    </row>
    <row r="53338" spans="18:18" s="2" customFormat="1" ht="12.75" x14ac:dyDescent="0.2">
      <c r="R53338" s="1288"/>
    </row>
    <row r="53339" spans="18:18" s="2" customFormat="1" ht="12.75" x14ac:dyDescent="0.2">
      <c r="R53339" s="1288"/>
    </row>
    <row r="53340" spans="18:18" s="2" customFormat="1" ht="12.75" x14ac:dyDescent="0.2">
      <c r="R53340" s="1288"/>
    </row>
    <row r="53341" spans="18:18" s="2" customFormat="1" ht="12.75" x14ac:dyDescent="0.2">
      <c r="R53341" s="1288"/>
    </row>
    <row r="53342" spans="18:18" s="2" customFormat="1" ht="12.75" x14ac:dyDescent="0.2">
      <c r="R53342" s="1288"/>
    </row>
    <row r="53343" spans="18:18" s="2" customFormat="1" ht="12.75" x14ac:dyDescent="0.2">
      <c r="R53343" s="1288"/>
    </row>
    <row r="53344" spans="18:18" s="2" customFormat="1" ht="12.75" x14ac:dyDescent="0.2">
      <c r="R53344" s="1288"/>
    </row>
    <row r="53345" spans="18:18" s="2" customFormat="1" ht="12.75" x14ac:dyDescent="0.2">
      <c r="R53345" s="1288"/>
    </row>
    <row r="53346" spans="18:18" s="2" customFormat="1" ht="12.75" x14ac:dyDescent="0.2">
      <c r="R53346" s="1288"/>
    </row>
    <row r="53347" spans="18:18" s="2" customFormat="1" ht="12.75" x14ac:dyDescent="0.2">
      <c r="R53347" s="1288"/>
    </row>
    <row r="53348" spans="18:18" s="2" customFormat="1" ht="12.75" x14ac:dyDescent="0.2">
      <c r="R53348" s="1288"/>
    </row>
    <row r="53349" spans="18:18" s="2" customFormat="1" ht="12.75" x14ac:dyDescent="0.2">
      <c r="R53349" s="1288"/>
    </row>
    <row r="53350" spans="18:18" s="2" customFormat="1" ht="12.75" x14ac:dyDescent="0.2">
      <c r="R53350" s="1288"/>
    </row>
    <row r="53351" spans="18:18" s="2" customFormat="1" ht="12.75" x14ac:dyDescent="0.2">
      <c r="R53351" s="1288"/>
    </row>
    <row r="53352" spans="18:18" s="2" customFormat="1" ht="12.75" x14ac:dyDescent="0.2">
      <c r="R53352" s="1288"/>
    </row>
    <row r="53353" spans="18:18" s="2" customFormat="1" ht="12.75" x14ac:dyDescent="0.2">
      <c r="R53353" s="1288"/>
    </row>
    <row r="53354" spans="18:18" s="2" customFormat="1" ht="12.75" x14ac:dyDescent="0.2">
      <c r="R53354" s="1288"/>
    </row>
    <row r="53355" spans="18:18" s="2" customFormat="1" ht="12.75" x14ac:dyDescent="0.2">
      <c r="R53355" s="1288"/>
    </row>
    <row r="53356" spans="18:18" s="2" customFormat="1" ht="12.75" x14ac:dyDescent="0.2">
      <c r="R53356" s="1288"/>
    </row>
    <row r="53357" spans="18:18" s="2" customFormat="1" ht="12.75" x14ac:dyDescent="0.2">
      <c r="R53357" s="1288"/>
    </row>
    <row r="53358" spans="18:18" s="2" customFormat="1" ht="12.75" x14ac:dyDescent="0.2">
      <c r="R53358" s="1288"/>
    </row>
    <row r="53359" spans="18:18" s="2" customFormat="1" ht="12.75" x14ac:dyDescent="0.2">
      <c r="R53359" s="1288"/>
    </row>
    <row r="53360" spans="18:18" s="2" customFormat="1" ht="12.75" x14ac:dyDescent="0.2">
      <c r="R53360" s="1288"/>
    </row>
    <row r="53361" spans="18:18" s="2" customFormat="1" ht="12.75" x14ac:dyDescent="0.2">
      <c r="R53361" s="1288"/>
    </row>
    <row r="53362" spans="18:18" s="2" customFormat="1" ht="12.75" x14ac:dyDescent="0.2">
      <c r="R53362" s="1288"/>
    </row>
    <row r="53363" spans="18:18" s="2" customFormat="1" ht="12.75" x14ac:dyDescent="0.2">
      <c r="R53363" s="1288"/>
    </row>
    <row r="53364" spans="18:18" s="2" customFormat="1" ht="12.75" x14ac:dyDescent="0.2">
      <c r="R53364" s="1288"/>
    </row>
    <row r="53365" spans="18:18" s="2" customFormat="1" ht="12.75" x14ac:dyDescent="0.2">
      <c r="R53365" s="1288"/>
    </row>
    <row r="53366" spans="18:18" s="2" customFormat="1" ht="12.75" x14ac:dyDescent="0.2">
      <c r="R53366" s="1288"/>
    </row>
    <row r="53367" spans="18:18" s="2" customFormat="1" ht="12.75" x14ac:dyDescent="0.2">
      <c r="R53367" s="1288"/>
    </row>
    <row r="53368" spans="18:18" s="2" customFormat="1" ht="12.75" x14ac:dyDescent="0.2">
      <c r="R53368" s="1288"/>
    </row>
    <row r="53369" spans="18:18" s="2" customFormat="1" ht="12.75" x14ac:dyDescent="0.2">
      <c r="R53369" s="1288"/>
    </row>
    <row r="53370" spans="18:18" s="2" customFormat="1" ht="12.75" x14ac:dyDescent="0.2">
      <c r="R53370" s="1288"/>
    </row>
    <row r="53371" spans="18:18" s="2" customFormat="1" ht="12.75" x14ac:dyDescent="0.2">
      <c r="R53371" s="1288"/>
    </row>
    <row r="53372" spans="18:18" s="2" customFormat="1" ht="12.75" x14ac:dyDescent="0.2">
      <c r="R53372" s="1288"/>
    </row>
    <row r="53373" spans="18:18" s="2" customFormat="1" ht="12.75" x14ac:dyDescent="0.2">
      <c r="R53373" s="1288"/>
    </row>
    <row r="53374" spans="18:18" s="2" customFormat="1" ht="12.75" x14ac:dyDescent="0.2">
      <c r="R53374" s="1288"/>
    </row>
    <row r="53375" spans="18:18" s="2" customFormat="1" ht="12.75" x14ac:dyDescent="0.2">
      <c r="R53375" s="1288"/>
    </row>
    <row r="53376" spans="18:18" s="2" customFormat="1" ht="12.75" x14ac:dyDescent="0.2">
      <c r="R53376" s="1288"/>
    </row>
    <row r="53377" spans="18:18" s="2" customFormat="1" ht="12.75" x14ac:dyDescent="0.2">
      <c r="R53377" s="1288"/>
    </row>
    <row r="53378" spans="18:18" s="2" customFormat="1" ht="12.75" x14ac:dyDescent="0.2">
      <c r="R53378" s="1288"/>
    </row>
    <row r="53379" spans="18:18" s="2" customFormat="1" ht="12.75" x14ac:dyDescent="0.2">
      <c r="R53379" s="1288"/>
    </row>
    <row r="53380" spans="18:18" s="2" customFormat="1" ht="12.75" x14ac:dyDescent="0.2">
      <c r="R53380" s="1288"/>
    </row>
    <row r="53381" spans="18:18" s="2" customFormat="1" ht="12.75" x14ac:dyDescent="0.2">
      <c r="R53381" s="1288"/>
    </row>
    <row r="53382" spans="18:18" s="2" customFormat="1" ht="12.75" x14ac:dyDescent="0.2">
      <c r="R53382" s="1288"/>
    </row>
    <row r="53383" spans="18:18" s="2" customFormat="1" ht="12.75" x14ac:dyDescent="0.2">
      <c r="R53383" s="1288"/>
    </row>
    <row r="53384" spans="18:18" s="2" customFormat="1" ht="12.75" x14ac:dyDescent="0.2">
      <c r="R53384" s="1288"/>
    </row>
    <row r="53385" spans="18:18" s="2" customFormat="1" ht="12.75" x14ac:dyDescent="0.2">
      <c r="R53385" s="1288"/>
    </row>
    <row r="53386" spans="18:18" s="2" customFormat="1" ht="12.75" x14ac:dyDescent="0.2">
      <c r="R53386" s="1288"/>
    </row>
    <row r="53387" spans="18:18" s="2" customFormat="1" ht="12.75" x14ac:dyDescent="0.2">
      <c r="R53387" s="1288"/>
    </row>
    <row r="53388" spans="18:18" s="2" customFormat="1" ht="12.75" x14ac:dyDescent="0.2">
      <c r="R53388" s="1288"/>
    </row>
    <row r="53389" spans="18:18" s="2" customFormat="1" ht="12.75" x14ac:dyDescent="0.2">
      <c r="R53389" s="1288"/>
    </row>
    <row r="53390" spans="18:18" s="2" customFormat="1" ht="12.75" x14ac:dyDescent="0.2">
      <c r="R53390" s="1288"/>
    </row>
    <row r="53391" spans="18:18" s="2" customFormat="1" ht="12.75" x14ac:dyDescent="0.2">
      <c r="R53391" s="1288"/>
    </row>
    <row r="53392" spans="18:18" s="2" customFormat="1" ht="12.75" x14ac:dyDescent="0.2">
      <c r="R53392" s="1288"/>
    </row>
    <row r="53393" spans="18:18" s="2" customFormat="1" ht="12.75" x14ac:dyDescent="0.2">
      <c r="R53393" s="1288"/>
    </row>
    <row r="53394" spans="18:18" s="2" customFormat="1" ht="12.75" x14ac:dyDescent="0.2">
      <c r="R53394" s="1288"/>
    </row>
    <row r="53395" spans="18:18" s="2" customFormat="1" ht="12.75" x14ac:dyDescent="0.2">
      <c r="R53395" s="1288"/>
    </row>
    <row r="53396" spans="18:18" s="2" customFormat="1" ht="12.75" x14ac:dyDescent="0.2">
      <c r="R53396" s="1288"/>
    </row>
    <row r="53397" spans="18:18" s="2" customFormat="1" ht="12.75" x14ac:dyDescent="0.2">
      <c r="R53397" s="1288"/>
    </row>
    <row r="53398" spans="18:18" s="2" customFormat="1" ht="12.75" x14ac:dyDescent="0.2">
      <c r="R53398" s="1288"/>
    </row>
    <row r="53399" spans="18:18" s="2" customFormat="1" ht="12.75" x14ac:dyDescent="0.2">
      <c r="R53399" s="1288"/>
    </row>
    <row r="53400" spans="18:18" s="2" customFormat="1" ht="12.75" x14ac:dyDescent="0.2">
      <c r="R53400" s="1288"/>
    </row>
    <row r="53401" spans="18:18" s="2" customFormat="1" ht="12.75" x14ac:dyDescent="0.2">
      <c r="R53401" s="1288"/>
    </row>
    <row r="53402" spans="18:18" s="2" customFormat="1" ht="12.75" x14ac:dyDescent="0.2">
      <c r="R53402" s="1288"/>
    </row>
    <row r="53403" spans="18:18" s="2" customFormat="1" ht="12.75" x14ac:dyDescent="0.2">
      <c r="R53403" s="1288"/>
    </row>
    <row r="53404" spans="18:18" s="2" customFormat="1" ht="12.75" x14ac:dyDescent="0.2">
      <c r="R53404" s="1288"/>
    </row>
    <row r="53405" spans="18:18" s="2" customFormat="1" ht="12.75" x14ac:dyDescent="0.2">
      <c r="R53405" s="1288"/>
    </row>
    <row r="53406" spans="18:18" s="2" customFormat="1" ht="12.75" x14ac:dyDescent="0.2">
      <c r="R53406" s="1288"/>
    </row>
    <row r="53407" spans="18:18" s="2" customFormat="1" ht="12.75" x14ac:dyDescent="0.2">
      <c r="R53407" s="1288"/>
    </row>
    <row r="53408" spans="18:18" s="2" customFormat="1" ht="12.75" x14ac:dyDescent="0.2">
      <c r="R53408" s="1288"/>
    </row>
    <row r="53409" spans="18:18" s="2" customFormat="1" ht="12.75" x14ac:dyDescent="0.2">
      <c r="R53409" s="1288"/>
    </row>
    <row r="53410" spans="18:18" s="2" customFormat="1" ht="12.75" x14ac:dyDescent="0.2">
      <c r="R53410" s="1288"/>
    </row>
    <row r="53411" spans="18:18" s="2" customFormat="1" ht="12.75" x14ac:dyDescent="0.2">
      <c r="R53411" s="1288"/>
    </row>
    <row r="53412" spans="18:18" s="2" customFormat="1" ht="12.75" x14ac:dyDescent="0.2">
      <c r="R53412" s="1288"/>
    </row>
    <row r="53413" spans="18:18" s="2" customFormat="1" ht="12.75" x14ac:dyDescent="0.2">
      <c r="R53413" s="1288"/>
    </row>
    <row r="53414" spans="18:18" s="2" customFormat="1" ht="12.75" x14ac:dyDescent="0.2">
      <c r="R53414" s="1288"/>
    </row>
    <row r="53415" spans="18:18" s="2" customFormat="1" ht="12.75" x14ac:dyDescent="0.2">
      <c r="R53415" s="1288"/>
    </row>
    <row r="53416" spans="18:18" s="2" customFormat="1" ht="12.75" x14ac:dyDescent="0.2">
      <c r="R53416" s="1288"/>
    </row>
    <row r="53417" spans="18:18" s="2" customFormat="1" ht="12.75" x14ac:dyDescent="0.2">
      <c r="R53417" s="1288"/>
    </row>
    <row r="53418" spans="18:18" s="2" customFormat="1" ht="12.75" x14ac:dyDescent="0.2">
      <c r="R53418" s="1288"/>
    </row>
    <row r="53419" spans="18:18" s="2" customFormat="1" ht="12.75" x14ac:dyDescent="0.2">
      <c r="R53419" s="1288"/>
    </row>
    <row r="53420" spans="18:18" s="2" customFormat="1" ht="12.75" x14ac:dyDescent="0.2">
      <c r="R53420" s="1288"/>
    </row>
    <row r="53421" spans="18:18" s="2" customFormat="1" ht="12.75" x14ac:dyDescent="0.2">
      <c r="R53421" s="1288"/>
    </row>
    <row r="53422" spans="18:18" s="2" customFormat="1" ht="12.75" x14ac:dyDescent="0.2">
      <c r="R53422" s="1288"/>
    </row>
    <row r="53423" spans="18:18" s="2" customFormat="1" ht="12.75" x14ac:dyDescent="0.2">
      <c r="R53423" s="1288"/>
    </row>
    <row r="53424" spans="18:18" s="2" customFormat="1" ht="12.75" x14ac:dyDescent="0.2">
      <c r="R53424" s="1288"/>
    </row>
    <row r="53425" spans="18:18" s="2" customFormat="1" ht="12.75" x14ac:dyDescent="0.2">
      <c r="R53425" s="1288"/>
    </row>
    <row r="53426" spans="18:18" s="2" customFormat="1" ht="12.75" x14ac:dyDescent="0.2">
      <c r="R53426" s="1288"/>
    </row>
    <row r="53427" spans="18:18" s="2" customFormat="1" ht="12.75" x14ac:dyDescent="0.2">
      <c r="R53427" s="1288"/>
    </row>
    <row r="53428" spans="18:18" s="2" customFormat="1" ht="12.75" x14ac:dyDescent="0.2">
      <c r="R53428" s="1288"/>
    </row>
    <row r="53429" spans="18:18" s="2" customFormat="1" ht="12.75" x14ac:dyDescent="0.2">
      <c r="R53429" s="1288"/>
    </row>
    <row r="53430" spans="18:18" s="2" customFormat="1" ht="12.75" x14ac:dyDescent="0.2">
      <c r="R53430" s="1288"/>
    </row>
    <row r="53431" spans="18:18" s="2" customFormat="1" ht="12.75" x14ac:dyDescent="0.2">
      <c r="R53431" s="1288"/>
    </row>
    <row r="53432" spans="18:18" s="2" customFormat="1" ht="12.75" x14ac:dyDescent="0.2">
      <c r="R53432" s="1288"/>
    </row>
    <row r="53433" spans="18:18" s="2" customFormat="1" ht="12.75" x14ac:dyDescent="0.2">
      <c r="R53433" s="1288"/>
    </row>
    <row r="53434" spans="18:18" s="2" customFormat="1" ht="12.75" x14ac:dyDescent="0.2">
      <c r="R53434" s="1288"/>
    </row>
    <row r="53435" spans="18:18" s="2" customFormat="1" ht="12.75" x14ac:dyDescent="0.2">
      <c r="R53435" s="1288"/>
    </row>
    <row r="53436" spans="18:18" s="2" customFormat="1" ht="12.75" x14ac:dyDescent="0.2">
      <c r="R53436" s="1288"/>
    </row>
    <row r="53437" spans="18:18" s="2" customFormat="1" ht="12.75" x14ac:dyDescent="0.2">
      <c r="R53437" s="1288"/>
    </row>
    <row r="53438" spans="18:18" s="2" customFormat="1" ht="12.75" x14ac:dyDescent="0.2">
      <c r="R53438" s="1288"/>
    </row>
    <row r="53439" spans="18:18" s="2" customFormat="1" ht="12.75" x14ac:dyDescent="0.2">
      <c r="R53439" s="1288"/>
    </row>
    <row r="53440" spans="18:18" s="2" customFormat="1" ht="12.75" x14ac:dyDescent="0.2">
      <c r="R53440" s="1288"/>
    </row>
    <row r="53441" spans="18:18" s="2" customFormat="1" ht="12.75" x14ac:dyDescent="0.2">
      <c r="R53441" s="1288"/>
    </row>
    <row r="53442" spans="18:18" s="2" customFormat="1" ht="12.75" x14ac:dyDescent="0.2">
      <c r="R53442" s="1288"/>
    </row>
    <row r="53443" spans="18:18" s="2" customFormat="1" ht="12.75" x14ac:dyDescent="0.2">
      <c r="R53443" s="1288"/>
    </row>
    <row r="53444" spans="18:18" s="2" customFormat="1" ht="12.75" x14ac:dyDescent="0.2">
      <c r="R53444" s="1288"/>
    </row>
    <row r="53445" spans="18:18" s="2" customFormat="1" ht="12.75" x14ac:dyDescent="0.2">
      <c r="R53445" s="1288"/>
    </row>
    <row r="53446" spans="18:18" s="2" customFormat="1" ht="12.75" x14ac:dyDescent="0.2">
      <c r="R53446" s="1288"/>
    </row>
    <row r="53447" spans="18:18" s="2" customFormat="1" ht="12.75" x14ac:dyDescent="0.2">
      <c r="R53447" s="1288"/>
    </row>
    <row r="53448" spans="18:18" s="2" customFormat="1" ht="12.75" x14ac:dyDescent="0.2">
      <c r="R53448" s="1288"/>
    </row>
    <row r="53449" spans="18:18" s="2" customFormat="1" ht="12.75" x14ac:dyDescent="0.2">
      <c r="R53449" s="1288"/>
    </row>
    <row r="53450" spans="18:18" s="2" customFormat="1" ht="12.75" x14ac:dyDescent="0.2">
      <c r="R53450" s="1288"/>
    </row>
    <row r="53451" spans="18:18" s="2" customFormat="1" ht="12.75" x14ac:dyDescent="0.2">
      <c r="R53451" s="1288"/>
    </row>
    <row r="53452" spans="18:18" s="2" customFormat="1" ht="12.75" x14ac:dyDescent="0.2">
      <c r="R53452" s="1288"/>
    </row>
    <row r="53453" spans="18:18" s="2" customFormat="1" ht="12.75" x14ac:dyDescent="0.2">
      <c r="R53453" s="1288"/>
    </row>
    <row r="53454" spans="18:18" s="2" customFormat="1" ht="12.75" x14ac:dyDescent="0.2">
      <c r="R53454" s="1288"/>
    </row>
    <row r="53455" spans="18:18" s="2" customFormat="1" ht="12.75" x14ac:dyDescent="0.2">
      <c r="R53455" s="1288"/>
    </row>
    <row r="53456" spans="18:18" s="2" customFormat="1" ht="12.75" x14ac:dyDescent="0.2">
      <c r="R53456" s="1288"/>
    </row>
    <row r="53457" spans="18:18" s="2" customFormat="1" ht="12.75" x14ac:dyDescent="0.2">
      <c r="R53457" s="1288"/>
    </row>
    <row r="53458" spans="18:18" s="2" customFormat="1" ht="12.75" x14ac:dyDescent="0.2">
      <c r="R53458" s="1288"/>
    </row>
    <row r="53459" spans="18:18" s="2" customFormat="1" ht="12.75" x14ac:dyDescent="0.2">
      <c r="R53459" s="1288"/>
    </row>
    <row r="53460" spans="18:18" s="2" customFormat="1" ht="12.75" x14ac:dyDescent="0.2">
      <c r="R53460" s="1288"/>
    </row>
    <row r="53461" spans="18:18" s="2" customFormat="1" ht="12.75" x14ac:dyDescent="0.2">
      <c r="R53461" s="1288"/>
    </row>
    <row r="53462" spans="18:18" s="2" customFormat="1" ht="12.75" x14ac:dyDescent="0.2">
      <c r="R53462" s="1288"/>
    </row>
    <row r="53463" spans="18:18" s="2" customFormat="1" ht="12.75" x14ac:dyDescent="0.2">
      <c r="R53463" s="1288"/>
    </row>
    <row r="53464" spans="18:18" s="2" customFormat="1" ht="12.75" x14ac:dyDescent="0.2">
      <c r="R53464" s="1288"/>
    </row>
    <row r="53465" spans="18:18" s="2" customFormat="1" ht="12.75" x14ac:dyDescent="0.2">
      <c r="R53465" s="1288"/>
    </row>
    <row r="53466" spans="18:18" s="2" customFormat="1" ht="12.75" x14ac:dyDescent="0.2">
      <c r="R53466" s="1288"/>
    </row>
    <row r="53467" spans="18:18" s="2" customFormat="1" ht="12.75" x14ac:dyDescent="0.2">
      <c r="R53467" s="1288"/>
    </row>
    <row r="53468" spans="18:18" s="2" customFormat="1" ht="12.75" x14ac:dyDescent="0.2">
      <c r="R53468" s="1288"/>
    </row>
    <row r="53469" spans="18:18" s="2" customFormat="1" ht="12.75" x14ac:dyDescent="0.2">
      <c r="R53469" s="1288"/>
    </row>
    <row r="53470" spans="18:18" s="2" customFormat="1" ht="12.75" x14ac:dyDescent="0.2">
      <c r="R53470" s="1288"/>
    </row>
    <row r="53471" spans="18:18" s="2" customFormat="1" ht="12.75" x14ac:dyDescent="0.2">
      <c r="R53471" s="1288"/>
    </row>
    <row r="53472" spans="18:18" s="2" customFormat="1" ht="12.75" x14ac:dyDescent="0.2">
      <c r="R53472" s="1288"/>
    </row>
    <row r="53473" spans="18:18" s="2" customFormat="1" ht="12.75" x14ac:dyDescent="0.2">
      <c r="R53473" s="1288"/>
    </row>
    <row r="53474" spans="18:18" s="2" customFormat="1" ht="12.75" x14ac:dyDescent="0.2">
      <c r="R53474" s="1288"/>
    </row>
    <row r="53475" spans="18:18" s="2" customFormat="1" ht="12.75" x14ac:dyDescent="0.2">
      <c r="R53475" s="1288"/>
    </row>
    <row r="53476" spans="18:18" s="2" customFormat="1" ht="12.75" x14ac:dyDescent="0.2">
      <c r="R53476" s="1288"/>
    </row>
    <row r="53477" spans="18:18" s="2" customFormat="1" ht="12.75" x14ac:dyDescent="0.2">
      <c r="R53477" s="1288"/>
    </row>
    <row r="53478" spans="18:18" s="2" customFormat="1" ht="12.75" x14ac:dyDescent="0.2">
      <c r="R53478" s="1288"/>
    </row>
    <row r="53479" spans="18:18" s="2" customFormat="1" ht="12.75" x14ac:dyDescent="0.2">
      <c r="R53479" s="1288"/>
    </row>
    <row r="53480" spans="18:18" s="2" customFormat="1" ht="12.75" x14ac:dyDescent="0.2">
      <c r="R53480" s="1288"/>
    </row>
    <row r="53481" spans="18:18" s="2" customFormat="1" ht="12.75" x14ac:dyDescent="0.2">
      <c r="R53481" s="1288"/>
    </row>
    <row r="53482" spans="18:18" s="2" customFormat="1" ht="12.75" x14ac:dyDescent="0.2">
      <c r="R53482" s="1288"/>
    </row>
    <row r="53483" spans="18:18" s="2" customFormat="1" ht="12.75" x14ac:dyDescent="0.2">
      <c r="R53483" s="1288"/>
    </row>
    <row r="53484" spans="18:18" s="2" customFormat="1" ht="12.75" x14ac:dyDescent="0.2">
      <c r="R53484" s="1288"/>
    </row>
    <row r="53485" spans="18:18" s="2" customFormat="1" ht="12.75" x14ac:dyDescent="0.2">
      <c r="R53485" s="1288"/>
    </row>
    <row r="53486" spans="18:18" s="2" customFormat="1" ht="12.75" x14ac:dyDescent="0.2">
      <c r="R53486" s="1288"/>
    </row>
    <row r="53487" spans="18:18" s="2" customFormat="1" ht="12.75" x14ac:dyDescent="0.2">
      <c r="R53487" s="1288"/>
    </row>
    <row r="53488" spans="18:18" s="2" customFormat="1" ht="12.75" x14ac:dyDescent="0.2">
      <c r="R53488" s="1288"/>
    </row>
    <row r="53489" spans="18:18" s="2" customFormat="1" ht="12.75" x14ac:dyDescent="0.2">
      <c r="R53489" s="1288"/>
    </row>
    <row r="53490" spans="18:18" s="2" customFormat="1" ht="12.75" x14ac:dyDescent="0.2">
      <c r="R53490" s="1288"/>
    </row>
    <row r="53491" spans="18:18" s="2" customFormat="1" ht="12.75" x14ac:dyDescent="0.2">
      <c r="R53491" s="1288"/>
    </row>
    <row r="53492" spans="18:18" s="2" customFormat="1" ht="12.75" x14ac:dyDescent="0.2">
      <c r="R53492" s="1288"/>
    </row>
    <row r="53493" spans="18:18" s="2" customFormat="1" ht="12.75" x14ac:dyDescent="0.2">
      <c r="R53493" s="1288"/>
    </row>
    <row r="53494" spans="18:18" s="2" customFormat="1" ht="12.75" x14ac:dyDescent="0.2">
      <c r="R53494" s="1288"/>
    </row>
    <row r="53495" spans="18:18" s="2" customFormat="1" ht="12.75" x14ac:dyDescent="0.2">
      <c r="R53495" s="1288"/>
    </row>
    <row r="53496" spans="18:18" s="2" customFormat="1" ht="12.75" x14ac:dyDescent="0.2">
      <c r="R53496" s="1288"/>
    </row>
    <row r="53497" spans="18:18" s="2" customFormat="1" ht="12.75" x14ac:dyDescent="0.2">
      <c r="R53497" s="1288"/>
    </row>
    <row r="53498" spans="18:18" s="2" customFormat="1" ht="12.75" x14ac:dyDescent="0.2">
      <c r="R53498" s="1288"/>
    </row>
    <row r="53499" spans="18:18" s="2" customFormat="1" ht="12.75" x14ac:dyDescent="0.2">
      <c r="R53499" s="1288"/>
    </row>
    <row r="53500" spans="18:18" s="2" customFormat="1" ht="12.75" x14ac:dyDescent="0.2">
      <c r="R53500" s="1288"/>
    </row>
    <row r="53501" spans="18:18" s="2" customFormat="1" ht="12.75" x14ac:dyDescent="0.2">
      <c r="R53501" s="1288"/>
    </row>
    <row r="53502" spans="18:18" s="2" customFormat="1" ht="12.75" x14ac:dyDescent="0.2">
      <c r="R53502" s="1288"/>
    </row>
    <row r="53503" spans="18:18" s="2" customFormat="1" ht="12.75" x14ac:dyDescent="0.2">
      <c r="R53503" s="1288"/>
    </row>
    <row r="53504" spans="18:18" s="2" customFormat="1" ht="12.75" x14ac:dyDescent="0.2">
      <c r="R53504" s="1288"/>
    </row>
    <row r="53505" spans="18:18" s="2" customFormat="1" ht="12.75" x14ac:dyDescent="0.2">
      <c r="R53505" s="1288"/>
    </row>
    <row r="53506" spans="18:18" s="2" customFormat="1" ht="12.75" x14ac:dyDescent="0.2">
      <c r="R53506" s="1288"/>
    </row>
    <row r="53507" spans="18:18" s="2" customFormat="1" ht="12.75" x14ac:dyDescent="0.2">
      <c r="R53507" s="1288"/>
    </row>
    <row r="53508" spans="18:18" s="2" customFormat="1" ht="12.75" x14ac:dyDescent="0.2">
      <c r="R53508" s="1288"/>
    </row>
    <row r="53509" spans="18:18" s="2" customFormat="1" ht="12.75" x14ac:dyDescent="0.2">
      <c r="R53509" s="1288"/>
    </row>
    <row r="53510" spans="18:18" s="2" customFormat="1" ht="12.75" x14ac:dyDescent="0.2">
      <c r="R53510" s="1288"/>
    </row>
    <row r="53511" spans="18:18" s="2" customFormat="1" ht="12.75" x14ac:dyDescent="0.2">
      <c r="R53511" s="1288"/>
    </row>
    <row r="53512" spans="18:18" s="2" customFormat="1" ht="12.75" x14ac:dyDescent="0.2">
      <c r="R53512" s="1288"/>
    </row>
    <row r="53513" spans="18:18" s="2" customFormat="1" ht="12.75" x14ac:dyDescent="0.2">
      <c r="R53513" s="1288"/>
    </row>
    <row r="53514" spans="18:18" s="2" customFormat="1" ht="12.75" x14ac:dyDescent="0.2">
      <c r="R53514" s="1288"/>
    </row>
    <row r="53515" spans="18:18" s="2" customFormat="1" ht="12.75" x14ac:dyDescent="0.2">
      <c r="R53515" s="1288"/>
    </row>
    <row r="53516" spans="18:18" s="2" customFormat="1" ht="12.75" x14ac:dyDescent="0.2">
      <c r="R53516" s="1288"/>
    </row>
    <row r="53517" spans="18:18" s="2" customFormat="1" ht="12.75" x14ac:dyDescent="0.2">
      <c r="R53517" s="1288"/>
    </row>
    <row r="53518" spans="18:18" s="2" customFormat="1" ht="12.75" x14ac:dyDescent="0.2">
      <c r="R53518" s="1288"/>
    </row>
    <row r="53519" spans="18:18" s="2" customFormat="1" ht="12.75" x14ac:dyDescent="0.2">
      <c r="R53519" s="1288"/>
    </row>
    <row r="53520" spans="18:18" s="2" customFormat="1" ht="12.75" x14ac:dyDescent="0.2">
      <c r="R53520" s="1288"/>
    </row>
    <row r="53521" spans="18:18" s="2" customFormat="1" ht="12.75" x14ac:dyDescent="0.2">
      <c r="R53521" s="1288"/>
    </row>
    <row r="53522" spans="18:18" s="2" customFormat="1" ht="12.75" x14ac:dyDescent="0.2">
      <c r="R53522" s="1288"/>
    </row>
    <row r="53523" spans="18:18" s="2" customFormat="1" ht="12.75" x14ac:dyDescent="0.2">
      <c r="R53523" s="1288"/>
    </row>
    <row r="53524" spans="18:18" s="2" customFormat="1" ht="12.75" x14ac:dyDescent="0.2">
      <c r="R53524" s="1288"/>
    </row>
    <row r="53525" spans="18:18" s="2" customFormat="1" ht="12.75" x14ac:dyDescent="0.2">
      <c r="R53525" s="1288"/>
    </row>
    <row r="53526" spans="18:18" s="2" customFormat="1" ht="12.75" x14ac:dyDescent="0.2">
      <c r="R53526" s="1288"/>
    </row>
    <row r="53527" spans="18:18" s="2" customFormat="1" ht="12.75" x14ac:dyDescent="0.2">
      <c r="R53527" s="1288"/>
    </row>
    <row r="53528" spans="18:18" s="2" customFormat="1" ht="12.75" x14ac:dyDescent="0.2">
      <c r="R53528" s="1288"/>
    </row>
    <row r="53529" spans="18:18" s="2" customFormat="1" ht="12.75" x14ac:dyDescent="0.2">
      <c r="R53529" s="1288"/>
    </row>
    <row r="53530" spans="18:18" s="2" customFormat="1" ht="12.75" x14ac:dyDescent="0.2">
      <c r="R53530" s="1288"/>
    </row>
    <row r="53531" spans="18:18" s="2" customFormat="1" ht="12.75" x14ac:dyDescent="0.2">
      <c r="R53531" s="1288"/>
    </row>
    <row r="53532" spans="18:18" s="2" customFormat="1" ht="12.75" x14ac:dyDescent="0.2">
      <c r="R53532" s="1288"/>
    </row>
    <row r="53533" spans="18:18" s="2" customFormat="1" ht="12.75" x14ac:dyDescent="0.2">
      <c r="R53533" s="1288"/>
    </row>
    <row r="53534" spans="18:18" s="2" customFormat="1" ht="12.75" x14ac:dyDescent="0.2">
      <c r="R53534" s="1288"/>
    </row>
    <row r="53535" spans="18:18" s="2" customFormat="1" ht="12.75" x14ac:dyDescent="0.2">
      <c r="R53535" s="1288"/>
    </row>
    <row r="53536" spans="18:18" s="2" customFormat="1" ht="12.75" x14ac:dyDescent="0.2">
      <c r="R53536" s="1288"/>
    </row>
    <row r="53537" spans="18:18" s="2" customFormat="1" ht="12.75" x14ac:dyDescent="0.2">
      <c r="R53537" s="1288"/>
    </row>
    <row r="53538" spans="18:18" s="2" customFormat="1" ht="12.75" x14ac:dyDescent="0.2">
      <c r="R53538" s="1288"/>
    </row>
    <row r="53539" spans="18:18" s="2" customFormat="1" ht="12.75" x14ac:dyDescent="0.2">
      <c r="R53539" s="1288"/>
    </row>
    <row r="53540" spans="18:18" s="2" customFormat="1" ht="12.75" x14ac:dyDescent="0.2">
      <c r="R53540" s="1288"/>
    </row>
    <row r="53541" spans="18:18" s="2" customFormat="1" ht="12.75" x14ac:dyDescent="0.2">
      <c r="R53541" s="1288"/>
    </row>
    <row r="53542" spans="18:18" s="2" customFormat="1" ht="12.75" x14ac:dyDescent="0.2">
      <c r="R53542" s="1288"/>
    </row>
    <row r="53543" spans="18:18" s="2" customFormat="1" ht="12.75" x14ac:dyDescent="0.2">
      <c r="R53543" s="1288"/>
    </row>
    <row r="53544" spans="18:18" s="2" customFormat="1" ht="12.75" x14ac:dyDescent="0.2">
      <c r="R53544" s="1288"/>
    </row>
    <row r="53545" spans="18:18" s="2" customFormat="1" ht="12.75" x14ac:dyDescent="0.2">
      <c r="R53545" s="1288"/>
    </row>
    <row r="53546" spans="18:18" s="2" customFormat="1" ht="12.75" x14ac:dyDescent="0.2">
      <c r="R53546" s="1288"/>
    </row>
    <row r="53547" spans="18:18" s="2" customFormat="1" ht="12.75" x14ac:dyDescent="0.2">
      <c r="R53547" s="1288"/>
    </row>
    <row r="53548" spans="18:18" s="2" customFormat="1" ht="12.75" x14ac:dyDescent="0.2">
      <c r="R53548" s="1288"/>
    </row>
    <row r="53549" spans="18:18" s="2" customFormat="1" ht="12.75" x14ac:dyDescent="0.2">
      <c r="R53549" s="1288"/>
    </row>
    <row r="53550" spans="18:18" s="2" customFormat="1" ht="12.75" x14ac:dyDescent="0.2">
      <c r="R53550" s="1288"/>
    </row>
    <row r="53551" spans="18:18" s="2" customFormat="1" ht="12.75" x14ac:dyDescent="0.2">
      <c r="R53551" s="1288"/>
    </row>
    <row r="53552" spans="18:18" s="2" customFormat="1" ht="12.75" x14ac:dyDescent="0.2">
      <c r="R53552" s="1288"/>
    </row>
    <row r="53553" spans="18:18" s="2" customFormat="1" ht="12.75" x14ac:dyDescent="0.2">
      <c r="R53553" s="1288"/>
    </row>
    <row r="53554" spans="18:18" s="2" customFormat="1" ht="12.75" x14ac:dyDescent="0.2">
      <c r="R53554" s="1288"/>
    </row>
    <row r="53555" spans="18:18" s="2" customFormat="1" ht="12.75" x14ac:dyDescent="0.2">
      <c r="R53555" s="1288"/>
    </row>
    <row r="53556" spans="18:18" s="2" customFormat="1" ht="12.75" x14ac:dyDescent="0.2">
      <c r="R53556" s="1288"/>
    </row>
    <row r="53557" spans="18:18" s="2" customFormat="1" ht="12.75" x14ac:dyDescent="0.2">
      <c r="R53557" s="1288"/>
    </row>
    <row r="53558" spans="18:18" s="2" customFormat="1" ht="12.75" x14ac:dyDescent="0.2">
      <c r="R53558" s="1288"/>
    </row>
    <row r="53559" spans="18:18" s="2" customFormat="1" ht="12.75" x14ac:dyDescent="0.2">
      <c r="R53559" s="1288"/>
    </row>
    <row r="53560" spans="18:18" s="2" customFormat="1" ht="12.75" x14ac:dyDescent="0.2">
      <c r="R53560" s="1288"/>
    </row>
    <row r="53561" spans="18:18" s="2" customFormat="1" ht="12.75" x14ac:dyDescent="0.2">
      <c r="R53561" s="1288"/>
    </row>
    <row r="53562" spans="18:18" s="2" customFormat="1" ht="12.75" x14ac:dyDescent="0.2">
      <c r="R53562" s="1288"/>
    </row>
    <row r="53563" spans="18:18" s="2" customFormat="1" ht="12.75" x14ac:dyDescent="0.2">
      <c r="R53563" s="1288"/>
    </row>
    <row r="53564" spans="18:18" s="2" customFormat="1" ht="12.75" x14ac:dyDescent="0.2">
      <c r="R53564" s="1288"/>
    </row>
    <row r="53565" spans="18:18" s="2" customFormat="1" ht="12.75" x14ac:dyDescent="0.2">
      <c r="R53565" s="1288"/>
    </row>
    <row r="53566" spans="18:18" s="2" customFormat="1" ht="12.75" x14ac:dyDescent="0.2">
      <c r="R53566" s="1288"/>
    </row>
    <row r="53567" spans="18:18" s="2" customFormat="1" ht="12.75" x14ac:dyDescent="0.2">
      <c r="R53567" s="1288"/>
    </row>
    <row r="53568" spans="18:18" s="2" customFormat="1" ht="12.75" x14ac:dyDescent="0.2">
      <c r="R53568" s="1288"/>
    </row>
    <row r="53569" spans="18:18" s="2" customFormat="1" ht="12.75" x14ac:dyDescent="0.2">
      <c r="R53569" s="1288"/>
    </row>
    <row r="53570" spans="18:18" s="2" customFormat="1" ht="12.75" x14ac:dyDescent="0.2">
      <c r="R53570" s="1288"/>
    </row>
    <row r="53571" spans="18:18" s="2" customFormat="1" ht="12.75" x14ac:dyDescent="0.2">
      <c r="R53571" s="1288"/>
    </row>
    <row r="53572" spans="18:18" s="2" customFormat="1" ht="12.75" x14ac:dyDescent="0.2">
      <c r="R53572" s="1288"/>
    </row>
    <row r="53573" spans="18:18" s="2" customFormat="1" ht="12.75" x14ac:dyDescent="0.2">
      <c r="R53573" s="1288"/>
    </row>
    <row r="53574" spans="18:18" s="2" customFormat="1" ht="12.75" x14ac:dyDescent="0.2">
      <c r="R53574" s="1288"/>
    </row>
    <row r="53575" spans="18:18" s="2" customFormat="1" ht="12.75" x14ac:dyDescent="0.2">
      <c r="R53575" s="1288"/>
    </row>
    <row r="53576" spans="18:18" s="2" customFormat="1" ht="12.75" x14ac:dyDescent="0.2">
      <c r="R53576" s="1288"/>
    </row>
    <row r="53577" spans="18:18" s="2" customFormat="1" ht="12.75" x14ac:dyDescent="0.2">
      <c r="R53577" s="1288"/>
    </row>
    <row r="53578" spans="18:18" s="2" customFormat="1" ht="12.75" x14ac:dyDescent="0.2">
      <c r="R53578" s="1288"/>
    </row>
    <row r="53579" spans="18:18" s="2" customFormat="1" ht="12.75" x14ac:dyDescent="0.2">
      <c r="R53579" s="1288"/>
    </row>
    <row r="53580" spans="18:18" s="2" customFormat="1" ht="12.75" x14ac:dyDescent="0.2">
      <c r="R53580" s="1288"/>
    </row>
    <row r="53581" spans="18:18" s="2" customFormat="1" ht="12.75" x14ac:dyDescent="0.2">
      <c r="R53581" s="1288"/>
    </row>
    <row r="53582" spans="18:18" s="2" customFormat="1" ht="12.75" x14ac:dyDescent="0.2">
      <c r="R53582" s="1288"/>
    </row>
    <row r="53583" spans="18:18" s="2" customFormat="1" ht="12.75" x14ac:dyDescent="0.2">
      <c r="R53583" s="1288"/>
    </row>
    <row r="53584" spans="18:18" s="2" customFormat="1" ht="12.75" x14ac:dyDescent="0.2">
      <c r="R53584" s="1288"/>
    </row>
    <row r="53585" spans="18:18" s="2" customFormat="1" ht="12.75" x14ac:dyDescent="0.2">
      <c r="R53585" s="1288"/>
    </row>
    <row r="53586" spans="18:18" s="2" customFormat="1" ht="12.75" x14ac:dyDescent="0.2">
      <c r="R53586" s="1288"/>
    </row>
    <row r="53587" spans="18:18" s="2" customFormat="1" ht="12.75" x14ac:dyDescent="0.2">
      <c r="R53587" s="1288"/>
    </row>
    <row r="53588" spans="18:18" s="2" customFormat="1" ht="12.75" x14ac:dyDescent="0.2">
      <c r="R53588" s="1288"/>
    </row>
    <row r="53589" spans="18:18" s="2" customFormat="1" ht="12.75" x14ac:dyDescent="0.2">
      <c r="R53589" s="1288"/>
    </row>
    <row r="53590" spans="18:18" s="2" customFormat="1" ht="12.75" x14ac:dyDescent="0.2">
      <c r="R53590" s="1288"/>
    </row>
    <row r="53591" spans="18:18" s="2" customFormat="1" ht="12.75" x14ac:dyDescent="0.2">
      <c r="R53591" s="1288"/>
    </row>
    <row r="53592" spans="18:18" s="2" customFormat="1" ht="12.75" x14ac:dyDescent="0.2">
      <c r="R53592" s="1288"/>
    </row>
    <row r="53593" spans="18:18" s="2" customFormat="1" ht="12.75" x14ac:dyDescent="0.2">
      <c r="R53593" s="1288"/>
    </row>
    <row r="53594" spans="18:18" s="2" customFormat="1" ht="12.75" x14ac:dyDescent="0.2">
      <c r="R53594" s="1288"/>
    </row>
    <row r="53595" spans="18:18" s="2" customFormat="1" ht="12.75" x14ac:dyDescent="0.2">
      <c r="R53595" s="1288"/>
    </row>
    <row r="53596" spans="18:18" s="2" customFormat="1" ht="12.75" x14ac:dyDescent="0.2">
      <c r="R53596" s="1288"/>
    </row>
    <row r="53597" spans="18:18" s="2" customFormat="1" ht="12.75" x14ac:dyDescent="0.2">
      <c r="R53597" s="1288"/>
    </row>
    <row r="53598" spans="18:18" s="2" customFormat="1" ht="12.75" x14ac:dyDescent="0.2">
      <c r="R53598" s="1288"/>
    </row>
    <row r="53599" spans="18:18" s="2" customFormat="1" ht="12.75" x14ac:dyDescent="0.2">
      <c r="R53599" s="1288"/>
    </row>
    <row r="53600" spans="18:18" s="2" customFormat="1" ht="12.75" x14ac:dyDescent="0.2">
      <c r="R53600" s="1288"/>
    </row>
    <row r="53601" spans="18:18" s="2" customFormat="1" ht="12.75" x14ac:dyDescent="0.2">
      <c r="R53601" s="1288"/>
    </row>
    <row r="53602" spans="18:18" s="2" customFormat="1" ht="12.75" x14ac:dyDescent="0.2">
      <c r="R53602" s="1288"/>
    </row>
    <row r="53603" spans="18:18" s="2" customFormat="1" ht="12.75" x14ac:dyDescent="0.2">
      <c r="R53603" s="1288"/>
    </row>
    <row r="53604" spans="18:18" s="2" customFormat="1" ht="12.75" x14ac:dyDescent="0.2">
      <c r="R53604" s="1288"/>
    </row>
    <row r="53605" spans="18:18" s="2" customFormat="1" ht="12.75" x14ac:dyDescent="0.2">
      <c r="R53605" s="1288"/>
    </row>
    <row r="53606" spans="18:18" s="2" customFormat="1" ht="12.75" x14ac:dyDescent="0.2">
      <c r="R53606" s="1288"/>
    </row>
    <row r="53607" spans="18:18" s="2" customFormat="1" ht="12.75" x14ac:dyDescent="0.2">
      <c r="R53607" s="1288"/>
    </row>
    <row r="53608" spans="18:18" s="2" customFormat="1" ht="12.75" x14ac:dyDescent="0.2">
      <c r="R53608" s="1288"/>
    </row>
    <row r="53609" spans="18:18" s="2" customFormat="1" ht="12.75" x14ac:dyDescent="0.2">
      <c r="R53609" s="1288"/>
    </row>
    <row r="53610" spans="18:18" s="2" customFormat="1" ht="12.75" x14ac:dyDescent="0.2">
      <c r="R53610" s="1288"/>
    </row>
    <row r="53611" spans="18:18" s="2" customFormat="1" ht="12.75" x14ac:dyDescent="0.2">
      <c r="R53611" s="1288"/>
    </row>
    <row r="53612" spans="18:18" s="2" customFormat="1" ht="12.75" x14ac:dyDescent="0.2">
      <c r="R53612" s="1288"/>
    </row>
    <row r="53613" spans="18:18" s="2" customFormat="1" ht="12.75" x14ac:dyDescent="0.2">
      <c r="R53613" s="1288"/>
    </row>
    <row r="53614" spans="18:18" s="2" customFormat="1" ht="12.75" x14ac:dyDescent="0.2">
      <c r="R53614" s="1288"/>
    </row>
    <row r="53615" spans="18:18" s="2" customFormat="1" ht="12.75" x14ac:dyDescent="0.2">
      <c r="R53615" s="1288"/>
    </row>
    <row r="53616" spans="18:18" s="2" customFormat="1" ht="12.75" x14ac:dyDescent="0.2">
      <c r="R53616" s="1288"/>
    </row>
    <row r="53617" spans="18:18" s="2" customFormat="1" ht="12.75" x14ac:dyDescent="0.2">
      <c r="R53617" s="1288"/>
    </row>
    <row r="53618" spans="18:18" s="2" customFormat="1" ht="12.75" x14ac:dyDescent="0.2">
      <c r="R53618" s="1288"/>
    </row>
    <row r="53619" spans="18:18" s="2" customFormat="1" ht="12.75" x14ac:dyDescent="0.2">
      <c r="R53619" s="1288"/>
    </row>
    <row r="53620" spans="18:18" s="2" customFormat="1" ht="12.75" x14ac:dyDescent="0.2">
      <c r="R53620" s="1288"/>
    </row>
    <row r="53621" spans="18:18" s="2" customFormat="1" ht="12.75" x14ac:dyDescent="0.2">
      <c r="R53621" s="1288"/>
    </row>
    <row r="53622" spans="18:18" s="2" customFormat="1" ht="12.75" x14ac:dyDescent="0.2">
      <c r="R53622" s="1288"/>
    </row>
    <row r="53623" spans="18:18" s="2" customFormat="1" ht="12.75" x14ac:dyDescent="0.2">
      <c r="R53623" s="1288"/>
    </row>
    <row r="53624" spans="18:18" s="2" customFormat="1" ht="12.75" x14ac:dyDescent="0.2">
      <c r="R53624" s="1288"/>
    </row>
    <row r="53625" spans="18:18" s="2" customFormat="1" ht="12.75" x14ac:dyDescent="0.2">
      <c r="R53625" s="1288"/>
    </row>
    <row r="53626" spans="18:18" s="2" customFormat="1" ht="12.75" x14ac:dyDescent="0.2">
      <c r="R53626" s="1288"/>
    </row>
    <row r="53627" spans="18:18" s="2" customFormat="1" ht="12.75" x14ac:dyDescent="0.2">
      <c r="R53627" s="1288"/>
    </row>
    <row r="53628" spans="18:18" s="2" customFormat="1" ht="12.75" x14ac:dyDescent="0.2">
      <c r="R53628" s="1288"/>
    </row>
    <row r="53629" spans="18:18" s="2" customFormat="1" ht="12.75" x14ac:dyDescent="0.2">
      <c r="R53629" s="1288"/>
    </row>
    <row r="53630" spans="18:18" s="2" customFormat="1" ht="12.75" x14ac:dyDescent="0.2">
      <c r="R53630" s="1288"/>
    </row>
    <row r="53631" spans="18:18" s="2" customFormat="1" ht="12.75" x14ac:dyDescent="0.2">
      <c r="R53631" s="1288"/>
    </row>
    <row r="53632" spans="18:18" s="2" customFormat="1" ht="12.75" x14ac:dyDescent="0.2">
      <c r="R53632" s="1288"/>
    </row>
    <row r="53633" spans="18:18" s="2" customFormat="1" ht="12.75" x14ac:dyDescent="0.2">
      <c r="R53633" s="1288"/>
    </row>
    <row r="53634" spans="18:18" s="2" customFormat="1" ht="12.75" x14ac:dyDescent="0.2">
      <c r="R53634" s="1288"/>
    </row>
    <row r="53635" spans="18:18" s="2" customFormat="1" ht="12.75" x14ac:dyDescent="0.2">
      <c r="R53635" s="1288"/>
    </row>
    <row r="53636" spans="18:18" s="2" customFormat="1" ht="12.75" x14ac:dyDescent="0.2">
      <c r="R53636" s="1288"/>
    </row>
    <row r="53637" spans="18:18" s="2" customFormat="1" ht="12.75" x14ac:dyDescent="0.2">
      <c r="R53637" s="1288"/>
    </row>
    <row r="53638" spans="18:18" s="2" customFormat="1" ht="12.75" x14ac:dyDescent="0.2">
      <c r="R53638" s="1288"/>
    </row>
    <row r="53639" spans="18:18" s="2" customFormat="1" ht="12.75" x14ac:dyDescent="0.2">
      <c r="R53639" s="1288"/>
    </row>
    <row r="53640" spans="18:18" s="2" customFormat="1" ht="12.75" x14ac:dyDescent="0.2">
      <c r="R53640" s="1288"/>
    </row>
    <row r="53641" spans="18:18" s="2" customFormat="1" ht="12.75" x14ac:dyDescent="0.2">
      <c r="R53641" s="1288"/>
    </row>
    <row r="53642" spans="18:18" s="2" customFormat="1" ht="12.75" x14ac:dyDescent="0.2">
      <c r="R53642" s="1288"/>
    </row>
    <row r="53643" spans="18:18" s="2" customFormat="1" ht="12.75" x14ac:dyDescent="0.2">
      <c r="R53643" s="1288"/>
    </row>
    <row r="53644" spans="18:18" s="2" customFormat="1" ht="12.75" x14ac:dyDescent="0.2">
      <c r="R53644" s="1288"/>
    </row>
    <row r="53645" spans="18:18" s="2" customFormat="1" ht="12.75" x14ac:dyDescent="0.2">
      <c r="R53645" s="1288"/>
    </row>
    <row r="53646" spans="18:18" s="2" customFormat="1" ht="12.75" x14ac:dyDescent="0.2">
      <c r="R53646" s="1288"/>
    </row>
    <row r="53647" spans="18:18" s="2" customFormat="1" ht="12.75" x14ac:dyDescent="0.2">
      <c r="R53647" s="1288"/>
    </row>
    <row r="53648" spans="18:18" s="2" customFormat="1" ht="12.75" x14ac:dyDescent="0.2">
      <c r="R53648" s="1288"/>
    </row>
    <row r="53649" spans="18:18" s="2" customFormat="1" ht="12.75" x14ac:dyDescent="0.2">
      <c r="R53649" s="1288"/>
    </row>
    <row r="53650" spans="18:18" s="2" customFormat="1" ht="12.75" x14ac:dyDescent="0.2">
      <c r="R53650" s="1288"/>
    </row>
    <row r="53651" spans="18:18" s="2" customFormat="1" ht="12.75" x14ac:dyDescent="0.2">
      <c r="R53651" s="1288"/>
    </row>
    <row r="53652" spans="18:18" s="2" customFormat="1" ht="12.75" x14ac:dyDescent="0.2">
      <c r="R53652" s="1288"/>
    </row>
    <row r="53653" spans="18:18" s="2" customFormat="1" ht="12.75" x14ac:dyDescent="0.2">
      <c r="R53653" s="1288"/>
    </row>
    <row r="53654" spans="18:18" s="2" customFormat="1" ht="12.75" x14ac:dyDescent="0.2">
      <c r="R53654" s="1288"/>
    </row>
    <row r="53655" spans="18:18" s="2" customFormat="1" ht="12.75" x14ac:dyDescent="0.2">
      <c r="R53655" s="1288"/>
    </row>
    <row r="53656" spans="18:18" s="2" customFormat="1" ht="12.75" x14ac:dyDescent="0.2">
      <c r="R53656" s="1288"/>
    </row>
    <row r="53657" spans="18:18" s="2" customFormat="1" ht="12.75" x14ac:dyDescent="0.2">
      <c r="R53657" s="1288"/>
    </row>
    <row r="53658" spans="18:18" s="2" customFormat="1" ht="12.75" x14ac:dyDescent="0.2">
      <c r="R53658" s="1288"/>
    </row>
    <row r="53659" spans="18:18" s="2" customFormat="1" ht="12.75" x14ac:dyDescent="0.2">
      <c r="R53659" s="1288"/>
    </row>
    <row r="53660" spans="18:18" s="2" customFormat="1" ht="12.75" x14ac:dyDescent="0.2">
      <c r="R53660" s="1288"/>
    </row>
    <row r="53661" spans="18:18" s="2" customFormat="1" ht="12.75" x14ac:dyDescent="0.2">
      <c r="R53661" s="1288"/>
    </row>
    <row r="53662" spans="18:18" s="2" customFormat="1" ht="12.75" x14ac:dyDescent="0.2">
      <c r="R53662" s="1288"/>
    </row>
    <row r="53663" spans="18:18" s="2" customFormat="1" ht="12.75" x14ac:dyDescent="0.2">
      <c r="R53663" s="1288"/>
    </row>
    <row r="53664" spans="18:18" s="2" customFormat="1" ht="12.75" x14ac:dyDescent="0.2">
      <c r="R53664" s="1288"/>
    </row>
    <row r="53665" spans="18:18" s="2" customFormat="1" ht="12.75" x14ac:dyDescent="0.2">
      <c r="R53665" s="1288"/>
    </row>
    <row r="53666" spans="18:18" s="2" customFormat="1" ht="12.75" x14ac:dyDescent="0.2">
      <c r="R53666" s="1288"/>
    </row>
    <row r="53667" spans="18:18" s="2" customFormat="1" ht="12.75" x14ac:dyDescent="0.2">
      <c r="R53667" s="1288"/>
    </row>
    <row r="53668" spans="18:18" s="2" customFormat="1" ht="12.75" x14ac:dyDescent="0.2">
      <c r="R53668" s="1288"/>
    </row>
    <row r="53669" spans="18:18" s="2" customFormat="1" ht="12.75" x14ac:dyDescent="0.2">
      <c r="R53669" s="1288"/>
    </row>
    <row r="53670" spans="18:18" s="2" customFormat="1" ht="12.75" x14ac:dyDescent="0.2">
      <c r="R53670" s="1288"/>
    </row>
    <row r="53671" spans="18:18" s="2" customFormat="1" ht="12.75" x14ac:dyDescent="0.2">
      <c r="R53671" s="1288"/>
    </row>
    <row r="53672" spans="18:18" s="2" customFormat="1" ht="12.75" x14ac:dyDescent="0.2">
      <c r="R53672" s="1288"/>
    </row>
    <row r="53673" spans="18:18" s="2" customFormat="1" ht="12.75" x14ac:dyDescent="0.2">
      <c r="R53673" s="1288"/>
    </row>
    <row r="53674" spans="18:18" s="2" customFormat="1" ht="12.75" x14ac:dyDescent="0.2">
      <c r="R53674" s="1288"/>
    </row>
    <row r="53675" spans="18:18" s="2" customFormat="1" ht="12.75" x14ac:dyDescent="0.2">
      <c r="R53675" s="1288"/>
    </row>
    <row r="53676" spans="18:18" s="2" customFormat="1" ht="12.75" x14ac:dyDescent="0.2">
      <c r="R53676" s="1288"/>
    </row>
    <row r="53677" spans="18:18" s="2" customFormat="1" ht="12.75" x14ac:dyDescent="0.2">
      <c r="R53677" s="1288"/>
    </row>
    <row r="53678" spans="18:18" s="2" customFormat="1" ht="12.75" x14ac:dyDescent="0.2">
      <c r="R53678" s="1288"/>
    </row>
    <row r="53679" spans="18:18" s="2" customFormat="1" ht="12.75" x14ac:dyDescent="0.2">
      <c r="R53679" s="1288"/>
    </row>
    <row r="53680" spans="18:18" s="2" customFormat="1" ht="12.75" x14ac:dyDescent="0.2">
      <c r="R53680" s="1288"/>
    </row>
    <row r="53681" spans="18:18" s="2" customFormat="1" ht="12.75" x14ac:dyDescent="0.2">
      <c r="R53681" s="1288"/>
    </row>
    <row r="53682" spans="18:18" s="2" customFormat="1" ht="12.75" x14ac:dyDescent="0.2">
      <c r="R53682" s="1288"/>
    </row>
    <row r="53683" spans="18:18" s="2" customFormat="1" ht="12.75" x14ac:dyDescent="0.2">
      <c r="R53683" s="1288"/>
    </row>
    <row r="53684" spans="18:18" s="2" customFormat="1" ht="12.75" x14ac:dyDescent="0.2">
      <c r="R53684" s="1288"/>
    </row>
    <row r="53685" spans="18:18" s="2" customFormat="1" ht="12.75" x14ac:dyDescent="0.2">
      <c r="R53685" s="1288"/>
    </row>
    <row r="53686" spans="18:18" s="2" customFormat="1" ht="12.75" x14ac:dyDescent="0.2">
      <c r="R53686" s="1288"/>
    </row>
    <row r="53687" spans="18:18" s="2" customFormat="1" ht="12.75" x14ac:dyDescent="0.2">
      <c r="R53687" s="1288"/>
    </row>
    <row r="53688" spans="18:18" s="2" customFormat="1" ht="12.75" x14ac:dyDescent="0.2">
      <c r="R53688" s="1288"/>
    </row>
    <row r="53689" spans="18:18" s="2" customFormat="1" ht="12.75" x14ac:dyDescent="0.2">
      <c r="R53689" s="1288"/>
    </row>
    <row r="53690" spans="18:18" s="2" customFormat="1" ht="12.75" x14ac:dyDescent="0.2">
      <c r="R53690" s="1288"/>
    </row>
    <row r="53691" spans="18:18" s="2" customFormat="1" ht="12.75" x14ac:dyDescent="0.2">
      <c r="R53691" s="1288"/>
    </row>
    <row r="53692" spans="18:18" s="2" customFormat="1" ht="12.75" x14ac:dyDescent="0.2">
      <c r="R53692" s="1288"/>
    </row>
    <row r="53693" spans="18:18" s="2" customFormat="1" ht="12.75" x14ac:dyDescent="0.2">
      <c r="R53693" s="1288"/>
    </row>
    <row r="53694" spans="18:18" s="2" customFormat="1" ht="12.75" x14ac:dyDescent="0.2">
      <c r="R53694" s="1288"/>
    </row>
    <row r="53695" spans="18:18" s="2" customFormat="1" ht="12.75" x14ac:dyDescent="0.2">
      <c r="R53695" s="1288"/>
    </row>
    <row r="53696" spans="18:18" s="2" customFormat="1" ht="12.75" x14ac:dyDescent="0.2">
      <c r="R53696" s="1288"/>
    </row>
    <row r="53697" spans="18:18" s="2" customFormat="1" ht="12.75" x14ac:dyDescent="0.2">
      <c r="R53697" s="1288"/>
    </row>
    <row r="53698" spans="18:18" s="2" customFormat="1" ht="12.75" x14ac:dyDescent="0.2">
      <c r="R53698" s="1288"/>
    </row>
    <row r="53699" spans="18:18" s="2" customFormat="1" ht="12.75" x14ac:dyDescent="0.2">
      <c r="R53699" s="1288"/>
    </row>
    <row r="53700" spans="18:18" s="2" customFormat="1" ht="12.75" x14ac:dyDescent="0.2">
      <c r="R53700" s="1288"/>
    </row>
    <row r="53701" spans="18:18" s="2" customFormat="1" ht="12.75" x14ac:dyDescent="0.2">
      <c r="R53701" s="1288"/>
    </row>
    <row r="53702" spans="18:18" s="2" customFormat="1" ht="12.75" x14ac:dyDescent="0.2">
      <c r="R53702" s="1288"/>
    </row>
    <row r="53703" spans="18:18" s="2" customFormat="1" ht="12.75" x14ac:dyDescent="0.2">
      <c r="R53703" s="1288"/>
    </row>
    <row r="53704" spans="18:18" s="2" customFormat="1" ht="12.75" x14ac:dyDescent="0.2">
      <c r="R53704" s="1288"/>
    </row>
    <row r="53705" spans="18:18" s="2" customFormat="1" ht="12.75" x14ac:dyDescent="0.2">
      <c r="R53705" s="1288"/>
    </row>
    <row r="53706" spans="18:18" s="2" customFormat="1" ht="12.75" x14ac:dyDescent="0.2">
      <c r="R53706" s="1288"/>
    </row>
    <row r="53707" spans="18:18" s="2" customFormat="1" ht="12.75" x14ac:dyDescent="0.2">
      <c r="R53707" s="1288"/>
    </row>
    <row r="53708" spans="18:18" s="2" customFormat="1" ht="12.75" x14ac:dyDescent="0.2">
      <c r="R53708" s="1288"/>
    </row>
    <row r="53709" spans="18:18" s="2" customFormat="1" ht="12.75" x14ac:dyDescent="0.2">
      <c r="R53709" s="1288"/>
    </row>
    <row r="53710" spans="18:18" s="2" customFormat="1" ht="12.75" x14ac:dyDescent="0.2">
      <c r="R53710" s="1288"/>
    </row>
    <row r="53711" spans="18:18" s="2" customFormat="1" ht="12.75" x14ac:dyDescent="0.2">
      <c r="R53711" s="1288"/>
    </row>
    <row r="53712" spans="18:18" s="2" customFormat="1" ht="12.75" x14ac:dyDescent="0.2">
      <c r="R53712" s="1288"/>
    </row>
    <row r="53713" spans="18:18" s="2" customFormat="1" ht="12.75" x14ac:dyDescent="0.2">
      <c r="R53713" s="1288"/>
    </row>
    <row r="53714" spans="18:18" s="2" customFormat="1" ht="12.75" x14ac:dyDescent="0.2">
      <c r="R53714" s="1288"/>
    </row>
    <row r="53715" spans="18:18" s="2" customFormat="1" ht="12.75" x14ac:dyDescent="0.2">
      <c r="R53715" s="1288"/>
    </row>
    <row r="53716" spans="18:18" s="2" customFormat="1" ht="12.75" x14ac:dyDescent="0.2">
      <c r="R53716" s="1288"/>
    </row>
    <row r="53717" spans="18:18" s="2" customFormat="1" ht="12.75" x14ac:dyDescent="0.2">
      <c r="R53717" s="1288"/>
    </row>
    <row r="53718" spans="18:18" s="2" customFormat="1" ht="12.75" x14ac:dyDescent="0.2">
      <c r="R53718" s="1288"/>
    </row>
    <row r="53719" spans="18:18" s="2" customFormat="1" ht="12.75" x14ac:dyDescent="0.2">
      <c r="R53719" s="1288"/>
    </row>
    <row r="53720" spans="18:18" s="2" customFormat="1" ht="12.75" x14ac:dyDescent="0.2">
      <c r="R53720" s="1288"/>
    </row>
    <row r="53721" spans="18:18" s="2" customFormat="1" ht="12.75" x14ac:dyDescent="0.2">
      <c r="R53721" s="1288"/>
    </row>
    <row r="53722" spans="18:18" s="2" customFormat="1" ht="12.75" x14ac:dyDescent="0.2">
      <c r="R53722" s="1288"/>
    </row>
    <row r="53723" spans="18:18" s="2" customFormat="1" ht="12.75" x14ac:dyDescent="0.2">
      <c r="R53723" s="1288"/>
    </row>
    <row r="53724" spans="18:18" s="2" customFormat="1" ht="12.75" x14ac:dyDescent="0.2">
      <c r="R53724" s="1288"/>
    </row>
    <row r="53725" spans="18:18" s="2" customFormat="1" ht="12.75" x14ac:dyDescent="0.2">
      <c r="R53725" s="1288"/>
    </row>
    <row r="53726" spans="18:18" s="2" customFormat="1" ht="12.75" x14ac:dyDescent="0.2">
      <c r="R53726" s="1288"/>
    </row>
    <row r="53727" spans="18:18" s="2" customFormat="1" ht="12.75" x14ac:dyDescent="0.2">
      <c r="R53727" s="1288"/>
    </row>
    <row r="53728" spans="18:18" s="2" customFormat="1" ht="12.75" x14ac:dyDescent="0.2">
      <c r="R53728" s="1288"/>
    </row>
    <row r="53729" spans="18:18" s="2" customFormat="1" ht="12.75" x14ac:dyDescent="0.2">
      <c r="R53729" s="1288"/>
    </row>
    <row r="53730" spans="18:18" s="2" customFormat="1" ht="12.75" x14ac:dyDescent="0.2">
      <c r="R53730" s="1288"/>
    </row>
    <row r="53731" spans="18:18" s="2" customFormat="1" ht="12.75" x14ac:dyDescent="0.2">
      <c r="R53731" s="1288"/>
    </row>
    <row r="53732" spans="18:18" s="2" customFormat="1" ht="12.75" x14ac:dyDescent="0.2">
      <c r="R53732" s="1288"/>
    </row>
    <row r="53733" spans="18:18" s="2" customFormat="1" ht="12.75" x14ac:dyDescent="0.2">
      <c r="R53733" s="1288"/>
    </row>
    <row r="53734" spans="18:18" s="2" customFormat="1" ht="12.75" x14ac:dyDescent="0.2">
      <c r="R53734" s="1288"/>
    </row>
    <row r="53735" spans="18:18" s="2" customFormat="1" ht="12.75" x14ac:dyDescent="0.2">
      <c r="R53735" s="1288"/>
    </row>
    <row r="53736" spans="18:18" s="2" customFormat="1" ht="12.75" x14ac:dyDescent="0.2">
      <c r="R53736" s="1288"/>
    </row>
    <row r="53737" spans="18:18" s="2" customFormat="1" ht="12.75" x14ac:dyDescent="0.2">
      <c r="R53737" s="1288"/>
    </row>
    <row r="53738" spans="18:18" s="2" customFormat="1" ht="12.75" x14ac:dyDescent="0.2">
      <c r="R53738" s="1288"/>
    </row>
    <row r="53739" spans="18:18" s="2" customFormat="1" ht="12.75" x14ac:dyDescent="0.2">
      <c r="R53739" s="1288"/>
    </row>
    <row r="53740" spans="18:18" s="2" customFormat="1" ht="12.75" x14ac:dyDescent="0.2">
      <c r="R53740" s="1288"/>
    </row>
    <row r="53741" spans="18:18" s="2" customFormat="1" ht="12.75" x14ac:dyDescent="0.2">
      <c r="R53741" s="1288"/>
    </row>
    <row r="53742" spans="18:18" s="2" customFormat="1" ht="12.75" x14ac:dyDescent="0.2">
      <c r="R53742" s="1288"/>
    </row>
    <row r="53743" spans="18:18" s="2" customFormat="1" ht="12.75" x14ac:dyDescent="0.2">
      <c r="R53743" s="1288"/>
    </row>
    <row r="53744" spans="18:18" s="2" customFormat="1" ht="12.75" x14ac:dyDescent="0.2">
      <c r="R53744" s="1288"/>
    </row>
    <row r="53745" spans="18:18" s="2" customFormat="1" ht="12.75" x14ac:dyDescent="0.2">
      <c r="R53745" s="1288"/>
    </row>
    <row r="53746" spans="18:18" s="2" customFormat="1" ht="12.75" x14ac:dyDescent="0.2">
      <c r="R53746" s="1288"/>
    </row>
    <row r="53747" spans="18:18" s="2" customFormat="1" ht="12.75" x14ac:dyDescent="0.2">
      <c r="R53747" s="1288"/>
    </row>
    <row r="53748" spans="18:18" s="2" customFormat="1" ht="12.75" x14ac:dyDescent="0.2">
      <c r="R53748" s="1288"/>
    </row>
    <row r="53749" spans="18:18" s="2" customFormat="1" ht="12.75" x14ac:dyDescent="0.2">
      <c r="R53749" s="1288"/>
    </row>
    <row r="53750" spans="18:18" s="2" customFormat="1" ht="12.75" x14ac:dyDescent="0.2">
      <c r="R53750" s="1288"/>
    </row>
    <row r="53751" spans="18:18" s="2" customFormat="1" ht="12.75" x14ac:dyDescent="0.2">
      <c r="R53751" s="1288"/>
    </row>
    <row r="53752" spans="18:18" s="2" customFormat="1" ht="12.75" x14ac:dyDescent="0.2">
      <c r="R53752" s="1288"/>
    </row>
    <row r="53753" spans="18:18" s="2" customFormat="1" ht="12.75" x14ac:dyDescent="0.2">
      <c r="R53753" s="1288"/>
    </row>
    <row r="53754" spans="18:18" s="2" customFormat="1" ht="12.75" x14ac:dyDescent="0.2">
      <c r="R53754" s="1288"/>
    </row>
    <row r="53755" spans="18:18" s="2" customFormat="1" ht="12.75" x14ac:dyDescent="0.2">
      <c r="R53755" s="1288"/>
    </row>
    <row r="53756" spans="18:18" s="2" customFormat="1" ht="12.75" x14ac:dyDescent="0.2">
      <c r="R53756" s="1288"/>
    </row>
    <row r="53757" spans="18:18" s="2" customFormat="1" ht="12.75" x14ac:dyDescent="0.2">
      <c r="R53757" s="1288"/>
    </row>
    <row r="53758" spans="18:18" s="2" customFormat="1" ht="12.75" x14ac:dyDescent="0.2">
      <c r="R53758" s="1288"/>
    </row>
    <row r="53759" spans="18:18" s="2" customFormat="1" ht="12.75" x14ac:dyDescent="0.2">
      <c r="R53759" s="1288"/>
    </row>
    <row r="53760" spans="18:18" s="2" customFormat="1" ht="12.75" x14ac:dyDescent="0.2">
      <c r="R53760" s="1288"/>
    </row>
    <row r="53761" spans="18:18" s="2" customFormat="1" ht="12.75" x14ac:dyDescent="0.2">
      <c r="R53761" s="1288"/>
    </row>
    <row r="53762" spans="18:18" s="2" customFormat="1" ht="12.75" x14ac:dyDescent="0.2">
      <c r="R53762" s="1288"/>
    </row>
    <row r="53763" spans="18:18" s="2" customFormat="1" ht="12.75" x14ac:dyDescent="0.2">
      <c r="R53763" s="1288"/>
    </row>
    <row r="53764" spans="18:18" s="2" customFormat="1" ht="12.75" x14ac:dyDescent="0.2">
      <c r="R53764" s="1288"/>
    </row>
    <row r="53765" spans="18:18" s="2" customFormat="1" ht="12.75" x14ac:dyDescent="0.2">
      <c r="R53765" s="1288"/>
    </row>
    <row r="53766" spans="18:18" s="2" customFormat="1" ht="12.75" x14ac:dyDescent="0.2">
      <c r="R53766" s="1288"/>
    </row>
    <row r="53767" spans="18:18" s="2" customFormat="1" ht="12.75" x14ac:dyDescent="0.2">
      <c r="R53767" s="1288"/>
    </row>
    <row r="53768" spans="18:18" s="2" customFormat="1" ht="12.75" x14ac:dyDescent="0.2">
      <c r="R53768" s="1288"/>
    </row>
    <row r="53769" spans="18:18" s="2" customFormat="1" ht="12.75" x14ac:dyDescent="0.2">
      <c r="R53769" s="1288"/>
    </row>
    <row r="53770" spans="18:18" s="2" customFormat="1" ht="12.75" x14ac:dyDescent="0.2">
      <c r="R53770" s="1288"/>
    </row>
    <row r="53771" spans="18:18" s="2" customFormat="1" ht="12.75" x14ac:dyDescent="0.2">
      <c r="R53771" s="1288"/>
    </row>
    <row r="53772" spans="18:18" s="2" customFormat="1" ht="12.75" x14ac:dyDescent="0.2">
      <c r="R53772" s="1288"/>
    </row>
    <row r="53773" spans="18:18" s="2" customFormat="1" ht="12.75" x14ac:dyDescent="0.2">
      <c r="R53773" s="1288"/>
    </row>
    <row r="53774" spans="18:18" s="2" customFormat="1" ht="12.75" x14ac:dyDescent="0.2">
      <c r="R53774" s="1288"/>
    </row>
    <row r="53775" spans="18:18" s="2" customFormat="1" ht="12.75" x14ac:dyDescent="0.2">
      <c r="R53775" s="1288"/>
    </row>
    <row r="53776" spans="18:18" s="2" customFormat="1" ht="12.75" x14ac:dyDescent="0.2">
      <c r="R53776" s="1288"/>
    </row>
    <row r="53777" spans="18:18" s="2" customFormat="1" ht="12.75" x14ac:dyDescent="0.2">
      <c r="R53777" s="1288"/>
    </row>
    <row r="53778" spans="18:18" s="2" customFormat="1" ht="12.75" x14ac:dyDescent="0.2">
      <c r="R53778" s="1288"/>
    </row>
    <row r="53779" spans="18:18" s="2" customFormat="1" ht="12.75" x14ac:dyDescent="0.2">
      <c r="R53779" s="1288"/>
    </row>
    <row r="53780" spans="18:18" s="2" customFormat="1" ht="12.75" x14ac:dyDescent="0.2">
      <c r="R53780" s="1288"/>
    </row>
    <row r="53781" spans="18:18" s="2" customFormat="1" ht="12.75" x14ac:dyDescent="0.2">
      <c r="R53781" s="1288"/>
    </row>
    <row r="53782" spans="18:18" s="2" customFormat="1" ht="12.75" x14ac:dyDescent="0.2">
      <c r="R53782" s="1288"/>
    </row>
    <row r="53783" spans="18:18" s="2" customFormat="1" ht="12.75" x14ac:dyDescent="0.2">
      <c r="R53783" s="1288"/>
    </row>
    <row r="53784" spans="18:18" s="2" customFormat="1" ht="12.75" x14ac:dyDescent="0.2">
      <c r="R53784" s="1288"/>
    </row>
    <row r="53785" spans="18:18" s="2" customFormat="1" ht="12.75" x14ac:dyDescent="0.2">
      <c r="R53785" s="1288"/>
    </row>
    <row r="53786" spans="18:18" s="2" customFormat="1" ht="12.75" x14ac:dyDescent="0.2">
      <c r="R53786" s="1288"/>
    </row>
    <row r="53787" spans="18:18" s="2" customFormat="1" ht="12.75" x14ac:dyDescent="0.2">
      <c r="R53787" s="1288"/>
    </row>
    <row r="53788" spans="18:18" s="2" customFormat="1" ht="12.75" x14ac:dyDescent="0.2">
      <c r="R53788" s="1288"/>
    </row>
    <row r="53789" spans="18:18" s="2" customFormat="1" ht="12.75" x14ac:dyDescent="0.2">
      <c r="R53789" s="1288"/>
    </row>
    <row r="53790" spans="18:18" s="2" customFormat="1" ht="12.75" x14ac:dyDescent="0.2">
      <c r="R53790" s="1288"/>
    </row>
    <row r="53791" spans="18:18" s="2" customFormat="1" ht="12.75" x14ac:dyDescent="0.2">
      <c r="R53791" s="1288"/>
    </row>
    <row r="53792" spans="18:18" s="2" customFormat="1" ht="12.75" x14ac:dyDescent="0.2">
      <c r="R53792" s="1288"/>
    </row>
    <row r="53793" spans="18:18" s="2" customFormat="1" ht="12.75" x14ac:dyDescent="0.2">
      <c r="R53793" s="1288"/>
    </row>
    <row r="53794" spans="18:18" s="2" customFormat="1" ht="12.75" x14ac:dyDescent="0.2">
      <c r="R53794" s="1288"/>
    </row>
    <row r="53795" spans="18:18" s="2" customFormat="1" ht="12.75" x14ac:dyDescent="0.2">
      <c r="R53795" s="1288"/>
    </row>
    <row r="53796" spans="18:18" s="2" customFormat="1" ht="12.75" x14ac:dyDescent="0.2">
      <c r="R53796" s="1288"/>
    </row>
    <row r="53797" spans="18:18" s="2" customFormat="1" ht="12.75" x14ac:dyDescent="0.2">
      <c r="R53797" s="1288"/>
    </row>
    <row r="53798" spans="18:18" s="2" customFormat="1" ht="12.75" x14ac:dyDescent="0.2">
      <c r="R53798" s="1288"/>
    </row>
    <row r="53799" spans="18:18" s="2" customFormat="1" ht="12.75" x14ac:dyDescent="0.2">
      <c r="R53799" s="1288"/>
    </row>
    <row r="53800" spans="18:18" s="2" customFormat="1" ht="12.75" x14ac:dyDescent="0.2">
      <c r="R53800" s="1288"/>
    </row>
    <row r="53801" spans="18:18" s="2" customFormat="1" ht="12.75" x14ac:dyDescent="0.2">
      <c r="R53801" s="1288"/>
    </row>
    <row r="53802" spans="18:18" s="2" customFormat="1" ht="12.75" x14ac:dyDescent="0.2">
      <c r="R53802" s="1288"/>
    </row>
    <row r="53803" spans="18:18" s="2" customFormat="1" ht="12.75" x14ac:dyDescent="0.2">
      <c r="R53803" s="1288"/>
    </row>
    <row r="53804" spans="18:18" s="2" customFormat="1" ht="12.75" x14ac:dyDescent="0.2">
      <c r="R53804" s="1288"/>
    </row>
    <row r="53805" spans="18:18" s="2" customFormat="1" ht="12.75" x14ac:dyDescent="0.2">
      <c r="R53805" s="1288"/>
    </row>
    <row r="53806" spans="18:18" s="2" customFormat="1" ht="12.75" x14ac:dyDescent="0.2">
      <c r="R53806" s="1288"/>
    </row>
    <row r="53807" spans="18:18" s="2" customFormat="1" ht="12.75" x14ac:dyDescent="0.2">
      <c r="R53807" s="1288"/>
    </row>
    <row r="53808" spans="18:18" s="2" customFormat="1" ht="12.75" x14ac:dyDescent="0.2">
      <c r="R53808" s="1288"/>
    </row>
    <row r="53809" spans="18:18" s="2" customFormat="1" ht="12.75" x14ac:dyDescent="0.2">
      <c r="R53809" s="1288"/>
    </row>
    <row r="53810" spans="18:18" s="2" customFormat="1" ht="12.75" x14ac:dyDescent="0.2">
      <c r="R53810" s="1288"/>
    </row>
    <row r="53811" spans="18:18" s="2" customFormat="1" ht="12.75" x14ac:dyDescent="0.2">
      <c r="R53811" s="1288"/>
    </row>
    <row r="53812" spans="18:18" s="2" customFormat="1" ht="12.75" x14ac:dyDescent="0.2">
      <c r="R53812" s="1288"/>
    </row>
    <row r="53813" spans="18:18" s="2" customFormat="1" ht="12.75" x14ac:dyDescent="0.2">
      <c r="R53813" s="1288"/>
    </row>
    <row r="53814" spans="18:18" s="2" customFormat="1" ht="12.75" x14ac:dyDescent="0.2">
      <c r="R53814" s="1288"/>
    </row>
    <row r="53815" spans="18:18" s="2" customFormat="1" ht="12.75" x14ac:dyDescent="0.2">
      <c r="R53815" s="1288"/>
    </row>
    <row r="53816" spans="18:18" s="2" customFormat="1" ht="12.75" x14ac:dyDescent="0.2">
      <c r="R53816" s="1288"/>
    </row>
    <row r="53817" spans="18:18" s="2" customFormat="1" ht="12.75" x14ac:dyDescent="0.2">
      <c r="R53817" s="1288"/>
    </row>
    <row r="53818" spans="18:18" s="2" customFormat="1" ht="12.75" x14ac:dyDescent="0.2">
      <c r="R53818" s="1288"/>
    </row>
    <row r="53819" spans="18:18" s="2" customFormat="1" ht="12.75" x14ac:dyDescent="0.2">
      <c r="R53819" s="1288"/>
    </row>
    <row r="53820" spans="18:18" s="2" customFormat="1" ht="12.75" x14ac:dyDescent="0.2">
      <c r="R53820" s="1288"/>
    </row>
    <row r="53821" spans="18:18" s="2" customFormat="1" ht="12.75" x14ac:dyDescent="0.2">
      <c r="R53821" s="1288"/>
    </row>
    <row r="53822" spans="18:18" s="2" customFormat="1" ht="12.75" x14ac:dyDescent="0.2">
      <c r="R53822" s="1288"/>
    </row>
    <row r="53823" spans="18:18" s="2" customFormat="1" ht="12.75" x14ac:dyDescent="0.2">
      <c r="R53823" s="1288"/>
    </row>
    <row r="53824" spans="18:18" s="2" customFormat="1" ht="12.75" x14ac:dyDescent="0.2">
      <c r="R53824" s="1288"/>
    </row>
    <row r="53825" spans="18:18" s="2" customFormat="1" ht="12.75" x14ac:dyDescent="0.2">
      <c r="R53825" s="1288"/>
    </row>
    <row r="53826" spans="18:18" s="2" customFormat="1" ht="12.75" x14ac:dyDescent="0.2">
      <c r="R53826" s="1288"/>
    </row>
    <row r="53827" spans="18:18" s="2" customFormat="1" ht="12.75" x14ac:dyDescent="0.2">
      <c r="R53827" s="1288"/>
    </row>
    <row r="53828" spans="18:18" s="2" customFormat="1" ht="12.75" x14ac:dyDescent="0.2">
      <c r="R53828" s="1288"/>
    </row>
    <row r="53829" spans="18:18" s="2" customFormat="1" ht="12.75" x14ac:dyDescent="0.2">
      <c r="R53829" s="1288"/>
    </row>
    <row r="53830" spans="18:18" s="2" customFormat="1" ht="12.75" x14ac:dyDescent="0.2">
      <c r="R53830" s="1288"/>
    </row>
    <row r="53831" spans="18:18" s="2" customFormat="1" ht="12.75" x14ac:dyDescent="0.2">
      <c r="R53831" s="1288"/>
    </row>
    <row r="53832" spans="18:18" s="2" customFormat="1" ht="12.75" x14ac:dyDescent="0.2">
      <c r="R53832" s="1288"/>
    </row>
    <row r="53833" spans="18:18" s="2" customFormat="1" ht="12.75" x14ac:dyDescent="0.2">
      <c r="R53833" s="1288"/>
    </row>
    <row r="53834" spans="18:18" s="2" customFormat="1" ht="12.75" x14ac:dyDescent="0.2">
      <c r="R53834" s="1288"/>
    </row>
    <row r="53835" spans="18:18" s="2" customFormat="1" ht="12.75" x14ac:dyDescent="0.2">
      <c r="R53835" s="1288"/>
    </row>
    <row r="53836" spans="18:18" s="2" customFormat="1" ht="12.75" x14ac:dyDescent="0.2">
      <c r="R53836" s="1288"/>
    </row>
    <row r="53837" spans="18:18" s="2" customFormat="1" ht="12.75" x14ac:dyDescent="0.2">
      <c r="R53837" s="1288"/>
    </row>
    <row r="53838" spans="18:18" s="2" customFormat="1" ht="12.75" x14ac:dyDescent="0.2">
      <c r="R53838" s="1288"/>
    </row>
    <row r="53839" spans="18:18" s="2" customFormat="1" ht="12.75" x14ac:dyDescent="0.2">
      <c r="R53839" s="1288"/>
    </row>
    <row r="53840" spans="18:18" s="2" customFormat="1" ht="12.75" x14ac:dyDescent="0.2">
      <c r="R53840" s="1288"/>
    </row>
    <row r="53841" spans="18:18" s="2" customFormat="1" ht="12.75" x14ac:dyDescent="0.2">
      <c r="R53841" s="1288"/>
    </row>
    <row r="53842" spans="18:18" s="2" customFormat="1" ht="12.75" x14ac:dyDescent="0.2">
      <c r="R53842" s="1288"/>
    </row>
    <row r="53843" spans="18:18" s="2" customFormat="1" ht="12.75" x14ac:dyDescent="0.2">
      <c r="R53843" s="1288"/>
    </row>
    <row r="53844" spans="18:18" s="2" customFormat="1" ht="12.75" x14ac:dyDescent="0.2">
      <c r="R53844" s="1288"/>
    </row>
    <row r="53845" spans="18:18" s="2" customFormat="1" ht="12.75" x14ac:dyDescent="0.2">
      <c r="R53845" s="1288"/>
    </row>
    <row r="53846" spans="18:18" s="2" customFormat="1" ht="12.75" x14ac:dyDescent="0.2">
      <c r="R53846" s="1288"/>
    </row>
    <row r="53847" spans="18:18" s="2" customFormat="1" ht="12.75" x14ac:dyDescent="0.2">
      <c r="R53847" s="1288"/>
    </row>
    <row r="53848" spans="18:18" s="2" customFormat="1" ht="12.75" x14ac:dyDescent="0.2">
      <c r="R53848" s="1288"/>
    </row>
    <row r="53849" spans="18:18" s="2" customFormat="1" ht="12.75" x14ac:dyDescent="0.2">
      <c r="R53849" s="1288"/>
    </row>
    <row r="53850" spans="18:18" s="2" customFormat="1" ht="12.75" x14ac:dyDescent="0.2">
      <c r="R53850" s="1288"/>
    </row>
    <row r="53851" spans="18:18" s="2" customFormat="1" ht="12.75" x14ac:dyDescent="0.2">
      <c r="R53851" s="1288"/>
    </row>
    <row r="53852" spans="18:18" s="2" customFormat="1" ht="12.75" x14ac:dyDescent="0.2">
      <c r="R53852" s="1288"/>
    </row>
    <row r="53853" spans="18:18" s="2" customFormat="1" ht="12.75" x14ac:dyDescent="0.2">
      <c r="R53853" s="1288"/>
    </row>
    <row r="53854" spans="18:18" s="2" customFormat="1" ht="12.75" x14ac:dyDescent="0.2">
      <c r="R53854" s="1288"/>
    </row>
    <row r="53855" spans="18:18" s="2" customFormat="1" ht="12.75" x14ac:dyDescent="0.2">
      <c r="R53855" s="1288"/>
    </row>
    <row r="53856" spans="18:18" s="2" customFormat="1" ht="12.75" x14ac:dyDescent="0.2">
      <c r="R53856" s="1288"/>
    </row>
    <row r="53857" spans="18:18" s="2" customFormat="1" ht="12.75" x14ac:dyDescent="0.2">
      <c r="R53857" s="1288"/>
    </row>
    <row r="53858" spans="18:18" s="2" customFormat="1" ht="12.75" x14ac:dyDescent="0.2">
      <c r="R53858" s="1288"/>
    </row>
    <row r="53859" spans="18:18" s="2" customFormat="1" ht="12.75" x14ac:dyDescent="0.2">
      <c r="R53859" s="1288"/>
    </row>
    <row r="53860" spans="18:18" s="2" customFormat="1" ht="12.75" x14ac:dyDescent="0.2">
      <c r="R53860" s="1288"/>
    </row>
    <row r="53861" spans="18:18" s="2" customFormat="1" ht="12.75" x14ac:dyDescent="0.2">
      <c r="R53861" s="1288"/>
    </row>
    <row r="53862" spans="18:18" s="2" customFormat="1" ht="12.75" x14ac:dyDescent="0.2">
      <c r="R53862" s="1288"/>
    </row>
    <row r="53863" spans="18:18" s="2" customFormat="1" ht="12.75" x14ac:dyDescent="0.2">
      <c r="R53863" s="1288"/>
    </row>
    <row r="53864" spans="18:18" s="2" customFormat="1" ht="12.75" x14ac:dyDescent="0.2">
      <c r="R53864" s="1288"/>
    </row>
    <row r="53865" spans="18:18" s="2" customFormat="1" ht="12.75" x14ac:dyDescent="0.2">
      <c r="R53865" s="1288"/>
    </row>
    <row r="53866" spans="18:18" s="2" customFormat="1" ht="12.75" x14ac:dyDescent="0.2">
      <c r="R53866" s="1288"/>
    </row>
    <row r="53867" spans="18:18" s="2" customFormat="1" ht="12.75" x14ac:dyDescent="0.2">
      <c r="R53867" s="1288"/>
    </row>
    <row r="53868" spans="18:18" s="2" customFormat="1" ht="12.75" x14ac:dyDescent="0.2">
      <c r="R53868" s="1288"/>
    </row>
    <row r="53869" spans="18:18" s="2" customFormat="1" ht="12.75" x14ac:dyDescent="0.2">
      <c r="R53869" s="1288"/>
    </row>
    <row r="53870" spans="18:18" s="2" customFormat="1" ht="12.75" x14ac:dyDescent="0.2">
      <c r="R53870" s="1288"/>
    </row>
    <row r="53871" spans="18:18" s="2" customFormat="1" ht="12.75" x14ac:dyDescent="0.2">
      <c r="R53871" s="1288"/>
    </row>
    <row r="53872" spans="18:18" s="2" customFormat="1" ht="12.75" x14ac:dyDescent="0.2">
      <c r="R53872" s="1288"/>
    </row>
    <row r="53873" spans="18:18" s="2" customFormat="1" ht="12.75" x14ac:dyDescent="0.2">
      <c r="R53873" s="1288"/>
    </row>
    <row r="53874" spans="18:18" s="2" customFormat="1" ht="12.75" x14ac:dyDescent="0.2">
      <c r="R53874" s="1288"/>
    </row>
    <row r="53875" spans="18:18" s="2" customFormat="1" ht="12.75" x14ac:dyDescent="0.2">
      <c r="R53875" s="1288"/>
    </row>
    <row r="53876" spans="18:18" s="2" customFormat="1" ht="12.75" x14ac:dyDescent="0.2">
      <c r="R53876" s="1288"/>
    </row>
    <row r="53877" spans="18:18" s="2" customFormat="1" ht="12.75" x14ac:dyDescent="0.2">
      <c r="R53877" s="1288"/>
    </row>
    <row r="53878" spans="18:18" s="2" customFormat="1" ht="12.75" x14ac:dyDescent="0.2">
      <c r="R53878" s="1288"/>
    </row>
    <row r="53879" spans="18:18" s="2" customFormat="1" ht="12.75" x14ac:dyDescent="0.2">
      <c r="R53879" s="1288"/>
    </row>
    <row r="53880" spans="18:18" s="2" customFormat="1" ht="12.75" x14ac:dyDescent="0.2">
      <c r="R53880" s="1288"/>
    </row>
    <row r="53881" spans="18:18" s="2" customFormat="1" ht="12.75" x14ac:dyDescent="0.2">
      <c r="R53881" s="1288"/>
    </row>
    <row r="53882" spans="18:18" s="2" customFormat="1" ht="12.75" x14ac:dyDescent="0.2">
      <c r="R53882" s="1288"/>
    </row>
    <row r="53883" spans="18:18" s="2" customFormat="1" ht="12.75" x14ac:dyDescent="0.2">
      <c r="R53883" s="1288"/>
    </row>
    <row r="53884" spans="18:18" s="2" customFormat="1" ht="12.75" x14ac:dyDescent="0.2">
      <c r="R53884" s="1288"/>
    </row>
    <row r="53885" spans="18:18" s="2" customFormat="1" ht="12.75" x14ac:dyDescent="0.2">
      <c r="R53885" s="1288"/>
    </row>
    <row r="53886" spans="18:18" s="2" customFormat="1" ht="12.75" x14ac:dyDescent="0.2">
      <c r="R53886" s="1288"/>
    </row>
    <row r="53887" spans="18:18" s="2" customFormat="1" ht="12.75" x14ac:dyDescent="0.2">
      <c r="R53887" s="1288"/>
    </row>
    <row r="53888" spans="18:18" s="2" customFormat="1" ht="12.75" x14ac:dyDescent="0.2">
      <c r="R53888" s="1288"/>
    </row>
    <row r="53889" spans="18:18" s="2" customFormat="1" ht="12.75" x14ac:dyDescent="0.2">
      <c r="R53889" s="1288"/>
    </row>
    <row r="53890" spans="18:18" s="2" customFormat="1" ht="12.75" x14ac:dyDescent="0.2">
      <c r="R53890" s="1288"/>
    </row>
    <row r="53891" spans="18:18" s="2" customFormat="1" ht="12.75" x14ac:dyDescent="0.2">
      <c r="R53891" s="1288"/>
    </row>
    <row r="53892" spans="18:18" s="2" customFormat="1" ht="12.75" x14ac:dyDescent="0.2">
      <c r="R53892" s="1288"/>
    </row>
    <row r="53893" spans="18:18" s="2" customFormat="1" ht="12.75" x14ac:dyDescent="0.2">
      <c r="R53893" s="1288"/>
    </row>
    <row r="53894" spans="18:18" s="2" customFormat="1" ht="12.75" x14ac:dyDescent="0.2">
      <c r="R53894" s="1288"/>
    </row>
    <row r="53895" spans="18:18" s="2" customFormat="1" ht="12.75" x14ac:dyDescent="0.2">
      <c r="R53895" s="1288"/>
    </row>
    <row r="53896" spans="18:18" s="2" customFormat="1" ht="12.75" x14ac:dyDescent="0.2">
      <c r="R53896" s="1288"/>
    </row>
    <row r="53897" spans="18:18" s="2" customFormat="1" ht="12.75" x14ac:dyDescent="0.2">
      <c r="R53897" s="1288"/>
    </row>
    <row r="53898" spans="18:18" s="2" customFormat="1" ht="12.75" x14ac:dyDescent="0.2">
      <c r="R53898" s="1288"/>
    </row>
    <row r="53899" spans="18:18" s="2" customFormat="1" ht="12.75" x14ac:dyDescent="0.2">
      <c r="R53899" s="1288"/>
    </row>
    <row r="53900" spans="18:18" s="2" customFormat="1" ht="12.75" x14ac:dyDescent="0.2">
      <c r="R53900" s="1288"/>
    </row>
    <row r="53901" spans="18:18" s="2" customFormat="1" ht="12.75" x14ac:dyDescent="0.2">
      <c r="R53901" s="1288"/>
    </row>
    <row r="53902" spans="18:18" s="2" customFormat="1" ht="12.75" x14ac:dyDescent="0.2">
      <c r="R53902" s="1288"/>
    </row>
    <row r="53903" spans="18:18" s="2" customFormat="1" ht="12.75" x14ac:dyDescent="0.2">
      <c r="R53903" s="1288"/>
    </row>
    <row r="53904" spans="18:18" s="2" customFormat="1" ht="12.75" x14ac:dyDescent="0.2">
      <c r="R53904" s="1288"/>
    </row>
    <row r="53905" spans="18:18" s="2" customFormat="1" ht="12.75" x14ac:dyDescent="0.2">
      <c r="R53905" s="1288"/>
    </row>
    <row r="53906" spans="18:18" s="2" customFormat="1" ht="12.75" x14ac:dyDescent="0.2">
      <c r="R53906" s="1288"/>
    </row>
    <row r="53907" spans="18:18" s="2" customFormat="1" ht="12.75" x14ac:dyDescent="0.2">
      <c r="R53907" s="1288"/>
    </row>
    <row r="53908" spans="18:18" s="2" customFormat="1" ht="12.75" x14ac:dyDescent="0.2">
      <c r="R53908" s="1288"/>
    </row>
    <row r="53909" spans="18:18" s="2" customFormat="1" ht="12.75" x14ac:dyDescent="0.2">
      <c r="R53909" s="1288"/>
    </row>
    <row r="53910" spans="18:18" s="2" customFormat="1" ht="12.75" x14ac:dyDescent="0.2">
      <c r="R53910" s="1288"/>
    </row>
    <row r="53911" spans="18:18" s="2" customFormat="1" ht="12.75" x14ac:dyDescent="0.2">
      <c r="R53911" s="1288"/>
    </row>
    <row r="53912" spans="18:18" s="2" customFormat="1" ht="12.75" x14ac:dyDescent="0.2">
      <c r="R53912" s="1288"/>
    </row>
    <row r="53913" spans="18:18" s="2" customFormat="1" ht="12.75" x14ac:dyDescent="0.2">
      <c r="R53913" s="1288"/>
    </row>
    <row r="53914" spans="18:18" s="2" customFormat="1" ht="12.75" x14ac:dyDescent="0.2">
      <c r="R53914" s="1288"/>
    </row>
    <row r="53915" spans="18:18" s="2" customFormat="1" ht="12.75" x14ac:dyDescent="0.2">
      <c r="R53915" s="1288"/>
    </row>
    <row r="53916" spans="18:18" s="2" customFormat="1" ht="12.75" x14ac:dyDescent="0.2">
      <c r="R53916" s="1288"/>
    </row>
    <row r="53917" spans="18:18" s="2" customFormat="1" ht="12.75" x14ac:dyDescent="0.2">
      <c r="R53917" s="1288"/>
    </row>
    <row r="53918" spans="18:18" s="2" customFormat="1" ht="12.75" x14ac:dyDescent="0.2">
      <c r="R53918" s="1288"/>
    </row>
    <row r="53919" spans="18:18" s="2" customFormat="1" ht="12.75" x14ac:dyDescent="0.2">
      <c r="R53919" s="1288"/>
    </row>
    <row r="53920" spans="18:18" s="2" customFormat="1" ht="12.75" x14ac:dyDescent="0.2">
      <c r="R53920" s="1288"/>
    </row>
    <row r="53921" spans="18:18" s="2" customFormat="1" ht="12.75" x14ac:dyDescent="0.2">
      <c r="R53921" s="1288"/>
    </row>
    <row r="53922" spans="18:18" s="2" customFormat="1" ht="12.75" x14ac:dyDescent="0.2">
      <c r="R53922" s="1288"/>
    </row>
    <row r="53923" spans="18:18" s="2" customFormat="1" ht="12.75" x14ac:dyDescent="0.2">
      <c r="R53923" s="1288"/>
    </row>
    <row r="53924" spans="18:18" s="2" customFormat="1" ht="12.75" x14ac:dyDescent="0.2">
      <c r="R53924" s="1288"/>
    </row>
    <row r="53925" spans="18:18" s="2" customFormat="1" ht="12.75" x14ac:dyDescent="0.2">
      <c r="R53925" s="1288"/>
    </row>
    <row r="53926" spans="18:18" s="2" customFormat="1" ht="12.75" x14ac:dyDescent="0.2">
      <c r="R53926" s="1288"/>
    </row>
    <row r="53927" spans="18:18" s="2" customFormat="1" ht="12.75" x14ac:dyDescent="0.2">
      <c r="R53927" s="1288"/>
    </row>
    <row r="53928" spans="18:18" s="2" customFormat="1" ht="12.75" x14ac:dyDescent="0.2">
      <c r="R53928" s="1288"/>
    </row>
    <row r="53929" spans="18:18" s="2" customFormat="1" ht="12.75" x14ac:dyDescent="0.2">
      <c r="R53929" s="1288"/>
    </row>
    <row r="53930" spans="18:18" s="2" customFormat="1" ht="12.75" x14ac:dyDescent="0.2">
      <c r="R53930" s="1288"/>
    </row>
    <row r="53931" spans="18:18" s="2" customFormat="1" ht="12.75" x14ac:dyDescent="0.2">
      <c r="R53931" s="1288"/>
    </row>
    <row r="53932" spans="18:18" s="2" customFormat="1" ht="12.75" x14ac:dyDescent="0.2">
      <c r="R53932" s="1288"/>
    </row>
    <row r="53933" spans="18:18" s="2" customFormat="1" ht="12.75" x14ac:dyDescent="0.2">
      <c r="R53933" s="1288"/>
    </row>
    <row r="53934" spans="18:18" s="2" customFormat="1" ht="12.75" x14ac:dyDescent="0.2">
      <c r="R53934" s="1288"/>
    </row>
    <row r="53935" spans="18:18" s="2" customFormat="1" ht="12.75" x14ac:dyDescent="0.2">
      <c r="R53935" s="1288"/>
    </row>
    <row r="53936" spans="18:18" s="2" customFormat="1" ht="12.75" x14ac:dyDescent="0.2">
      <c r="R53936" s="1288"/>
    </row>
    <row r="53937" spans="18:18" s="2" customFormat="1" ht="12.75" x14ac:dyDescent="0.2">
      <c r="R53937" s="1288"/>
    </row>
    <row r="53938" spans="18:18" s="2" customFormat="1" ht="12.75" x14ac:dyDescent="0.2">
      <c r="R53938" s="1288"/>
    </row>
    <row r="53939" spans="18:18" s="2" customFormat="1" ht="12.75" x14ac:dyDescent="0.2">
      <c r="R53939" s="1288"/>
    </row>
    <row r="53940" spans="18:18" s="2" customFormat="1" ht="12.75" x14ac:dyDescent="0.2">
      <c r="R53940" s="1288"/>
    </row>
    <row r="53941" spans="18:18" s="2" customFormat="1" ht="12.75" x14ac:dyDescent="0.2">
      <c r="R53941" s="1288"/>
    </row>
    <row r="53942" spans="18:18" s="2" customFormat="1" ht="12.75" x14ac:dyDescent="0.2">
      <c r="R53942" s="1288"/>
    </row>
    <row r="53943" spans="18:18" s="2" customFormat="1" ht="12.75" x14ac:dyDescent="0.2">
      <c r="R53943" s="1288"/>
    </row>
    <row r="53944" spans="18:18" s="2" customFormat="1" ht="12.75" x14ac:dyDescent="0.2">
      <c r="R53944" s="1288"/>
    </row>
    <row r="53945" spans="18:18" s="2" customFormat="1" ht="12.75" x14ac:dyDescent="0.2">
      <c r="R53945" s="1288"/>
    </row>
    <row r="53946" spans="18:18" s="2" customFormat="1" ht="12.75" x14ac:dyDescent="0.2">
      <c r="R53946" s="1288"/>
    </row>
    <row r="53947" spans="18:18" s="2" customFormat="1" ht="12.75" x14ac:dyDescent="0.2">
      <c r="R53947" s="1288"/>
    </row>
    <row r="53948" spans="18:18" s="2" customFormat="1" ht="12.75" x14ac:dyDescent="0.2">
      <c r="R53948" s="1288"/>
    </row>
    <row r="53949" spans="18:18" s="2" customFormat="1" ht="12.75" x14ac:dyDescent="0.2">
      <c r="R53949" s="1288"/>
    </row>
    <row r="53950" spans="18:18" s="2" customFormat="1" ht="12.75" x14ac:dyDescent="0.2">
      <c r="R53950" s="1288"/>
    </row>
    <row r="53951" spans="18:18" s="2" customFormat="1" ht="12.75" x14ac:dyDescent="0.2">
      <c r="R53951" s="1288"/>
    </row>
    <row r="53952" spans="18:18" s="2" customFormat="1" ht="12.75" x14ac:dyDescent="0.2">
      <c r="R53952" s="1288"/>
    </row>
    <row r="53953" spans="18:18" s="2" customFormat="1" ht="12.75" x14ac:dyDescent="0.2">
      <c r="R53953" s="1288"/>
    </row>
    <row r="53954" spans="18:18" s="2" customFormat="1" ht="12.75" x14ac:dyDescent="0.2">
      <c r="R53954" s="1288"/>
    </row>
    <row r="53955" spans="18:18" s="2" customFormat="1" ht="12.75" x14ac:dyDescent="0.2">
      <c r="R53955" s="1288"/>
    </row>
    <row r="53956" spans="18:18" s="2" customFormat="1" ht="12.75" x14ac:dyDescent="0.2">
      <c r="R53956" s="1288"/>
    </row>
    <row r="53957" spans="18:18" s="2" customFormat="1" ht="12.75" x14ac:dyDescent="0.2">
      <c r="R53957" s="1288"/>
    </row>
    <row r="53958" spans="18:18" s="2" customFormat="1" ht="12.75" x14ac:dyDescent="0.2">
      <c r="R53958" s="1288"/>
    </row>
    <row r="53959" spans="18:18" s="2" customFormat="1" ht="12.75" x14ac:dyDescent="0.2">
      <c r="R53959" s="1288"/>
    </row>
    <row r="53960" spans="18:18" s="2" customFormat="1" ht="12.75" x14ac:dyDescent="0.2">
      <c r="R53960" s="1288"/>
    </row>
    <row r="53961" spans="18:18" s="2" customFormat="1" ht="12.75" x14ac:dyDescent="0.2">
      <c r="R53961" s="1288"/>
    </row>
    <row r="53962" spans="18:18" s="2" customFormat="1" ht="12.75" x14ac:dyDescent="0.2">
      <c r="R53962" s="1288"/>
    </row>
    <row r="53963" spans="18:18" s="2" customFormat="1" ht="12.75" x14ac:dyDescent="0.2">
      <c r="R53963" s="1288"/>
    </row>
    <row r="53964" spans="18:18" s="2" customFormat="1" ht="12.75" x14ac:dyDescent="0.2">
      <c r="R53964" s="1288"/>
    </row>
    <row r="53965" spans="18:18" s="2" customFormat="1" ht="12.75" x14ac:dyDescent="0.2">
      <c r="R53965" s="1288"/>
    </row>
    <row r="53966" spans="18:18" s="2" customFormat="1" ht="12.75" x14ac:dyDescent="0.2">
      <c r="R53966" s="1288"/>
    </row>
    <row r="53967" spans="18:18" s="2" customFormat="1" ht="12.75" x14ac:dyDescent="0.2">
      <c r="R53967" s="1288"/>
    </row>
    <row r="53968" spans="18:18" s="2" customFormat="1" ht="12.75" x14ac:dyDescent="0.2">
      <c r="R53968" s="1288"/>
    </row>
    <row r="53969" spans="18:18" s="2" customFormat="1" ht="12.75" x14ac:dyDescent="0.2">
      <c r="R53969" s="1288"/>
    </row>
    <row r="53970" spans="18:18" s="2" customFormat="1" ht="12.75" x14ac:dyDescent="0.2">
      <c r="R53970" s="1288"/>
    </row>
    <row r="53971" spans="18:18" s="2" customFormat="1" ht="12.75" x14ac:dyDescent="0.2">
      <c r="R53971" s="1288"/>
    </row>
    <row r="53972" spans="18:18" s="2" customFormat="1" ht="12.75" x14ac:dyDescent="0.2">
      <c r="R53972" s="1288"/>
    </row>
    <row r="53973" spans="18:18" s="2" customFormat="1" ht="12.75" x14ac:dyDescent="0.2">
      <c r="R53973" s="1288"/>
    </row>
    <row r="53974" spans="18:18" s="2" customFormat="1" ht="12.75" x14ac:dyDescent="0.2">
      <c r="R53974" s="1288"/>
    </row>
    <row r="53975" spans="18:18" s="2" customFormat="1" ht="12.75" x14ac:dyDescent="0.2">
      <c r="R53975" s="1288"/>
    </row>
    <row r="53976" spans="18:18" s="2" customFormat="1" ht="12.75" x14ac:dyDescent="0.2">
      <c r="R53976" s="1288"/>
    </row>
    <row r="53977" spans="18:18" s="2" customFormat="1" ht="12.75" x14ac:dyDescent="0.2">
      <c r="R53977" s="1288"/>
    </row>
    <row r="53978" spans="18:18" s="2" customFormat="1" ht="12.75" x14ac:dyDescent="0.2">
      <c r="R53978" s="1288"/>
    </row>
    <row r="53979" spans="18:18" s="2" customFormat="1" ht="12.75" x14ac:dyDescent="0.2">
      <c r="R53979" s="1288"/>
    </row>
    <row r="53980" spans="18:18" s="2" customFormat="1" ht="12.75" x14ac:dyDescent="0.2">
      <c r="R53980" s="1288"/>
    </row>
    <row r="53981" spans="18:18" s="2" customFormat="1" ht="12.75" x14ac:dyDescent="0.2">
      <c r="R53981" s="1288"/>
    </row>
    <row r="53982" spans="18:18" s="2" customFormat="1" ht="12.75" x14ac:dyDescent="0.2">
      <c r="R53982" s="1288"/>
    </row>
    <row r="53983" spans="18:18" s="2" customFormat="1" ht="12.75" x14ac:dyDescent="0.2">
      <c r="R53983" s="1288"/>
    </row>
    <row r="53984" spans="18:18" s="2" customFormat="1" ht="12.75" x14ac:dyDescent="0.2">
      <c r="R53984" s="1288"/>
    </row>
    <row r="53985" spans="18:18" s="2" customFormat="1" ht="12.75" x14ac:dyDescent="0.2">
      <c r="R53985" s="1288"/>
    </row>
    <row r="53986" spans="18:18" s="2" customFormat="1" ht="12.75" x14ac:dyDescent="0.2">
      <c r="R53986" s="1288"/>
    </row>
    <row r="53987" spans="18:18" s="2" customFormat="1" ht="12.75" x14ac:dyDescent="0.2">
      <c r="R53987" s="1288"/>
    </row>
    <row r="53988" spans="18:18" s="2" customFormat="1" ht="12.75" x14ac:dyDescent="0.2">
      <c r="R53988" s="1288"/>
    </row>
    <row r="53989" spans="18:18" s="2" customFormat="1" ht="12.75" x14ac:dyDescent="0.2">
      <c r="R53989" s="1288"/>
    </row>
    <row r="53990" spans="18:18" s="2" customFormat="1" ht="12.75" x14ac:dyDescent="0.2">
      <c r="R53990" s="1288"/>
    </row>
    <row r="53991" spans="18:18" s="2" customFormat="1" ht="12.75" x14ac:dyDescent="0.2">
      <c r="R53991" s="1288"/>
    </row>
    <row r="53992" spans="18:18" s="2" customFormat="1" ht="12.75" x14ac:dyDescent="0.2">
      <c r="R53992" s="1288"/>
    </row>
    <row r="53993" spans="18:18" s="2" customFormat="1" ht="12.75" x14ac:dyDescent="0.2">
      <c r="R53993" s="1288"/>
    </row>
    <row r="53994" spans="18:18" s="2" customFormat="1" ht="12.75" x14ac:dyDescent="0.2">
      <c r="R53994" s="1288"/>
    </row>
    <row r="53995" spans="18:18" s="2" customFormat="1" ht="12.75" x14ac:dyDescent="0.2">
      <c r="R53995" s="1288"/>
    </row>
    <row r="53996" spans="18:18" s="2" customFormat="1" ht="12.75" x14ac:dyDescent="0.2">
      <c r="R53996" s="1288"/>
    </row>
    <row r="53997" spans="18:18" s="2" customFormat="1" ht="12.75" x14ac:dyDescent="0.2">
      <c r="R53997" s="1288"/>
    </row>
    <row r="53998" spans="18:18" s="2" customFormat="1" ht="12.75" x14ac:dyDescent="0.2">
      <c r="R53998" s="1288"/>
    </row>
    <row r="53999" spans="18:18" s="2" customFormat="1" ht="12.75" x14ac:dyDescent="0.2">
      <c r="R53999" s="1288"/>
    </row>
    <row r="54000" spans="18:18" s="2" customFormat="1" ht="12.75" x14ac:dyDescent="0.2">
      <c r="R54000" s="1288"/>
    </row>
    <row r="54001" spans="18:18" s="2" customFormat="1" ht="12.75" x14ac:dyDescent="0.2">
      <c r="R54001" s="1288"/>
    </row>
    <row r="54002" spans="18:18" s="2" customFormat="1" ht="12.75" x14ac:dyDescent="0.2">
      <c r="R54002" s="1288"/>
    </row>
    <row r="54003" spans="18:18" s="2" customFormat="1" ht="12.75" x14ac:dyDescent="0.2">
      <c r="R54003" s="1288"/>
    </row>
    <row r="54004" spans="18:18" s="2" customFormat="1" ht="12.75" x14ac:dyDescent="0.2">
      <c r="R54004" s="1288"/>
    </row>
    <row r="54005" spans="18:18" s="2" customFormat="1" ht="12.75" x14ac:dyDescent="0.2">
      <c r="R54005" s="1288"/>
    </row>
    <row r="54006" spans="18:18" s="2" customFormat="1" ht="12.75" x14ac:dyDescent="0.2">
      <c r="R54006" s="1288"/>
    </row>
    <row r="54007" spans="18:18" s="2" customFormat="1" ht="12.75" x14ac:dyDescent="0.2">
      <c r="R54007" s="1288"/>
    </row>
    <row r="54008" spans="18:18" s="2" customFormat="1" ht="12.75" x14ac:dyDescent="0.2">
      <c r="R54008" s="1288"/>
    </row>
    <row r="54009" spans="18:18" s="2" customFormat="1" ht="12.75" x14ac:dyDescent="0.2">
      <c r="R54009" s="1288"/>
    </row>
    <row r="54010" spans="18:18" s="2" customFormat="1" ht="12.75" x14ac:dyDescent="0.2">
      <c r="R54010" s="1288"/>
    </row>
    <row r="54011" spans="18:18" s="2" customFormat="1" ht="12.75" x14ac:dyDescent="0.2">
      <c r="R54011" s="1288"/>
    </row>
    <row r="54012" spans="18:18" s="2" customFormat="1" ht="12.75" x14ac:dyDescent="0.2">
      <c r="R54012" s="1288"/>
    </row>
    <row r="54013" spans="18:18" s="2" customFormat="1" ht="12.75" x14ac:dyDescent="0.2">
      <c r="R54013" s="1288"/>
    </row>
    <row r="54014" spans="18:18" s="2" customFormat="1" ht="12.75" x14ac:dyDescent="0.2">
      <c r="R54014" s="1288"/>
    </row>
    <row r="54015" spans="18:18" s="2" customFormat="1" ht="12.75" x14ac:dyDescent="0.2">
      <c r="R54015" s="1288"/>
    </row>
    <row r="54016" spans="18:18" s="2" customFormat="1" ht="12.75" x14ac:dyDescent="0.2">
      <c r="R54016" s="1288"/>
    </row>
    <row r="54017" spans="18:18" s="2" customFormat="1" ht="12.75" x14ac:dyDescent="0.2">
      <c r="R54017" s="1288"/>
    </row>
    <row r="54018" spans="18:18" s="2" customFormat="1" ht="12.75" x14ac:dyDescent="0.2">
      <c r="R54018" s="1288"/>
    </row>
    <row r="54019" spans="18:18" s="2" customFormat="1" ht="12.75" x14ac:dyDescent="0.2">
      <c r="R54019" s="1288"/>
    </row>
    <row r="54020" spans="18:18" s="2" customFormat="1" ht="12.75" x14ac:dyDescent="0.2">
      <c r="R54020" s="1288"/>
    </row>
    <row r="54021" spans="18:18" s="2" customFormat="1" ht="12.75" x14ac:dyDescent="0.2">
      <c r="R54021" s="1288"/>
    </row>
    <row r="54022" spans="18:18" s="2" customFormat="1" ht="12.75" x14ac:dyDescent="0.2">
      <c r="R54022" s="1288"/>
    </row>
    <row r="54023" spans="18:18" s="2" customFormat="1" ht="12.75" x14ac:dyDescent="0.2">
      <c r="R54023" s="1288"/>
    </row>
    <row r="54024" spans="18:18" s="2" customFormat="1" ht="12.75" x14ac:dyDescent="0.2">
      <c r="R54024" s="1288"/>
    </row>
    <row r="54025" spans="18:18" s="2" customFormat="1" ht="12.75" x14ac:dyDescent="0.2">
      <c r="R54025" s="1288"/>
    </row>
    <row r="54026" spans="18:18" s="2" customFormat="1" ht="12.75" x14ac:dyDescent="0.2">
      <c r="R54026" s="1288"/>
    </row>
    <row r="54027" spans="18:18" s="2" customFormat="1" ht="12.75" x14ac:dyDescent="0.2">
      <c r="R54027" s="1288"/>
    </row>
    <row r="54028" spans="18:18" s="2" customFormat="1" ht="12.75" x14ac:dyDescent="0.2">
      <c r="R54028" s="1288"/>
    </row>
    <row r="54029" spans="18:18" s="2" customFormat="1" ht="12.75" x14ac:dyDescent="0.2">
      <c r="R54029" s="1288"/>
    </row>
    <row r="54030" spans="18:18" s="2" customFormat="1" ht="12.75" x14ac:dyDescent="0.2">
      <c r="R54030" s="1288"/>
    </row>
    <row r="54031" spans="18:18" s="2" customFormat="1" ht="12.75" x14ac:dyDescent="0.2">
      <c r="R54031" s="1288"/>
    </row>
    <row r="54032" spans="18:18" s="2" customFormat="1" ht="12.75" x14ac:dyDescent="0.2">
      <c r="R54032" s="1288"/>
    </row>
    <row r="54033" spans="18:18" s="2" customFormat="1" ht="12.75" x14ac:dyDescent="0.2">
      <c r="R54033" s="1288"/>
    </row>
    <row r="54034" spans="18:18" s="2" customFormat="1" ht="12.75" x14ac:dyDescent="0.2">
      <c r="R54034" s="1288"/>
    </row>
    <row r="54035" spans="18:18" s="2" customFormat="1" ht="12.75" x14ac:dyDescent="0.2">
      <c r="R54035" s="1288"/>
    </row>
    <row r="54036" spans="18:18" s="2" customFormat="1" ht="12.75" x14ac:dyDescent="0.2">
      <c r="R54036" s="1288"/>
    </row>
    <row r="54037" spans="18:18" s="2" customFormat="1" ht="12.75" x14ac:dyDescent="0.2">
      <c r="R54037" s="1288"/>
    </row>
    <row r="54038" spans="18:18" s="2" customFormat="1" ht="12.75" x14ac:dyDescent="0.2">
      <c r="R54038" s="1288"/>
    </row>
    <row r="54039" spans="18:18" s="2" customFormat="1" ht="12.75" x14ac:dyDescent="0.2">
      <c r="R54039" s="1288"/>
    </row>
    <row r="54040" spans="18:18" s="2" customFormat="1" ht="12.75" x14ac:dyDescent="0.2">
      <c r="R54040" s="1288"/>
    </row>
    <row r="54041" spans="18:18" s="2" customFormat="1" ht="12.75" x14ac:dyDescent="0.2">
      <c r="R54041" s="1288"/>
    </row>
    <row r="54042" spans="18:18" s="2" customFormat="1" ht="12.75" x14ac:dyDescent="0.2">
      <c r="R54042" s="1288"/>
    </row>
    <row r="54043" spans="18:18" s="2" customFormat="1" ht="12.75" x14ac:dyDescent="0.2">
      <c r="R54043" s="1288"/>
    </row>
    <row r="54044" spans="18:18" s="2" customFormat="1" ht="12.75" x14ac:dyDescent="0.2">
      <c r="R54044" s="1288"/>
    </row>
    <row r="54045" spans="18:18" s="2" customFormat="1" ht="12.75" x14ac:dyDescent="0.2">
      <c r="R54045" s="1288"/>
    </row>
    <row r="54046" spans="18:18" s="2" customFormat="1" ht="12.75" x14ac:dyDescent="0.2">
      <c r="R54046" s="1288"/>
    </row>
    <row r="54047" spans="18:18" s="2" customFormat="1" ht="12.75" x14ac:dyDescent="0.2">
      <c r="R54047" s="1288"/>
    </row>
    <row r="54048" spans="18:18" s="2" customFormat="1" ht="12.75" x14ac:dyDescent="0.2">
      <c r="R54048" s="1288"/>
    </row>
    <row r="54049" spans="18:18" s="2" customFormat="1" ht="12.75" x14ac:dyDescent="0.2">
      <c r="R54049" s="1288"/>
    </row>
    <row r="54050" spans="18:18" s="2" customFormat="1" ht="12.75" x14ac:dyDescent="0.2">
      <c r="R54050" s="1288"/>
    </row>
    <row r="54051" spans="18:18" s="2" customFormat="1" ht="12.75" x14ac:dyDescent="0.2">
      <c r="R54051" s="1288"/>
    </row>
    <row r="54052" spans="18:18" s="2" customFormat="1" ht="12.75" x14ac:dyDescent="0.2">
      <c r="R54052" s="1288"/>
    </row>
    <row r="54053" spans="18:18" s="2" customFormat="1" ht="12.75" x14ac:dyDescent="0.2">
      <c r="R54053" s="1288"/>
    </row>
    <row r="54054" spans="18:18" s="2" customFormat="1" ht="12.75" x14ac:dyDescent="0.2">
      <c r="R54054" s="1288"/>
    </row>
    <row r="54055" spans="18:18" s="2" customFormat="1" ht="12.75" x14ac:dyDescent="0.2">
      <c r="R54055" s="1288"/>
    </row>
    <row r="54056" spans="18:18" s="2" customFormat="1" ht="12.75" x14ac:dyDescent="0.2">
      <c r="R54056" s="1288"/>
    </row>
    <row r="54057" spans="18:18" s="2" customFormat="1" ht="12.75" x14ac:dyDescent="0.2">
      <c r="R54057" s="1288"/>
    </row>
    <row r="54058" spans="18:18" s="2" customFormat="1" ht="12.75" x14ac:dyDescent="0.2">
      <c r="R54058" s="1288"/>
    </row>
    <row r="54059" spans="18:18" s="2" customFormat="1" ht="12.75" x14ac:dyDescent="0.2">
      <c r="R54059" s="1288"/>
    </row>
    <row r="54060" spans="18:18" s="2" customFormat="1" ht="12.75" x14ac:dyDescent="0.2">
      <c r="R54060" s="1288"/>
    </row>
    <row r="54061" spans="18:18" s="2" customFormat="1" ht="12.75" x14ac:dyDescent="0.2">
      <c r="R54061" s="1288"/>
    </row>
    <row r="54062" spans="18:18" s="2" customFormat="1" ht="12.75" x14ac:dyDescent="0.2">
      <c r="R54062" s="1288"/>
    </row>
    <row r="54063" spans="18:18" s="2" customFormat="1" ht="12.75" x14ac:dyDescent="0.2">
      <c r="R54063" s="1288"/>
    </row>
    <row r="54064" spans="18:18" s="2" customFormat="1" ht="12.75" x14ac:dyDescent="0.2">
      <c r="R54064" s="1288"/>
    </row>
    <row r="54065" spans="18:18" s="2" customFormat="1" ht="12.75" x14ac:dyDescent="0.2">
      <c r="R54065" s="1288"/>
    </row>
    <row r="54066" spans="18:18" s="2" customFormat="1" ht="12.75" x14ac:dyDescent="0.2">
      <c r="R54066" s="1288"/>
    </row>
    <row r="54067" spans="18:18" s="2" customFormat="1" ht="12.75" x14ac:dyDescent="0.2">
      <c r="R54067" s="1288"/>
    </row>
    <row r="54068" spans="18:18" s="2" customFormat="1" ht="12.75" x14ac:dyDescent="0.2">
      <c r="R54068" s="1288"/>
    </row>
    <row r="54069" spans="18:18" s="2" customFormat="1" ht="12.75" x14ac:dyDescent="0.2">
      <c r="R54069" s="1288"/>
    </row>
    <row r="54070" spans="18:18" s="2" customFormat="1" ht="12.75" x14ac:dyDescent="0.2">
      <c r="R54070" s="1288"/>
    </row>
    <row r="54071" spans="18:18" s="2" customFormat="1" ht="12.75" x14ac:dyDescent="0.2">
      <c r="R54071" s="1288"/>
    </row>
    <row r="54072" spans="18:18" s="2" customFormat="1" ht="12.75" x14ac:dyDescent="0.2">
      <c r="R54072" s="1288"/>
    </row>
    <row r="54073" spans="18:18" s="2" customFormat="1" ht="12.75" x14ac:dyDescent="0.2">
      <c r="R54073" s="1288"/>
    </row>
    <row r="54074" spans="18:18" s="2" customFormat="1" ht="12.75" x14ac:dyDescent="0.2">
      <c r="R54074" s="1288"/>
    </row>
    <row r="54075" spans="18:18" s="2" customFormat="1" ht="12.75" x14ac:dyDescent="0.2">
      <c r="R54075" s="1288"/>
    </row>
    <row r="54076" spans="18:18" s="2" customFormat="1" ht="12.75" x14ac:dyDescent="0.2">
      <c r="R54076" s="1288"/>
    </row>
    <row r="54077" spans="18:18" s="2" customFormat="1" ht="12.75" x14ac:dyDescent="0.2">
      <c r="R54077" s="1288"/>
    </row>
    <row r="54078" spans="18:18" s="2" customFormat="1" ht="12.75" x14ac:dyDescent="0.2">
      <c r="R54078" s="1288"/>
    </row>
    <row r="54079" spans="18:18" s="2" customFormat="1" ht="12.75" x14ac:dyDescent="0.2">
      <c r="R54079" s="1288"/>
    </row>
    <row r="54080" spans="18:18" s="2" customFormat="1" ht="12.75" x14ac:dyDescent="0.2">
      <c r="R54080" s="1288"/>
    </row>
    <row r="54081" spans="18:18" s="2" customFormat="1" ht="12.75" x14ac:dyDescent="0.2">
      <c r="R54081" s="1288"/>
    </row>
    <row r="54082" spans="18:18" s="2" customFormat="1" ht="12.75" x14ac:dyDescent="0.2">
      <c r="R54082" s="1288"/>
    </row>
    <row r="54083" spans="18:18" s="2" customFormat="1" ht="12.75" x14ac:dyDescent="0.2">
      <c r="R54083" s="1288"/>
    </row>
    <row r="54084" spans="18:18" s="2" customFormat="1" ht="12.75" x14ac:dyDescent="0.2">
      <c r="R54084" s="1288"/>
    </row>
    <row r="54085" spans="18:18" s="2" customFormat="1" ht="12.75" x14ac:dyDescent="0.2">
      <c r="R54085" s="1288"/>
    </row>
    <row r="54086" spans="18:18" s="2" customFormat="1" ht="12.75" x14ac:dyDescent="0.2">
      <c r="R54086" s="1288"/>
    </row>
    <row r="54087" spans="18:18" s="2" customFormat="1" ht="12.75" x14ac:dyDescent="0.2">
      <c r="R54087" s="1288"/>
    </row>
    <row r="54088" spans="18:18" s="2" customFormat="1" ht="12.75" x14ac:dyDescent="0.2">
      <c r="R54088" s="1288"/>
    </row>
    <row r="54089" spans="18:18" s="2" customFormat="1" ht="12.75" x14ac:dyDescent="0.2">
      <c r="R54089" s="1288"/>
    </row>
    <row r="54090" spans="18:18" s="2" customFormat="1" ht="12.75" x14ac:dyDescent="0.2">
      <c r="R54090" s="1288"/>
    </row>
    <row r="54091" spans="18:18" s="2" customFormat="1" ht="12.75" x14ac:dyDescent="0.2">
      <c r="R54091" s="1288"/>
    </row>
    <row r="54092" spans="18:18" s="2" customFormat="1" ht="12.75" x14ac:dyDescent="0.2">
      <c r="R54092" s="1288"/>
    </row>
    <row r="54093" spans="18:18" s="2" customFormat="1" ht="12.75" x14ac:dyDescent="0.2">
      <c r="R54093" s="1288"/>
    </row>
    <row r="54094" spans="18:18" s="2" customFormat="1" ht="12.75" x14ac:dyDescent="0.2">
      <c r="R54094" s="1288"/>
    </row>
    <row r="54095" spans="18:18" s="2" customFormat="1" ht="12.75" x14ac:dyDescent="0.2">
      <c r="R54095" s="1288"/>
    </row>
    <row r="54096" spans="18:18" s="2" customFormat="1" ht="12.75" x14ac:dyDescent="0.2">
      <c r="R54096" s="1288"/>
    </row>
    <row r="54097" spans="18:18" s="2" customFormat="1" ht="12.75" x14ac:dyDescent="0.2">
      <c r="R54097" s="1288"/>
    </row>
    <row r="54098" spans="18:18" s="2" customFormat="1" ht="12.75" x14ac:dyDescent="0.2">
      <c r="R54098" s="1288"/>
    </row>
    <row r="54099" spans="18:18" s="2" customFormat="1" ht="12.75" x14ac:dyDescent="0.2">
      <c r="R54099" s="1288"/>
    </row>
    <row r="54100" spans="18:18" s="2" customFormat="1" ht="12.75" x14ac:dyDescent="0.2">
      <c r="R54100" s="1288"/>
    </row>
    <row r="54101" spans="18:18" s="2" customFormat="1" ht="12.75" x14ac:dyDescent="0.2">
      <c r="R54101" s="1288"/>
    </row>
    <row r="54102" spans="18:18" s="2" customFormat="1" ht="12.75" x14ac:dyDescent="0.2">
      <c r="R54102" s="1288"/>
    </row>
    <row r="54103" spans="18:18" s="2" customFormat="1" ht="12.75" x14ac:dyDescent="0.2">
      <c r="R54103" s="1288"/>
    </row>
    <row r="54104" spans="18:18" s="2" customFormat="1" ht="12.75" x14ac:dyDescent="0.2">
      <c r="R54104" s="1288"/>
    </row>
    <row r="54105" spans="18:18" s="2" customFormat="1" ht="12.75" x14ac:dyDescent="0.2">
      <c r="R54105" s="1288"/>
    </row>
    <row r="54106" spans="18:18" s="2" customFormat="1" ht="12.75" x14ac:dyDescent="0.2">
      <c r="R54106" s="1288"/>
    </row>
    <row r="54107" spans="18:18" s="2" customFormat="1" ht="12.75" x14ac:dyDescent="0.2">
      <c r="R54107" s="1288"/>
    </row>
    <row r="54108" spans="18:18" s="2" customFormat="1" ht="12.75" x14ac:dyDescent="0.2">
      <c r="R54108" s="1288"/>
    </row>
    <row r="54109" spans="18:18" s="2" customFormat="1" ht="12.75" x14ac:dyDescent="0.2">
      <c r="R54109" s="1288"/>
    </row>
    <row r="54110" spans="18:18" s="2" customFormat="1" ht="12.75" x14ac:dyDescent="0.2">
      <c r="R54110" s="1288"/>
    </row>
    <row r="54111" spans="18:18" s="2" customFormat="1" ht="12.75" x14ac:dyDescent="0.2">
      <c r="R54111" s="1288"/>
    </row>
    <row r="54112" spans="18:18" s="2" customFormat="1" ht="12.75" x14ac:dyDescent="0.2">
      <c r="R54112" s="1288"/>
    </row>
    <row r="54113" spans="18:18" s="2" customFormat="1" ht="12.75" x14ac:dyDescent="0.2">
      <c r="R54113" s="1288"/>
    </row>
    <row r="54114" spans="18:18" s="2" customFormat="1" ht="12.75" x14ac:dyDescent="0.2">
      <c r="R54114" s="1288"/>
    </row>
    <row r="54115" spans="18:18" s="2" customFormat="1" ht="12.75" x14ac:dyDescent="0.2">
      <c r="R54115" s="1288"/>
    </row>
    <row r="54116" spans="18:18" s="2" customFormat="1" ht="12.75" x14ac:dyDescent="0.2">
      <c r="R54116" s="1288"/>
    </row>
    <row r="54117" spans="18:18" s="2" customFormat="1" ht="12.75" x14ac:dyDescent="0.2">
      <c r="R54117" s="1288"/>
    </row>
    <row r="54118" spans="18:18" s="2" customFormat="1" ht="12.75" x14ac:dyDescent="0.2">
      <c r="R54118" s="1288"/>
    </row>
    <row r="54119" spans="18:18" s="2" customFormat="1" ht="12.75" x14ac:dyDescent="0.2">
      <c r="R54119" s="1288"/>
    </row>
    <row r="54120" spans="18:18" s="2" customFormat="1" ht="12.75" x14ac:dyDescent="0.2">
      <c r="R54120" s="1288"/>
    </row>
    <row r="54121" spans="18:18" s="2" customFormat="1" ht="12.75" x14ac:dyDescent="0.2">
      <c r="R54121" s="1288"/>
    </row>
    <row r="54122" spans="18:18" s="2" customFormat="1" ht="12.75" x14ac:dyDescent="0.2">
      <c r="R54122" s="1288"/>
    </row>
    <row r="54123" spans="18:18" s="2" customFormat="1" ht="12.75" x14ac:dyDescent="0.2">
      <c r="R54123" s="1288"/>
    </row>
    <row r="54124" spans="18:18" s="2" customFormat="1" ht="12.75" x14ac:dyDescent="0.2">
      <c r="R54124" s="1288"/>
    </row>
    <row r="54125" spans="18:18" s="2" customFormat="1" ht="12.75" x14ac:dyDescent="0.2">
      <c r="R54125" s="1288"/>
    </row>
    <row r="54126" spans="18:18" s="2" customFormat="1" ht="12.75" x14ac:dyDescent="0.2">
      <c r="R54126" s="1288"/>
    </row>
    <row r="54127" spans="18:18" s="2" customFormat="1" ht="12.75" x14ac:dyDescent="0.2">
      <c r="R54127" s="1288"/>
    </row>
    <row r="54128" spans="18:18" s="2" customFormat="1" ht="12.75" x14ac:dyDescent="0.2">
      <c r="R54128" s="1288"/>
    </row>
    <row r="54129" spans="18:18" s="2" customFormat="1" ht="12.75" x14ac:dyDescent="0.2">
      <c r="R54129" s="1288"/>
    </row>
    <row r="54130" spans="18:18" s="2" customFormat="1" ht="12.75" x14ac:dyDescent="0.2">
      <c r="R54130" s="1288"/>
    </row>
    <row r="54131" spans="18:18" s="2" customFormat="1" ht="12.75" x14ac:dyDescent="0.2">
      <c r="R54131" s="1288"/>
    </row>
    <row r="54132" spans="18:18" s="2" customFormat="1" ht="12.75" x14ac:dyDescent="0.2">
      <c r="R54132" s="1288"/>
    </row>
    <row r="54133" spans="18:18" s="2" customFormat="1" ht="12.75" x14ac:dyDescent="0.2">
      <c r="R54133" s="1288"/>
    </row>
    <row r="54134" spans="18:18" s="2" customFormat="1" ht="12.75" x14ac:dyDescent="0.2">
      <c r="R54134" s="1288"/>
    </row>
    <row r="54135" spans="18:18" s="2" customFormat="1" ht="12.75" x14ac:dyDescent="0.2">
      <c r="R54135" s="1288"/>
    </row>
    <row r="54136" spans="18:18" s="2" customFormat="1" ht="12.75" x14ac:dyDescent="0.2">
      <c r="R54136" s="1288"/>
    </row>
    <row r="54137" spans="18:18" s="2" customFormat="1" ht="12.75" x14ac:dyDescent="0.2">
      <c r="R54137" s="1288"/>
    </row>
    <row r="54138" spans="18:18" s="2" customFormat="1" ht="12.75" x14ac:dyDescent="0.2">
      <c r="R54138" s="1288"/>
    </row>
    <row r="54139" spans="18:18" s="2" customFormat="1" ht="12.75" x14ac:dyDescent="0.2">
      <c r="R54139" s="1288"/>
    </row>
    <row r="54140" spans="18:18" s="2" customFormat="1" ht="12.75" x14ac:dyDescent="0.2">
      <c r="R54140" s="1288"/>
    </row>
    <row r="54141" spans="18:18" s="2" customFormat="1" ht="12.75" x14ac:dyDescent="0.2">
      <c r="R54141" s="1288"/>
    </row>
    <row r="54142" spans="18:18" s="2" customFormat="1" ht="12.75" x14ac:dyDescent="0.2">
      <c r="R54142" s="1288"/>
    </row>
    <row r="54143" spans="18:18" s="2" customFormat="1" ht="12.75" x14ac:dyDescent="0.2">
      <c r="R54143" s="1288"/>
    </row>
    <row r="54144" spans="18:18" s="2" customFormat="1" ht="12.75" x14ac:dyDescent="0.2">
      <c r="R54144" s="1288"/>
    </row>
    <row r="54145" spans="18:18" s="2" customFormat="1" ht="12.75" x14ac:dyDescent="0.2">
      <c r="R54145" s="1288"/>
    </row>
    <row r="54146" spans="18:18" s="2" customFormat="1" ht="12.75" x14ac:dyDescent="0.2">
      <c r="R54146" s="1288"/>
    </row>
    <row r="54147" spans="18:18" s="2" customFormat="1" ht="12.75" x14ac:dyDescent="0.2">
      <c r="R54147" s="1288"/>
    </row>
    <row r="54148" spans="18:18" s="2" customFormat="1" ht="12.75" x14ac:dyDescent="0.2">
      <c r="R54148" s="1288"/>
    </row>
    <row r="54149" spans="18:18" s="2" customFormat="1" ht="12.75" x14ac:dyDescent="0.2">
      <c r="R54149" s="1288"/>
    </row>
    <row r="54150" spans="18:18" s="2" customFormat="1" ht="12.75" x14ac:dyDescent="0.2">
      <c r="R54150" s="1288"/>
    </row>
    <row r="54151" spans="18:18" s="2" customFormat="1" ht="12.75" x14ac:dyDescent="0.2">
      <c r="R54151" s="1288"/>
    </row>
    <row r="54152" spans="18:18" s="2" customFormat="1" ht="12.75" x14ac:dyDescent="0.2">
      <c r="R54152" s="1288"/>
    </row>
    <row r="54153" spans="18:18" s="2" customFormat="1" ht="12.75" x14ac:dyDescent="0.2">
      <c r="R54153" s="1288"/>
    </row>
    <row r="54154" spans="18:18" s="2" customFormat="1" ht="12.75" x14ac:dyDescent="0.2">
      <c r="R54154" s="1288"/>
    </row>
    <row r="54155" spans="18:18" s="2" customFormat="1" ht="12.75" x14ac:dyDescent="0.2">
      <c r="R54155" s="1288"/>
    </row>
    <row r="54156" spans="18:18" s="2" customFormat="1" ht="12.75" x14ac:dyDescent="0.2">
      <c r="R54156" s="1288"/>
    </row>
    <row r="54157" spans="18:18" s="2" customFormat="1" ht="12.75" x14ac:dyDescent="0.2">
      <c r="R54157" s="1288"/>
    </row>
    <row r="54158" spans="18:18" s="2" customFormat="1" ht="12.75" x14ac:dyDescent="0.2">
      <c r="R54158" s="1288"/>
    </row>
    <row r="54159" spans="18:18" s="2" customFormat="1" ht="12.75" x14ac:dyDescent="0.2">
      <c r="R54159" s="1288"/>
    </row>
    <row r="54160" spans="18:18" s="2" customFormat="1" ht="12.75" x14ac:dyDescent="0.2">
      <c r="R54160" s="1288"/>
    </row>
    <row r="54161" spans="18:18" s="2" customFormat="1" ht="12.75" x14ac:dyDescent="0.2">
      <c r="R54161" s="1288"/>
    </row>
    <row r="54162" spans="18:18" s="2" customFormat="1" ht="12.75" x14ac:dyDescent="0.2">
      <c r="R54162" s="1288"/>
    </row>
    <row r="54163" spans="18:18" s="2" customFormat="1" ht="12.75" x14ac:dyDescent="0.2">
      <c r="R54163" s="1288"/>
    </row>
    <row r="54164" spans="18:18" s="2" customFormat="1" ht="12.75" x14ac:dyDescent="0.2">
      <c r="R54164" s="1288"/>
    </row>
    <row r="54165" spans="18:18" s="2" customFormat="1" ht="12.75" x14ac:dyDescent="0.2">
      <c r="R54165" s="1288"/>
    </row>
    <row r="54166" spans="18:18" s="2" customFormat="1" ht="12.75" x14ac:dyDescent="0.2">
      <c r="R54166" s="1288"/>
    </row>
    <row r="54167" spans="18:18" s="2" customFormat="1" ht="12.75" x14ac:dyDescent="0.2">
      <c r="R54167" s="1288"/>
    </row>
    <row r="54168" spans="18:18" s="2" customFormat="1" ht="12.75" x14ac:dyDescent="0.2">
      <c r="R54168" s="1288"/>
    </row>
    <row r="54169" spans="18:18" s="2" customFormat="1" ht="12.75" x14ac:dyDescent="0.2">
      <c r="R54169" s="1288"/>
    </row>
    <row r="54170" spans="18:18" s="2" customFormat="1" ht="12.75" x14ac:dyDescent="0.2">
      <c r="R54170" s="1288"/>
    </row>
    <row r="54171" spans="18:18" s="2" customFormat="1" ht="12.75" x14ac:dyDescent="0.2">
      <c r="R54171" s="1288"/>
    </row>
    <row r="54172" spans="18:18" s="2" customFormat="1" ht="12.75" x14ac:dyDescent="0.2">
      <c r="R54172" s="1288"/>
    </row>
    <row r="54173" spans="18:18" s="2" customFormat="1" ht="12.75" x14ac:dyDescent="0.2">
      <c r="R54173" s="1288"/>
    </row>
    <row r="54174" spans="18:18" s="2" customFormat="1" ht="12.75" x14ac:dyDescent="0.2">
      <c r="R54174" s="1288"/>
    </row>
    <row r="54175" spans="18:18" s="2" customFormat="1" ht="12.75" x14ac:dyDescent="0.2">
      <c r="R54175" s="1288"/>
    </row>
    <row r="54176" spans="18:18" s="2" customFormat="1" ht="12.75" x14ac:dyDescent="0.2">
      <c r="R54176" s="1288"/>
    </row>
    <row r="54177" spans="18:18" s="2" customFormat="1" ht="12.75" x14ac:dyDescent="0.2">
      <c r="R54177" s="1288"/>
    </row>
    <row r="54178" spans="18:18" s="2" customFormat="1" ht="12.75" x14ac:dyDescent="0.2">
      <c r="R54178" s="1288"/>
    </row>
    <row r="54179" spans="18:18" s="2" customFormat="1" ht="12.75" x14ac:dyDescent="0.2">
      <c r="R54179" s="1288"/>
    </row>
    <row r="54180" spans="18:18" s="2" customFormat="1" ht="12.75" x14ac:dyDescent="0.2">
      <c r="R54180" s="1288"/>
    </row>
    <row r="54181" spans="18:18" s="2" customFormat="1" ht="12.75" x14ac:dyDescent="0.2">
      <c r="R54181" s="1288"/>
    </row>
    <row r="54182" spans="18:18" s="2" customFormat="1" ht="12.75" x14ac:dyDescent="0.2">
      <c r="R54182" s="1288"/>
    </row>
    <row r="54183" spans="18:18" s="2" customFormat="1" ht="12.75" x14ac:dyDescent="0.2">
      <c r="R54183" s="1288"/>
    </row>
    <row r="54184" spans="18:18" s="2" customFormat="1" ht="12.75" x14ac:dyDescent="0.2">
      <c r="R54184" s="1288"/>
    </row>
    <row r="54185" spans="18:18" s="2" customFormat="1" ht="12.75" x14ac:dyDescent="0.2">
      <c r="R54185" s="1288"/>
    </row>
    <row r="54186" spans="18:18" s="2" customFormat="1" ht="12.75" x14ac:dyDescent="0.2">
      <c r="R54186" s="1288"/>
    </row>
    <row r="54187" spans="18:18" s="2" customFormat="1" ht="12.75" x14ac:dyDescent="0.2">
      <c r="R54187" s="1288"/>
    </row>
    <row r="54188" spans="18:18" s="2" customFormat="1" ht="12.75" x14ac:dyDescent="0.2">
      <c r="R54188" s="1288"/>
    </row>
    <row r="54189" spans="18:18" s="2" customFormat="1" ht="12.75" x14ac:dyDescent="0.2">
      <c r="R54189" s="1288"/>
    </row>
    <row r="54190" spans="18:18" s="2" customFormat="1" ht="12.75" x14ac:dyDescent="0.2">
      <c r="R54190" s="1288"/>
    </row>
    <row r="54191" spans="18:18" s="2" customFormat="1" ht="12.75" x14ac:dyDescent="0.2">
      <c r="R54191" s="1288"/>
    </row>
    <row r="54192" spans="18:18" s="2" customFormat="1" ht="12.75" x14ac:dyDescent="0.2">
      <c r="R54192" s="1288"/>
    </row>
    <row r="54193" spans="18:18" s="2" customFormat="1" ht="12.75" x14ac:dyDescent="0.2">
      <c r="R54193" s="1288"/>
    </row>
    <row r="54194" spans="18:18" s="2" customFormat="1" ht="12.75" x14ac:dyDescent="0.2">
      <c r="R54194" s="1288"/>
    </row>
    <row r="54195" spans="18:18" s="2" customFormat="1" ht="12.75" x14ac:dyDescent="0.2">
      <c r="R54195" s="1288"/>
    </row>
    <row r="54196" spans="18:18" s="2" customFormat="1" ht="12.75" x14ac:dyDescent="0.2">
      <c r="R54196" s="1288"/>
    </row>
    <row r="54197" spans="18:18" s="2" customFormat="1" ht="12.75" x14ac:dyDescent="0.2">
      <c r="R54197" s="1288"/>
    </row>
    <row r="54198" spans="18:18" s="2" customFormat="1" ht="12.75" x14ac:dyDescent="0.2">
      <c r="R54198" s="1288"/>
    </row>
    <row r="54199" spans="18:18" s="2" customFormat="1" ht="12.75" x14ac:dyDescent="0.2">
      <c r="R54199" s="1288"/>
    </row>
    <row r="54200" spans="18:18" s="2" customFormat="1" ht="12.75" x14ac:dyDescent="0.2">
      <c r="R54200" s="1288"/>
    </row>
    <row r="54201" spans="18:18" s="2" customFormat="1" ht="12.75" x14ac:dyDescent="0.2">
      <c r="R54201" s="1288"/>
    </row>
    <row r="54202" spans="18:18" s="2" customFormat="1" ht="12.75" x14ac:dyDescent="0.2">
      <c r="R54202" s="1288"/>
    </row>
    <row r="54203" spans="18:18" s="2" customFormat="1" ht="12.75" x14ac:dyDescent="0.2">
      <c r="R54203" s="1288"/>
    </row>
    <row r="54204" spans="18:18" s="2" customFormat="1" ht="12.75" x14ac:dyDescent="0.2">
      <c r="R54204" s="1288"/>
    </row>
    <row r="54205" spans="18:18" s="2" customFormat="1" ht="12.75" x14ac:dyDescent="0.2">
      <c r="R54205" s="1288"/>
    </row>
    <row r="54206" spans="18:18" s="2" customFormat="1" ht="12.75" x14ac:dyDescent="0.2">
      <c r="R54206" s="1288"/>
    </row>
    <row r="54207" spans="18:18" s="2" customFormat="1" ht="12.75" x14ac:dyDescent="0.2">
      <c r="R54207" s="1288"/>
    </row>
    <row r="54208" spans="18:18" s="2" customFormat="1" ht="12.75" x14ac:dyDescent="0.2">
      <c r="R54208" s="1288"/>
    </row>
    <row r="54209" spans="18:18" s="2" customFormat="1" ht="12.75" x14ac:dyDescent="0.2">
      <c r="R54209" s="1288"/>
    </row>
    <row r="54210" spans="18:18" s="2" customFormat="1" ht="12.75" x14ac:dyDescent="0.2">
      <c r="R54210" s="1288"/>
    </row>
    <row r="54211" spans="18:18" s="2" customFormat="1" ht="12.75" x14ac:dyDescent="0.2">
      <c r="R54211" s="1288"/>
    </row>
    <row r="54212" spans="18:18" s="2" customFormat="1" ht="12.75" x14ac:dyDescent="0.2">
      <c r="R54212" s="1288"/>
    </row>
    <row r="54213" spans="18:18" s="2" customFormat="1" ht="12.75" x14ac:dyDescent="0.2">
      <c r="R54213" s="1288"/>
    </row>
    <row r="54214" spans="18:18" s="2" customFormat="1" ht="12.75" x14ac:dyDescent="0.2">
      <c r="R54214" s="1288"/>
    </row>
    <row r="54215" spans="18:18" s="2" customFormat="1" ht="12.75" x14ac:dyDescent="0.2">
      <c r="R54215" s="1288"/>
    </row>
    <row r="54216" spans="18:18" s="2" customFormat="1" ht="12.75" x14ac:dyDescent="0.2">
      <c r="R54216" s="1288"/>
    </row>
    <row r="54217" spans="18:18" s="2" customFormat="1" ht="12.75" x14ac:dyDescent="0.2">
      <c r="R54217" s="1288"/>
    </row>
    <row r="54218" spans="18:18" s="2" customFormat="1" ht="12.75" x14ac:dyDescent="0.2">
      <c r="R54218" s="1288"/>
    </row>
    <row r="54219" spans="18:18" s="2" customFormat="1" ht="12.75" x14ac:dyDescent="0.2">
      <c r="R54219" s="1288"/>
    </row>
    <row r="54220" spans="18:18" s="2" customFormat="1" ht="12.75" x14ac:dyDescent="0.2">
      <c r="R54220" s="1288"/>
    </row>
    <row r="54221" spans="18:18" s="2" customFormat="1" ht="12.75" x14ac:dyDescent="0.2">
      <c r="R54221" s="1288"/>
    </row>
    <row r="54222" spans="18:18" s="2" customFormat="1" ht="12.75" x14ac:dyDescent="0.2">
      <c r="R54222" s="1288"/>
    </row>
    <row r="54223" spans="18:18" s="2" customFormat="1" ht="12.75" x14ac:dyDescent="0.2">
      <c r="R54223" s="1288"/>
    </row>
    <row r="54224" spans="18:18" s="2" customFormat="1" ht="12.75" x14ac:dyDescent="0.2">
      <c r="R54224" s="1288"/>
    </row>
    <row r="54225" spans="18:18" s="2" customFormat="1" ht="12.75" x14ac:dyDescent="0.2">
      <c r="R54225" s="1288"/>
    </row>
    <row r="54226" spans="18:18" s="2" customFormat="1" ht="12.75" x14ac:dyDescent="0.2">
      <c r="R54226" s="1288"/>
    </row>
    <row r="54227" spans="18:18" s="2" customFormat="1" ht="12.75" x14ac:dyDescent="0.2">
      <c r="R54227" s="1288"/>
    </row>
    <row r="54228" spans="18:18" s="2" customFormat="1" ht="12.75" x14ac:dyDescent="0.2">
      <c r="R54228" s="1288"/>
    </row>
    <row r="54229" spans="18:18" s="2" customFormat="1" ht="12.75" x14ac:dyDescent="0.2">
      <c r="R54229" s="1288"/>
    </row>
    <row r="54230" spans="18:18" s="2" customFormat="1" ht="12.75" x14ac:dyDescent="0.2">
      <c r="R54230" s="1288"/>
    </row>
    <row r="54231" spans="18:18" s="2" customFormat="1" ht="12.75" x14ac:dyDescent="0.2">
      <c r="R54231" s="1288"/>
    </row>
    <row r="54232" spans="18:18" s="2" customFormat="1" ht="12.75" x14ac:dyDescent="0.2">
      <c r="R54232" s="1288"/>
    </row>
    <row r="54233" spans="18:18" s="2" customFormat="1" ht="12.75" x14ac:dyDescent="0.2">
      <c r="R54233" s="1288"/>
    </row>
    <row r="54234" spans="18:18" s="2" customFormat="1" ht="12.75" x14ac:dyDescent="0.2">
      <c r="R54234" s="1288"/>
    </row>
    <row r="54235" spans="18:18" s="2" customFormat="1" ht="12.75" x14ac:dyDescent="0.2">
      <c r="R54235" s="1288"/>
    </row>
    <row r="54236" spans="18:18" s="2" customFormat="1" ht="12.75" x14ac:dyDescent="0.2">
      <c r="R54236" s="1288"/>
    </row>
    <row r="54237" spans="18:18" s="2" customFormat="1" ht="12.75" x14ac:dyDescent="0.2">
      <c r="R54237" s="1288"/>
    </row>
    <row r="54238" spans="18:18" s="2" customFormat="1" ht="12.75" x14ac:dyDescent="0.2">
      <c r="R54238" s="1288"/>
    </row>
    <row r="54239" spans="18:18" s="2" customFormat="1" ht="12.75" x14ac:dyDescent="0.2">
      <c r="R54239" s="1288"/>
    </row>
    <row r="54240" spans="18:18" s="2" customFormat="1" ht="12.75" x14ac:dyDescent="0.2">
      <c r="R54240" s="1288"/>
    </row>
    <row r="54241" spans="18:18" s="2" customFormat="1" ht="12.75" x14ac:dyDescent="0.2">
      <c r="R54241" s="1288"/>
    </row>
    <row r="54242" spans="18:18" s="2" customFormat="1" ht="12.75" x14ac:dyDescent="0.2">
      <c r="R54242" s="1288"/>
    </row>
    <row r="54243" spans="18:18" s="2" customFormat="1" ht="12.75" x14ac:dyDescent="0.2">
      <c r="R54243" s="1288"/>
    </row>
    <row r="54244" spans="18:18" s="2" customFormat="1" ht="12.75" x14ac:dyDescent="0.2">
      <c r="R54244" s="1288"/>
    </row>
    <row r="54245" spans="18:18" s="2" customFormat="1" ht="12.75" x14ac:dyDescent="0.2">
      <c r="R54245" s="1288"/>
    </row>
    <row r="54246" spans="18:18" s="2" customFormat="1" ht="12.75" x14ac:dyDescent="0.2">
      <c r="R54246" s="1288"/>
    </row>
    <row r="54247" spans="18:18" s="2" customFormat="1" ht="12.75" x14ac:dyDescent="0.2">
      <c r="R54247" s="1288"/>
    </row>
    <row r="54248" spans="18:18" s="2" customFormat="1" ht="12.75" x14ac:dyDescent="0.2">
      <c r="R54248" s="1288"/>
    </row>
    <row r="54249" spans="18:18" s="2" customFormat="1" ht="12.75" x14ac:dyDescent="0.2">
      <c r="R54249" s="1288"/>
    </row>
    <row r="54250" spans="18:18" s="2" customFormat="1" ht="12.75" x14ac:dyDescent="0.2">
      <c r="R54250" s="1288"/>
    </row>
    <row r="54251" spans="18:18" s="2" customFormat="1" ht="12.75" x14ac:dyDescent="0.2">
      <c r="R54251" s="1288"/>
    </row>
    <row r="54252" spans="18:18" s="2" customFormat="1" ht="12.75" x14ac:dyDescent="0.2">
      <c r="R54252" s="1288"/>
    </row>
    <row r="54253" spans="18:18" s="2" customFormat="1" ht="12.75" x14ac:dyDescent="0.2">
      <c r="R54253" s="1288"/>
    </row>
    <row r="54254" spans="18:18" s="2" customFormat="1" ht="12.75" x14ac:dyDescent="0.2">
      <c r="R54254" s="1288"/>
    </row>
    <row r="54255" spans="18:18" s="2" customFormat="1" ht="12.75" x14ac:dyDescent="0.2">
      <c r="R54255" s="1288"/>
    </row>
    <row r="54256" spans="18:18" s="2" customFormat="1" ht="12.75" x14ac:dyDescent="0.2">
      <c r="R54256" s="1288"/>
    </row>
    <row r="54257" spans="18:18" s="2" customFormat="1" ht="12.75" x14ac:dyDescent="0.2">
      <c r="R54257" s="1288"/>
    </row>
    <row r="54258" spans="18:18" s="2" customFormat="1" ht="12.75" x14ac:dyDescent="0.2">
      <c r="R54258" s="1288"/>
    </row>
    <row r="54259" spans="18:18" s="2" customFormat="1" ht="12.75" x14ac:dyDescent="0.2">
      <c r="R54259" s="1288"/>
    </row>
    <row r="54260" spans="18:18" s="2" customFormat="1" ht="12.75" x14ac:dyDescent="0.2">
      <c r="R54260" s="1288"/>
    </row>
    <row r="54261" spans="18:18" s="2" customFormat="1" ht="12.75" x14ac:dyDescent="0.2">
      <c r="R54261" s="1288"/>
    </row>
    <row r="54262" spans="18:18" s="2" customFormat="1" ht="12.75" x14ac:dyDescent="0.2">
      <c r="R54262" s="1288"/>
    </row>
    <row r="54263" spans="18:18" s="2" customFormat="1" ht="12.75" x14ac:dyDescent="0.2">
      <c r="R54263" s="1288"/>
    </row>
    <row r="54264" spans="18:18" s="2" customFormat="1" ht="12.75" x14ac:dyDescent="0.2">
      <c r="R54264" s="1288"/>
    </row>
    <row r="54265" spans="18:18" s="2" customFormat="1" ht="12.75" x14ac:dyDescent="0.2">
      <c r="R54265" s="1288"/>
    </row>
    <row r="54266" spans="18:18" s="2" customFormat="1" ht="12.75" x14ac:dyDescent="0.2">
      <c r="R54266" s="1288"/>
    </row>
    <row r="54267" spans="18:18" s="2" customFormat="1" ht="12.75" x14ac:dyDescent="0.2">
      <c r="R54267" s="1288"/>
    </row>
    <row r="54268" spans="18:18" s="2" customFormat="1" ht="12.75" x14ac:dyDescent="0.2">
      <c r="R54268" s="1288"/>
    </row>
    <row r="54269" spans="18:18" s="2" customFormat="1" ht="12.75" x14ac:dyDescent="0.2">
      <c r="R54269" s="1288"/>
    </row>
    <row r="54270" spans="18:18" s="2" customFormat="1" ht="12.75" x14ac:dyDescent="0.2">
      <c r="R54270" s="1288"/>
    </row>
    <row r="54271" spans="18:18" s="2" customFormat="1" ht="12.75" x14ac:dyDescent="0.2">
      <c r="R54271" s="1288"/>
    </row>
    <row r="54272" spans="18:18" s="2" customFormat="1" ht="12.75" x14ac:dyDescent="0.2">
      <c r="R54272" s="1288"/>
    </row>
    <row r="54273" spans="18:18" s="2" customFormat="1" ht="12.75" x14ac:dyDescent="0.2">
      <c r="R54273" s="1288"/>
    </row>
    <row r="54274" spans="18:18" s="2" customFormat="1" ht="12.75" x14ac:dyDescent="0.2">
      <c r="R54274" s="1288"/>
    </row>
    <row r="54275" spans="18:18" s="2" customFormat="1" ht="12.75" x14ac:dyDescent="0.2">
      <c r="R54275" s="1288"/>
    </row>
    <row r="54276" spans="18:18" s="2" customFormat="1" ht="12.75" x14ac:dyDescent="0.2">
      <c r="R54276" s="1288"/>
    </row>
    <row r="54277" spans="18:18" s="2" customFormat="1" ht="12.75" x14ac:dyDescent="0.2">
      <c r="R54277" s="1288"/>
    </row>
    <row r="54278" spans="18:18" s="2" customFormat="1" ht="12.75" x14ac:dyDescent="0.2">
      <c r="R54278" s="1288"/>
    </row>
    <row r="54279" spans="18:18" s="2" customFormat="1" ht="12.75" x14ac:dyDescent="0.2">
      <c r="R54279" s="1288"/>
    </row>
    <row r="54280" spans="18:18" s="2" customFormat="1" ht="12.75" x14ac:dyDescent="0.2">
      <c r="R54280" s="1288"/>
    </row>
    <row r="54281" spans="18:18" s="2" customFormat="1" ht="12.75" x14ac:dyDescent="0.2">
      <c r="R54281" s="1288"/>
    </row>
    <row r="54282" spans="18:18" s="2" customFormat="1" ht="12.75" x14ac:dyDescent="0.2">
      <c r="R54282" s="1288"/>
    </row>
    <row r="54283" spans="18:18" s="2" customFormat="1" ht="12.75" x14ac:dyDescent="0.2">
      <c r="R54283" s="1288"/>
    </row>
    <row r="54284" spans="18:18" s="2" customFormat="1" ht="12.75" x14ac:dyDescent="0.2">
      <c r="R54284" s="1288"/>
    </row>
    <row r="54285" spans="18:18" s="2" customFormat="1" ht="12.75" x14ac:dyDescent="0.2">
      <c r="R54285" s="1288"/>
    </row>
    <row r="54286" spans="18:18" s="2" customFormat="1" ht="12.75" x14ac:dyDescent="0.2">
      <c r="R54286" s="1288"/>
    </row>
    <row r="54287" spans="18:18" s="2" customFormat="1" ht="12.75" x14ac:dyDescent="0.2">
      <c r="R54287" s="1288"/>
    </row>
    <row r="54288" spans="18:18" s="2" customFormat="1" ht="12.75" x14ac:dyDescent="0.2">
      <c r="R54288" s="1288"/>
    </row>
    <row r="54289" spans="18:18" s="2" customFormat="1" ht="12.75" x14ac:dyDescent="0.2">
      <c r="R54289" s="1288"/>
    </row>
    <row r="54290" spans="18:18" s="2" customFormat="1" ht="12.75" x14ac:dyDescent="0.2">
      <c r="R54290" s="1288"/>
    </row>
    <row r="54291" spans="18:18" s="2" customFormat="1" ht="12.75" x14ac:dyDescent="0.2">
      <c r="R54291" s="1288"/>
    </row>
    <row r="54292" spans="18:18" s="2" customFormat="1" ht="12.75" x14ac:dyDescent="0.2">
      <c r="R54292" s="1288"/>
    </row>
    <row r="54293" spans="18:18" s="2" customFormat="1" ht="12.75" x14ac:dyDescent="0.2">
      <c r="R54293" s="1288"/>
    </row>
    <row r="54294" spans="18:18" s="2" customFormat="1" ht="12.75" x14ac:dyDescent="0.2">
      <c r="R54294" s="1288"/>
    </row>
    <row r="54295" spans="18:18" s="2" customFormat="1" ht="12.75" x14ac:dyDescent="0.2">
      <c r="R54295" s="1288"/>
    </row>
    <row r="54296" spans="18:18" s="2" customFormat="1" ht="12.75" x14ac:dyDescent="0.2">
      <c r="R54296" s="1288"/>
    </row>
    <row r="54297" spans="18:18" s="2" customFormat="1" ht="12.75" x14ac:dyDescent="0.2">
      <c r="R54297" s="1288"/>
    </row>
    <row r="54298" spans="18:18" s="2" customFormat="1" ht="12.75" x14ac:dyDescent="0.2">
      <c r="R54298" s="1288"/>
    </row>
    <row r="54299" spans="18:18" s="2" customFormat="1" ht="12.75" x14ac:dyDescent="0.2">
      <c r="R54299" s="1288"/>
    </row>
    <row r="54300" spans="18:18" s="2" customFormat="1" ht="12.75" x14ac:dyDescent="0.2">
      <c r="R54300" s="1288"/>
    </row>
    <row r="54301" spans="18:18" s="2" customFormat="1" ht="12.75" x14ac:dyDescent="0.2">
      <c r="R54301" s="1288"/>
    </row>
    <row r="54302" spans="18:18" s="2" customFormat="1" ht="12.75" x14ac:dyDescent="0.2">
      <c r="R54302" s="1288"/>
    </row>
    <row r="54303" spans="18:18" s="2" customFormat="1" ht="12.75" x14ac:dyDescent="0.2">
      <c r="R54303" s="1288"/>
    </row>
    <row r="54304" spans="18:18" s="2" customFormat="1" ht="12.75" x14ac:dyDescent="0.2">
      <c r="R54304" s="1288"/>
    </row>
    <row r="54305" spans="18:18" s="2" customFormat="1" ht="12.75" x14ac:dyDescent="0.2">
      <c r="R54305" s="1288"/>
    </row>
    <row r="54306" spans="18:18" s="2" customFormat="1" ht="12.75" x14ac:dyDescent="0.2">
      <c r="R54306" s="1288"/>
    </row>
    <row r="54307" spans="18:18" s="2" customFormat="1" ht="12.75" x14ac:dyDescent="0.2">
      <c r="R54307" s="1288"/>
    </row>
    <row r="54308" spans="18:18" s="2" customFormat="1" ht="12.75" x14ac:dyDescent="0.2">
      <c r="R54308" s="1288"/>
    </row>
    <row r="54309" spans="18:18" s="2" customFormat="1" ht="12.75" x14ac:dyDescent="0.2">
      <c r="R54309" s="1288"/>
    </row>
    <row r="54310" spans="18:18" s="2" customFormat="1" ht="12.75" x14ac:dyDescent="0.2">
      <c r="R54310" s="1288"/>
    </row>
    <row r="54311" spans="18:18" s="2" customFormat="1" ht="12.75" x14ac:dyDescent="0.2">
      <c r="R54311" s="1288"/>
    </row>
    <row r="54312" spans="18:18" s="2" customFormat="1" ht="12.75" x14ac:dyDescent="0.2">
      <c r="R54312" s="1288"/>
    </row>
    <row r="54313" spans="18:18" s="2" customFormat="1" ht="12.75" x14ac:dyDescent="0.2">
      <c r="R54313" s="1288"/>
    </row>
    <row r="54314" spans="18:18" s="2" customFormat="1" ht="12.75" x14ac:dyDescent="0.2">
      <c r="R54314" s="1288"/>
    </row>
    <row r="54315" spans="18:18" s="2" customFormat="1" ht="12.75" x14ac:dyDescent="0.2">
      <c r="R54315" s="1288"/>
    </row>
    <row r="54316" spans="18:18" s="2" customFormat="1" ht="12.75" x14ac:dyDescent="0.2">
      <c r="R54316" s="1288"/>
    </row>
    <row r="54317" spans="18:18" s="2" customFormat="1" ht="12.75" x14ac:dyDescent="0.2">
      <c r="R54317" s="1288"/>
    </row>
    <row r="54318" spans="18:18" s="2" customFormat="1" ht="12.75" x14ac:dyDescent="0.2">
      <c r="R54318" s="1288"/>
    </row>
    <row r="54319" spans="18:18" s="2" customFormat="1" ht="12.75" x14ac:dyDescent="0.2">
      <c r="R54319" s="1288"/>
    </row>
    <row r="54320" spans="18:18" s="2" customFormat="1" ht="12.75" x14ac:dyDescent="0.2">
      <c r="R54320" s="1288"/>
    </row>
    <row r="54321" spans="18:18" s="2" customFormat="1" ht="12.75" x14ac:dyDescent="0.2">
      <c r="R54321" s="1288"/>
    </row>
    <row r="54322" spans="18:18" s="2" customFormat="1" ht="12.75" x14ac:dyDescent="0.2">
      <c r="R54322" s="1288"/>
    </row>
    <row r="54323" spans="18:18" s="2" customFormat="1" ht="12.75" x14ac:dyDescent="0.2">
      <c r="R54323" s="1288"/>
    </row>
    <row r="54324" spans="18:18" s="2" customFormat="1" ht="12.75" x14ac:dyDescent="0.2">
      <c r="R54324" s="1288"/>
    </row>
    <row r="54325" spans="18:18" s="2" customFormat="1" ht="12.75" x14ac:dyDescent="0.2">
      <c r="R54325" s="1288"/>
    </row>
    <row r="54326" spans="18:18" s="2" customFormat="1" ht="12.75" x14ac:dyDescent="0.2">
      <c r="R54326" s="1288"/>
    </row>
    <row r="54327" spans="18:18" s="2" customFormat="1" ht="12.75" x14ac:dyDescent="0.2">
      <c r="R54327" s="1288"/>
    </row>
    <row r="54328" spans="18:18" s="2" customFormat="1" ht="12.75" x14ac:dyDescent="0.2">
      <c r="R54328" s="1288"/>
    </row>
    <row r="54329" spans="18:18" s="2" customFormat="1" ht="12.75" x14ac:dyDescent="0.2">
      <c r="R54329" s="1288"/>
    </row>
    <row r="54330" spans="18:18" s="2" customFormat="1" ht="12.75" x14ac:dyDescent="0.2">
      <c r="R54330" s="1288"/>
    </row>
    <row r="54331" spans="18:18" s="2" customFormat="1" ht="12.75" x14ac:dyDescent="0.2">
      <c r="R54331" s="1288"/>
    </row>
    <row r="54332" spans="18:18" s="2" customFormat="1" ht="12.75" x14ac:dyDescent="0.2">
      <c r="R54332" s="1288"/>
    </row>
    <row r="54333" spans="18:18" s="2" customFormat="1" ht="12.75" x14ac:dyDescent="0.2">
      <c r="R54333" s="1288"/>
    </row>
    <row r="54334" spans="18:18" s="2" customFormat="1" ht="12.75" x14ac:dyDescent="0.2">
      <c r="R54334" s="1288"/>
    </row>
    <row r="54335" spans="18:18" s="2" customFormat="1" ht="12.75" x14ac:dyDescent="0.2">
      <c r="R54335" s="1288"/>
    </row>
    <row r="54336" spans="18:18" s="2" customFormat="1" ht="12.75" x14ac:dyDescent="0.2">
      <c r="R54336" s="1288"/>
    </row>
    <row r="54337" spans="18:18" s="2" customFormat="1" ht="12.75" x14ac:dyDescent="0.2">
      <c r="R54337" s="1288"/>
    </row>
    <row r="54338" spans="18:18" s="2" customFormat="1" ht="12.75" x14ac:dyDescent="0.2">
      <c r="R54338" s="1288"/>
    </row>
    <row r="54339" spans="18:18" s="2" customFormat="1" ht="12.75" x14ac:dyDescent="0.2">
      <c r="R54339" s="1288"/>
    </row>
    <row r="54340" spans="18:18" s="2" customFormat="1" ht="12.75" x14ac:dyDescent="0.2">
      <c r="R54340" s="1288"/>
    </row>
    <row r="54341" spans="18:18" s="2" customFormat="1" ht="12.75" x14ac:dyDescent="0.2">
      <c r="R54341" s="1288"/>
    </row>
    <row r="54342" spans="18:18" s="2" customFormat="1" ht="12.75" x14ac:dyDescent="0.2">
      <c r="R54342" s="1288"/>
    </row>
    <row r="54343" spans="18:18" s="2" customFormat="1" ht="12.75" x14ac:dyDescent="0.2">
      <c r="R54343" s="1288"/>
    </row>
    <row r="54344" spans="18:18" s="2" customFormat="1" ht="12.75" x14ac:dyDescent="0.2">
      <c r="R54344" s="1288"/>
    </row>
    <row r="54345" spans="18:18" s="2" customFormat="1" ht="12.75" x14ac:dyDescent="0.2">
      <c r="R54345" s="1288"/>
    </row>
    <row r="54346" spans="18:18" s="2" customFormat="1" ht="12.75" x14ac:dyDescent="0.2">
      <c r="R54346" s="1288"/>
    </row>
    <row r="54347" spans="18:18" s="2" customFormat="1" ht="12.75" x14ac:dyDescent="0.2">
      <c r="R54347" s="1288"/>
    </row>
    <row r="54348" spans="18:18" s="2" customFormat="1" ht="12.75" x14ac:dyDescent="0.2">
      <c r="R54348" s="1288"/>
    </row>
    <row r="54349" spans="18:18" s="2" customFormat="1" ht="12.75" x14ac:dyDescent="0.2">
      <c r="R54349" s="1288"/>
    </row>
    <row r="54350" spans="18:18" s="2" customFormat="1" ht="12.75" x14ac:dyDescent="0.2">
      <c r="R54350" s="1288"/>
    </row>
    <row r="54351" spans="18:18" s="2" customFormat="1" ht="12.75" x14ac:dyDescent="0.2">
      <c r="R54351" s="1288"/>
    </row>
    <row r="54352" spans="18:18" s="2" customFormat="1" ht="12.75" x14ac:dyDescent="0.2">
      <c r="R54352" s="1288"/>
    </row>
    <row r="54353" spans="18:18" s="2" customFormat="1" ht="12.75" x14ac:dyDescent="0.2">
      <c r="R54353" s="1288"/>
    </row>
    <row r="54354" spans="18:18" s="2" customFormat="1" ht="12.75" x14ac:dyDescent="0.2">
      <c r="R54354" s="1288"/>
    </row>
    <row r="54355" spans="18:18" s="2" customFormat="1" ht="12.75" x14ac:dyDescent="0.2">
      <c r="R54355" s="1288"/>
    </row>
    <row r="54356" spans="18:18" s="2" customFormat="1" ht="12.75" x14ac:dyDescent="0.2">
      <c r="R54356" s="1288"/>
    </row>
    <row r="54357" spans="18:18" s="2" customFormat="1" ht="12.75" x14ac:dyDescent="0.2">
      <c r="R54357" s="1288"/>
    </row>
    <row r="54358" spans="18:18" s="2" customFormat="1" ht="12.75" x14ac:dyDescent="0.2">
      <c r="R54358" s="1288"/>
    </row>
    <row r="54359" spans="18:18" s="2" customFormat="1" ht="12.75" x14ac:dyDescent="0.2">
      <c r="R54359" s="1288"/>
    </row>
    <row r="54360" spans="18:18" s="2" customFormat="1" ht="12.75" x14ac:dyDescent="0.2">
      <c r="R54360" s="1288"/>
    </row>
    <row r="54361" spans="18:18" s="2" customFormat="1" ht="12.75" x14ac:dyDescent="0.2">
      <c r="R54361" s="1288"/>
    </row>
    <row r="54362" spans="18:18" s="2" customFormat="1" ht="12.75" x14ac:dyDescent="0.2">
      <c r="R54362" s="1288"/>
    </row>
    <row r="54363" spans="18:18" s="2" customFormat="1" ht="12.75" x14ac:dyDescent="0.2">
      <c r="R54363" s="1288"/>
    </row>
    <row r="54364" spans="18:18" s="2" customFormat="1" ht="12.75" x14ac:dyDescent="0.2">
      <c r="R54364" s="1288"/>
    </row>
    <row r="54365" spans="18:18" s="2" customFormat="1" ht="12.75" x14ac:dyDescent="0.2">
      <c r="R54365" s="1288"/>
    </row>
    <row r="54366" spans="18:18" s="2" customFormat="1" ht="12.75" x14ac:dyDescent="0.2">
      <c r="R54366" s="1288"/>
    </row>
    <row r="54367" spans="18:18" s="2" customFormat="1" ht="12.75" x14ac:dyDescent="0.2">
      <c r="R54367" s="1288"/>
    </row>
    <row r="54368" spans="18:18" s="2" customFormat="1" ht="12.75" x14ac:dyDescent="0.2">
      <c r="R54368" s="1288"/>
    </row>
    <row r="54369" spans="18:18" s="2" customFormat="1" ht="12.75" x14ac:dyDescent="0.2">
      <c r="R54369" s="1288"/>
    </row>
    <row r="54370" spans="18:18" s="2" customFormat="1" ht="12.75" x14ac:dyDescent="0.2">
      <c r="R54370" s="1288"/>
    </row>
    <row r="54371" spans="18:18" s="2" customFormat="1" ht="12.75" x14ac:dyDescent="0.2">
      <c r="R54371" s="1288"/>
    </row>
    <row r="54372" spans="18:18" s="2" customFormat="1" ht="12.75" x14ac:dyDescent="0.2">
      <c r="R54372" s="1288"/>
    </row>
    <row r="54373" spans="18:18" s="2" customFormat="1" ht="12.75" x14ac:dyDescent="0.2">
      <c r="R54373" s="1288"/>
    </row>
    <row r="54374" spans="18:18" s="2" customFormat="1" ht="12.75" x14ac:dyDescent="0.2">
      <c r="R54374" s="1288"/>
    </row>
    <row r="54375" spans="18:18" s="2" customFormat="1" ht="12.75" x14ac:dyDescent="0.2">
      <c r="R54375" s="1288"/>
    </row>
    <row r="54376" spans="18:18" s="2" customFormat="1" ht="12.75" x14ac:dyDescent="0.2">
      <c r="R54376" s="1288"/>
    </row>
    <row r="54377" spans="18:18" s="2" customFormat="1" ht="12.75" x14ac:dyDescent="0.2">
      <c r="R54377" s="1288"/>
    </row>
    <row r="54378" spans="18:18" s="2" customFormat="1" ht="12.75" x14ac:dyDescent="0.2">
      <c r="R54378" s="1288"/>
    </row>
    <row r="54379" spans="18:18" s="2" customFormat="1" ht="12.75" x14ac:dyDescent="0.2">
      <c r="R54379" s="1288"/>
    </row>
    <row r="54380" spans="18:18" s="2" customFormat="1" ht="12.75" x14ac:dyDescent="0.2">
      <c r="R54380" s="1288"/>
    </row>
    <row r="54381" spans="18:18" s="2" customFormat="1" ht="12.75" x14ac:dyDescent="0.2">
      <c r="R54381" s="1288"/>
    </row>
    <row r="54382" spans="18:18" s="2" customFormat="1" ht="12.75" x14ac:dyDescent="0.2">
      <c r="R54382" s="1288"/>
    </row>
    <row r="54383" spans="18:18" s="2" customFormat="1" ht="12.75" x14ac:dyDescent="0.2">
      <c r="R54383" s="1288"/>
    </row>
    <row r="54384" spans="18:18" s="2" customFormat="1" ht="12.75" x14ac:dyDescent="0.2">
      <c r="R54384" s="1288"/>
    </row>
    <row r="54385" spans="18:18" s="2" customFormat="1" ht="12.75" x14ac:dyDescent="0.2">
      <c r="R54385" s="1288"/>
    </row>
    <row r="54386" spans="18:18" s="2" customFormat="1" ht="12.75" x14ac:dyDescent="0.2">
      <c r="R54386" s="1288"/>
    </row>
    <row r="54387" spans="18:18" s="2" customFormat="1" ht="12.75" x14ac:dyDescent="0.2">
      <c r="R54387" s="1288"/>
    </row>
    <row r="54388" spans="18:18" s="2" customFormat="1" ht="12.75" x14ac:dyDescent="0.2">
      <c r="R54388" s="1288"/>
    </row>
    <row r="54389" spans="18:18" s="2" customFormat="1" ht="12.75" x14ac:dyDescent="0.2">
      <c r="R54389" s="1288"/>
    </row>
    <row r="54390" spans="18:18" s="2" customFormat="1" ht="12.75" x14ac:dyDescent="0.2">
      <c r="R54390" s="1288"/>
    </row>
    <row r="54391" spans="18:18" s="2" customFormat="1" ht="12.75" x14ac:dyDescent="0.2">
      <c r="R54391" s="1288"/>
    </row>
    <row r="54392" spans="18:18" s="2" customFormat="1" ht="12.75" x14ac:dyDescent="0.2">
      <c r="R54392" s="1288"/>
    </row>
    <row r="54393" spans="18:18" s="2" customFormat="1" ht="12.75" x14ac:dyDescent="0.2">
      <c r="R54393" s="1288"/>
    </row>
    <row r="54394" spans="18:18" s="2" customFormat="1" ht="12.75" x14ac:dyDescent="0.2">
      <c r="R54394" s="1288"/>
    </row>
    <row r="54395" spans="18:18" s="2" customFormat="1" ht="12.75" x14ac:dyDescent="0.2">
      <c r="R54395" s="1288"/>
    </row>
    <row r="54396" spans="18:18" s="2" customFormat="1" ht="12.75" x14ac:dyDescent="0.2">
      <c r="R54396" s="1288"/>
    </row>
    <row r="54397" spans="18:18" s="2" customFormat="1" ht="12.75" x14ac:dyDescent="0.2">
      <c r="R54397" s="1288"/>
    </row>
    <row r="54398" spans="18:18" s="2" customFormat="1" ht="12.75" x14ac:dyDescent="0.2">
      <c r="R54398" s="1288"/>
    </row>
    <row r="54399" spans="18:18" s="2" customFormat="1" ht="12.75" x14ac:dyDescent="0.2">
      <c r="R54399" s="1288"/>
    </row>
    <row r="54400" spans="18:18" s="2" customFormat="1" ht="12.75" x14ac:dyDescent="0.2">
      <c r="R54400" s="1288"/>
    </row>
    <row r="54401" spans="18:18" s="2" customFormat="1" ht="12.75" x14ac:dyDescent="0.2">
      <c r="R54401" s="1288"/>
    </row>
    <row r="54402" spans="18:18" s="2" customFormat="1" ht="12.75" x14ac:dyDescent="0.2">
      <c r="R54402" s="1288"/>
    </row>
    <row r="54403" spans="18:18" s="2" customFormat="1" ht="12.75" x14ac:dyDescent="0.2">
      <c r="R54403" s="1288"/>
    </row>
    <row r="54404" spans="18:18" s="2" customFormat="1" ht="12.75" x14ac:dyDescent="0.2">
      <c r="R54404" s="1288"/>
    </row>
    <row r="54405" spans="18:18" s="2" customFormat="1" ht="12.75" x14ac:dyDescent="0.2">
      <c r="R54405" s="1288"/>
    </row>
    <row r="54406" spans="18:18" s="2" customFormat="1" ht="12.75" x14ac:dyDescent="0.2">
      <c r="R54406" s="1288"/>
    </row>
    <row r="54407" spans="18:18" s="2" customFormat="1" ht="12.75" x14ac:dyDescent="0.2">
      <c r="R54407" s="1288"/>
    </row>
    <row r="54408" spans="18:18" s="2" customFormat="1" ht="12.75" x14ac:dyDescent="0.2">
      <c r="R54408" s="1288"/>
    </row>
    <row r="54409" spans="18:18" s="2" customFormat="1" ht="12.75" x14ac:dyDescent="0.2">
      <c r="R54409" s="1288"/>
    </row>
    <row r="54410" spans="18:18" s="2" customFormat="1" ht="12.75" x14ac:dyDescent="0.2">
      <c r="R54410" s="1288"/>
    </row>
    <row r="54411" spans="18:18" s="2" customFormat="1" ht="12.75" x14ac:dyDescent="0.2">
      <c r="R54411" s="1288"/>
    </row>
    <row r="54412" spans="18:18" s="2" customFormat="1" ht="12.75" x14ac:dyDescent="0.2">
      <c r="R54412" s="1288"/>
    </row>
    <row r="54413" spans="18:18" s="2" customFormat="1" ht="12.75" x14ac:dyDescent="0.2">
      <c r="R54413" s="1288"/>
    </row>
    <row r="54414" spans="18:18" s="2" customFormat="1" ht="12.75" x14ac:dyDescent="0.2">
      <c r="R54414" s="1288"/>
    </row>
    <row r="54415" spans="18:18" s="2" customFormat="1" ht="12.75" x14ac:dyDescent="0.2">
      <c r="R54415" s="1288"/>
    </row>
    <row r="54416" spans="18:18" s="2" customFormat="1" ht="12.75" x14ac:dyDescent="0.2">
      <c r="R54416" s="1288"/>
    </row>
    <row r="54417" spans="18:18" s="2" customFormat="1" ht="12.75" x14ac:dyDescent="0.2">
      <c r="R54417" s="1288"/>
    </row>
    <row r="54418" spans="18:18" s="2" customFormat="1" ht="12.75" x14ac:dyDescent="0.2">
      <c r="R54418" s="1288"/>
    </row>
    <row r="54419" spans="18:18" s="2" customFormat="1" ht="12.75" x14ac:dyDescent="0.2">
      <c r="R54419" s="1288"/>
    </row>
    <row r="54420" spans="18:18" s="2" customFormat="1" ht="12.75" x14ac:dyDescent="0.2">
      <c r="R54420" s="1288"/>
    </row>
    <row r="54421" spans="18:18" s="2" customFormat="1" ht="12.75" x14ac:dyDescent="0.2">
      <c r="R54421" s="1288"/>
    </row>
    <row r="54422" spans="18:18" s="2" customFormat="1" ht="12.75" x14ac:dyDescent="0.2">
      <c r="R54422" s="1288"/>
    </row>
    <row r="54423" spans="18:18" s="2" customFormat="1" ht="12.75" x14ac:dyDescent="0.2">
      <c r="R54423" s="1288"/>
    </row>
    <row r="54424" spans="18:18" s="2" customFormat="1" ht="12.75" x14ac:dyDescent="0.2">
      <c r="R54424" s="1288"/>
    </row>
    <row r="54425" spans="18:18" s="2" customFormat="1" ht="12.75" x14ac:dyDescent="0.2">
      <c r="R54425" s="1288"/>
    </row>
    <row r="54426" spans="18:18" s="2" customFormat="1" ht="12.75" x14ac:dyDescent="0.2">
      <c r="R54426" s="1288"/>
    </row>
    <row r="54427" spans="18:18" s="2" customFormat="1" ht="12.75" x14ac:dyDescent="0.2">
      <c r="R54427" s="1288"/>
    </row>
    <row r="54428" spans="18:18" s="2" customFormat="1" ht="12.75" x14ac:dyDescent="0.2">
      <c r="R54428" s="1288"/>
    </row>
    <row r="54429" spans="18:18" s="2" customFormat="1" ht="12.75" x14ac:dyDescent="0.2">
      <c r="R54429" s="1288"/>
    </row>
    <row r="54430" spans="18:18" s="2" customFormat="1" ht="12.75" x14ac:dyDescent="0.2">
      <c r="R54430" s="1288"/>
    </row>
    <row r="54431" spans="18:18" s="2" customFormat="1" ht="12.75" x14ac:dyDescent="0.2">
      <c r="R54431" s="1288"/>
    </row>
    <row r="54432" spans="18:18" s="2" customFormat="1" ht="12.75" x14ac:dyDescent="0.2">
      <c r="R54432" s="1288"/>
    </row>
    <row r="54433" spans="18:18" s="2" customFormat="1" ht="12.75" x14ac:dyDescent="0.2">
      <c r="R54433" s="1288"/>
    </row>
    <row r="54434" spans="18:18" s="2" customFormat="1" ht="12.75" x14ac:dyDescent="0.2">
      <c r="R54434" s="1288"/>
    </row>
    <row r="54435" spans="18:18" s="2" customFormat="1" ht="12.75" x14ac:dyDescent="0.2">
      <c r="R54435" s="1288"/>
    </row>
    <row r="54436" spans="18:18" s="2" customFormat="1" ht="12.75" x14ac:dyDescent="0.2">
      <c r="R54436" s="1288"/>
    </row>
    <row r="54437" spans="18:18" s="2" customFormat="1" ht="12.75" x14ac:dyDescent="0.2">
      <c r="R54437" s="1288"/>
    </row>
    <row r="54438" spans="18:18" s="2" customFormat="1" ht="12.75" x14ac:dyDescent="0.2">
      <c r="R54438" s="1288"/>
    </row>
    <row r="54439" spans="18:18" s="2" customFormat="1" ht="12.75" x14ac:dyDescent="0.2">
      <c r="R54439" s="1288"/>
    </row>
    <row r="54440" spans="18:18" s="2" customFormat="1" ht="12.75" x14ac:dyDescent="0.2">
      <c r="R54440" s="1288"/>
    </row>
    <row r="54441" spans="18:18" s="2" customFormat="1" ht="12.75" x14ac:dyDescent="0.2">
      <c r="R54441" s="1288"/>
    </row>
    <row r="54442" spans="18:18" s="2" customFormat="1" ht="12.75" x14ac:dyDescent="0.2">
      <c r="R54442" s="1288"/>
    </row>
    <row r="54443" spans="18:18" s="2" customFormat="1" ht="12.75" x14ac:dyDescent="0.2">
      <c r="R54443" s="1288"/>
    </row>
    <row r="54444" spans="18:18" s="2" customFormat="1" ht="12.75" x14ac:dyDescent="0.2">
      <c r="R54444" s="1288"/>
    </row>
    <row r="54445" spans="18:18" s="2" customFormat="1" ht="12.75" x14ac:dyDescent="0.2">
      <c r="R54445" s="1288"/>
    </row>
    <row r="54446" spans="18:18" s="2" customFormat="1" ht="12.75" x14ac:dyDescent="0.2">
      <c r="R54446" s="1288"/>
    </row>
    <row r="54447" spans="18:18" s="2" customFormat="1" ht="12.75" x14ac:dyDescent="0.2">
      <c r="R54447" s="1288"/>
    </row>
    <row r="54448" spans="18:18" s="2" customFormat="1" ht="12.75" x14ac:dyDescent="0.2">
      <c r="R54448" s="1288"/>
    </row>
    <row r="54449" spans="18:18" s="2" customFormat="1" ht="12.75" x14ac:dyDescent="0.2">
      <c r="R54449" s="1288"/>
    </row>
    <row r="54450" spans="18:18" s="2" customFormat="1" ht="12.75" x14ac:dyDescent="0.2">
      <c r="R54450" s="1288"/>
    </row>
    <row r="54451" spans="18:18" s="2" customFormat="1" ht="12.75" x14ac:dyDescent="0.2">
      <c r="R54451" s="1288"/>
    </row>
    <row r="54452" spans="18:18" s="2" customFormat="1" ht="12.75" x14ac:dyDescent="0.2">
      <c r="R54452" s="1288"/>
    </row>
    <row r="54453" spans="18:18" s="2" customFormat="1" ht="12.75" x14ac:dyDescent="0.2">
      <c r="R54453" s="1288"/>
    </row>
    <row r="54454" spans="18:18" s="2" customFormat="1" ht="12.75" x14ac:dyDescent="0.2">
      <c r="R54454" s="1288"/>
    </row>
    <row r="54455" spans="18:18" s="2" customFormat="1" ht="12.75" x14ac:dyDescent="0.2">
      <c r="R54455" s="1288"/>
    </row>
    <row r="54456" spans="18:18" s="2" customFormat="1" ht="12.75" x14ac:dyDescent="0.2">
      <c r="R54456" s="1288"/>
    </row>
    <row r="54457" spans="18:18" s="2" customFormat="1" ht="12.75" x14ac:dyDescent="0.2">
      <c r="R54457" s="1288"/>
    </row>
    <row r="54458" spans="18:18" s="2" customFormat="1" ht="12.75" x14ac:dyDescent="0.2">
      <c r="R54458" s="1288"/>
    </row>
    <row r="54459" spans="18:18" s="2" customFormat="1" ht="12.75" x14ac:dyDescent="0.2">
      <c r="R54459" s="1288"/>
    </row>
    <row r="54460" spans="18:18" s="2" customFormat="1" ht="12.75" x14ac:dyDescent="0.2">
      <c r="R54460" s="1288"/>
    </row>
    <row r="54461" spans="18:18" s="2" customFormat="1" ht="12.75" x14ac:dyDescent="0.2">
      <c r="R54461" s="1288"/>
    </row>
    <row r="54462" spans="18:18" s="2" customFormat="1" ht="12.75" x14ac:dyDescent="0.2">
      <c r="R54462" s="1288"/>
    </row>
    <row r="54463" spans="18:18" s="2" customFormat="1" ht="12.75" x14ac:dyDescent="0.2">
      <c r="R54463" s="1288"/>
    </row>
    <row r="54464" spans="18:18" s="2" customFormat="1" ht="12.75" x14ac:dyDescent="0.2">
      <c r="R54464" s="1288"/>
    </row>
    <row r="54465" spans="18:18" s="2" customFormat="1" ht="12.75" x14ac:dyDescent="0.2">
      <c r="R54465" s="1288"/>
    </row>
    <row r="54466" spans="18:18" s="2" customFormat="1" ht="12.75" x14ac:dyDescent="0.2">
      <c r="R54466" s="1288"/>
    </row>
    <row r="54467" spans="18:18" s="2" customFormat="1" ht="12.75" x14ac:dyDescent="0.2">
      <c r="R54467" s="1288"/>
    </row>
    <row r="54468" spans="18:18" s="2" customFormat="1" ht="12.75" x14ac:dyDescent="0.2">
      <c r="R54468" s="1288"/>
    </row>
    <row r="54469" spans="18:18" s="2" customFormat="1" ht="12.75" x14ac:dyDescent="0.2">
      <c r="R54469" s="1288"/>
    </row>
    <row r="54470" spans="18:18" s="2" customFormat="1" ht="12.75" x14ac:dyDescent="0.2">
      <c r="R54470" s="1288"/>
    </row>
    <row r="54471" spans="18:18" s="2" customFormat="1" ht="12.75" x14ac:dyDescent="0.2">
      <c r="R54471" s="1288"/>
    </row>
    <row r="54472" spans="18:18" s="2" customFormat="1" ht="12.75" x14ac:dyDescent="0.2">
      <c r="R54472" s="1288"/>
    </row>
    <row r="54473" spans="18:18" s="2" customFormat="1" ht="12.75" x14ac:dyDescent="0.2">
      <c r="R54473" s="1288"/>
    </row>
    <row r="54474" spans="18:18" s="2" customFormat="1" ht="12.75" x14ac:dyDescent="0.2">
      <c r="R54474" s="1288"/>
    </row>
    <row r="54475" spans="18:18" s="2" customFormat="1" ht="12.75" x14ac:dyDescent="0.2">
      <c r="R54475" s="1288"/>
    </row>
    <row r="54476" spans="18:18" s="2" customFormat="1" ht="12.75" x14ac:dyDescent="0.2">
      <c r="R54476" s="1288"/>
    </row>
    <row r="54477" spans="18:18" s="2" customFormat="1" ht="12.75" x14ac:dyDescent="0.2">
      <c r="R54477" s="1288"/>
    </row>
    <row r="54478" spans="18:18" s="2" customFormat="1" ht="12.75" x14ac:dyDescent="0.2">
      <c r="R54478" s="1288"/>
    </row>
    <row r="54479" spans="18:18" s="2" customFormat="1" ht="12.75" x14ac:dyDescent="0.2">
      <c r="R54479" s="1288"/>
    </row>
    <row r="54480" spans="18:18" s="2" customFormat="1" ht="12.75" x14ac:dyDescent="0.2">
      <c r="R54480" s="1288"/>
    </row>
    <row r="54481" spans="18:18" s="2" customFormat="1" ht="12.75" x14ac:dyDescent="0.2">
      <c r="R54481" s="1288"/>
    </row>
    <row r="54482" spans="18:18" s="2" customFormat="1" ht="12.75" x14ac:dyDescent="0.2">
      <c r="R54482" s="1288"/>
    </row>
    <row r="54483" spans="18:18" s="2" customFormat="1" ht="12.75" x14ac:dyDescent="0.2">
      <c r="R54483" s="1288"/>
    </row>
    <row r="54484" spans="18:18" s="2" customFormat="1" ht="12.75" x14ac:dyDescent="0.2">
      <c r="R54484" s="1288"/>
    </row>
    <row r="54485" spans="18:18" s="2" customFormat="1" ht="12.75" x14ac:dyDescent="0.2">
      <c r="R54485" s="1288"/>
    </row>
    <row r="54486" spans="18:18" s="2" customFormat="1" ht="12.75" x14ac:dyDescent="0.2">
      <c r="R54486" s="1288"/>
    </row>
    <row r="54487" spans="18:18" s="2" customFormat="1" ht="12.75" x14ac:dyDescent="0.2">
      <c r="R54487" s="1288"/>
    </row>
    <row r="54488" spans="18:18" s="2" customFormat="1" ht="12.75" x14ac:dyDescent="0.2">
      <c r="R54488" s="1288"/>
    </row>
    <row r="54489" spans="18:18" s="2" customFormat="1" ht="12.75" x14ac:dyDescent="0.2">
      <c r="R54489" s="1288"/>
    </row>
    <row r="54490" spans="18:18" s="2" customFormat="1" ht="12.75" x14ac:dyDescent="0.2">
      <c r="R54490" s="1288"/>
    </row>
    <row r="54491" spans="18:18" s="2" customFormat="1" ht="12.75" x14ac:dyDescent="0.2">
      <c r="R54491" s="1288"/>
    </row>
    <row r="54492" spans="18:18" s="2" customFormat="1" ht="12.75" x14ac:dyDescent="0.2">
      <c r="R54492" s="1288"/>
    </row>
    <row r="54493" spans="18:18" s="2" customFormat="1" ht="12.75" x14ac:dyDescent="0.2">
      <c r="R54493" s="1288"/>
    </row>
    <row r="54494" spans="18:18" s="2" customFormat="1" ht="12.75" x14ac:dyDescent="0.2">
      <c r="R54494" s="1288"/>
    </row>
    <row r="54495" spans="18:18" s="2" customFormat="1" ht="12.75" x14ac:dyDescent="0.2">
      <c r="R54495" s="1288"/>
    </row>
    <row r="54496" spans="18:18" s="2" customFormat="1" ht="12.75" x14ac:dyDescent="0.2">
      <c r="R54496" s="1288"/>
    </row>
    <row r="54497" spans="18:18" s="2" customFormat="1" ht="12.75" x14ac:dyDescent="0.2">
      <c r="R54497" s="1288"/>
    </row>
    <row r="54498" spans="18:18" s="2" customFormat="1" ht="12.75" x14ac:dyDescent="0.2">
      <c r="R54498" s="1288"/>
    </row>
    <row r="54499" spans="18:18" s="2" customFormat="1" ht="12.75" x14ac:dyDescent="0.2">
      <c r="R54499" s="1288"/>
    </row>
    <row r="54500" spans="18:18" s="2" customFormat="1" ht="12.75" x14ac:dyDescent="0.2">
      <c r="R54500" s="1288"/>
    </row>
    <row r="54501" spans="18:18" s="2" customFormat="1" ht="12.75" x14ac:dyDescent="0.2">
      <c r="R54501" s="1288"/>
    </row>
    <row r="54502" spans="18:18" s="2" customFormat="1" ht="12.75" x14ac:dyDescent="0.2">
      <c r="R54502" s="1288"/>
    </row>
    <row r="54503" spans="18:18" s="2" customFormat="1" ht="12.75" x14ac:dyDescent="0.2">
      <c r="R54503" s="1288"/>
    </row>
    <row r="54504" spans="18:18" s="2" customFormat="1" ht="12.75" x14ac:dyDescent="0.2">
      <c r="R54504" s="1288"/>
    </row>
    <row r="54505" spans="18:18" s="2" customFormat="1" ht="12.75" x14ac:dyDescent="0.2">
      <c r="R54505" s="1288"/>
    </row>
    <row r="54506" spans="18:18" s="2" customFormat="1" ht="12.75" x14ac:dyDescent="0.2">
      <c r="R54506" s="1288"/>
    </row>
    <row r="54507" spans="18:18" s="2" customFormat="1" ht="12.75" x14ac:dyDescent="0.2">
      <c r="R54507" s="1288"/>
    </row>
    <row r="54508" spans="18:18" s="2" customFormat="1" ht="12.75" x14ac:dyDescent="0.2">
      <c r="R54508" s="1288"/>
    </row>
    <row r="54509" spans="18:18" s="2" customFormat="1" ht="12.75" x14ac:dyDescent="0.2">
      <c r="R54509" s="1288"/>
    </row>
    <row r="54510" spans="18:18" s="2" customFormat="1" ht="12.75" x14ac:dyDescent="0.2">
      <c r="R54510" s="1288"/>
    </row>
    <row r="54511" spans="18:18" s="2" customFormat="1" ht="12.75" x14ac:dyDescent="0.2">
      <c r="R54511" s="1288"/>
    </row>
    <row r="54512" spans="18:18" s="2" customFormat="1" ht="12.75" x14ac:dyDescent="0.2">
      <c r="R54512" s="1288"/>
    </row>
    <row r="54513" spans="18:18" s="2" customFormat="1" ht="12.75" x14ac:dyDescent="0.2">
      <c r="R54513" s="1288"/>
    </row>
    <row r="54514" spans="18:18" s="2" customFormat="1" ht="12.75" x14ac:dyDescent="0.2">
      <c r="R54514" s="1288"/>
    </row>
    <row r="54515" spans="18:18" s="2" customFormat="1" ht="12.75" x14ac:dyDescent="0.2">
      <c r="R54515" s="1288"/>
    </row>
    <row r="54516" spans="18:18" s="2" customFormat="1" ht="12.75" x14ac:dyDescent="0.2">
      <c r="R54516" s="1288"/>
    </row>
    <row r="54517" spans="18:18" s="2" customFormat="1" ht="12.75" x14ac:dyDescent="0.2">
      <c r="R54517" s="1288"/>
    </row>
    <row r="54518" spans="18:18" s="2" customFormat="1" ht="12.75" x14ac:dyDescent="0.2">
      <c r="R54518" s="1288"/>
    </row>
    <row r="54519" spans="18:18" s="2" customFormat="1" ht="12.75" x14ac:dyDescent="0.2">
      <c r="R54519" s="1288"/>
    </row>
    <row r="54520" spans="18:18" s="2" customFormat="1" ht="12.75" x14ac:dyDescent="0.2">
      <c r="R54520" s="1288"/>
    </row>
    <row r="54521" spans="18:18" s="2" customFormat="1" ht="12.75" x14ac:dyDescent="0.2">
      <c r="R54521" s="1288"/>
    </row>
    <row r="54522" spans="18:18" s="2" customFormat="1" ht="12.75" x14ac:dyDescent="0.2">
      <c r="R54522" s="1288"/>
    </row>
    <row r="54523" spans="18:18" s="2" customFormat="1" ht="12.75" x14ac:dyDescent="0.2">
      <c r="R54523" s="1288"/>
    </row>
    <row r="54524" spans="18:18" s="2" customFormat="1" ht="12.75" x14ac:dyDescent="0.2">
      <c r="R54524" s="1288"/>
    </row>
    <row r="54525" spans="18:18" s="2" customFormat="1" ht="12.75" x14ac:dyDescent="0.2">
      <c r="R54525" s="1288"/>
    </row>
    <row r="54526" spans="18:18" s="2" customFormat="1" ht="12.75" x14ac:dyDescent="0.2">
      <c r="R54526" s="1288"/>
    </row>
    <row r="54527" spans="18:18" s="2" customFormat="1" ht="12.75" x14ac:dyDescent="0.2">
      <c r="R54527" s="1288"/>
    </row>
    <row r="54528" spans="18:18" s="2" customFormat="1" ht="12.75" x14ac:dyDescent="0.2">
      <c r="R54528" s="1288"/>
    </row>
    <row r="54529" spans="18:18" s="2" customFormat="1" ht="12.75" x14ac:dyDescent="0.2">
      <c r="R54529" s="1288"/>
    </row>
    <row r="54530" spans="18:18" s="2" customFormat="1" ht="12.75" x14ac:dyDescent="0.2">
      <c r="R54530" s="1288"/>
    </row>
    <row r="54531" spans="18:18" s="2" customFormat="1" ht="12.75" x14ac:dyDescent="0.2">
      <c r="R54531" s="1288"/>
    </row>
    <row r="54532" spans="18:18" s="2" customFormat="1" ht="12.75" x14ac:dyDescent="0.2">
      <c r="R54532" s="1288"/>
    </row>
    <row r="54533" spans="18:18" s="2" customFormat="1" ht="12.75" x14ac:dyDescent="0.2">
      <c r="R54533" s="1288"/>
    </row>
    <row r="54534" spans="18:18" s="2" customFormat="1" ht="12.75" x14ac:dyDescent="0.2">
      <c r="R54534" s="1288"/>
    </row>
    <row r="54535" spans="18:18" s="2" customFormat="1" ht="12.75" x14ac:dyDescent="0.2">
      <c r="R54535" s="1288"/>
    </row>
    <row r="54536" spans="18:18" s="2" customFormat="1" ht="12.75" x14ac:dyDescent="0.2">
      <c r="R54536" s="1288"/>
    </row>
    <row r="54537" spans="18:18" s="2" customFormat="1" ht="12.75" x14ac:dyDescent="0.2">
      <c r="R54537" s="1288"/>
    </row>
    <row r="54538" spans="18:18" s="2" customFormat="1" ht="12.75" x14ac:dyDescent="0.2">
      <c r="R54538" s="1288"/>
    </row>
    <row r="54539" spans="18:18" s="2" customFormat="1" ht="12.75" x14ac:dyDescent="0.2">
      <c r="R54539" s="1288"/>
    </row>
    <row r="54540" spans="18:18" s="2" customFormat="1" ht="12.75" x14ac:dyDescent="0.2">
      <c r="R54540" s="1288"/>
    </row>
    <row r="54541" spans="18:18" s="2" customFormat="1" ht="12.75" x14ac:dyDescent="0.2">
      <c r="R54541" s="1288"/>
    </row>
    <row r="54542" spans="18:18" s="2" customFormat="1" ht="12.75" x14ac:dyDescent="0.2">
      <c r="R54542" s="1288"/>
    </row>
    <row r="54543" spans="18:18" s="2" customFormat="1" ht="12.75" x14ac:dyDescent="0.2">
      <c r="R54543" s="1288"/>
    </row>
    <row r="54544" spans="18:18" s="2" customFormat="1" ht="12.75" x14ac:dyDescent="0.2">
      <c r="R54544" s="1288"/>
    </row>
    <row r="54545" spans="18:18" s="2" customFormat="1" ht="12.75" x14ac:dyDescent="0.2">
      <c r="R54545" s="1288"/>
    </row>
    <row r="54546" spans="18:18" s="2" customFormat="1" ht="12.75" x14ac:dyDescent="0.2">
      <c r="R54546" s="1288"/>
    </row>
    <row r="54547" spans="18:18" s="2" customFormat="1" ht="12.75" x14ac:dyDescent="0.2">
      <c r="R54547" s="1288"/>
    </row>
    <row r="54548" spans="18:18" s="2" customFormat="1" ht="12.75" x14ac:dyDescent="0.2">
      <c r="R54548" s="1288"/>
    </row>
    <row r="54549" spans="18:18" s="2" customFormat="1" ht="12.75" x14ac:dyDescent="0.2">
      <c r="R54549" s="1288"/>
    </row>
    <row r="54550" spans="18:18" s="2" customFormat="1" ht="12.75" x14ac:dyDescent="0.2">
      <c r="R54550" s="1288"/>
    </row>
    <row r="54551" spans="18:18" s="2" customFormat="1" ht="12.75" x14ac:dyDescent="0.2">
      <c r="R54551" s="1288"/>
    </row>
    <row r="54552" spans="18:18" s="2" customFormat="1" ht="12.75" x14ac:dyDescent="0.2">
      <c r="R54552" s="1288"/>
    </row>
    <row r="54553" spans="18:18" s="2" customFormat="1" ht="12.75" x14ac:dyDescent="0.2">
      <c r="R54553" s="1288"/>
    </row>
    <row r="54554" spans="18:18" s="2" customFormat="1" ht="12.75" x14ac:dyDescent="0.2">
      <c r="R54554" s="1288"/>
    </row>
    <row r="54555" spans="18:18" s="2" customFormat="1" ht="12.75" x14ac:dyDescent="0.2">
      <c r="R54555" s="1288"/>
    </row>
    <row r="54556" spans="18:18" s="2" customFormat="1" ht="12.75" x14ac:dyDescent="0.2">
      <c r="R54556" s="1288"/>
    </row>
    <row r="54557" spans="18:18" s="2" customFormat="1" ht="12.75" x14ac:dyDescent="0.2">
      <c r="R54557" s="1288"/>
    </row>
    <row r="54558" spans="18:18" s="2" customFormat="1" ht="12.75" x14ac:dyDescent="0.2">
      <c r="R54558" s="1288"/>
    </row>
    <row r="54559" spans="18:18" s="2" customFormat="1" ht="12.75" x14ac:dyDescent="0.2">
      <c r="R54559" s="1288"/>
    </row>
    <row r="54560" spans="18:18" s="2" customFormat="1" ht="12.75" x14ac:dyDescent="0.2">
      <c r="R54560" s="1288"/>
    </row>
    <row r="54561" spans="18:18" s="2" customFormat="1" ht="12.75" x14ac:dyDescent="0.2">
      <c r="R54561" s="1288"/>
    </row>
    <row r="54562" spans="18:18" s="2" customFormat="1" ht="12.75" x14ac:dyDescent="0.2">
      <c r="R54562" s="1288"/>
    </row>
    <row r="54563" spans="18:18" s="2" customFormat="1" ht="12.75" x14ac:dyDescent="0.2">
      <c r="R54563" s="1288"/>
    </row>
    <row r="54564" spans="18:18" s="2" customFormat="1" ht="12.75" x14ac:dyDescent="0.2">
      <c r="R54564" s="1288"/>
    </row>
    <row r="54565" spans="18:18" s="2" customFormat="1" ht="12.75" x14ac:dyDescent="0.2">
      <c r="R54565" s="1288"/>
    </row>
    <row r="54566" spans="18:18" s="2" customFormat="1" ht="12.75" x14ac:dyDescent="0.2">
      <c r="R54566" s="1288"/>
    </row>
    <row r="54567" spans="18:18" s="2" customFormat="1" ht="12.75" x14ac:dyDescent="0.2">
      <c r="R54567" s="1288"/>
    </row>
    <row r="54568" spans="18:18" s="2" customFormat="1" ht="12.75" x14ac:dyDescent="0.2">
      <c r="R54568" s="1288"/>
    </row>
    <row r="54569" spans="18:18" s="2" customFormat="1" ht="12.75" x14ac:dyDescent="0.2">
      <c r="R54569" s="1288"/>
    </row>
    <row r="54570" spans="18:18" s="2" customFormat="1" ht="12.75" x14ac:dyDescent="0.2">
      <c r="R54570" s="1288"/>
    </row>
    <row r="54571" spans="18:18" s="2" customFormat="1" ht="12.75" x14ac:dyDescent="0.2">
      <c r="R54571" s="1288"/>
    </row>
    <row r="54572" spans="18:18" s="2" customFormat="1" ht="12.75" x14ac:dyDescent="0.2">
      <c r="R54572" s="1288"/>
    </row>
    <row r="54573" spans="18:18" s="2" customFormat="1" ht="12.75" x14ac:dyDescent="0.2">
      <c r="R54573" s="1288"/>
    </row>
    <row r="54574" spans="18:18" s="2" customFormat="1" ht="12.75" x14ac:dyDescent="0.2">
      <c r="R54574" s="1288"/>
    </row>
    <row r="54575" spans="18:18" s="2" customFormat="1" ht="12.75" x14ac:dyDescent="0.2">
      <c r="R54575" s="1288"/>
    </row>
    <row r="54576" spans="18:18" s="2" customFormat="1" ht="12.75" x14ac:dyDescent="0.2">
      <c r="R54576" s="1288"/>
    </row>
    <row r="54577" spans="18:18" s="2" customFormat="1" ht="12.75" x14ac:dyDescent="0.2">
      <c r="R54577" s="1288"/>
    </row>
    <row r="54578" spans="18:18" s="2" customFormat="1" ht="12.75" x14ac:dyDescent="0.2">
      <c r="R54578" s="1288"/>
    </row>
    <row r="54579" spans="18:18" s="2" customFormat="1" ht="12.75" x14ac:dyDescent="0.2">
      <c r="R54579" s="1288"/>
    </row>
    <row r="54580" spans="18:18" s="2" customFormat="1" ht="12.75" x14ac:dyDescent="0.2">
      <c r="R54580" s="1288"/>
    </row>
    <row r="54581" spans="18:18" s="2" customFormat="1" ht="12.75" x14ac:dyDescent="0.2">
      <c r="R54581" s="1288"/>
    </row>
    <row r="54582" spans="18:18" s="2" customFormat="1" ht="12.75" x14ac:dyDescent="0.2">
      <c r="R54582" s="1288"/>
    </row>
    <row r="54583" spans="18:18" s="2" customFormat="1" ht="12.75" x14ac:dyDescent="0.2">
      <c r="R54583" s="1288"/>
    </row>
    <row r="54584" spans="18:18" s="2" customFormat="1" ht="12.75" x14ac:dyDescent="0.2">
      <c r="R54584" s="1288"/>
    </row>
    <row r="54585" spans="18:18" s="2" customFormat="1" ht="12.75" x14ac:dyDescent="0.2">
      <c r="R54585" s="1288"/>
    </row>
    <row r="54586" spans="18:18" s="2" customFormat="1" ht="12.75" x14ac:dyDescent="0.2">
      <c r="R54586" s="1288"/>
    </row>
    <row r="54587" spans="18:18" s="2" customFormat="1" ht="12.75" x14ac:dyDescent="0.2">
      <c r="R54587" s="1288"/>
    </row>
    <row r="54588" spans="18:18" s="2" customFormat="1" ht="12.75" x14ac:dyDescent="0.2">
      <c r="R54588" s="1288"/>
    </row>
    <row r="54589" spans="18:18" s="2" customFormat="1" ht="12.75" x14ac:dyDescent="0.2">
      <c r="R54589" s="1288"/>
    </row>
    <row r="54590" spans="18:18" s="2" customFormat="1" ht="12.75" x14ac:dyDescent="0.2">
      <c r="R54590" s="1288"/>
    </row>
    <row r="54591" spans="18:18" s="2" customFormat="1" ht="12.75" x14ac:dyDescent="0.2">
      <c r="R54591" s="1288"/>
    </row>
    <row r="54592" spans="18:18" s="2" customFormat="1" ht="12.75" x14ac:dyDescent="0.2">
      <c r="R54592" s="1288"/>
    </row>
    <row r="54593" spans="18:18" s="2" customFormat="1" ht="12.75" x14ac:dyDescent="0.2">
      <c r="R54593" s="1288"/>
    </row>
    <row r="54594" spans="18:18" s="2" customFormat="1" ht="12.75" x14ac:dyDescent="0.2">
      <c r="R54594" s="1288"/>
    </row>
    <row r="54595" spans="18:18" s="2" customFormat="1" ht="12.75" x14ac:dyDescent="0.2">
      <c r="R54595" s="1288"/>
    </row>
    <row r="54596" spans="18:18" s="2" customFormat="1" ht="12.75" x14ac:dyDescent="0.2">
      <c r="R54596" s="1288"/>
    </row>
    <row r="54597" spans="18:18" s="2" customFormat="1" ht="12.75" x14ac:dyDescent="0.2">
      <c r="R54597" s="1288"/>
    </row>
    <row r="54598" spans="18:18" s="2" customFormat="1" ht="12.75" x14ac:dyDescent="0.2">
      <c r="R54598" s="1288"/>
    </row>
    <row r="54599" spans="18:18" s="2" customFormat="1" ht="12.75" x14ac:dyDescent="0.2">
      <c r="R54599" s="1288"/>
    </row>
    <row r="54600" spans="18:18" s="2" customFormat="1" ht="12.75" x14ac:dyDescent="0.2">
      <c r="R54600" s="1288"/>
    </row>
    <row r="54601" spans="18:18" s="2" customFormat="1" ht="12.75" x14ac:dyDescent="0.2">
      <c r="R54601" s="1288"/>
    </row>
    <row r="54602" spans="18:18" s="2" customFormat="1" ht="12.75" x14ac:dyDescent="0.2">
      <c r="R54602" s="1288"/>
    </row>
    <row r="54603" spans="18:18" s="2" customFormat="1" ht="12.75" x14ac:dyDescent="0.2">
      <c r="R54603" s="1288"/>
    </row>
    <row r="54604" spans="18:18" s="2" customFormat="1" ht="12.75" x14ac:dyDescent="0.2">
      <c r="R54604" s="1288"/>
    </row>
    <row r="54605" spans="18:18" s="2" customFormat="1" ht="12.75" x14ac:dyDescent="0.2">
      <c r="R54605" s="1288"/>
    </row>
    <row r="54606" spans="18:18" s="2" customFormat="1" ht="12.75" x14ac:dyDescent="0.2">
      <c r="R54606" s="1288"/>
    </row>
    <row r="54607" spans="18:18" s="2" customFormat="1" ht="12.75" x14ac:dyDescent="0.2">
      <c r="R54607" s="1288"/>
    </row>
    <row r="54608" spans="18:18" s="2" customFormat="1" ht="12.75" x14ac:dyDescent="0.2">
      <c r="R54608" s="1288"/>
    </row>
    <row r="54609" spans="18:18" s="2" customFormat="1" ht="12.75" x14ac:dyDescent="0.2">
      <c r="R54609" s="1288"/>
    </row>
    <row r="54610" spans="18:18" s="2" customFormat="1" ht="12.75" x14ac:dyDescent="0.2">
      <c r="R54610" s="1288"/>
    </row>
    <row r="54611" spans="18:18" s="2" customFormat="1" ht="12.75" x14ac:dyDescent="0.2">
      <c r="R54611" s="1288"/>
    </row>
    <row r="54612" spans="18:18" s="2" customFormat="1" ht="12.75" x14ac:dyDescent="0.2">
      <c r="R54612" s="1288"/>
    </row>
    <row r="54613" spans="18:18" s="2" customFormat="1" ht="12.75" x14ac:dyDescent="0.2">
      <c r="R54613" s="1288"/>
    </row>
    <row r="54614" spans="18:18" s="2" customFormat="1" ht="12.75" x14ac:dyDescent="0.2">
      <c r="R54614" s="1288"/>
    </row>
    <row r="54615" spans="18:18" s="2" customFormat="1" ht="12.75" x14ac:dyDescent="0.2">
      <c r="R54615" s="1288"/>
    </row>
    <row r="54616" spans="18:18" s="2" customFormat="1" ht="12.75" x14ac:dyDescent="0.2">
      <c r="R54616" s="1288"/>
    </row>
    <row r="54617" spans="18:18" s="2" customFormat="1" ht="12.75" x14ac:dyDescent="0.2">
      <c r="R54617" s="1288"/>
    </row>
    <row r="54618" spans="18:18" s="2" customFormat="1" ht="12.75" x14ac:dyDescent="0.2">
      <c r="R54618" s="1288"/>
    </row>
    <row r="54619" spans="18:18" s="2" customFormat="1" ht="12.75" x14ac:dyDescent="0.2">
      <c r="R54619" s="1288"/>
    </row>
    <row r="54620" spans="18:18" s="2" customFormat="1" ht="12.75" x14ac:dyDescent="0.2">
      <c r="R54620" s="1288"/>
    </row>
    <row r="54621" spans="18:18" s="2" customFormat="1" ht="12.75" x14ac:dyDescent="0.2">
      <c r="R54621" s="1288"/>
    </row>
    <row r="54622" spans="18:18" s="2" customFormat="1" ht="12.75" x14ac:dyDescent="0.2">
      <c r="R54622" s="1288"/>
    </row>
    <row r="54623" spans="18:18" s="2" customFormat="1" ht="12.75" x14ac:dyDescent="0.2">
      <c r="R54623" s="1288"/>
    </row>
    <row r="54624" spans="18:18" s="2" customFormat="1" ht="12.75" x14ac:dyDescent="0.2">
      <c r="R54624" s="1288"/>
    </row>
    <row r="54625" spans="18:18" s="2" customFormat="1" ht="12.75" x14ac:dyDescent="0.2">
      <c r="R54625" s="1288"/>
    </row>
    <row r="54626" spans="18:18" s="2" customFormat="1" ht="12.75" x14ac:dyDescent="0.2">
      <c r="R54626" s="1288"/>
    </row>
    <row r="54627" spans="18:18" s="2" customFormat="1" ht="12.75" x14ac:dyDescent="0.2">
      <c r="R54627" s="1288"/>
    </row>
    <row r="54628" spans="18:18" s="2" customFormat="1" ht="12.75" x14ac:dyDescent="0.2">
      <c r="R54628" s="1288"/>
    </row>
    <row r="54629" spans="18:18" s="2" customFormat="1" ht="12.75" x14ac:dyDescent="0.2">
      <c r="R54629" s="1288"/>
    </row>
    <row r="54630" spans="18:18" s="2" customFormat="1" ht="12.75" x14ac:dyDescent="0.2">
      <c r="R54630" s="1288"/>
    </row>
    <row r="54631" spans="18:18" s="2" customFormat="1" ht="12.75" x14ac:dyDescent="0.2">
      <c r="R54631" s="1288"/>
    </row>
    <row r="54632" spans="18:18" s="2" customFormat="1" ht="12.75" x14ac:dyDescent="0.2">
      <c r="R54632" s="1288"/>
    </row>
    <row r="54633" spans="18:18" s="2" customFormat="1" ht="12.75" x14ac:dyDescent="0.2">
      <c r="R54633" s="1288"/>
    </row>
    <row r="54634" spans="18:18" s="2" customFormat="1" ht="12.75" x14ac:dyDescent="0.2">
      <c r="R54634" s="1288"/>
    </row>
    <row r="54635" spans="18:18" s="2" customFormat="1" ht="12.75" x14ac:dyDescent="0.2">
      <c r="R54635" s="1288"/>
    </row>
    <row r="54636" spans="18:18" s="2" customFormat="1" ht="12.75" x14ac:dyDescent="0.2">
      <c r="R54636" s="1288"/>
    </row>
    <row r="54637" spans="18:18" s="2" customFormat="1" ht="12.75" x14ac:dyDescent="0.2">
      <c r="R54637" s="1288"/>
    </row>
    <row r="54638" spans="18:18" s="2" customFormat="1" ht="12.75" x14ac:dyDescent="0.2">
      <c r="R54638" s="1288"/>
    </row>
    <row r="54639" spans="18:18" s="2" customFormat="1" ht="12.75" x14ac:dyDescent="0.2">
      <c r="R54639" s="1288"/>
    </row>
    <row r="54640" spans="18:18" s="2" customFormat="1" ht="12.75" x14ac:dyDescent="0.2">
      <c r="R54640" s="1288"/>
    </row>
    <row r="54641" spans="18:18" s="2" customFormat="1" ht="12.75" x14ac:dyDescent="0.2">
      <c r="R54641" s="1288"/>
    </row>
    <row r="54642" spans="18:18" s="2" customFormat="1" ht="12.75" x14ac:dyDescent="0.2">
      <c r="R54642" s="1288"/>
    </row>
    <row r="54643" spans="18:18" s="2" customFormat="1" ht="12.75" x14ac:dyDescent="0.2">
      <c r="R54643" s="1288"/>
    </row>
    <row r="54644" spans="18:18" s="2" customFormat="1" ht="12.75" x14ac:dyDescent="0.2">
      <c r="R54644" s="1288"/>
    </row>
    <row r="54645" spans="18:18" s="2" customFormat="1" ht="12.75" x14ac:dyDescent="0.2">
      <c r="R54645" s="1288"/>
    </row>
    <row r="54646" spans="18:18" s="2" customFormat="1" ht="12.75" x14ac:dyDescent="0.2">
      <c r="R54646" s="1288"/>
    </row>
    <row r="54647" spans="18:18" s="2" customFormat="1" ht="12.75" x14ac:dyDescent="0.2">
      <c r="R54647" s="1288"/>
    </row>
    <row r="54648" spans="18:18" s="2" customFormat="1" ht="12.75" x14ac:dyDescent="0.2">
      <c r="R54648" s="1288"/>
    </row>
    <row r="54649" spans="18:18" s="2" customFormat="1" ht="12.75" x14ac:dyDescent="0.2">
      <c r="R54649" s="1288"/>
    </row>
    <row r="54650" spans="18:18" s="2" customFormat="1" ht="12.75" x14ac:dyDescent="0.2">
      <c r="R54650" s="1288"/>
    </row>
    <row r="54651" spans="18:18" s="2" customFormat="1" ht="12.75" x14ac:dyDescent="0.2">
      <c r="R54651" s="1288"/>
    </row>
    <row r="54652" spans="18:18" s="2" customFormat="1" ht="12.75" x14ac:dyDescent="0.2">
      <c r="R54652" s="1288"/>
    </row>
    <row r="54653" spans="18:18" s="2" customFormat="1" ht="12.75" x14ac:dyDescent="0.2">
      <c r="R54653" s="1288"/>
    </row>
    <row r="54654" spans="18:18" s="2" customFormat="1" ht="12.75" x14ac:dyDescent="0.2">
      <c r="R54654" s="1288"/>
    </row>
    <row r="54655" spans="18:18" s="2" customFormat="1" ht="12.75" x14ac:dyDescent="0.2">
      <c r="R54655" s="1288"/>
    </row>
    <row r="54656" spans="18:18" s="2" customFormat="1" ht="12.75" x14ac:dyDescent="0.2">
      <c r="R54656" s="1288"/>
    </row>
    <row r="54657" spans="18:18" s="2" customFormat="1" ht="12.75" x14ac:dyDescent="0.2">
      <c r="R54657" s="1288"/>
    </row>
    <row r="54658" spans="18:18" s="2" customFormat="1" ht="12.75" x14ac:dyDescent="0.2">
      <c r="R54658" s="1288"/>
    </row>
    <row r="54659" spans="18:18" s="2" customFormat="1" ht="12.75" x14ac:dyDescent="0.2">
      <c r="R54659" s="1288"/>
    </row>
    <row r="54660" spans="18:18" s="2" customFormat="1" ht="12.75" x14ac:dyDescent="0.2">
      <c r="R54660" s="1288"/>
    </row>
    <row r="54661" spans="18:18" s="2" customFormat="1" ht="12.75" x14ac:dyDescent="0.2">
      <c r="R54661" s="1288"/>
    </row>
    <row r="54662" spans="18:18" s="2" customFormat="1" ht="12.75" x14ac:dyDescent="0.2">
      <c r="R54662" s="1288"/>
    </row>
    <row r="54663" spans="18:18" s="2" customFormat="1" ht="12.75" x14ac:dyDescent="0.2">
      <c r="R54663" s="1288"/>
    </row>
    <row r="54664" spans="18:18" s="2" customFormat="1" ht="12.75" x14ac:dyDescent="0.2">
      <c r="R54664" s="1288"/>
    </row>
    <row r="54665" spans="18:18" s="2" customFormat="1" ht="12.75" x14ac:dyDescent="0.2">
      <c r="R54665" s="1288"/>
    </row>
    <row r="54666" spans="18:18" s="2" customFormat="1" ht="12.75" x14ac:dyDescent="0.2">
      <c r="R54666" s="1288"/>
    </row>
    <row r="54667" spans="18:18" s="2" customFormat="1" ht="12.75" x14ac:dyDescent="0.2">
      <c r="R54667" s="1288"/>
    </row>
    <row r="54668" spans="18:18" s="2" customFormat="1" ht="12.75" x14ac:dyDescent="0.2">
      <c r="R54668" s="1288"/>
    </row>
    <row r="54669" spans="18:18" s="2" customFormat="1" ht="12.75" x14ac:dyDescent="0.2">
      <c r="R54669" s="1288"/>
    </row>
    <row r="54670" spans="18:18" s="2" customFormat="1" ht="12.75" x14ac:dyDescent="0.2">
      <c r="R54670" s="1288"/>
    </row>
    <row r="54671" spans="18:18" s="2" customFormat="1" ht="12.75" x14ac:dyDescent="0.2">
      <c r="R54671" s="1288"/>
    </row>
    <row r="54672" spans="18:18" s="2" customFormat="1" ht="12.75" x14ac:dyDescent="0.2">
      <c r="R54672" s="1288"/>
    </row>
    <row r="54673" spans="18:18" s="2" customFormat="1" ht="12.75" x14ac:dyDescent="0.2">
      <c r="R54673" s="1288"/>
    </row>
    <row r="54674" spans="18:18" s="2" customFormat="1" ht="12.75" x14ac:dyDescent="0.2">
      <c r="R54674" s="1288"/>
    </row>
    <row r="54675" spans="18:18" s="2" customFormat="1" ht="12.75" x14ac:dyDescent="0.2">
      <c r="R54675" s="1288"/>
    </row>
    <row r="54676" spans="18:18" s="2" customFormat="1" ht="12.75" x14ac:dyDescent="0.2">
      <c r="R54676" s="1288"/>
    </row>
    <row r="54677" spans="18:18" s="2" customFormat="1" ht="12.75" x14ac:dyDescent="0.2">
      <c r="R54677" s="1288"/>
    </row>
    <row r="54678" spans="18:18" s="2" customFormat="1" ht="12.75" x14ac:dyDescent="0.2">
      <c r="R54678" s="1288"/>
    </row>
    <row r="54679" spans="18:18" s="2" customFormat="1" ht="12.75" x14ac:dyDescent="0.2">
      <c r="R54679" s="1288"/>
    </row>
    <row r="54680" spans="18:18" s="2" customFormat="1" ht="12.75" x14ac:dyDescent="0.2">
      <c r="R54680" s="1288"/>
    </row>
    <row r="54681" spans="18:18" s="2" customFormat="1" ht="12.75" x14ac:dyDescent="0.2">
      <c r="R54681" s="1288"/>
    </row>
    <row r="54682" spans="18:18" s="2" customFormat="1" ht="12.75" x14ac:dyDescent="0.2">
      <c r="R54682" s="1288"/>
    </row>
    <row r="54683" spans="18:18" s="2" customFormat="1" ht="12.75" x14ac:dyDescent="0.2">
      <c r="R54683" s="1288"/>
    </row>
    <row r="54684" spans="18:18" s="2" customFormat="1" ht="12.75" x14ac:dyDescent="0.2">
      <c r="R54684" s="1288"/>
    </row>
    <row r="54685" spans="18:18" s="2" customFormat="1" ht="12.75" x14ac:dyDescent="0.2">
      <c r="R54685" s="1288"/>
    </row>
    <row r="54686" spans="18:18" s="2" customFormat="1" ht="12.75" x14ac:dyDescent="0.2">
      <c r="R54686" s="1288"/>
    </row>
    <row r="54687" spans="18:18" s="2" customFormat="1" ht="12.75" x14ac:dyDescent="0.2">
      <c r="R54687" s="1288"/>
    </row>
    <row r="54688" spans="18:18" s="2" customFormat="1" ht="12.75" x14ac:dyDescent="0.2">
      <c r="R54688" s="1288"/>
    </row>
    <row r="54689" spans="18:18" s="2" customFormat="1" ht="12.75" x14ac:dyDescent="0.2">
      <c r="R54689" s="1288"/>
    </row>
    <row r="54690" spans="18:18" s="2" customFormat="1" ht="12.75" x14ac:dyDescent="0.2">
      <c r="R54690" s="1288"/>
    </row>
    <row r="54691" spans="18:18" s="2" customFormat="1" ht="12.75" x14ac:dyDescent="0.2">
      <c r="R54691" s="1288"/>
    </row>
    <row r="54692" spans="18:18" s="2" customFormat="1" ht="12.75" x14ac:dyDescent="0.2">
      <c r="R54692" s="1288"/>
    </row>
    <row r="54693" spans="18:18" s="2" customFormat="1" ht="12.75" x14ac:dyDescent="0.2">
      <c r="R54693" s="1288"/>
    </row>
    <row r="54694" spans="18:18" s="2" customFormat="1" ht="12.75" x14ac:dyDescent="0.2">
      <c r="R54694" s="1288"/>
    </row>
    <row r="54695" spans="18:18" s="2" customFormat="1" ht="12.75" x14ac:dyDescent="0.2">
      <c r="R54695" s="1288"/>
    </row>
    <row r="54696" spans="18:18" s="2" customFormat="1" ht="12.75" x14ac:dyDescent="0.2">
      <c r="R54696" s="1288"/>
    </row>
    <row r="54697" spans="18:18" s="2" customFormat="1" ht="12.75" x14ac:dyDescent="0.2">
      <c r="R54697" s="1288"/>
    </row>
    <row r="54698" spans="18:18" s="2" customFormat="1" ht="12.75" x14ac:dyDescent="0.2">
      <c r="R54698" s="1288"/>
    </row>
    <row r="54699" spans="18:18" s="2" customFormat="1" ht="12.75" x14ac:dyDescent="0.2">
      <c r="R54699" s="1288"/>
    </row>
    <row r="54700" spans="18:18" s="2" customFormat="1" ht="12.75" x14ac:dyDescent="0.2">
      <c r="R54700" s="1288"/>
    </row>
    <row r="54701" spans="18:18" s="2" customFormat="1" ht="12.75" x14ac:dyDescent="0.2">
      <c r="R54701" s="1288"/>
    </row>
    <row r="54702" spans="18:18" s="2" customFormat="1" ht="12.75" x14ac:dyDescent="0.2">
      <c r="R54702" s="1288"/>
    </row>
    <row r="54703" spans="18:18" s="2" customFormat="1" ht="12.75" x14ac:dyDescent="0.2">
      <c r="R54703" s="1288"/>
    </row>
    <row r="54704" spans="18:18" s="2" customFormat="1" ht="12.75" x14ac:dyDescent="0.2">
      <c r="R54704" s="1288"/>
    </row>
    <row r="54705" spans="18:18" s="2" customFormat="1" ht="12.75" x14ac:dyDescent="0.2">
      <c r="R54705" s="1288"/>
    </row>
    <row r="54706" spans="18:18" s="2" customFormat="1" ht="12.75" x14ac:dyDescent="0.2">
      <c r="R54706" s="1288"/>
    </row>
    <row r="54707" spans="18:18" s="2" customFormat="1" ht="12.75" x14ac:dyDescent="0.2">
      <c r="R54707" s="1288"/>
    </row>
    <row r="54708" spans="18:18" s="2" customFormat="1" ht="12.75" x14ac:dyDescent="0.2">
      <c r="R54708" s="1288"/>
    </row>
    <row r="54709" spans="18:18" s="2" customFormat="1" ht="12.75" x14ac:dyDescent="0.2">
      <c r="R54709" s="1288"/>
    </row>
    <row r="54710" spans="18:18" s="2" customFormat="1" ht="12.75" x14ac:dyDescent="0.2">
      <c r="R54710" s="1288"/>
    </row>
    <row r="54711" spans="18:18" s="2" customFormat="1" ht="12.75" x14ac:dyDescent="0.2">
      <c r="R54711" s="1288"/>
    </row>
    <row r="54712" spans="18:18" s="2" customFormat="1" ht="12.75" x14ac:dyDescent="0.2">
      <c r="R54712" s="1288"/>
    </row>
    <row r="54713" spans="18:18" s="2" customFormat="1" ht="12.75" x14ac:dyDescent="0.2">
      <c r="R54713" s="1288"/>
    </row>
    <row r="54714" spans="18:18" s="2" customFormat="1" ht="12.75" x14ac:dyDescent="0.2">
      <c r="R54714" s="1288"/>
    </row>
    <row r="54715" spans="18:18" s="2" customFormat="1" ht="12.75" x14ac:dyDescent="0.2">
      <c r="R54715" s="1288"/>
    </row>
    <row r="54716" spans="18:18" s="2" customFormat="1" ht="12.75" x14ac:dyDescent="0.2">
      <c r="R54716" s="1288"/>
    </row>
    <row r="54717" spans="18:18" s="2" customFormat="1" ht="12.75" x14ac:dyDescent="0.2">
      <c r="R54717" s="1288"/>
    </row>
    <row r="54718" spans="18:18" s="2" customFormat="1" ht="12.75" x14ac:dyDescent="0.2">
      <c r="R54718" s="1288"/>
    </row>
    <row r="54719" spans="18:18" s="2" customFormat="1" ht="12.75" x14ac:dyDescent="0.2">
      <c r="R54719" s="1288"/>
    </row>
    <row r="54720" spans="18:18" s="2" customFormat="1" ht="12.75" x14ac:dyDescent="0.2">
      <c r="R54720" s="1288"/>
    </row>
    <row r="54721" spans="18:18" s="2" customFormat="1" ht="12.75" x14ac:dyDescent="0.2">
      <c r="R54721" s="1288"/>
    </row>
    <row r="54722" spans="18:18" s="2" customFormat="1" ht="12.75" x14ac:dyDescent="0.2">
      <c r="R54722" s="1288"/>
    </row>
    <row r="54723" spans="18:18" s="2" customFormat="1" ht="12.75" x14ac:dyDescent="0.2">
      <c r="R54723" s="1288"/>
    </row>
    <row r="54724" spans="18:18" s="2" customFormat="1" ht="12.75" x14ac:dyDescent="0.2">
      <c r="R54724" s="1288"/>
    </row>
    <row r="54725" spans="18:18" s="2" customFormat="1" ht="12.75" x14ac:dyDescent="0.2">
      <c r="R54725" s="1288"/>
    </row>
    <row r="54726" spans="18:18" s="2" customFormat="1" ht="12.75" x14ac:dyDescent="0.2">
      <c r="R54726" s="1288"/>
    </row>
    <row r="54727" spans="18:18" s="2" customFormat="1" ht="12.75" x14ac:dyDescent="0.2">
      <c r="R54727" s="1288"/>
    </row>
    <row r="54728" spans="18:18" s="2" customFormat="1" ht="12.75" x14ac:dyDescent="0.2">
      <c r="R54728" s="1288"/>
    </row>
    <row r="54729" spans="18:18" s="2" customFormat="1" ht="12.75" x14ac:dyDescent="0.2">
      <c r="R54729" s="1288"/>
    </row>
    <row r="54730" spans="18:18" s="2" customFormat="1" ht="12.75" x14ac:dyDescent="0.2">
      <c r="R54730" s="1288"/>
    </row>
    <row r="54731" spans="18:18" s="2" customFormat="1" ht="12.75" x14ac:dyDescent="0.2">
      <c r="R54731" s="1288"/>
    </row>
    <row r="54732" spans="18:18" s="2" customFormat="1" ht="12.75" x14ac:dyDescent="0.2">
      <c r="R54732" s="1288"/>
    </row>
    <row r="54733" spans="18:18" s="2" customFormat="1" ht="12.75" x14ac:dyDescent="0.2">
      <c r="R54733" s="1288"/>
    </row>
    <row r="54734" spans="18:18" s="2" customFormat="1" ht="12.75" x14ac:dyDescent="0.2">
      <c r="R54734" s="1288"/>
    </row>
    <row r="54735" spans="18:18" s="2" customFormat="1" ht="12.75" x14ac:dyDescent="0.2">
      <c r="R54735" s="1288"/>
    </row>
    <row r="54736" spans="18:18" s="2" customFormat="1" ht="12.75" x14ac:dyDescent="0.2">
      <c r="R54736" s="1288"/>
    </row>
    <row r="54737" spans="18:18" s="2" customFormat="1" ht="12.75" x14ac:dyDescent="0.2">
      <c r="R54737" s="1288"/>
    </row>
    <row r="54738" spans="18:18" s="2" customFormat="1" ht="12.75" x14ac:dyDescent="0.2">
      <c r="R54738" s="1288"/>
    </row>
    <row r="54739" spans="18:18" s="2" customFormat="1" ht="12.75" x14ac:dyDescent="0.2">
      <c r="R54739" s="1288"/>
    </row>
    <row r="54740" spans="18:18" s="2" customFormat="1" ht="12.75" x14ac:dyDescent="0.2">
      <c r="R54740" s="1288"/>
    </row>
    <row r="54741" spans="18:18" s="2" customFormat="1" ht="12.75" x14ac:dyDescent="0.2">
      <c r="R54741" s="1288"/>
    </row>
    <row r="54742" spans="18:18" s="2" customFormat="1" ht="12.75" x14ac:dyDescent="0.2">
      <c r="R54742" s="1288"/>
    </row>
    <row r="54743" spans="18:18" s="2" customFormat="1" ht="12.75" x14ac:dyDescent="0.2">
      <c r="R54743" s="1288"/>
    </row>
    <row r="54744" spans="18:18" s="2" customFormat="1" ht="12.75" x14ac:dyDescent="0.2">
      <c r="R54744" s="1288"/>
    </row>
    <row r="54745" spans="18:18" s="2" customFormat="1" ht="12.75" x14ac:dyDescent="0.2">
      <c r="R54745" s="1288"/>
    </row>
    <row r="54746" spans="18:18" s="2" customFormat="1" ht="12.75" x14ac:dyDescent="0.2">
      <c r="R54746" s="1288"/>
    </row>
    <row r="54747" spans="18:18" s="2" customFormat="1" ht="12.75" x14ac:dyDescent="0.2">
      <c r="R54747" s="1288"/>
    </row>
    <row r="54748" spans="18:18" s="2" customFormat="1" ht="12.75" x14ac:dyDescent="0.2">
      <c r="R54748" s="1288"/>
    </row>
    <row r="54749" spans="18:18" s="2" customFormat="1" ht="12.75" x14ac:dyDescent="0.2">
      <c r="R54749" s="1288"/>
    </row>
    <row r="54750" spans="18:18" s="2" customFormat="1" ht="12.75" x14ac:dyDescent="0.2">
      <c r="R54750" s="1288"/>
    </row>
    <row r="54751" spans="18:18" s="2" customFormat="1" ht="12.75" x14ac:dyDescent="0.2">
      <c r="R54751" s="1288"/>
    </row>
    <row r="54752" spans="18:18" s="2" customFormat="1" ht="12.75" x14ac:dyDescent="0.2">
      <c r="R54752" s="1288"/>
    </row>
    <row r="54753" spans="18:18" s="2" customFormat="1" ht="12.75" x14ac:dyDescent="0.2">
      <c r="R54753" s="1288"/>
    </row>
    <row r="54754" spans="18:18" s="2" customFormat="1" ht="12.75" x14ac:dyDescent="0.2">
      <c r="R54754" s="1288"/>
    </row>
    <row r="54755" spans="18:18" s="2" customFormat="1" ht="12.75" x14ac:dyDescent="0.2">
      <c r="R54755" s="1288"/>
    </row>
    <row r="54756" spans="18:18" s="2" customFormat="1" ht="12.75" x14ac:dyDescent="0.2">
      <c r="R54756" s="1288"/>
    </row>
    <row r="54757" spans="18:18" s="2" customFormat="1" ht="12.75" x14ac:dyDescent="0.2">
      <c r="R54757" s="1288"/>
    </row>
    <row r="54758" spans="18:18" s="2" customFormat="1" ht="12.75" x14ac:dyDescent="0.2">
      <c r="R54758" s="1288"/>
    </row>
    <row r="54759" spans="18:18" s="2" customFormat="1" ht="12.75" x14ac:dyDescent="0.2">
      <c r="R54759" s="1288"/>
    </row>
    <row r="54760" spans="18:18" s="2" customFormat="1" ht="12.75" x14ac:dyDescent="0.2">
      <c r="R54760" s="1288"/>
    </row>
    <row r="54761" spans="18:18" s="2" customFormat="1" ht="12.75" x14ac:dyDescent="0.2">
      <c r="R54761" s="1288"/>
    </row>
    <row r="54762" spans="18:18" s="2" customFormat="1" ht="12.75" x14ac:dyDescent="0.2">
      <c r="R54762" s="1288"/>
    </row>
    <row r="54763" spans="18:18" s="2" customFormat="1" ht="12.75" x14ac:dyDescent="0.2">
      <c r="R54763" s="1288"/>
    </row>
    <row r="54764" spans="18:18" s="2" customFormat="1" ht="12.75" x14ac:dyDescent="0.2">
      <c r="R54764" s="1288"/>
    </row>
    <row r="54765" spans="18:18" s="2" customFormat="1" ht="12.75" x14ac:dyDescent="0.2">
      <c r="R54765" s="1288"/>
    </row>
    <row r="54766" spans="18:18" s="2" customFormat="1" ht="12.75" x14ac:dyDescent="0.2">
      <c r="R54766" s="1288"/>
    </row>
    <row r="54767" spans="18:18" s="2" customFormat="1" ht="12.75" x14ac:dyDescent="0.2">
      <c r="R54767" s="1288"/>
    </row>
    <row r="54768" spans="18:18" s="2" customFormat="1" ht="12.75" x14ac:dyDescent="0.2">
      <c r="R54768" s="1288"/>
    </row>
    <row r="54769" spans="18:18" s="2" customFormat="1" ht="12.75" x14ac:dyDescent="0.2">
      <c r="R54769" s="1288"/>
    </row>
    <row r="54770" spans="18:18" s="2" customFormat="1" ht="12.75" x14ac:dyDescent="0.2">
      <c r="R54770" s="1288"/>
    </row>
    <row r="54771" spans="18:18" s="2" customFormat="1" ht="12.75" x14ac:dyDescent="0.2">
      <c r="R54771" s="1288"/>
    </row>
    <row r="54772" spans="18:18" s="2" customFormat="1" ht="12.75" x14ac:dyDescent="0.2">
      <c r="R54772" s="1288"/>
    </row>
    <row r="54773" spans="18:18" s="2" customFormat="1" ht="12.75" x14ac:dyDescent="0.2">
      <c r="R54773" s="1288"/>
    </row>
    <row r="54774" spans="18:18" s="2" customFormat="1" ht="12.75" x14ac:dyDescent="0.2">
      <c r="R54774" s="1288"/>
    </row>
    <row r="54775" spans="18:18" s="2" customFormat="1" ht="12.75" x14ac:dyDescent="0.2">
      <c r="R54775" s="1288"/>
    </row>
    <row r="54776" spans="18:18" s="2" customFormat="1" ht="12.75" x14ac:dyDescent="0.2">
      <c r="R54776" s="1288"/>
    </row>
    <row r="54777" spans="18:18" s="2" customFormat="1" ht="12.75" x14ac:dyDescent="0.2">
      <c r="R54777" s="1288"/>
    </row>
    <row r="54778" spans="18:18" s="2" customFormat="1" ht="12.75" x14ac:dyDescent="0.2">
      <c r="R54778" s="1288"/>
    </row>
    <row r="54779" spans="18:18" s="2" customFormat="1" ht="12.75" x14ac:dyDescent="0.2">
      <c r="R54779" s="1288"/>
    </row>
    <row r="54780" spans="18:18" s="2" customFormat="1" ht="12.75" x14ac:dyDescent="0.2">
      <c r="R54780" s="1288"/>
    </row>
    <row r="54781" spans="18:18" s="2" customFormat="1" ht="12.75" x14ac:dyDescent="0.2">
      <c r="R54781" s="1288"/>
    </row>
    <row r="54782" spans="18:18" s="2" customFormat="1" ht="12.75" x14ac:dyDescent="0.2">
      <c r="R54782" s="1288"/>
    </row>
    <row r="54783" spans="18:18" s="2" customFormat="1" ht="12.75" x14ac:dyDescent="0.2">
      <c r="R54783" s="1288"/>
    </row>
    <row r="54784" spans="18:18" s="2" customFormat="1" ht="12.75" x14ac:dyDescent="0.2">
      <c r="R54784" s="1288"/>
    </row>
    <row r="54785" spans="18:18" s="2" customFormat="1" ht="12.75" x14ac:dyDescent="0.2">
      <c r="R54785" s="1288"/>
    </row>
    <row r="54786" spans="18:18" s="2" customFormat="1" ht="12.75" x14ac:dyDescent="0.2">
      <c r="R54786" s="1288"/>
    </row>
    <row r="54787" spans="18:18" s="2" customFormat="1" ht="12.75" x14ac:dyDescent="0.2">
      <c r="R54787" s="1288"/>
    </row>
    <row r="54788" spans="18:18" s="2" customFormat="1" ht="12.75" x14ac:dyDescent="0.2">
      <c r="R54788" s="1288"/>
    </row>
    <row r="54789" spans="18:18" s="2" customFormat="1" ht="12.75" x14ac:dyDescent="0.2">
      <c r="R54789" s="1288"/>
    </row>
    <row r="54790" spans="18:18" s="2" customFormat="1" ht="12.75" x14ac:dyDescent="0.2">
      <c r="R54790" s="1288"/>
    </row>
    <row r="54791" spans="18:18" s="2" customFormat="1" ht="12.75" x14ac:dyDescent="0.2">
      <c r="R54791" s="1288"/>
    </row>
    <row r="54792" spans="18:18" s="2" customFormat="1" ht="12.75" x14ac:dyDescent="0.2">
      <c r="R54792" s="1288"/>
    </row>
    <row r="54793" spans="18:18" s="2" customFormat="1" ht="12.75" x14ac:dyDescent="0.2">
      <c r="R54793" s="1288"/>
    </row>
    <row r="54794" spans="18:18" s="2" customFormat="1" ht="12.75" x14ac:dyDescent="0.2">
      <c r="R54794" s="1288"/>
    </row>
    <row r="54795" spans="18:18" s="2" customFormat="1" ht="12.75" x14ac:dyDescent="0.2">
      <c r="R54795" s="1288"/>
    </row>
    <row r="54796" spans="18:18" s="2" customFormat="1" ht="12.75" x14ac:dyDescent="0.2">
      <c r="R54796" s="1288"/>
    </row>
    <row r="54797" spans="18:18" s="2" customFormat="1" ht="12.75" x14ac:dyDescent="0.2">
      <c r="R54797" s="1288"/>
    </row>
    <row r="54798" spans="18:18" s="2" customFormat="1" ht="12.75" x14ac:dyDescent="0.2">
      <c r="R54798" s="1288"/>
    </row>
    <row r="54799" spans="18:18" s="2" customFormat="1" ht="12.75" x14ac:dyDescent="0.2">
      <c r="R54799" s="1288"/>
    </row>
    <row r="54800" spans="18:18" s="2" customFormat="1" ht="12.75" x14ac:dyDescent="0.2">
      <c r="R54800" s="1288"/>
    </row>
    <row r="54801" spans="18:18" s="2" customFormat="1" ht="12.75" x14ac:dyDescent="0.2">
      <c r="R54801" s="1288"/>
    </row>
    <row r="54802" spans="18:18" s="2" customFormat="1" ht="12.75" x14ac:dyDescent="0.2">
      <c r="R54802" s="1288"/>
    </row>
    <row r="54803" spans="18:18" s="2" customFormat="1" ht="12.75" x14ac:dyDescent="0.2">
      <c r="R54803" s="1288"/>
    </row>
    <row r="54804" spans="18:18" s="2" customFormat="1" ht="12.75" x14ac:dyDescent="0.2">
      <c r="R54804" s="1288"/>
    </row>
    <row r="54805" spans="18:18" s="2" customFormat="1" ht="12.75" x14ac:dyDescent="0.2">
      <c r="R54805" s="1288"/>
    </row>
    <row r="54806" spans="18:18" s="2" customFormat="1" ht="12.75" x14ac:dyDescent="0.2">
      <c r="R54806" s="1288"/>
    </row>
    <row r="54807" spans="18:18" s="2" customFormat="1" ht="12.75" x14ac:dyDescent="0.2">
      <c r="R54807" s="1288"/>
    </row>
    <row r="54808" spans="18:18" s="2" customFormat="1" ht="12.75" x14ac:dyDescent="0.2">
      <c r="R54808" s="1288"/>
    </row>
    <row r="54809" spans="18:18" s="2" customFormat="1" ht="12.75" x14ac:dyDescent="0.2">
      <c r="R54809" s="1288"/>
    </row>
    <row r="54810" spans="18:18" s="2" customFormat="1" ht="12.75" x14ac:dyDescent="0.2">
      <c r="R54810" s="1288"/>
    </row>
    <row r="54811" spans="18:18" s="2" customFormat="1" ht="12.75" x14ac:dyDescent="0.2">
      <c r="R54811" s="1288"/>
    </row>
    <row r="54812" spans="18:18" s="2" customFormat="1" ht="12.75" x14ac:dyDescent="0.2">
      <c r="R54812" s="1288"/>
    </row>
    <row r="54813" spans="18:18" s="2" customFormat="1" ht="12.75" x14ac:dyDescent="0.2">
      <c r="R54813" s="1288"/>
    </row>
    <row r="54814" spans="18:18" s="2" customFormat="1" ht="12.75" x14ac:dyDescent="0.2">
      <c r="R54814" s="1288"/>
    </row>
    <row r="54815" spans="18:18" s="2" customFormat="1" ht="12.75" x14ac:dyDescent="0.2">
      <c r="R54815" s="1288"/>
    </row>
    <row r="54816" spans="18:18" s="2" customFormat="1" ht="12.75" x14ac:dyDescent="0.2">
      <c r="R54816" s="1288"/>
    </row>
    <row r="54817" spans="18:18" s="2" customFormat="1" ht="12.75" x14ac:dyDescent="0.2">
      <c r="R54817" s="1288"/>
    </row>
    <row r="54818" spans="18:18" s="2" customFormat="1" ht="12.75" x14ac:dyDescent="0.2">
      <c r="R54818" s="1288"/>
    </row>
    <row r="54819" spans="18:18" s="2" customFormat="1" ht="12.75" x14ac:dyDescent="0.2">
      <c r="R54819" s="1288"/>
    </row>
    <row r="54820" spans="18:18" s="2" customFormat="1" ht="12.75" x14ac:dyDescent="0.2">
      <c r="R54820" s="1288"/>
    </row>
    <row r="54821" spans="18:18" s="2" customFormat="1" ht="12.75" x14ac:dyDescent="0.2">
      <c r="R54821" s="1288"/>
    </row>
    <row r="54822" spans="18:18" s="2" customFormat="1" ht="12.75" x14ac:dyDescent="0.2">
      <c r="R54822" s="1288"/>
    </row>
    <row r="54823" spans="18:18" s="2" customFormat="1" ht="12.75" x14ac:dyDescent="0.2">
      <c r="R54823" s="1288"/>
    </row>
    <row r="54824" spans="18:18" s="2" customFormat="1" ht="12.75" x14ac:dyDescent="0.2">
      <c r="R54824" s="1288"/>
    </row>
    <row r="54825" spans="18:18" s="2" customFormat="1" ht="12.75" x14ac:dyDescent="0.2">
      <c r="R54825" s="1288"/>
    </row>
    <row r="54826" spans="18:18" s="2" customFormat="1" ht="12.75" x14ac:dyDescent="0.2">
      <c r="R54826" s="1288"/>
    </row>
    <row r="54827" spans="18:18" s="2" customFormat="1" ht="12.75" x14ac:dyDescent="0.2">
      <c r="R54827" s="1288"/>
    </row>
    <row r="54828" spans="18:18" s="2" customFormat="1" ht="12.75" x14ac:dyDescent="0.2">
      <c r="R54828" s="1288"/>
    </row>
    <row r="54829" spans="18:18" s="2" customFormat="1" ht="12.75" x14ac:dyDescent="0.2">
      <c r="R54829" s="1288"/>
    </row>
    <row r="54830" spans="18:18" s="2" customFormat="1" ht="12.75" x14ac:dyDescent="0.2">
      <c r="R54830" s="1288"/>
    </row>
    <row r="54831" spans="18:18" s="2" customFormat="1" ht="12.75" x14ac:dyDescent="0.2">
      <c r="R54831" s="1288"/>
    </row>
    <row r="54832" spans="18:18" s="2" customFormat="1" ht="12.75" x14ac:dyDescent="0.2">
      <c r="R54832" s="1288"/>
    </row>
    <row r="54833" spans="18:18" s="2" customFormat="1" ht="12.75" x14ac:dyDescent="0.2">
      <c r="R54833" s="1288"/>
    </row>
    <row r="54834" spans="18:18" s="2" customFormat="1" ht="12.75" x14ac:dyDescent="0.2">
      <c r="R54834" s="1288"/>
    </row>
    <row r="54835" spans="18:18" s="2" customFormat="1" ht="12.75" x14ac:dyDescent="0.2">
      <c r="R54835" s="1288"/>
    </row>
    <row r="54836" spans="18:18" s="2" customFormat="1" ht="12.75" x14ac:dyDescent="0.2">
      <c r="R54836" s="1288"/>
    </row>
    <row r="54837" spans="18:18" s="2" customFormat="1" ht="12.75" x14ac:dyDescent="0.2">
      <c r="R54837" s="1288"/>
    </row>
    <row r="54838" spans="18:18" s="2" customFormat="1" ht="12.75" x14ac:dyDescent="0.2">
      <c r="R54838" s="1288"/>
    </row>
    <row r="54839" spans="18:18" s="2" customFormat="1" ht="12.75" x14ac:dyDescent="0.2">
      <c r="R54839" s="1288"/>
    </row>
    <row r="54840" spans="18:18" s="2" customFormat="1" ht="12.75" x14ac:dyDescent="0.2">
      <c r="R54840" s="1288"/>
    </row>
    <row r="54841" spans="18:18" s="2" customFormat="1" ht="12.75" x14ac:dyDescent="0.2">
      <c r="R54841" s="1288"/>
    </row>
    <row r="54842" spans="18:18" s="2" customFormat="1" ht="12.75" x14ac:dyDescent="0.2">
      <c r="R54842" s="1288"/>
    </row>
    <row r="54843" spans="18:18" s="2" customFormat="1" ht="12.75" x14ac:dyDescent="0.2">
      <c r="R54843" s="1288"/>
    </row>
    <row r="54844" spans="18:18" s="2" customFormat="1" ht="12.75" x14ac:dyDescent="0.2">
      <c r="R54844" s="1288"/>
    </row>
    <row r="54845" spans="18:18" s="2" customFormat="1" ht="12.75" x14ac:dyDescent="0.2">
      <c r="R54845" s="1288"/>
    </row>
    <row r="54846" spans="18:18" s="2" customFormat="1" ht="12.75" x14ac:dyDescent="0.2">
      <c r="R54846" s="1288"/>
    </row>
    <row r="54847" spans="18:18" s="2" customFormat="1" ht="12.75" x14ac:dyDescent="0.2">
      <c r="R54847" s="1288"/>
    </row>
    <row r="54848" spans="18:18" s="2" customFormat="1" ht="12.75" x14ac:dyDescent="0.2">
      <c r="R54848" s="1288"/>
    </row>
    <row r="54849" spans="18:18" s="2" customFormat="1" ht="12.75" x14ac:dyDescent="0.2">
      <c r="R54849" s="1288"/>
    </row>
    <row r="54850" spans="18:18" s="2" customFormat="1" ht="12.75" x14ac:dyDescent="0.2">
      <c r="R54850" s="1288"/>
    </row>
    <row r="54851" spans="18:18" s="2" customFormat="1" ht="12.75" x14ac:dyDescent="0.2">
      <c r="R54851" s="1288"/>
    </row>
    <row r="54852" spans="18:18" s="2" customFormat="1" ht="12.75" x14ac:dyDescent="0.2">
      <c r="R54852" s="1288"/>
    </row>
    <row r="54853" spans="18:18" s="2" customFormat="1" ht="12.75" x14ac:dyDescent="0.2">
      <c r="R54853" s="1288"/>
    </row>
    <row r="54854" spans="18:18" s="2" customFormat="1" ht="12.75" x14ac:dyDescent="0.2">
      <c r="R54854" s="1288"/>
    </row>
    <row r="54855" spans="18:18" s="2" customFormat="1" ht="12.75" x14ac:dyDescent="0.2">
      <c r="R54855" s="1288"/>
    </row>
    <row r="54856" spans="18:18" s="2" customFormat="1" ht="12.75" x14ac:dyDescent="0.2">
      <c r="R54856" s="1288"/>
    </row>
    <row r="54857" spans="18:18" s="2" customFormat="1" ht="12.75" x14ac:dyDescent="0.2">
      <c r="R54857" s="1288"/>
    </row>
    <row r="54858" spans="18:18" s="2" customFormat="1" ht="12.75" x14ac:dyDescent="0.2">
      <c r="R54858" s="1288"/>
    </row>
    <row r="54859" spans="18:18" s="2" customFormat="1" ht="12.75" x14ac:dyDescent="0.2">
      <c r="R54859" s="1288"/>
    </row>
    <row r="54860" spans="18:18" s="2" customFormat="1" ht="12.75" x14ac:dyDescent="0.2">
      <c r="R54860" s="1288"/>
    </row>
    <row r="54861" spans="18:18" s="2" customFormat="1" ht="12.75" x14ac:dyDescent="0.2">
      <c r="R54861" s="1288"/>
    </row>
    <row r="54862" spans="18:18" s="2" customFormat="1" ht="12.75" x14ac:dyDescent="0.2">
      <c r="R54862" s="1288"/>
    </row>
    <row r="54863" spans="18:18" s="2" customFormat="1" ht="12.75" x14ac:dyDescent="0.2">
      <c r="R54863" s="1288"/>
    </row>
    <row r="54864" spans="18:18" s="2" customFormat="1" ht="12.75" x14ac:dyDescent="0.2">
      <c r="R54864" s="1288"/>
    </row>
    <row r="54865" spans="18:18" s="2" customFormat="1" ht="12.75" x14ac:dyDescent="0.2">
      <c r="R54865" s="1288"/>
    </row>
    <row r="54866" spans="18:18" s="2" customFormat="1" ht="12.75" x14ac:dyDescent="0.2">
      <c r="R54866" s="1288"/>
    </row>
    <row r="54867" spans="18:18" s="2" customFormat="1" ht="12.75" x14ac:dyDescent="0.2">
      <c r="R54867" s="1288"/>
    </row>
    <row r="54868" spans="18:18" s="2" customFormat="1" ht="12.75" x14ac:dyDescent="0.2">
      <c r="R54868" s="1288"/>
    </row>
    <row r="54869" spans="18:18" s="2" customFormat="1" ht="12.75" x14ac:dyDescent="0.2">
      <c r="R54869" s="1288"/>
    </row>
    <row r="54870" spans="18:18" s="2" customFormat="1" ht="12.75" x14ac:dyDescent="0.2">
      <c r="R54870" s="1288"/>
    </row>
    <row r="54871" spans="18:18" s="2" customFormat="1" ht="12.75" x14ac:dyDescent="0.2">
      <c r="R54871" s="1288"/>
    </row>
    <row r="54872" spans="18:18" s="2" customFormat="1" ht="12.75" x14ac:dyDescent="0.2">
      <c r="R54872" s="1288"/>
    </row>
    <row r="54873" spans="18:18" s="2" customFormat="1" ht="12.75" x14ac:dyDescent="0.2">
      <c r="R54873" s="1288"/>
    </row>
    <row r="54874" spans="18:18" s="2" customFormat="1" ht="12.75" x14ac:dyDescent="0.2">
      <c r="R54874" s="1288"/>
    </row>
    <row r="54875" spans="18:18" s="2" customFormat="1" ht="12.75" x14ac:dyDescent="0.2">
      <c r="R54875" s="1288"/>
    </row>
    <row r="54876" spans="18:18" s="2" customFormat="1" ht="12.75" x14ac:dyDescent="0.2">
      <c r="R54876" s="1288"/>
    </row>
    <row r="54877" spans="18:18" s="2" customFormat="1" ht="12.75" x14ac:dyDescent="0.2">
      <c r="R54877" s="1288"/>
    </row>
    <row r="54878" spans="18:18" s="2" customFormat="1" ht="12.75" x14ac:dyDescent="0.2">
      <c r="R54878" s="1288"/>
    </row>
    <row r="54879" spans="18:18" s="2" customFormat="1" ht="12.75" x14ac:dyDescent="0.2">
      <c r="R54879" s="1288"/>
    </row>
    <row r="54880" spans="18:18" s="2" customFormat="1" ht="12.75" x14ac:dyDescent="0.2">
      <c r="R54880" s="1288"/>
    </row>
    <row r="54881" spans="18:18" s="2" customFormat="1" ht="12.75" x14ac:dyDescent="0.2">
      <c r="R54881" s="1288"/>
    </row>
    <row r="54882" spans="18:18" s="2" customFormat="1" ht="12.75" x14ac:dyDescent="0.2">
      <c r="R54882" s="1288"/>
    </row>
    <row r="54883" spans="18:18" s="2" customFormat="1" ht="12.75" x14ac:dyDescent="0.2">
      <c r="R54883" s="1288"/>
    </row>
    <row r="54884" spans="18:18" s="2" customFormat="1" ht="12.75" x14ac:dyDescent="0.2">
      <c r="R54884" s="1288"/>
    </row>
    <row r="54885" spans="18:18" s="2" customFormat="1" ht="12.75" x14ac:dyDescent="0.2">
      <c r="R54885" s="1288"/>
    </row>
    <row r="54886" spans="18:18" s="2" customFormat="1" ht="12.75" x14ac:dyDescent="0.2">
      <c r="R54886" s="1288"/>
    </row>
    <row r="54887" spans="18:18" s="2" customFormat="1" ht="12.75" x14ac:dyDescent="0.2">
      <c r="R54887" s="1288"/>
    </row>
    <row r="54888" spans="18:18" s="2" customFormat="1" ht="12.75" x14ac:dyDescent="0.2">
      <c r="R54888" s="1288"/>
    </row>
    <row r="54889" spans="18:18" s="2" customFormat="1" ht="12.75" x14ac:dyDescent="0.2">
      <c r="R54889" s="1288"/>
    </row>
    <row r="54890" spans="18:18" s="2" customFormat="1" ht="12.75" x14ac:dyDescent="0.2">
      <c r="R54890" s="1288"/>
    </row>
    <row r="54891" spans="18:18" s="2" customFormat="1" ht="12.75" x14ac:dyDescent="0.2">
      <c r="R54891" s="1288"/>
    </row>
    <row r="54892" spans="18:18" s="2" customFormat="1" ht="12.75" x14ac:dyDescent="0.2">
      <c r="R54892" s="1288"/>
    </row>
    <row r="54893" spans="18:18" s="2" customFormat="1" ht="12.75" x14ac:dyDescent="0.2">
      <c r="R54893" s="1288"/>
    </row>
    <row r="54894" spans="18:18" s="2" customFormat="1" ht="12.75" x14ac:dyDescent="0.2">
      <c r="R54894" s="1288"/>
    </row>
    <row r="54895" spans="18:18" s="2" customFormat="1" ht="12.75" x14ac:dyDescent="0.2">
      <c r="R54895" s="1288"/>
    </row>
    <row r="54896" spans="18:18" s="2" customFormat="1" ht="12.75" x14ac:dyDescent="0.2">
      <c r="R54896" s="1288"/>
    </row>
    <row r="54897" spans="18:18" s="2" customFormat="1" ht="12.75" x14ac:dyDescent="0.2">
      <c r="R54897" s="1288"/>
    </row>
    <row r="54898" spans="18:18" s="2" customFormat="1" ht="12.75" x14ac:dyDescent="0.2">
      <c r="R54898" s="1288"/>
    </row>
    <row r="54899" spans="18:18" s="2" customFormat="1" ht="12.75" x14ac:dyDescent="0.2">
      <c r="R54899" s="1288"/>
    </row>
    <row r="54900" spans="18:18" s="2" customFormat="1" ht="12.75" x14ac:dyDescent="0.2">
      <c r="R54900" s="1288"/>
    </row>
    <row r="54901" spans="18:18" s="2" customFormat="1" ht="12.75" x14ac:dyDescent="0.2">
      <c r="R54901" s="1288"/>
    </row>
    <row r="54902" spans="18:18" s="2" customFormat="1" ht="12.75" x14ac:dyDescent="0.2">
      <c r="R54902" s="1288"/>
    </row>
    <row r="54903" spans="18:18" s="2" customFormat="1" ht="12.75" x14ac:dyDescent="0.2">
      <c r="R54903" s="1288"/>
    </row>
    <row r="54904" spans="18:18" s="2" customFormat="1" ht="12.75" x14ac:dyDescent="0.2">
      <c r="R54904" s="1288"/>
    </row>
    <row r="54905" spans="18:18" s="2" customFormat="1" ht="12.75" x14ac:dyDescent="0.2">
      <c r="R54905" s="1288"/>
    </row>
    <row r="54906" spans="18:18" s="2" customFormat="1" ht="12.75" x14ac:dyDescent="0.2">
      <c r="R54906" s="1288"/>
    </row>
    <row r="54907" spans="18:18" s="2" customFormat="1" ht="12.75" x14ac:dyDescent="0.2">
      <c r="R54907" s="1288"/>
    </row>
    <row r="54908" spans="18:18" s="2" customFormat="1" ht="12.75" x14ac:dyDescent="0.2">
      <c r="R54908" s="1288"/>
    </row>
    <row r="54909" spans="18:18" s="2" customFormat="1" ht="12.75" x14ac:dyDescent="0.2">
      <c r="R54909" s="1288"/>
    </row>
    <row r="54910" spans="18:18" s="2" customFormat="1" ht="12.75" x14ac:dyDescent="0.2">
      <c r="R54910" s="1288"/>
    </row>
    <row r="54911" spans="18:18" s="2" customFormat="1" ht="12.75" x14ac:dyDescent="0.2">
      <c r="R54911" s="1288"/>
    </row>
    <row r="54912" spans="18:18" s="2" customFormat="1" ht="12.75" x14ac:dyDescent="0.2">
      <c r="R54912" s="1288"/>
    </row>
    <row r="54913" spans="18:18" s="2" customFormat="1" ht="12.75" x14ac:dyDescent="0.2">
      <c r="R54913" s="1288"/>
    </row>
    <row r="54914" spans="18:18" s="2" customFormat="1" ht="12.75" x14ac:dyDescent="0.2">
      <c r="R54914" s="1288"/>
    </row>
    <row r="54915" spans="18:18" s="2" customFormat="1" ht="12.75" x14ac:dyDescent="0.2">
      <c r="R54915" s="1288"/>
    </row>
    <row r="54916" spans="18:18" s="2" customFormat="1" ht="12.75" x14ac:dyDescent="0.2">
      <c r="R54916" s="1288"/>
    </row>
    <row r="54917" spans="18:18" s="2" customFormat="1" ht="12.75" x14ac:dyDescent="0.2">
      <c r="R54917" s="1288"/>
    </row>
    <row r="54918" spans="18:18" s="2" customFormat="1" ht="12.75" x14ac:dyDescent="0.2">
      <c r="R54918" s="1288"/>
    </row>
    <row r="54919" spans="18:18" s="2" customFormat="1" ht="12.75" x14ac:dyDescent="0.2">
      <c r="R54919" s="1288"/>
    </row>
    <row r="54920" spans="18:18" s="2" customFormat="1" ht="12.75" x14ac:dyDescent="0.2">
      <c r="R54920" s="1288"/>
    </row>
    <row r="54921" spans="18:18" s="2" customFormat="1" ht="12.75" x14ac:dyDescent="0.2">
      <c r="R54921" s="1288"/>
    </row>
    <row r="54922" spans="18:18" s="2" customFormat="1" ht="12.75" x14ac:dyDescent="0.2">
      <c r="R54922" s="1288"/>
    </row>
    <row r="54923" spans="18:18" s="2" customFormat="1" ht="12.75" x14ac:dyDescent="0.2">
      <c r="R54923" s="1288"/>
    </row>
    <row r="54924" spans="18:18" s="2" customFormat="1" ht="12.75" x14ac:dyDescent="0.2">
      <c r="R54924" s="1288"/>
    </row>
    <row r="54925" spans="18:18" s="2" customFormat="1" ht="12.75" x14ac:dyDescent="0.2">
      <c r="R54925" s="1288"/>
    </row>
    <row r="54926" spans="18:18" s="2" customFormat="1" ht="12.75" x14ac:dyDescent="0.2">
      <c r="R54926" s="1288"/>
    </row>
    <row r="54927" spans="18:18" s="2" customFormat="1" ht="12.75" x14ac:dyDescent="0.2">
      <c r="R54927" s="1288"/>
    </row>
    <row r="54928" spans="18:18" s="2" customFormat="1" ht="12.75" x14ac:dyDescent="0.2">
      <c r="R54928" s="1288"/>
    </row>
    <row r="54929" spans="18:18" s="2" customFormat="1" ht="12.75" x14ac:dyDescent="0.2">
      <c r="R54929" s="1288"/>
    </row>
    <row r="54930" spans="18:18" s="2" customFormat="1" ht="12.75" x14ac:dyDescent="0.2">
      <c r="R54930" s="1288"/>
    </row>
    <row r="54931" spans="18:18" s="2" customFormat="1" ht="12.75" x14ac:dyDescent="0.2">
      <c r="R54931" s="1288"/>
    </row>
    <row r="54932" spans="18:18" s="2" customFormat="1" ht="12.75" x14ac:dyDescent="0.2">
      <c r="R54932" s="1288"/>
    </row>
    <row r="54933" spans="18:18" s="2" customFormat="1" ht="12.75" x14ac:dyDescent="0.2">
      <c r="R54933" s="1288"/>
    </row>
    <row r="54934" spans="18:18" s="2" customFormat="1" ht="12.75" x14ac:dyDescent="0.2">
      <c r="R54934" s="1288"/>
    </row>
    <row r="54935" spans="18:18" s="2" customFormat="1" ht="12.75" x14ac:dyDescent="0.2">
      <c r="R54935" s="1288"/>
    </row>
    <row r="54936" spans="18:18" s="2" customFormat="1" ht="12.75" x14ac:dyDescent="0.2">
      <c r="R54936" s="1288"/>
    </row>
    <row r="54937" spans="18:18" s="2" customFormat="1" ht="12.75" x14ac:dyDescent="0.2">
      <c r="R54937" s="1288"/>
    </row>
    <row r="54938" spans="18:18" s="2" customFormat="1" ht="12.75" x14ac:dyDescent="0.2">
      <c r="R54938" s="1288"/>
    </row>
    <row r="54939" spans="18:18" s="2" customFormat="1" ht="12.75" x14ac:dyDescent="0.2">
      <c r="R54939" s="1288"/>
    </row>
    <row r="54940" spans="18:18" s="2" customFormat="1" ht="12.75" x14ac:dyDescent="0.2">
      <c r="R54940" s="1288"/>
    </row>
    <row r="54941" spans="18:18" s="2" customFormat="1" ht="12.75" x14ac:dyDescent="0.2">
      <c r="R54941" s="1288"/>
    </row>
    <row r="54942" spans="18:18" s="2" customFormat="1" ht="12.75" x14ac:dyDescent="0.2">
      <c r="R54942" s="1288"/>
    </row>
    <row r="54943" spans="18:18" s="2" customFormat="1" ht="12.75" x14ac:dyDescent="0.2">
      <c r="R54943" s="1288"/>
    </row>
    <row r="54944" spans="18:18" s="2" customFormat="1" ht="12.75" x14ac:dyDescent="0.2">
      <c r="R54944" s="1288"/>
    </row>
    <row r="54945" spans="18:18" s="2" customFormat="1" ht="12.75" x14ac:dyDescent="0.2">
      <c r="R54945" s="1288"/>
    </row>
    <row r="54946" spans="18:18" s="2" customFormat="1" ht="12.75" x14ac:dyDescent="0.2">
      <c r="R54946" s="1288"/>
    </row>
    <row r="54947" spans="18:18" s="2" customFormat="1" ht="12.75" x14ac:dyDescent="0.2">
      <c r="R54947" s="1288"/>
    </row>
    <row r="54948" spans="18:18" s="2" customFormat="1" ht="12.75" x14ac:dyDescent="0.2">
      <c r="R54948" s="1288"/>
    </row>
    <row r="54949" spans="18:18" s="2" customFormat="1" ht="12.75" x14ac:dyDescent="0.2">
      <c r="R54949" s="1288"/>
    </row>
    <row r="54950" spans="18:18" s="2" customFormat="1" ht="12.75" x14ac:dyDescent="0.2">
      <c r="R54950" s="1288"/>
    </row>
    <row r="54951" spans="18:18" s="2" customFormat="1" ht="12.75" x14ac:dyDescent="0.2">
      <c r="R54951" s="1288"/>
    </row>
    <row r="54952" spans="18:18" s="2" customFormat="1" ht="12.75" x14ac:dyDescent="0.2">
      <c r="R54952" s="1288"/>
    </row>
    <row r="54953" spans="18:18" s="2" customFormat="1" ht="12.75" x14ac:dyDescent="0.2">
      <c r="R54953" s="1288"/>
    </row>
    <row r="54954" spans="18:18" s="2" customFormat="1" ht="12.75" x14ac:dyDescent="0.2">
      <c r="R54954" s="1288"/>
    </row>
    <row r="54955" spans="18:18" s="2" customFormat="1" ht="12.75" x14ac:dyDescent="0.2">
      <c r="R54955" s="1288"/>
    </row>
    <row r="54956" spans="18:18" s="2" customFormat="1" ht="12.75" x14ac:dyDescent="0.2">
      <c r="R54956" s="1288"/>
    </row>
    <row r="54957" spans="18:18" s="2" customFormat="1" ht="12.75" x14ac:dyDescent="0.2">
      <c r="R54957" s="1288"/>
    </row>
    <row r="54958" spans="18:18" s="2" customFormat="1" ht="12.75" x14ac:dyDescent="0.2">
      <c r="R54958" s="1288"/>
    </row>
    <row r="54959" spans="18:18" s="2" customFormat="1" ht="12.75" x14ac:dyDescent="0.2">
      <c r="R54959" s="1288"/>
    </row>
    <row r="54960" spans="18:18" s="2" customFormat="1" ht="12.75" x14ac:dyDescent="0.2">
      <c r="R54960" s="1288"/>
    </row>
    <row r="54961" spans="18:18" s="2" customFormat="1" ht="12.75" x14ac:dyDescent="0.2">
      <c r="R54961" s="1288"/>
    </row>
    <row r="54962" spans="18:18" s="2" customFormat="1" ht="12.75" x14ac:dyDescent="0.2">
      <c r="R54962" s="1288"/>
    </row>
    <row r="54963" spans="18:18" s="2" customFormat="1" ht="12.75" x14ac:dyDescent="0.2">
      <c r="R54963" s="1288"/>
    </row>
    <row r="54964" spans="18:18" s="2" customFormat="1" ht="12.75" x14ac:dyDescent="0.2">
      <c r="R54964" s="1288"/>
    </row>
    <row r="54965" spans="18:18" s="2" customFormat="1" ht="12.75" x14ac:dyDescent="0.2">
      <c r="R54965" s="1288"/>
    </row>
    <row r="54966" spans="18:18" s="2" customFormat="1" ht="12.75" x14ac:dyDescent="0.2">
      <c r="R54966" s="1288"/>
    </row>
    <row r="54967" spans="18:18" s="2" customFormat="1" ht="12.75" x14ac:dyDescent="0.2">
      <c r="R54967" s="1288"/>
    </row>
    <row r="54968" spans="18:18" s="2" customFormat="1" ht="12.75" x14ac:dyDescent="0.2">
      <c r="R54968" s="1288"/>
    </row>
    <row r="54969" spans="18:18" s="2" customFormat="1" ht="12.75" x14ac:dyDescent="0.2">
      <c r="R54969" s="1288"/>
    </row>
    <row r="54970" spans="18:18" s="2" customFormat="1" ht="12.75" x14ac:dyDescent="0.2">
      <c r="R54970" s="1288"/>
    </row>
    <row r="54971" spans="18:18" s="2" customFormat="1" ht="12.75" x14ac:dyDescent="0.2">
      <c r="R54971" s="1288"/>
    </row>
    <row r="54972" spans="18:18" s="2" customFormat="1" ht="12.75" x14ac:dyDescent="0.2">
      <c r="R54972" s="1288"/>
    </row>
    <row r="54973" spans="18:18" s="2" customFormat="1" ht="12.75" x14ac:dyDescent="0.2">
      <c r="R54973" s="1288"/>
    </row>
    <row r="54974" spans="18:18" s="2" customFormat="1" ht="12.75" x14ac:dyDescent="0.2">
      <c r="R54974" s="1288"/>
    </row>
    <row r="54975" spans="18:18" s="2" customFormat="1" ht="12.75" x14ac:dyDescent="0.2">
      <c r="R54975" s="1288"/>
    </row>
    <row r="54976" spans="18:18" s="2" customFormat="1" ht="12.75" x14ac:dyDescent="0.2">
      <c r="R54976" s="1288"/>
    </row>
    <row r="54977" spans="18:18" s="2" customFormat="1" ht="12.75" x14ac:dyDescent="0.2">
      <c r="R54977" s="1288"/>
    </row>
    <row r="54978" spans="18:18" s="2" customFormat="1" ht="12.75" x14ac:dyDescent="0.2">
      <c r="R54978" s="1288"/>
    </row>
    <row r="54979" spans="18:18" s="2" customFormat="1" ht="12.75" x14ac:dyDescent="0.2">
      <c r="R54979" s="1288"/>
    </row>
    <row r="54980" spans="18:18" s="2" customFormat="1" ht="12.75" x14ac:dyDescent="0.2">
      <c r="R54980" s="1288"/>
    </row>
    <row r="54981" spans="18:18" s="2" customFormat="1" ht="12.75" x14ac:dyDescent="0.2">
      <c r="R54981" s="1288"/>
    </row>
    <row r="54982" spans="18:18" s="2" customFormat="1" ht="12.75" x14ac:dyDescent="0.2">
      <c r="R54982" s="1288"/>
    </row>
    <row r="54983" spans="18:18" s="2" customFormat="1" ht="12.75" x14ac:dyDescent="0.2">
      <c r="R54983" s="1288"/>
    </row>
    <row r="54984" spans="18:18" s="2" customFormat="1" ht="12.75" x14ac:dyDescent="0.2">
      <c r="R54984" s="1288"/>
    </row>
    <row r="54985" spans="18:18" s="2" customFormat="1" ht="12.75" x14ac:dyDescent="0.2">
      <c r="R54985" s="1288"/>
    </row>
    <row r="54986" spans="18:18" s="2" customFormat="1" ht="12.75" x14ac:dyDescent="0.2">
      <c r="R54986" s="1288"/>
    </row>
    <row r="54987" spans="18:18" s="2" customFormat="1" ht="12.75" x14ac:dyDescent="0.2">
      <c r="R54987" s="1288"/>
    </row>
    <row r="54988" spans="18:18" s="2" customFormat="1" ht="12.75" x14ac:dyDescent="0.2">
      <c r="R54988" s="1288"/>
    </row>
    <row r="54989" spans="18:18" s="2" customFormat="1" ht="12.75" x14ac:dyDescent="0.2">
      <c r="R54989" s="1288"/>
    </row>
    <row r="54990" spans="18:18" s="2" customFormat="1" ht="12.75" x14ac:dyDescent="0.2">
      <c r="R54990" s="1288"/>
    </row>
    <row r="54991" spans="18:18" s="2" customFormat="1" ht="12.75" x14ac:dyDescent="0.2">
      <c r="R54991" s="1288"/>
    </row>
    <row r="54992" spans="18:18" s="2" customFormat="1" ht="12.75" x14ac:dyDescent="0.2">
      <c r="R54992" s="1288"/>
    </row>
    <row r="54993" spans="18:18" s="2" customFormat="1" ht="12.75" x14ac:dyDescent="0.2">
      <c r="R54993" s="1288"/>
    </row>
    <row r="54994" spans="18:18" s="2" customFormat="1" ht="12.75" x14ac:dyDescent="0.2">
      <c r="R54994" s="1288"/>
    </row>
    <row r="54995" spans="18:18" s="2" customFormat="1" ht="12.75" x14ac:dyDescent="0.2">
      <c r="R54995" s="1288"/>
    </row>
    <row r="54996" spans="18:18" s="2" customFormat="1" ht="12.75" x14ac:dyDescent="0.2">
      <c r="R54996" s="1288"/>
    </row>
    <row r="54997" spans="18:18" s="2" customFormat="1" ht="12.75" x14ac:dyDescent="0.2">
      <c r="R54997" s="1288"/>
    </row>
    <row r="54998" spans="18:18" s="2" customFormat="1" ht="12.75" x14ac:dyDescent="0.2">
      <c r="R54998" s="1288"/>
    </row>
    <row r="54999" spans="18:18" s="2" customFormat="1" ht="12.75" x14ac:dyDescent="0.2">
      <c r="R54999" s="1288"/>
    </row>
    <row r="55000" spans="18:18" s="2" customFormat="1" ht="12.75" x14ac:dyDescent="0.2">
      <c r="R55000" s="1288"/>
    </row>
    <row r="55001" spans="18:18" s="2" customFormat="1" ht="12.75" x14ac:dyDescent="0.2">
      <c r="R55001" s="1288"/>
    </row>
    <row r="55002" spans="18:18" s="2" customFormat="1" ht="12.75" x14ac:dyDescent="0.2">
      <c r="R55002" s="1288"/>
    </row>
    <row r="55003" spans="18:18" s="2" customFormat="1" ht="12.75" x14ac:dyDescent="0.2">
      <c r="R55003" s="1288"/>
    </row>
    <row r="55004" spans="18:18" s="2" customFormat="1" ht="12.75" x14ac:dyDescent="0.2">
      <c r="R55004" s="1288"/>
    </row>
    <row r="55005" spans="18:18" s="2" customFormat="1" ht="12.75" x14ac:dyDescent="0.2">
      <c r="R55005" s="1288"/>
    </row>
    <row r="55006" spans="18:18" s="2" customFormat="1" ht="12.75" x14ac:dyDescent="0.2">
      <c r="R55006" s="1288"/>
    </row>
    <row r="55007" spans="18:18" s="2" customFormat="1" ht="12.75" x14ac:dyDescent="0.2">
      <c r="R55007" s="1288"/>
    </row>
    <row r="55008" spans="18:18" s="2" customFormat="1" ht="12.75" x14ac:dyDescent="0.2">
      <c r="R55008" s="1288"/>
    </row>
    <row r="55009" spans="18:18" s="2" customFormat="1" ht="12.75" x14ac:dyDescent="0.2">
      <c r="R55009" s="1288"/>
    </row>
    <row r="55010" spans="18:18" s="2" customFormat="1" ht="12.75" x14ac:dyDescent="0.2">
      <c r="R55010" s="1288"/>
    </row>
    <row r="55011" spans="18:18" s="2" customFormat="1" ht="12.75" x14ac:dyDescent="0.2">
      <c r="R55011" s="1288"/>
    </row>
    <row r="55012" spans="18:18" s="2" customFormat="1" ht="12.75" x14ac:dyDescent="0.2">
      <c r="R55012" s="1288"/>
    </row>
    <row r="55013" spans="18:18" s="2" customFormat="1" ht="12.75" x14ac:dyDescent="0.2">
      <c r="R55013" s="1288"/>
    </row>
    <row r="55014" spans="18:18" s="2" customFormat="1" ht="12.75" x14ac:dyDescent="0.2">
      <c r="R55014" s="1288"/>
    </row>
    <row r="55015" spans="18:18" s="2" customFormat="1" ht="12.75" x14ac:dyDescent="0.2">
      <c r="R55015" s="1288"/>
    </row>
    <row r="55016" spans="18:18" s="2" customFormat="1" ht="12.75" x14ac:dyDescent="0.2">
      <c r="R55016" s="1288"/>
    </row>
    <row r="55017" spans="18:18" s="2" customFormat="1" ht="12.75" x14ac:dyDescent="0.2">
      <c r="R55017" s="1288"/>
    </row>
    <row r="55018" spans="18:18" s="2" customFormat="1" ht="12.75" x14ac:dyDescent="0.2">
      <c r="R55018" s="1288"/>
    </row>
    <row r="55019" spans="18:18" s="2" customFormat="1" ht="12.75" x14ac:dyDescent="0.2">
      <c r="R55019" s="1288"/>
    </row>
    <row r="55020" spans="18:18" s="2" customFormat="1" ht="12.75" x14ac:dyDescent="0.2">
      <c r="R55020" s="1288"/>
    </row>
    <row r="55021" spans="18:18" s="2" customFormat="1" ht="12.75" x14ac:dyDescent="0.2">
      <c r="R55021" s="1288"/>
    </row>
    <row r="55022" spans="18:18" s="2" customFormat="1" ht="12.75" x14ac:dyDescent="0.2">
      <c r="R55022" s="1288"/>
    </row>
    <row r="55023" spans="18:18" s="2" customFormat="1" ht="12.75" x14ac:dyDescent="0.2">
      <c r="R55023" s="1288"/>
    </row>
    <row r="55024" spans="18:18" s="2" customFormat="1" ht="12.75" x14ac:dyDescent="0.2">
      <c r="R55024" s="1288"/>
    </row>
    <row r="55025" spans="18:18" s="2" customFormat="1" ht="12.75" x14ac:dyDescent="0.2">
      <c r="R55025" s="1288"/>
    </row>
    <row r="55026" spans="18:18" s="2" customFormat="1" ht="12.75" x14ac:dyDescent="0.2">
      <c r="R55026" s="1288"/>
    </row>
    <row r="55027" spans="18:18" s="2" customFormat="1" ht="12.75" x14ac:dyDescent="0.2">
      <c r="R55027" s="1288"/>
    </row>
    <row r="55028" spans="18:18" s="2" customFormat="1" ht="12.75" x14ac:dyDescent="0.2">
      <c r="R55028" s="1288"/>
    </row>
    <row r="55029" spans="18:18" s="2" customFormat="1" ht="12.75" x14ac:dyDescent="0.2">
      <c r="R55029" s="1288"/>
    </row>
    <row r="55030" spans="18:18" s="2" customFormat="1" ht="12.75" x14ac:dyDescent="0.2">
      <c r="R55030" s="1288"/>
    </row>
    <row r="55031" spans="18:18" s="2" customFormat="1" ht="12.75" x14ac:dyDescent="0.2">
      <c r="R55031" s="1288"/>
    </row>
    <row r="55032" spans="18:18" s="2" customFormat="1" ht="12.75" x14ac:dyDescent="0.2">
      <c r="R55032" s="1288"/>
    </row>
    <row r="55033" spans="18:18" s="2" customFormat="1" ht="12.75" x14ac:dyDescent="0.2">
      <c r="R55033" s="1288"/>
    </row>
    <row r="55034" spans="18:18" s="2" customFormat="1" ht="12.75" x14ac:dyDescent="0.2">
      <c r="R55034" s="1288"/>
    </row>
    <row r="55035" spans="18:18" s="2" customFormat="1" ht="12.75" x14ac:dyDescent="0.2">
      <c r="R55035" s="1288"/>
    </row>
    <row r="55036" spans="18:18" s="2" customFormat="1" ht="12.75" x14ac:dyDescent="0.2">
      <c r="R55036" s="1288"/>
    </row>
    <row r="55037" spans="18:18" s="2" customFormat="1" ht="12.75" x14ac:dyDescent="0.2">
      <c r="R55037" s="1288"/>
    </row>
    <row r="55038" spans="18:18" s="2" customFormat="1" ht="12.75" x14ac:dyDescent="0.2">
      <c r="R55038" s="1288"/>
    </row>
    <row r="55039" spans="18:18" s="2" customFormat="1" ht="12.75" x14ac:dyDescent="0.2">
      <c r="R55039" s="1288"/>
    </row>
    <row r="55040" spans="18:18" s="2" customFormat="1" ht="12.75" x14ac:dyDescent="0.2">
      <c r="R55040" s="1288"/>
    </row>
    <row r="55041" spans="18:18" s="2" customFormat="1" ht="12.75" x14ac:dyDescent="0.2">
      <c r="R55041" s="1288"/>
    </row>
    <row r="55042" spans="18:18" s="2" customFormat="1" ht="12.75" x14ac:dyDescent="0.2">
      <c r="R55042" s="1288"/>
    </row>
    <row r="55043" spans="18:18" s="2" customFormat="1" ht="12.75" x14ac:dyDescent="0.2">
      <c r="R55043" s="1288"/>
    </row>
    <row r="55044" spans="18:18" s="2" customFormat="1" ht="12.75" x14ac:dyDescent="0.2">
      <c r="R55044" s="1288"/>
    </row>
    <row r="55045" spans="18:18" s="2" customFormat="1" ht="12.75" x14ac:dyDescent="0.2">
      <c r="R55045" s="1288"/>
    </row>
    <row r="55046" spans="18:18" s="2" customFormat="1" ht="12.75" x14ac:dyDescent="0.2">
      <c r="R55046" s="1288"/>
    </row>
    <row r="55047" spans="18:18" s="2" customFormat="1" ht="12.75" x14ac:dyDescent="0.2">
      <c r="R55047" s="1288"/>
    </row>
    <row r="55048" spans="18:18" s="2" customFormat="1" ht="12.75" x14ac:dyDescent="0.2">
      <c r="R55048" s="1288"/>
    </row>
    <row r="55049" spans="18:18" s="2" customFormat="1" ht="12.75" x14ac:dyDescent="0.2">
      <c r="R55049" s="1288"/>
    </row>
    <row r="55050" spans="18:18" s="2" customFormat="1" ht="12.75" x14ac:dyDescent="0.2">
      <c r="R55050" s="1288"/>
    </row>
    <row r="55051" spans="18:18" s="2" customFormat="1" ht="12.75" x14ac:dyDescent="0.2">
      <c r="R55051" s="1288"/>
    </row>
    <row r="55052" spans="18:18" s="2" customFormat="1" ht="12.75" x14ac:dyDescent="0.2">
      <c r="R55052" s="1288"/>
    </row>
    <row r="55053" spans="18:18" s="2" customFormat="1" ht="12.75" x14ac:dyDescent="0.2">
      <c r="R55053" s="1288"/>
    </row>
    <row r="55054" spans="18:18" s="2" customFormat="1" ht="12.75" x14ac:dyDescent="0.2">
      <c r="R55054" s="1288"/>
    </row>
    <row r="55055" spans="18:18" s="2" customFormat="1" ht="12.75" x14ac:dyDescent="0.2">
      <c r="R55055" s="1288"/>
    </row>
    <row r="55056" spans="18:18" s="2" customFormat="1" ht="12.75" x14ac:dyDescent="0.2">
      <c r="R55056" s="1288"/>
    </row>
    <row r="55057" spans="18:18" s="2" customFormat="1" ht="12.75" x14ac:dyDescent="0.2">
      <c r="R55057" s="1288"/>
    </row>
    <row r="55058" spans="18:18" s="2" customFormat="1" ht="12.75" x14ac:dyDescent="0.2">
      <c r="R55058" s="1288"/>
    </row>
    <row r="55059" spans="18:18" s="2" customFormat="1" ht="12.75" x14ac:dyDescent="0.2">
      <c r="R55059" s="1288"/>
    </row>
    <row r="55060" spans="18:18" s="2" customFormat="1" ht="12.75" x14ac:dyDescent="0.2">
      <c r="R55060" s="1288"/>
    </row>
    <row r="55061" spans="18:18" s="2" customFormat="1" ht="12.75" x14ac:dyDescent="0.2">
      <c r="R55061" s="1288"/>
    </row>
    <row r="55062" spans="18:18" s="2" customFormat="1" ht="12.75" x14ac:dyDescent="0.2">
      <c r="R55062" s="1288"/>
    </row>
    <row r="55063" spans="18:18" s="2" customFormat="1" ht="12.75" x14ac:dyDescent="0.2">
      <c r="R55063" s="1288"/>
    </row>
    <row r="55064" spans="18:18" s="2" customFormat="1" ht="12.75" x14ac:dyDescent="0.2">
      <c r="R55064" s="1288"/>
    </row>
    <row r="55065" spans="18:18" s="2" customFormat="1" ht="12.75" x14ac:dyDescent="0.2">
      <c r="R55065" s="1288"/>
    </row>
    <row r="55066" spans="18:18" s="2" customFormat="1" ht="12.75" x14ac:dyDescent="0.2">
      <c r="R55066" s="1288"/>
    </row>
    <row r="55067" spans="18:18" s="2" customFormat="1" ht="12.75" x14ac:dyDescent="0.2">
      <c r="R55067" s="1288"/>
    </row>
    <row r="55068" spans="18:18" s="2" customFormat="1" ht="12.75" x14ac:dyDescent="0.2">
      <c r="R55068" s="1288"/>
    </row>
    <row r="55069" spans="18:18" s="2" customFormat="1" ht="12.75" x14ac:dyDescent="0.2">
      <c r="R55069" s="1288"/>
    </row>
    <row r="55070" spans="18:18" s="2" customFormat="1" ht="12.75" x14ac:dyDescent="0.2">
      <c r="R55070" s="1288"/>
    </row>
    <row r="55071" spans="18:18" s="2" customFormat="1" ht="12.75" x14ac:dyDescent="0.2">
      <c r="R55071" s="1288"/>
    </row>
    <row r="55072" spans="18:18" s="2" customFormat="1" ht="12.75" x14ac:dyDescent="0.2">
      <c r="R55072" s="1288"/>
    </row>
    <row r="55073" spans="18:18" s="2" customFormat="1" ht="12.75" x14ac:dyDescent="0.2">
      <c r="R55073" s="1288"/>
    </row>
    <row r="55074" spans="18:18" s="2" customFormat="1" ht="12.75" x14ac:dyDescent="0.2">
      <c r="R55074" s="1288"/>
    </row>
    <row r="55075" spans="18:18" s="2" customFormat="1" ht="12.75" x14ac:dyDescent="0.2">
      <c r="R55075" s="1288"/>
    </row>
    <row r="55076" spans="18:18" s="2" customFormat="1" ht="12.75" x14ac:dyDescent="0.2">
      <c r="R55076" s="1288"/>
    </row>
    <row r="55077" spans="18:18" s="2" customFormat="1" ht="12.75" x14ac:dyDescent="0.2">
      <c r="R55077" s="1288"/>
    </row>
    <row r="55078" spans="18:18" s="2" customFormat="1" ht="12.75" x14ac:dyDescent="0.2">
      <c r="R55078" s="1288"/>
    </row>
    <row r="55079" spans="18:18" s="2" customFormat="1" ht="12.75" x14ac:dyDescent="0.2">
      <c r="R55079" s="1288"/>
    </row>
    <row r="55080" spans="18:18" s="2" customFormat="1" ht="12.75" x14ac:dyDescent="0.2">
      <c r="R55080" s="1288"/>
    </row>
    <row r="55081" spans="18:18" s="2" customFormat="1" ht="12.75" x14ac:dyDescent="0.2">
      <c r="R55081" s="1288"/>
    </row>
    <row r="55082" spans="18:18" s="2" customFormat="1" ht="12.75" x14ac:dyDescent="0.2">
      <c r="R55082" s="1288"/>
    </row>
    <row r="55083" spans="18:18" s="2" customFormat="1" ht="12.75" x14ac:dyDescent="0.2">
      <c r="R55083" s="1288"/>
    </row>
    <row r="55084" spans="18:18" s="2" customFormat="1" ht="12.75" x14ac:dyDescent="0.2">
      <c r="R55084" s="1288"/>
    </row>
    <row r="55085" spans="18:18" s="2" customFormat="1" ht="12.75" x14ac:dyDescent="0.2">
      <c r="R55085" s="1288"/>
    </row>
    <row r="55086" spans="18:18" s="2" customFormat="1" ht="12.75" x14ac:dyDescent="0.2">
      <c r="R55086" s="1288"/>
    </row>
    <row r="55087" spans="18:18" s="2" customFormat="1" ht="12.75" x14ac:dyDescent="0.2">
      <c r="R55087" s="1288"/>
    </row>
    <row r="55088" spans="18:18" s="2" customFormat="1" ht="12.75" x14ac:dyDescent="0.2">
      <c r="R55088" s="1288"/>
    </row>
    <row r="55089" spans="18:18" s="2" customFormat="1" ht="12.75" x14ac:dyDescent="0.2">
      <c r="R55089" s="1288"/>
    </row>
    <row r="55090" spans="18:18" s="2" customFormat="1" ht="12.75" x14ac:dyDescent="0.2">
      <c r="R55090" s="1288"/>
    </row>
    <row r="55091" spans="18:18" s="2" customFormat="1" ht="12.75" x14ac:dyDescent="0.2">
      <c r="R55091" s="1288"/>
    </row>
    <row r="55092" spans="18:18" s="2" customFormat="1" ht="12.75" x14ac:dyDescent="0.2">
      <c r="R55092" s="1288"/>
    </row>
    <row r="55093" spans="18:18" s="2" customFormat="1" ht="12.75" x14ac:dyDescent="0.2">
      <c r="R55093" s="1288"/>
    </row>
    <row r="55094" spans="18:18" s="2" customFormat="1" ht="12.75" x14ac:dyDescent="0.2">
      <c r="R55094" s="1288"/>
    </row>
    <row r="55095" spans="18:18" s="2" customFormat="1" ht="12.75" x14ac:dyDescent="0.2">
      <c r="R55095" s="1288"/>
    </row>
    <row r="55096" spans="18:18" s="2" customFormat="1" ht="12.75" x14ac:dyDescent="0.2">
      <c r="R55096" s="1288"/>
    </row>
    <row r="55097" spans="18:18" s="2" customFormat="1" ht="12.75" x14ac:dyDescent="0.2">
      <c r="R55097" s="1288"/>
    </row>
    <row r="55098" spans="18:18" s="2" customFormat="1" ht="12.75" x14ac:dyDescent="0.2">
      <c r="R55098" s="1288"/>
    </row>
    <row r="55099" spans="18:18" s="2" customFormat="1" ht="12.75" x14ac:dyDescent="0.2">
      <c r="R55099" s="1288"/>
    </row>
    <row r="55100" spans="18:18" s="2" customFormat="1" ht="12.75" x14ac:dyDescent="0.2">
      <c r="R55100" s="1288"/>
    </row>
    <row r="55101" spans="18:18" s="2" customFormat="1" ht="12.75" x14ac:dyDescent="0.2">
      <c r="R55101" s="1288"/>
    </row>
    <row r="55102" spans="18:18" s="2" customFormat="1" ht="12.75" x14ac:dyDescent="0.2">
      <c r="R55102" s="1288"/>
    </row>
    <row r="55103" spans="18:18" s="2" customFormat="1" ht="12.75" x14ac:dyDescent="0.2">
      <c r="R55103" s="1288"/>
    </row>
    <row r="55104" spans="18:18" s="2" customFormat="1" ht="12.75" x14ac:dyDescent="0.2">
      <c r="R55104" s="1288"/>
    </row>
    <row r="55105" spans="18:18" s="2" customFormat="1" ht="12.75" x14ac:dyDescent="0.2">
      <c r="R55105" s="1288"/>
    </row>
    <row r="55106" spans="18:18" s="2" customFormat="1" ht="12.75" x14ac:dyDescent="0.2">
      <c r="R55106" s="1288"/>
    </row>
    <row r="55107" spans="18:18" s="2" customFormat="1" ht="12.75" x14ac:dyDescent="0.2">
      <c r="R55107" s="1288"/>
    </row>
    <row r="55108" spans="18:18" s="2" customFormat="1" ht="12.75" x14ac:dyDescent="0.2">
      <c r="R55108" s="1288"/>
    </row>
    <row r="55109" spans="18:18" s="2" customFormat="1" ht="12.75" x14ac:dyDescent="0.2">
      <c r="R55109" s="1288"/>
    </row>
    <row r="55110" spans="18:18" s="2" customFormat="1" ht="12.75" x14ac:dyDescent="0.2">
      <c r="R55110" s="1288"/>
    </row>
    <row r="55111" spans="18:18" s="2" customFormat="1" ht="12.75" x14ac:dyDescent="0.2">
      <c r="R55111" s="1288"/>
    </row>
    <row r="55112" spans="18:18" s="2" customFormat="1" ht="12.75" x14ac:dyDescent="0.2">
      <c r="R55112" s="1288"/>
    </row>
    <row r="55113" spans="18:18" s="2" customFormat="1" ht="12.75" x14ac:dyDescent="0.2">
      <c r="R55113" s="1288"/>
    </row>
    <row r="55114" spans="18:18" s="2" customFormat="1" ht="12.75" x14ac:dyDescent="0.2">
      <c r="R55114" s="1288"/>
    </row>
    <row r="55115" spans="18:18" s="2" customFormat="1" ht="12.75" x14ac:dyDescent="0.2">
      <c r="R55115" s="1288"/>
    </row>
    <row r="55116" spans="18:18" s="2" customFormat="1" ht="12.75" x14ac:dyDescent="0.2">
      <c r="R55116" s="1288"/>
    </row>
    <row r="55117" spans="18:18" s="2" customFormat="1" ht="12.75" x14ac:dyDescent="0.2">
      <c r="R55117" s="1288"/>
    </row>
    <row r="55118" spans="18:18" s="2" customFormat="1" ht="12.75" x14ac:dyDescent="0.2">
      <c r="R55118" s="1288"/>
    </row>
    <row r="55119" spans="18:18" s="2" customFormat="1" ht="12.75" x14ac:dyDescent="0.2">
      <c r="R55119" s="1288"/>
    </row>
    <row r="55120" spans="18:18" s="2" customFormat="1" ht="12.75" x14ac:dyDescent="0.2">
      <c r="R55120" s="1288"/>
    </row>
    <row r="55121" spans="18:18" s="2" customFormat="1" ht="12.75" x14ac:dyDescent="0.2">
      <c r="R55121" s="1288"/>
    </row>
    <row r="55122" spans="18:18" s="2" customFormat="1" ht="12.75" x14ac:dyDescent="0.2">
      <c r="R55122" s="1288"/>
    </row>
    <row r="55123" spans="18:18" s="2" customFormat="1" ht="12.75" x14ac:dyDescent="0.2">
      <c r="R55123" s="1288"/>
    </row>
    <row r="55124" spans="18:18" s="2" customFormat="1" ht="12.75" x14ac:dyDescent="0.2">
      <c r="R55124" s="1288"/>
    </row>
    <row r="55125" spans="18:18" s="2" customFormat="1" ht="12.75" x14ac:dyDescent="0.2">
      <c r="R55125" s="1288"/>
    </row>
    <row r="55126" spans="18:18" s="2" customFormat="1" ht="12.75" x14ac:dyDescent="0.2">
      <c r="R55126" s="1288"/>
    </row>
    <row r="55127" spans="18:18" s="2" customFormat="1" ht="12.75" x14ac:dyDescent="0.2">
      <c r="R55127" s="1288"/>
    </row>
    <row r="55128" spans="18:18" s="2" customFormat="1" ht="12.75" x14ac:dyDescent="0.2">
      <c r="R55128" s="1288"/>
    </row>
    <row r="55129" spans="18:18" s="2" customFormat="1" ht="12.75" x14ac:dyDescent="0.2">
      <c r="R55129" s="1288"/>
    </row>
    <row r="55130" spans="18:18" s="2" customFormat="1" ht="12.75" x14ac:dyDescent="0.2">
      <c r="R55130" s="1288"/>
    </row>
    <row r="55131" spans="18:18" s="2" customFormat="1" ht="12.75" x14ac:dyDescent="0.2">
      <c r="R55131" s="1288"/>
    </row>
    <row r="55132" spans="18:18" s="2" customFormat="1" ht="12.75" x14ac:dyDescent="0.2">
      <c r="R55132" s="1288"/>
    </row>
    <row r="55133" spans="18:18" s="2" customFormat="1" ht="12.75" x14ac:dyDescent="0.2">
      <c r="R55133" s="1288"/>
    </row>
    <row r="55134" spans="18:18" s="2" customFormat="1" ht="12.75" x14ac:dyDescent="0.2">
      <c r="R55134" s="1288"/>
    </row>
    <row r="55135" spans="18:18" s="2" customFormat="1" ht="12.75" x14ac:dyDescent="0.2">
      <c r="R55135" s="1288"/>
    </row>
    <row r="55136" spans="18:18" s="2" customFormat="1" ht="12.75" x14ac:dyDescent="0.2">
      <c r="R55136" s="1288"/>
    </row>
    <row r="55137" spans="18:18" s="2" customFormat="1" ht="12.75" x14ac:dyDescent="0.2">
      <c r="R55137" s="1288"/>
    </row>
    <row r="55138" spans="18:18" s="2" customFormat="1" ht="12.75" x14ac:dyDescent="0.2">
      <c r="R55138" s="1288"/>
    </row>
    <row r="55139" spans="18:18" s="2" customFormat="1" ht="12.75" x14ac:dyDescent="0.2">
      <c r="R55139" s="1288"/>
    </row>
    <row r="55140" spans="18:18" s="2" customFormat="1" ht="12.75" x14ac:dyDescent="0.2">
      <c r="R55140" s="1288"/>
    </row>
    <row r="55141" spans="18:18" s="2" customFormat="1" ht="12.75" x14ac:dyDescent="0.2">
      <c r="R55141" s="1288"/>
    </row>
    <row r="55142" spans="18:18" s="2" customFormat="1" ht="12.75" x14ac:dyDescent="0.2">
      <c r="R55142" s="1288"/>
    </row>
    <row r="55143" spans="18:18" s="2" customFormat="1" ht="12.75" x14ac:dyDescent="0.2">
      <c r="R55143" s="1288"/>
    </row>
    <row r="55144" spans="18:18" s="2" customFormat="1" ht="12.75" x14ac:dyDescent="0.2">
      <c r="R55144" s="1288"/>
    </row>
    <row r="55145" spans="18:18" s="2" customFormat="1" ht="12.75" x14ac:dyDescent="0.2">
      <c r="R55145" s="1288"/>
    </row>
    <row r="55146" spans="18:18" s="2" customFormat="1" ht="12.75" x14ac:dyDescent="0.2">
      <c r="R55146" s="1288"/>
    </row>
    <row r="55147" spans="18:18" s="2" customFormat="1" ht="12.75" x14ac:dyDescent="0.2">
      <c r="R55147" s="1288"/>
    </row>
    <row r="55148" spans="18:18" s="2" customFormat="1" ht="12.75" x14ac:dyDescent="0.2">
      <c r="R55148" s="1288"/>
    </row>
    <row r="55149" spans="18:18" s="2" customFormat="1" ht="12.75" x14ac:dyDescent="0.2">
      <c r="R55149" s="1288"/>
    </row>
    <row r="55150" spans="18:18" s="2" customFormat="1" ht="12.75" x14ac:dyDescent="0.2">
      <c r="R55150" s="1288"/>
    </row>
    <row r="55151" spans="18:18" s="2" customFormat="1" ht="12.75" x14ac:dyDescent="0.2">
      <c r="R55151" s="1288"/>
    </row>
    <row r="55152" spans="18:18" s="2" customFormat="1" ht="12.75" x14ac:dyDescent="0.2">
      <c r="R55152" s="1288"/>
    </row>
    <row r="55153" spans="18:18" s="2" customFormat="1" ht="12.75" x14ac:dyDescent="0.2">
      <c r="R55153" s="1288"/>
    </row>
    <row r="55154" spans="18:18" s="2" customFormat="1" ht="12.75" x14ac:dyDescent="0.2">
      <c r="R55154" s="1288"/>
    </row>
    <row r="55155" spans="18:18" s="2" customFormat="1" ht="12.75" x14ac:dyDescent="0.2">
      <c r="R55155" s="1288"/>
    </row>
    <row r="55156" spans="18:18" s="2" customFormat="1" ht="12.75" x14ac:dyDescent="0.2">
      <c r="R55156" s="1288"/>
    </row>
    <row r="55157" spans="18:18" s="2" customFormat="1" ht="12.75" x14ac:dyDescent="0.2">
      <c r="R55157" s="1288"/>
    </row>
    <row r="55158" spans="18:18" s="2" customFormat="1" ht="12.75" x14ac:dyDescent="0.2">
      <c r="R55158" s="1288"/>
    </row>
    <row r="55159" spans="18:18" s="2" customFormat="1" ht="12.75" x14ac:dyDescent="0.2">
      <c r="R55159" s="1288"/>
    </row>
    <row r="55160" spans="18:18" s="2" customFormat="1" ht="12.75" x14ac:dyDescent="0.2">
      <c r="R55160" s="1288"/>
    </row>
    <row r="55161" spans="18:18" s="2" customFormat="1" ht="12.75" x14ac:dyDescent="0.2">
      <c r="R55161" s="1288"/>
    </row>
    <row r="55162" spans="18:18" s="2" customFormat="1" ht="12.75" x14ac:dyDescent="0.2">
      <c r="R55162" s="1288"/>
    </row>
    <row r="55163" spans="18:18" s="2" customFormat="1" ht="12.75" x14ac:dyDescent="0.2">
      <c r="R55163" s="1288"/>
    </row>
    <row r="55164" spans="18:18" s="2" customFormat="1" ht="12.75" x14ac:dyDescent="0.2">
      <c r="R55164" s="1288"/>
    </row>
    <row r="55165" spans="18:18" s="2" customFormat="1" ht="12.75" x14ac:dyDescent="0.2">
      <c r="R55165" s="1288"/>
    </row>
    <row r="55166" spans="18:18" s="2" customFormat="1" ht="12.75" x14ac:dyDescent="0.2">
      <c r="R55166" s="1288"/>
    </row>
    <row r="55167" spans="18:18" s="2" customFormat="1" ht="12.75" x14ac:dyDescent="0.2">
      <c r="R55167" s="1288"/>
    </row>
    <row r="55168" spans="18:18" s="2" customFormat="1" ht="12.75" x14ac:dyDescent="0.2">
      <c r="R55168" s="1288"/>
    </row>
    <row r="55169" spans="18:18" s="2" customFormat="1" ht="12.75" x14ac:dyDescent="0.2">
      <c r="R55169" s="1288"/>
    </row>
    <row r="55170" spans="18:18" s="2" customFormat="1" ht="12.75" x14ac:dyDescent="0.2">
      <c r="R55170" s="1288"/>
    </row>
    <row r="55171" spans="18:18" s="2" customFormat="1" ht="12.75" x14ac:dyDescent="0.2">
      <c r="R55171" s="1288"/>
    </row>
    <row r="55172" spans="18:18" s="2" customFormat="1" ht="12.75" x14ac:dyDescent="0.2">
      <c r="R55172" s="1288"/>
    </row>
    <row r="55173" spans="18:18" s="2" customFormat="1" ht="12.75" x14ac:dyDescent="0.2">
      <c r="R55173" s="1288"/>
    </row>
    <row r="55174" spans="18:18" s="2" customFormat="1" ht="12.75" x14ac:dyDescent="0.2">
      <c r="R55174" s="1288"/>
    </row>
    <row r="55175" spans="18:18" s="2" customFormat="1" ht="12.75" x14ac:dyDescent="0.2">
      <c r="R55175" s="1288"/>
    </row>
    <row r="55176" spans="18:18" s="2" customFormat="1" ht="12.75" x14ac:dyDescent="0.2">
      <c r="R55176" s="1288"/>
    </row>
    <row r="55177" spans="18:18" s="2" customFormat="1" ht="12.75" x14ac:dyDescent="0.2">
      <c r="R55177" s="1288"/>
    </row>
    <row r="55178" spans="18:18" s="2" customFormat="1" ht="12.75" x14ac:dyDescent="0.2">
      <c r="R55178" s="1288"/>
    </row>
    <row r="55179" spans="18:18" s="2" customFormat="1" ht="12.75" x14ac:dyDescent="0.2">
      <c r="R55179" s="1288"/>
    </row>
    <row r="55180" spans="18:18" s="2" customFormat="1" ht="12.75" x14ac:dyDescent="0.2">
      <c r="R55180" s="1288"/>
    </row>
    <row r="55181" spans="18:18" s="2" customFormat="1" ht="12.75" x14ac:dyDescent="0.2">
      <c r="R55181" s="1288"/>
    </row>
    <row r="55182" spans="18:18" s="2" customFormat="1" ht="12.75" x14ac:dyDescent="0.2">
      <c r="R55182" s="1288"/>
    </row>
    <row r="55183" spans="18:18" s="2" customFormat="1" ht="12.75" x14ac:dyDescent="0.2">
      <c r="R55183" s="1288"/>
    </row>
    <row r="55184" spans="18:18" s="2" customFormat="1" ht="12.75" x14ac:dyDescent="0.2">
      <c r="R55184" s="1288"/>
    </row>
    <row r="55185" spans="18:18" s="2" customFormat="1" ht="12.75" x14ac:dyDescent="0.2">
      <c r="R55185" s="1288"/>
    </row>
    <row r="55186" spans="18:18" s="2" customFormat="1" ht="12.75" x14ac:dyDescent="0.2">
      <c r="R55186" s="1288"/>
    </row>
    <row r="55187" spans="18:18" s="2" customFormat="1" ht="12.75" x14ac:dyDescent="0.2">
      <c r="R55187" s="1288"/>
    </row>
    <row r="55188" spans="18:18" s="2" customFormat="1" ht="12.75" x14ac:dyDescent="0.2">
      <c r="R55188" s="1288"/>
    </row>
    <row r="55189" spans="18:18" s="2" customFormat="1" ht="12.75" x14ac:dyDescent="0.2">
      <c r="R55189" s="1288"/>
    </row>
    <row r="55190" spans="18:18" s="2" customFormat="1" ht="12.75" x14ac:dyDescent="0.2">
      <c r="R55190" s="1288"/>
    </row>
    <row r="55191" spans="18:18" s="2" customFormat="1" ht="12.75" x14ac:dyDescent="0.2">
      <c r="R55191" s="1288"/>
    </row>
    <row r="55192" spans="18:18" s="2" customFormat="1" ht="12.75" x14ac:dyDescent="0.2">
      <c r="R55192" s="1288"/>
    </row>
    <row r="55193" spans="18:18" s="2" customFormat="1" ht="12.75" x14ac:dyDescent="0.2">
      <c r="R55193" s="1288"/>
    </row>
    <row r="55194" spans="18:18" s="2" customFormat="1" ht="12.75" x14ac:dyDescent="0.2">
      <c r="R55194" s="1288"/>
    </row>
    <row r="55195" spans="18:18" s="2" customFormat="1" ht="12.75" x14ac:dyDescent="0.2">
      <c r="R55195" s="1288"/>
    </row>
    <row r="55196" spans="18:18" s="2" customFormat="1" ht="12.75" x14ac:dyDescent="0.2">
      <c r="R55196" s="1288"/>
    </row>
    <row r="55197" spans="18:18" s="2" customFormat="1" ht="12.75" x14ac:dyDescent="0.2">
      <c r="R55197" s="1288"/>
    </row>
    <row r="55198" spans="18:18" s="2" customFormat="1" ht="12.75" x14ac:dyDescent="0.2">
      <c r="R55198" s="1288"/>
    </row>
    <row r="55199" spans="18:18" s="2" customFormat="1" ht="12.75" x14ac:dyDescent="0.2">
      <c r="R55199" s="1288"/>
    </row>
    <row r="55200" spans="18:18" s="2" customFormat="1" ht="12.75" x14ac:dyDescent="0.2">
      <c r="R55200" s="1288"/>
    </row>
    <row r="55201" spans="18:18" s="2" customFormat="1" ht="12.75" x14ac:dyDescent="0.2">
      <c r="R55201" s="1288"/>
    </row>
    <row r="55202" spans="18:18" s="2" customFormat="1" ht="12.75" x14ac:dyDescent="0.2">
      <c r="R55202" s="1288"/>
    </row>
    <row r="55203" spans="18:18" s="2" customFormat="1" ht="12.75" x14ac:dyDescent="0.2">
      <c r="R55203" s="1288"/>
    </row>
    <row r="55204" spans="18:18" s="2" customFormat="1" ht="12.75" x14ac:dyDescent="0.2">
      <c r="R55204" s="1288"/>
    </row>
    <row r="55205" spans="18:18" s="2" customFormat="1" ht="12.75" x14ac:dyDescent="0.2">
      <c r="R55205" s="1288"/>
    </row>
    <row r="55206" spans="18:18" s="2" customFormat="1" ht="12.75" x14ac:dyDescent="0.2">
      <c r="R55206" s="1288"/>
    </row>
    <row r="55207" spans="18:18" s="2" customFormat="1" ht="12.75" x14ac:dyDescent="0.2">
      <c r="R55207" s="1288"/>
    </row>
    <row r="55208" spans="18:18" s="2" customFormat="1" ht="12.75" x14ac:dyDescent="0.2">
      <c r="R55208" s="1288"/>
    </row>
    <row r="55209" spans="18:18" s="2" customFormat="1" ht="12.75" x14ac:dyDescent="0.2">
      <c r="R55209" s="1288"/>
    </row>
    <row r="55210" spans="18:18" s="2" customFormat="1" ht="12.75" x14ac:dyDescent="0.2">
      <c r="R55210" s="1288"/>
    </row>
    <row r="55211" spans="18:18" s="2" customFormat="1" ht="12.75" x14ac:dyDescent="0.2">
      <c r="R55211" s="1288"/>
    </row>
    <row r="55212" spans="18:18" s="2" customFormat="1" ht="12.75" x14ac:dyDescent="0.2">
      <c r="R55212" s="1288"/>
    </row>
    <row r="55213" spans="18:18" s="2" customFormat="1" ht="12.75" x14ac:dyDescent="0.2">
      <c r="R55213" s="1288"/>
    </row>
    <row r="55214" spans="18:18" s="2" customFormat="1" ht="12.75" x14ac:dyDescent="0.2">
      <c r="R55214" s="1288"/>
    </row>
    <row r="55215" spans="18:18" s="2" customFormat="1" ht="12.75" x14ac:dyDescent="0.2">
      <c r="R55215" s="1288"/>
    </row>
    <row r="55216" spans="18:18" s="2" customFormat="1" ht="12.75" x14ac:dyDescent="0.2">
      <c r="R55216" s="1288"/>
    </row>
    <row r="55217" spans="18:18" s="2" customFormat="1" ht="12.75" x14ac:dyDescent="0.2">
      <c r="R55217" s="1288"/>
    </row>
    <row r="55218" spans="18:18" s="2" customFormat="1" ht="12.75" x14ac:dyDescent="0.2">
      <c r="R55218" s="1288"/>
    </row>
    <row r="55219" spans="18:18" s="2" customFormat="1" ht="12.75" x14ac:dyDescent="0.2">
      <c r="R55219" s="1288"/>
    </row>
    <row r="55220" spans="18:18" s="2" customFormat="1" ht="12.75" x14ac:dyDescent="0.2">
      <c r="R55220" s="1288"/>
    </row>
    <row r="55221" spans="18:18" s="2" customFormat="1" ht="12.75" x14ac:dyDescent="0.2">
      <c r="R55221" s="1288"/>
    </row>
    <row r="55222" spans="18:18" s="2" customFormat="1" ht="12.75" x14ac:dyDescent="0.2">
      <c r="R55222" s="1288"/>
    </row>
    <row r="55223" spans="18:18" s="2" customFormat="1" ht="12.75" x14ac:dyDescent="0.2">
      <c r="R55223" s="1288"/>
    </row>
    <row r="55224" spans="18:18" s="2" customFormat="1" ht="12.75" x14ac:dyDescent="0.2">
      <c r="R55224" s="1288"/>
    </row>
    <row r="55225" spans="18:18" s="2" customFormat="1" ht="12.75" x14ac:dyDescent="0.2">
      <c r="R55225" s="1288"/>
    </row>
    <row r="55226" spans="18:18" s="2" customFormat="1" ht="12.75" x14ac:dyDescent="0.2">
      <c r="R55226" s="1288"/>
    </row>
    <row r="55227" spans="18:18" s="2" customFormat="1" ht="12.75" x14ac:dyDescent="0.2">
      <c r="R55227" s="1288"/>
    </row>
    <row r="55228" spans="18:18" s="2" customFormat="1" ht="12.75" x14ac:dyDescent="0.2">
      <c r="R55228" s="1288"/>
    </row>
    <row r="55229" spans="18:18" s="2" customFormat="1" ht="12.75" x14ac:dyDescent="0.2">
      <c r="R55229" s="1288"/>
    </row>
    <row r="55230" spans="18:18" s="2" customFormat="1" ht="12.75" x14ac:dyDescent="0.2">
      <c r="R55230" s="1288"/>
    </row>
    <row r="55231" spans="18:18" s="2" customFormat="1" ht="12.75" x14ac:dyDescent="0.2">
      <c r="R55231" s="1288"/>
    </row>
    <row r="55232" spans="18:18" s="2" customFormat="1" ht="12.75" x14ac:dyDescent="0.2">
      <c r="R55232" s="1288"/>
    </row>
    <row r="55233" spans="18:18" s="2" customFormat="1" ht="12.75" x14ac:dyDescent="0.2">
      <c r="R55233" s="1288"/>
    </row>
    <row r="55234" spans="18:18" s="2" customFormat="1" ht="12.75" x14ac:dyDescent="0.2">
      <c r="R55234" s="1288"/>
    </row>
    <row r="55235" spans="18:18" s="2" customFormat="1" ht="12.75" x14ac:dyDescent="0.2">
      <c r="R55235" s="1288"/>
    </row>
    <row r="55236" spans="18:18" s="2" customFormat="1" ht="12.75" x14ac:dyDescent="0.2">
      <c r="R55236" s="1288"/>
    </row>
    <row r="55237" spans="18:18" s="2" customFormat="1" ht="12.75" x14ac:dyDescent="0.2">
      <c r="R55237" s="1288"/>
    </row>
    <row r="55238" spans="18:18" s="2" customFormat="1" ht="12.75" x14ac:dyDescent="0.2">
      <c r="R55238" s="1288"/>
    </row>
    <row r="55239" spans="18:18" s="2" customFormat="1" ht="12.75" x14ac:dyDescent="0.2">
      <c r="R55239" s="1288"/>
    </row>
    <row r="55240" spans="18:18" s="2" customFormat="1" ht="12.75" x14ac:dyDescent="0.2">
      <c r="R55240" s="1288"/>
    </row>
    <row r="55241" spans="18:18" s="2" customFormat="1" ht="12.75" x14ac:dyDescent="0.2">
      <c r="R55241" s="1288"/>
    </row>
    <row r="55242" spans="18:18" s="2" customFormat="1" ht="12.75" x14ac:dyDescent="0.2">
      <c r="R55242" s="1288"/>
    </row>
    <row r="55243" spans="18:18" s="2" customFormat="1" ht="12.75" x14ac:dyDescent="0.2">
      <c r="R55243" s="1288"/>
    </row>
    <row r="55244" spans="18:18" s="2" customFormat="1" ht="12.75" x14ac:dyDescent="0.2">
      <c r="R55244" s="1288"/>
    </row>
    <row r="55245" spans="18:18" s="2" customFormat="1" ht="12.75" x14ac:dyDescent="0.2">
      <c r="R55245" s="1288"/>
    </row>
    <row r="55246" spans="18:18" s="2" customFormat="1" ht="12.75" x14ac:dyDescent="0.2">
      <c r="R55246" s="1288"/>
    </row>
    <row r="55247" spans="18:18" s="2" customFormat="1" ht="12.75" x14ac:dyDescent="0.2">
      <c r="R55247" s="1288"/>
    </row>
    <row r="55248" spans="18:18" s="2" customFormat="1" ht="12.75" x14ac:dyDescent="0.2">
      <c r="R55248" s="1288"/>
    </row>
    <row r="55249" spans="18:18" s="2" customFormat="1" ht="12.75" x14ac:dyDescent="0.2">
      <c r="R55249" s="1288"/>
    </row>
    <row r="55250" spans="18:18" s="2" customFormat="1" ht="12.75" x14ac:dyDescent="0.2">
      <c r="R55250" s="1288"/>
    </row>
    <row r="55251" spans="18:18" s="2" customFormat="1" ht="12.75" x14ac:dyDescent="0.2">
      <c r="R55251" s="1288"/>
    </row>
    <row r="55252" spans="18:18" s="2" customFormat="1" ht="12.75" x14ac:dyDescent="0.2">
      <c r="R55252" s="1288"/>
    </row>
    <row r="55253" spans="18:18" s="2" customFormat="1" ht="12.75" x14ac:dyDescent="0.2">
      <c r="R55253" s="1288"/>
    </row>
    <row r="55254" spans="18:18" s="2" customFormat="1" ht="12.75" x14ac:dyDescent="0.2">
      <c r="R55254" s="1288"/>
    </row>
    <row r="55255" spans="18:18" s="2" customFormat="1" ht="12.75" x14ac:dyDescent="0.2">
      <c r="R55255" s="1288"/>
    </row>
    <row r="55256" spans="18:18" s="2" customFormat="1" ht="12.75" x14ac:dyDescent="0.2">
      <c r="R55256" s="1288"/>
    </row>
    <row r="55257" spans="18:18" s="2" customFormat="1" ht="12.75" x14ac:dyDescent="0.2">
      <c r="R55257" s="1288"/>
    </row>
    <row r="55258" spans="18:18" s="2" customFormat="1" ht="12.75" x14ac:dyDescent="0.2">
      <c r="R55258" s="1288"/>
    </row>
    <row r="55259" spans="18:18" s="2" customFormat="1" ht="12.75" x14ac:dyDescent="0.2">
      <c r="R55259" s="1288"/>
    </row>
    <row r="55260" spans="18:18" s="2" customFormat="1" ht="12.75" x14ac:dyDescent="0.2">
      <c r="R55260" s="1288"/>
    </row>
    <row r="55261" spans="18:18" s="2" customFormat="1" ht="12.75" x14ac:dyDescent="0.2">
      <c r="R55261" s="1288"/>
    </row>
    <row r="55262" spans="18:18" s="2" customFormat="1" ht="12.75" x14ac:dyDescent="0.2">
      <c r="R55262" s="1288"/>
    </row>
    <row r="55263" spans="18:18" s="2" customFormat="1" ht="12.75" x14ac:dyDescent="0.2">
      <c r="R55263" s="1288"/>
    </row>
    <row r="55264" spans="18:18" s="2" customFormat="1" ht="12.75" x14ac:dyDescent="0.2">
      <c r="R55264" s="1288"/>
    </row>
    <row r="55265" spans="18:18" s="2" customFormat="1" ht="12.75" x14ac:dyDescent="0.2">
      <c r="R55265" s="1288"/>
    </row>
    <row r="55266" spans="18:18" s="2" customFormat="1" ht="12.75" x14ac:dyDescent="0.2">
      <c r="R55266" s="1288"/>
    </row>
    <row r="55267" spans="18:18" s="2" customFormat="1" ht="12.75" x14ac:dyDescent="0.2">
      <c r="R55267" s="1288"/>
    </row>
    <row r="55268" spans="18:18" s="2" customFormat="1" ht="12.75" x14ac:dyDescent="0.2">
      <c r="R55268" s="1288"/>
    </row>
    <row r="55269" spans="18:18" s="2" customFormat="1" ht="12.75" x14ac:dyDescent="0.2">
      <c r="R55269" s="1288"/>
    </row>
    <row r="55270" spans="18:18" s="2" customFormat="1" ht="12.75" x14ac:dyDescent="0.2">
      <c r="R55270" s="1288"/>
    </row>
    <row r="55271" spans="18:18" s="2" customFormat="1" ht="12.75" x14ac:dyDescent="0.2">
      <c r="R55271" s="1288"/>
    </row>
    <row r="55272" spans="18:18" s="2" customFormat="1" ht="12.75" x14ac:dyDescent="0.2">
      <c r="R55272" s="1288"/>
    </row>
    <row r="55273" spans="18:18" s="2" customFormat="1" ht="12.75" x14ac:dyDescent="0.2">
      <c r="R55273" s="1288"/>
    </row>
    <row r="55274" spans="18:18" s="2" customFormat="1" ht="12.75" x14ac:dyDescent="0.2">
      <c r="R55274" s="1288"/>
    </row>
    <row r="55275" spans="18:18" s="2" customFormat="1" ht="12.75" x14ac:dyDescent="0.2">
      <c r="R55275" s="1288"/>
    </row>
    <row r="55276" spans="18:18" s="2" customFormat="1" ht="12.75" x14ac:dyDescent="0.2">
      <c r="R55276" s="1288"/>
    </row>
    <row r="55277" spans="18:18" s="2" customFormat="1" ht="12.75" x14ac:dyDescent="0.2">
      <c r="R55277" s="1288"/>
    </row>
    <row r="55278" spans="18:18" s="2" customFormat="1" ht="12.75" x14ac:dyDescent="0.2">
      <c r="R55278" s="1288"/>
    </row>
    <row r="55279" spans="18:18" s="2" customFormat="1" ht="12.75" x14ac:dyDescent="0.2">
      <c r="R55279" s="1288"/>
    </row>
    <row r="55280" spans="18:18" s="2" customFormat="1" ht="12.75" x14ac:dyDescent="0.2">
      <c r="R55280" s="1288"/>
    </row>
    <row r="55281" spans="18:18" s="2" customFormat="1" ht="12.75" x14ac:dyDescent="0.2">
      <c r="R55281" s="1288"/>
    </row>
    <row r="55282" spans="18:18" s="2" customFormat="1" ht="12.75" x14ac:dyDescent="0.2">
      <c r="R55282" s="1288"/>
    </row>
    <row r="55283" spans="18:18" s="2" customFormat="1" ht="12.75" x14ac:dyDescent="0.2">
      <c r="R55283" s="1288"/>
    </row>
    <row r="55284" spans="18:18" s="2" customFormat="1" ht="12.75" x14ac:dyDescent="0.2">
      <c r="R55284" s="1288"/>
    </row>
    <row r="55285" spans="18:18" s="2" customFormat="1" ht="12.75" x14ac:dyDescent="0.2">
      <c r="R55285" s="1288"/>
    </row>
    <row r="55286" spans="18:18" s="2" customFormat="1" ht="12.75" x14ac:dyDescent="0.2">
      <c r="R55286" s="1288"/>
    </row>
    <row r="55287" spans="18:18" s="2" customFormat="1" ht="12.75" x14ac:dyDescent="0.2">
      <c r="R55287" s="1288"/>
    </row>
    <row r="55288" spans="18:18" s="2" customFormat="1" ht="12.75" x14ac:dyDescent="0.2">
      <c r="R55288" s="1288"/>
    </row>
    <row r="55289" spans="18:18" s="2" customFormat="1" ht="12.75" x14ac:dyDescent="0.2">
      <c r="R55289" s="1288"/>
    </row>
    <row r="55290" spans="18:18" s="2" customFormat="1" ht="12.75" x14ac:dyDescent="0.2">
      <c r="R55290" s="1288"/>
    </row>
    <row r="55291" spans="18:18" s="2" customFormat="1" ht="12.75" x14ac:dyDescent="0.2">
      <c r="R55291" s="1288"/>
    </row>
    <row r="55292" spans="18:18" s="2" customFormat="1" ht="12.75" x14ac:dyDescent="0.2">
      <c r="R55292" s="1288"/>
    </row>
    <row r="55293" spans="18:18" s="2" customFormat="1" ht="12.75" x14ac:dyDescent="0.2">
      <c r="R55293" s="1288"/>
    </row>
    <row r="55294" spans="18:18" s="2" customFormat="1" ht="12.75" x14ac:dyDescent="0.2">
      <c r="R55294" s="1288"/>
    </row>
    <row r="55295" spans="18:18" s="2" customFormat="1" ht="12.75" x14ac:dyDescent="0.2">
      <c r="R55295" s="1288"/>
    </row>
    <row r="55296" spans="18:18" s="2" customFormat="1" ht="12.75" x14ac:dyDescent="0.2">
      <c r="R55296" s="1288"/>
    </row>
    <row r="55297" spans="18:18" s="2" customFormat="1" ht="12.75" x14ac:dyDescent="0.2">
      <c r="R55297" s="1288"/>
    </row>
    <row r="55298" spans="18:18" s="2" customFormat="1" ht="12.75" x14ac:dyDescent="0.2">
      <c r="R55298" s="1288"/>
    </row>
    <row r="55299" spans="18:18" s="2" customFormat="1" ht="12.75" x14ac:dyDescent="0.2">
      <c r="R55299" s="1288"/>
    </row>
    <row r="55300" spans="18:18" s="2" customFormat="1" ht="12.75" x14ac:dyDescent="0.2">
      <c r="R55300" s="1288"/>
    </row>
    <row r="55301" spans="18:18" s="2" customFormat="1" ht="12.75" x14ac:dyDescent="0.2">
      <c r="R55301" s="1288"/>
    </row>
    <row r="55302" spans="18:18" s="2" customFormat="1" ht="12.75" x14ac:dyDescent="0.2">
      <c r="R55302" s="1288"/>
    </row>
    <row r="55303" spans="18:18" s="2" customFormat="1" ht="12.75" x14ac:dyDescent="0.2">
      <c r="R55303" s="1288"/>
    </row>
    <row r="55304" spans="18:18" s="2" customFormat="1" ht="12.75" x14ac:dyDescent="0.2">
      <c r="R55304" s="1288"/>
    </row>
    <row r="55305" spans="18:18" s="2" customFormat="1" ht="12.75" x14ac:dyDescent="0.2">
      <c r="R55305" s="1288"/>
    </row>
    <row r="55306" spans="18:18" s="2" customFormat="1" ht="12.75" x14ac:dyDescent="0.2">
      <c r="R55306" s="1288"/>
    </row>
    <row r="55307" spans="18:18" s="2" customFormat="1" ht="12.75" x14ac:dyDescent="0.2">
      <c r="R55307" s="1288"/>
    </row>
    <row r="55308" spans="18:18" s="2" customFormat="1" ht="12.75" x14ac:dyDescent="0.2">
      <c r="R55308" s="1288"/>
    </row>
    <row r="55309" spans="18:18" s="2" customFormat="1" ht="12.75" x14ac:dyDescent="0.2">
      <c r="R55309" s="1288"/>
    </row>
    <row r="55310" spans="18:18" s="2" customFormat="1" ht="12.75" x14ac:dyDescent="0.2">
      <c r="R55310" s="1288"/>
    </row>
    <row r="55311" spans="18:18" s="2" customFormat="1" ht="12.75" x14ac:dyDescent="0.2">
      <c r="R55311" s="1288"/>
    </row>
    <row r="55312" spans="18:18" s="2" customFormat="1" ht="12.75" x14ac:dyDescent="0.2">
      <c r="R55312" s="1288"/>
    </row>
    <row r="55313" spans="18:18" s="2" customFormat="1" ht="12.75" x14ac:dyDescent="0.2">
      <c r="R55313" s="1288"/>
    </row>
    <row r="55314" spans="18:18" s="2" customFormat="1" ht="12.75" x14ac:dyDescent="0.2">
      <c r="R55314" s="1288"/>
    </row>
    <row r="55315" spans="18:18" s="2" customFormat="1" ht="12.75" x14ac:dyDescent="0.2">
      <c r="R55315" s="1288"/>
    </row>
    <row r="55316" spans="18:18" s="2" customFormat="1" ht="12.75" x14ac:dyDescent="0.2">
      <c r="R55316" s="1288"/>
    </row>
    <row r="55317" spans="18:18" s="2" customFormat="1" ht="12.75" x14ac:dyDescent="0.2">
      <c r="R55317" s="1288"/>
    </row>
    <row r="55318" spans="18:18" s="2" customFormat="1" ht="12.75" x14ac:dyDescent="0.2">
      <c r="R55318" s="1288"/>
    </row>
    <row r="55319" spans="18:18" s="2" customFormat="1" ht="12.75" x14ac:dyDescent="0.2">
      <c r="R55319" s="1288"/>
    </row>
    <row r="55320" spans="18:18" s="2" customFormat="1" ht="12.75" x14ac:dyDescent="0.2">
      <c r="R55320" s="1288"/>
    </row>
    <row r="55321" spans="18:18" s="2" customFormat="1" ht="12.75" x14ac:dyDescent="0.2">
      <c r="R55321" s="1288"/>
    </row>
    <row r="55322" spans="18:18" s="2" customFormat="1" ht="12.75" x14ac:dyDescent="0.2">
      <c r="R55322" s="1288"/>
    </row>
    <row r="55323" spans="18:18" s="2" customFormat="1" ht="12.75" x14ac:dyDescent="0.2">
      <c r="R55323" s="1288"/>
    </row>
    <row r="55324" spans="18:18" s="2" customFormat="1" ht="12.75" x14ac:dyDescent="0.2">
      <c r="R55324" s="1288"/>
    </row>
    <row r="55325" spans="18:18" s="2" customFormat="1" ht="12.75" x14ac:dyDescent="0.2">
      <c r="R55325" s="1288"/>
    </row>
    <row r="55326" spans="18:18" s="2" customFormat="1" ht="12.75" x14ac:dyDescent="0.2">
      <c r="R55326" s="1288"/>
    </row>
    <row r="55327" spans="18:18" s="2" customFormat="1" ht="12.75" x14ac:dyDescent="0.2">
      <c r="R55327" s="1288"/>
    </row>
    <row r="55328" spans="18:18" s="2" customFormat="1" ht="12.75" x14ac:dyDescent="0.2">
      <c r="R55328" s="1288"/>
    </row>
    <row r="55329" spans="18:18" s="2" customFormat="1" ht="12.75" x14ac:dyDescent="0.2">
      <c r="R55329" s="1288"/>
    </row>
    <row r="55330" spans="18:18" s="2" customFormat="1" ht="12.75" x14ac:dyDescent="0.2">
      <c r="R55330" s="1288"/>
    </row>
    <row r="55331" spans="18:18" s="2" customFormat="1" ht="12.75" x14ac:dyDescent="0.2">
      <c r="R55331" s="1288"/>
    </row>
    <row r="55332" spans="18:18" s="2" customFormat="1" ht="12.75" x14ac:dyDescent="0.2">
      <c r="R55332" s="1288"/>
    </row>
    <row r="55333" spans="18:18" s="2" customFormat="1" ht="12.75" x14ac:dyDescent="0.2">
      <c r="R55333" s="1288"/>
    </row>
    <row r="55334" spans="18:18" s="2" customFormat="1" ht="12.75" x14ac:dyDescent="0.2">
      <c r="R55334" s="1288"/>
    </row>
    <row r="55335" spans="18:18" s="2" customFormat="1" ht="12.75" x14ac:dyDescent="0.2">
      <c r="R55335" s="1288"/>
    </row>
    <row r="55336" spans="18:18" s="2" customFormat="1" ht="12.75" x14ac:dyDescent="0.2">
      <c r="R55336" s="1288"/>
    </row>
    <row r="55337" spans="18:18" s="2" customFormat="1" ht="12.75" x14ac:dyDescent="0.2">
      <c r="R55337" s="1288"/>
    </row>
    <row r="55338" spans="18:18" s="2" customFormat="1" ht="12.75" x14ac:dyDescent="0.2">
      <c r="R55338" s="1288"/>
    </row>
    <row r="55339" spans="18:18" s="2" customFormat="1" ht="12.75" x14ac:dyDescent="0.2">
      <c r="R55339" s="1288"/>
    </row>
    <row r="55340" spans="18:18" s="2" customFormat="1" ht="12.75" x14ac:dyDescent="0.2">
      <c r="R55340" s="1288"/>
    </row>
    <row r="55341" spans="18:18" s="2" customFormat="1" ht="12.75" x14ac:dyDescent="0.2">
      <c r="R55341" s="1288"/>
    </row>
    <row r="55342" spans="18:18" s="2" customFormat="1" ht="12.75" x14ac:dyDescent="0.2">
      <c r="R55342" s="1288"/>
    </row>
    <row r="55343" spans="18:18" s="2" customFormat="1" ht="12.75" x14ac:dyDescent="0.2">
      <c r="R55343" s="1288"/>
    </row>
    <row r="55344" spans="18:18" s="2" customFormat="1" ht="12.75" x14ac:dyDescent="0.2">
      <c r="R55344" s="1288"/>
    </row>
    <row r="55345" spans="18:18" s="2" customFormat="1" ht="12.75" x14ac:dyDescent="0.2">
      <c r="R55345" s="1288"/>
    </row>
    <row r="55346" spans="18:18" s="2" customFormat="1" ht="12.75" x14ac:dyDescent="0.2">
      <c r="R55346" s="1288"/>
    </row>
    <row r="55347" spans="18:18" s="2" customFormat="1" ht="12.75" x14ac:dyDescent="0.2">
      <c r="R55347" s="1288"/>
    </row>
    <row r="55348" spans="18:18" s="2" customFormat="1" ht="12.75" x14ac:dyDescent="0.2">
      <c r="R55348" s="1288"/>
    </row>
    <row r="55349" spans="18:18" s="2" customFormat="1" ht="12.75" x14ac:dyDescent="0.2">
      <c r="R55349" s="1288"/>
    </row>
    <row r="55350" spans="18:18" s="2" customFormat="1" ht="12.75" x14ac:dyDescent="0.2">
      <c r="R55350" s="1288"/>
    </row>
    <row r="55351" spans="18:18" s="2" customFormat="1" ht="12.75" x14ac:dyDescent="0.2">
      <c r="R55351" s="1288"/>
    </row>
    <row r="55352" spans="18:18" s="2" customFormat="1" ht="12.75" x14ac:dyDescent="0.2">
      <c r="R55352" s="1288"/>
    </row>
    <row r="55353" spans="18:18" s="2" customFormat="1" ht="12.75" x14ac:dyDescent="0.2">
      <c r="R55353" s="1288"/>
    </row>
    <row r="55354" spans="18:18" s="2" customFormat="1" ht="12.75" x14ac:dyDescent="0.2">
      <c r="R55354" s="1288"/>
    </row>
    <row r="55355" spans="18:18" s="2" customFormat="1" ht="12.75" x14ac:dyDescent="0.2">
      <c r="R55355" s="1288"/>
    </row>
    <row r="55356" spans="18:18" s="2" customFormat="1" ht="12.75" x14ac:dyDescent="0.2">
      <c r="R55356" s="1288"/>
    </row>
    <row r="55357" spans="18:18" s="2" customFormat="1" ht="12.75" x14ac:dyDescent="0.2">
      <c r="R55357" s="1288"/>
    </row>
    <row r="55358" spans="18:18" s="2" customFormat="1" ht="12.75" x14ac:dyDescent="0.2">
      <c r="R55358" s="1288"/>
    </row>
    <row r="55359" spans="18:18" s="2" customFormat="1" ht="12.75" x14ac:dyDescent="0.2">
      <c r="R55359" s="1288"/>
    </row>
    <row r="55360" spans="18:18" s="2" customFormat="1" ht="12.75" x14ac:dyDescent="0.2">
      <c r="R55360" s="1288"/>
    </row>
    <row r="55361" spans="18:18" s="2" customFormat="1" ht="12.75" x14ac:dyDescent="0.2">
      <c r="R55361" s="1288"/>
    </row>
    <row r="55362" spans="18:18" s="2" customFormat="1" ht="12.75" x14ac:dyDescent="0.2">
      <c r="R55362" s="1288"/>
    </row>
    <row r="55363" spans="18:18" s="2" customFormat="1" ht="12.75" x14ac:dyDescent="0.2">
      <c r="R55363" s="1288"/>
    </row>
    <row r="55364" spans="18:18" s="2" customFormat="1" ht="12.75" x14ac:dyDescent="0.2">
      <c r="R55364" s="1288"/>
    </row>
    <row r="55365" spans="18:18" s="2" customFormat="1" ht="12.75" x14ac:dyDescent="0.2">
      <c r="R55365" s="1288"/>
    </row>
    <row r="55366" spans="18:18" s="2" customFormat="1" ht="12.75" x14ac:dyDescent="0.2">
      <c r="R55366" s="1288"/>
    </row>
    <row r="55367" spans="18:18" s="2" customFormat="1" ht="12.75" x14ac:dyDescent="0.2">
      <c r="R55367" s="1288"/>
    </row>
    <row r="55368" spans="18:18" s="2" customFormat="1" ht="12.75" x14ac:dyDescent="0.2">
      <c r="R55368" s="1288"/>
    </row>
    <row r="55369" spans="18:18" s="2" customFormat="1" ht="12.75" x14ac:dyDescent="0.2">
      <c r="R55369" s="1288"/>
    </row>
    <row r="55370" spans="18:18" s="2" customFormat="1" ht="12.75" x14ac:dyDescent="0.2">
      <c r="R55370" s="1288"/>
    </row>
    <row r="55371" spans="18:18" s="2" customFormat="1" ht="12.75" x14ac:dyDescent="0.2">
      <c r="R55371" s="1288"/>
    </row>
    <row r="55372" spans="18:18" s="2" customFormat="1" ht="12.75" x14ac:dyDescent="0.2">
      <c r="R55372" s="1288"/>
    </row>
    <row r="55373" spans="18:18" s="2" customFormat="1" ht="12.75" x14ac:dyDescent="0.2">
      <c r="R55373" s="1288"/>
    </row>
    <row r="55374" spans="18:18" s="2" customFormat="1" ht="12.75" x14ac:dyDescent="0.2">
      <c r="R55374" s="1288"/>
    </row>
    <row r="55375" spans="18:18" s="2" customFormat="1" ht="12.75" x14ac:dyDescent="0.2">
      <c r="R55375" s="1288"/>
    </row>
    <row r="55376" spans="18:18" s="2" customFormat="1" ht="12.75" x14ac:dyDescent="0.2">
      <c r="R55376" s="1288"/>
    </row>
    <row r="55377" spans="18:18" s="2" customFormat="1" ht="12.75" x14ac:dyDescent="0.2">
      <c r="R55377" s="1288"/>
    </row>
    <row r="55378" spans="18:18" s="2" customFormat="1" ht="12.75" x14ac:dyDescent="0.2">
      <c r="R55378" s="1288"/>
    </row>
    <row r="55379" spans="18:18" s="2" customFormat="1" ht="12.75" x14ac:dyDescent="0.2">
      <c r="R55379" s="1288"/>
    </row>
    <row r="55380" spans="18:18" s="2" customFormat="1" ht="12.75" x14ac:dyDescent="0.2">
      <c r="R55380" s="1288"/>
    </row>
    <row r="55381" spans="18:18" s="2" customFormat="1" ht="12.75" x14ac:dyDescent="0.2">
      <c r="R55381" s="1288"/>
    </row>
    <row r="55382" spans="18:18" s="2" customFormat="1" ht="12.75" x14ac:dyDescent="0.2">
      <c r="R55382" s="1288"/>
    </row>
    <row r="55383" spans="18:18" s="2" customFormat="1" ht="12.75" x14ac:dyDescent="0.2">
      <c r="R55383" s="1288"/>
    </row>
    <row r="55384" spans="18:18" s="2" customFormat="1" ht="12.75" x14ac:dyDescent="0.2">
      <c r="R55384" s="1288"/>
    </row>
    <row r="55385" spans="18:18" s="2" customFormat="1" ht="12.75" x14ac:dyDescent="0.2">
      <c r="R55385" s="1288"/>
    </row>
    <row r="55386" spans="18:18" s="2" customFormat="1" ht="12.75" x14ac:dyDescent="0.2">
      <c r="R55386" s="1288"/>
    </row>
    <row r="55387" spans="18:18" s="2" customFormat="1" ht="12.75" x14ac:dyDescent="0.2">
      <c r="R55387" s="1288"/>
    </row>
    <row r="55388" spans="18:18" s="2" customFormat="1" ht="12.75" x14ac:dyDescent="0.2">
      <c r="R55388" s="1288"/>
    </row>
    <row r="55389" spans="18:18" s="2" customFormat="1" ht="12.75" x14ac:dyDescent="0.2">
      <c r="R55389" s="1288"/>
    </row>
    <row r="55390" spans="18:18" s="2" customFormat="1" ht="12.75" x14ac:dyDescent="0.2">
      <c r="R55390" s="1288"/>
    </row>
    <row r="55391" spans="18:18" s="2" customFormat="1" ht="12.75" x14ac:dyDescent="0.2">
      <c r="R55391" s="1288"/>
    </row>
    <row r="55392" spans="18:18" s="2" customFormat="1" ht="12.75" x14ac:dyDescent="0.2">
      <c r="R55392" s="1288"/>
    </row>
    <row r="55393" spans="18:18" s="2" customFormat="1" ht="12.75" x14ac:dyDescent="0.2">
      <c r="R55393" s="1288"/>
    </row>
    <row r="55394" spans="18:18" s="2" customFormat="1" ht="12.75" x14ac:dyDescent="0.2">
      <c r="R55394" s="1288"/>
    </row>
    <row r="55395" spans="18:18" s="2" customFormat="1" ht="12.75" x14ac:dyDescent="0.2">
      <c r="R55395" s="1288"/>
    </row>
    <row r="55396" spans="18:18" s="2" customFormat="1" ht="12.75" x14ac:dyDescent="0.2">
      <c r="R55396" s="1288"/>
    </row>
    <row r="55397" spans="18:18" s="2" customFormat="1" ht="12.75" x14ac:dyDescent="0.2">
      <c r="R55397" s="1288"/>
    </row>
    <row r="55398" spans="18:18" s="2" customFormat="1" ht="12.75" x14ac:dyDescent="0.2">
      <c r="R55398" s="1288"/>
    </row>
    <row r="55399" spans="18:18" s="2" customFormat="1" ht="12.75" x14ac:dyDescent="0.2">
      <c r="R55399" s="1288"/>
    </row>
    <row r="55400" spans="18:18" s="2" customFormat="1" ht="12.75" x14ac:dyDescent="0.2">
      <c r="R55400" s="1288"/>
    </row>
    <row r="55401" spans="18:18" s="2" customFormat="1" ht="12.75" x14ac:dyDescent="0.2">
      <c r="R55401" s="1288"/>
    </row>
    <row r="55402" spans="18:18" s="2" customFormat="1" ht="12.75" x14ac:dyDescent="0.2">
      <c r="R55402" s="1288"/>
    </row>
    <row r="55403" spans="18:18" s="2" customFormat="1" ht="12.75" x14ac:dyDescent="0.2">
      <c r="R55403" s="1288"/>
    </row>
    <row r="55404" spans="18:18" s="2" customFormat="1" ht="12.75" x14ac:dyDescent="0.2">
      <c r="R55404" s="1288"/>
    </row>
    <row r="55405" spans="18:18" s="2" customFormat="1" ht="12.75" x14ac:dyDescent="0.2">
      <c r="R55405" s="1288"/>
    </row>
    <row r="55406" spans="18:18" s="2" customFormat="1" ht="12.75" x14ac:dyDescent="0.2">
      <c r="R55406" s="1288"/>
    </row>
    <row r="55407" spans="18:18" s="2" customFormat="1" ht="12.75" x14ac:dyDescent="0.2">
      <c r="R55407" s="1288"/>
    </row>
    <row r="55408" spans="18:18" s="2" customFormat="1" ht="12.75" x14ac:dyDescent="0.2">
      <c r="R55408" s="1288"/>
    </row>
    <row r="55409" spans="18:18" s="2" customFormat="1" ht="12.75" x14ac:dyDescent="0.2">
      <c r="R55409" s="1288"/>
    </row>
    <row r="55410" spans="18:18" s="2" customFormat="1" ht="12.75" x14ac:dyDescent="0.2">
      <c r="R55410" s="1288"/>
    </row>
    <row r="55411" spans="18:18" s="2" customFormat="1" ht="12.75" x14ac:dyDescent="0.2">
      <c r="R55411" s="1288"/>
    </row>
    <row r="55412" spans="18:18" s="2" customFormat="1" ht="12.75" x14ac:dyDescent="0.2">
      <c r="R55412" s="1288"/>
    </row>
    <row r="55413" spans="18:18" s="2" customFormat="1" ht="12.75" x14ac:dyDescent="0.2">
      <c r="R55413" s="1288"/>
    </row>
    <row r="55414" spans="18:18" s="2" customFormat="1" ht="12.75" x14ac:dyDescent="0.2">
      <c r="R55414" s="1288"/>
    </row>
    <row r="55415" spans="18:18" s="2" customFormat="1" ht="12.75" x14ac:dyDescent="0.2">
      <c r="R55415" s="1288"/>
    </row>
    <row r="55416" spans="18:18" s="2" customFormat="1" ht="12.75" x14ac:dyDescent="0.2">
      <c r="R55416" s="1288"/>
    </row>
    <row r="55417" spans="18:18" s="2" customFormat="1" ht="12.75" x14ac:dyDescent="0.2">
      <c r="R55417" s="1288"/>
    </row>
    <row r="55418" spans="18:18" s="2" customFormat="1" ht="12.75" x14ac:dyDescent="0.2">
      <c r="R55418" s="1288"/>
    </row>
    <row r="55419" spans="18:18" s="2" customFormat="1" ht="12.75" x14ac:dyDescent="0.2">
      <c r="R55419" s="1288"/>
    </row>
    <row r="55420" spans="18:18" s="2" customFormat="1" ht="12.75" x14ac:dyDescent="0.2">
      <c r="R55420" s="1288"/>
    </row>
    <row r="55421" spans="18:18" s="2" customFormat="1" ht="12.75" x14ac:dyDescent="0.2">
      <c r="R55421" s="1288"/>
    </row>
    <row r="55422" spans="18:18" s="2" customFormat="1" ht="12.75" x14ac:dyDescent="0.2">
      <c r="R55422" s="1288"/>
    </row>
    <row r="55423" spans="18:18" s="2" customFormat="1" ht="12.75" x14ac:dyDescent="0.2">
      <c r="R55423" s="1288"/>
    </row>
    <row r="55424" spans="18:18" s="2" customFormat="1" ht="12.75" x14ac:dyDescent="0.2">
      <c r="R55424" s="1288"/>
    </row>
    <row r="55425" spans="18:18" s="2" customFormat="1" ht="12.75" x14ac:dyDescent="0.2">
      <c r="R55425" s="1288"/>
    </row>
    <row r="55426" spans="18:18" s="2" customFormat="1" ht="12.75" x14ac:dyDescent="0.2">
      <c r="R55426" s="1288"/>
    </row>
    <row r="55427" spans="18:18" s="2" customFormat="1" ht="12.75" x14ac:dyDescent="0.2">
      <c r="R55427" s="1288"/>
    </row>
    <row r="55428" spans="18:18" s="2" customFormat="1" ht="12.75" x14ac:dyDescent="0.2">
      <c r="R55428" s="1288"/>
    </row>
    <row r="55429" spans="18:18" s="2" customFormat="1" ht="12.75" x14ac:dyDescent="0.2">
      <c r="R55429" s="1288"/>
    </row>
    <row r="55430" spans="18:18" s="2" customFormat="1" ht="12.75" x14ac:dyDescent="0.2">
      <c r="R55430" s="1288"/>
    </row>
    <row r="55431" spans="18:18" s="2" customFormat="1" ht="12.75" x14ac:dyDescent="0.2">
      <c r="R55431" s="1288"/>
    </row>
    <row r="55432" spans="18:18" s="2" customFormat="1" ht="12.75" x14ac:dyDescent="0.2">
      <c r="R55432" s="1288"/>
    </row>
    <row r="55433" spans="18:18" s="2" customFormat="1" ht="12.75" x14ac:dyDescent="0.2">
      <c r="R55433" s="1288"/>
    </row>
    <row r="55434" spans="18:18" s="2" customFormat="1" ht="12.75" x14ac:dyDescent="0.2">
      <c r="R55434" s="1288"/>
    </row>
    <row r="55435" spans="18:18" s="2" customFormat="1" ht="12.75" x14ac:dyDescent="0.2">
      <c r="R55435" s="1288"/>
    </row>
    <row r="55436" spans="18:18" s="2" customFormat="1" ht="12.75" x14ac:dyDescent="0.2">
      <c r="R55436" s="1288"/>
    </row>
    <row r="55437" spans="18:18" s="2" customFormat="1" ht="12.75" x14ac:dyDescent="0.2">
      <c r="R55437" s="1288"/>
    </row>
    <row r="55438" spans="18:18" s="2" customFormat="1" ht="12.75" x14ac:dyDescent="0.2">
      <c r="R55438" s="1288"/>
    </row>
    <row r="55439" spans="18:18" s="2" customFormat="1" ht="12.75" x14ac:dyDescent="0.2">
      <c r="R55439" s="1288"/>
    </row>
    <row r="55440" spans="18:18" s="2" customFormat="1" ht="12.75" x14ac:dyDescent="0.2">
      <c r="R55440" s="1288"/>
    </row>
    <row r="55441" spans="18:18" s="2" customFormat="1" ht="12.75" x14ac:dyDescent="0.2">
      <c r="R55441" s="1288"/>
    </row>
    <row r="55442" spans="18:18" s="2" customFormat="1" ht="12.75" x14ac:dyDescent="0.2">
      <c r="R55442" s="1288"/>
    </row>
    <row r="55443" spans="18:18" s="2" customFormat="1" ht="12.75" x14ac:dyDescent="0.2">
      <c r="R55443" s="1288"/>
    </row>
    <row r="55444" spans="18:18" s="2" customFormat="1" ht="12.75" x14ac:dyDescent="0.2">
      <c r="R55444" s="1288"/>
    </row>
    <row r="55445" spans="18:18" s="2" customFormat="1" ht="12.75" x14ac:dyDescent="0.2">
      <c r="R55445" s="1288"/>
    </row>
    <row r="55446" spans="18:18" s="2" customFormat="1" ht="12.75" x14ac:dyDescent="0.2">
      <c r="R55446" s="1288"/>
    </row>
    <row r="55447" spans="18:18" s="2" customFormat="1" ht="12.75" x14ac:dyDescent="0.2">
      <c r="R55447" s="1288"/>
    </row>
    <row r="55448" spans="18:18" s="2" customFormat="1" ht="12.75" x14ac:dyDescent="0.2">
      <c r="R55448" s="1288"/>
    </row>
    <row r="55449" spans="18:18" s="2" customFormat="1" ht="12.75" x14ac:dyDescent="0.2">
      <c r="R55449" s="1288"/>
    </row>
    <row r="55450" spans="18:18" s="2" customFormat="1" ht="12.75" x14ac:dyDescent="0.2">
      <c r="R55450" s="1288"/>
    </row>
    <row r="55451" spans="18:18" s="2" customFormat="1" ht="12.75" x14ac:dyDescent="0.2">
      <c r="R55451" s="1288"/>
    </row>
    <row r="55452" spans="18:18" s="2" customFormat="1" ht="12.75" x14ac:dyDescent="0.2">
      <c r="R55452" s="1288"/>
    </row>
    <row r="55453" spans="18:18" s="2" customFormat="1" ht="12.75" x14ac:dyDescent="0.2">
      <c r="R55453" s="1288"/>
    </row>
    <row r="55454" spans="18:18" s="2" customFormat="1" ht="12.75" x14ac:dyDescent="0.2">
      <c r="R55454" s="1288"/>
    </row>
    <row r="55455" spans="18:18" s="2" customFormat="1" ht="12.75" x14ac:dyDescent="0.2">
      <c r="R55455" s="1288"/>
    </row>
    <row r="55456" spans="18:18" s="2" customFormat="1" ht="12.75" x14ac:dyDescent="0.2">
      <c r="R55456" s="1288"/>
    </row>
    <row r="55457" spans="18:18" s="2" customFormat="1" ht="12.75" x14ac:dyDescent="0.2">
      <c r="R55457" s="1288"/>
    </row>
    <row r="55458" spans="18:18" s="2" customFormat="1" ht="12.75" x14ac:dyDescent="0.2">
      <c r="R55458" s="1288"/>
    </row>
    <row r="55459" spans="18:18" s="2" customFormat="1" ht="12.75" x14ac:dyDescent="0.2">
      <c r="R55459" s="1288"/>
    </row>
    <row r="55460" spans="18:18" s="2" customFormat="1" ht="12.75" x14ac:dyDescent="0.2">
      <c r="R55460" s="1288"/>
    </row>
    <row r="55461" spans="18:18" s="2" customFormat="1" ht="12.75" x14ac:dyDescent="0.2">
      <c r="R55461" s="1288"/>
    </row>
    <row r="55462" spans="18:18" s="2" customFormat="1" ht="12.75" x14ac:dyDescent="0.2">
      <c r="R55462" s="1288"/>
    </row>
    <row r="55463" spans="18:18" s="2" customFormat="1" ht="12.75" x14ac:dyDescent="0.2">
      <c r="R55463" s="1288"/>
    </row>
    <row r="55464" spans="18:18" s="2" customFormat="1" ht="12.75" x14ac:dyDescent="0.2">
      <c r="R55464" s="1288"/>
    </row>
    <row r="55465" spans="18:18" s="2" customFormat="1" ht="12.75" x14ac:dyDescent="0.2">
      <c r="R55465" s="1288"/>
    </row>
    <row r="55466" spans="18:18" s="2" customFormat="1" ht="12.75" x14ac:dyDescent="0.2">
      <c r="R55466" s="1288"/>
    </row>
    <row r="55467" spans="18:18" s="2" customFormat="1" ht="12.75" x14ac:dyDescent="0.2">
      <c r="R55467" s="1288"/>
    </row>
    <row r="55468" spans="18:18" s="2" customFormat="1" ht="12.75" x14ac:dyDescent="0.2">
      <c r="R55468" s="1288"/>
    </row>
    <row r="55469" spans="18:18" s="2" customFormat="1" ht="12.75" x14ac:dyDescent="0.2">
      <c r="R55469" s="1288"/>
    </row>
    <row r="55470" spans="18:18" s="2" customFormat="1" ht="12.75" x14ac:dyDescent="0.2">
      <c r="R55470" s="1288"/>
    </row>
    <row r="55471" spans="18:18" s="2" customFormat="1" ht="12.75" x14ac:dyDescent="0.2">
      <c r="R55471" s="1288"/>
    </row>
    <row r="55472" spans="18:18" s="2" customFormat="1" ht="12.75" x14ac:dyDescent="0.2">
      <c r="R55472" s="1288"/>
    </row>
    <row r="55473" spans="18:18" s="2" customFormat="1" ht="12.75" x14ac:dyDescent="0.2">
      <c r="R55473" s="1288"/>
    </row>
    <row r="55474" spans="18:18" s="2" customFormat="1" ht="12.75" x14ac:dyDescent="0.2">
      <c r="R55474" s="1288"/>
    </row>
    <row r="55475" spans="18:18" s="2" customFormat="1" ht="12.75" x14ac:dyDescent="0.2">
      <c r="R55475" s="1288"/>
    </row>
    <row r="55476" spans="18:18" s="2" customFormat="1" ht="12.75" x14ac:dyDescent="0.2">
      <c r="R55476" s="1288"/>
    </row>
    <row r="55477" spans="18:18" s="2" customFormat="1" ht="12.75" x14ac:dyDescent="0.2">
      <c r="R55477" s="1288"/>
    </row>
    <row r="55478" spans="18:18" s="2" customFormat="1" ht="12.75" x14ac:dyDescent="0.2">
      <c r="R55478" s="1288"/>
    </row>
    <row r="55479" spans="18:18" s="2" customFormat="1" ht="12.75" x14ac:dyDescent="0.2">
      <c r="R55479" s="1288"/>
    </row>
    <row r="55480" spans="18:18" s="2" customFormat="1" ht="12.75" x14ac:dyDescent="0.2">
      <c r="R55480" s="1288"/>
    </row>
    <row r="55481" spans="18:18" s="2" customFormat="1" ht="12.75" x14ac:dyDescent="0.2">
      <c r="R55481" s="1288"/>
    </row>
    <row r="55482" spans="18:18" s="2" customFormat="1" ht="12.75" x14ac:dyDescent="0.2">
      <c r="R55482" s="1288"/>
    </row>
    <row r="55483" spans="18:18" s="2" customFormat="1" ht="12.75" x14ac:dyDescent="0.2">
      <c r="R55483" s="1288"/>
    </row>
    <row r="55484" spans="18:18" s="2" customFormat="1" ht="12.75" x14ac:dyDescent="0.2">
      <c r="R55484" s="1288"/>
    </row>
    <row r="55485" spans="18:18" s="2" customFormat="1" ht="12.75" x14ac:dyDescent="0.2">
      <c r="R55485" s="1288"/>
    </row>
    <row r="55486" spans="18:18" s="2" customFormat="1" ht="12.75" x14ac:dyDescent="0.2">
      <c r="R55486" s="1288"/>
    </row>
    <row r="55487" spans="18:18" s="2" customFormat="1" ht="12.75" x14ac:dyDescent="0.2">
      <c r="R55487" s="1288"/>
    </row>
    <row r="55488" spans="18:18" s="2" customFormat="1" ht="12.75" x14ac:dyDescent="0.2">
      <c r="R55488" s="1288"/>
    </row>
    <row r="55489" spans="18:18" s="2" customFormat="1" ht="12.75" x14ac:dyDescent="0.2">
      <c r="R55489" s="1288"/>
    </row>
    <row r="55490" spans="18:18" s="2" customFormat="1" ht="12.75" x14ac:dyDescent="0.2">
      <c r="R55490" s="1288"/>
    </row>
    <row r="55491" spans="18:18" s="2" customFormat="1" ht="12.75" x14ac:dyDescent="0.2">
      <c r="R55491" s="1288"/>
    </row>
    <row r="55492" spans="18:18" s="2" customFormat="1" ht="12.75" x14ac:dyDescent="0.2">
      <c r="R55492" s="1288"/>
    </row>
    <row r="55493" spans="18:18" s="2" customFormat="1" ht="12.75" x14ac:dyDescent="0.2">
      <c r="R55493" s="1288"/>
    </row>
    <row r="55494" spans="18:18" s="2" customFormat="1" ht="12.75" x14ac:dyDescent="0.2">
      <c r="R55494" s="1288"/>
    </row>
    <row r="55495" spans="18:18" s="2" customFormat="1" ht="12.75" x14ac:dyDescent="0.2">
      <c r="R55495" s="1288"/>
    </row>
    <row r="55496" spans="18:18" s="2" customFormat="1" ht="12.75" x14ac:dyDescent="0.2">
      <c r="R55496" s="1288"/>
    </row>
    <row r="55497" spans="18:18" s="2" customFormat="1" ht="12.75" x14ac:dyDescent="0.2">
      <c r="R55497" s="1288"/>
    </row>
    <row r="55498" spans="18:18" s="2" customFormat="1" ht="12.75" x14ac:dyDescent="0.2">
      <c r="R55498" s="1288"/>
    </row>
    <row r="55499" spans="18:18" s="2" customFormat="1" ht="12.75" x14ac:dyDescent="0.2">
      <c r="R55499" s="1288"/>
    </row>
    <row r="55500" spans="18:18" s="2" customFormat="1" ht="12.75" x14ac:dyDescent="0.2">
      <c r="R55500" s="1288"/>
    </row>
    <row r="55501" spans="18:18" s="2" customFormat="1" ht="12.75" x14ac:dyDescent="0.2">
      <c r="R55501" s="1288"/>
    </row>
    <row r="55502" spans="18:18" s="2" customFormat="1" ht="12.75" x14ac:dyDescent="0.2">
      <c r="R55502" s="1288"/>
    </row>
    <row r="55503" spans="18:18" s="2" customFormat="1" ht="12.75" x14ac:dyDescent="0.2">
      <c r="R55503" s="1288"/>
    </row>
    <row r="55504" spans="18:18" s="2" customFormat="1" ht="12.75" x14ac:dyDescent="0.2">
      <c r="R55504" s="1288"/>
    </row>
    <row r="55505" spans="18:18" s="2" customFormat="1" ht="12.75" x14ac:dyDescent="0.2">
      <c r="R55505" s="1288"/>
    </row>
    <row r="55506" spans="18:18" s="2" customFormat="1" ht="12.75" x14ac:dyDescent="0.2">
      <c r="R55506" s="1288"/>
    </row>
    <row r="55507" spans="18:18" s="2" customFormat="1" ht="12.75" x14ac:dyDescent="0.2">
      <c r="R55507" s="1288"/>
    </row>
    <row r="55508" spans="18:18" s="2" customFormat="1" ht="12.75" x14ac:dyDescent="0.2">
      <c r="R55508" s="1288"/>
    </row>
    <row r="55509" spans="18:18" s="2" customFormat="1" ht="12.75" x14ac:dyDescent="0.2">
      <c r="R55509" s="1288"/>
    </row>
    <row r="55510" spans="18:18" s="2" customFormat="1" ht="12.75" x14ac:dyDescent="0.2">
      <c r="R55510" s="1288"/>
    </row>
    <row r="55511" spans="18:18" s="2" customFormat="1" ht="12.75" x14ac:dyDescent="0.2">
      <c r="R55511" s="1288"/>
    </row>
    <row r="55512" spans="18:18" s="2" customFormat="1" ht="12.75" x14ac:dyDescent="0.2">
      <c r="R55512" s="1288"/>
    </row>
    <row r="55513" spans="18:18" s="2" customFormat="1" ht="12.75" x14ac:dyDescent="0.2">
      <c r="R55513" s="1288"/>
    </row>
    <row r="55514" spans="18:18" s="2" customFormat="1" ht="12.75" x14ac:dyDescent="0.2">
      <c r="R55514" s="1288"/>
    </row>
    <row r="55515" spans="18:18" s="2" customFormat="1" ht="12.75" x14ac:dyDescent="0.2">
      <c r="R55515" s="1288"/>
    </row>
    <row r="55516" spans="18:18" s="2" customFormat="1" ht="12.75" x14ac:dyDescent="0.2">
      <c r="R55516" s="1288"/>
    </row>
    <row r="55517" spans="18:18" s="2" customFormat="1" ht="12.75" x14ac:dyDescent="0.2">
      <c r="R55517" s="1288"/>
    </row>
    <row r="55518" spans="18:18" s="2" customFormat="1" ht="12.75" x14ac:dyDescent="0.2">
      <c r="R55518" s="1288"/>
    </row>
    <row r="55519" spans="18:18" s="2" customFormat="1" ht="12.75" x14ac:dyDescent="0.2">
      <c r="R55519" s="1288"/>
    </row>
    <row r="55520" spans="18:18" s="2" customFormat="1" ht="12.75" x14ac:dyDescent="0.2">
      <c r="R55520" s="1288"/>
    </row>
    <row r="55521" spans="18:18" s="2" customFormat="1" ht="12.75" x14ac:dyDescent="0.2">
      <c r="R55521" s="1288"/>
    </row>
    <row r="55522" spans="18:18" s="2" customFormat="1" ht="12.75" x14ac:dyDescent="0.2">
      <c r="R55522" s="1288"/>
    </row>
    <row r="55523" spans="18:18" s="2" customFormat="1" ht="12.75" x14ac:dyDescent="0.2">
      <c r="R55523" s="1288"/>
    </row>
    <row r="55524" spans="18:18" s="2" customFormat="1" ht="12.75" x14ac:dyDescent="0.2">
      <c r="R55524" s="1288"/>
    </row>
    <row r="55525" spans="18:18" s="2" customFormat="1" ht="12.75" x14ac:dyDescent="0.2">
      <c r="R55525" s="1288"/>
    </row>
    <row r="55526" spans="18:18" s="2" customFormat="1" ht="12.75" x14ac:dyDescent="0.2">
      <c r="R55526" s="1288"/>
    </row>
    <row r="55527" spans="18:18" s="2" customFormat="1" ht="12.75" x14ac:dyDescent="0.2">
      <c r="R55527" s="1288"/>
    </row>
    <row r="55528" spans="18:18" s="2" customFormat="1" ht="12.75" x14ac:dyDescent="0.2">
      <c r="R55528" s="1288"/>
    </row>
    <row r="55529" spans="18:18" s="2" customFormat="1" ht="12.75" x14ac:dyDescent="0.2">
      <c r="R55529" s="1288"/>
    </row>
    <row r="55530" spans="18:18" s="2" customFormat="1" ht="12.75" x14ac:dyDescent="0.2">
      <c r="R55530" s="1288"/>
    </row>
    <row r="55531" spans="18:18" s="2" customFormat="1" ht="12.75" x14ac:dyDescent="0.2">
      <c r="R55531" s="1288"/>
    </row>
    <row r="55532" spans="18:18" s="2" customFormat="1" ht="12.75" x14ac:dyDescent="0.2">
      <c r="R55532" s="1288"/>
    </row>
    <row r="55533" spans="18:18" s="2" customFormat="1" ht="12.75" x14ac:dyDescent="0.2">
      <c r="R55533" s="1288"/>
    </row>
    <row r="55534" spans="18:18" s="2" customFormat="1" ht="12.75" x14ac:dyDescent="0.2">
      <c r="R55534" s="1288"/>
    </row>
    <row r="55535" spans="18:18" s="2" customFormat="1" ht="12.75" x14ac:dyDescent="0.2">
      <c r="R55535" s="1288"/>
    </row>
    <row r="55536" spans="18:18" s="2" customFormat="1" ht="12.75" x14ac:dyDescent="0.2">
      <c r="R55536" s="1288"/>
    </row>
    <row r="55537" spans="18:18" s="2" customFormat="1" ht="12.75" x14ac:dyDescent="0.2">
      <c r="R55537" s="1288"/>
    </row>
    <row r="55538" spans="18:18" s="2" customFormat="1" ht="12.75" x14ac:dyDescent="0.2">
      <c r="R55538" s="1288"/>
    </row>
    <row r="55539" spans="18:18" s="2" customFormat="1" ht="12.75" x14ac:dyDescent="0.2">
      <c r="R55539" s="1288"/>
    </row>
    <row r="55540" spans="18:18" s="2" customFormat="1" ht="12.75" x14ac:dyDescent="0.2">
      <c r="R55540" s="1288"/>
    </row>
    <row r="55541" spans="18:18" s="2" customFormat="1" ht="12.75" x14ac:dyDescent="0.2">
      <c r="R55541" s="1288"/>
    </row>
    <row r="55542" spans="18:18" s="2" customFormat="1" ht="12.75" x14ac:dyDescent="0.2">
      <c r="R55542" s="1288"/>
    </row>
    <row r="55543" spans="18:18" s="2" customFormat="1" ht="12.75" x14ac:dyDescent="0.2">
      <c r="R55543" s="1288"/>
    </row>
    <row r="55544" spans="18:18" s="2" customFormat="1" ht="12.75" x14ac:dyDescent="0.2">
      <c r="R55544" s="1288"/>
    </row>
    <row r="55545" spans="18:18" s="2" customFormat="1" ht="12.75" x14ac:dyDescent="0.2">
      <c r="R55545" s="1288"/>
    </row>
    <row r="55546" spans="18:18" s="2" customFormat="1" ht="12.75" x14ac:dyDescent="0.2">
      <c r="R55546" s="1288"/>
    </row>
    <row r="55547" spans="18:18" s="2" customFormat="1" ht="12.75" x14ac:dyDescent="0.2">
      <c r="R55547" s="1288"/>
    </row>
    <row r="55548" spans="18:18" s="2" customFormat="1" ht="12.75" x14ac:dyDescent="0.2">
      <c r="R55548" s="1288"/>
    </row>
    <row r="55549" spans="18:18" s="2" customFormat="1" ht="12.75" x14ac:dyDescent="0.2">
      <c r="R55549" s="1288"/>
    </row>
    <row r="55550" spans="18:18" s="2" customFormat="1" ht="12.75" x14ac:dyDescent="0.2">
      <c r="R55550" s="1288"/>
    </row>
    <row r="55551" spans="18:18" s="2" customFormat="1" ht="12.75" x14ac:dyDescent="0.2">
      <c r="R55551" s="1288"/>
    </row>
    <row r="55552" spans="18:18" s="2" customFormat="1" ht="12.75" x14ac:dyDescent="0.2">
      <c r="R55552" s="1288"/>
    </row>
    <row r="55553" spans="18:18" s="2" customFormat="1" ht="12.75" x14ac:dyDescent="0.2">
      <c r="R55553" s="1288"/>
    </row>
    <row r="55554" spans="18:18" s="2" customFormat="1" ht="12.75" x14ac:dyDescent="0.2">
      <c r="R55554" s="1288"/>
    </row>
    <row r="55555" spans="18:18" s="2" customFormat="1" ht="12.75" x14ac:dyDescent="0.2">
      <c r="R55555" s="1288"/>
    </row>
    <row r="55556" spans="18:18" s="2" customFormat="1" ht="12.75" x14ac:dyDescent="0.2">
      <c r="R55556" s="1288"/>
    </row>
    <row r="55557" spans="18:18" s="2" customFormat="1" ht="12.75" x14ac:dyDescent="0.2">
      <c r="R55557" s="1288"/>
    </row>
    <row r="55558" spans="18:18" s="2" customFormat="1" ht="12.75" x14ac:dyDescent="0.2">
      <c r="R55558" s="1288"/>
    </row>
    <row r="55559" spans="18:18" s="2" customFormat="1" ht="12.75" x14ac:dyDescent="0.2">
      <c r="R55559" s="1288"/>
    </row>
    <row r="55560" spans="18:18" s="2" customFormat="1" ht="12.75" x14ac:dyDescent="0.2">
      <c r="R55560" s="1288"/>
    </row>
    <row r="55561" spans="18:18" s="2" customFormat="1" ht="12.75" x14ac:dyDescent="0.2">
      <c r="R55561" s="1288"/>
    </row>
    <row r="55562" spans="18:18" s="2" customFormat="1" ht="12.75" x14ac:dyDescent="0.2">
      <c r="R55562" s="1288"/>
    </row>
    <row r="55563" spans="18:18" s="2" customFormat="1" ht="12.75" x14ac:dyDescent="0.2">
      <c r="R55563" s="1288"/>
    </row>
    <row r="55564" spans="18:18" s="2" customFormat="1" ht="12.75" x14ac:dyDescent="0.2">
      <c r="R55564" s="1288"/>
    </row>
    <row r="55565" spans="18:18" s="2" customFormat="1" ht="12.75" x14ac:dyDescent="0.2">
      <c r="R55565" s="1288"/>
    </row>
    <row r="55566" spans="18:18" s="2" customFormat="1" ht="12.75" x14ac:dyDescent="0.2">
      <c r="R55566" s="1288"/>
    </row>
    <row r="55567" spans="18:18" s="2" customFormat="1" ht="12.75" x14ac:dyDescent="0.2">
      <c r="R55567" s="1288"/>
    </row>
    <row r="55568" spans="18:18" s="2" customFormat="1" ht="12.75" x14ac:dyDescent="0.2">
      <c r="R55568" s="1288"/>
    </row>
    <row r="55569" spans="18:18" s="2" customFormat="1" ht="12.75" x14ac:dyDescent="0.2">
      <c r="R55569" s="1288"/>
    </row>
    <row r="55570" spans="18:18" s="2" customFormat="1" ht="12.75" x14ac:dyDescent="0.2">
      <c r="R55570" s="1288"/>
    </row>
    <row r="55571" spans="18:18" s="2" customFormat="1" ht="12.75" x14ac:dyDescent="0.2">
      <c r="R55571" s="1288"/>
    </row>
    <row r="55572" spans="18:18" s="2" customFormat="1" ht="12.75" x14ac:dyDescent="0.2">
      <c r="R55572" s="1288"/>
    </row>
    <row r="55573" spans="18:18" s="2" customFormat="1" ht="12.75" x14ac:dyDescent="0.2">
      <c r="R55573" s="1288"/>
    </row>
    <row r="55574" spans="18:18" s="2" customFormat="1" ht="12.75" x14ac:dyDescent="0.2">
      <c r="R55574" s="1288"/>
    </row>
    <row r="55575" spans="18:18" s="2" customFormat="1" ht="12.75" x14ac:dyDescent="0.2">
      <c r="R55575" s="1288"/>
    </row>
    <row r="55576" spans="18:18" s="2" customFormat="1" ht="12.75" x14ac:dyDescent="0.2">
      <c r="R55576" s="1288"/>
    </row>
    <row r="55577" spans="18:18" s="2" customFormat="1" ht="12.75" x14ac:dyDescent="0.2">
      <c r="R55577" s="1288"/>
    </row>
    <row r="55578" spans="18:18" s="2" customFormat="1" ht="12.75" x14ac:dyDescent="0.2">
      <c r="R55578" s="1288"/>
    </row>
    <row r="55579" spans="18:18" s="2" customFormat="1" ht="12.75" x14ac:dyDescent="0.2">
      <c r="R55579" s="1288"/>
    </row>
    <row r="55580" spans="18:18" s="2" customFormat="1" ht="12.75" x14ac:dyDescent="0.2">
      <c r="R55580" s="1288"/>
    </row>
    <row r="55581" spans="18:18" s="2" customFormat="1" ht="12.75" x14ac:dyDescent="0.2">
      <c r="R55581" s="1288"/>
    </row>
    <row r="55582" spans="18:18" s="2" customFormat="1" ht="12.75" x14ac:dyDescent="0.2">
      <c r="R55582" s="1288"/>
    </row>
    <row r="55583" spans="18:18" s="2" customFormat="1" ht="12.75" x14ac:dyDescent="0.2">
      <c r="R55583" s="1288"/>
    </row>
    <row r="55584" spans="18:18" s="2" customFormat="1" ht="12.75" x14ac:dyDescent="0.2">
      <c r="R55584" s="1288"/>
    </row>
    <row r="55585" spans="18:18" s="2" customFormat="1" ht="12.75" x14ac:dyDescent="0.2">
      <c r="R55585" s="1288"/>
    </row>
    <row r="55586" spans="18:18" s="2" customFormat="1" ht="12.75" x14ac:dyDescent="0.2">
      <c r="R55586" s="1288"/>
    </row>
    <row r="55587" spans="18:18" s="2" customFormat="1" ht="12.75" x14ac:dyDescent="0.2">
      <c r="R55587" s="1288"/>
    </row>
    <row r="55588" spans="18:18" s="2" customFormat="1" ht="12.75" x14ac:dyDescent="0.2">
      <c r="R55588" s="1288"/>
    </row>
    <row r="55589" spans="18:18" s="2" customFormat="1" ht="12.75" x14ac:dyDescent="0.2">
      <c r="R55589" s="1288"/>
    </row>
    <row r="55590" spans="18:18" s="2" customFormat="1" ht="12.75" x14ac:dyDescent="0.2">
      <c r="R55590" s="1288"/>
    </row>
    <row r="55591" spans="18:18" s="2" customFormat="1" ht="12.75" x14ac:dyDescent="0.2">
      <c r="R55591" s="1288"/>
    </row>
    <row r="55592" spans="18:18" s="2" customFormat="1" ht="12.75" x14ac:dyDescent="0.2">
      <c r="R55592" s="1288"/>
    </row>
    <row r="55593" spans="18:18" s="2" customFormat="1" ht="12.75" x14ac:dyDescent="0.2">
      <c r="R55593" s="1288"/>
    </row>
    <row r="55594" spans="18:18" s="2" customFormat="1" ht="12.75" x14ac:dyDescent="0.2">
      <c r="R55594" s="1288"/>
    </row>
    <row r="55595" spans="18:18" s="2" customFormat="1" ht="12.75" x14ac:dyDescent="0.2">
      <c r="R55595" s="1288"/>
    </row>
    <row r="55596" spans="18:18" s="2" customFormat="1" ht="12.75" x14ac:dyDescent="0.2">
      <c r="R55596" s="1288"/>
    </row>
    <row r="55597" spans="18:18" s="2" customFormat="1" ht="12.75" x14ac:dyDescent="0.2">
      <c r="R55597" s="1288"/>
    </row>
    <row r="55598" spans="18:18" s="2" customFormat="1" ht="12.75" x14ac:dyDescent="0.2">
      <c r="R55598" s="1288"/>
    </row>
    <row r="55599" spans="18:18" s="2" customFormat="1" ht="12.75" x14ac:dyDescent="0.2">
      <c r="R55599" s="1288"/>
    </row>
    <row r="55600" spans="18:18" s="2" customFormat="1" ht="12.75" x14ac:dyDescent="0.2">
      <c r="R55600" s="1288"/>
    </row>
    <row r="55601" spans="18:18" s="2" customFormat="1" ht="12.75" x14ac:dyDescent="0.2">
      <c r="R55601" s="1288"/>
    </row>
    <row r="55602" spans="18:18" s="2" customFormat="1" ht="12.75" x14ac:dyDescent="0.2">
      <c r="R55602" s="1288"/>
    </row>
    <row r="55603" spans="18:18" s="2" customFormat="1" ht="12.75" x14ac:dyDescent="0.2">
      <c r="R55603" s="1288"/>
    </row>
    <row r="55604" spans="18:18" s="2" customFormat="1" ht="12.75" x14ac:dyDescent="0.2">
      <c r="R55604" s="1288"/>
    </row>
    <row r="55605" spans="18:18" s="2" customFormat="1" ht="12.75" x14ac:dyDescent="0.2">
      <c r="R55605" s="1288"/>
    </row>
    <row r="55606" spans="18:18" s="2" customFormat="1" ht="12.75" x14ac:dyDescent="0.2">
      <c r="R55606" s="1288"/>
    </row>
    <row r="55607" spans="18:18" s="2" customFormat="1" ht="12.75" x14ac:dyDescent="0.2">
      <c r="R55607" s="1288"/>
    </row>
    <row r="55608" spans="18:18" s="2" customFormat="1" ht="12.75" x14ac:dyDescent="0.2">
      <c r="R55608" s="1288"/>
    </row>
    <row r="55609" spans="18:18" s="2" customFormat="1" ht="12.75" x14ac:dyDescent="0.2">
      <c r="R55609" s="1288"/>
    </row>
    <row r="55610" spans="18:18" s="2" customFormat="1" ht="12.75" x14ac:dyDescent="0.2">
      <c r="R55610" s="1288"/>
    </row>
    <row r="55611" spans="18:18" s="2" customFormat="1" ht="12.75" x14ac:dyDescent="0.2">
      <c r="R55611" s="1288"/>
    </row>
    <row r="55612" spans="18:18" s="2" customFormat="1" ht="12.75" x14ac:dyDescent="0.2">
      <c r="R55612" s="1288"/>
    </row>
    <row r="55613" spans="18:18" s="2" customFormat="1" ht="12.75" x14ac:dyDescent="0.2">
      <c r="R55613" s="1288"/>
    </row>
    <row r="55614" spans="18:18" s="2" customFormat="1" ht="12.75" x14ac:dyDescent="0.2">
      <c r="R55614" s="1288"/>
    </row>
    <row r="55615" spans="18:18" s="2" customFormat="1" ht="12.75" x14ac:dyDescent="0.2">
      <c r="R55615" s="1288"/>
    </row>
    <row r="55616" spans="18:18" s="2" customFormat="1" ht="12.75" x14ac:dyDescent="0.2">
      <c r="R55616" s="1288"/>
    </row>
    <row r="55617" spans="18:18" s="2" customFormat="1" ht="12.75" x14ac:dyDescent="0.2">
      <c r="R55617" s="1288"/>
    </row>
    <row r="55618" spans="18:18" s="2" customFormat="1" ht="12.75" x14ac:dyDescent="0.2">
      <c r="R55618" s="1288"/>
    </row>
    <row r="55619" spans="18:18" s="2" customFormat="1" ht="12.75" x14ac:dyDescent="0.2">
      <c r="R55619" s="1288"/>
    </row>
    <row r="55620" spans="18:18" s="2" customFormat="1" ht="12.75" x14ac:dyDescent="0.2">
      <c r="R55620" s="1288"/>
    </row>
    <row r="55621" spans="18:18" s="2" customFormat="1" ht="12.75" x14ac:dyDescent="0.2">
      <c r="R55621" s="1288"/>
    </row>
    <row r="55622" spans="18:18" s="2" customFormat="1" ht="12.75" x14ac:dyDescent="0.2">
      <c r="R55622" s="1288"/>
    </row>
    <row r="55623" spans="18:18" s="2" customFormat="1" ht="12.75" x14ac:dyDescent="0.2">
      <c r="R55623" s="1288"/>
    </row>
    <row r="55624" spans="18:18" s="2" customFormat="1" ht="12.75" x14ac:dyDescent="0.2">
      <c r="R55624" s="1288"/>
    </row>
    <row r="55625" spans="18:18" s="2" customFormat="1" ht="12.75" x14ac:dyDescent="0.2">
      <c r="R55625" s="1288"/>
    </row>
    <row r="55626" spans="18:18" s="2" customFormat="1" ht="12.75" x14ac:dyDescent="0.2">
      <c r="R55626" s="1288"/>
    </row>
    <row r="55627" spans="18:18" s="2" customFormat="1" ht="12.75" x14ac:dyDescent="0.2">
      <c r="R55627" s="1288"/>
    </row>
    <row r="55628" spans="18:18" s="2" customFormat="1" ht="12.75" x14ac:dyDescent="0.2">
      <c r="R55628" s="1288"/>
    </row>
    <row r="55629" spans="18:18" s="2" customFormat="1" ht="12.75" x14ac:dyDescent="0.2">
      <c r="R55629" s="1288"/>
    </row>
    <row r="55630" spans="18:18" s="2" customFormat="1" ht="12.75" x14ac:dyDescent="0.2">
      <c r="R55630" s="1288"/>
    </row>
    <row r="55631" spans="18:18" s="2" customFormat="1" ht="12.75" x14ac:dyDescent="0.2">
      <c r="R55631" s="1288"/>
    </row>
    <row r="55632" spans="18:18" s="2" customFormat="1" ht="12.75" x14ac:dyDescent="0.2">
      <c r="R55632" s="1288"/>
    </row>
    <row r="55633" spans="18:18" s="2" customFormat="1" ht="12.75" x14ac:dyDescent="0.2">
      <c r="R55633" s="1288"/>
    </row>
    <row r="55634" spans="18:18" s="2" customFormat="1" ht="12.75" x14ac:dyDescent="0.2">
      <c r="R55634" s="1288"/>
    </row>
    <row r="55635" spans="18:18" s="2" customFormat="1" ht="12.75" x14ac:dyDescent="0.2">
      <c r="R55635" s="1288"/>
    </row>
    <row r="55636" spans="18:18" s="2" customFormat="1" ht="12.75" x14ac:dyDescent="0.2">
      <c r="R55636" s="1288"/>
    </row>
    <row r="55637" spans="18:18" s="2" customFormat="1" ht="12.75" x14ac:dyDescent="0.2">
      <c r="R55637" s="1288"/>
    </row>
    <row r="55638" spans="18:18" s="2" customFormat="1" ht="12.75" x14ac:dyDescent="0.2">
      <c r="R55638" s="1288"/>
    </row>
    <row r="55639" spans="18:18" s="2" customFormat="1" ht="12.75" x14ac:dyDescent="0.2">
      <c r="R55639" s="1288"/>
    </row>
    <row r="55640" spans="18:18" s="2" customFormat="1" ht="12.75" x14ac:dyDescent="0.2">
      <c r="R55640" s="1288"/>
    </row>
    <row r="55641" spans="18:18" s="2" customFormat="1" ht="12.75" x14ac:dyDescent="0.2">
      <c r="R55641" s="1288"/>
    </row>
    <row r="55642" spans="18:18" s="2" customFormat="1" ht="12.75" x14ac:dyDescent="0.2">
      <c r="R55642" s="1288"/>
    </row>
    <row r="55643" spans="18:18" s="2" customFormat="1" ht="12.75" x14ac:dyDescent="0.2">
      <c r="R55643" s="1288"/>
    </row>
    <row r="55644" spans="18:18" s="2" customFormat="1" ht="12.75" x14ac:dyDescent="0.2">
      <c r="R55644" s="1288"/>
    </row>
    <row r="55645" spans="18:18" s="2" customFormat="1" ht="12.75" x14ac:dyDescent="0.2">
      <c r="R55645" s="1288"/>
    </row>
    <row r="55646" spans="18:18" s="2" customFormat="1" ht="12.75" x14ac:dyDescent="0.2">
      <c r="R55646" s="1288"/>
    </row>
    <row r="55647" spans="18:18" s="2" customFormat="1" ht="12.75" x14ac:dyDescent="0.2">
      <c r="R55647" s="1288"/>
    </row>
    <row r="55648" spans="18:18" s="2" customFormat="1" ht="12.75" x14ac:dyDescent="0.2">
      <c r="R55648" s="1288"/>
    </row>
    <row r="55649" spans="18:18" s="2" customFormat="1" ht="12.75" x14ac:dyDescent="0.2">
      <c r="R55649" s="1288"/>
    </row>
    <row r="55650" spans="18:18" s="2" customFormat="1" ht="12.75" x14ac:dyDescent="0.2">
      <c r="R55650" s="1288"/>
    </row>
    <row r="55651" spans="18:18" s="2" customFormat="1" ht="12.75" x14ac:dyDescent="0.2">
      <c r="R55651" s="1288"/>
    </row>
    <row r="55652" spans="18:18" s="2" customFormat="1" ht="12.75" x14ac:dyDescent="0.2">
      <c r="R55652" s="1288"/>
    </row>
    <row r="55653" spans="18:18" s="2" customFormat="1" ht="12.75" x14ac:dyDescent="0.2">
      <c r="R55653" s="1288"/>
    </row>
    <row r="55654" spans="18:18" s="2" customFormat="1" ht="12.75" x14ac:dyDescent="0.2">
      <c r="R55654" s="1288"/>
    </row>
    <row r="55655" spans="18:18" s="2" customFormat="1" ht="12.75" x14ac:dyDescent="0.2">
      <c r="R55655" s="1288"/>
    </row>
    <row r="55656" spans="18:18" s="2" customFormat="1" ht="12.75" x14ac:dyDescent="0.2">
      <c r="R55656" s="1288"/>
    </row>
    <row r="55657" spans="18:18" s="2" customFormat="1" ht="12.75" x14ac:dyDescent="0.2">
      <c r="R55657" s="1288"/>
    </row>
    <row r="55658" spans="18:18" s="2" customFormat="1" ht="12.75" x14ac:dyDescent="0.2">
      <c r="R55658" s="1288"/>
    </row>
    <row r="55659" spans="18:18" s="2" customFormat="1" ht="12.75" x14ac:dyDescent="0.2">
      <c r="R55659" s="1288"/>
    </row>
    <row r="55660" spans="18:18" s="2" customFormat="1" ht="12.75" x14ac:dyDescent="0.2">
      <c r="R55660" s="1288"/>
    </row>
    <row r="55661" spans="18:18" s="2" customFormat="1" ht="12.75" x14ac:dyDescent="0.2">
      <c r="R55661" s="1288"/>
    </row>
    <row r="55662" spans="18:18" s="2" customFormat="1" ht="12.75" x14ac:dyDescent="0.2">
      <c r="R55662" s="1288"/>
    </row>
    <row r="55663" spans="18:18" s="2" customFormat="1" ht="12.75" x14ac:dyDescent="0.2">
      <c r="R55663" s="1288"/>
    </row>
    <row r="55664" spans="18:18" s="2" customFormat="1" ht="12.75" x14ac:dyDescent="0.2">
      <c r="R55664" s="1288"/>
    </row>
    <row r="55665" spans="18:18" s="2" customFormat="1" ht="12.75" x14ac:dyDescent="0.2">
      <c r="R55665" s="1288"/>
    </row>
    <row r="55666" spans="18:18" s="2" customFormat="1" ht="12.75" x14ac:dyDescent="0.2">
      <c r="R55666" s="1288"/>
    </row>
    <row r="55667" spans="18:18" s="2" customFormat="1" ht="12.75" x14ac:dyDescent="0.2">
      <c r="R55667" s="1288"/>
    </row>
    <row r="55668" spans="18:18" s="2" customFormat="1" ht="12.75" x14ac:dyDescent="0.2">
      <c r="R55668" s="1288"/>
    </row>
    <row r="55669" spans="18:18" s="2" customFormat="1" ht="12.75" x14ac:dyDescent="0.2">
      <c r="R55669" s="1288"/>
    </row>
    <row r="55670" spans="18:18" s="2" customFormat="1" ht="12.75" x14ac:dyDescent="0.2">
      <c r="R55670" s="1288"/>
    </row>
    <row r="55671" spans="18:18" s="2" customFormat="1" ht="12.75" x14ac:dyDescent="0.2">
      <c r="R55671" s="1288"/>
    </row>
    <row r="55672" spans="18:18" s="2" customFormat="1" ht="12.75" x14ac:dyDescent="0.2">
      <c r="R55672" s="1288"/>
    </row>
    <row r="55673" spans="18:18" s="2" customFormat="1" ht="12.75" x14ac:dyDescent="0.2">
      <c r="R55673" s="1288"/>
    </row>
    <row r="55674" spans="18:18" s="2" customFormat="1" ht="12.75" x14ac:dyDescent="0.2">
      <c r="R55674" s="1288"/>
    </row>
    <row r="55675" spans="18:18" s="2" customFormat="1" ht="12.75" x14ac:dyDescent="0.2">
      <c r="R55675" s="1288"/>
    </row>
    <row r="55676" spans="18:18" s="2" customFormat="1" ht="12.75" x14ac:dyDescent="0.2">
      <c r="R55676" s="1288"/>
    </row>
    <row r="55677" spans="18:18" s="2" customFormat="1" ht="12.75" x14ac:dyDescent="0.2">
      <c r="R55677" s="1288"/>
    </row>
    <row r="55678" spans="18:18" s="2" customFormat="1" ht="12.75" x14ac:dyDescent="0.2">
      <c r="R55678" s="1288"/>
    </row>
    <row r="55679" spans="18:18" s="2" customFormat="1" ht="12.75" x14ac:dyDescent="0.2">
      <c r="R55679" s="1288"/>
    </row>
    <row r="55680" spans="18:18" s="2" customFormat="1" ht="12.75" x14ac:dyDescent="0.2">
      <c r="R55680" s="1288"/>
    </row>
    <row r="55681" spans="18:18" s="2" customFormat="1" ht="12.75" x14ac:dyDescent="0.2">
      <c r="R55681" s="1288"/>
    </row>
    <row r="55682" spans="18:18" s="2" customFormat="1" ht="12.75" x14ac:dyDescent="0.2">
      <c r="R55682" s="1288"/>
    </row>
    <row r="55683" spans="18:18" s="2" customFormat="1" ht="12.75" x14ac:dyDescent="0.2">
      <c r="R55683" s="1288"/>
    </row>
    <row r="55684" spans="18:18" s="2" customFormat="1" ht="12.75" x14ac:dyDescent="0.2">
      <c r="R55684" s="1288"/>
    </row>
    <row r="55685" spans="18:18" s="2" customFormat="1" ht="12.75" x14ac:dyDescent="0.2">
      <c r="R55685" s="1288"/>
    </row>
    <row r="55686" spans="18:18" s="2" customFormat="1" ht="12.75" x14ac:dyDescent="0.2">
      <c r="R55686" s="1288"/>
    </row>
    <row r="55687" spans="18:18" s="2" customFormat="1" ht="12.75" x14ac:dyDescent="0.2">
      <c r="R55687" s="1288"/>
    </row>
    <row r="55688" spans="18:18" s="2" customFormat="1" ht="12.75" x14ac:dyDescent="0.2">
      <c r="R55688" s="1288"/>
    </row>
    <row r="55689" spans="18:18" s="2" customFormat="1" ht="12.75" x14ac:dyDescent="0.2">
      <c r="R55689" s="1288"/>
    </row>
    <row r="55690" spans="18:18" s="2" customFormat="1" ht="12.75" x14ac:dyDescent="0.2">
      <c r="R55690" s="1288"/>
    </row>
    <row r="55691" spans="18:18" s="2" customFormat="1" ht="12.75" x14ac:dyDescent="0.2">
      <c r="R55691" s="1288"/>
    </row>
    <row r="55692" spans="18:18" s="2" customFormat="1" ht="12.75" x14ac:dyDescent="0.2">
      <c r="R55692" s="1288"/>
    </row>
    <row r="55693" spans="18:18" s="2" customFormat="1" ht="12.75" x14ac:dyDescent="0.2">
      <c r="R55693" s="1288"/>
    </row>
    <row r="55694" spans="18:18" s="2" customFormat="1" ht="12.75" x14ac:dyDescent="0.2">
      <c r="R55694" s="1288"/>
    </row>
    <row r="55695" spans="18:18" s="2" customFormat="1" ht="12.75" x14ac:dyDescent="0.2">
      <c r="R55695" s="1288"/>
    </row>
    <row r="55696" spans="18:18" s="2" customFormat="1" ht="12.75" x14ac:dyDescent="0.2">
      <c r="R55696" s="1288"/>
    </row>
    <row r="55697" spans="18:18" s="2" customFormat="1" ht="12.75" x14ac:dyDescent="0.2">
      <c r="R55697" s="1288"/>
    </row>
    <row r="55698" spans="18:18" s="2" customFormat="1" ht="12.75" x14ac:dyDescent="0.2">
      <c r="R55698" s="1288"/>
    </row>
    <row r="55699" spans="18:18" s="2" customFormat="1" ht="12.75" x14ac:dyDescent="0.2">
      <c r="R55699" s="1288"/>
    </row>
    <row r="55700" spans="18:18" s="2" customFormat="1" ht="12.75" x14ac:dyDescent="0.2">
      <c r="R55700" s="1288"/>
    </row>
    <row r="55701" spans="18:18" s="2" customFormat="1" ht="12.75" x14ac:dyDescent="0.2">
      <c r="R55701" s="1288"/>
    </row>
    <row r="55702" spans="18:18" s="2" customFormat="1" ht="12.75" x14ac:dyDescent="0.2">
      <c r="R55702" s="1288"/>
    </row>
    <row r="55703" spans="18:18" s="2" customFormat="1" ht="12.75" x14ac:dyDescent="0.2">
      <c r="R55703" s="1288"/>
    </row>
    <row r="55704" spans="18:18" s="2" customFormat="1" ht="12.75" x14ac:dyDescent="0.2">
      <c r="R55704" s="1288"/>
    </row>
    <row r="55705" spans="18:18" s="2" customFormat="1" ht="12.75" x14ac:dyDescent="0.2">
      <c r="R55705" s="1288"/>
    </row>
    <row r="55706" spans="18:18" s="2" customFormat="1" ht="12.75" x14ac:dyDescent="0.2">
      <c r="R55706" s="1288"/>
    </row>
    <row r="55707" spans="18:18" s="2" customFormat="1" ht="12.75" x14ac:dyDescent="0.2">
      <c r="R55707" s="1288"/>
    </row>
    <row r="55708" spans="18:18" s="2" customFormat="1" ht="12.75" x14ac:dyDescent="0.2">
      <c r="R55708" s="1288"/>
    </row>
    <row r="55709" spans="18:18" s="2" customFormat="1" ht="12.75" x14ac:dyDescent="0.2">
      <c r="R55709" s="1288"/>
    </row>
    <row r="55710" spans="18:18" s="2" customFormat="1" ht="12.75" x14ac:dyDescent="0.2">
      <c r="R55710" s="1288"/>
    </row>
    <row r="55711" spans="18:18" s="2" customFormat="1" ht="12.75" x14ac:dyDescent="0.2">
      <c r="R55711" s="1288"/>
    </row>
    <row r="55712" spans="18:18" s="2" customFormat="1" ht="12.75" x14ac:dyDescent="0.2">
      <c r="R55712" s="1288"/>
    </row>
    <row r="55713" spans="18:18" s="2" customFormat="1" ht="12.75" x14ac:dyDescent="0.2">
      <c r="R55713" s="1288"/>
    </row>
    <row r="55714" spans="18:18" s="2" customFormat="1" ht="12.75" x14ac:dyDescent="0.2">
      <c r="R55714" s="1288"/>
    </row>
    <row r="55715" spans="18:18" s="2" customFormat="1" ht="12.75" x14ac:dyDescent="0.2">
      <c r="R55715" s="1288"/>
    </row>
    <row r="55716" spans="18:18" s="2" customFormat="1" ht="12.75" x14ac:dyDescent="0.2">
      <c r="R55716" s="1288"/>
    </row>
    <row r="55717" spans="18:18" s="2" customFormat="1" ht="12.75" x14ac:dyDescent="0.2">
      <c r="R55717" s="1288"/>
    </row>
    <row r="55718" spans="18:18" s="2" customFormat="1" ht="12.75" x14ac:dyDescent="0.2">
      <c r="R55718" s="1288"/>
    </row>
    <row r="55719" spans="18:18" s="2" customFormat="1" ht="12.75" x14ac:dyDescent="0.2">
      <c r="R55719" s="1288"/>
    </row>
    <row r="55720" spans="18:18" s="2" customFormat="1" ht="12.75" x14ac:dyDescent="0.2">
      <c r="R55720" s="1288"/>
    </row>
    <row r="55721" spans="18:18" s="2" customFormat="1" ht="12.75" x14ac:dyDescent="0.2">
      <c r="R55721" s="1288"/>
    </row>
    <row r="55722" spans="18:18" s="2" customFormat="1" ht="12.75" x14ac:dyDescent="0.2">
      <c r="R55722" s="1288"/>
    </row>
    <row r="55723" spans="18:18" s="2" customFormat="1" ht="12.75" x14ac:dyDescent="0.2">
      <c r="R55723" s="1288"/>
    </row>
    <row r="55724" spans="18:18" s="2" customFormat="1" ht="12.75" x14ac:dyDescent="0.2">
      <c r="R55724" s="1288"/>
    </row>
    <row r="55725" spans="18:18" s="2" customFormat="1" ht="12.75" x14ac:dyDescent="0.2">
      <c r="R55725" s="1288"/>
    </row>
    <row r="55726" spans="18:18" s="2" customFormat="1" ht="12.75" x14ac:dyDescent="0.2">
      <c r="R55726" s="1288"/>
    </row>
    <row r="55727" spans="18:18" s="2" customFormat="1" ht="12.75" x14ac:dyDescent="0.2">
      <c r="R55727" s="1288"/>
    </row>
    <row r="55728" spans="18:18" s="2" customFormat="1" ht="12.75" x14ac:dyDescent="0.2">
      <c r="R55728" s="1288"/>
    </row>
    <row r="55729" spans="18:18" s="2" customFormat="1" ht="12.75" x14ac:dyDescent="0.2">
      <c r="R55729" s="1288"/>
    </row>
    <row r="55730" spans="18:18" s="2" customFormat="1" ht="12.75" x14ac:dyDescent="0.2">
      <c r="R55730" s="1288"/>
    </row>
    <row r="55731" spans="18:18" s="2" customFormat="1" ht="12.75" x14ac:dyDescent="0.2">
      <c r="R55731" s="1288"/>
    </row>
    <row r="55732" spans="18:18" s="2" customFormat="1" ht="12.75" x14ac:dyDescent="0.2">
      <c r="R55732" s="1288"/>
    </row>
    <row r="55733" spans="18:18" s="2" customFormat="1" ht="12.75" x14ac:dyDescent="0.2">
      <c r="R55733" s="1288"/>
    </row>
    <row r="55734" spans="18:18" s="2" customFormat="1" ht="12.75" x14ac:dyDescent="0.2">
      <c r="R55734" s="1288"/>
    </row>
    <row r="55735" spans="18:18" s="2" customFormat="1" ht="12.75" x14ac:dyDescent="0.2">
      <c r="R55735" s="1288"/>
    </row>
    <row r="55736" spans="18:18" s="2" customFormat="1" ht="12.75" x14ac:dyDescent="0.2">
      <c r="R55736" s="1288"/>
    </row>
    <row r="55737" spans="18:18" s="2" customFormat="1" ht="12.75" x14ac:dyDescent="0.2">
      <c r="R55737" s="1288"/>
    </row>
    <row r="55738" spans="18:18" s="2" customFormat="1" ht="12.75" x14ac:dyDescent="0.2">
      <c r="R55738" s="1288"/>
    </row>
    <row r="55739" spans="18:18" s="2" customFormat="1" ht="12.75" x14ac:dyDescent="0.2">
      <c r="R55739" s="1288"/>
    </row>
    <row r="55740" spans="18:18" s="2" customFormat="1" ht="12.75" x14ac:dyDescent="0.2">
      <c r="R55740" s="1288"/>
    </row>
    <row r="55741" spans="18:18" s="2" customFormat="1" ht="12.75" x14ac:dyDescent="0.2">
      <c r="R55741" s="1288"/>
    </row>
    <row r="55742" spans="18:18" s="2" customFormat="1" ht="12.75" x14ac:dyDescent="0.2">
      <c r="R55742" s="1288"/>
    </row>
    <row r="55743" spans="18:18" s="2" customFormat="1" ht="12.75" x14ac:dyDescent="0.2">
      <c r="R55743" s="1288"/>
    </row>
    <row r="55744" spans="18:18" s="2" customFormat="1" ht="12.75" x14ac:dyDescent="0.2">
      <c r="R55744" s="1288"/>
    </row>
    <row r="55745" spans="18:18" s="2" customFormat="1" ht="12.75" x14ac:dyDescent="0.2">
      <c r="R55745" s="1288"/>
    </row>
    <row r="55746" spans="18:18" s="2" customFormat="1" ht="12.75" x14ac:dyDescent="0.2">
      <c r="R55746" s="1288"/>
    </row>
    <row r="55747" spans="18:18" s="2" customFormat="1" ht="12.75" x14ac:dyDescent="0.2">
      <c r="R55747" s="1288"/>
    </row>
    <row r="55748" spans="18:18" s="2" customFormat="1" ht="12.75" x14ac:dyDescent="0.2">
      <c r="R55748" s="1288"/>
    </row>
    <row r="55749" spans="18:18" s="2" customFormat="1" ht="12.75" x14ac:dyDescent="0.2">
      <c r="R55749" s="1288"/>
    </row>
    <row r="55750" spans="18:18" s="2" customFormat="1" ht="12.75" x14ac:dyDescent="0.2">
      <c r="R55750" s="1288"/>
    </row>
    <row r="55751" spans="18:18" s="2" customFormat="1" ht="12.75" x14ac:dyDescent="0.2">
      <c r="R55751" s="1288"/>
    </row>
    <row r="55752" spans="18:18" s="2" customFormat="1" ht="12.75" x14ac:dyDescent="0.2">
      <c r="R55752" s="1288"/>
    </row>
    <row r="55753" spans="18:18" s="2" customFormat="1" ht="12.75" x14ac:dyDescent="0.2">
      <c r="R55753" s="1288"/>
    </row>
    <row r="55754" spans="18:18" s="2" customFormat="1" ht="12.75" x14ac:dyDescent="0.2">
      <c r="R55754" s="1288"/>
    </row>
    <row r="55755" spans="18:18" s="2" customFormat="1" ht="12.75" x14ac:dyDescent="0.2">
      <c r="R55755" s="1288"/>
    </row>
    <row r="55756" spans="18:18" s="2" customFormat="1" ht="12.75" x14ac:dyDescent="0.2">
      <c r="R55756" s="1288"/>
    </row>
    <row r="55757" spans="18:18" s="2" customFormat="1" ht="12.75" x14ac:dyDescent="0.2">
      <c r="R55757" s="1288"/>
    </row>
    <row r="55758" spans="18:18" s="2" customFormat="1" ht="12.75" x14ac:dyDescent="0.2">
      <c r="R55758" s="1288"/>
    </row>
    <row r="55759" spans="18:18" s="2" customFormat="1" ht="12.75" x14ac:dyDescent="0.2">
      <c r="R55759" s="1288"/>
    </row>
    <row r="55760" spans="18:18" s="2" customFormat="1" ht="12.75" x14ac:dyDescent="0.2">
      <c r="R55760" s="1288"/>
    </row>
    <row r="55761" spans="18:18" s="2" customFormat="1" ht="12.75" x14ac:dyDescent="0.2">
      <c r="R55761" s="1288"/>
    </row>
    <row r="55762" spans="18:18" s="2" customFormat="1" ht="12.75" x14ac:dyDescent="0.2">
      <c r="R55762" s="1288"/>
    </row>
    <row r="55763" spans="18:18" s="2" customFormat="1" ht="12.75" x14ac:dyDescent="0.2">
      <c r="R55763" s="1288"/>
    </row>
    <row r="55764" spans="18:18" s="2" customFormat="1" ht="12.75" x14ac:dyDescent="0.2">
      <c r="R55764" s="1288"/>
    </row>
    <row r="55765" spans="18:18" s="2" customFormat="1" ht="12.75" x14ac:dyDescent="0.2">
      <c r="R55765" s="1288"/>
    </row>
    <row r="55766" spans="18:18" s="2" customFormat="1" ht="12.75" x14ac:dyDescent="0.2">
      <c r="R55766" s="1288"/>
    </row>
    <row r="55767" spans="18:18" s="2" customFormat="1" ht="12.75" x14ac:dyDescent="0.2">
      <c r="R55767" s="1288"/>
    </row>
    <row r="55768" spans="18:18" s="2" customFormat="1" ht="12.75" x14ac:dyDescent="0.2">
      <c r="R55768" s="1288"/>
    </row>
    <row r="55769" spans="18:18" s="2" customFormat="1" ht="12.75" x14ac:dyDescent="0.2">
      <c r="R55769" s="1288"/>
    </row>
    <row r="55770" spans="18:18" s="2" customFormat="1" ht="12.75" x14ac:dyDescent="0.2">
      <c r="R55770" s="1288"/>
    </row>
    <row r="55771" spans="18:18" s="2" customFormat="1" ht="12.75" x14ac:dyDescent="0.2">
      <c r="R55771" s="1288"/>
    </row>
    <row r="55772" spans="18:18" s="2" customFormat="1" ht="12.75" x14ac:dyDescent="0.2">
      <c r="R55772" s="1288"/>
    </row>
    <row r="55773" spans="18:18" s="2" customFormat="1" ht="12.75" x14ac:dyDescent="0.2">
      <c r="R55773" s="1288"/>
    </row>
    <row r="55774" spans="18:18" s="2" customFormat="1" ht="12.75" x14ac:dyDescent="0.2">
      <c r="R55774" s="1288"/>
    </row>
    <row r="55775" spans="18:18" s="2" customFormat="1" ht="12.75" x14ac:dyDescent="0.2">
      <c r="R55775" s="1288"/>
    </row>
    <row r="55776" spans="18:18" s="2" customFormat="1" ht="12.75" x14ac:dyDescent="0.2">
      <c r="R55776" s="1288"/>
    </row>
    <row r="55777" spans="18:18" s="2" customFormat="1" ht="12.75" x14ac:dyDescent="0.2">
      <c r="R55777" s="1288"/>
    </row>
    <row r="55778" spans="18:18" s="2" customFormat="1" ht="12.75" x14ac:dyDescent="0.2">
      <c r="R55778" s="1288"/>
    </row>
    <row r="55779" spans="18:18" s="2" customFormat="1" ht="12.75" x14ac:dyDescent="0.2">
      <c r="R55779" s="1288"/>
    </row>
    <row r="55780" spans="18:18" s="2" customFormat="1" ht="12.75" x14ac:dyDescent="0.2">
      <c r="R55780" s="1288"/>
    </row>
    <row r="55781" spans="18:18" s="2" customFormat="1" ht="12.75" x14ac:dyDescent="0.2">
      <c r="R55781" s="1288"/>
    </row>
    <row r="55782" spans="18:18" s="2" customFormat="1" ht="12.75" x14ac:dyDescent="0.2">
      <c r="R55782" s="1288"/>
    </row>
    <row r="55783" spans="18:18" s="2" customFormat="1" ht="12.75" x14ac:dyDescent="0.2">
      <c r="R55783" s="1288"/>
    </row>
    <row r="55784" spans="18:18" s="2" customFormat="1" ht="12.75" x14ac:dyDescent="0.2">
      <c r="R55784" s="1288"/>
    </row>
    <row r="55785" spans="18:18" s="2" customFormat="1" ht="12.75" x14ac:dyDescent="0.2">
      <c r="R55785" s="1288"/>
    </row>
    <row r="55786" spans="18:18" s="2" customFormat="1" ht="12.75" x14ac:dyDescent="0.2">
      <c r="R55786" s="1288"/>
    </row>
    <row r="55787" spans="18:18" s="2" customFormat="1" ht="12.75" x14ac:dyDescent="0.2">
      <c r="R55787" s="1288"/>
    </row>
    <row r="55788" spans="18:18" s="2" customFormat="1" ht="12.75" x14ac:dyDescent="0.2">
      <c r="R55788" s="1288"/>
    </row>
    <row r="55789" spans="18:18" s="2" customFormat="1" ht="12.75" x14ac:dyDescent="0.2">
      <c r="R55789" s="1288"/>
    </row>
    <row r="55790" spans="18:18" s="2" customFormat="1" ht="12.75" x14ac:dyDescent="0.2">
      <c r="R55790" s="1288"/>
    </row>
    <row r="55791" spans="18:18" s="2" customFormat="1" ht="12.75" x14ac:dyDescent="0.2">
      <c r="R55791" s="1288"/>
    </row>
    <row r="55792" spans="18:18" s="2" customFormat="1" ht="12.75" x14ac:dyDescent="0.2">
      <c r="R55792" s="1288"/>
    </row>
    <row r="55793" spans="18:18" s="2" customFormat="1" ht="12.75" x14ac:dyDescent="0.2">
      <c r="R55793" s="1288"/>
    </row>
    <row r="55794" spans="18:18" s="2" customFormat="1" ht="12.75" x14ac:dyDescent="0.2">
      <c r="R55794" s="1288"/>
    </row>
    <row r="55795" spans="18:18" s="2" customFormat="1" ht="12.75" x14ac:dyDescent="0.2">
      <c r="R55795" s="1288"/>
    </row>
    <row r="55796" spans="18:18" s="2" customFormat="1" ht="12.75" x14ac:dyDescent="0.2">
      <c r="R55796" s="1288"/>
    </row>
    <row r="55797" spans="18:18" s="2" customFormat="1" ht="12.75" x14ac:dyDescent="0.2">
      <c r="R55797" s="1288"/>
    </row>
    <row r="55798" spans="18:18" s="2" customFormat="1" ht="12.75" x14ac:dyDescent="0.2">
      <c r="R55798" s="1288"/>
    </row>
    <row r="55799" spans="18:18" s="2" customFormat="1" ht="12.75" x14ac:dyDescent="0.2">
      <c r="R55799" s="1288"/>
    </row>
    <row r="55800" spans="18:18" s="2" customFormat="1" ht="12.75" x14ac:dyDescent="0.2">
      <c r="R55800" s="1288"/>
    </row>
    <row r="55801" spans="18:18" s="2" customFormat="1" ht="12.75" x14ac:dyDescent="0.2">
      <c r="R55801" s="1288"/>
    </row>
    <row r="55802" spans="18:18" s="2" customFormat="1" ht="12.75" x14ac:dyDescent="0.2">
      <c r="R55802" s="1288"/>
    </row>
    <row r="55803" spans="18:18" s="2" customFormat="1" ht="12.75" x14ac:dyDescent="0.2">
      <c r="R55803" s="1288"/>
    </row>
    <row r="55804" spans="18:18" s="2" customFormat="1" ht="12.75" x14ac:dyDescent="0.2">
      <c r="R55804" s="1288"/>
    </row>
    <row r="55805" spans="18:18" s="2" customFormat="1" ht="12.75" x14ac:dyDescent="0.2">
      <c r="R55805" s="1288"/>
    </row>
    <row r="55806" spans="18:18" s="2" customFormat="1" ht="12.75" x14ac:dyDescent="0.2">
      <c r="R55806" s="1288"/>
    </row>
    <row r="55807" spans="18:18" s="2" customFormat="1" ht="12.75" x14ac:dyDescent="0.2">
      <c r="R55807" s="1288"/>
    </row>
    <row r="55808" spans="18:18" s="2" customFormat="1" ht="12.75" x14ac:dyDescent="0.2">
      <c r="R55808" s="1288"/>
    </row>
    <row r="55809" spans="18:18" s="2" customFormat="1" ht="12.75" x14ac:dyDescent="0.2">
      <c r="R55809" s="1288"/>
    </row>
    <row r="55810" spans="18:18" s="2" customFormat="1" ht="12.75" x14ac:dyDescent="0.2">
      <c r="R55810" s="1288"/>
    </row>
    <row r="55811" spans="18:18" s="2" customFormat="1" ht="12.75" x14ac:dyDescent="0.2">
      <c r="R55811" s="1288"/>
    </row>
    <row r="55812" spans="18:18" s="2" customFormat="1" ht="12.75" x14ac:dyDescent="0.2">
      <c r="R55812" s="1288"/>
    </row>
    <row r="55813" spans="18:18" s="2" customFormat="1" ht="12.75" x14ac:dyDescent="0.2">
      <c r="R55813" s="1288"/>
    </row>
    <row r="55814" spans="18:18" s="2" customFormat="1" ht="12.75" x14ac:dyDescent="0.2">
      <c r="R55814" s="1288"/>
    </row>
    <row r="55815" spans="18:18" s="2" customFormat="1" ht="12.75" x14ac:dyDescent="0.2">
      <c r="R55815" s="1288"/>
    </row>
    <row r="55816" spans="18:18" s="2" customFormat="1" ht="12.75" x14ac:dyDescent="0.2">
      <c r="R55816" s="1288"/>
    </row>
    <row r="55817" spans="18:18" s="2" customFormat="1" ht="12.75" x14ac:dyDescent="0.2">
      <c r="R55817" s="1288"/>
    </row>
    <row r="55818" spans="18:18" s="2" customFormat="1" ht="12.75" x14ac:dyDescent="0.2">
      <c r="R55818" s="1288"/>
    </row>
    <row r="55819" spans="18:18" s="2" customFormat="1" ht="12.75" x14ac:dyDescent="0.2">
      <c r="R55819" s="1288"/>
    </row>
    <row r="55820" spans="18:18" s="2" customFormat="1" ht="12.75" x14ac:dyDescent="0.2">
      <c r="R55820" s="1288"/>
    </row>
    <row r="55821" spans="18:18" s="2" customFormat="1" ht="12.75" x14ac:dyDescent="0.2">
      <c r="R55821" s="1288"/>
    </row>
    <row r="55822" spans="18:18" s="2" customFormat="1" ht="12.75" x14ac:dyDescent="0.2">
      <c r="R55822" s="1288"/>
    </row>
    <row r="55823" spans="18:18" s="2" customFormat="1" ht="12.75" x14ac:dyDescent="0.2">
      <c r="R55823" s="1288"/>
    </row>
    <row r="55824" spans="18:18" s="2" customFormat="1" ht="12.75" x14ac:dyDescent="0.2">
      <c r="R55824" s="1288"/>
    </row>
    <row r="55825" spans="18:18" s="2" customFormat="1" ht="12.75" x14ac:dyDescent="0.2">
      <c r="R55825" s="1288"/>
    </row>
    <row r="55826" spans="18:18" s="2" customFormat="1" ht="12.75" x14ac:dyDescent="0.2">
      <c r="R55826" s="1288"/>
    </row>
    <row r="55827" spans="18:18" s="2" customFormat="1" ht="12.75" x14ac:dyDescent="0.2">
      <c r="R55827" s="1288"/>
    </row>
    <row r="55828" spans="18:18" s="2" customFormat="1" ht="12.75" x14ac:dyDescent="0.2">
      <c r="R55828" s="1288"/>
    </row>
    <row r="55829" spans="18:18" s="2" customFormat="1" ht="12.75" x14ac:dyDescent="0.2">
      <c r="R55829" s="1288"/>
    </row>
    <row r="55830" spans="18:18" s="2" customFormat="1" ht="12.75" x14ac:dyDescent="0.2">
      <c r="R55830" s="1288"/>
    </row>
    <row r="55831" spans="18:18" s="2" customFormat="1" ht="12.75" x14ac:dyDescent="0.2">
      <c r="R55831" s="1288"/>
    </row>
    <row r="55832" spans="18:18" s="2" customFormat="1" ht="12.75" x14ac:dyDescent="0.2">
      <c r="R55832" s="1288"/>
    </row>
    <row r="55833" spans="18:18" s="2" customFormat="1" ht="12.75" x14ac:dyDescent="0.2">
      <c r="R55833" s="1288"/>
    </row>
    <row r="55834" spans="18:18" s="2" customFormat="1" ht="12.75" x14ac:dyDescent="0.2">
      <c r="R55834" s="1288"/>
    </row>
    <row r="55835" spans="18:18" s="2" customFormat="1" ht="12.75" x14ac:dyDescent="0.2">
      <c r="R55835" s="1288"/>
    </row>
    <row r="55836" spans="18:18" s="2" customFormat="1" ht="12.75" x14ac:dyDescent="0.2">
      <c r="R55836" s="1288"/>
    </row>
    <row r="55837" spans="18:18" s="2" customFormat="1" ht="12.75" x14ac:dyDescent="0.2">
      <c r="R55837" s="1288"/>
    </row>
    <row r="55838" spans="18:18" s="2" customFormat="1" ht="12.75" x14ac:dyDescent="0.2">
      <c r="R55838" s="1288"/>
    </row>
    <row r="55839" spans="18:18" s="2" customFormat="1" ht="12.75" x14ac:dyDescent="0.2">
      <c r="R55839" s="1288"/>
    </row>
    <row r="55840" spans="18:18" s="2" customFormat="1" ht="12.75" x14ac:dyDescent="0.2">
      <c r="R55840" s="1288"/>
    </row>
    <row r="55841" spans="18:18" s="2" customFormat="1" ht="12.75" x14ac:dyDescent="0.2">
      <c r="R55841" s="1288"/>
    </row>
    <row r="55842" spans="18:18" s="2" customFormat="1" ht="12.75" x14ac:dyDescent="0.2">
      <c r="R55842" s="1288"/>
    </row>
    <row r="55843" spans="18:18" s="2" customFormat="1" ht="12.75" x14ac:dyDescent="0.2">
      <c r="R55843" s="1288"/>
    </row>
    <row r="55844" spans="18:18" s="2" customFormat="1" ht="12.75" x14ac:dyDescent="0.2">
      <c r="R55844" s="1288"/>
    </row>
    <row r="55845" spans="18:18" s="2" customFormat="1" ht="12.75" x14ac:dyDescent="0.2">
      <c r="R55845" s="1288"/>
    </row>
    <row r="55846" spans="18:18" s="2" customFormat="1" ht="12.75" x14ac:dyDescent="0.2">
      <c r="R55846" s="1288"/>
    </row>
    <row r="55847" spans="18:18" s="2" customFormat="1" ht="12.75" x14ac:dyDescent="0.2">
      <c r="R55847" s="1288"/>
    </row>
    <row r="55848" spans="18:18" s="2" customFormat="1" ht="12.75" x14ac:dyDescent="0.2">
      <c r="R55848" s="1288"/>
    </row>
    <row r="55849" spans="18:18" s="2" customFormat="1" ht="12.75" x14ac:dyDescent="0.2">
      <c r="R55849" s="1288"/>
    </row>
    <row r="55850" spans="18:18" s="2" customFormat="1" ht="12.75" x14ac:dyDescent="0.2">
      <c r="R55850" s="1288"/>
    </row>
    <row r="55851" spans="18:18" s="2" customFormat="1" ht="12.75" x14ac:dyDescent="0.2">
      <c r="R55851" s="1288"/>
    </row>
    <row r="55852" spans="18:18" s="2" customFormat="1" ht="12.75" x14ac:dyDescent="0.2">
      <c r="R55852" s="1288"/>
    </row>
    <row r="55853" spans="18:18" s="2" customFormat="1" ht="12.75" x14ac:dyDescent="0.2">
      <c r="R55853" s="1288"/>
    </row>
    <row r="55854" spans="18:18" s="2" customFormat="1" ht="12.75" x14ac:dyDescent="0.2">
      <c r="R55854" s="1288"/>
    </row>
    <row r="55855" spans="18:18" s="2" customFormat="1" ht="12.75" x14ac:dyDescent="0.2">
      <c r="R55855" s="1288"/>
    </row>
    <row r="55856" spans="18:18" s="2" customFormat="1" ht="12.75" x14ac:dyDescent="0.2">
      <c r="R55856" s="1288"/>
    </row>
    <row r="55857" spans="18:18" s="2" customFormat="1" ht="12.75" x14ac:dyDescent="0.2">
      <c r="R55857" s="1288"/>
    </row>
    <row r="55858" spans="18:18" s="2" customFormat="1" ht="12.75" x14ac:dyDescent="0.2">
      <c r="R55858" s="1288"/>
    </row>
    <row r="55859" spans="18:18" s="2" customFormat="1" ht="12.75" x14ac:dyDescent="0.2">
      <c r="R55859" s="1288"/>
    </row>
    <row r="55860" spans="18:18" s="2" customFormat="1" ht="12.75" x14ac:dyDescent="0.2">
      <c r="R55860" s="1288"/>
    </row>
    <row r="55861" spans="18:18" s="2" customFormat="1" ht="12.75" x14ac:dyDescent="0.2">
      <c r="R55861" s="1288"/>
    </row>
    <row r="55862" spans="18:18" s="2" customFormat="1" ht="12.75" x14ac:dyDescent="0.2">
      <c r="R55862" s="1288"/>
    </row>
    <row r="55863" spans="18:18" s="2" customFormat="1" ht="12.75" x14ac:dyDescent="0.2">
      <c r="R55863" s="1288"/>
    </row>
    <row r="55864" spans="18:18" s="2" customFormat="1" ht="12.75" x14ac:dyDescent="0.2">
      <c r="R55864" s="1288"/>
    </row>
    <row r="55865" spans="18:18" s="2" customFormat="1" ht="12.75" x14ac:dyDescent="0.2">
      <c r="R55865" s="1288"/>
    </row>
    <row r="55866" spans="18:18" s="2" customFormat="1" ht="12.75" x14ac:dyDescent="0.2">
      <c r="R55866" s="1288"/>
    </row>
    <row r="55867" spans="18:18" s="2" customFormat="1" ht="12.75" x14ac:dyDescent="0.2">
      <c r="R55867" s="1288"/>
    </row>
    <row r="55868" spans="18:18" s="2" customFormat="1" ht="12.75" x14ac:dyDescent="0.2">
      <c r="R55868" s="1288"/>
    </row>
    <row r="55869" spans="18:18" s="2" customFormat="1" ht="12.75" x14ac:dyDescent="0.2">
      <c r="R55869" s="1288"/>
    </row>
    <row r="55870" spans="18:18" s="2" customFormat="1" ht="12.75" x14ac:dyDescent="0.2">
      <c r="R55870" s="1288"/>
    </row>
    <row r="55871" spans="18:18" s="2" customFormat="1" ht="12.75" x14ac:dyDescent="0.2">
      <c r="R55871" s="1288"/>
    </row>
    <row r="55872" spans="18:18" s="2" customFormat="1" ht="12.75" x14ac:dyDescent="0.2">
      <c r="R55872" s="1288"/>
    </row>
    <row r="55873" spans="18:18" s="2" customFormat="1" ht="12.75" x14ac:dyDescent="0.2">
      <c r="R55873" s="1288"/>
    </row>
    <row r="55874" spans="18:18" s="2" customFormat="1" ht="12.75" x14ac:dyDescent="0.2">
      <c r="R55874" s="1288"/>
    </row>
    <row r="55875" spans="18:18" s="2" customFormat="1" ht="12.75" x14ac:dyDescent="0.2">
      <c r="R55875" s="1288"/>
    </row>
    <row r="55876" spans="18:18" s="2" customFormat="1" ht="12.75" x14ac:dyDescent="0.2">
      <c r="R55876" s="1288"/>
    </row>
    <row r="55877" spans="18:18" s="2" customFormat="1" ht="12.75" x14ac:dyDescent="0.2">
      <c r="R55877" s="1288"/>
    </row>
    <row r="55878" spans="18:18" s="2" customFormat="1" ht="12.75" x14ac:dyDescent="0.2">
      <c r="R55878" s="1288"/>
    </row>
    <row r="55879" spans="18:18" s="2" customFormat="1" ht="12.75" x14ac:dyDescent="0.2">
      <c r="R55879" s="1288"/>
    </row>
    <row r="55880" spans="18:18" s="2" customFormat="1" ht="12.75" x14ac:dyDescent="0.2">
      <c r="R55880" s="1288"/>
    </row>
    <row r="55881" spans="18:18" s="2" customFormat="1" ht="12.75" x14ac:dyDescent="0.2">
      <c r="R55881" s="1288"/>
    </row>
    <row r="55882" spans="18:18" s="2" customFormat="1" ht="12.75" x14ac:dyDescent="0.2">
      <c r="R55882" s="1288"/>
    </row>
    <row r="55883" spans="18:18" s="2" customFormat="1" ht="12.75" x14ac:dyDescent="0.2">
      <c r="R55883" s="1288"/>
    </row>
    <row r="55884" spans="18:18" s="2" customFormat="1" ht="12.75" x14ac:dyDescent="0.2">
      <c r="R55884" s="1288"/>
    </row>
    <row r="55885" spans="18:18" s="2" customFormat="1" ht="12.75" x14ac:dyDescent="0.2">
      <c r="R55885" s="1288"/>
    </row>
    <row r="55886" spans="18:18" s="2" customFormat="1" ht="12.75" x14ac:dyDescent="0.2">
      <c r="R55886" s="1288"/>
    </row>
    <row r="55887" spans="18:18" s="2" customFormat="1" ht="12.75" x14ac:dyDescent="0.2">
      <c r="R55887" s="1288"/>
    </row>
    <row r="55888" spans="18:18" s="2" customFormat="1" ht="12.75" x14ac:dyDescent="0.2">
      <c r="R55888" s="1288"/>
    </row>
    <row r="55889" spans="18:18" s="2" customFormat="1" ht="12.75" x14ac:dyDescent="0.2">
      <c r="R55889" s="1288"/>
    </row>
    <row r="55890" spans="18:18" s="2" customFormat="1" ht="12.75" x14ac:dyDescent="0.2">
      <c r="R55890" s="1288"/>
    </row>
    <row r="55891" spans="18:18" s="2" customFormat="1" ht="12.75" x14ac:dyDescent="0.2">
      <c r="R55891" s="1288"/>
    </row>
    <row r="55892" spans="18:18" s="2" customFormat="1" ht="12.75" x14ac:dyDescent="0.2">
      <c r="R55892" s="1288"/>
    </row>
    <row r="55893" spans="18:18" s="2" customFormat="1" ht="12.75" x14ac:dyDescent="0.2">
      <c r="R55893" s="1288"/>
    </row>
    <row r="55894" spans="18:18" s="2" customFormat="1" ht="12.75" x14ac:dyDescent="0.2">
      <c r="R55894" s="1288"/>
    </row>
    <row r="55895" spans="18:18" s="2" customFormat="1" ht="12.75" x14ac:dyDescent="0.2">
      <c r="R55895" s="1288"/>
    </row>
    <row r="55896" spans="18:18" s="2" customFormat="1" ht="12.75" x14ac:dyDescent="0.2">
      <c r="R55896" s="1288"/>
    </row>
    <row r="55897" spans="18:18" s="2" customFormat="1" ht="12.75" x14ac:dyDescent="0.2">
      <c r="R55897" s="1288"/>
    </row>
    <row r="55898" spans="18:18" s="2" customFormat="1" ht="12.75" x14ac:dyDescent="0.2">
      <c r="R55898" s="1288"/>
    </row>
    <row r="55899" spans="18:18" s="2" customFormat="1" ht="12.75" x14ac:dyDescent="0.2">
      <c r="R55899" s="1288"/>
    </row>
    <row r="55900" spans="18:18" s="2" customFormat="1" ht="12.75" x14ac:dyDescent="0.2">
      <c r="R55900" s="1288"/>
    </row>
    <row r="55901" spans="18:18" s="2" customFormat="1" ht="12.75" x14ac:dyDescent="0.2">
      <c r="R55901" s="1288"/>
    </row>
    <row r="55902" spans="18:18" s="2" customFormat="1" ht="12.75" x14ac:dyDescent="0.2">
      <c r="R55902" s="1288"/>
    </row>
    <row r="55903" spans="18:18" s="2" customFormat="1" ht="12.75" x14ac:dyDescent="0.2">
      <c r="R55903" s="1288"/>
    </row>
    <row r="55904" spans="18:18" s="2" customFormat="1" ht="12.75" x14ac:dyDescent="0.2">
      <c r="R55904" s="1288"/>
    </row>
    <row r="55905" spans="18:18" s="2" customFormat="1" ht="12.75" x14ac:dyDescent="0.2">
      <c r="R55905" s="1288"/>
    </row>
    <row r="55906" spans="18:18" s="2" customFormat="1" ht="12.75" x14ac:dyDescent="0.2">
      <c r="R55906" s="1288"/>
    </row>
    <row r="55907" spans="18:18" s="2" customFormat="1" ht="12.75" x14ac:dyDescent="0.2">
      <c r="R55907" s="1288"/>
    </row>
    <row r="55908" spans="18:18" s="2" customFormat="1" ht="12.75" x14ac:dyDescent="0.2">
      <c r="R55908" s="1288"/>
    </row>
    <row r="55909" spans="18:18" s="2" customFormat="1" ht="12.75" x14ac:dyDescent="0.2">
      <c r="R55909" s="1288"/>
    </row>
    <row r="55910" spans="18:18" s="2" customFormat="1" ht="12.75" x14ac:dyDescent="0.2">
      <c r="R55910" s="1288"/>
    </row>
    <row r="55911" spans="18:18" s="2" customFormat="1" ht="12.75" x14ac:dyDescent="0.2">
      <c r="R55911" s="1288"/>
    </row>
    <row r="55912" spans="18:18" s="2" customFormat="1" ht="12.75" x14ac:dyDescent="0.2">
      <c r="R55912" s="1288"/>
    </row>
    <row r="55913" spans="18:18" s="2" customFormat="1" ht="12.75" x14ac:dyDescent="0.2">
      <c r="R55913" s="1288"/>
    </row>
    <row r="55914" spans="18:18" s="2" customFormat="1" ht="12.75" x14ac:dyDescent="0.2">
      <c r="R55914" s="1288"/>
    </row>
    <row r="55915" spans="18:18" s="2" customFormat="1" ht="12.75" x14ac:dyDescent="0.2">
      <c r="R55915" s="1288"/>
    </row>
    <row r="55916" spans="18:18" s="2" customFormat="1" ht="12.75" x14ac:dyDescent="0.2">
      <c r="R55916" s="1288"/>
    </row>
    <row r="55917" spans="18:18" s="2" customFormat="1" ht="12.75" x14ac:dyDescent="0.2">
      <c r="R55917" s="1288"/>
    </row>
    <row r="55918" spans="18:18" s="2" customFormat="1" ht="12.75" x14ac:dyDescent="0.2">
      <c r="R55918" s="1288"/>
    </row>
    <row r="55919" spans="18:18" s="2" customFormat="1" ht="12.75" x14ac:dyDescent="0.2">
      <c r="R55919" s="1288"/>
    </row>
    <row r="55920" spans="18:18" s="2" customFormat="1" ht="12.75" x14ac:dyDescent="0.2">
      <c r="R55920" s="1288"/>
    </row>
    <row r="55921" spans="18:18" s="2" customFormat="1" ht="12.75" x14ac:dyDescent="0.2">
      <c r="R55921" s="1288"/>
    </row>
    <row r="55922" spans="18:18" s="2" customFormat="1" ht="12.75" x14ac:dyDescent="0.2">
      <c r="R55922" s="1288"/>
    </row>
    <row r="55923" spans="18:18" s="2" customFormat="1" ht="12.75" x14ac:dyDescent="0.2">
      <c r="R55923" s="1288"/>
    </row>
    <row r="55924" spans="18:18" s="2" customFormat="1" ht="12.75" x14ac:dyDescent="0.2">
      <c r="R55924" s="1288"/>
    </row>
    <row r="55925" spans="18:18" s="2" customFormat="1" ht="12.75" x14ac:dyDescent="0.2">
      <c r="R55925" s="1288"/>
    </row>
    <row r="55926" spans="18:18" s="2" customFormat="1" ht="12.75" x14ac:dyDescent="0.2">
      <c r="R55926" s="1288"/>
    </row>
    <row r="55927" spans="18:18" s="2" customFormat="1" ht="12.75" x14ac:dyDescent="0.2">
      <c r="R55927" s="1288"/>
    </row>
    <row r="55928" spans="18:18" s="2" customFormat="1" ht="12.75" x14ac:dyDescent="0.2">
      <c r="R55928" s="1288"/>
    </row>
    <row r="55929" spans="18:18" s="2" customFormat="1" ht="12.75" x14ac:dyDescent="0.2">
      <c r="R55929" s="1288"/>
    </row>
    <row r="55930" spans="18:18" s="2" customFormat="1" ht="12.75" x14ac:dyDescent="0.2">
      <c r="R55930" s="1288"/>
    </row>
    <row r="55931" spans="18:18" s="2" customFormat="1" ht="12.75" x14ac:dyDescent="0.2">
      <c r="R55931" s="1288"/>
    </row>
    <row r="55932" spans="18:18" s="2" customFormat="1" ht="12.75" x14ac:dyDescent="0.2">
      <c r="R55932" s="1288"/>
    </row>
    <row r="55933" spans="18:18" s="2" customFormat="1" ht="12.75" x14ac:dyDescent="0.2">
      <c r="R55933" s="1288"/>
    </row>
    <row r="55934" spans="18:18" s="2" customFormat="1" ht="12.75" x14ac:dyDescent="0.2">
      <c r="R55934" s="1288"/>
    </row>
    <row r="55935" spans="18:18" s="2" customFormat="1" ht="12.75" x14ac:dyDescent="0.2">
      <c r="R55935" s="1288"/>
    </row>
    <row r="55936" spans="18:18" s="2" customFormat="1" ht="12.75" x14ac:dyDescent="0.2">
      <c r="R55936" s="1288"/>
    </row>
    <row r="55937" spans="18:18" s="2" customFormat="1" ht="12.75" x14ac:dyDescent="0.2">
      <c r="R55937" s="1288"/>
    </row>
    <row r="55938" spans="18:18" s="2" customFormat="1" ht="12.75" x14ac:dyDescent="0.2">
      <c r="R55938" s="1288"/>
    </row>
    <row r="55939" spans="18:18" s="2" customFormat="1" ht="12.75" x14ac:dyDescent="0.2">
      <c r="R55939" s="1288"/>
    </row>
    <row r="55940" spans="18:18" s="2" customFormat="1" ht="12.75" x14ac:dyDescent="0.2">
      <c r="R55940" s="1288"/>
    </row>
    <row r="55941" spans="18:18" s="2" customFormat="1" ht="12.75" x14ac:dyDescent="0.2">
      <c r="R55941" s="1288"/>
    </row>
    <row r="55942" spans="18:18" s="2" customFormat="1" ht="12.75" x14ac:dyDescent="0.2">
      <c r="R55942" s="1288"/>
    </row>
    <row r="55943" spans="18:18" s="2" customFormat="1" ht="12.75" x14ac:dyDescent="0.2">
      <c r="R55943" s="1288"/>
    </row>
    <row r="55944" spans="18:18" s="2" customFormat="1" ht="12.75" x14ac:dyDescent="0.2">
      <c r="R55944" s="1288"/>
    </row>
    <row r="55945" spans="18:18" s="2" customFormat="1" ht="12.75" x14ac:dyDescent="0.2">
      <c r="R55945" s="1288"/>
    </row>
    <row r="55946" spans="18:18" s="2" customFormat="1" ht="12.75" x14ac:dyDescent="0.2">
      <c r="R55946" s="1288"/>
    </row>
    <row r="55947" spans="18:18" s="2" customFormat="1" ht="12.75" x14ac:dyDescent="0.2">
      <c r="R55947" s="1288"/>
    </row>
    <row r="55948" spans="18:18" s="2" customFormat="1" ht="12.75" x14ac:dyDescent="0.2">
      <c r="R55948" s="1288"/>
    </row>
    <row r="55949" spans="18:18" s="2" customFormat="1" ht="12.75" x14ac:dyDescent="0.2">
      <c r="R55949" s="1288"/>
    </row>
    <row r="55950" spans="18:18" s="2" customFormat="1" ht="12.75" x14ac:dyDescent="0.2">
      <c r="R55950" s="1288"/>
    </row>
    <row r="55951" spans="18:18" s="2" customFormat="1" ht="12.75" x14ac:dyDescent="0.2">
      <c r="R55951" s="1288"/>
    </row>
    <row r="55952" spans="18:18" s="2" customFormat="1" ht="12.75" x14ac:dyDescent="0.2">
      <c r="R55952" s="1288"/>
    </row>
    <row r="55953" spans="18:18" s="2" customFormat="1" ht="12.75" x14ac:dyDescent="0.2">
      <c r="R55953" s="1288"/>
    </row>
    <row r="55954" spans="18:18" s="2" customFormat="1" ht="12.75" x14ac:dyDescent="0.2">
      <c r="R55954" s="1288"/>
    </row>
    <row r="55955" spans="18:18" s="2" customFormat="1" ht="12.75" x14ac:dyDescent="0.2">
      <c r="R55955" s="1288"/>
    </row>
    <row r="55956" spans="18:18" s="2" customFormat="1" ht="12.75" x14ac:dyDescent="0.2">
      <c r="R55956" s="1288"/>
    </row>
    <row r="55957" spans="18:18" s="2" customFormat="1" ht="12.75" x14ac:dyDescent="0.2">
      <c r="R55957" s="1288"/>
    </row>
    <row r="55958" spans="18:18" s="2" customFormat="1" ht="12.75" x14ac:dyDescent="0.2">
      <c r="R55958" s="1288"/>
    </row>
    <row r="55959" spans="18:18" s="2" customFormat="1" ht="12.75" x14ac:dyDescent="0.2">
      <c r="R55959" s="1288"/>
    </row>
    <row r="55960" spans="18:18" s="2" customFormat="1" ht="12.75" x14ac:dyDescent="0.2">
      <c r="R55960" s="1288"/>
    </row>
    <row r="55961" spans="18:18" s="2" customFormat="1" ht="12.75" x14ac:dyDescent="0.2">
      <c r="R55961" s="1288"/>
    </row>
    <row r="55962" spans="18:18" s="2" customFormat="1" ht="12.75" x14ac:dyDescent="0.2">
      <c r="R55962" s="1288"/>
    </row>
    <row r="55963" spans="18:18" s="2" customFormat="1" ht="12.75" x14ac:dyDescent="0.2">
      <c r="R55963" s="1288"/>
    </row>
    <row r="55964" spans="18:18" s="2" customFormat="1" ht="12.75" x14ac:dyDescent="0.2">
      <c r="R55964" s="1288"/>
    </row>
    <row r="55965" spans="18:18" s="2" customFormat="1" ht="12.75" x14ac:dyDescent="0.2">
      <c r="R55965" s="1288"/>
    </row>
    <row r="55966" spans="18:18" s="2" customFormat="1" ht="12.75" x14ac:dyDescent="0.2">
      <c r="R55966" s="1288"/>
    </row>
    <row r="55967" spans="18:18" s="2" customFormat="1" ht="12.75" x14ac:dyDescent="0.2">
      <c r="R55967" s="1288"/>
    </row>
    <row r="55968" spans="18:18" s="2" customFormat="1" ht="12.75" x14ac:dyDescent="0.2">
      <c r="R55968" s="1288"/>
    </row>
    <row r="55969" spans="18:18" s="2" customFormat="1" ht="12.75" x14ac:dyDescent="0.2">
      <c r="R55969" s="1288"/>
    </row>
    <row r="55970" spans="18:18" s="2" customFormat="1" ht="12.75" x14ac:dyDescent="0.2">
      <c r="R55970" s="1288"/>
    </row>
    <row r="55971" spans="18:18" s="2" customFormat="1" ht="12.75" x14ac:dyDescent="0.2">
      <c r="R55971" s="1288"/>
    </row>
    <row r="55972" spans="18:18" s="2" customFormat="1" ht="12.75" x14ac:dyDescent="0.2">
      <c r="R55972" s="1288"/>
    </row>
    <row r="55973" spans="18:18" s="2" customFormat="1" ht="12.75" x14ac:dyDescent="0.2">
      <c r="R55973" s="1288"/>
    </row>
    <row r="55974" spans="18:18" s="2" customFormat="1" ht="12.75" x14ac:dyDescent="0.2">
      <c r="R55974" s="1288"/>
    </row>
    <row r="55975" spans="18:18" s="2" customFormat="1" ht="12.75" x14ac:dyDescent="0.2">
      <c r="R55975" s="1288"/>
    </row>
    <row r="55976" spans="18:18" s="2" customFormat="1" ht="12.75" x14ac:dyDescent="0.2">
      <c r="R55976" s="1288"/>
    </row>
    <row r="55977" spans="18:18" s="2" customFormat="1" ht="12.75" x14ac:dyDescent="0.2">
      <c r="R55977" s="1288"/>
    </row>
    <row r="55978" spans="18:18" s="2" customFormat="1" ht="12.75" x14ac:dyDescent="0.2">
      <c r="R55978" s="1288"/>
    </row>
    <row r="55979" spans="18:18" s="2" customFormat="1" ht="12.75" x14ac:dyDescent="0.2">
      <c r="R55979" s="1288"/>
    </row>
    <row r="55980" spans="18:18" s="2" customFormat="1" ht="12.75" x14ac:dyDescent="0.2">
      <c r="R55980" s="1288"/>
    </row>
    <row r="55981" spans="18:18" s="2" customFormat="1" ht="12.75" x14ac:dyDescent="0.2">
      <c r="R55981" s="1288"/>
    </row>
    <row r="55982" spans="18:18" s="2" customFormat="1" ht="12.75" x14ac:dyDescent="0.2">
      <c r="R55982" s="1288"/>
    </row>
    <row r="55983" spans="18:18" s="2" customFormat="1" ht="12.75" x14ac:dyDescent="0.2">
      <c r="R55983" s="1288"/>
    </row>
    <row r="55984" spans="18:18" s="2" customFormat="1" ht="12.75" x14ac:dyDescent="0.2">
      <c r="R55984" s="1288"/>
    </row>
    <row r="55985" spans="18:18" s="2" customFormat="1" ht="12.75" x14ac:dyDescent="0.2">
      <c r="R55985" s="1288"/>
    </row>
    <row r="55986" spans="18:18" s="2" customFormat="1" ht="12.75" x14ac:dyDescent="0.2">
      <c r="R55986" s="1288"/>
    </row>
    <row r="55987" spans="18:18" s="2" customFormat="1" ht="12.75" x14ac:dyDescent="0.2">
      <c r="R55987" s="1288"/>
    </row>
    <row r="55988" spans="18:18" s="2" customFormat="1" ht="12.75" x14ac:dyDescent="0.2">
      <c r="R55988" s="1288"/>
    </row>
    <row r="55989" spans="18:18" s="2" customFormat="1" ht="12.75" x14ac:dyDescent="0.2">
      <c r="R55989" s="1288"/>
    </row>
    <row r="55990" spans="18:18" s="2" customFormat="1" ht="12.75" x14ac:dyDescent="0.2">
      <c r="R55990" s="1288"/>
    </row>
    <row r="55991" spans="18:18" s="2" customFormat="1" ht="12.75" x14ac:dyDescent="0.2">
      <c r="R55991" s="1288"/>
    </row>
    <row r="55992" spans="18:18" s="2" customFormat="1" ht="12.75" x14ac:dyDescent="0.2">
      <c r="R55992" s="1288"/>
    </row>
    <row r="55993" spans="18:18" s="2" customFormat="1" ht="12.75" x14ac:dyDescent="0.2">
      <c r="R55993" s="1288"/>
    </row>
    <row r="55994" spans="18:18" s="2" customFormat="1" ht="12.75" x14ac:dyDescent="0.2">
      <c r="R55994" s="1288"/>
    </row>
    <row r="55995" spans="18:18" s="2" customFormat="1" ht="12.75" x14ac:dyDescent="0.2">
      <c r="R55995" s="1288"/>
    </row>
    <row r="55996" spans="18:18" s="2" customFormat="1" ht="12.75" x14ac:dyDescent="0.2">
      <c r="R55996" s="1288"/>
    </row>
    <row r="55997" spans="18:18" s="2" customFormat="1" ht="12.75" x14ac:dyDescent="0.2">
      <c r="R55997" s="1288"/>
    </row>
    <row r="55998" spans="18:18" s="2" customFormat="1" ht="12.75" x14ac:dyDescent="0.2">
      <c r="R55998" s="1288"/>
    </row>
    <row r="55999" spans="18:18" s="2" customFormat="1" ht="12.75" x14ac:dyDescent="0.2">
      <c r="R55999" s="1288"/>
    </row>
    <row r="56000" spans="18:18" s="2" customFormat="1" ht="12.75" x14ac:dyDescent="0.2">
      <c r="R56000" s="1288"/>
    </row>
    <row r="56001" spans="18:18" s="2" customFormat="1" ht="12.75" x14ac:dyDescent="0.2">
      <c r="R56001" s="1288"/>
    </row>
    <row r="56002" spans="18:18" s="2" customFormat="1" ht="12.75" x14ac:dyDescent="0.2">
      <c r="R56002" s="1288"/>
    </row>
    <row r="56003" spans="18:18" s="2" customFormat="1" ht="12.75" x14ac:dyDescent="0.2">
      <c r="R56003" s="1288"/>
    </row>
    <row r="56004" spans="18:18" s="2" customFormat="1" ht="12.75" x14ac:dyDescent="0.2">
      <c r="R56004" s="1288"/>
    </row>
    <row r="56005" spans="18:18" s="2" customFormat="1" ht="12.75" x14ac:dyDescent="0.2">
      <c r="R56005" s="1288"/>
    </row>
    <row r="56006" spans="18:18" s="2" customFormat="1" ht="12.75" x14ac:dyDescent="0.2">
      <c r="R56006" s="1288"/>
    </row>
    <row r="56007" spans="18:18" s="2" customFormat="1" ht="12.75" x14ac:dyDescent="0.2">
      <c r="R56007" s="1288"/>
    </row>
    <row r="56008" spans="18:18" s="2" customFormat="1" ht="12.75" x14ac:dyDescent="0.2">
      <c r="R56008" s="1288"/>
    </row>
    <row r="56009" spans="18:18" s="2" customFormat="1" ht="12.75" x14ac:dyDescent="0.2">
      <c r="R56009" s="1288"/>
    </row>
    <row r="56010" spans="18:18" s="2" customFormat="1" ht="12.75" x14ac:dyDescent="0.2">
      <c r="R56010" s="1288"/>
    </row>
    <row r="56011" spans="18:18" s="2" customFormat="1" ht="12.75" x14ac:dyDescent="0.2">
      <c r="R56011" s="1288"/>
    </row>
    <row r="56012" spans="18:18" s="2" customFormat="1" ht="12.75" x14ac:dyDescent="0.2">
      <c r="R56012" s="1288"/>
    </row>
    <row r="56013" spans="18:18" s="2" customFormat="1" ht="12.75" x14ac:dyDescent="0.2">
      <c r="R56013" s="1288"/>
    </row>
    <row r="56014" spans="18:18" s="2" customFormat="1" ht="12.75" x14ac:dyDescent="0.2">
      <c r="R56014" s="1288"/>
    </row>
    <row r="56015" spans="18:18" s="2" customFormat="1" ht="12.75" x14ac:dyDescent="0.2">
      <c r="R56015" s="1288"/>
    </row>
    <row r="56016" spans="18:18" s="2" customFormat="1" ht="12.75" x14ac:dyDescent="0.2">
      <c r="R56016" s="1288"/>
    </row>
    <row r="56017" spans="18:18" s="2" customFormat="1" ht="12.75" x14ac:dyDescent="0.2">
      <c r="R56017" s="1288"/>
    </row>
    <row r="56018" spans="18:18" s="2" customFormat="1" ht="12.75" x14ac:dyDescent="0.2">
      <c r="R56018" s="1288"/>
    </row>
    <row r="56019" spans="18:18" s="2" customFormat="1" ht="12.75" x14ac:dyDescent="0.2">
      <c r="R56019" s="1288"/>
    </row>
    <row r="56020" spans="18:18" s="2" customFormat="1" ht="12.75" x14ac:dyDescent="0.2">
      <c r="R56020" s="1288"/>
    </row>
    <row r="56021" spans="18:18" s="2" customFormat="1" ht="12.75" x14ac:dyDescent="0.2">
      <c r="R56021" s="1288"/>
    </row>
    <row r="56022" spans="18:18" s="2" customFormat="1" ht="12.75" x14ac:dyDescent="0.2">
      <c r="R56022" s="1288"/>
    </row>
    <row r="56023" spans="18:18" s="2" customFormat="1" ht="12.75" x14ac:dyDescent="0.2">
      <c r="R56023" s="1288"/>
    </row>
    <row r="56024" spans="18:18" s="2" customFormat="1" ht="12.75" x14ac:dyDescent="0.2">
      <c r="R56024" s="1288"/>
    </row>
    <row r="56025" spans="18:18" s="2" customFormat="1" ht="12.75" x14ac:dyDescent="0.2">
      <c r="R56025" s="1288"/>
    </row>
    <row r="56026" spans="18:18" s="2" customFormat="1" ht="12.75" x14ac:dyDescent="0.2">
      <c r="R56026" s="1288"/>
    </row>
    <row r="56027" spans="18:18" s="2" customFormat="1" ht="12.75" x14ac:dyDescent="0.2">
      <c r="R56027" s="1288"/>
    </row>
    <row r="56028" spans="18:18" s="2" customFormat="1" ht="12.75" x14ac:dyDescent="0.2">
      <c r="R56028" s="1288"/>
    </row>
    <row r="56029" spans="18:18" s="2" customFormat="1" ht="12.75" x14ac:dyDescent="0.2">
      <c r="R56029" s="1288"/>
    </row>
    <row r="56030" spans="18:18" s="2" customFormat="1" ht="12.75" x14ac:dyDescent="0.2">
      <c r="R56030" s="1288"/>
    </row>
    <row r="56031" spans="18:18" s="2" customFormat="1" ht="12.75" x14ac:dyDescent="0.2">
      <c r="R56031" s="1288"/>
    </row>
    <row r="56032" spans="18:18" s="2" customFormat="1" ht="12.75" x14ac:dyDescent="0.2">
      <c r="R56032" s="1288"/>
    </row>
    <row r="56033" spans="18:18" s="2" customFormat="1" ht="12.75" x14ac:dyDescent="0.2">
      <c r="R56033" s="1288"/>
    </row>
    <row r="56034" spans="18:18" s="2" customFormat="1" ht="12.75" x14ac:dyDescent="0.2">
      <c r="R56034" s="1288"/>
    </row>
    <row r="56035" spans="18:18" s="2" customFormat="1" ht="12.75" x14ac:dyDescent="0.2">
      <c r="R56035" s="1288"/>
    </row>
    <row r="56036" spans="18:18" s="2" customFormat="1" ht="12.75" x14ac:dyDescent="0.2">
      <c r="R56036" s="1288"/>
    </row>
    <row r="56037" spans="18:18" s="2" customFormat="1" ht="12.75" x14ac:dyDescent="0.2">
      <c r="R56037" s="1288"/>
    </row>
    <row r="56038" spans="18:18" s="2" customFormat="1" ht="12.75" x14ac:dyDescent="0.2">
      <c r="R56038" s="1288"/>
    </row>
    <row r="56039" spans="18:18" s="2" customFormat="1" ht="12.75" x14ac:dyDescent="0.2">
      <c r="R56039" s="1288"/>
    </row>
    <row r="56040" spans="18:18" s="2" customFormat="1" ht="12.75" x14ac:dyDescent="0.2">
      <c r="R56040" s="1288"/>
    </row>
    <row r="56041" spans="18:18" s="2" customFormat="1" ht="12.75" x14ac:dyDescent="0.2">
      <c r="R56041" s="1288"/>
    </row>
    <row r="56042" spans="18:18" s="2" customFormat="1" ht="12.75" x14ac:dyDescent="0.2">
      <c r="R56042" s="1288"/>
    </row>
    <row r="56043" spans="18:18" s="2" customFormat="1" ht="12.75" x14ac:dyDescent="0.2">
      <c r="R56043" s="1288"/>
    </row>
    <row r="56044" spans="18:18" s="2" customFormat="1" ht="12.75" x14ac:dyDescent="0.2">
      <c r="R56044" s="1288"/>
    </row>
    <row r="56045" spans="18:18" s="2" customFormat="1" ht="12.75" x14ac:dyDescent="0.2">
      <c r="R56045" s="1288"/>
    </row>
    <row r="56046" spans="18:18" s="2" customFormat="1" ht="12.75" x14ac:dyDescent="0.2">
      <c r="R56046" s="1288"/>
    </row>
    <row r="56047" spans="18:18" s="2" customFormat="1" ht="12.75" x14ac:dyDescent="0.2">
      <c r="R56047" s="1288"/>
    </row>
    <row r="56048" spans="18:18" s="2" customFormat="1" ht="12.75" x14ac:dyDescent="0.2">
      <c r="R56048" s="1288"/>
    </row>
    <row r="56049" spans="18:18" s="2" customFormat="1" ht="12.75" x14ac:dyDescent="0.2">
      <c r="R56049" s="1288"/>
    </row>
    <row r="56050" spans="18:18" s="2" customFormat="1" ht="12.75" x14ac:dyDescent="0.2">
      <c r="R56050" s="1288"/>
    </row>
    <row r="56051" spans="18:18" s="2" customFormat="1" ht="12.75" x14ac:dyDescent="0.2">
      <c r="R56051" s="1288"/>
    </row>
    <row r="56052" spans="18:18" s="2" customFormat="1" ht="12.75" x14ac:dyDescent="0.2">
      <c r="R56052" s="1288"/>
    </row>
    <row r="56053" spans="18:18" s="2" customFormat="1" ht="12.75" x14ac:dyDescent="0.2">
      <c r="R56053" s="1288"/>
    </row>
    <row r="56054" spans="18:18" s="2" customFormat="1" ht="12.75" x14ac:dyDescent="0.2">
      <c r="R56054" s="1288"/>
    </row>
    <row r="56055" spans="18:18" s="2" customFormat="1" ht="12.75" x14ac:dyDescent="0.2">
      <c r="R56055" s="1288"/>
    </row>
    <row r="56056" spans="18:18" s="2" customFormat="1" ht="12.75" x14ac:dyDescent="0.2">
      <c r="R56056" s="1288"/>
    </row>
    <row r="56057" spans="18:18" s="2" customFormat="1" ht="12.75" x14ac:dyDescent="0.2">
      <c r="R56057" s="1288"/>
    </row>
    <row r="56058" spans="18:18" s="2" customFormat="1" ht="12.75" x14ac:dyDescent="0.2">
      <c r="R56058" s="1288"/>
    </row>
    <row r="56059" spans="18:18" s="2" customFormat="1" ht="12.75" x14ac:dyDescent="0.2">
      <c r="R56059" s="1288"/>
    </row>
    <row r="56060" spans="18:18" s="2" customFormat="1" ht="12.75" x14ac:dyDescent="0.2">
      <c r="R56060" s="1288"/>
    </row>
    <row r="56061" spans="18:18" s="2" customFormat="1" ht="12.75" x14ac:dyDescent="0.2">
      <c r="R56061" s="1288"/>
    </row>
    <row r="56062" spans="18:18" s="2" customFormat="1" ht="12.75" x14ac:dyDescent="0.2">
      <c r="R56062" s="1288"/>
    </row>
    <row r="56063" spans="18:18" s="2" customFormat="1" ht="12.75" x14ac:dyDescent="0.2">
      <c r="R56063" s="1288"/>
    </row>
    <row r="56064" spans="18:18" s="2" customFormat="1" ht="12.75" x14ac:dyDescent="0.2">
      <c r="R56064" s="1288"/>
    </row>
    <row r="56065" spans="18:18" s="2" customFormat="1" ht="12.75" x14ac:dyDescent="0.2">
      <c r="R56065" s="1288"/>
    </row>
    <row r="56066" spans="18:18" s="2" customFormat="1" ht="12.75" x14ac:dyDescent="0.2">
      <c r="R56066" s="1288"/>
    </row>
    <row r="56067" spans="18:18" s="2" customFormat="1" ht="12.75" x14ac:dyDescent="0.2">
      <c r="R56067" s="1288"/>
    </row>
    <row r="56068" spans="18:18" s="2" customFormat="1" ht="12.75" x14ac:dyDescent="0.2">
      <c r="R56068" s="1288"/>
    </row>
    <row r="56069" spans="18:18" s="2" customFormat="1" ht="12.75" x14ac:dyDescent="0.2">
      <c r="R56069" s="1288"/>
    </row>
    <row r="56070" spans="18:18" s="2" customFormat="1" ht="12.75" x14ac:dyDescent="0.2">
      <c r="R56070" s="1288"/>
    </row>
    <row r="56071" spans="18:18" s="2" customFormat="1" ht="12.75" x14ac:dyDescent="0.2">
      <c r="R56071" s="1288"/>
    </row>
    <row r="56072" spans="18:18" s="2" customFormat="1" ht="12.75" x14ac:dyDescent="0.2">
      <c r="R56072" s="1288"/>
    </row>
    <row r="56073" spans="18:18" s="2" customFormat="1" ht="12.75" x14ac:dyDescent="0.2">
      <c r="R56073" s="1288"/>
    </row>
    <row r="56074" spans="18:18" s="2" customFormat="1" ht="12.75" x14ac:dyDescent="0.2">
      <c r="R56074" s="1288"/>
    </row>
    <row r="56075" spans="18:18" s="2" customFormat="1" ht="12.75" x14ac:dyDescent="0.2">
      <c r="R56075" s="1288"/>
    </row>
    <row r="56076" spans="18:18" s="2" customFormat="1" ht="12.75" x14ac:dyDescent="0.2">
      <c r="R56076" s="1288"/>
    </row>
    <row r="56077" spans="18:18" s="2" customFormat="1" ht="12.75" x14ac:dyDescent="0.2">
      <c r="R56077" s="1288"/>
    </row>
    <row r="56078" spans="18:18" s="2" customFormat="1" ht="12.75" x14ac:dyDescent="0.2">
      <c r="R56078" s="1288"/>
    </row>
    <row r="56079" spans="18:18" s="2" customFormat="1" ht="12.75" x14ac:dyDescent="0.2">
      <c r="R56079" s="1288"/>
    </row>
    <row r="56080" spans="18:18" s="2" customFormat="1" ht="12.75" x14ac:dyDescent="0.2">
      <c r="R56080" s="1288"/>
    </row>
    <row r="56081" spans="18:18" s="2" customFormat="1" ht="12.75" x14ac:dyDescent="0.2">
      <c r="R56081" s="1288"/>
    </row>
    <row r="56082" spans="18:18" s="2" customFormat="1" ht="12.75" x14ac:dyDescent="0.2">
      <c r="R56082" s="1288"/>
    </row>
    <row r="56083" spans="18:18" s="2" customFormat="1" ht="12.75" x14ac:dyDescent="0.2">
      <c r="R56083" s="1288"/>
    </row>
    <row r="56084" spans="18:18" s="2" customFormat="1" ht="12.75" x14ac:dyDescent="0.2">
      <c r="R56084" s="1288"/>
    </row>
    <row r="56085" spans="18:18" s="2" customFormat="1" ht="12.75" x14ac:dyDescent="0.2">
      <c r="R56085" s="1288"/>
    </row>
    <row r="56086" spans="18:18" s="2" customFormat="1" ht="12.75" x14ac:dyDescent="0.2">
      <c r="R56086" s="1288"/>
    </row>
    <row r="56087" spans="18:18" s="2" customFormat="1" ht="12.75" x14ac:dyDescent="0.2">
      <c r="R56087" s="1288"/>
    </row>
    <row r="56088" spans="18:18" s="2" customFormat="1" ht="12.75" x14ac:dyDescent="0.2">
      <c r="R56088" s="1288"/>
    </row>
    <row r="56089" spans="18:18" s="2" customFormat="1" ht="12.75" x14ac:dyDescent="0.2">
      <c r="R56089" s="1288"/>
    </row>
    <row r="56090" spans="18:18" s="2" customFormat="1" ht="12.75" x14ac:dyDescent="0.2">
      <c r="R56090" s="1288"/>
    </row>
    <row r="56091" spans="18:18" s="2" customFormat="1" ht="12.75" x14ac:dyDescent="0.2">
      <c r="R56091" s="1288"/>
    </row>
    <row r="56092" spans="18:18" s="2" customFormat="1" ht="12.75" x14ac:dyDescent="0.2">
      <c r="R56092" s="1288"/>
    </row>
    <row r="56093" spans="18:18" s="2" customFormat="1" ht="12.75" x14ac:dyDescent="0.2">
      <c r="R56093" s="1288"/>
    </row>
    <row r="56094" spans="18:18" s="2" customFormat="1" ht="12.75" x14ac:dyDescent="0.2">
      <c r="R56094" s="1288"/>
    </row>
    <row r="56095" spans="18:18" s="2" customFormat="1" ht="12.75" x14ac:dyDescent="0.2">
      <c r="R56095" s="1288"/>
    </row>
    <row r="56096" spans="18:18" s="2" customFormat="1" ht="12.75" x14ac:dyDescent="0.2">
      <c r="R56096" s="1288"/>
    </row>
    <row r="56097" spans="18:18" s="2" customFormat="1" ht="12.75" x14ac:dyDescent="0.2">
      <c r="R56097" s="1288"/>
    </row>
    <row r="56098" spans="18:18" s="2" customFormat="1" ht="12.75" x14ac:dyDescent="0.2">
      <c r="R56098" s="1288"/>
    </row>
    <row r="56099" spans="18:18" s="2" customFormat="1" ht="12.75" x14ac:dyDescent="0.2">
      <c r="R56099" s="1288"/>
    </row>
    <row r="56100" spans="18:18" s="2" customFormat="1" ht="12.75" x14ac:dyDescent="0.2">
      <c r="R56100" s="1288"/>
    </row>
    <row r="56101" spans="18:18" s="2" customFormat="1" ht="12.75" x14ac:dyDescent="0.2">
      <c r="R56101" s="1288"/>
    </row>
    <row r="56102" spans="18:18" s="2" customFormat="1" ht="12.75" x14ac:dyDescent="0.2">
      <c r="R56102" s="1288"/>
    </row>
    <row r="56103" spans="18:18" s="2" customFormat="1" ht="12.75" x14ac:dyDescent="0.2">
      <c r="R56103" s="1288"/>
    </row>
    <row r="56104" spans="18:18" s="2" customFormat="1" ht="12.75" x14ac:dyDescent="0.2">
      <c r="R56104" s="1288"/>
    </row>
    <row r="56105" spans="18:18" s="2" customFormat="1" ht="12.75" x14ac:dyDescent="0.2">
      <c r="R56105" s="1288"/>
    </row>
    <row r="56106" spans="18:18" s="2" customFormat="1" ht="12.75" x14ac:dyDescent="0.2">
      <c r="R56106" s="1288"/>
    </row>
    <row r="56107" spans="18:18" s="2" customFormat="1" ht="12.75" x14ac:dyDescent="0.2">
      <c r="R56107" s="1288"/>
    </row>
    <row r="56108" spans="18:18" s="2" customFormat="1" ht="12.75" x14ac:dyDescent="0.2">
      <c r="R56108" s="1288"/>
    </row>
    <row r="56109" spans="18:18" s="2" customFormat="1" ht="12.75" x14ac:dyDescent="0.2">
      <c r="R56109" s="1288"/>
    </row>
    <row r="56110" spans="18:18" s="2" customFormat="1" ht="12.75" x14ac:dyDescent="0.2">
      <c r="R56110" s="1288"/>
    </row>
    <row r="56111" spans="18:18" s="2" customFormat="1" ht="12.75" x14ac:dyDescent="0.2">
      <c r="R56111" s="1288"/>
    </row>
    <row r="56112" spans="18:18" s="2" customFormat="1" ht="12.75" x14ac:dyDescent="0.2">
      <c r="R56112" s="1288"/>
    </row>
    <row r="56113" spans="18:18" s="2" customFormat="1" ht="12.75" x14ac:dyDescent="0.2">
      <c r="R56113" s="1288"/>
    </row>
    <row r="56114" spans="18:18" s="2" customFormat="1" ht="12.75" x14ac:dyDescent="0.2">
      <c r="R56114" s="1288"/>
    </row>
    <row r="56115" spans="18:18" s="2" customFormat="1" ht="12.75" x14ac:dyDescent="0.2">
      <c r="R56115" s="1288"/>
    </row>
    <row r="56116" spans="18:18" s="2" customFormat="1" ht="12.75" x14ac:dyDescent="0.2">
      <c r="R56116" s="1288"/>
    </row>
    <row r="56117" spans="18:18" s="2" customFormat="1" ht="12.75" x14ac:dyDescent="0.2">
      <c r="R56117" s="1288"/>
    </row>
    <row r="56118" spans="18:18" s="2" customFormat="1" ht="12.75" x14ac:dyDescent="0.2">
      <c r="R56118" s="1288"/>
    </row>
    <row r="56119" spans="18:18" s="2" customFormat="1" ht="12.75" x14ac:dyDescent="0.2">
      <c r="R56119" s="1288"/>
    </row>
    <row r="56120" spans="18:18" s="2" customFormat="1" ht="12.75" x14ac:dyDescent="0.2">
      <c r="R56120" s="1288"/>
    </row>
    <row r="56121" spans="18:18" s="2" customFormat="1" ht="12.75" x14ac:dyDescent="0.2">
      <c r="R56121" s="1288"/>
    </row>
    <row r="56122" spans="18:18" s="2" customFormat="1" ht="12.75" x14ac:dyDescent="0.2">
      <c r="R56122" s="1288"/>
    </row>
    <row r="56123" spans="18:18" s="2" customFormat="1" ht="12.75" x14ac:dyDescent="0.2">
      <c r="R56123" s="1288"/>
    </row>
    <row r="56124" spans="18:18" s="2" customFormat="1" ht="12.75" x14ac:dyDescent="0.2">
      <c r="R56124" s="1288"/>
    </row>
    <row r="56125" spans="18:18" s="2" customFormat="1" ht="12.75" x14ac:dyDescent="0.2">
      <c r="R56125" s="1288"/>
    </row>
    <row r="56126" spans="18:18" s="2" customFormat="1" ht="12.75" x14ac:dyDescent="0.2">
      <c r="R56126" s="1288"/>
    </row>
    <row r="56127" spans="18:18" s="2" customFormat="1" ht="12.75" x14ac:dyDescent="0.2">
      <c r="R56127" s="1288"/>
    </row>
    <row r="56128" spans="18:18" s="2" customFormat="1" ht="12.75" x14ac:dyDescent="0.2">
      <c r="R56128" s="1288"/>
    </row>
    <row r="56129" spans="18:18" s="2" customFormat="1" ht="12.75" x14ac:dyDescent="0.2">
      <c r="R56129" s="1288"/>
    </row>
    <row r="56130" spans="18:18" s="2" customFormat="1" ht="12.75" x14ac:dyDescent="0.2">
      <c r="R56130" s="1288"/>
    </row>
    <row r="56131" spans="18:18" s="2" customFormat="1" ht="12.75" x14ac:dyDescent="0.2">
      <c r="R56131" s="1288"/>
    </row>
    <row r="56132" spans="18:18" s="2" customFormat="1" ht="12.75" x14ac:dyDescent="0.2">
      <c r="R56132" s="1288"/>
    </row>
    <row r="56133" spans="18:18" s="2" customFormat="1" ht="12.75" x14ac:dyDescent="0.2">
      <c r="R56133" s="1288"/>
    </row>
    <row r="56134" spans="18:18" s="2" customFormat="1" ht="12.75" x14ac:dyDescent="0.2">
      <c r="R56134" s="1288"/>
    </row>
    <row r="56135" spans="18:18" s="2" customFormat="1" ht="12.75" x14ac:dyDescent="0.2">
      <c r="R56135" s="1288"/>
    </row>
    <row r="56136" spans="18:18" s="2" customFormat="1" ht="12.75" x14ac:dyDescent="0.2">
      <c r="R56136" s="1288"/>
    </row>
    <row r="56137" spans="18:18" s="2" customFormat="1" ht="12.75" x14ac:dyDescent="0.2">
      <c r="R56137" s="1288"/>
    </row>
    <row r="56138" spans="18:18" s="2" customFormat="1" ht="12.75" x14ac:dyDescent="0.2">
      <c r="R56138" s="1288"/>
    </row>
    <row r="56139" spans="18:18" s="2" customFormat="1" ht="12.75" x14ac:dyDescent="0.2">
      <c r="R56139" s="1288"/>
    </row>
    <row r="56140" spans="18:18" s="2" customFormat="1" ht="12.75" x14ac:dyDescent="0.2">
      <c r="R56140" s="1288"/>
    </row>
    <row r="56141" spans="18:18" s="2" customFormat="1" ht="12.75" x14ac:dyDescent="0.2">
      <c r="R56141" s="1288"/>
    </row>
    <row r="56142" spans="18:18" s="2" customFormat="1" ht="12.75" x14ac:dyDescent="0.2">
      <c r="R56142" s="1288"/>
    </row>
    <row r="56143" spans="18:18" s="2" customFormat="1" ht="12.75" x14ac:dyDescent="0.2">
      <c r="R56143" s="1288"/>
    </row>
    <row r="56144" spans="18:18" s="2" customFormat="1" ht="12.75" x14ac:dyDescent="0.2">
      <c r="R56144" s="1288"/>
    </row>
    <row r="56145" spans="18:18" s="2" customFormat="1" ht="12.75" x14ac:dyDescent="0.2">
      <c r="R56145" s="1288"/>
    </row>
    <row r="56146" spans="18:18" s="2" customFormat="1" ht="12.75" x14ac:dyDescent="0.2">
      <c r="R56146" s="1288"/>
    </row>
    <row r="56147" spans="18:18" s="2" customFormat="1" ht="12.75" x14ac:dyDescent="0.2">
      <c r="R56147" s="1288"/>
    </row>
    <row r="56148" spans="18:18" s="2" customFormat="1" ht="12.75" x14ac:dyDescent="0.2">
      <c r="R56148" s="1288"/>
    </row>
    <row r="56149" spans="18:18" s="2" customFormat="1" ht="12.75" x14ac:dyDescent="0.2">
      <c r="R56149" s="1288"/>
    </row>
    <row r="56150" spans="18:18" s="2" customFormat="1" ht="12.75" x14ac:dyDescent="0.2">
      <c r="R56150" s="1288"/>
    </row>
    <row r="56151" spans="18:18" s="2" customFormat="1" ht="12.75" x14ac:dyDescent="0.2">
      <c r="R56151" s="1288"/>
    </row>
    <row r="56152" spans="18:18" s="2" customFormat="1" ht="12.75" x14ac:dyDescent="0.2">
      <c r="R56152" s="1288"/>
    </row>
    <row r="56153" spans="18:18" s="2" customFormat="1" ht="12.75" x14ac:dyDescent="0.2">
      <c r="R56153" s="1288"/>
    </row>
    <row r="56154" spans="18:18" s="2" customFormat="1" ht="12.75" x14ac:dyDescent="0.2">
      <c r="R56154" s="1288"/>
    </row>
    <row r="56155" spans="18:18" s="2" customFormat="1" ht="12.75" x14ac:dyDescent="0.2">
      <c r="R56155" s="1288"/>
    </row>
    <row r="56156" spans="18:18" s="2" customFormat="1" ht="12.75" x14ac:dyDescent="0.2">
      <c r="R56156" s="1288"/>
    </row>
    <row r="56157" spans="18:18" s="2" customFormat="1" ht="12.75" x14ac:dyDescent="0.2">
      <c r="R56157" s="1288"/>
    </row>
    <row r="56158" spans="18:18" s="2" customFormat="1" ht="12.75" x14ac:dyDescent="0.2">
      <c r="R56158" s="1288"/>
    </row>
    <row r="56159" spans="18:18" s="2" customFormat="1" ht="12.75" x14ac:dyDescent="0.2">
      <c r="R56159" s="1288"/>
    </row>
    <row r="56160" spans="18:18" s="2" customFormat="1" ht="12.75" x14ac:dyDescent="0.2">
      <c r="R56160" s="1288"/>
    </row>
    <row r="56161" spans="18:18" s="2" customFormat="1" ht="12.75" x14ac:dyDescent="0.2">
      <c r="R56161" s="1288"/>
    </row>
    <row r="56162" spans="18:18" s="2" customFormat="1" ht="12.75" x14ac:dyDescent="0.2">
      <c r="R56162" s="1288"/>
    </row>
    <row r="56163" spans="18:18" s="2" customFormat="1" ht="12.75" x14ac:dyDescent="0.2">
      <c r="R56163" s="1288"/>
    </row>
    <row r="56164" spans="18:18" s="2" customFormat="1" ht="12.75" x14ac:dyDescent="0.2">
      <c r="R56164" s="1288"/>
    </row>
    <row r="56165" spans="18:18" s="2" customFormat="1" ht="12.75" x14ac:dyDescent="0.2">
      <c r="R56165" s="1288"/>
    </row>
    <row r="56166" spans="18:18" s="2" customFormat="1" ht="12.75" x14ac:dyDescent="0.2">
      <c r="R56166" s="1288"/>
    </row>
    <row r="56167" spans="18:18" s="2" customFormat="1" ht="12.75" x14ac:dyDescent="0.2">
      <c r="R56167" s="1288"/>
    </row>
    <row r="56168" spans="18:18" s="2" customFormat="1" ht="12.75" x14ac:dyDescent="0.2">
      <c r="R56168" s="1288"/>
    </row>
    <row r="56169" spans="18:18" s="2" customFormat="1" ht="12.75" x14ac:dyDescent="0.2">
      <c r="R56169" s="1288"/>
    </row>
    <row r="56170" spans="18:18" s="2" customFormat="1" ht="12.75" x14ac:dyDescent="0.2">
      <c r="R56170" s="1288"/>
    </row>
    <row r="56171" spans="18:18" s="2" customFormat="1" ht="12.75" x14ac:dyDescent="0.2">
      <c r="R56171" s="1288"/>
    </row>
    <row r="56172" spans="18:18" s="2" customFormat="1" ht="12.75" x14ac:dyDescent="0.2">
      <c r="R56172" s="1288"/>
    </row>
    <row r="56173" spans="18:18" s="2" customFormat="1" ht="12.75" x14ac:dyDescent="0.2">
      <c r="R56173" s="1288"/>
    </row>
    <row r="56174" spans="18:18" s="2" customFormat="1" ht="12.75" x14ac:dyDescent="0.2">
      <c r="R56174" s="1288"/>
    </row>
    <row r="56175" spans="18:18" s="2" customFormat="1" ht="12.75" x14ac:dyDescent="0.2">
      <c r="R56175" s="1288"/>
    </row>
    <row r="56176" spans="18:18" s="2" customFormat="1" ht="12.75" x14ac:dyDescent="0.2">
      <c r="R56176" s="1288"/>
    </row>
    <row r="56177" spans="18:18" s="2" customFormat="1" ht="12.75" x14ac:dyDescent="0.2">
      <c r="R56177" s="1288"/>
    </row>
    <row r="56178" spans="18:18" s="2" customFormat="1" ht="12.75" x14ac:dyDescent="0.2">
      <c r="R56178" s="1288"/>
    </row>
    <row r="56179" spans="18:18" s="2" customFormat="1" ht="12.75" x14ac:dyDescent="0.2">
      <c r="R56179" s="1288"/>
    </row>
    <row r="56180" spans="18:18" s="2" customFormat="1" ht="12.75" x14ac:dyDescent="0.2">
      <c r="R56180" s="1288"/>
    </row>
    <row r="56181" spans="18:18" s="2" customFormat="1" ht="12.75" x14ac:dyDescent="0.2">
      <c r="R56181" s="1288"/>
    </row>
    <row r="56182" spans="18:18" s="2" customFormat="1" ht="12.75" x14ac:dyDescent="0.2">
      <c r="R56182" s="1288"/>
    </row>
    <row r="56183" spans="18:18" s="2" customFormat="1" ht="12.75" x14ac:dyDescent="0.2">
      <c r="R56183" s="1288"/>
    </row>
    <row r="56184" spans="18:18" s="2" customFormat="1" ht="12.75" x14ac:dyDescent="0.2">
      <c r="R56184" s="1288"/>
    </row>
    <row r="56185" spans="18:18" s="2" customFormat="1" ht="12.75" x14ac:dyDescent="0.2">
      <c r="R56185" s="1288"/>
    </row>
    <row r="56186" spans="18:18" s="2" customFormat="1" ht="12.75" x14ac:dyDescent="0.2">
      <c r="R56186" s="1288"/>
    </row>
    <row r="56187" spans="18:18" s="2" customFormat="1" ht="12.75" x14ac:dyDescent="0.2">
      <c r="R56187" s="1288"/>
    </row>
    <row r="56188" spans="18:18" s="2" customFormat="1" ht="12.75" x14ac:dyDescent="0.2">
      <c r="R56188" s="1288"/>
    </row>
    <row r="56189" spans="18:18" s="2" customFormat="1" ht="12.75" x14ac:dyDescent="0.2">
      <c r="R56189" s="1288"/>
    </row>
    <row r="56190" spans="18:18" s="2" customFormat="1" ht="12.75" x14ac:dyDescent="0.2">
      <c r="R56190" s="1288"/>
    </row>
    <row r="56191" spans="18:18" s="2" customFormat="1" ht="12.75" x14ac:dyDescent="0.2">
      <c r="R56191" s="1288"/>
    </row>
    <row r="56192" spans="18:18" s="2" customFormat="1" ht="12.75" x14ac:dyDescent="0.2">
      <c r="R56192" s="1288"/>
    </row>
    <row r="56193" spans="18:18" s="2" customFormat="1" ht="12.75" x14ac:dyDescent="0.2">
      <c r="R56193" s="1288"/>
    </row>
    <row r="56194" spans="18:18" s="2" customFormat="1" ht="12.75" x14ac:dyDescent="0.2">
      <c r="R56194" s="1288"/>
    </row>
    <row r="56195" spans="18:18" s="2" customFormat="1" ht="12.75" x14ac:dyDescent="0.2">
      <c r="R56195" s="1288"/>
    </row>
    <row r="56196" spans="18:18" s="2" customFormat="1" ht="12.75" x14ac:dyDescent="0.2">
      <c r="R56196" s="1288"/>
    </row>
    <row r="56197" spans="18:18" s="2" customFormat="1" ht="12.75" x14ac:dyDescent="0.2">
      <c r="R56197" s="1288"/>
    </row>
    <row r="56198" spans="18:18" s="2" customFormat="1" ht="12.75" x14ac:dyDescent="0.2">
      <c r="R56198" s="1288"/>
    </row>
    <row r="56199" spans="18:18" s="2" customFormat="1" ht="12.75" x14ac:dyDescent="0.2">
      <c r="R56199" s="1288"/>
    </row>
    <row r="56200" spans="18:18" s="2" customFormat="1" ht="12.75" x14ac:dyDescent="0.2">
      <c r="R56200" s="1288"/>
    </row>
    <row r="56201" spans="18:18" s="2" customFormat="1" ht="12.75" x14ac:dyDescent="0.2">
      <c r="R56201" s="1288"/>
    </row>
    <row r="56202" spans="18:18" s="2" customFormat="1" ht="12.75" x14ac:dyDescent="0.2">
      <c r="R56202" s="1288"/>
    </row>
    <row r="56203" spans="18:18" s="2" customFormat="1" ht="12.75" x14ac:dyDescent="0.2">
      <c r="R56203" s="1288"/>
    </row>
    <row r="56204" spans="18:18" s="2" customFormat="1" ht="12.75" x14ac:dyDescent="0.2">
      <c r="R56204" s="1288"/>
    </row>
    <row r="56205" spans="18:18" s="2" customFormat="1" ht="12.75" x14ac:dyDescent="0.2">
      <c r="R56205" s="1288"/>
    </row>
    <row r="56206" spans="18:18" s="2" customFormat="1" ht="12.75" x14ac:dyDescent="0.2">
      <c r="R56206" s="1288"/>
    </row>
    <row r="56207" spans="18:18" s="2" customFormat="1" ht="12.75" x14ac:dyDescent="0.2">
      <c r="R56207" s="1288"/>
    </row>
    <row r="56208" spans="18:18" s="2" customFormat="1" ht="12.75" x14ac:dyDescent="0.2">
      <c r="R56208" s="1288"/>
    </row>
    <row r="56209" spans="18:18" s="2" customFormat="1" ht="12.75" x14ac:dyDescent="0.2">
      <c r="R56209" s="1288"/>
    </row>
    <row r="56210" spans="18:18" s="2" customFormat="1" ht="12.75" x14ac:dyDescent="0.2">
      <c r="R56210" s="1288"/>
    </row>
    <row r="56211" spans="18:18" s="2" customFormat="1" ht="12.75" x14ac:dyDescent="0.2">
      <c r="R56211" s="1288"/>
    </row>
    <row r="56212" spans="18:18" s="2" customFormat="1" ht="12.75" x14ac:dyDescent="0.2">
      <c r="R56212" s="1288"/>
    </row>
    <row r="56213" spans="18:18" s="2" customFormat="1" ht="12.75" x14ac:dyDescent="0.2">
      <c r="R56213" s="1288"/>
    </row>
    <row r="56214" spans="18:18" s="2" customFormat="1" ht="12.75" x14ac:dyDescent="0.2">
      <c r="R56214" s="1288"/>
    </row>
    <row r="56215" spans="18:18" s="2" customFormat="1" ht="12.75" x14ac:dyDescent="0.2">
      <c r="R56215" s="1288"/>
    </row>
    <row r="56216" spans="18:18" s="2" customFormat="1" ht="12.75" x14ac:dyDescent="0.2">
      <c r="R56216" s="1288"/>
    </row>
    <row r="56217" spans="18:18" s="2" customFormat="1" ht="12.75" x14ac:dyDescent="0.2">
      <c r="R56217" s="1288"/>
    </row>
    <row r="56218" spans="18:18" s="2" customFormat="1" ht="12.75" x14ac:dyDescent="0.2">
      <c r="R56218" s="1288"/>
    </row>
    <row r="56219" spans="18:18" s="2" customFormat="1" ht="12.75" x14ac:dyDescent="0.2">
      <c r="R56219" s="1288"/>
    </row>
    <row r="56220" spans="18:18" s="2" customFormat="1" ht="12.75" x14ac:dyDescent="0.2">
      <c r="R56220" s="1288"/>
    </row>
    <row r="56221" spans="18:18" s="2" customFormat="1" ht="12.75" x14ac:dyDescent="0.2">
      <c r="R56221" s="1288"/>
    </row>
    <row r="56222" spans="18:18" s="2" customFormat="1" ht="12.75" x14ac:dyDescent="0.2">
      <c r="R56222" s="1288"/>
    </row>
    <row r="56223" spans="18:18" s="2" customFormat="1" ht="12.75" x14ac:dyDescent="0.2">
      <c r="R56223" s="1288"/>
    </row>
    <row r="56224" spans="18:18" s="2" customFormat="1" ht="12.75" x14ac:dyDescent="0.2">
      <c r="R56224" s="1288"/>
    </row>
    <row r="56225" spans="18:18" s="2" customFormat="1" ht="12.75" x14ac:dyDescent="0.2">
      <c r="R56225" s="1288"/>
    </row>
    <row r="56226" spans="18:18" s="2" customFormat="1" ht="12.75" x14ac:dyDescent="0.2">
      <c r="R56226" s="1288"/>
    </row>
    <row r="56227" spans="18:18" s="2" customFormat="1" ht="12.75" x14ac:dyDescent="0.2">
      <c r="R56227" s="1288"/>
    </row>
    <row r="56228" spans="18:18" s="2" customFormat="1" ht="12.75" x14ac:dyDescent="0.2">
      <c r="R56228" s="1288"/>
    </row>
    <row r="56229" spans="18:18" s="2" customFormat="1" ht="12.75" x14ac:dyDescent="0.2">
      <c r="R56229" s="1288"/>
    </row>
    <row r="56230" spans="18:18" s="2" customFormat="1" ht="12.75" x14ac:dyDescent="0.2">
      <c r="R56230" s="1288"/>
    </row>
    <row r="56231" spans="18:18" s="2" customFormat="1" ht="12.75" x14ac:dyDescent="0.2">
      <c r="R56231" s="1288"/>
    </row>
    <row r="56232" spans="18:18" s="2" customFormat="1" ht="12.75" x14ac:dyDescent="0.2">
      <c r="R56232" s="1288"/>
    </row>
    <row r="56233" spans="18:18" s="2" customFormat="1" ht="12.75" x14ac:dyDescent="0.2">
      <c r="R56233" s="1288"/>
    </row>
    <row r="56234" spans="18:18" s="2" customFormat="1" ht="12.75" x14ac:dyDescent="0.2">
      <c r="R56234" s="1288"/>
    </row>
    <row r="56235" spans="18:18" s="2" customFormat="1" ht="12.75" x14ac:dyDescent="0.2">
      <c r="R56235" s="1288"/>
    </row>
    <row r="56236" spans="18:18" s="2" customFormat="1" ht="12.75" x14ac:dyDescent="0.2">
      <c r="R56236" s="1288"/>
    </row>
    <row r="56237" spans="18:18" s="2" customFormat="1" ht="12.75" x14ac:dyDescent="0.2">
      <c r="R56237" s="1288"/>
    </row>
    <row r="56238" spans="18:18" s="2" customFormat="1" ht="12.75" x14ac:dyDescent="0.2">
      <c r="R56238" s="1288"/>
    </row>
    <row r="56239" spans="18:18" s="2" customFormat="1" ht="12.75" x14ac:dyDescent="0.2">
      <c r="R56239" s="1288"/>
    </row>
    <row r="56240" spans="18:18" s="2" customFormat="1" ht="12.75" x14ac:dyDescent="0.2">
      <c r="R56240" s="1288"/>
    </row>
    <row r="56241" spans="18:18" s="2" customFormat="1" ht="12.75" x14ac:dyDescent="0.2">
      <c r="R56241" s="1288"/>
    </row>
    <row r="56242" spans="18:18" s="2" customFormat="1" ht="12.75" x14ac:dyDescent="0.2">
      <c r="R56242" s="1288"/>
    </row>
    <row r="56243" spans="18:18" s="2" customFormat="1" ht="12.75" x14ac:dyDescent="0.2">
      <c r="R56243" s="1288"/>
    </row>
    <row r="56244" spans="18:18" s="2" customFormat="1" ht="12.75" x14ac:dyDescent="0.2">
      <c r="R56244" s="1288"/>
    </row>
    <row r="56245" spans="18:18" s="2" customFormat="1" ht="12.75" x14ac:dyDescent="0.2">
      <c r="R56245" s="1288"/>
    </row>
    <row r="56246" spans="18:18" s="2" customFormat="1" ht="12.75" x14ac:dyDescent="0.2">
      <c r="R56246" s="1288"/>
    </row>
    <row r="56247" spans="18:18" s="2" customFormat="1" ht="12.75" x14ac:dyDescent="0.2">
      <c r="R56247" s="1288"/>
    </row>
    <row r="56248" spans="18:18" s="2" customFormat="1" ht="12.75" x14ac:dyDescent="0.2">
      <c r="R56248" s="1288"/>
    </row>
    <row r="56249" spans="18:18" s="2" customFormat="1" ht="12.75" x14ac:dyDescent="0.2">
      <c r="R56249" s="1288"/>
    </row>
    <row r="56250" spans="18:18" s="2" customFormat="1" ht="12.75" x14ac:dyDescent="0.2">
      <c r="R56250" s="1288"/>
    </row>
    <row r="56251" spans="18:18" s="2" customFormat="1" ht="12.75" x14ac:dyDescent="0.2">
      <c r="R56251" s="1288"/>
    </row>
    <row r="56252" spans="18:18" s="2" customFormat="1" ht="12.75" x14ac:dyDescent="0.2">
      <c r="R56252" s="1288"/>
    </row>
    <row r="56253" spans="18:18" s="2" customFormat="1" ht="12.75" x14ac:dyDescent="0.2">
      <c r="R56253" s="1288"/>
    </row>
    <row r="56254" spans="18:18" s="2" customFormat="1" ht="12.75" x14ac:dyDescent="0.2">
      <c r="R56254" s="1288"/>
    </row>
    <row r="56255" spans="18:18" s="2" customFormat="1" ht="12.75" x14ac:dyDescent="0.2">
      <c r="R56255" s="1288"/>
    </row>
    <row r="56256" spans="18:18" s="2" customFormat="1" ht="12.75" x14ac:dyDescent="0.2">
      <c r="R56256" s="1288"/>
    </row>
    <row r="56257" spans="18:18" s="2" customFormat="1" ht="12.75" x14ac:dyDescent="0.2">
      <c r="R56257" s="1288"/>
    </row>
    <row r="56258" spans="18:18" s="2" customFormat="1" ht="12.75" x14ac:dyDescent="0.2">
      <c r="R56258" s="1288"/>
    </row>
    <row r="56259" spans="18:18" s="2" customFormat="1" ht="12.75" x14ac:dyDescent="0.2">
      <c r="R56259" s="1288"/>
    </row>
    <row r="56260" spans="18:18" s="2" customFormat="1" ht="12.75" x14ac:dyDescent="0.2">
      <c r="R56260" s="1288"/>
    </row>
    <row r="56261" spans="18:18" s="2" customFormat="1" ht="12.75" x14ac:dyDescent="0.2">
      <c r="R56261" s="1288"/>
    </row>
    <row r="56262" spans="18:18" s="2" customFormat="1" ht="12.75" x14ac:dyDescent="0.2">
      <c r="R56262" s="1288"/>
    </row>
    <row r="56263" spans="18:18" s="2" customFormat="1" ht="12.75" x14ac:dyDescent="0.2">
      <c r="R56263" s="1288"/>
    </row>
    <row r="56264" spans="18:18" s="2" customFormat="1" ht="12.75" x14ac:dyDescent="0.2">
      <c r="R56264" s="1288"/>
    </row>
    <row r="56265" spans="18:18" s="2" customFormat="1" ht="12.75" x14ac:dyDescent="0.2">
      <c r="R56265" s="1288"/>
    </row>
    <row r="56266" spans="18:18" s="2" customFormat="1" ht="12.75" x14ac:dyDescent="0.2">
      <c r="R56266" s="1288"/>
    </row>
    <row r="56267" spans="18:18" s="2" customFormat="1" ht="12.75" x14ac:dyDescent="0.2">
      <c r="R56267" s="1288"/>
    </row>
    <row r="56268" spans="18:18" s="2" customFormat="1" ht="12.75" x14ac:dyDescent="0.2">
      <c r="R56268" s="1288"/>
    </row>
    <row r="56269" spans="18:18" s="2" customFormat="1" ht="12.75" x14ac:dyDescent="0.2">
      <c r="R56269" s="1288"/>
    </row>
    <row r="56270" spans="18:18" s="2" customFormat="1" ht="12.75" x14ac:dyDescent="0.2">
      <c r="R56270" s="1288"/>
    </row>
    <row r="56271" spans="18:18" s="2" customFormat="1" ht="12.75" x14ac:dyDescent="0.2">
      <c r="R56271" s="1288"/>
    </row>
    <row r="56272" spans="18:18" s="2" customFormat="1" ht="12.75" x14ac:dyDescent="0.2">
      <c r="R56272" s="1288"/>
    </row>
    <row r="56273" spans="18:18" s="2" customFormat="1" ht="12.75" x14ac:dyDescent="0.2">
      <c r="R56273" s="1288"/>
    </row>
    <row r="56274" spans="18:18" s="2" customFormat="1" ht="12.75" x14ac:dyDescent="0.2">
      <c r="R56274" s="1288"/>
    </row>
    <row r="56275" spans="18:18" s="2" customFormat="1" ht="12.75" x14ac:dyDescent="0.2">
      <c r="R56275" s="1288"/>
    </row>
    <row r="56276" spans="18:18" s="2" customFormat="1" ht="12.75" x14ac:dyDescent="0.2">
      <c r="R56276" s="1288"/>
    </row>
    <row r="56277" spans="18:18" s="2" customFormat="1" ht="12.75" x14ac:dyDescent="0.2">
      <c r="R56277" s="1288"/>
    </row>
    <row r="56278" spans="18:18" s="2" customFormat="1" ht="12.75" x14ac:dyDescent="0.2">
      <c r="R56278" s="1288"/>
    </row>
    <row r="56279" spans="18:18" s="2" customFormat="1" ht="12.75" x14ac:dyDescent="0.2">
      <c r="R56279" s="1288"/>
    </row>
    <row r="56280" spans="18:18" s="2" customFormat="1" ht="12.75" x14ac:dyDescent="0.2">
      <c r="R56280" s="1288"/>
    </row>
    <row r="56281" spans="18:18" s="2" customFormat="1" ht="12.75" x14ac:dyDescent="0.2">
      <c r="R56281" s="1288"/>
    </row>
    <row r="56282" spans="18:18" s="2" customFormat="1" ht="12.75" x14ac:dyDescent="0.2">
      <c r="R56282" s="1288"/>
    </row>
    <row r="56283" spans="18:18" s="2" customFormat="1" ht="12.75" x14ac:dyDescent="0.2">
      <c r="R56283" s="1288"/>
    </row>
    <row r="56284" spans="18:18" s="2" customFormat="1" ht="12.75" x14ac:dyDescent="0.2">
      <c r="R56284" s="1288"/>
    </row>
    <row r="56285" spans="18:18" s="2" customFormat="1" ht="12.75" x14ac:dyDescent="0.2">
      <c r="R56285" s="1288"/>
    </row>
    <row r="56286" spans="18:18" s="2" customFormat="1" ht="12.75" x14ac:dyDescent="0.2">
      <c r="R56286" s="1288"/>
    </row>
    <row r="56287" spans="18:18" s="2" customFormat="1" ht="12.75" x14ac:dyDescent="0.2">
      <c r="R56287" s="1288"/>
    </row>
    <row r="56288" spans="18:18" s="2" customFormat="1" ht="12.75" x14ac:dyDescent="0.2">
      <c r="R56288" s="1288"/>
    </row>
    <row r="56289" spans="18:18" s="2" customFormat="1" ht="12.75" x14ac:dyDescent="0.2">
      <c r="R56289" s="1288"/>
    </row>
    <row r="56290" spans="18:18" s="2" customFormat="1" ht="12.75" x14ac:dyDescent="0.2">
      <c r="R56290" s="1288"/>
    </row>
    <row r="56291" spans="18:18" s="2" customFormat="1" ht="12.75" x14ac:dyDescent="0.2">
      <c r="R56291" s="1288"/>
    </row>
    <row r="56292" spans="18:18" s="2" customFormat="1" ht="12.75" x14ac:dyDescent="0.2">
      <c r="R56292" s="1288"/>
    </row>
    <row r="56293" spans="18:18" s="2" customFormat="1" ht="12.75" x14ac:dyDescent="0.2">
      <c r="R56293" s="1288"/>
    </row>
    <row r="56294" spans="18:18" s="2" customFormat="1" ht="12.75" x14ac:dyDescent="0.2">
      <c r="R56294" s="1288"/>
    </row>
    <row r="56295" spans="18:18" s="2" customFormat="1" ht="12.75" x14ac:dyDescent="0.2">
      <c r="R56295" s="1288"/>
    </row>
    <row r="56296" spans="18:18" s="2" customFormat="1" ht="12.75" x14ac:dyDescent="0.2">
      <c r="R56296" s="1288"/>
    </row>
    <row r="56297" spans="18:18" s="2" customFormat="1" ht="12.75" x14ac:dyDescent="0.2">
      <c r="R56297" s="1288"/>
    </row>
    <row r="56298" spans="18:18" s="2" customFormat="1" ht="12.75" x14ac:dyDescent="0.2">
      <c r="R56298" s="1288"/>
    </row>
    <row r="56299" spans="18:18" s="2" customFormat="1" ht="12.75" x14ac:dyDescent="0.2">
      <c r="R56299" s="1288"/>
    </row>
    <row r="56300" spans="18:18" s="2" customFormat="1" ht="12.75" x14ac:dyDescent="0.2">
      <c r="R56300" s="1288"/>
    </row>
    <row r="56301" spans="18:18" s="2" customFormat="1" ht="12.75" x14ac:dyDescent="0.2">
      <c r="R56301" s="1288"/>
    </row>
    <row r="56302" spans="18:18" s="2" customFormat="1" ht="12.75" x14ac:dyDescent="0.2">
      <c r="R56302" s="1288"/>
    </row>
    <row r="56303" spans="18:18" s="2" customFormat="1" ht="12.75" x14ac:dyDescent="0.2">
      <c r="R56303" s="1288"/>
    </row>
    <row r="56304" spans="18:18" s="2" customFormat="1" ht="12.75" x14ac:dyDescent="0.2">
      <c r="R56304" s="1288"/>
    </row>
    <row r="56305" spans="18:18" s="2" customFormat="1" ht="12.75" x14ac:dyDescent="0.2">
      <c r="R56305" s="1288"/>
    </row>
    <row r="56306" spans="18:18" s="2" customFormat="1" ht="12.75" x14ac:dyDescent="0.2">
      <c r="R56306" s="1288"/>
    </row>
    <row r="56307" spans="18:18" s="2" customFormat="1" ht="12.75" x14ac:dyDescent="0.2">
      <c r="R56307" s="1288"/>
    </row>
    <row r="56308" spans="18:18" s="2" customFormat="1" ht="12.75" x14ac:dyDescent="0.2">
      <c r="R56308" s="1288"/>
    </row>
    <row r="56309" spans="18:18" s="2" customFormat="1" ht="12.75" x14ac:dyDescent="0.2">
      <c r="R56309" s="1288"/>
    </row>
    <row r="56310" spans="18:18" s="2" customFormat="1" ht="12.75" x14ac:dyDescent="0.2">
      <c r="R56310" s="1288"/>
    </row>
    <row r="56311" spans="18:18" s="2" customFormat="1" ht="12.75" x14ac:dyDescent="0.2">
      <c r="R56311" s="1288"/>
    </row>
    <row r="56312" spans="18:18" s="2" customFormat="1" ht="12.75" x14ac:dyDescent="0.2">
      <c r="R56312" s="1288"/>
    </row>
    <row r="56313" spans="18:18" s="2" customFormat="1" ht="12.75" x14ac:dyDescent="0.2">
      <c r="R56313" s="1288"/>
    </row>
    <row r="56314" spans="18:18" s="2" customFormat="1" ht="12.75" x14ac:dyDescent="0.2">
      <c r="R56314" s="1288"/>
    </row>
    <row r="56315" spans="18:18" s="2" customFormat="1" ht="12.75" x14ac:dyDescent="0.2">
      <c r="R56315" s="1288"/>
    </row>
    <row r="56316" spans="18:18" s="2" customFormat="1" ht="12.75" x14ac:dyDescent="0.2">
      <c r="R56316" s="1288"/>
    </row>
    <row r="56317" spans="18:18" s="2" customFormat="1" ht="12.75" x14ac:dyDescent="0.2">
      <c r="R56317" s="1288"/>
    </row>
    <row r="56318" spans="18:18" s="2" customFormat="1" ht="12.75" x14ac:dyDescent="0.2">
      <c r="R56318" s="1288"/>
    </row>
    <row r="56319" spans="18:18" s="2" customFormat="1" ht="12.75" x14ac:dyDescent="0.2">
      <c r="R56319" s="1288"/>
    </row>
    <row r="56320" spans="18:18" s="2" customFormat="1" ht="12.75" x14ac:dyDescent="0.2">
      <c r="R56320" s="1288"/>
    </row>
    <row r="56321" spans="18:18" s="2" customFormat="1" ht="12.75" x14ac:dyDescent="0.2">
      <c r="R56321" s="1288"/>
    </row>
    <row r="56322" spans="18:18" s="2" customFormat="1" ht="12.75" x14ac:dyDescent="0.2">
      <c r="R56322" s="1288"/>
    </row>
    <row r="56323" spans="18:18" s="2" customFormat="1" ht="12.75" x14ac:dyDescent="0.2">
      <c r="R56323" s="1288"/>
    </row>
    <row r="56324" spans="18:18" s="2" customFormat="1" ht="12.75" x14ac:dyDescent="0.2">
      <c r="R56324" s="1288"/>
    </row>
    <row r="56325" spans="18:18" s="2" customFormat="1" ht="12.75" x14ac:dyDescent="0.2">
      <c r="R56325" s="1288"/>
    </row>
    <row r="56326" spans="18:18" s="2" customFormat="1" ht="12.75" x14ac:dyDescent="0.2">
      <c r="R56326" s="1288"/>
    </row>
    <row r="56327" spans="18:18" s="2" customFormat="1" ht="12.75" x14ac:dyDescent="0.2">
      <c r="R56327" s="1288"/>
    </row>
    <row r="56328" spans="18:18" s="2" customFormat="1" ht="12.75" x14ac:dyDescent="0.2">
      <c r="R56328" s="1288"/>
    </row>
    <row r="56329" spans="18:18" s="2" customFormat="1" ht="12.75" x14ac:dyDescent="0.2">
      <c r="R56329" s="1288"/>
    </row>
    <row r="56330" spans="18:18" s="2" customFormat="1" ht="12.75" x14ac:dyDescent="0.2">
      <c r="R56330" s="1288"/>
    </row>
    <row r="56331" spans="18:18" s="2" customFormat="1" ht="12.75" x14ac:dyDescent="0.2">
      <c r="R56331" s="1288"/>
    </row>
    <row r="56332" spans="18:18" s="2" customFormat="1" ht="12.75" x14ac:dyDescent="0.2">
      <c r="R56332" s="1288"/>
    </row>
    <row r="56333" spans="18:18" s="2" customFormat="1" ht="12.75" x14ac:dyDescent="0.2">
      <c r="R56333" s="1288"/>
    </row>
    <row r="56334" spans="18:18" s="2" customFormat="1" ht="12.75" x14ac:dyDescent="0.2">
      <c r="R56334" s="1288"/>
    </row>
    <row r="56335" spans="18:18" s="2" customFormat="1" ht="12.75" x14ac:dyDescent="0.2">
      <c r="R56335" s="1288"/>
    </row>
    <row r="56336" spans="18:18" s="2" customFormat="1" ht="12.75" x14ac:dyDescent="0.2">
      <c r="R56336" s="1288"/>
    </row>
    <row r="56337" spans="18:18" s="2" customFormat="1" ht="12.75" x14ac:dyDescent="0.2">
      <c r="R56337" s="1288"/>
    </row>
    <row r="56338" spans="18:18" s="2" customFormat="1" ht="12.75" x14ac:dyDescent="0.2">
      <c r="R56338" s="1288"/>
    </row>
    <row r="56339" spans="18:18" s="2" customFormat="1" ht="12.75" x14ac:dyDescent="0.2">
      <c r="R56339" s="1288"/>
    </row>
    <row r="56340" spans="18:18" s="2" customFormat="1" ht="12.75" x14ac:dyDescent="0.2">
      <c r="R56340" s="1288"/>
    </row>
    <row r="56341" spans="18:18" s="2" customFormat="1" ht="12.75" x14ac:dyDescent="0.2">
      <c r="R56341" s="1288"/>
    </row>
    <row r="56342" spans="18:18" s="2" customFormat="1" ht="12.75" x14ac:dyDescent="0.2">
      <c r="R56342" s="1288"/>
    </row>
    <row r="56343" spans="18:18" s="2" customFormat="1" ht="12.75" x14ac:dyDescent="0.2">
      <c r="R56343" s="1288"/>
    </row>
    <row r="56344" spans="18:18" s="2" customFormat="1" ht="12.75" x14ac:dyDescent="0.2">
      <c r="R56344" s="1288"/>
    </row>
    <row r="56345" spans="18:18" s="2" customFormat="1" ht="12.75" x14ac:dyDescent="0.2">
      <c r="R56345" s="1288"/>
    </row>
    <row r="56346" spans="18:18" s="2" customFormat="1" ht="12.75" x14ac:dyDescent="0.2">
      <c r="R56346" s="1288"/>
    </row>
    <row r="56347" spans="18:18" s="2" customFormat="1" ht="12.75" x14ac:dyDescent="0.2">
      <c r="R56347" s="1288"/>
    </row>
    <row r="56348" spans="18:18" s="2" customFormat="1" ht="12.75" x14ac:dyDescent="0.2">
      <c r="R56348" s="1288"/>
    </row>
    <row r="56349" spans="18:18" s="2" customFormat="1" ht="12.75" x14ac:dyDescent="0.2">
      <c r="R56349" s="1288"/>
    </row>
    <row r="56350" spans="18:18" s="2" customFormat="1" ht="12.75" x14ac:dyDescent="0.2">
      <c r="R56350" s="1288"/>
    </row>
    <row r="56351" spans="18:18" s="2" customFormat="1" ht="12.75" x14ac:dyDescent="0.2">
      <c r="R56351" s="1288"/>
    </row>
    <row r="56352" spans="18:18" s="2" customFormat="1" ht="12.75" x14ac:dyDescent="0.2">
      <c r="R56352" s="1288"/>
    </row>
    <row r="56353" spans="18:18" s="2" customFormat="1" ht="12.75" x14ac:dyDescent="0.2">
      <c r="R56353" s="1288"/>
    </row>
    <row r="56354" spans="18:18" s="2" customFormat="1" ht="12.75" x14ac:dyDescent="0.2">
      <c r="R56354" s="1288"/>
    </row>
    <row r="56355" spans="18:18" s="2" customFormat="1" ht="12.75" x14ac:dyDescent="0.2">
      <c r="R56355" s="1288"/>
    </row>
    <row r="56356" spans="18:18" s="2" customFormat="1" ht="12.75" x14ac:dyDescent="0.2">
      <c r="R56356" s="1288"/>
    </row>
    <row r="56357" spans="18:18" s="2" customFormat="1" ht="12.75" x14ac:dyDescent="0.2">
      <c r="R56357" s="1288"/>
    </row>
    <row r="56358" spans="18:18" s="2" customFormat="1" ht="12.75" x14ac:dyDescent="0.2">
      <c r="R56358" s="1288"/>
    </row>
    <row r="56359" spans="18:18" s="2" customFormat="1" ht="12.75" x14ac:dyDescent="0.2">
      <c r="R56359" s="1288"/>
    </row>
    <row r="56360" spans="18:18" s="2" customFormat="1" ht="12.75" x14ac:dyDescent="0.2">
      <c r="R56360" s="1288"/>
    </row>
    <row r="56361" spans="18:18" s="2" customFormat="1" ht="12.75" x14ac:dyDescent="0.2">
      <c r="R56361" s="1288"/>
    </row>
    <row r="56362" spans="18:18" s="2" customFormat="1" ht="12.75" x14ac:dyDescent="0.2">
      <c r="R56362" s="1288"/>
    </row>
    <row r="56363" spans="18:18" s="2" customFormat="1" ht="12.75" x14ac:dyDescent="0.2">
      <c r="R56363" s="1288"/>
    </row>
    <row r="56364" spans="18:18" s="2" customFormat="1" ht="12.75" x14ac:dyDescent="0.2">
      <c r="R56364" s="1288"/>
    </row>
    <row r="56365" spans="18:18" s="2" customFormat="1" ht="12.75" x14ac:dyDescent="0.2">
      <c r="R56365" s="1288"/>
    </row>
    <row r="56366" spans="18:18" s="2" customFormat="1" ht="12.75" x14ac:dyDescent="0.2">
      <c r="R56366" s="1288"/>
    </row>
    <row r="56367" spans="18:18" s="2" customFormat="1" ht="12.75" x14ac:dyDescent="0.2">
      <c r="R56367" s="1288"/>
    </row>
    <row r="56368" spans="18:18" s="2" customFormat="1" ht="12.75" x14ac:dyDescent="0.2">
      <c r="R56368" s="1288"/>
    </row>
    <row r="56369" spans="18:18" s="2" customFormat="1" ht="12.75" x14ac:dyDescent="0.2">
      <c r="R56369" s="1288"/>
    </row>
    <row r="56370" spans="18:18" s="2" customFormat="1" ht="12.75" x14ac:dyDescent="0.2">
      <c r="R56370" s="1288"/>
    </row>
    <row r="56371" spans="18:18" s="2" customFormat="1" ht="12.75" x14ac:dyDescent="0.2">
      <c r="R56371" s="1288"/>
    </row>
    <row r="56372" spans="18:18" s="2" customFormat="1" ht="12.75" x14ac:dyDescent="0.2">
      <c r="R56372" s="1288"/>
    </row>
    <row r="56373" spans="18:18" s="2" customFormat="1" ht="12.75" x14ac:dyDescent="0.2">
      <c r="R56373" s="1288"/>
    </row>
    <row r="56374" spans="18:18" s="2" customFormat="1" ht="12.75" x14ac:dyDescent="0.2">
      <c r="R56374" s="1288"/>
    </row>
    <row r="56375" spans="18:18" s="2" customFormat="1" ht="12.75" x14ac:dyDescent="0.2">
      <c r="R56375" s="1288"/>
    </row>
    <row r="56376" spans="18:18" s="2" customFormat="1" ht="12.75" x14ac:dyDescent="0.2">
      <c r="R56376" s="1288"/>
    </row>
    <row r="56377" spans="18:18" s="2" customFormat="1" ht="12.75" x14ac:dyDescent="0.2">
      <c r="R56377" s="1288"/>
    </row>
    <row r="56378" spans="18:18" s="2" customFormat="1" ht="12.75" x14ac:dyDescent="0.2">
      <c r="R56378" s="1288"/>
    </row>
    <row r="56379" spans="18:18" s="2" customFormat="1" ht="12.75" x14ac:dyDescent="0.2">
      <c r="R56379" s="1288"/>
    </row>
    <row r="56380" spans="18:18" s="2" customFormat="1" ht="12.75" x14ac:dyDescent="0.2">
      <c r="R56380" s="1288"/>
    </row>
    <row r="56381" spans="18:18" s="2" customFormat="1" ht="12.75" x14ac:dyDescent="0.2">
      <c r="R56381" s="1288"/>
    </row>
    <row r="56382" spans="18:18" s="2" customFormat="1" ht="12.75" x14ac:dyDescent="0.2">
      <c r="R56382" s="1288"/>
    </row>
    <row r="56383" spans="18:18" s="2" customFormat="1" ht="12.75" x14ac:dyDescent="0.2">
      <c r="R56383" s="1288"/>
    </row>
    <row r="56384" spans="18:18" s="2" customFormat="1" ht="12.75" x14ac:dyDescent="0.2">
      <c r="R56384" s="1288"/>
    </row>
    <row r="56385" spans="18:18" s="2" customFormat="1" ht="12.75" x14ac:dyDescent="0.2">
      <c r="R56385" s="1288"/>
    </row>
    <row r="56386" spans="18:18" s="2" customFormat="1" ht="12.75" x14ac:dyDescent="0.2">
      <c r="R56386" s="1288"/>
    </row>
    <row r="56387" spans="18:18" s="2" customFormat="1" ht="12.75" x14ac:dyDescent="0.2">
      <c r="R56387" s="1288"/>
    </row>
    <row r="56388" spans="18:18" s="2" customFormat="1" ht="12.75" x14ac:dyDescent="0.2">
      <c r="R56388" s="1288"/>
    </row>
    <row r="56389" spans="18:18" s="2" customFormat="1" ht="12.75" x14ac:dyDescent="0.2">
      <c r="R56389" s="1288"/>
    </row>
    <row r="56390" spans="18:18" s="2" customFormat="1" ht="12.75" x14ac:dyDescent="0.2">
      <c r="R56390" s="1288"/>
    </row>
    <row r="56391" spans="18:18" s="2" customFormat="1" ht="12.75" x14ac:dyDescent="0.2">
      <c r="R56391" s="1288"/>
    </row>
    <row r="56392" spans="18:18" s="2" customFormat="1" ht="12.75" x14ac:dyDescent="0.2">
      <c r="R56392" s="1288"/>
    </row>
    <row r="56393" spans="18:18" s="2" customFormat="1" ht="12.75" x14ac:dyDescent="0.2">
      <c r="R56393" s="1288"/>
    </row>
    <row r="56394" spans="18:18" s="2" customFormat="1" ht="12.75" x14ac:dyDescent="0.2">
      <c r="R56394" s="1288"/>
    </row>
    <row r="56395" spans="18:18" s="2" customFormat="1" ht="12.75" x14ac:dyDescent="0.2">
      <c r="R56395" s="1288"/>
    </row>
    <row r="56396" spans="18:18" s="2" customFormat="1" ht="12.75" x14ac:dyDescent="0.2">
      <c r="R56396" s="1288"/>
    </row>
    <row r="56397" spans="18:18" s="2" customFormat="1" ht="12.75" x14ac:dyDescent="0.2">
      <c r="R56397" s="1288"/>
    </row>
    <row r="56398" spans="18:18" s="2" customFormat="1" ht="12.75" x14ac:dyDescent="0.2">
      <c r="R56398" s="1288"/>
    </row>
    <row r="56399" spans="18:18" s="2" customFormat="1" ht="12.75" x14ac:dyDescent="0.2">
      <c r="R56399" s="1288"/>
    </row>
    <row r="56400" spans="18:18" s="2" customFormat="1" ht="12.75" x14ac:dyDescent="0.2">
      <c r="R56400" s="1288"/>
    </row>
    <row r="56401" spans="18:18" s="2" customFormat="1" ht="12.75" x14ac:dyDescent="0.2">
      <c r="R56401" s="1288"/>
    </row>
    <row r="56402" spans="18:18" s="2" customFormat="1" ht="12.75" x14ac:dyDescent="0.2">
      <c r="R56402" s="1288"/>
    </row>
    <row r="56403" spans="18:18" s="2" customFormat="1" ht="12.75" x14ac:dyDescent="0.2">
      <c r="R56403" s="1288"/>
    </row>
    <row r="56404" spans="18:18" s="2" customFormat="1" ht="12.75" x14ac:dyDescent="0.2">
      <c r="R56404" s="1288"/>
    </row>
    <row r="56405" spans="18:18" s="2" customFormat="1" ht="12.75" x14ac:dyDescent="0.2">
      <c r="R56405" s="1288"/>
    </row>
    <row r="56406" spans="18:18" s="2" customFormat="1" ht="12.75" x14ac:dyDescent="0.2">
      <c r="R56406" s="1288"/>
    </row>
    <row r="56407" spans="18:18" s="2" customFormat="1" ht="12.75" x14ac:dyDescent="0.2">
      <c r="R56407" s="1288"/>
    </row>
    <row r="56408" spans="18:18" s="2" customFormat="1" ht="12.75" x14ac:dyDescent="0.2">
      <c r="R56408" s="1288"/>
    </row>
    <row r="56409" spans="18:18" s="2" customFormat="1" ht="12.75" x14ac:dyDescent="0.2">
      <c r="R56409" s="1288"/>
    </row>
    <row r="56410" spans="18:18" s="2" customFormat="1" ht="12.75" x14ac:dyDescent="0.2">
      <c r="R56410" s="1288"/>
    </row>
    <row r="56411" spans="18:18" s="2" customFormat="1" ht="12.75" x14ac:dyDescent="0.2">
      <c r="R56411" s="1288"/>
    </row>
    <row r="56412" spans="18:18" s="2" customFormat="1" ht="12.75" x14ac:dyDescent="0.2">
      <c r="R56412" s="1288"/>
    </row>
    <row r="56413" spans="18:18" s="2" customFormat="1" ht="12.75" x14ac:dyDescent="0.2">
      <c r="R56413" s="1288"/>
    </row>
    <row r="56414" spans="18:18" s="2" customFormat="1" ht="12.75" x14ac:dyDescent="0.2">
      <c r="R56414" s="1288"/>
    </row>
    <row r="56415" spans="18:18" s="2" customFormat="1" ht="12.75" x14ac:dyDescent="0.2">
      <c r="R56415" s="1288"/>
    </row>
    <row r="56416" spans="18:18" s="2" customFormat="1" ht="12.75" x14ac:dyDescent="0.2">
      <c r="R56416" s="1288"/>
    </row>
    <row r="56417" spans="18:18" s="2" customFormat="1" ht="12.75" x14ac:dyDescent="0.2">
      <c r="R56417" s="1288"/>
    </row>
    <row r="56418" spans="18:18" s="2" customFormat="1" ht="12.75" x14ac:dyDescent="0.2">
      <c r="R56418" s="1288"/>
    </row>
    <row r="56419" spans="18:18" s="2" customFormat="1" ht="12.75" x14ac:dyDescent="0.2">
      <c r="R56419" s="1288"/>
    </row>
    <row r="56420" spans="18:18" s="2" customFormat="1" ht="12.75" x14ac:dyDescent="0.2">
      <c r="R56420" s="1288"/>
    </row>
    <row r="56421" spans="18:18" s="2" customFormat="1" ht="12.75" x14ac:dyDescent="0.2">
      <c r="R56421" s="1288"/>
    </row>
    <row r="56422" spans="18:18" s="2" customFormat="1" ht="12.75" x14ac:dyDescent="0.2">
      <c r="R56422" s="1288"/>
    </row>
    <row r="56423" spans="18:18" s="2" customFormat="1" ht="12.75" x14ac:dyDescent="0.2">
      <c r="R56423" s="1288"/>
    </row>
    <row r="56424" spans="18:18" s="2" customFormat="1" ht="12.75" x14ac:dyDescent="0.2">
      <c r="R56424" s="1288"/>
    </row>
    <row r="56425" spans="18:18" s="2" customFormat="1" ht="12.75" x14ac:dyDescent="0.2">
      <c r="R56425" s="1288"/>
    </row>
    <row r="56426" spans="18:18" s="2" customFormat="1" ht="12.75" x14ac:dyDescent="0.2">
      <c r="R56426" s="1288"/>
    </row>
    <row r="56427" spans="18:18" s="2" customFormat="1" ht="12.75" x14ac:dyDescent="0.2">
      <c r="R56427" s="1288"/>
    </row>
    <row r="56428" spans="18:18" s="2" customFormat="1" ht="12.75" x14ac:dyDescent="0.2">
      <c r="R56428" s="1288"/>
    </row>
    <row r="56429" spans="18:18" s="2" customFormat="1" ht="12.75" x14ac:dyDescent="0.2">
      <c r="R56429" s="1288"/>
    </row>
    <row r="56430" spans="18:18" s="2" customFormat="1" ht="12.75" x14ac:dyDescent="0.2">
      <c r="R56430" s="1288"/>
    </row>
    <row r="56431" spans="18:18" s="2" customFormat="1" ht="12.75" x14ac:dyDescent="0.2">
      <c r="R56431" s="1288"/>
    </row>
    <row r="56432" spans="18:18" s="2" customFormat="1" ht="12.75" x14ac:dyDescent="0.2">
      <c r="R56432" s="1288"/>
    </row>
    <row r="56433" spans="18:18" s="2" customFormat="1" ht="12.75" x14ac:dyDescent="0.2">
      <c r="R56433" s="1288"/>
    </row>
    <row r="56434" spans="18:18" s="2" customFormat="1" ht="12.75" x14ac:dyDescent="0.2">
      <c r="R56434" s="1288"/>
    </row>
    <row r="56435" spans="18:18" s="2" customFormat="1" ht="12.75" x14ac:dyDescent="0.2">
      <c r="R56435" s="1288"/>
    </row>
    <row r="56436" spans="18:18" s="2" customFormat="1" ht="12.75" x14ac:dyDescent="0.2">
      <c r="R56436" s="1288"/>
    </row>
    <row r="56437" spans="18:18" s="2" customFormat="1" ht="12.75" x14ac:dyDescent="0.2">
      <c r="R56437" s="1288"/>
    </row>
    <row r="56438" spans="18:18" s="2" customFormat="1" ht="12.75" x14ac:dyDescent="0.2">
      <c r="R56438" s="1288"/>
    </row>
    <row r="56439" spans="18:18" s="2" customFormat="1" ht="12.75" x14ac:dyDescent="0.2">
      <c r="R56439" s="1288"/>
    </row>
    <row r="56440" spans="18:18" s="2" customFormat="1" ht="12.75" x14ac:dyDescent="0.2">
      <c r="R56440" s="1288"/>
    </row>
    <row r="56441" spans="18:18" s="2" customFormat="1" ht="12.75" x14ac:dyDescent="0.2">
      <c r="R56441" s="1288"/>
    </row>
    <row r="56442" spans="18:18" s="2" customFormat="1" ht="12.75" x14ac:dyDescent="0.2">
      <c r="R56442" s="1288"/>
    </row>
    <row r="56443" spans="18:18" s="2" customFormat="1" ht="12.75" x14ac:dyDescent="0.2">
      <c r="R56443" s="1288"/>
    </row>
    <row r="56444" spans="18:18" s="2" customFormat="1" ht="12.75" x14ac:dyDescent="0.2">
      <c r="R56444" s="1288"/>
    </row>
    <row r="56445" spans="18:18" s="2" customFormat="1" ht="12.75" x14ac:dyDescent="0.2">
      <c r="R56445" s="1288"/>
    </row>
    <row r="56446" spans="18:18" s="2" customFormat="1" ht="12.75" x14ac:dyDescent="0.2">
      <c r="R56446" s="1288"/>
    </row>
    <row r="56447" spans="18:18" s="2" customFormat="1" ht="12.75" x14ac:dyDescent="0.2">
      <c r="R56447" s="1288"/>
    </row>
    <row r="56448" spans="18:18" s="2" customFormat="1" ht="12.75" x14ac:dyDescent="0.2">
      <c r="R56448" s="1288"/>
    </row>
    <row r="56449" spans="18:18" s="2" customFormat="1" ht="12.75" x14ac:dyDescent="0.2">
      <c r="R56449" s="1288"/>
    </row>
    <row r="56450" spans="18:18" s="2" customFormat="1" ht="12.75" x14ac:dyDescent="0.2">
      <c r="R56450" s="1288"/>
    </row>
    <row r="56451" spans="18:18" s="2" customFormat="1" ht="12.75" x14ac:dyDescent="0.2">
      <c r="R56451" s="1288"/>
    </row>
    <row r="56452" spans="18:18" s="2" customFormat="1" ht="12.75" x14ac:dyDescent="0.2">
      <c r="R56452" s="1288"/>
    </row>
    <row r="56453" spans="18:18" s="2" customFormat="1" ht="12.75" x14ac:dyDescent="0.2">
      <c r="R56453" s="1288"/>
    </row>
    <row r="56454" spans="18:18" s="2" customFormat="1" ht="12.75" x14ac:dyDescent="0.2">
      <c r="R56454" s="1288"/>
    </row>
    <row r="56455" spans="18:18" s="2" customFormat="1" ht="12.75" x14ac:dyDescent="0.2">
      <c r="R56455" s="1288"/>
    </row>
    <row r="56456" spans="18:18" s="2" customFormat="1" ht="12.75" x14ac:dyDescent="0.2">
      <c r="R56456" s="1288"/>
    </row>
    <row r="56457" spans="18:18" s="2" customFormat="1" ht="12.75" x14ac:dyDescent="0.2">
      <c r="R56457" s="1288"/>
    </row>
    <row r="56458" spans="18:18" s="2" customFormat="1" ht="12.75" x14ac:dyDescent="0.2">
      <c r="R56458" s="1288"/>
    </row>
    <row r="56459" spans="18:18" s="2" customFormat="1" ht="12.75" x14ac:dyDescent="0.2">
      <c r="R56459" s="1288"/>
    </row>
    <row r="56460" spans="18:18" s="2" customFormat="1" ht="12.75" x14ac:dyDescent="0.2">
      <c r="R56460" s="1288"/>
    </row>
    <row r="56461" spans="18:18" s="2" customFormat="1" ht="12.75" x14ac:dyDescent="0.2">
      <c r="R56461" s="1288"/>
    </row>
    <row r="56462" spans="18:18" s="2" customFormat="1" ht="12.75" x14ac:dyDescent="0.2">
      <c r="R56462" s="1288"/>
    </row>
    <row r="56463" spans="18:18" s="2" customFormat="1" ht="12.75" x14ac:dyDescent="0.2">
      <c r="R56463" s="1288"/>
    </row>
    <row r="56464" spans="18:18" s="2" customFormat="1" ht="12.75" x14ac:dyDescent="0.2">
      <c r="R56464" s="1288"/>
    </row>
    <row r="56465" spans="18:18" s="2" customFormat="1" ht="12.75" x14ac:dyDescent="0.2">
      <c r="R56465" s="1288"/>
    </row>
    <row r="56466" spans="18:18" s="2" customFormat="1" ht="12.75" x14ac:dyDescent="0.2">
      <c r="R56466" s="1288"/>
    </row>
    <row r="56467" spans="18:18" s="2" customFormat="1" ht="12.75" x14ac:dyDescent="0.2">
      <c r="R56467" s="1288"/>
    </row>
    <row r="56468" spans="18:18" s="2" customFormat="1" ht="12.75" x14ac:dyDescent="0.2">
      <c r="R56468" s="1288"/>
    </row>
    <row r="56469" spans="18:18" s="2" customFormat="1" ht="12.75" x14ac:dyDescent="0.2">
      <c r="R56469" s="1288"/>
    </row>
    <row r="56470" spans="18:18" s="2" customFormat="1" ht="12.75" x14ac:dyDescent="0.2">
      <c r="R56470" s="1288"/>
    </row>
    <row r="56471" spans="18:18" s="2" customFormat="1" ht="12.75" x14ac:dyDescent="0.2">
      <c r="R56471" s="1288"/>
    </row>
    <row r="56472" spans="18:18" s="2" customFormat="1" ht="12.75" x14ac:dyDescent="0.2">
      <c r="R56472" s="1288"/>
    </row>
    <row r="56473" spans="18:18" s="2" customFormat="1" ht="12.75" x14ac:dyDescent="0.2">
      <c r="R56473" s="1288"/>
    </row>
    <row r="56474" spans="18:18" s="2" customFormat="1" ht="12.75" x14ac:dyDescent="0.2">
      <c r="R56474" s="1288"/>
    </row>
    <row r="56475" spans="18:18" s="2" customFormat="1" ht="12.75" x14ac:dyDescent="0.2">
      <c r="R56475" s="1288"/>
    </row>
    <row r="56476" spans="18:18" s="2" customFormat="1" ht="12.75" x14ac:dyDescent="0.2">
      <c r="R56476" s="1288"/>
    </row>
    <row r="56477" spans="18:18" s="2" customFormat="1" ht="12.75" x14ac:dyDescent="0.2">
      <c r="R56477" s="1288"/>
    </row>
    <row r="56478" spans="18:18" s="2" customFormat="1" ht="12.75" x14ac:dyDescent="0.2">
      <c r="R56478" s="1288"/>
    </row>
    <row r="56479" spans="18:18" s="2" customFormat="1" ht="12.75" x14ac:dyDescent="0.2">
      <c r="R56479" s="1288"/>
    </row>
    <row r="56480" spans="18:18" s="2" customFormat="1" ht="12.75" x14ac:dyDescent="0.2">
      <c r="R56480" s="1288"/>
    </row>
    <row r="56481" spans="18:18" s="2" customFormat="1" ht="12.75" x14ac:dyDescent="0.2">
      <c r="R56481" s="1288"/>
    </row>
    <row r="56482" spans="18:18" s="2" customFormat="1" ht="12.75" x14ac:dyDescent="0.2">
      <c r="R56482" s="1288"/>
    </row>
    <row r="56483" spans="18:18" s="2" customFormat="1" ht="12.75" x14ac:dyDescent="0.2">
      <c r="R56483" s="1288"/>
    </row>
    <row r="56484" spans="18:18" s="2" customFormat="1" ht="12.75" x14ac:dyDescent="0.2">
      <c r="R56484" s="1288"/>
    </row>
    <row r="56485" spans="18:18" s="2" customFormat="1" ht="12.75" x14ac:dyDescent="0.2">
      <c r="R56485" s="1288"/>
    </row>
    <row r="56486" spans="18:18" s="2" customFormat="1" ht="12.75" x14ac:dyDescent="0.2">
      <c r="R56486" s="1288"/>
    </row>
    <row r="56487" spans="18:18" s="2" customFormat="1" ht="12.75" x14ac:dyDescent="0.2">
      <c r="R56487" s="1288"/>
    </row>
    <row r="56488" spans="18:18" s="2" customFormat="1" ht="12.75" x14ac:dyDescent="0.2">
      <c r="R56488" s="1288"/>
    </row>
    <row r="56489" spans="18:18" s="2" customFormat="1" ht="12.75" x14ac:dyDescent="0.2">
      <c r="R56489" s="1288"/>
    </row>
    <row r="56490" spans="18:18" s="2" customFormat="1" ht="12.75" x14ac:dyDescent="0.2">
      <c r="R56490" s="1288"/>
    </row>
    <row r="56491" spans="18:18" s="2" customFormat="1" ht="12.75" x14ac:dyDescent="0.2">
      <c r="R56491" s="1288"/>
    </row>
    <row r="56492" spans="18:18" s="2" customFormat="1" ht="12.75" x14ac:dyDescent="0.2">
      <c r="R56492" s="1288"/>
    </row>
    <row r="56493" spans="18:18" s="2" customFormat="1" ht="12.75" x14ac:dyDescent="0.2">
      <c r="R56493" s="1288"/>
    </row>
    <row r="56494" spans="18:18" s="2" customFormat="1" ht="12.75" x14ac:dyDescent="0.2">
      <c r="R56494" s="1288"/>
    </row>
    <row r="56495" spans="18:18" s="2" customFormat="1" ht="12.75" x14ac:dyDescent="0.2">
      <c r="R56495" s="1288"/>
    </row>
    <row r="56496" spans="18:18" s="2" customFormat="1" ht="12.75" x14ac:dyDescent="0.2">
      <c r="R56496" s="1288"/>
    </row>
    <row r="56497" spans="18:18" s="2" customFormat="1" ht="12.75" x14ac:dyDescent="0.2">
      <c r="R56497" s="1288"/>
    </row>
    <row r="56498" spans="18:18" s="2" customFormat="1" ht="12.75" x14ac:dyDescent="0.2">
      <c r="R56498" s="1288"/>
    </row>
    <row r="56499" spans="18:18" s="2" customFormat="1" ht="12.75" x14ac:dyDescent="0.2">
      <c r="R56499" s="1288"/>
    </row>
    <row r="56500" spans="18:18" s="2" customFormat="1" ht="12.75" x14ac:dyDescent="0.2">
      <c r="R56500" s="1288"/>
    </row>
    <row r="56501" spans="18:18" s="2" customFormat="1" ht="12.75" x14ac:dyDescent="0.2">
      <c r="R56501" s="1288"/>
    </row>
    <row r="56502" spans="18:18" s="2" customFormat="1" ht="12.75" x14ac:dyDescent="0.2">
      <c r="R56502" s="1288"/>
    </row>
    <row r="56503" spans="18:18" s="2" customFormat="1" ht="12.75" x14ac:dyDescent="0.2">
      <c r="R56503" s="1288"/>
    </row>
    <row r="56504" spans="18:18" s="2" customFormat="1" ht="12.75" x14ac:dyDescent="0.2">
      <c r="R56504" s="1288"/>
    </row>
    <row r="56505" spans="18:18" s="2" customFormat="1" ht="12.75" x14ac:dyDescent="0.2">
      <c r="R56505" s="1288"/>
    </row>
    <row r="56506" spans="18:18" s="2" customFormat="1" ht="12.75" x14ac:dyDescent="0.2">
      <c r="R56506" s="1288"/>
    </row>
    <row r="56507" spans="18:18" s="2" customFormat="1" ht="12.75" x14ac:dyDescent="0.2">
      <c r="R56507" s="1288"/>
    </row>
    <row r="56508" spans="18:18" s="2" customFormat="1" ht="12.75" x14ac:dyDescent="0.2">
      <c r="R56508" s="1288"/>
    </row>
    <row r="56509" spans="18:18" s="2" customFormat="1" ht="12.75" x14ac:dyDescent="0.2">
      <c r="R56509" s="1288"/>
    </row>
    <row r="56510" spans="18:18" s="2" customFormat="1" ht="12.75" x14ac:dyDescent="0.2">
      <c r="R56510" s="1288"/>
    </row>
    <row r="56511" spans="18:18" s="2" customFormat="1" ht="12.75" x14ac:dyDescent="0.2">
      <c r="R56511" s="1288"/>
    </row>
    <row r="56512" spans="18:18" s="2" customFormat="1" ht="12.75" x14ac:dyDescent="0.2">
      <c r="R56512" s="1288"/>
    </row>
    <row r="56513" spans="18:18" s="2" customFormat="1" ht="12.75" x14ac:dyDescent="0.2">
      <c r="R56513" s="1288"/>
    </row>
    <row r="56514" spans="18:18" s="2" customFormat="1" ht="12.75" x14ac:dyDescent="0.2">
      <c r="R56514" s="1288"/>
    </row>
    <row r="56515" spans="18:18" s="2" customFormat="1" ht="12.75" x14ac:dyDescent="0.2">
      <c r="R56515" s="1288"/>
    </row>
    <row r="56516" spans="18:18" s="2" customFormat="1" ht="12.75" x14ac:dyDescent="0.2">
      <c r="R56516" s="1288"/>
    </row>
    <row r="56517" spans="18:18" s="2" customFormat="1" ht="12.75" x14ac:dyDescent="0.2">
      <c r="R56517" s="1288"/>
    </row>
    <row r="56518" spans="18:18" s="2" customFormat="1" ht="12.75" x14ac:dyDescent="0.2">
      <c r="R56518" s="1288"/>
    </row>
    <row r="56519" spans="18:18" s="2" customFormat="1" ht="12.75" x14ac:dyDescent="0.2">
      <c r="R56519" s="1288"/>
    </row>
    <row r="56520" spans="18:18" s="2" customFormat="1" ht="12.75" x14ac:dyDescent="0.2">
      <c r="R56520" s="1288"/>
    </row>
    <row r="56521" spans="18:18" s="2" customFormat="1" ht="12.75" x14ac:dyDescent="0.2">
      <c r="R56521" s="1288"/>
    </row>
    <row r="56522" spans="18:18" s="2" customFormat="1" ht="12.75" x14ac:dyDescent="0.2">
      <c r="R56522" s="1288"/>
    </row>
    <row r="56523" spans="18:18" s="2" customFormat="1" ht="12.75" x14ac:dyDescent="0.2">
      <c r="R56523" s="1288"/>
    </row>
    <row r="56524" spans="18:18" s="2" customFormat="1" ht="12.75" x14ac:dyDescent="0.2">
      <c r="R56524" s="1288"/>
    </row>
    <row r="56525" spans="18:18" s="2" customFormat="1" ht="12.75" x14ac:dyDescent="0.2">
      <c r="R56525" s="1288"/>
    </row>
    <row r="56526" spans="18:18" s="2" customFormat="1" ht="12.75" x14ac:dyDescent="0.2">
      <c r="R56526" s="1288"/>
    </row>
    <row r="56527" spans="18:18" s="2" customFormat="1" ht="12.75" x14ac:dyDescent="0.2">
      <c r="R56527" s="1288"/>
    </row>
    <row r="56528" spans="18:18" s="2" customFormat="1" ht="12.75" x14ac:dyDescent="0.2">
      <c r="R56528" s="1288"/>
    </row>
    <row r="56529" spans="18:18" s="2" customFormat="1" ht="12.75" x14ac:dyDescent="0.2">
      <c r="R56529" s="1288"/>
    </row>
    <row r="56530" spans="18:18" s="2" customFormat="1" ht="12.75" x14ac:dyDescent="0.2">
      <c r="R56530" s="1288"/>
    </row>
    <row r="56531" spans="18:18" s="2" customFormat="1" ht="12.75" x14ac:dyDescent="0.2">
      <c r="R56531" s="1288"/>
    </row>
    <row r="56532" spans="18:18" s="2" customFormat="1" ht="12.75" x14ac:dyDescent="0.2">
      <c r="R56532" s="1288"/>
    </row>
    <row r="56533" spans="18:18" s="2" customFormat="1" ht="12.75" x14ac:dyDescent="0.2">
      <c r="R56533" s="1288"/>
    </row>
    <row r="56534" spans="18:18" s="2" customFormat="1" ht="12.75" x14ac:dyDescent="0.2">
      <c r="R56534" s="1288"/>
    </row>
    <row r="56535" spans="18:18" s="2" customFormat="1" ht="12.75" x14ac:dyDescent="0.2">
      <c r="R56535" s="1288"/>
    </row>
    <row r="56536" spans="18:18" s="2" customFormat="1" ht="12.75" x14ac:dyDescent="0.2">
      <c r="R56536" s="1288"/>
    </row>
    <row r="56537" spans="18:18" s="2" customFormat="1" ht="12.75" x14ac:dyDescent="0.2">
      <c r="R56537" s="1288"/>
    </row>
    <row r="56538" spans="18:18" s="2" customFormat="1" ht="12.75" x14ac:dyDescent="0.2">
      <c r="R56538" s="1288"/>
    </row>
    <row r="56539" spans="18:18" s="2" customFormat="1" ht="12.75" x14ac:dyDescent="0.2">
      <c r="R56539" s="1288"/>
    </row>
    <row r="56540" spans="18:18" s="2" customFormat="1" ht="12.75" x14ac:dyDescent="0.2">
      <c r="R56540" s="1288"/>
    </row>
    <row r="56541" spans="18:18" s="2" customFormat="1" ht="12.75" x14ac:dyDescent="0.2">
      <c r="R56541" s="1288"/>
    </row>
    <row r="56542" spans="18:18" s="2" customFormat="1" ht="12.75" x14ac:dyDescent="0.2">
      <c r="R56542" s="1288"/>
    </row>
    <row r="56543" spans="18:18" s="2" customFormat="1" ht="12.75" x14ac:dyDescent="0.2">
      <c r="R56543" s="1288"/>
    </row>
    <row r="56544" spans="18:18" s="2" customFormat="1" ht="12.75" x14ac:dyDescent="0.2">
      <c r="R56544" s="1288"/>
    </row>
    <row r="56545" spans="18:18" s="2" customFormat="1" ht="12.75" x14ac:dyDescent="0.2">
      <c r="R56545" s="1288"/>
    </row>
    <row r="56546" spans="18:18" s="2" customFormat="1" ht="12.75" x14ac:dyDescent="0.2">
      <c r="R56546" s="1288"/>
    </row>
    <row r="56547" spans="18:18" s="2" customFormat="1" ht="12.75" x14ac:dyDescent="0.2">
      <c r="R56547" s="1288"/>
    </row>
    <row r="56548" spans="18:18" s="2" customFormat="1" ht="12.75" x14ac:dyDescent="0.2">
      <c r="R56548" s="1288"/>
    </row>
    <row r="56549" spans="18:18" s="2" customFormat="1" ht="12.75" x14ac:dyDescent="0.2">
      <c r="R56549" s="1288"/>
    </row>
    <row r="56550" spans="18:18" s="2" customFormat="1" ht="12.75" x14ac:dyDescent="0.2">
      <c r="R56550" s="1288"/>
    </row>
    <row r="56551" spans="18:18" s="2" customFormat="1" ht="12.75" x14ac:dyDescent="0.2">
      <c r="R56551" s="1288"/>
    </row>
    <row r="56552" spans="18:18" s="2" customFormat="1" ht="12.75" x14ac:dyDescent="0.2">
      <c r="R56552" s="1288"/>
    </row>
    <row r="56553" spans="18:18" s="2" customFormat="1" ht="12.75" x14ac:dyDescent="0.2">
      <c r="R56553" s="1288"/>
    </row>
    <row r="56554" spans="18:18" s="2" customFormat="1" ht="12.75" x14ac:dyDescent="0.2">
      <c r="R56554" s="1288"/>
    </row>
    <row r="56555" spans="18:18" s="2" customFormat="1" ht="12.75" x14ac:dyDescent="0.2">
      <c r="R56555" s="1288"/>
    </row>
    <row r="56556" spans="18:18" s="2" customFormat="1" ht="12.75" x14ac:dyDescent="0.2">
      <c r="R56556" s="1288"/>
    </row>
    <row r="56557" spans="18:18" s="2" customFormat="1" ht="12.75" x14ac:dyDescent="0.2">
      <c r="R56557" s="1288"/>
    </row>
    <row r="56558" spans="18:18" s="2" customFormat="1" ht="12.75" x14ac:dyDescent="0.2">
      <c r="R56558" s="1288"/>
    </row>
    <row r="56559" spans="18:18" s="2" customFormat="1" ht="12.75" x14ac:dyDescent="0.2">
      <c r="R56559" s="1288"/>
    </row>
    <row r="56560" spans="18:18" s="2" customFormat="1" ht="12.75" x14ac:dyDescent="0.2">
      <c r="R56560" s="1288"/>
    </row>
    <row r="56561" spans="18:18" s="2" customFormat="1" ht="12.75" x14ac:dyDescent="0.2">
      <c r="R56561" s="1288"/>
    </row>
    <row r="56562" spans="18:18" s="2" customFormat="1" ht="12.75" x14ac:dyDescent="0.2">
      <c r="R56562" s="1288"/>
    </row>
    <row r="56563" spans="18:18" s="2" customFormat="1" ht="12.75" x14ac:dyDescent="0.2">
      <c r="R56563" s="1288"/>
    </row>
    <row r="56564" spans="18:18" s="2" customFormat="1" ht="12.75" x14ac:dyDescent="0.2">
      <c r="R56564" s="1288"/>
    </row>
    <row r="56565" spans="18:18" s="2" customFormat="1" ht="12.75" x14ac:dyDescent="0.2">
      <c r="R56565" s="1288"/>
    </row>
    <row r="56566" spans="18:18" s="2" customFormat="1" ht="12.75" x14ac:dyDescent="0.2">
      <c r="R56566" s="1288"/>
    </row>
    <row r="56567" spans="18:18" s="2" customFormat="1" ht="12.75" x14ac:dyDescent="0.2">
      <c r="R56567" s="1288"/>
    </row>
    <row r="56568" spans="18:18" s="2" customFormat="1" ht="12.75" x14ac:dyDescent="0.2">
      <c r="R56568" s="1288"/>
    </row>
    <row r="56569" spans="18:18" s="2" customFormat="1" ht="12.75" x14ac:dyDescent="0.2">
      <c r="R56569" s="1288"/>
    </row>
    <row r="56570" spans="18:18" s="2" customFormat="1" ht="12.75" x14ac:dyDescent="0.2">
      <c r="R56570" s="1288"/>
    </row>
    <row r="56571" spans="18:18" s="2" customFormat="1" ht="12.75" x14ac:dyDescent="0.2">
      <c r="R56571" s="1288"/>
    </row>
    <row r="56572" spans="18:18" s="2" customFormat="1" ht="12.75" x14ac:dyDescent="0.2">
      <c r="R56572" s="1288"/>
    </row>
    <row r="56573" spans="18:18" s="2" customFormat="1" ht="12.75" x14ac:dyDescent="0.2">
      <c r="R56573" s="1288"/>
    </row>
    <row r="56574" spans="18:18" s="2" customFormat="1" ht="12.75" x14ac:dyDescent="0.2">
      <c r="R56574" s="1288"/>
    </row>
    <row r="56575" spans="18:18" s="2" customFormat="1" ht="12.75" x14ac:dyDescent="0.2">
      <c r="R56575" s="1288"/>
    </row>
    <row r="56576" spans="18:18" s="2" customFormat="1" ht="12.75" x14ac:dyDescent="0.2">
      <c r="R56576" s="1288"/>
    </row>
    <row r="56577" spans="18:18" s="2" customFormat="1" ht="12.75" x14ac:dyDescent="0.2">
      <c r="R56577" s="1288"/>
    </row>
    <row r="56578" spans="18:18" s="2" customFormat="1" ht="12.75" x14ac:dyDescent="0.2">
      <c r="R56578" s="1288"/>
    </row>
    <row r="56579" spans="18:18" s="2" customFormat="1" ht="12.75" x14ac:dyDescent="0.2">
      <c r="R56579" s="1288"/>
    </row>
    <row r="56580" spans="18:18" s="2" customFormat="1" ht="12.75" x14ac:dyDescent="0.2">
      <c r="R56580" s="1288"/>
    </row>
    <row r="56581" spans="18:18" s="2" customFormat="1" ht="12.75" x14ac:dyDescent="0.2">
      <c r="R56581" s="1288"/>
    </row>
    <row r="56582" spans="18:18" s="2" customFormat="1" ht="12.75" x14ac:dyDescent="0.2">
      <c r="R56582" s="1288"/>
    </row>
    <row r="56583" spans="18:18" s="2" customFormat="1" ht="12.75" x14ac:dyDescent="0.2">
      <c r="R56583" s="1288"/>
    </row>
    <row r="56584" spans="18:18" s="2" customFormat="1" ht="12.75" x14ac:dyDescent="0.2">
      <c r="R56584" s="1288"/>
    </row>
    <row r="56585" spans="18:18" s="2" customFormat="1" ht="12.75" x14ac:dyDescent="0.2">
      <c r="R56585" s="1288"/>
    </row>
    <row r="56586" spans="18:18" s="2" customFormat="1" ht="12.75" x14ac:dyDescent="0.2">
      <c r="R56586" s="1288"/>
    </row>
    <row r="56587" spans="18:18" s="2" customFormat="1" ht="12.75" x14ac:dyDescent="0.2">
      <c r="R56587" s="1288"/>
    </row>
    <row r="56588" spans="18:18" s="2" customFormat="1" ht="12.75" x14ac:dyDescent="0.2">
      <c r="R56588" s="1288"/>
    </row>
    <row r="56589" spans="18:18" s="2" customFormat="1" ht="12.75" x14ac:dyDescent="0.2">
      <c r="R56589" s="1288"/>
    </row>
    <row r="56590" spans="18:18" s="2" customFormat="1" ht="12.75" x14ac:dyDescent="0.2">
      <c r="R56590" s="1288"/>
    </row>
    <row r="56591" spans="18:18" s="2" customFormat="1" ht="12.75" x14ac:dyDescent="0.2">
      <c r="R56591" s="1288"/>
    </row>
    <row r="56592" spans="18:18" s="2" customFormat="1" ht="12.75" x14ac:dyDescent="0.2">
      <c r="R56592" s="1288"/>
    </row>
    <row r="56593" spans="18:18" s="2" customFormat="1" ht="12.75" x14ac:dyDescent="0.2">
      <c r="R56593" s="1288"/>
    </row>
    <row r="56594" spans="18:18" s="2" customFormat="1" ht="12.75" x14ac:dyDescent="0.2">
      <c r="R56594" s="1288"/>
    </row>
    <row r="56595" spans="18:18" s="2" customFormat="1" ht="12.75" x14ac:dyDescent="0.2">
      <c r="R56595" s="1288"/>
    </row>
    <row r="56596" spans="18:18" s="2" customFormat="1" ht="12.75" x14ac:dyDescent="0.2">
      <c r="R56596" s="1288"/>
    </row>
    <row r="56597" spans="18:18" s="2" customFormat="1" ht="12.75" x14ac:dyDescent="0.2">
      <c r="R56597" s="1288"/>
    </row>
    <row r="56598" spans="18:18" s="2" customFormat="1" ht="12.75" x14ac:dyDescent="0.2">
      <c r="R56598" s="1288"/>
    </row>
    <row r="56599" spans="18:18" s="2" customFormat="1" ht="12.75" x14ac:dyDescent="0.2">
      <c r="R56599" s="1288"/>
    </row>
    <row r="56600" spans="18:18" s="2" customFormat="1" ht="12.75" x14ac:dyDescent="0.2">
      <c r="R56600" s="1288"/>
    </row>
    <row r="56601" spans="18:18" s="2" customFormat="1" ht="12.75" x14ac:dyDescent="0.2">
      <c r="R56601" s="1288"/>
    </row>
    <row r="56602" spans="18:18" s="2" customFormat="1" ht="12.75" x14ac:dyDescent="0.2">
      <c r="R56602" s="1288"/>
    </row>
    <row r="56603" spans="18:18" s="2" customFormat="1" ht="12.75" x14ac:dyDescent="0.2">
      <c r="R56603" s="1288"/>
    </row>
    <row r="56604" spans="18:18" s="2" customFormat="1" ht="12.75" x14ac:dyDescent="0.2">
      <c r="R56604" s="1288"/>
    </row>
    <row r="56605" spans="18:18" s="2" customFormat="1" ht="12.75" x14ac:dyDescent="0.2">
      <c r="R56605" s="1288"/>
    </row>
    <row r="56606" spans="18:18" s="2" customFormat="1" ht="12.75" x14ac:dyDescent="0.2">
      <c r="R56606" s="1288"/>
    </row>
    <row r="56607" spans="18:18" s="2" customFormat="1" ht="12.75" x14ac:dyDescent="0.2">
      <c r="R56607" s="1288"/>
    </row>
    <row r="56608" spans="18:18" s="2" customFormat="1" ht="12.75" x14ac:dyDescent="0.2">
      <c r="R56608" s="1288"/>
    </row>
    <row r="56609" spans="18:18" s="2" customFormat="1" ht="12.75" x14ac:dyDescent="0.2">
      <c r="R56609" s="1288"/>
    </row>
    <row r="56610" spans="18:18" s="2" customFormat="1" ht="12.75" x14ac:dyDescent="0.2">
      <c r="R56610" s="1288"/>
    </row>
    <row r="56611" spans="18:18" s="2" customFormat="1" ht="12.75" x14ac:dyDescent="0.2">
      <c r="R56611" s="1288"/>
    </row>
    <row r="56612" spans="18:18" s="2" customFormat="1" ht="12.75" x14ac:dyDescent="0.2">
      <c r="R56612" s="1288"/>
    </row>
    <row r="56613" spans="18:18" s="2" customFormat="1" ht="12.75" x14ac:dyDescent="0.2">
      <c r="R56613" s="1288"/>
    </row>
    <row r="56614" spans="18:18" s="2" customFormat="1" ht="12.75" x14ac:dyDescent="0.2">
      <c r="R56614" s="1288"/>
    </row>
    <row r="56615" spans="18:18" s="2" customFormat="1" ht="12.75" x14ac:dyDescent="0.2">
      <c r="R56615" s="1288"/>
    </row>
    <row r="56616" spans="18:18" s="2" customFormat="1" ht="12.75" x14ac:dyDescent="0.2">
      <c r="R56616" s="1288"/>
    </row>
    <row r="56617" spans="18:18" s="2" customFormat="1" ht="12.75" x14ac:dyDescent="0.2">
      <c r="R56617" s="1288"/>
    </row>
    <row r="56618" spans="18:18" s="2" customFormat="1" ht="12.75" x14ac:dyDescent="0.2">
      <c r="R56618" s="1288"/>
    </row>
    <row r="56619" spans="18:18" s="2" customFormat="1" ht="12.75" x14ac:dyDescent="0.2">
      <c r="R56619" s="1288"/>
    </row>
    <row r="56620" spans="18:18" s="2" customFormat="1" ht="12.75" x14ac:dyDescent="0.2">
      <c r="R56620" s="1288"/>
    </row>
    <row r="56621" spans="18:18" s="2" customFormat="1" ht="12.75" x14ac:dyDescent="0.2">
      <c r="R56621" s="1288"/>
    </row>
    <row r="56622" spans="18:18" s="2" customFormat="1" ht="12.75" x14ac:dyDescent="0.2">
      <c r="R56622" s="1288"/>
    </row>
    <row r="56623" spans="18:18" s="2" customFormat="1" ht="12.75" x14ac:dyDescent="0.2">
      <c r="R56623" s="1288"/>
    </row>
    <row r="56624" spans="18:18" s="2" customFormat="1" ht="12.75" x14ac:dyDescent="0.2">
      <c r="R56624" s="1288"/>
    </row>
    <row r="56625" spans="18:18" s="2" customFormat="1" ht="12.75" x14ac:dyDescent="0.2">
      <c r="R56625" s="1288"/>
    </row>
    <row r="56626" spans="18:18" s="2" customFormat="1" ht="12.75" x14ac:dyDescent="0.2">
      <c r="R56626" s="1288"/>
    </row>
    <row r="56627" spans="18:18" s="2" customFormat="1" ht="12.75" x14ac:dyDescent="0.2">
      <c r="R56627" s="1288"/>
    </row>
    <row r="56628" spans="18:18" s="2" customFormat="1" ht="12.75" x14ac:dyDescent="0.2">
      <c r="R56628" s="1288"/>
    </row>
    <row r="56629" spans="18:18" s="2" customFormat="1" ht="12.75" x14ac:dyDescent="0.2">
      <c r="R56629" s="1288"/>
    </row>
    <row r="56630" spans="18:18" s="2" customFormat="1" ht="12.75" x14ac:dyDescent="0.2">
      <c r="R56630" s="1288"/>
    </row>
    <row r="56631" spans="18:18" s="2" customFormat="1" ht="12.75" x14ac:dyDescent="0.2">
      <c r="R56631" s="1288"/>
    </row>
    <row r="56632" spans="18:18" s="2" customFormat="1" ht="12.75" x14ac:dyDescent="0.2">
      <c r="R56632" s="1288"/>
    </row>
    <row r="56633" spans="18:18" s="2" customFormat="1" ht="12.75" x14ac:dyDescent="0.2">
      <c r="R56633" s="1288"/>
    </row>
    <row r="56634" spans="18:18" s="2" customFormat="1" ht="12.75" x14ac:dyDescent="0.2">
      <c r="R56634" s="1288"/>
    </row>
    <row r="56635" spans="18:18" s="2" customFormat="1" ht="12.75" x14ac:dyDescent="0.2">
      <c r="R56635" s="1288"/>
    </row>
    <row r="56636" spans="18:18" s="2" customFormat="1" ht="12.75" x14ac:dyDescent="0.2">
      <c r="R56636" s="1288"/>
    </row>
    <row r="56637" spans="18:18" s="2" customFormat="1" ht="12.75" x14ac:dyDescent="0.2">
      <c r="R56637" s="1288"/>
    </row>
    <row r="56638" spans="18:18" s="2" customFormat="1" ht="12.75" x14ac:dyDescent="0.2">
      <c r="R56638" s="1288"/>
    </row>
    <row r="56639" spans="18:18" s="2" customFormat="1" ht="12.75" x14ac:dyDescent="0.2">
      <c r="R56639" s="1288"/>
    </row>
    <row r="56640" spans="18:18" s="2" customFormat="1" ht="12.75" x14ac:dyDescent="0.2">
      <c r="R56640" s="1288"/>
    </row>
    <row r="56641" spans="18:18" s="2" customFormat="1" ht="12.75" x14ac:dyDescent="0.2">
      <c r="R56641" s="1288"/>
    </row>
    <row r="56642" spans="18:18" s="2" customFormat="1" ht="12.75" x14ac:dyDescent="0.2">
      <c r="R56642" s="1288"/>
    </row>
    <row r="56643" spans="18:18" s="2" customFormat="1" ht="12.75" x14ac:dyDescent="0.2">
      <c r="R56643" s="1288"/>
    </row>
    <row r="56644" spans="18:18" s="2" customFormat="1" ht="12.75" x14ac:dyDescent="0.2">
      <c r="R56644" s="1288"/>
    </row>
    <row r="56645" spans="18:18" s="2" customFormat="1" ht="12.75" x14ac:dyDescent="0.2">
      <c r="R56645" s="1288"/>
    </row>
    <row r="56646" spans="18:18" s="2" customFormat="1" ht="12.75" x14ac:dyDescent="0.2">
      <c r="R56646" s="1288"/>
    </row>
    <row r="56647" spans="18:18" s="2" customFormat="1" ht="12.75" x14ac:dyDescent="0.2">
      <c r="R56647" s="1288"/>
    </row>
    <row r="56648" spans="18:18" s="2" customFormat="1" ht="12.75" x14ac:dyDescent="0.2">
      <c r="R56648" s="1288"/>
    </row>
    <row r="56649" spans="18:18" s="2" customFormat="1" ht="12.75" x14ac:dyDescent="0.2">
      <c r="R56649" s="1288"/>
    </row>
    <row r="56650" spans="18:18" s="2" customFormat="1" ht="12.75" x14ac:dyDescent="0.2">
      <c r="R56650" s="1288"/>
    </row>
    <row r="56651" spans="18:18" s="2" customFormat="1" ht="12.75" x14ac:dyDescent="0.2">
      <c r="R56651" s="1288"/>
    </row>
    <row r="56652" spans="18:18" s="2" customFormat="1" ht="12.75" x14ac:dyDescent="0.2">
      <c r="R56652" s="1288"/>
    </row>
    <row r="56653" spans="18:18" s="2" customFormat="1" ht="12.75" x14ac:dyDescent="0.2">
      <c r="R56653" s="1288"/>
    </row>
    <row r="56654" spans="18:18" s="2" customFormat="1" ht="12.75" x14ac:dyDescent="0.2">
      <c r="R56654" s="1288"/>
    </row>
    <row r="56655" spans="18:18" s="2" customFormat="1" ht="12.75" x14ac:dyDescent="0.2">
      <c r="R56655" s="1288"/>
    </row>
    <row r="56656" spans="18:18" s="2" customFormat="1" ht="12.75" x14ac:dyDescent="0.2">
      <c r="R56656" s="1288"/>
    </row>
    <row r="56657" spans="18:18" s="2" customFormat="1" ht="12.75" x14ac:dyDescent="0.2">
      <c r="R56657" s="1288"/>
    </row>
    <row r="56658" spans="18:18" s="2" customFormat="1" ht="12.75" x14ac:dyDescent="0.2">
      <c r="R56658" s="1288"/>
    </row>
    <row r="56659" spans="18:18" s="2" customFormat="1" ht="12.75" x14ac:dyDescent="0.2">
      <c r="R56659" s="1288"/>
    </row>
    <row r="56660" spans="18:18" s="2" customFormat="1" ht="12.75" x14ac:dyDescent="0.2">
      <c r="R56660" s="1288"/>
    </row>
    <row r="56661" spans="18:18" s="2" customFormat="1" ht="12.75" x14ac:dyDescent="0.2">
      <c r="R56661" s="1288"/>
    </row>
    <row r="56662" spans="18:18" s="2" customFormat="1" ht="12.75" x14ac:dyDescent="0.2">
      <c r="R56662" s="1288"/>
    </row>
    <row r="56663" spans="18:18" s="2" customFormat="1" ht="12.75" x14ac:dyDescent="0.2">
      <c r="R56663" s="1288"/>
    </row>
    <row r="56664" spans="18:18" s="2" customFormat="1" ht="12.75" x14ac:dyDescent="0.2">
      <c r="R56664" s="1288"/>
    </row>
    <row r="56665" spans="18:18" s="2" customFormat="1" ht="12.75" x14ac:dyDescent="0.2">
      <c r="R56665" s="1288"/>
    </row>
    <row r="56666" spans="18:18" s="2" customFormat="1" ht="12.75" x14ac:dyDescent="0.2">
      <c r="R56666" s="1288"/>
    </row>
    <row r="56667" spans="18:18" s="2" customFormat="1" ht="12.75" x14ac:dyDescent="0.2">
      <c r="R56667" s="1288"/>
    </row>
    <row r="56668" spans="18:18" s="2" customFormat="1" ht="12.75" x14ac:dyDescent="0.2">
      <c r="R56668" s="1288"/>
    </row>
    <row r="56669" spans="18:18" s="2" customFormat="1" ht="12.75" x14ac:dyDescent="0.2">
      <c r="R56669" s="1288"/>
    </row>
    <row r="56670" spans="18:18" s="2" customFormat="1" ht="12.75" x14ac:dyDescent="0.2">
      <c r="R56670" s="1288"/>
    </row>
    <row r="56671" spans="18:18" s="2" customFormat="1" ht="12.75" x14ac:dyDescent="0.2">
      <c r="R56671" s="1288"/>
    </row>
    <row r="56672" spans="18:18" s="2" customFormat="1" ht="12.75" x14ac:dyDescent="0.2">
      <c r="R56672" s="1288"/>
    </row>
    <row r="56673" spans="18:18" s="2" customFormat="1" ht="12.75" x14ac:dyDescent="0.2">
      <c r="R56673" s="1288"/>
    </row>
    <row r="56674" spans="18:18" s="2" customFormat="1" ht="12.75" x14ac:dyDescent="0.2">
      <c r="R56674" s="1288"/>
    </row>
    <row r="56675" spans="18:18" s="2" customFormat="1" ht="12.75" x14ac:dyDescent="0.2">
      <c r="R56675" s="1288"/>
    </row>
    <row r="56676" spans="18:18" s="2" customFormat="1" ht="12.75" x14ac:dyDescent="0.2">
      <c r="R56676" s="1288"/>
    </row>
    <row r="56677" spans="18:18" s="2" customFormat="1" ht="12.75" x14ac:dyDescent="0.2">
      <c r="R56677" s="1288"/>
    </row>
    <row r="56678" spans="18:18" s="2" customFormat="1" ht="12.75" x14ac:dyDescent="0.2">
      <c r="R56678" s="1288"/>
    </row>
    <row r="56679" spans="18:18" s="2" customFormat="1" ht="12.75" x14ac:dyDescent="0.2">
      <c r="R56679" s="1288"/>
    </row>
    <row r="56680" spans="18:18" s="2" customFormat="1" ht="12.75" x14ac:dyDescent="0.2">
      <c r="R56680" s="1288"/>
    </row>
    <row r="56681" spans="18:18" s="2" customFormat="1" ht="12.75" x14ac:dyDescent="0.2">
      <c r="R56681" s="1288"/>
    </row>
    <row r="56682" spans="18:18" s="2" customFormat="1" ht="12.75" x14ac:dyDescent="0.2">
      <c r="R56682" s="1288"/>
    </row>
    <row r="56683" spans="18:18" s="2" customFormat="1" ht="12.75" x14ac:dyDescent="0.2">
      <c r="R56683" s="1288"/>
    </row>
    <row r="56684" spans="18:18" s="2" customFormat="1" ht="12.75" x14ac:dyDescent="0.2">
      <c r="R56684" s="1288"/>
    </row>
    <row r="56685" spans="18:18" s="2" customFormat="1" ht="12.75" x14ac:dyDescent="0.2">
      <c r="R56685" s="1288"/>
    </row>
    <row r="56686" spans="18:18" s="2" customFormat="1" ht="12.75" x14ac:dyDescent="0.2">
      <c r="R56686" s="1288"/>
    </row>
    <row r="56687" spans="18:18" s="2" customFormat="1" ht="12.75" x14ac:dyDescent="0.2">
      <c r="R56687" s="1288"/>
    </row>
    <row r="56688" spans="18:18" s="2" customFormat="1" ht="12.75" x14ac:dyDescent="0.2">
      <c r="R56688" s="1288"/>
    </row>
    <row r="56689" spans="18:18" s="2" customFormat="1" ht="12.75" x14ac:dyDescent="0.2">
      <c r="R56689" s="1288"/>
    </row>
    <row r="56690" spans="18:18" s="2" customFormat="1" ht="12.75" x14ac:dyDescent="0.2">
      <c r="R56690" s="1288"/>
    </row>
    <row r="56691" spans="18:18" s="2" customFormat="1" ht="12.75" x14ac:dyDescent="0.2">
      <c r="R56691" s="1288"/>
    </row>
    <row r="56692" spans="18:18" s="2" customFormat="1" ht="12.75" x14ac:dyDescent="0.2">
      <c r="R56692" s="1288"/>
    </row>
    <row r="56693" spans="18:18" s="2" customFormat="1" ht="12.75" x14ac:dyDescent="0.2">
      <c r="R56693" s="1288"/>
    </row>
    <row r="56694" spans="18:18" s="2" customFormat="1" ht="12.75" x14ac:dyDescent="0.2">
      <c r="R56694" s="1288"/>
    </row>
    <row r="56695" spans="18:18" s="2" customFormat="1" ht="12.75" x14ac:dyDescent="0.2">
      <c r="R56695" s="1288"/>
    </row>
    <row r="56696" spans="18:18" s="2" customFormat="1" ht="12.75" x14ac:dyDescent="0.2">
      <c r="R56696" s="1288"/>
    </row>
    <row r="56697" spans="18:18" s="2" customFormat="1" ht="12.75" x14ac:dyDescent="0.2">
      <c r="R56697" s="1288"/>
    </row>
    <row r="56698" spans="18:18" s="2" customFormat="1" ht="12.75" x14ac:dyDescent="0.2">
      <c r="R56698" s="1288"/>
    </row>
    <row r="56699" spans="18:18" s="2" customFormat="1" ht="12.75" x14ac:dyDescent="0.2">
      <c r="R56699" s="1288"/>
    </row>
    <row r="56700" spans="18:18" s="2" customFormat="1" ht="12.75" x14ac:dyDescent="0.2">
      <c r="R56700" s="1288"/>
    </row>
    <row r="56701" spans="18:18" s="2" customFormat="1" ht="12.75" x14ac:dyDescent="0.2">
      <c r="R56701" s="1288"/>
    </row>
    <row r="56702" spans="18:18" s="2" customFormat="1" ht="12.75" x14ac:dyDescent="0.2">
      <c r="R56702" s="1288"/>
    </row>
    <row r="56703" spans="18:18" s="2" customFormat="1" ht="12.75" x14ac:dyDescent="0.2">
      <c r="R56703" s="1288"/>
    </row>
    <row r="56704" spans="18:18" s="2" customFormat="1" ht="12.75" x14ac:dyDescent="0.2">
      <c r="R56704" s="1288"/>
    </row>
    <row r="56705" spans="18:18" s="2" customFormat="1" ht="12.75" x14ac:dyDescent="0.2">
      <c r="R56705" s="1288"/>
    </row>
    <row r="56706" spans="18:18" s="2" customFormat="1" ht="12.75" x14ac:dyDescent="0.2">
      <c r="R56706" s="1288"/>
    </row>
    <row r="56707" spans="18:18" s="2" customFormat="1" ht="12.75" x14ac:dyDescent="0.2">
      <c r="R56707" s="1288"/>
    </row>
    <row r="56708" spans="18:18" s="2" customFormat="1" ht="12.75" x14ac:dyDescent="0.2">
      <c r="R56708" s="1288"/>
    </row>
    <row r="56709" spans="18:18" s="2" customFormat="1" ht="12.75" x14ac:dyDescent="0.2">
      <c r="R56709" s="1288"/>
    </row>
    <row r="56710" spans="18:18" s="2" customFormat="1" ht="12.75" x14ac:dyDescent="0.2">
      <c r="R56710" s="1288"/>
    </row>
    <row r="56711" spans="18:18" s="2" customFormat="1" ht="12.75" x14ac:dyDescent="0.2">
      <c r="R56711" s="1288"/>
    </row>
    <row r="56712" spans="18:18" s="2" customFormat="1" ht="12.75" x14ac:dyDescent="0.2">
      <c r="R56712" s="1288"/>
    </row>
    <row r="56713" spans="18:18" s="2" customFormat="1" ht="12.75" x14ac:dyDescent="0.2">
      <c r="R56713" s="1288"/>
    </row>
    <row r="56714" spans="18:18" s="2" customFormat="1" ht="12.75" x14ac:dyDescent="0.2">
      <c r="R56714" s="1288"/>
    </row>
    <row r="56715" spans="18:18" s="2" customFormat="1" ht="12.75" x14ac:dyDescent="0.2">
      <c r="R56715" s="1288"/>
    </row>
    <row r="56716" spans="18:18" s="2" customFormat="1" ht="12.75" x14ac:dyDescent="0.2">
      <c r="R56716" s="1288"/>
    </row>
    <row r="56717" spans="18:18" s="2" customFormat="1" ht="12.75" x14ac:dyDescent="0.2">
      <c r="R56717" s="1288"/>
    </row>
    <row r="56718" spans="18:18" s="2" customFormat="1" ht="12.75" x14ac:dyDescent="0.2">
      <c r="R56718" s="1288"/>
    </row>
    <row r="56719" spans="18:18" s="2" customFormat="1" ht="12.75" x14ac:dyDescent="0.2">
      <c r="R56719" s="1288"/>
    </row>
    <row r="56720" spans="18:18" s="2" customFormat="1" ht="12.75" x14ac:dyDescent="0.2">
      <c r="R56720" s="1288"/>
    </row>
    <row r="56721" spans="18:18" s="2" customFormat="1" ht="12.75" x14ac:dyDescent="0.2">
      <c r="R56721" s="1288"/>
    </row>
    <row r="56722" spans="18:18" s="2" customFormat="1" ht="12.75" x14ac:dyDescent="0.2">
      <c r="R56722" s="1288"/>
    </row>
    <row r="56723" spans="18:18" s="2" customFormat="1" ht="12.75" x14ac:dyDescent="0.2">
      <c r="R56723" s="1288"/>
    </row>
    <row r="56724" spans="18:18" s="2" customFormat="1" ht="12.75" x14ac:dyDescent="0.2">
      <c r="R56724" s="1288"/>
    </row>
    <row r="56725" spans="18:18" s="2" customFormat="1" ht="12.75" x14ac:dyDescent="0.2">
      <c r="R56725" s="1288"/>
    </row>
    <row r="56726" spans="18:18" s="2" customFormat="1" ht="12.75" x14ac:dyDescent="0.2">
      <c r="R56726" s="1288"/>
    </row>
    <row r="56727" spans="18:18" s="2" customFormat="1" ht="12.75" x14ac:dyDescent="0.2">
      <c r="R56727" s="1288"/>
    </row>
    <row r="56728" spans="18:18" s="2" customFormat="1" ht="12.75" x14ac:dyDescent="0.2">
      <c r="R56728" s="1288"/>
    </row>
    <row r="56729" spans="18:18" s="2" customFormat="1" ht="12.75" x14ac:dyDescent="0.2">
      <c r="R56729" s="1288"/>
    </row>
    <row r="56730" spans="18:18" s="2" customFormat="1" ht="12.75" x14ac:dyDescent="0.2">
      <c r="R56730" s="1288"/>
    </row>
    <row r="56731" spans="18:18" s="2" customFormat="1" ht="12.75" x14ac:dyDescent="0.2">
      <c r="R56731" s="1288"/>
    </row>
    <row r="56732" spans="18:18" s="2" customFormat="1" ht="12.75" x14ac:dyDescent="0.2">
      <c r="R56732" s="1288"/>
    </row>
    <row r="56733" spans="18:18" s="2" customFormat="1" ht="12.75" x14ac:dyDescent="0.2">
      <c r="R56733" s="1288"/>
    </row>
    <row r="56734" spans="18:18" s="2" customFormat="1" ht="12.75" x14ac:dyDescent="0.2">
      <c r="R56734" s="1288"/>
    </row>
    <row r="56735" spans="18:18" s="2" customFormat="1" ht="12.75" x14ac:dyDescent="0.2">
      <c r="R56735" s="1288"/>
    </row>
    <row r="56736" spans="18:18" s="2" customFormat="1" ht="12.75" x14ac:dyDescent="0.2">
      <c r="R56736" s="1288"/>
    </row>
    <row r="56737" spans="18:18" s="2" customFormat="1" ht="12.75" x14ac:dyDescent="0.2">
      <c r="R56737" s="1288"/>
    </row>
    <row r="56738" spans="18:18" s="2" customFormat="1" ht="12.75" x14ac:dyDescent="0.2">
      <c r="R56738" s="1288"/>
    </row>
    <row r="56739" spans="18:18" s="2" customFormat="1" ht="12.75" x14ac:dyDescent="0.2">
      <c r="R56739" s="1288"/>
    </row>
    <row r="56740" spans="18:18" s="2" customFormat="1" ht="12.75" x14ac:dyDescent="0.2">
      <c r="R56740" s="1288"/>
    </row>
    <row r="56741" spans="18:18" s="2" customFormat="1" ht="12.75" x14ac:dyDescent="0.2">
      <c r="R56741" s="1288"/>
    </row>
    <row r="56742" spans="18:18" s="2" customFormat="1" ht="12.75" x14ac:dyDescent="0.2">
      <c r="R56742" s="1288"/>
    </row>
    <row r="56743" spans="18:18" s="2" customFormat="1" ht="12.75" x14ac:dyDescent="0.2">
      <c r="R56743" s="1288"/>
    </row>
    <row r="56744" spans="18:18" s="2" customFormat="1" ht="12.75" x14ac:dyDescent="0.2">
      <c r="R56744" s="1288"/>
    </row>
    <row r="56745" spans="18:18" s="2" customFormat="1" ht="12.75" x14ac:dyDescent="0.2">
      <c r="R56745" s="1288"/>
    </row>
    <row r="56746" spans="18:18" s="2" customFormat="1" ht="12.75" x14ac:dyDescent="0.2">
      <c r="R56746" s="1288"/>
    </row>
    <row r="56747" spans="18:18" s="2" customFormat="1" ht="12.75" x14ac:dyDescent="0.2">
      <c r="R56747" s="1288"/>
    </row>
    <row r="56748" spans="18:18" s="2" customFormat="1" ht="12.75" x14ac:dyDescent="0.2">
      <c r="R56748" s="1288"/>
    </row>
    <row r="56749" spans="18:18" s="2" customFormat="1" ht="12.75" x14ac:dyDescent="0.2">
      <c r="R56749" s="1288"/>
    </row>
    <row r="56750" spans="18:18" s="2" customFormat="1" ht="12.75" x14ac:dyDescent="0.2">
      <c r="R56750" s="1288"/>
    </row>
    <row r="56751" spans="18:18" s="2" customFormat="1" ht="12.75" x14ac:dyDescent="0.2">
      <c r="R56751" s="1288"/>
    </row>
    <row r="56752" spans="18:18" s="2" customFormat="1" ht="12.75" x14ac:dyDescent="0.2">
      <c r="R56752" s="1288"/>
    </row>
    <row r="56753" spans="18:18" s="2" customFormat="1" ht="12.75" x14ac:dyDescent="0.2">
      <c r="R56753" s="1288"/>
    </row>
    <row r="56754" spans="18:18" s="2" customFormat="1" ht="12.75" x14ac:dyDescent="0.2">
      <c r="R56754" s="1288"/>
    </row>
    <row r="56755" spans="18:18" s="2" customFormat="1" ht="12.75" x14ac:dyDescent="0.2">
      <c r="R56755" s="1288"/>
    </row>
    <row r="56756" spans="18:18" s="2" customFormat="1" ht="12.75" x14ac:dyDescent="0.2">
      <c r="R56756" s="1288"/>
    </row>
    <row r="56757" spans="18:18" s="2" customFormat="1" ht="12.75" x14ac:dyDescent="0.2">
      <c r="R56757" s="1288"/>
    </row>
    <row r="56758" spans="18:18" s="2" customFormat="1" ht="12.75" x14ac:dyDescent="0.2">
      <c r="R56758" s="1288"/>
    </row>
    <row r="56759" spans="18:18" s="2" customFormat="1" ht="12.75" x14ac:dyDescent="0.2">
      <c r="R56759" s="1288"/>
    </row>
    <row r="56760" spans="18:18" s="2" customFormat="1" ht="12.75" x14ac:dyDescent="0.2">
      <c r="R56760" s="1288"/>
    </row>
    <row r="56761" spans="18:18" s="2" customFormat="1" ht="12.75" x14ac:dyDescent="0.2">
      <c r="R56761" s="1288"/>
    </row>
    <row r="56762" spans="18:18" s="2" customFormat="1" ht="12.75" x14ac:dyDescent="0.2">
      <c r="R56762" s="1288"/>
    </row>
    <row r="56763" spans="18:18" s="2" customFormat="1" ht="12.75" x14ac:dyDescent="0.2">
      <c r="R56763" s="1288"/>
    </row>
    <row r="56764" spans="18:18" s="2" customFormat="1" ht="12.75" x14ac:dyDescent="0.2">
      <c r="R56764" s="1288"/>
    </row>
    <row r="56765" spans="18:18" s="2" customFormat="1" ht="12.75" x14ac:dyDescent="0.2">
      <c r="R56765" s="1288"/>
    </row>
    <row r="56766" spans="18:18" s="2" customFormat="1" ht="12.75" x14ac:dyDescent="0.2">
      <c r="R56766" s="1288"/>
    </row>
    <row r="56767" spans="18:18" s="2" customFormat="1" ht="12.75" x14ac:dyDescent="0.2">
      <c r="R56767" s="1288"/>
    </row>
    <row r="56768" spans="18:18" s="2" customFormat="1" ht="12.75" x14ac:dyDescent="0.2">
      <c r="R56768" s="1288"/>
    </row>
    <row r="56769" spans="18:18" s="2" customFormat="1" ht="12.75" x14ac:dyDescent="0.2">
      <c r="R56769" s="1288"/>
    </row>
    <row r="56770" spans="18:18" s="2" customFormat="1" ht="12.75" x14ac:dyDescent="0.2">
      <c r="R56770" s="1288"/>
    </row>
    <row r="56771" spans="18:18" s="2" customFormat="1" ht="12.75" x14ac:dyDescent="0.2">
      <c r="R56771" s="1288"/>
    </row>
    <row r="56772" spans="18:18" s="2" customFormat="1" ht="12.75" x14ac:dyDescent="0.2">
      <c r="R56772" s="1288"/>
    </row>
    <row r="56773" spans="18:18" s="2" customFormat="1" ht="12.75" x14ac:dyDescent="0.2">
      <c r="R56773" s="1288"/>
    </row>
    <row r="56774" spans="18:18" s="2" customFormat="1" ht="12.75" x14ac:dyDescent="0.2">
      <c r="R56774" s="1288"/>
    </row>
    <row r="56775" spans="18:18" s="2" customFormat="1" ht="12.75" x14ac:dyDescent="0.2">
      <c r="R56775" s="1288"/>
    </row>
    <row r="56776" spans="18:18" s="2" customFormat="1" ht="12.75" x14ac:dyDescent="0.2">
      <c r="R56776" s="1288"/>
    </row>
    <row r="56777" spans="18:18" s="2" customFormat="1" ht="12.75" x14ac:dyDescent="0.2">
      <c r="R56777" s="1288"/>
    </row>
    <row r="56778" spans="18:18" s="2" customFormat="1" ht="12.75" x14ac:dyDescent="0.2">
      <c r="R56778" s="1288"/>
    </row>
    <row r="56779" spans="18:18" s="2" customFormat="1" ht="12.75" x14ac:dyDescent="0.2">
      <c r="R56779" s="1288"/>
    </row>
    <row r="56780" spans="18:18" s="2" customFormat="1" ht="12.75" x14ac:dyDescent="0.2">
      <c r="R56780" s="1288"/>
    </row>
    <row r="56781" spans="18:18" s="2" customFormat="1" ht="12.75" x14ac:dyDescent="0.2">
      <c r="R56781" s="1288"/>
    </row>
    <row r="56782" spans="18:18" s="2" customFormat="1" ht="12.75" x14ac:dyDescent="0.2">
      <c r="R56782" s="1288"/>
    </row>
    <row r="56783" spans="18:18" s="2" customFormat="1" ht="12.75" x14ac:dyDescent="0.2">
      <c r="R56783" s="1288"/>
    </row>
    <row r="56784" spans="18:18" s="2" customFormat="1" ht="12.75" x14ac:dyDescent="0.2">
      <c r="R56784" s="1288"/>
    </row>
    <row r="56785" spans="18:18" s="2" customFormat="1" ht="12.75" x14ac:dyDescent="0.2">
      <c r="R56785" s="1288"/>
    </row>
    <row r="56786" spans="18:18" s="2" customFormat="1" ht="12.75" x14ac:dyDescent="0.2">
      <c r="R56786" s="1288"/>
    </row>
    <row r="56787" spans="18:18" s="2" customFormat="1" ht="12.75" x14ac:dyDescent="0.2">
      <c r="R56787" s="1288"/>
    </row>
    <row r="56788" spans="18:18" s="2" customFormat="1" ht="12.75" x14ac:dyDescent="0.2">
      <c r="R56788" s="1288"/>
    </row>
    <row r="56789" spans="18:18" s="2" customFormat="1" ht="12.75" x14ac:dyDescent="0.2">
      <c r="R56789" s="1288"/>
    </row>
    <row r="56790" spans="18:18" s="2" customFormat="1" ht="12.75" x14ac:dyDescent="0.2">
      <c r="R56790" s="1288"/>
    </row>
    <row r="56791" spans="18:18" s="2" customFormat="1" ht="12.75" x14ac:dyDescent="0.2">
      <c r="R56791" s="1288"/>
    </row>
    <row r="56792" spans="18:18" s="2" customFormat="1" ht="12.75" x14ac:dyDescent="0.2">
      <c r="R56792" s="1288"/>
    </row>
    <row r="56793" spans="18:18" s="2" customFormat="1" ht="12.75" x14ac:dyDescent="0.2">
      <c r="R56793" s="1288"/>
    </row>
    <row r="56794" spans="18:18" s="2" customFormat="1" ht="12.75" x14ac:dyDescent="0.2">
      <c r="R56794" s="1288"/>
    </row>
    <row r="56795" spans="18:18" s="2" customFormat="1" ht="12.75" x14ac:dyDescent="0.2">
      <c r="R56795" s="1288"/>
    </row>
    <row r="56796" spans="18:18" s="2" customFormat="1" ht="12.75" x14ac:dyDescent="0.2">
      <c r="R56796" s="1288"/>
    </row>
    <row r="56797" spans="18:18" s="2" customFormat="1" ht="12.75" x14ac:dyDescent="0.2">
      <c r="R56797" s="1288"/>
    </row>
    <row r="56798" spans="18:18" s="2" customFormat="1" ht="12.75" x14ac:dyDescent="0.2">
      <c r="R56798" s="1288"/>
    </row>
    <row r="56799" spans="18:18" s="2" customFormat="1" ht="12.75" x14ac:dyDescent="0.2">
      <c r="R56799" s="1288"/>
    </row>
    <row r="56800" spans="18:18" s="2" customFormat="1" ht="12.75" x14ac:dyDescent="0.2">
      <c r="R56800" s="1288"/>
    </row>
    <row r="56801" spans="18:18" s="2" customFormat="1" ht="12.75" x14ac:dyDescent="0.2">
      <c r="R56801" s="1288"/>
    </row>
    <row r="56802" spans="18:18" s="2" customFormat="1" ht="12.75" x14ac:dyDescent="0.2">
      <c r="R56802" s="1288"/>
    </row>
    <row r="56803" spans="18:18" s="2" customFormat="1" ht="12.75" x14ac:dyDescent="0.2">
      <c r="R56803" s="1288"/>
    </row>
    <row r="56804" spans="18:18" s="2" customFormat="1" ht="12.75" x14ac:dyDescent="0.2">
      <c r="R56804" s="1288"/>
    </row>
    <row r="56805" spans="18:18" s="2" customFormat="1" ht="12.75" x14ac:dyDescent="0.2">
      <c r="R56805" s="1288"/>
    </row>
    <row r="56806" spans="18:18" s="2" customFormat="1" ht="12.75" x14ac:dyDescent="0.2">
      <c r="R56806" s="1288"/>
    </row>
    <row r="56807" spans="18:18" s="2" customFormat="1" ht="12.75" x14ac:dyDescent="0.2">
      <c r="R56807" s="1288"/>
    </row>
    <row r="56808" spans="18:18" s="2" customFormat="1" ht="12.75" x14ac:dyDescent="0.2">
      <c r="R56808" s="1288"/>
    </row>
    <row r="56809" spans="18:18" s="2" customFormat="1" ht="12.75" x14ac:dyDescent="0.2">
      <c r="R56809" s="1288"/>
    </row>
    <row r="56810" spans="18:18" s="2" customFormat="1" ht="12.75" x14ac:dyDescent="0.2">
      <c r="R56810" s="1288"/>
    </row>
    <row r="56811" spans="18:18" s="2" customFormat="1" ht="12.75" x14ac:dyDescent="0.2">
      <c r="R56811" s="1288"/>
    </row>
    <row r="56812" spans="18:18" s="2" customFormat="1" ht="12.75" x14ac:dyDescent="0.2">
      <c r="R56812" s="1288"/>
    </row>
    <row r="56813" spans="18:18" s="2" customFormat="1" ht="12.75" x14ac:dyDescent="0.2">
      <c r="R56813" s="1288"/>
    </row>
    <row r="56814" spans="18:18" s="2" customFormat="1" ht="12.75" x14ac:dyDescent="0.2">
      <c r="R56814" s="1288"/>
    </row>
    <row r="56815" spans="18:18" s="2" customFormat="1" ht="12.75" x14ac:dyDescent="0.2">
      <c r="R56815" s="1288"/>
    </row>
    <row r="56816" spans="18:18" s="2" customFormat="1" ht="12.75" x14ac:dyDescent="0.2">
      <c r="R56816" s="1288"/>
    </row>
    <row r="56817" spans="18:18" s="2" customFormat="1" ht="12.75" x14ac:dyDescent="0.2">
      <c r="R56817" s="1288"/>
    </row>
    <row r="56818" spans="18:18" s="2" customFormat="1" ht="12.75" x14ac:dyDescent="0.2">
      <c r="R56818" s="1288"/>
    </row>
    <row r="56819" spans="18:18" s="2" customFormat="1" ht="12.75" x14ac:dyDescent="0.2">
      <c r="R56819" s="1288"/>
    </row>
    <row r="56820" spans="18:18" s="2" customFormat="1" ht="12.75" x14ac:dyDescent="0.2">
      <c r="R56820" s="1288"/>
    </row>
    <row r="56821" spans="18:18" s="2" customFormat="1" ht="12.75" x14ac:dyDescent="0.2">
      <c r="R56821" s="1288"/>
    </row>
    <row r="56822" spans="18:18" s="2" customFormat="1" ht="12.75" x14ac:dyDescent="0.2">
      <c r="R56822" s="1288"/>
    </row>
    <row r="56823" spans="18:18" s="2" customFormat="1" ht="12.75" x14ac:dyDescent="0.2">
      <c r="R56823" s="1288"/>
    </row>
    <row r="56824" spans="18:18" s="2" customFormat="1" ht="12.75" x14ac:dyDescent="0.2">
      <c r="R56824" s="1288"/>
    </row>
    <row r="56825" spans="18:18" s="2" customFormat="1" ht="12.75" x14ac:dyDescent="0.2">
      <c r="R56825" s="1288"/>
    </row>
    <row r="56826" spans="18:18" s="2" customFormat="1" ht="12.75" x14ac:dyDescent="0.2">
      <c r="R56826" s="1288"/>
    </row>
    <row r="56827" spans="18:18" s="2" customFormat="1" ht="12.75" x14ac:dyDescent="0.2">
      <c r="R56827" s="1288"/>
    </row>
    <row r="56828" spans="18:18" s="2" customFormat="1" ht="12.75" x14ac:dyDescent="0.2">
      <c r="R56828" s="1288"/>
    </row>
    <row r="56829" spans="18:18" s="2" customFormat="1" ht="12.75" x14ac:dyDescent="0.2">
      <c r="R56829" s="1288"/>
    </row>
    <row r="56830" spans="18:18" s="2" customFormat="1" ht="12.75" x14ac:dyDescent="0.2">
      <c r="R56830" s="1288"/>
    </row>
    <row r="56831" spans="18:18" s="2" customFormat="1" ht="12.75" x14ac:dyDescent="0.2">
      <c r="R56831" s="1288"/>
    </row>
    <row r="56832" spans="18:18" s="2" customFormat="1" ht="12.75" x14ac:dyDescent="0.2">
      <c r="R56832" s="1288"/>
    </row>
    <row r="56833" spans="18:18" s="2" customFormat="1" ht="12.75" x14ac:dyDescent="0.2">
      <c r="R56833" s="1288"/>
    </row>
    <row r="56834" spans="18:18" s="2" customFormat="1" ht="12.75" x14ac:dyDescent="0.2">
      <c r="R56834" s="1288"/>
    </row>
    <row r="56835" spans="18:18" s="2" customFormat="1" ht="12.75" x14ac:dyDescent="0.2">
      <c r="R56835" s="1288"/>
    </row>
    <row r="56836" spans="18:18" s="2" customFormat="1" ht="12.75" x14ac:dyDescent="0.2">
      <c r="R56836" s="1288"/>
    </row>
    <row r="56837" spans="18:18" s="2" customFormat="1" ht="12.75" x14ac:dyDescent="0.2">
      <c r="R56837" s="1288"/>
    </row>
    <row r="56838" spans="18:18" s="2" customFormat="1" ht="12.75" x14ac:dyDescent="0.2">
      <c r="R56838" s="1288"/>
    </row>
    <row r="56839" spans="18:18" s="2" customFormat="1" ht="12.75" x14ac:dyDescent="0.2">
      <c r="R56839" s="1288"/>
    </row>
    <row r="56840" spans="18:18" s="2" customFormat="1" ht="12.75" x14ac:dyDescent="0.2">
      <c r="R56840" s="1288"/>
    </row>
    <row r="56841" spans="18:18" s="2" customFormat="1" ht="12.75" x14ac:dyDescent="0.2">
      <c r="R56841" s="1288"/>
    </row>
    <row r="56842" spans="18:18" s="2" customFormat="1" ht="12.75" x14ac:dyDescent="0.2">
      <c r="R56842" s="1288"/>
    </row>
    <row r="56843" spans="18:18" s="2" customFormat="1" ht="12.75" x14ac:dyDescent="0.2">
      <c r="R56843" s="1288"/>
    </row>
    <row r="56844" spans="18:18" s="2" customFormat="1" ht="12.75" x14ac:dyDescent="0.2">
      <c r="R56844" s="1288"/>
    </row>
    <row r="56845" spans="18:18" s="2" customFormat="1" ht="12.75" x14ac:dyDescent="0.2">
      <c r="R56845" s="1288"/>
    </row>
    <row r="56846" spans="18:18" s="2" customFormat="1" ht="12.75" x14ac:dyDescent="0.2">
      <c r="R56846" s="1288"/>
    </row>
    <row r="56847" spans="18:18" s="2" customFormat="1" ht="12.75" x14ac:dyDescent="0.2">
      <c r="R56847" s="1288"/>
    </row>
    <row r="56848" spans="18:18" s="2" customFormat="1" ht="12.75" x14ac:dyDescent="0.2">
      <c r="R56848" s="1288"/>
    </row>
    <row r="56849" spans="18:18" s="2" customFormat="1" ht="12.75" x14ac:dyDescent="0.2">
      <c r="R56849" s="1288"/>
    </row>
    <row r="56850" spans="18:18" s="2" customFormat="1" ht="12.75" x14ac:dyDescent="0.2">
      <c r="R56850" s="1288"/>
    </row>
    <row r="56851" spans="18:18" s="2" customFormat="1" ht="12.75" x14ac:dyDescent="0.2">
      <c r="R56851" s="1288"/>
    </row>
    <row r="56852" spans="18:18" s="2" customFormat="1" ht="12.75" x14ac:dyDescent="0.2">
      <c r="R56852" s="1288"/>
    </row>
    <row r="56853" spans="18:18" s="2" customFormat="1" ht="12.75" x14ac:dyDescent="0.2">
      <c r="R56853" s="1288"/>
    </row>
    <row r="56854" spans="18:18" s="2" customFormat="1" ht="12.75" x14ac:dyDescent="0.2">
      <c r="R56854" s="1288"/>
    </row>
    <row r="56855" spans="18:18" s="2" customFormat="1" ht="12.75" x14ac:dyDescent="0.2">
      <c r="R56855" s="1288"/>
    </row>
    <row r="56856" spans="18:18" s="2" customFormat="1" ht="12.75" x14ac:dyDescent="0.2">
      <c r="R56856" s="1288"/>
    </row>
    <row r="56857" spans="18:18" s="2" customFormat="1" ht="12.75" x14ac:dyDescent="0.2">
      <c r="R56857" s="1288"/>
    </row>
    <row r="56858" spans="18:18" s="2" customFormat="1" ht="12.75" x14ac:dyDescent="0.2">
      <c r="R56858" s="1288"/>
    </row>
    <row r="56859" spans="18:18" s="2" customFormat="1" ht="12.75" x14ac:dyDescent="0.2">
      <c r="R56859" s="1288"/>
    </row>
    <row r="56860" spans="18:18" s="2" customFormat="1" ht="12.75" x14ac:dyDescent="0.2">
      <c r="R56860" s="1288"/>
    </row>
    <row r="56861" spans="18:18" s="2" customFormat="1" ht="12.75" x14ac:dyDescent="0.2">
      <c r="R56861" s="1288"/>
    </row>
    <row r="56862" spans="18:18" s="2" customFormat="1" ht="12.75" x14ac:dyDescent="0.2">
      <c r="R56862" s="1288"/>
    </row>
    <row r="56863" spans="18:18" s="2" customFormat="1" ht="12.75" x14ac:dyDescent="0.2">
      <c r="R56863" s="1288"/>
    </row>
    <row r="56864" spans="18:18" s="2" customFormat="1" ht="12.75" x14ac:dyDescent="0.2">
      <c r="R56864" s="1288"/>
    </row>
    <row r="56865" spans="18:18" s="2" customFormat="1" ht="12.75" x14ac:dyDescent="0.2">
      <c r="R56865" s="1288"/>
    </row>
    <row r="56866" spans="18:18" s="2" customFormat="1" ht="12.75" x14ac:dyDescent="0.2">
      <c r="R56866" s="1288"/>
    </row>
    <row r="56867" spans="18:18" s="2" customFormat="1" ht="12.75" x14ac:dyDescent="0.2">
      <c r="R56867" s="1288"/>
    </row>
    <row r="56868" spans="18:18" s="2" customFormat="1" ht="12.75" x14ac:dyDescent="0.2">
      <c r="R56868" s="1288"/>
    </row>
    <row r="56869" spans="18:18" s="2" customFormat="1" ht="12.75" x14ac:dyDescent="0.2">
      <c r="R56869" s="1288"/>
    </row>
    <row r="56870" spans="18:18" s="2" customFormat="1" ht="12.75" x14ac:dyDescent="0.2">
      <c r="R56870" s="1288"/>
    </row>
    <row r="56871" spans="18:18" s="2" customFormat="1" ht="12.75" x14ac:dyDescent="0.2">
      <c r="R56871" s="1288"/>
    </row>
    <row r="56872" spans="18:18" s="2" customFormat="1" ht="12.75" x14ac:dyDescent="0.2">
      <c r="R56872" s="1288"/>
    </row>
    <row r="56873" spans="18:18" s="2" customFormat="1" ht="12.75" x14ac:dyDescent="0.2">
      <c r="R56873" s="1288"/>
    </row>
    <row r="56874" spans="18:18" s="2" customFormat="1" ht="12.75" x14ac:dyDescent="0.2">
      <c r="R56874" s="1288"/>
    </row>
    <row r="56875" spans="18:18" s="2" customFormat="1" ht="12.75" x14ac:dyDescent="0.2">
      <c r="R56875" s="1288"/>
    </row>
    <row r="56876" spans="18:18" s="2" customFormat="1" ht="12.75" x14ac:dyDescent="0.2">
      <c r="R56876" s="1288"/>
    </row>
    <row r="56877" spans="18:18" s="2" customFormat="1" ht="12.75" x14ac:dyDescent="0.2">
      <c r="R56877" s="1288"/>
    </row>
    <row r="56878" spans="18:18" s="2" customFormat="1" ht="12.75" x14ac:dyDescent="0.2">
      <c r="R56878" s="1288"/>
    </row>
    <row r="56879" spans="18:18" s="2" customFormat="1" ht="12.75" x14ac:dyDescent="0.2">
      <c r="R56879" s="1288"/>
    </row>
    <row r="56880" spans="18:18" s="2" customFormat="1" ht="12.75" x14ac:dyDescent="0.2">
      <c r="R56880" s="1288"/>
    </row>
    <row r="56881" spans="18:18" s="2" customFormat="1" ht="12.75" x14ac:dyDescent="0.2">
      <c r="R56881" s="1288"/>
    </row>
    <row r="56882" spans="18:18" s="2" customFormat="1" ht="12.75" x14ac:dyDescent="0.2">
      <c r="R56882" s="1288"/>
    </row>
    <row r="56883" spans="18:18" s="2" customFormat="1" ht="12.75" x14ac:dyDescent="0.2">
      <c r="R56883" s="1288"/>
    </row>
    <row r="56884" spans="18:18" s="2" customFormat="1" ht="12.75" x14ac:dyDescent="0.2">
      <c r="R56884" s="1288"/>
    </row>
    <row r="56885" spans="18:18" s="2" customFormat="1" ht="12.75" x14ac:dyDescent="0.2">
      <c r="R56885" s="1288"/>
    </row>
    <row r="56886" spans="18:18" s="2" customFormat="1" ht="12.75" x14ac:dyDescent="0.2">
      <c r="R56886" s="1288"/>
    </row>
    <row r="56887" spans="18:18" s="2" customFormat="1" ht="12.75" x14ac:dyDescent="0.2">
      <c r="R56887" s="1288"/>
    </row>
    <row r="56888" spans="18:18" s="2" customFormat="1" ht="12.75" x14ac:dyDescent="0.2">
      <c r="R56888" s="1288"/>
    </row>
    <row r="56889" spans="18:18" s="2" customFormat="1" ht="12.75" x14ac:dyDescent="0.2">
      <c r="R56889" s="1288"/>
    </row>
    <row r="56890" spans="18:18" s="2" customFormat="1" ht="12.75" x14ac:dyDescent="0.2">
      <c r="R56890" s="1288"/>
    </row>
    <row r="56891" spans="18:18" s="2" customFormat="1" ht="12.75" x14ac:dyDescent="0.2">
      <c r="R56891" s="1288"/>
    </row>
    <row r="56892" spans="18:18" s="2" customFormat="1" ht="12.75" x14ac:dyDescent="0.2">
      <c r="R56892" s="1288"/>
    </row>
    <row r="56893" spans="18:18" s="2" customFormat="1" ht="12.75" x14ac:dyDescent="0.2">
      <c r="R56893" s="1288"/>
    </row>
    <row r="56894" spans="18:18" s="2" customFormat="1" ht="12.75" x14ac:dyDescent="0.2">
      <c r="R56894" s="1288"/>
    </row>
    <row r="56895" spans="18:18" s="2" customFormat="1" ht="12.75" x14ac:dyDescent="0.2">
      <c r="R56895" s="1288"/>
    </row>
    <row r="56896" spans="18:18" s="2" customFormat="1" ht="12.75" x14ac:dyDescent="0.2">
      <c r="R56896" s="1288"/>
    </row>
    <row r="56897" spans="18:18" s="2" customFormat="1" ht="12.75" x14ac:dyDescent="0.2">
      <c r="R56897" s="1288"/>
    </row>
    <row r="56898" spans="18:18" s="2" customFormat="1" ht="12.75" x14ac:dyDescent="0.2">
      <c r="R56898" s="1288"/>
    </row>
    <row r="56899" spans="18:18" s="2" customFormat="1" ht="12.75" x14ac:dyDescent="0.2">
      <c r="R56899" s="1288"/>
    </row>
    <row r="56900" spans="18:18" s="2" customFormat="1" ht="12.75" x14ac:dyDescent="0.2">
      <c r="R56900" s="1288"/>
    </row>
    <row r="56901" spans="18:18" s="2" customFormat="1" ht="12.75" x14ac:dyDescent="0.2">
      <c r="R56901" s="1288"/>
    </row>
    <row r="56902" spans="18:18" s="2" customFormat="1" ht="12.75" x14ac:dyDescent="0.2">
      <c r="R56902" s="1288"/>
    </row>
    <row r="56903" spans="18:18" s="2" customFormat="1" ht="12.75" x14ac:dyDescent="0.2">
      <c r="R56903" s="1288"/>
    </row>
    <row r="56904" spans="18:18" s="2" customFormat="1" ht="12.75" x14ac:dyDescent="0.2">
      <c r="R56904" s="1288"/>
    </row>
    <row r="56905" spans="18:18" s="2" customFormat="1" ht="12.75" x14ac:dyDescent="0.2">
      <c r="R56905" s="1288"/>
    </row>
    <row r="56906" spans="18:18" s="2" customFormat="1" ht="12.75" x14ac:dyDescent="0.2">
      <c r="R56906" s="1288"/>
    </row>
    <row r="56907" spans="18:18" s="2" customFormat="1" ht="12.75" x14ac:dyDescent="0.2">
      <c r="R56907" s="1288"/>
    </row>
    <row r="56908" spans="18:18" s="2" customFormat="1" ht="12.75" x14ac:dyDescent="0.2">
      <c r="R56908" s="1288"/>
    </row>
    <row r="56909" spans="18:18" s="2" customFormat="1" ht="12.75" x14ac:dyDescent="0.2">
      <c r="R56909" s="1288"/>
    </row>
    <row r="56910" spans="18:18" s="2" customFormat="1" ht="12.75" x14ac:dyDescent="0.2">
      <c r="R56910" s="1288"/>
    </row>
    <row r="56911" spans="18:18" s="2" customFormat="1" ht="12.75" x14ac:dyDescent="0.2">
      <c r="R56911" s="1288"/>
    </row>
    <row r="56912" spans="18:18" s="2" customFormat="1" ht="12.75" x14ac:dyDescent="0.2">
      <c r="R56912" s="1288"/>
    </row>
    <row r="56913" spans="18:18" s="2" customFormat="1" ht="12.75" x14ac:dyDescent="0.2">
      <c r="R56913" s="1288"/>
    </row>
    <row r="56914" spans="18:18" s="2" customFormat="1" ht="12.75" x14ac:dyDescent="0.2">
      <c r="R56914" s="1288"/>
    </row>
    <row r="56915" spans="18:18" s="2" customFormat="1" ht="12.75" x14ac:dyDescent="0.2">
      <c r="R56915" s="1288"/>
    </row>
    <row r="56916" spans="18:18" s="2" customFormat="1" ht="12.75" x14ac:dyDescent="0.2">
      <c r="R56916" s="1288"/>
    </row>
    <row r="56917" spans="18:18" s="2" customFormat="1" ht="12.75" x14ac:dyDescent="0.2">
      <c r="R56917" s="1288"/>
    </row>
    <row r="56918" spans="18:18" s="2" customFormat="1" ht="12.75" x14ac:dyDescent="0.2">
      <c r="R56918" s="1288"/>
    </row>
    <row r="56919" spans="18:18" s="2" customFormat="1" ht="12.75" x14ac:dyDescent="0.2">
      <c r="R56919" s="1288"/>
    </row>
    <row r="56920" spans="18:18" s="2" customFormat="1" ht="12.75" x14ac:dyDescent="0.2">
      <c r="R56920" s="1288"/>
    </row>
    <row r="56921" spans="18:18" s="2" customFormat="1" ht="12.75" x14ac:dyDescent="0.2">
      <c r="R56921" s="1288"/>
    </row>
    <row r="56922" spans="18:18" s="2" customFormat="1" ht="12.75" x14ac:dyDescent="0.2">
      <c r="R56922" s="1288"/>
    </row>
    <row r="56923" spans="18:18" s="2" customFormat="1" ht="12.75" x14ac:dyDescent="0.2">
      <c r="R56923" s="1288"/>
    </row>
    <row r="56924" spans="18:18" s="2" customFormat="1" ht="12.75" x14ac:dyDescent="0.2">
      <c r="R56924" s="1288"/>
    </row>
    <row r="56925" spans="18:18" s="2" customFormat="1" ht="12.75" x14ac:dyDescent="0.2">
      <c r="R56925" s="1288"/>
    </row>
    <row r="56926" spans="18:18" s="2" customFormat="1" ht="12.75" x14ac:dyDescent="0.2">
      <c r="R56926" s="1288"/>
    </row>
    <row r="56927" spans="18:18" s="2" customFormat="1" ht="12.75" x14ac:dyDescent="0.2">
      <c r="R56927" s="1288"/>
    </row>
    <row r="56928" spans="18:18" s="2" customFormat="1" ht="12.75" x14ac:dyDescent="0.2">
      <c r="R56928" s="1288"/>
    </row>
    <row r="56929" spans="18:18" s="2" customFormat="1" ht="12.75" x14ac:dyDescent="0.2">
      <c r="R56929" s="1288"/>
    </row>
    <row r="56930" spans="18:18" s="2" customFormat="1" ht="12.75" x14ac:dyDescent="0.2">
      <c r="R56930" s="1288"/>
    </row>
    <row r="56931" spans="18:18" s="2" customFormat="1" ht="12.75" x14ac:dyDescent="0.2">
      <c r="R56931" s="1288"/>
    </row>
    <row r="56932" spans="18:18" s="2" customFormat="1" ht="12.75" x14ac:dyDescent="0.2">
      <c r="R56932" s="1288"/>
    </row>
    <row r="56933" spans="18:18" s="2" customFormat="1" ht="12.75" x14ac:dyDescent="0.2">
      <c r="R56933" s="1288"/>
    </row>
    <row r="56934" spans="18:18" s="2" customFormat="1" ht="12.75" x14ac:dyDescent="0.2">
      <c r="R56934" s="1288"/>
    </row>
    <row r="56935" spans="18:18" s="2" customFormat="1" ht="12.75" x14ac:dyDescent="0.2">
      <c r="R56935" s="1288"/>
    </row>
    <row r="56936" spans="18:18" s="2" customFormat="1" ht="12.75" x14ac:dyDescent="0.2">
      <c r="R56936" s="1288"/>
    </row>
    <row r="56937" spans="18:18" s="2" customFormat="1" ht="12.75" x14ac:dyDescent="0.2">
      <c r="R56937" s="1288"/>
    </row>
    <row r="56938" spans="18:18" s="2" customFormat="1" ht="12.75" x14ac:dyDescent="0.2">
      <c r="R56938" s="1288"/>
    </row>
    <row r="56939" spans="18:18" s="2" customFormat="1" ht="12.75" x14ac:dyDescent="0.2">
      <c r="R56939" s="1288"/>
    </row>
    <row r="56940" spans="18:18" s="2" customFormat="1" ht="12.75" x14ac:dyDescent="0.2">
      <c r="R56940" s="1288"/>
    </row>
    <row r="56941" spans="18:18" s="2" customFormat="1" ht="12.75" x14ac:dyDescent="0.2">
      <c r="R56941" s="1288"/>
    </row>
    <row r="56942" spans="18:18" s="2" customFormat="1" ht="12.75" x14ac:dyDescent="0.2">
      <c r="R56942" s="1288"/>
    </row>
    <row r="56943" spans="18:18" s="2" customFormat="1" ht="12.75" x14ac:dyDescent="0.2">
      <c r="R56943" s="1288"/>
    </row>
    <row r="56944" spans="18:18" s="2" customFormat="1" ht="12.75" x14ac:dyDescent="0.2">
      <c r="R56944" s="1288"/>
    </row>
    <row r="56945" spans="18:18" s="2" customFormat="1" ht="12.75" x14ac:dyDescent="0.2">
      <c r="R56945" s="1288"/>
    </row>
    <row r="56946" spans="18:18" s="2" customFormat="1" ht="12.75" x14ac:dyDescent="0.2">
      <c r="R56946" s="1288"/>
    </row>
    <row r="56947" spans="18:18" s="2" customFormat="1" ht="12.75" x14ac:dyDescent="0.2">
      <c r="R56947" s="1288"/>
    </row>
    <row r="56948" spans="18:18" s="2" customFormat="1" ht="12.75" x14ac:dyDescent="0.2">
      <c r="R56948" s="1288"/>
    </row>
    <row r="56949" spans="18:18" s="2" customFormat="1" ht="12.75" x14ac:dyDescent="0.2">
      <c r="R56949" s="1288"/>
    </row>
    <row r="56950" spans="18:18" s="2" customFormat="1" ht="12.75" x14ac:dyDescent="0.2">
      <c r="R56950" s="1288"/>
    </row>
    <row r="56951" spans="18:18" s="2" customFormat="1" ht="12.75" x14ac:dyDescent="0.2">
      <c r="R56951" s="1288"/>
    </row>
    <row r="56952" spans="18:18" s="2" customFormat="1" ht="12.75" x14ac:dyDescent="0.2">
      <c r="R56952" s="1288"/>
    </row>
    <row r="56953" spans="18:18" s="2" customFormat="1" ht="12.75" x14ac:dyDescent="0.2">
      <c r="R56953" s="1288"/>
    </row>
    <row r="56954" spans="18:18" s="2" customFormat="1" ht="12.75" x14ac:dyDescent="0.2">
      <c r="R56954" s="1288"/>
    </row>
    <row r="56955" spans="18:18" s="2" customFormat="1" ht="12.75" x14ac:dyDescent="0.2">
      <c r="R56955" s="1288"/>
    </row>
    <row r="56956" spans="18:18" s="2" customFormat="1" ht="12.75" x14ac:dyDescent="0.2">
      <c r="R56956" s="1288"/>
    </row>
    <row r="56957" spans="18:18" s="2" customFormat="1" ht="12.75" x14ac:dyDescent="0.2">
      <c r="R56957" s="1288"/>
    </row>
    <row r="56958" spans="18:18" s="2" customFormat="1" ht="12.75" x14ac:dyDescent="0.2">
      <c r="R56958" s="1288"/>
    </row>
    <row r="56959" spans="18:18" s="2" customFormat="1" ht="12.75" x14ac:dyDescent="0.2">
      <c r="R56959" s="1288"/>
    </row>
    <row r="56960" spans="18:18" s="2" customFormat="1" ht="12.75" x14ac:dyDescent="0.2">
      <c r="R56960" s="1288"/>
    </row>
    <row r="56961" spans="18:18" s="2" customFormat="1" ht="12.75" x14ac:dyDescent="0.2">
      <c r="R56961" s="1288"/>
    </row>
    <row r="56962" spans="18:18" s="2" customFormat="1" ht="12.75" x14ac:dyDescent="0.2">
      <c r="R56962" s="1288"/>
    </row>
    <row r="56963" spans="18:18" s="2" customFormat="1" ht="12.75" x14ac:dyDescent="0.2">
      <c r="R56963" s="1288"/>
    </row>
    <row r="56964" spans="18:18" s="2" customFormat="1" ht="12.75" x14ac:dyDescent="0.2">
      <c r="R56964" s="1288"/>
    </row>
    <row r="56965" spans="18:18" s="2" customFormat="1" ht="12.75" x14ac:dyDescent="0.2">
      <c r="R56965" s="1288"/>
    </row>
    <row r="56966" spans="18:18" s="2" customFormat="1" ht="12.75" x14ac:dyDescent="0.2">
      <c r="R56966" s="1288"/>
    </row>
    <row r="56967" spans="18:18" s="2" customFormat="1" ht="12.75" x14ac:dyDescent="0.2">
      <c r="R56967" s="1288"/>
    </row>
    <row r="56968" spans="18:18" s="2" customFormat="1" ht="12.75" x14ac:dyDescent="0.2">
      <c r="R56968" s="1288"/>
    </row>
    <row r="56969" spans="18:18" s="2" customFormat="1" ht="12.75" x14ac:dyDescent="0.2">
      <c r="R56969" s="1288"/>
    </row>
    <row r="56970" spans="18:18" s="2" customFormat="1" ht="12.75" x14ac:dyDescent="0.2">
      <c r="R56970" s="1288"/>
    </row>
    <row r="56971" spans="18:18" s="2" customFormat="1" ht="12.75" x14ac:dyDescent="0.2">
      <c r="R56971" s="1288"/>
    </row>
    <row r="56972" spans="18:18" s="2" customFormat="1" ht="12.75" x14ac:dyDescent="0.2">
      <c r="R56972" s="1288"/>
    </row>
    <row r="56973" spans="18:18" s="2" customFormat="1" ht="12.75" x14ac:dyDescent="0.2">
      <c r="R56973" s="1288"/>
    </row>
    <row r="56974" spans="18:18" s="2" customFormat="1" ht="12.75" x14ac:dyDescent="0.2">
      <c r="R56974" s="1288"/>
    </row>
    <row r="56975" spans="18:18" s="2" customFormat="1" ht="12.75" x14ac:dyDescent="0.2">
      <c r="R56975" s="1288"/>
    </row>
    <row r="56976" spans="18:18" s="2" customFormat="1" ht="12.75" x14ac:dyDescent="0.2">
      <c r="R56976" s="1288"/>
    </row>
    <row r="56977" spans="18:18" s="2" customFormat="1" ht="12.75" x14ac:dyDescent="0.2">
      <c r="R56977" s="1288"/>
    </row>
    <row r="56978" spans="18:18" s="2" customFormat="1" ht="12.75" x14ac:dyDescent="0.2">
      <c r="R56978" s="1288"/>
    </row>
    <row r="56979" spans="18:18" s="2" customFormat="1" ht="12.75" x14ac:dyDescent="0.2">
      <c r="R56979" s="1288"/>
    </row>
    <row r="56980" spans="18:18" s="2" customFormat="1" ht="12.75" x14ac:dyDescent="0.2">
      <c r="R56980" s="1288"/>
    </row>
    <row r="56981" spans="18:18" s="2" customFormat="1" ht="12.75" x14ac:dyDescent="0.2">
      <c r="R56981" s="1288"/>
    </row>
    <row r="56982" spans="18:18" s="2" customFormat="1" ht="12.75" x14ac:dyDescent="0.2">
      <c r="R56982" s="1288"/>
    </row>
    <row r="56983" spans="18:18" s="2" customFormat="1" ht="12.75" x14ac:dyDescent="0.2">
      <c r="R56983" s="1288"/>
    </row>
    <row r="56984" spans="18:18" s="2" customFormat="1" ht="12.75" x14ac:dyDescent="0.2">
      <c r="R56984" s="1288"/>
    </row>
    <row r="56985" spans="18:18" s="2" customFormat="1" ht="12.75" x14ac:dyDescent="0.2">
      <c r="R56985" s="1288"/>
    </row>
    <row r="56986" spans="18:18" s="2" customFormat="1" ht="12.75" x14ac:dyDescent="0.2">
      <c r="R56986" s="1288"/>
    </row>
    <row r="56987" spans="18:18" s="2" customFormat="1" ht="12.75" x14ac:dyDescent="0.2">
      <c r="R56987" s="1288"/>
    </row>
    <row r="56988" spans="18:18" s="2" customFormat="1" ht="12.75" x14ac:dyDescent="0.2">
      <c r="R56988" s="1288"/>
    </row>
    <row r="56989" spans="18:18" s="2" customFormat="1" ht="12.75" x14ac:dyDescent="0.2">
      <c r="R56989" s="1288"/>
    </row>
    <row r="56990" spans="18:18" s="2" customFormat="1" ht="12.75" x14ac:dyDescent="0.2">
      <c r="R56990" s="1288"/>
    </row>
    <row r="56991" spans="18:18" s="2" customFormat="1" ht="12.75" x14ac:dyDescent="0.2">
      <c r="R56991" s="1288"/>
    </row>
    <row r="56992" spans="18:18" s="2" customFormat="1" ht="12.75" x14ac:dyDescent="0.2">
      <c r="R56992" s="1288"/>
    </row>
    <row r="56993" spans="18:18" s="2" customFormat="1" ht="12.75" x14ac:dyDescent="0.2">
      <c r="R56993" s="1288"/>
    </row>
    <row r="56994" spans="18:18" s="2" customFormat="1" ht="12.75" x14ac:dyDescent="0.2">
      <c r="R56994" s="1288"/>
    </row>
    <row r="56995" spans="18:18" s="2" customFormat="1" ht="12.75" x14ac:dyDescent="0.2">
      <c r="R56995" s="1288"/>
    </row>
    <row r="56996" spans="18:18" s="2" customFormat="1" ht="12.75" x14ac:dyDescent="0.2">
      <c r="R56996" s="1288"/>
    </row>
    <row r="56997" spans="18:18" s="2" customFormat="1" ht="12.75" x14ac:dyDescent="0.2">
      <c r="R56997" s="1288"/>
    </row>
    <row r="56998" spans="18:18" s="2" customFormat="1" ht="12.75" x14ac:dyDescent="0.2">
      <c r="R56998" s="1288"/>
    </row>
    <row r="56999" spans="18:18" s="2" customFormat="1" ht="12.75" x14ac:dyDescent="0.2">
      <c r="R56999" s="1288"/>
    </row>
    <row r="57000" spans="18:18" s="2" customFormat="1" ht="12.75" x14ac:dyDescent="0.2">
      <c r="R57000" s="1288"/>
    </row>
    <row r="57001" spans="18:18" s="2" customFormat="1" ht="12.75" x14ac:dyDescent="0.2">
      <c r="R57001" s="1288"/>
    </row>
    <row r="57002" spans="18:18" s="2" customFormat="1" ht="12.75" x14ac:dyDescent="0.2">
      <c r="R57002" s="1288"/>
    </row>
    <row r="57003" spans="18:18" s="2" customFormat="1" ht="12.75" x14ac:dyDescent="0.2">
      <c r="R57003" s="1288"/>
    </row>
    <row r="57004" spans="18:18" s="2" customFormat="1" ht="12.75" x14ac:dyDescent="0.2">
      <c r="R57004" s="1288"/>
    </row>
    <row r="57005" spans="18:18" s="2" customFormat="1" ht="12.75" x14ac:dyDescent="0.2">
      <c r="R57005" s="1288"/>
    </row>
    <row r="57006" spans="18:18" s="2" customFormat="1" ht="12.75" x14ac:dyDescent="0.2">
      <c r="R57006" s="1288"/>
    </row>
    <row r="57007" spans="18:18" s="2" customFormat="1" ht="12.75" x14ac:dyDescent="0.2">
      <c r="R57007" s="1288"/>
    </row>
    <row r="57008" spans="18:18" s="2" customFormat="1" ht="12.75" x14ac:dyDescent="0.2">
      <c r="R57008" s="1288"/>
    </row>
    <row r="57009" spans="18:18" s="2" customFormat="1" ht="12.75" x14ac:dyDescent="0.2">
      <c r="R57009" s="1288"/>
    </row>
    <row r="57010" spans="18:18" s="2" customFormat="1" ht="12.75" x14ac:dyDescent="0.2">
      <c r="R57010" s="1288"/>
    </row>
    <row r="57011" spans="18:18" s="2" customFormat="1" ht="12.75" x14ac:dyDescent="0.2">
      <c r="R57011" s="1288"/>
    </row>
    <row r="57012" spans="18:18" s="2" customFormat="1" ht="12.75" x14ac:dyDescent="0.2">
      <c r="R57012" s="1288"/>
    </row>
    <row r="57013" spans="18:18" s="2" customFormat="1" ht="12.75" x14ac:dyDescent="0.2">
      <c r="R57013" s="1288"/>
    </row>
    <row r="57014" spans="18:18" s="2" customFormat="1" ht="12.75" x14ac:dyDescent="0.2">
      <c r="R57014" s="1288"/>
    </row>
    <row r="57015" spans="18:18" s="2" customFormat="1" ht="12.75" x14ac:dyDescent="0.2">
      <c r="R57015" s="1288"/>
    </row>
    <row r="57016" spans="18:18" s="2" customFormat="1" ht="12.75" x14ac:dyDescent="0.2">
      <c r="R57016" s="1288"/>
    </row>
    <row r="57017" spans="18:18" s="2" customFormat="1" ht="12.75" x14ac:dyDescent="0.2">
      <c r="R57017" s="1288"/>
    </row>
    <row r="57018" spans="18:18" s="2" customFormat="1" ht="12.75" x14ac:dyDescent="0.2">
      <c r="R57018" s="1288"/>
    </row>
    <row r="57019" spans="18:18" s="2" customFormat="1" ht="12.75" x14ac:dyDescent="0.2">
      <c r="R57019" s="1288"/>
    </row>
    <row r="57020" spans="18:18" s="2" customFormat="1" ht="12.75" x14ac:dyDescent="0.2">
      <c r="R57020" s="1288"/>
    </row>
    <row r="57021" spans="18:18" s="2" customFormat="1" ht="12.75" x14ac:dyDescent="0.2">
      <c r="R57021" s="1288"/>
    </row>
    <row r="57022" spans="18:18" s="2" customFormat="1" ht="12.75" x14ac:dyDescent="0.2">
      <c r="R57022" s="1288"/>
    </row>
    <row r="57023" spans="18:18" s="2" customFormat="1" ht="12.75" x14ac:dyDescent="0.2">
      <c r="R57023" s="1288"/>
    </row>
    <row r="57024" spans="18:18" s="2" customFormat="1" ht="12.75" x14ac:dyDescent="0.2">
      <c r="R57024" s="1288"/>
    </row>
    <row r="57025" spans="18:18" s="2" customFormat="1" ht="12.75" x14ac:dyDescent="0.2">
      <c r="R57025" s="1288"/>
    </row>
    <row r="57026" spans="18:18" s="2" customFormat="1" ht="12.75" x14ac:dyDescent="0.2">
      <c r="R57026" s="1288"/>
    </row>
    <row r="57027" spans="18:18" s="2" customFormat="1" ht="12.75" x14ac:dyDescent="0.2">
      <c r="R57027" s="1288"/>
    </row>
    <row r="57028" spans="18:18" s="2" customFormat="1" ht="12.75" x14ac:dyDescent="0.2">
      <c r="R57028" s="1288"/>
    </row>
    <row r="57029" spans="18:18" s="2" customFormat="1" ht="12.75" x14ac:dyDescent="0.2">
      <c r="R57029" s="1288"/>
    </row>
    <row r="57030" spans="18:18" s="2" customFormat="1" ht="12.75" x14ac:dyDescent="0.2">
      <c r="R57030" s="1288"/>
    </row>
    <row r="57031" spans="18:18" s="2" customFormat="1" ht="12.75" x14ac:dyDescent="0.2">
      <c r="R57031" s="1288"/>
    </row>
    <row r="57032" spans="18:18" s="2" customFormat="1" ht="12.75" x14ac:dyDescent="0.2">
      <c r="R57032" s="1288"/>
    </row>
    <row r="57033" spans="18:18" s="2" customFormat="1" ht="12.75" x14ac:dyDescent="0.2">
      <c r="R57033" s="1288"/>
    </row>
    <row r="57034" spans="18:18" s="2" customFormat="1" ht="12.75" x14ac:dyDescent="0.2">
      <c r="R57034" s="1288"/>
    </row>
    <row r="57035" spans="18:18" s="2" customFormat="1" ht="12.75" x14ac:dyDescent="0.2">
      <c r="R57035" s="1288"/>
    </row>
    <row r="57036" spans="18:18" s="2" customFormat="1" ht="12.75" x14ac:dyDescent="0.2">
      <c r="R57036" s="1288"/>
    </row>
    <row r="57037" spans="18:18" s="2" customFormat="1" ht="12.75" x14ac:dyDescent="0.2">
      <c r="R57037" s="1288"/>
    </row>
    <row r="57038" spans="18:18" s="2" customFormat="1" ht="12.75" x14ac:dyDescent="0.2">
      <c r="R57038" s="1288"/>
    </row>
    <row r="57039" spans="18:18" s="2" customFormat="1" ht="12.75" x14ac:dyDescent="0.2">
      <c r="R57039" s="1288"/>
    </row>
    <row r="57040" spans="18:18" s="2" customFormat="1" ht="12.75" x14ac:dyDescent="0.2">
      <c r="R57040" s="1288"/>
    </row>
    <row r="57041" spans="18:18" s="2" customFormat="1" ht="12.75" x14ac:dyDescent="0.2">
      <c r="R57041" s="1288"/>
    </row>
    <row r="57042" spans="18:18" s="2" customFormat="1" ht="12.75" x14ac:dyDescent="0.2">
      <c r="R57042" s="1288"/>
    </row>
    <row r="57043" spans="18:18" s="2" customFormat="1" ht="12.75" x14ac:dyDescent="0.2">
      <c r="R57043" s="1288"/>
    </row>
    <row r="57044" spans="18:18" s="2" customFormat="1" ht="12.75" x14ac:dyDescent="0.2">
      <c r="R57044" s="1288"/>
    </row>
    <row r="57045" spans="18:18" s="2" customFormat="1" ht="12.75" x14ac:dyDescent="0.2">
      <c r="R57045" s="1288"/>
    </row>
    <row r="57046" spans="18:18" s="2" customFormat="1" ht="12.75" x14ac:dyDescent="0.2">
      <c r="R57046" s="1288"/>
    </row>
    <row r="57047" spans="18:18" s="2" customFormat="1" ht="12.75" x14ac:dyDescent="0.2">
      <c r="R57047" s="1288"/>
    </row>
    <row r="57048" spans="18:18" s="2" customFormat="1" ht="12.75" x14ac:dyDescent="0.2">
      <c r="R57048" s="1288"/>
    </row>
    <row r="57049" spans="18:18" s="2" customFormat="1" ht="12.75" x14ac:dyDescent="0.2">
      <c r="R57049" s="1288"/>
    </row>
    <row r="57050" spans="18:18" s="2" customFormat="1" ht="12.75" x14ac:dyDescent="0.2">
      <c r="R57050" s="1288"/>
    </row>
    <row r="57051" spans="18:18" s="2" customFormat="1" ht="12.75" x14ac:dyDescent="0.2">
      <c r="R57051" s="1288"/>
    </row>
    <row r="57052" spans="18:18" s="2" customFormat="1" ht="12.75" x14ac:dyDescent="0.2">
      <c r="R57052" s="1288"/>
    </row>
    <row r="57053" spans="18:18" s="2" customFormat="1" ht="12.75" x14ac:dyDescent="0.2">
      <c r="R57053" s="1288"/>
    </row>
    <row r="57054" spans="18:18" s="2" customFormat="1" ht="12.75" x14ac:dyDescent="0.2">
      <c r="R57054" s="1288"/>
    </row>
    <row r="57055" spans="18:18" s="2" customFormat="1" ht="12.75" x14ac:dyDescent="0.2">
      <c r="R57055" s="1288"/>
    </row>
    <row r="57056" spans="18:18" s="2" customFormat="1" ht="12.75" x14ac:dyDescent="0.2">
      <c r="R57056" s="1288"/>
    </row>
    <row r="57057" spans="18:18" s="2" customFormat="1" ht="12.75" x14ac:dyDescent="0.2">
      <c r="R57057" s="1288"/>
    </row>
    <row r="57058" spans="18:18" s="2" customFormat="1" ht="12.75" x14ac:dyDescent="0.2">
      <c r="R57058" s="1288"/>
    </row>
    <row r="57059" spans="18:18" s="2" customFormat="1" ht="12.75" x14ac:dyDescent="0.2">
      <c r="R57059" s="1288"/>
    </row>
    <row r="57060" spans="18:18" s="2" customFormat="1" ht="12.75" x14ac:dyDescent="0.2">
      <c r="R57060" s="1288"/>
    </row>
    <row r="57061" spans="18:18" s="2" customFormat="1" ht="12.75" x14ac:dyDescent="0.2">
      <c r="R57061" s="1288"/>
    </row>
    <row r="57062" spans="18:18" s="2" customFormat="1" ht="12.75" x14ac:dyDescent="0.2">
      <c r="R57062" s="1288"/>
    </row>
    <row r="57063" spans="18:18" s="2" customFormat="1" ht="12.75" x14ac:dyDescent="0.2">
      <c r="R57063" s="1288"/>
    </row>
    <row r="57064" spans="18:18" s="2" customFormat="1" ht="12.75" x14ac:dyDescent="0.2">
      <c r="R57064" s="1288"/>
    </row>
    <row r="57065" spans="18:18" s="2" customFormat="1" ht="12.75" x14ac:dyDescent="0.2">
      <c r="R57065" s="1288"/>
    </row>
    <row r="57066" spans="18:18" s="2" customFormat="1" ht="12.75" x14ac:dyDescent="0.2">
      <c r="R57066" s="1288"/>
    </row>
    <row r="57067" spans="18:18" s="2" customFormat="1" ht="12.75" x14ac:dyDescent="0.2">
      <c r="R57067" s="1288"/>
    </row>
    <row r="57068" spans="18:18" s="2" customFormat="1" ht="12.75" x14ac:dyDescent="0.2">
      <c r="R57068" s="1288"/>
    </row>
    <row r="57069" spans="18:18" s="2" customFormat="1" ht="12.75" x14ac:dyDescent="0.2">
      <c r="R57069" s="1288"/>
    </row>
    <row r="57070" spans="18:18" s="2" customFormat="1" ht="12.75" x14ac:dyDescent="0.2">
      <c r="R57070" s="1288"/>
    </row>
    <row r="57071" spans="18:18" s="2" customFormat="1" ht="12.75" x14ac:dyDescent="0.2">
      <c r="R57071" s="1288"/>
    </row>
    <row r="57072" spans="18:18" s="2" customFormat="1" ht="12.75" x14ac:dyDescent="0.2">
      <c r="R57072" s="1288"/>
    </row>
    <row r="57073" spans="18:18" s="2" customFormat="1" ht="12.75" x14ac:dyDescent="0.2">
      <c r="R57073" s="1288"/>
    </row>
    <row r="57074" spans="18:18" s="2" customFormat="1" ht="12.75" x14ac:dyDescent="0.2">
      <c r="R57074" s="1288"/>
    </row>
    <row r="57075" spans="18:18" s="2" customFormat="1" ht="12.75" x14ac:dyDescent="0.2">
      <c r="R57075" s="1288"/>
    </row>
    <row r="57076" spans="18:18" s="2" customFormat="1" ht="12.75" x14ac:dyDescent="0.2">
      <c r="R57076" s="1288"/>
    </row>
    <row r="57077" spans="18:18" s="2" customFormat="1" ht="12.75" x14ac:dyDescent="0.2">
      <c r="R57077" s="1288"/>
    </row>
    <row r="57078" spans="18:18" s="2" customFormat="1" ht="12.75" x14ac:dyDescent="0.2">
      <c r="R57078" s="1288"/>
    </row>
    <row r="57079" spans="18:18" s="2" customFormat="1" ht="12.75" x14ac:dyDescent="0.2">
      <c r="R57079" s="1288"/>
    </row>
    <row r="57080" spans="18:18" s="2" customFormat="1" ht="12.75" x14ac:dyDescent="0.2">
      <c r="R57080" s="1288"/>
    </row>
    <row r="57081" spans="18:18" s="2" customFormat="1" ht="12.75" x14ac:dyDescent="0.2">
      <c r="R57081" s="1288"/>
    </row>
    <row r="57082" spans="18:18" s="2" customFormat="1" ht="12.75" x14ac:dyDescent="0.2">
      <c r="R57082" s="1288"/>
    </row>
    <row r="57083" spans="18:18" s="2" customFormat="1" ht="12.75" x14ac:dyDescent="0.2">
      <c r="R57083" s="1288"/>
    </row>
    <row r="57084" spans="18:18" s="2" customFormat="1" ht="12.75" x14ac:dyDescent="0.2">
      <c r="R57084" s="1288"/>
    </row>
    <row r="57085" spans="18:18" s="2" customFormat="1" ht="12.75" x14ac:dyDescent="0.2">
      <c r="R57085" s="1288"/>
    </row>
    <row r="57086" spans="18:18" s="2" customFormat="1" ht="12.75" x14ac:dyDescent="0.2">
      <c r="R57086" s="1288"/>
    </row>
    <row r="57087" spans="18:18" s="2" customFormat="1" ht="12.75" x14ac:dyDescent="0.2">
      <c r="R57087" s="1288"/>
    </row>
    <row r="57088" spans="18:18" s="2" customFormat="1" ht="12.75" x14ac:dyDescent="0.2">
      <c r="R57088" s="1288"/>
    </row>
    <row r="57089" spans="18:18" s="2" customFormat="1" ht="12.75" x14ac:dyDescent="0.2">
      <c r="R57089" s="1288"/>
    </row>
    <row r="57090" spans="18:18" s="2" customFormat="1" ht="12.75" x14ac:dyDescent="0.2">
      <c r="R57090" s="1288"/>
    </row>
    <row r="57091" spans="18:18" s="2" customFormat="1" ht="12.75" x14ac:dyDescent="0.2">
      <c r="R57091" s="1288"/>
    </row>
    <row r="57092" spans="18:18" s="2" customFormat="1" ht="12.75" x14ac:dyDescent="0.2">
      <c r="R57092" s="1288"/>
    </row>
    <row r="57093" spans="18:18" s="2" customFormat="1" ht="12.75" x14ac:dyDescent="0.2">
      <c r="R57093" s="1288"/>
    </row>
    <row r="57094" spans="18:18" s="2" customFormat="1" ht="12.75" x14ac:dyDescent="0.2">
      <c r="R57094" s="1288"/>
    </row>
    <row r="57095" spans="18:18" s="2" customFormat="1" ht="12.75" x14ac:dyDescent="0.2">
      <c r="R57095" s="1288"/>
    </row>
    <row r="57096" spans="18:18" s="2" customFormat="1" ht="12.75" x14ac:dyDescent="0.2">
      <c r="R57096" s="1288"/>
    </row>
    <row r="57097" spans="18:18" s="2" customFormat="1" ht="12.75" x14ac:dyDescent="0.2">
      <c r="R57097" s="1288"/>
    </row>
    <row r="57098" spans="18:18" s="2" customFormat="1" ht="12.75" x14ac:dyDescent="0.2">
      <c r="R57098" s="1288"/>
    </row>
    <row r="57099" spans="18:18" s="2" customFormat="1" ht="12.75" x14ac:dyDescent="0.2">
      <c r="R57099" s="1288"/>
    </row>
    <row r="57100" spans="18:18" s="2" customFormat="1" ht="12.75" x14ac:dyDescent="0.2">
      <c r="R57100" s="1288"/>
    </row>
    <row r="57101" spans="18:18" s="2" customFormat="1" ht="12.75" x14ac:dyDescent="0.2">
      <c r="R57101" s="1288"/>
    </row>
    <row r="57102" spans="18:18" s="2" customFormat="1" ht="12.75" x14ac:dyDescent="0.2">
      <c r="R57102" s="1288"/>
    </row>
    <row r="57103" spans="18:18" s="2" customFormat="1" ht="12.75" x14ac:dyDescent="0.2">
      <c r="R57103" s="1288"/>
    </row>
    <row r="57104" spans="18:18" s="2" customFormat="1" ht="12.75" x14ac:dyDescent="0.2">
      <c r="R57104" s="1288"/>
    </row>
    <row r="57105" spans="18:18" s="2" customFormat="1" ht="12.75" x14ac:dyDescent="0.2">
      <c r="R57105" s="1288"/>
    </row>
    <row r="57106" spans="18:18" s="2" customFormat="1" ht="12.75" x14ac:dyDescent="0.2">
      <c r="R57106" s="1288"/>
    </row>
    <row r="57107" spans="18:18" s="2" customFormat="1" ht="12.75" x14ac:dyDescent="0.2">
      <c r="R57107" s="1288"/>
    </row>
    <row r="57108" spans="18:18" s="2" customFormat="1" ht="12.75" x14ac:dyDescent="0.2">
      <c r="R57108" s="1288"/>
    </row>
    <row r="57109" spans="18:18" s="2" customFormat="1" ht="12.75" x14ac:dyDescent="0.2">
      <c r="R57109" s="1288"/>
    </row>
    <row r="57110" spans="18:18" s="2" customFormat="1" ht="12.75" x14ac:dyDescent="0.2">
      <c r="R57110" s="1288"/>
    </row>
    <row r="57111" spans="18:18" s="2" customFormat="1" ht="12.75" x14ac:dyDescent="0.2">
      <c r="R57111" s="1288"/>
    </row>
    <row r="57112" spans="18:18" s="2" customFormat="1" ht="12.75" x14ac:dyDescent="0.2">
      <c r="R57112" s="1288"/>
    </row>
    <row r="57113" spans="18:18" s="2" customFormat="1" ht="12.75" x14ac:dyDescent="0.2">
      <c r="R57113" s="1288"/>
    </row>
    <row r="57114" spans="18:18" s="2" customFormat="1" ht="12.75" x14ac:dyDescent="0.2">
      <c r="R57114" s="1288"/>
    </row>
    <row r="57115" spans="18:18" s="2" customFormat="1" ht="12.75" x14ac:dyDescent="0.2">
      <c r="R57115" s="1288"/>
    </row>
    <row r="57116" spans="18:18" s="2" customFormat="1" ht="12.75" x14ac:dyDescent="0.2">
      <c r="R57116" s="1288"/>
    </row>
    <row r="57117" spans="18:18" s="2" customFormat="1" ht="12.75" x14ac:dyDescent="0.2">
      <c r="R57117" s="1288"/>
    </row>
    <row r="57118" spans="18:18" s="2" customFormat="1" ht="12.75" x14ac:dyDescent="0.2">
      <c r="R57118" s="1288"/>
    </row>
    <row r="57119" spans="18:18" s="2" customFormat="1" ht="12.75" x14ac:dyDescent="0.2">
      <c r="R57119" s="1288"/>
    </row>
    <row r="57120" spans="18:18" s="2" customFormat="1" ht="12.75" x14ac:dyDescent="0.2">
      <c r="R57120" s="1288"/>
    </row>
    <row r="57121" spans="18:18" s="2" customFormat="1" ht="12.75" x14ac:dyDescent="0.2">
      <c r="R57121" s="1288"/>
    </row>
    <row r="57122" spans="18:18" s="2" customFormat="1" ht="12.75" x14ac:dyDescent="0.2">
      <c r="R57122" s="1288"/>
    </row>
    <row r="57123" spans="18:18" s="2" customFormat="1" ht="12.75" x14ac:dyDescent="0.2">
      <c r="R57123" s="1288"/>
    </row>
    <row r="57124" spans="18:18" s="2" customFormat="1" ht="12.75" x14ac:dyDescent="0.2">
      <c r="R57124" s="1288"/>
    </row>
    <row r="57125" spans="18:18" s="2" customFormat="1" ht="12.75" x14ac:dyDescent="0.2">
      <c r="R57125" s="1288"/>
    </row>
    <row r="57126" spans="18:18" s="2" customFormat="1" ht="12.75" x14ac:dyDescent="0.2">
      <c r="R57126" s="1288"/>
    </row>
    <row r="57127" spans="18:18" s="2" customFormat="1" ht="12.75" x14ac:dyDescent="0.2">
      <c r="R57127" s="1288"/>
    </row>
    <row r="57128" spans="18:18" s="2" customFormat="1" ht="12.75" x14ac:dyDescent="0.2">
      <c r="R57128" s="1288"/>
    </row>
    <row r="57129" spans="18:18" s="2" customFormat="1" ht="12.75" x14ac:dyDescent="0.2">
      <c r="R57129" s="1288"/>
    </row>
    <row r="57130" spans="18:18" s="2" customFormat="1" ht="12.75" x14ac:dyDescent="0.2">
      <c r="R57130" s="1288"/>
    </row>
    <row r="57131" spans="18:18" s="2" customFormat="1" ht="12.75" x14ac:dyDescent="0.2">
      <c r="R57131" s="1288"/>
    </row>
    <row r="57132" spans="18:18" s="2" customFormat="1" ht="12.75" x14ac:dyDescent="0.2">
      <c r="R57132" s="1288"/>
    </row>
    <row r="57133" spans="18:18" s="2" customFormat="1" ht="12.75" x14ac:dyDescent="0.2">
      <c r="R57133" s="1288"/>
    </row>
    <row r="57134" spans="18:18" s="2" customFormat="1" ht="12.75" x14ac:dyDescent="0.2">
      <c r="R57134" s="1288"/>
    </row>
    <row r="57135" spans="18:18" s="2" customFormat="1" ht="12.75" x14ac:dyDescent="0.2">
      <c r="R57135" s="1288"/>
    </row>
    <row r="57136" spans="18:18" s="2" customFormat="1" ht="12.75" x14ac:dyDescent="0.2">
      <c r="R57136" s="1288"/>
    </row>
    <row r="57137" spans="18:18" s="2" customFormat="1" ht="12.75" x14ac:dyDescent="0.2">
      <c r="R57137" s="1288"/>
    </row>
    <row r="57138" spans="18:18" s="2" customFormat="1" ht="12.75" x14ac:dyDescent="0.2">
      <c r="R57138" s="1288"/>
    </row>
    <row r="57139" spans="18:18" s="2" customFormat="1" ht="12.75" x14ac:dyDescent="0.2">
      <c r="R57139" s="1288"/>
    </row>
    <row r="57140" spans="18:18" s="2" customFormat="1" ht="12.75" x14ac:dyDescent="0.2">
      <c r="R57140" s="1288"/>
    </row>
    <row r="57141" spans="18:18" s="2" customFormat="1" ht="12.75" x14ac:dyDescent="0.2">
      <c r="R57141" s="1288"/>
    </row>
    <row r="57142" spans="18:18" s="2" customFormat="1" ht="12.75" x14ac:dyDescent="0.2">
      <c r="R57142" s="1288"/>
    </row>
    <row r="57143" spans="18:18" s="2" customFormat="1" ht="12.75" x14ac:dyDescent="0.2">
      <c r="R57143" s="1288"/>
    </row>
    <row r="57144" spans="18:18" s="2" customFormat="1" ht="12.75" x14ac:dyDescent="0.2">
      <c r="R57144" s="1288"/>
    </row>
    <row r="57145" spans="18:18" s="2" customFormat="1" ht="12.75" x14ac:dyDescent="0.2">
      <c r="R57145" s="1288"/>
    </row>
    <row r="57146" spans="18:18" s="2" customFormat="1" ht="12.75" x14ac:dyDescent="0.2">
      <c r="R57146" s="1288"/>
    </row>
    <row r="57147" spans="18:18" s="2" customFormat="1" ht="12.75" x14ac:dyDescent="0.2">
      <c r="R57147" s="1288"/>
    </row>
    <row r="57148" spans="18:18" s="2" customFormat="1" ht="12.75" x14ac:dyDescent="0.2">
      <c r="R57148" s="1288"/>
    </row>
    <row r="57149" spans="18:18" s="2" customFormat="1" ht="12.75" x14ac:dyDescent="0.2">
      <c r="R57149" s="1288"/>
    </row>
    <row r="57150" spans="18:18" s="2" customFormat="1" ht="12.75" x14ac:dyDescent="0.2">
      <c r="R57150" s="1288"/>
    </row>
    <row r="57151" spans="18:18" s="2" customFormat="1" ht="12.75" x14ac:dyDescent="0.2">
      <c r="R57151" s="1288"/>
    </row>
    <row r="57152" spans="18:18" s="2" customFormat="1" ht="12.75" x14ac:dyDescent="0.2">
      <c r="R57152" s="1288"/>
    </row>
    <row r="57153" spans="18:18" s="2" customFormat="1" ht="12.75" x14ac:dyDescent="0.2">
      <c r="R57153" s="1288"/>
    </row>
    <row r="57154" spans="18:18" s="2" customFormat="1" ht="12.75" x14ac:dyDescent="0.2">
      <c r="R57154" s="1288"/>
    </row>
    <row r="57155" spans="18:18" s="2" customFormat="1" ht="12.75" x14ac:dyDescent="0.2">
      <c r="R57155" s="1288"/>
    </row>
    <row r="57156" spans="18:18" s="2" customFormat="1" ht="12.75" x14ac:dyDescent="0.2">
      <c r="R57156" s="1288"/>
    </row>
    <row r="57157" spans="18:18" s="2" customFormat="1" ht="12.75" x14ac:dyDescent="0.2">
      <c r="R57157" s="1288"/>
    </row>
    <row r="57158" spans="18:18" s="2" customFormat="1" ht="12.75" x14ac:dyDescent="0.2">
      <c r="R57158" s="1288"/>
    </row>
    <row r="57159" spans="18:18" s="2" customFormat="1" ht="12.75" x14ac:dyDescent="0.2">
      <c r="R57159" s="1288"/>
    </row>
    <row r="57160" spans="18:18" s="2" customFormat="1" ht="12.75" x14ac:dyDescent="0.2">
      <c r="R57160" s="1288"/>
    </row>
    <row r="57161" spans="18:18" s="2" customFormat="1" ht="12.75" x14ac:dyDescent="0.2">
      <c r="R57161" s="1288"/>
    </row>
    <row r="57162" spans="18:18" s="2" customFormat="1" ht="12.75" x14ac:dyDescent="0.2">
      <c r="R57162" s="1288"/>
    </row>
    <row r="57163" spans="18:18" s="2" customFormat="1" ht="12.75" x14ac:dyDescent="0.2">
      <c r="R57163" s="1288"/>
    </row>
    <row r="57164" spans="18:18" s="2" customFormat="1" ht="12.75" x14ac:dyDescent="0.2">
      <c r="R57164" s="1288"/>
    </row>
    <row r="57165" spans="18:18" s="2" customFormat="1" ht="12.75" x14ac:dyDescent="0.2">
      <c r="R57165" s="1288"/>
    </row>
    <row r="57166" spans="18:18" s="2" customFormat="1" ht="12.75" x14ac:dyDescent="0.2">
      <c r="R57166" s="1288"/>
    </row>
    <row r="57167" spans="18:18" s="2" customFormat="1" ht="12.75" x14ac:dyDescent="0.2">
      <c r="R57167" s="1288"/>
    </row>
    <row r="57168" spans="18:18" s="2" customFormat="1" ht="12.75" x14ac:dyDescent="0.2">
      <c r="R57168" s="1288"/>
    </row>
    <row r="57169" spans="18:18" s="2" customFormat="1" ht="12.75" x14ac:dyDescent="0.2">
      <c r="R57169" s="1288"/>
    </row>
    <row r="57170" spans="18:18" s="2" customFormat="1" ht="12.75" x14ac:dyDescent="0.2">
      <c r="R57170" s="1288"/>
    </row>
    <row r="57171" spans="18:18" s="2" customFormat="1" ht="12.75" x14ac:dyDescent="0.2">
      <c r="R57171" s="1288"/>
    </row>
    <row r="57172" spans="18:18" s="2" customFormat="1" ht="12.75" x14ac:dyDescent="0.2">
      <c r="R57172" s="1288"/>
    </row>
    <row r="57173" spans="18:18" s="2" customFormat="1" ht="12.75" x14ac:dyDescent="0.2">
      <c r="R57173" s="1288"/>
    </row>
    <row r="57174" spans="18:18" s="2" customFormat="1" ht="12.75" x14ac:dyDescent="0.2">
      <c r="R57174" s="1288"/>
    </row>
    <row r="57175" spans="18:18" s="2" customFormat="1" ht="12.75" x14ac:dyDescent="0.2">
      <c r="R57175" s="1288"/>
    </row>
    <row r="57176" spans="18:18" s="2" customFormat="1" ht="12.75" x14ac:dyDescent="0.2">
      <c r="R57176" s="1288"/>
    </row>
    <row r="57177" spans="18:18" s="2" customFormat="1" ht="12.75" x14ac:dyDescent="0.2">
      <c r="R57177" s="1288"/>
    </row>
    <row r="57178" spans="18:18" s="2" customFormat="1" ht="12.75" x14ac:dyDescent="0.2">
      <c r="R57178" s="1288"/>
    </row>
    <row r="57179" spans="18:18" s="2" customFormat="1" ht="12.75" x14ac:dyDescent="0.2">
      <c r="R57179" s="1288"/>
    </row>
    <row r="57180" spans="18:18" s="2" customFormat="1" ht="12.75" x14ac:dyDescent="0.2">
      <c r="R57180" s="1288"/>
    </row>
    <row r="57181" spans="18:18" s="2" customFormat="1" ht="12.75" x14ac:dyDescent="0.2">
      <c r="R57181" s="1288"/>
    </row>
    <row r="57182" spans="18:18" s="2" customFormat="1" ht="12.75" x14ac:dyDescent="0.2">
      <c r="R57182" s="1288"/>
    </row>
    <row r="57183" spans="18:18" s="2" customFormat="1" ht="12.75" x14ac:dyDescent="0.2">
      <c r="R57183" s="1288"/>
    </row>
    <row r="57184" spans="18:18" s="2" customFormat="1" ht="12.75" x14ac:dyDescent="0.2">
      <c r="R57184" s="1288"/>
    </row>
    <row r="57185" spans="18:18" s="2" customFormat="1" ht="12.75" x14ac:dyDescent="0.2">
      <c r="R57185" s="1288"/>
    </row>
    <row r="57186" spans="18:18" s="2" customFormat="1" ht="12.75" x14ac:dyDescent="0.2">
      <c r="R57186" s="1288"/>
    </row>
    <row r="57187" spans="18:18" s="2" customFormat="1" ht="12.75" x14ac:dyDescent="0.2">
      <c r="R57187" s="1288"/>
    </row>
    <row r="57188" spans="18:18" s="2" customFormat="1" ht="12.75" x14ac:dyDescent="0.2">
      <c r="R57188" s="1288"/>
    </row>
    <row r="57189" spans="18:18" s="2" customFormat="1" ht="12.75" x14ac:dyDescent="0.2">
      <c r="R57189" s="1288"/>
    </row>
    <row r="57190" spans="18:18" s="2" customFormat="1" ht="12.75" x14ac:dyDescent="0.2">
      <c r="R57190" s="1288"/>
    </row>
    <row r="57191" spans="18:18" s="2" customFormat="1" ht="12.75" x14ac:dyDescent="0.2">
      <c r="R57191" s="1288"/>
    </row>
    <row r="57192" spans="18:18" s="2" customFormat="1" ht="12.75" x14ac:dyDescent="0.2">
      <c r="R57192" s="1288"/>
    </row>
    <row r="57193" spans="18:18" s="2" customFormat="1" ht="12.75" x14ac:dyDescent="0.2">
      <c r="R57193" s="1288"/>
    </row>
    <row r="57194" spans="18:18" s="2" customFormat="1" ht="12.75" x14ac:dyDescent="0.2">
      <c r="R57194" s="1288"/>
    </row>
    <row r="57195" spans="18:18" s="2" customFormat="1" ht="12.75" x14ac:dyDescent="0.2">
      <c r="R57195" s="1288"/>
    </row>
    <row r="57196" spans="18:18" s="2" customFormat="1" ht="12.75" x14ac:dyDescent="0.2">
      <c r="R57196" s="1288"/>
    </row>
    <row r="57197" spans="18:18" s="2" customFormat="1" ht="12.75" x14ac:dyDescent="0.2">
      <c r="R57197" s="1288"/>
    </row>
    <row r="57198" spans="18:18" s="2" customFormat="1" ht="12.75" x14ac:dyDescent="0.2">
      <c r="R57198" s="1288"/>
    </row>
    <row r="57199" spans="18:18" s="2" customFormat="1" ht="12.75" x14ac:dyDescent="0.2">
      <c r="R57199" s="1288"/>
    </row>
    <row r="57200" spans="18:18" s="2" customFormat="1" ht="12.75" x14ac:dyDescent="0.2">
      <c r="R57200" s="1288"/>
    </row>
    <row r="57201" spans="18:18" s="2" customFormat="1" ht="12.75" x14ac:dyDescent="0.2">
      <c r="R57201" s="1288"/>
    </row>
    <row r="57202" spans="18:18" s="2" customFormat="1" ht="12.75" x14ac:dyDescent="0.2">
      <c r="R57202" s="1288"/>
    </row>
    <row r="57203" spans="18:18" s="2" customFormat="1" ht="12.75" x14ac:dyDescent="0.2">
      <c r="R57203" s="1288"/>
    </row>
    <row r="57204" spans="18:18" s="2" customFormat="1" ht="12.75" x14ac:dyDescent="0.2">
      <c r="R57204" s="1288"/>
    </row>
    <row r="57205" spans="18:18" s="2" customFormat="1" ht="12.75" x14ac:dyDescent="0.2">
      <c r="R57205" s="1288"/>
    </row>
    <row r="57206" spans="18:18" s="2" customFormat="1" ht="12.75" x14ac:dyDescent="0.2">
      <c r="R57206" s="1288"/>
    </row>
    <row r="57207" spans="18:18" s="2" customFormat="1" ht="12.75" x14ac:dyDescent="0.2">
      <c r="R57207" s="1288"/>
    </row>
    <row r="57208" spans="18:18" s="2" customFormat="1" ht="12.75" x14ac:dyDescent="0.2">
      <c r="R57208" s="1288"/>
    </row>
    <row r="57209" spans="18:18" s="2" customFormat="1" ht="12.75" x14ac:dyDescent="0.2">
      <c r="R57209" s="1288"/>
    </row>
    <row r="57210" spans="18:18" s="2" customFormat="1" ht="12.75" x14ac:dyDescent="0.2">
      <c r="R57210" s="1288"/>
    </row>
    <row r="57211" spans="18:18" s="2" customFormat="1" ht="12.75" x14ac:dyDescent="0.2">
      <c r="R57211" s="1288"/>
    </row>
    <row r="57212" spans="18:18" s="2" customFormat="1" ht="12.75" x14ac:dyDescent="0.2">
      <c r="R57212" s="1288"/>
    </row>
    <row r="57213" spans="18:18" s="2" customFormat="1" ht="12.75" x14ac:dyDescent="0.2">
      <c r="R57213" s="1288"/>
    </row>
    <row r="57214" spans="18:18" s="2" customFormat="1" ht="12.75" x14ac:dyDescent="0.2">
      <c r="R57214" s="1288"/>
    </row>
    <row r="57215" spans="18:18" s="2" customFormat="1" ht="12.75" x14ac:dyDescent="0.2">
      <c r="R57215" s="1288"/>
    </row>
    <row r="57216" spans="18:18" s="2" customFormat="1" ht="12.75" x14ac:dyDescent="0.2">
      <c r="R57216" s="1288"/>
    </row>
    <row r="57217" spans="18:18" s="2" customFormat="1" ht="12.75" x14ac:dyDescent="0.2">
      <c r="R57217" s="1288"/>
    </row>
    <row r="57218" spans="18:18" s="2" customFormat="1" ht="12.75" x14ac:dyDescent="0.2">
      <c r="R57218" s="1288"/>
    </row>
    <row r="57219" spans="18:18" s="2" customFormat="1" ht="12.75" x14ac:dyDescent="0.2">
      <c r="R57219" s="1288"/>
    </row>
    <row r="57220" spans="18:18" s="2" customFormat="1" ht="12.75" x14ac:dyDescent="0.2">
      <c r="R57220" s="1288"/>
    </row>
    <row r="57221" spans="18:18" s="2" customFormat="1" ht="12.75" x14ac:dyDescent="0.2">
      <c r="R57221" s="1288"/>
    </row>
    <row r="57222" spans="18:18" s="2" customFormat="1" ht="12.75" x14ac:dyDescent="0.2">
      <c r="R57222" s="1288"/>
    </row>
    <row r="57223" spans="18:18" s="2" customFormat="1" ht="12.75" x14ac:dyDescent="0.2">
      <c r="R57223" s="1288"/>
    </row>
    <row r="57224" spans="18:18" s="2" customFormat="1" ht="12.75" x14ac:dyDescent="0.2">
      <c r="R57224" s="1288"/>
    </row>
    <row r="57225" spans="18:18" s="2" customFormat="1" ht="12.75" x14ac:dyDescent="0.2">
      <c r="R57225" s="1288"/>
    </row>
    <row r="57226" spans="18:18" s="2" customFormat="1" ht="12.75" x14ac:dyDescent="0.2">
      <c r="R57226" s="1288"/>
    </row>
    <row r="57227" spans="18:18" s="2" customFormat="1" ht="12.75" x14ac:dyDescent="0.2">
      <c r="R57227" s="1288"/>
    </row>
    <row r="57228" spans="18:18" s="2" customFormat="1" ht="12.75" x14ac:dyDescent="0.2">
      <c r="R57228" s="1288"/>
    </row>
    <row r="57229" spans="18:18" s="2" customFormat="1" ht="12.75" x14ac:dyDescent="0.2">
      <c r="R57229" s="1288"/>
    </row>
    <row r="57230" spans="18:18" s="2" customFormat="1" ht="12.75" x14ac:dyDescent="0.2">
      <c r="R57230" s="1288"/>
    </row>
    <row r="57231" spans="18:18" s="2" customFormat="1" ht="12.75" x14ac:dyDescent="0.2">
      <c r="R57231" s="1288"/>
    </row>
    <row r="57232" spans="18:18" s="2" customFormat="1" ht="12.75" x14ac:dyDescent="0.2">
      <c r="R57232" s="1288"/>
    </row>
    <row r="57233" spans="18:18" s="2" customFormat="1" ht="12.75" x14ac:dyDescent="0.2">
      <c r="R57233" s="1288"/>
    </row>
    <row r="57234" spans="18:18" s="2" customFormat="1" ht="12.75" x14ac:dyDescent="0.2">
      <c r="R57234" s="1288"/>
    </row>
    <row r="57235" spans="18:18" s="2" customFormat="1" ht="12.75" x14ac:dyDescent="0.2">
      <c r="R57235" s="1288"/>
    </row>
    <row r="57236" spans="18:18" s="2" customFormat="1" ht="12.75" x14ac:dyDescent="0.2">
      <c r="R57236" s="1288"/>
    </row>
    <row r="57237" spans="18:18" s="2" customFormat="1" ht="12.75" x14ac:dyDescent="0.2">
      <c r="R57237" s="1288"/>
    </row>
    <row r="57238" spans="18:18" s="2" customFormat="1" ht="12.75" x14ac:dyDescent="0.2">
      <c r="R57238" s="1288"/>
    </row>
    <row r="57239" spans="18:18" s="2" customFormat="1" ht="12.75" x14ac:dyDescent="0.2">
      <c r="R57239" s="1288"/>
    </row>
    <row r="57240" spans="18:18" s="2" customFormat="1" ht="12.75" x14ac:dyDescent="0.2">
      <c r="R57240" s="1288"/>
    </row>
    <row r="57241" spans="18:18" s="2" customFormat="1" ht="12.75" x14ac:dyDescent="0.2">
      <c r="R57241" s="1288"/>
    </row>
    <row r="57242" spans="18:18" s="2" customFormat="1" ht="12.75" x14ac:dyDescent="0.2">
      <c r="R57242" s="1288"/>
    </row>
    <row r="57243" spans="18:18" s="2" customFormat="1" ht="12.75" x14ac:dyDescent="0.2">
      <c r="R57243" s="1288"/>
    </row>
    <row r="57244" spans="18:18" s="2" customFormat="1" ht="12.75" x14ac:dyDescent="0.2">
      <c r="R57244" s="1288"/>
    </row>
    <row r="57245" spans="18:18" s="2" customFormat="1" ht="12.75" x14ac:dyDescent="0.2">
      <c r="R57245" s="1288"/>
    </row>
    <row r="57246" spans="18:18" s="2" customFormat="1" ht="12.75" x14ac:dyDescent="0.2">
      <c r="R57246" s="1288"/>
    </row>
    <row r="57247" spans="18:18" s="2" customFormat="1" ht="12.75" x14ac:dyDescent="0.2">
      <c r="R57247" s="1288"/>
    </row>
    <row r="57248" spans="18:18" s="2" customFormat="1" ht="12.75" x14ac:dyDescent="0.2">
      <c r="R57248" s="1288"/>
    </row>
    <row r="57249" spans="18:18" s="2" customFormat="1" ht="12.75" x14ac:dyDescent="0.2">
      <c r="R57249" s="1288"/>
    </row>
    <row r="57250" spans="18:18" s="2" customFormat="1" ht="12.75" x14ac:dyDescent="0.2">
      <c r="R57250" s="1288"/>
    </row>
    <row r="57251" spans="18:18" s="2" customFormat="1" ht="12.75" x14ac:dyDescent="0.2">
      <c r="R57251" s="1288"/>
    </row>
    <row r="57252" spans="18:18" s="2" customFormat="1" ht="12.75" x14ac:dyDescent="0.2">
      <c r="R57252" s="1288"/>
    </row>
    <row r="57253" spans="18:18" s="2" customFormat="1" ht="12.75" x14ac:dyDescent="0.2">
      <c r="R57253" s="1288"/>
    </row>
    <row r="57254" spans="18:18" s="2" customFormat="1" ht="12.75" x14ac:dyDescent="0.2">
      <c r="R57254" s="1288"/>
    </row>
    <row r="57255" spans="18:18" s="2" customFormat="1" ht="12.75" x14ac:dyDescent="0.2">
      <c r="R57255" s="1288"/>
    </row>
    <row r="57256" spans="18:18" s="2" customFormat="1" ht="12.75" x14ac:dyDescent="0.2">
      <c r="R57256" s="1288"/>
    </row>
    <row r="57257" spans="18:18" s="2" customFormat="1" ht="12.75" x14ac:dyDescent="0.2">
      <c r="R57257" s="1288"/>
    </row>
    <row r="57258" spans="18:18" s="2" customFormat="1" ht="12.75" x14ac:dyDescent="0.2">
      <c r="R57258" s="1288"/>
    </row>
    <row r="57259" spans="18:18" s="2" customFormat="1" ht="12.75" x14ac:dyDescent="0.2">
      <c r="R57259" s="1288"/>
    </row>
    <row r="57260" spans="18:18" s="2" customFormat="1" ht="12.75" x14ac:dyDescent="0.2">
      <c r="R57260" s="1288"/>
    </row>
    <row r="57261" spans="18:18" s="2" customFormat="1" ht="12.75" x14ac:dyDescent="0.2">
      <c r="R57261" s="1288"/>
    </row>
    <row r="57262" spans="18:18" s="2" customFormat="1" ht="12.75" x14ac:dyDescent="0.2">
      <c r="R57262" s="1288"/>
    </row>
    <row r="57263" spans="18:18" s="2" customFormat="1" ht="12.75" x14ac:dyDescent="0.2">
      <c r="R57263" s="1288"/>
    </row>
    <row r="57264" spans="18:18" s="2" customFormat="1" ht="12.75" x14ac:dyDescent="0.2">
      <c r="R57264" s="1288"/>
    </row>
    <row r="57265" spans="18:18" s="2" customFormat="1" ht="12.75" x14ac:dyDescent="0.2">
      <c r="R57265" s="1288"/>
    </row>
    <row r="57266" spans="18:18" s="2" customFormat="1" ht="12.75" x14ac:dyDescent="0.2">
      <c r="R57266" s="1288"/>
    </row>
    <row r="57267" spans="18:18" s="2" customFormat="1" ht="12.75" x14ac:dyDescent="0.2">
      <c r="R57267" s="1288"/>
    </row>
    <row r="57268" spans="18:18" s="2" customFormat="1" ht="12.75" x14ac:dyDescent="0.2">
      <c r="R57268" s="1288"/>
    </row>
    <row r="57269" spans="18:18" s="2" customFormat="1" ht="12.75" x14ac:dyDescent="0.2">
      <c r="R57269" s="1288"/>
    </row>
    <row r="57270" spans="18:18" s="2" customFormat="1" ht="12.75" x14ac:dyDescent="0.2">
      <c r="R57270" s="1288"/>
    </row>
    <row r="57271" spans="18:18" s="2" customFormat="1" ht="12.75" x14ac:dyDescent="0.2">
      <c r="R57271" s="1288"/>
    </row>
    <row r="57272" spans="18:18" s="2" customFormat="1" ht="12.75" x14ac:dyDescent="0.2">
      <c r="R57272" s="1288"/>
    </row>
    <row r="57273" spans="18:18" s="2" customFormat="1" ht="12.75" x14ac:dyDescent="0.2">
      <c r="R57273" s="1288"/>
    </row>
    <row r="57274" spans="18:18" s="2" customFormat="1" ht="12.75" x14ac:dyDescent="0.2">
      <c r="R57274" s="1288"/>
    </row>
    <row r="57275" spans="18:18" s="2" customFormat="1" ht="12.75" x14ac:dyDescent="0.2">
      <c r="R57275" s="1288"/>
    </row>
    <row r="57276" spans="18:18" s="2" customFormat="1" ht="12.75" x14ac:dyDescent="0.2">
      <c r="R57276" s="1288"/>
    </row>
    <row r="57277" spans="18:18" s="2" customFormat="1" ht="12.75" x14ac:dyDescent="0.2">
      <c r="R57277" s="1288"/>
    </row>
    <row r="57278" spans="18:18" s="2" customFormat="1" ht="12.75" x14ac:dyDescent="0.2">
      <c r="R57278" s="1288"/>
    </row>
    <row r="57279" spans="18:18" s="2" customFormat="1" ht="12.75" x14ac:dyDescent="0.2">
      <c r="R57279" s="1288"/>
    </row>
    <row r="57280" spans="18:18" s="2" customFormat="1" ht="12.75" x14ac:dyDescent="0.2">
      <c r="R57280" s="1288"/>
    </row>
    <row r="57281" spans="18:18" s="2" customFormat="1" ht="12.75" x14ac:dyDescent="0.2">
      <c r="R57281" s="1288"/>
    </row>
    <row r="57282" spans="18:18" s="2" customFormat="1" ht="12.75" x14ac:dyDescent="0.2">
      <c r="R57282" s="1288"/>
    </row>
    <row r="57283" spans="18:18" s="2" customFormat="1" ht="12.75" x14ac:dyDescent="0.2">
      <c r="R57283" s="1288"/>
    </row>
    <row r="57284" spans="18:18" s="2" customFormat="1" ht="12.75" x14ac:dyDescent="0.2">
      <c r="R57284" s="1288"/>
    </row>
    <row r="57285" spans="18:18" s="2" customFormat="1" ht="12.75" x14ac:dyDescent="0.2">
      <c r="R57285" s="1288"/>
    </row>
    <row r="57286" spans="18:18" s="2" customFormat="1" ht="12.75" x14ac:dyDescent="0.2">
      <c r="R57286" s="1288"/>
    </row>
    <row r="57287" spans="18:18" s="2" customFormat="1" ht="12.75" x14ac:dyDescent="0.2">
      <c r="R57287" s="1288"/>
    </row>
    <row r="57288" spans="18:18" s="2" customFormat="1" ht="12.75" x14ac:dyDescent="0.2">
      <c r="R57288" s="1288"/>
    </row>
    <row r="57289" spans="18:18" s="2" customFormat="1" ht="12.75" x14ac:dyDescent="0.2">
      <c r="R57289" s="1288"/>
    </row>
    <row r="57290" spans="18:18" s="2" customFormat="1" ht="12.75" x14ac:dyDescent="0.2">
      <c r="R57290" s="1288"/>
    </row>
    <row r="57291" spans="18:18" s="2" customFormat="1" ht="12.75" x14ac:dyDescent="0.2">
      <c r="R57291" s="1288"/>
    </row>
    <row r="57292" spans="18:18" s="2" customFormat="1" ht="12.75" x14ac:dyDescent="0.2">
      <c r="R57292" s="1288"/>
    </row>
    <row r="57293" spans="18:18" s="2" customFormat="1" ht="12.75" x14ac:dyDescent="0.2">
      <c r="R57293" s="1288"/>
    </row>
    <row r="57294" spans="18:18" s="2" customFormat="1" ht="12.75" x14ac:dyDescent="0.2">
      <c r="R57294" s="1288"/>
    </row>
    <row r="57295" spans="18:18" s="2" customFormat="1" ht="12.75" x14ac:dyDescent="0.2">
      <c r="R57295" s="1288"/>
    </row>
    <row r="57296" spans="18:18" s="2" customFormat="1" ht="12.75" x14ac:dyDescent="0.2">
      <c r="R57296" s="1288"/>
    </row>
    <row r="57297" spans="18:18" s="2" customFormat="1" ht="12.75" x14ac:dyDescent="0.2">
      <c r="R57297" s="1288"/>
    </row>
    <row r="57298" spans="18:18" s="2" customFormat="1" ht="12.75" x14ac:dyDescent="0.2">
      <c r="R57298" s="1288"/>
    </row>
    <row r="57299" spans="18:18" s="2" customFormat="1" ht="12.75" x14ac:dyDescent="0.2">
      <c r="R57299" s="1288"/>
    </row>
    <row r="57300" spans="18:18" s="2" customFormat="1" ht="12.75" x14ac:dyDescent="0.2">
      <c r="R57300" s="1288"/>
    </row>
    <row r="57301" spans="18:18" s="2" customFormat="1" ht="12.75" x14ac:dyDescent="0.2">
      <c r="R57301" s="1288"/>
    </row>
    <row r="57302" spans="18:18" s="2" customFormat="1" ht="12.75" x14ac:dyDescent="0.2">
      <c r="R57302" s="1288"/>
    </row>
    <row r="57303" spans="18:18" s="2" customFormat="1" ht="12.75" x14ac:dyDescent="0.2">
      <c r="R57303" s="1288"/>
    </row>
    <row r="57304" spans="18:18" s="2" customFormat="1" ht="12.75" x14ac:dyDescent="0.2">
      <c r="R57304" s="1288"/>
    </row>
    <row r="57305" spans="18:18" s="2" customFormat="1" ht="12.75" x14ac:dyDescent="0.2">
      <c r="R57305" s="1288"/>
    </row>
    <row r="57306" spans="18:18" s="2" customFormat="1" ht="12.75" x14ac:dyDescent="0.2">
      <c r="R57306" s="1288"/>
    </row>
    <row r="57307" spans="18:18" s="2" customFormat="1" ht="12.75" x14ac:dyDescent="0.2">
      <c r="R57307" s="1288"/>
    </row>
    <row r="57308" spans="18:18" s="2" customFormat="1" ht="12.75" x14ac:dyDescent="0.2">
      <c r="R57308" s="1288"/>
    </row>
    <row r="57309" spans="18:18" s="2" customFormat="1" ht="12.75" x14ac:dyDescent="0.2">
      <c r="R57309" s="1288"/>
    </row>
    <row r="57310" spans="18:18" s="2" customFormat="1" ht="12.75" x14ac:dyDescent="0.2">
      <c r="R57310" s="1288"/>
    </row>
    <row r="57311" spans="18:18" s="2" customFormat="1" ht="12.75" x14ac:dyDescent="0.2">
      <c r="R57311" s="1288"/>
    </row>
    <row r="57312" spans="18:18" s="2" customFormat="1" ht="12.75" x14ac:dyDescent="0.2">
      <c r="R57312" s="1288"/>
    </row>
    <row r="57313" spans="18:18" s="2" customFormat="1" ht="12.75" x14ac:dyDescent="0.2">
      <c r="R57313" s="1288"/>
    </row>
    <row r="57314" spans="18:18" s="2" customFormat="1" ht="12.75" x14ac:dyDescent="0.2">
      <c r="R57314" s="1288"/>
    </row>
    <row r="57315" spans="18:18" s="2" customFormat="1" ht="12.75" x14ac:dyDescent="0.2">
      <c r="R57315" s="1288"/>
    </row>
    <row r="57316" spans="18:18" s="2" customFormat="1" ht="12.75" x14ac:dyDescent="0.2">
      <c r="R57316" s="1288"/>
    </row>
    <row r="57317" spans="18:18" s="2" customFormat="1" ht="12.75" x14ac:dyDescent="0.2">
      <c r="R57317" s="1288"/>
    </row>
    <row r="57318" spans="18:18" s="2" customFormat="1" ht="12.75" x14ac:dyDescent="0.2">
      <c r="R57318" s="1288"/>
    </row>
    <row r="57319" spans="18:18" s="2" customFormat="1" ht="12.75" x14ac:dyDescent="0.2">
      <c r="R57319" s="1288"/>
    </row>
    <row r="57320" spans="18:18" s="2" customFormat="1" ht="12.75" x14ac:dyDescent="0.2">
      <c r="R57320" s="1288"/>
    </row>
    <row r="57321" spans="18:18" s="2" customFormat="1" ht="12.75" x14ac:dyDescent="0.2">
      <c r="R57321" s="1288"/>
    </row>
    <row r="57322" spans="18:18" s="2" customFormat="1" ht="12.75" x14ac:dyDescent="0.2">
      <c r="R57322" s="1288"/>
    </row>
    <row r="57323" spans="18:18" s="2" customFormat="1" ht="12.75" x14ac:dyDescent="0.2">
      <c r="R57323" s="1288"/>
    </row>
    <row r="57324" spans="18:18" s="2" customFormat="1" ht="12.75" x14ac:dyDescent="0.2">
      <c r="R57324" s="1288"/>
    </row>
    <row r="57325" spans="18:18" s="2" customFormat="1" ht="12.75" x14ac:dyDescent="0.2">
      <c r="R57325" s="1288"/>
    </row>
    <row r="57326" spans="18:18" s="2" customFormat="1" ht="12.75" x14ac:dyDescent="0.2">
      <c r="R57326" s="1288"/>
    </row>
    <row r="57327" spans="18:18" s="2" customFormat="1" ht="12.75" x14ac:dyDescent="0.2">
      <c r="R57327" s="1288"/>
    </row>
    <row r="57328" spans="18:18" s="2" customFormat="1" ht="12.75" x14ac:dyDescent="0.2">
      <c r="R57328" s="1288"/>
    </row>
    <row r="57329" spans="18:18" s="2" customFormat="1" ht="12.75" x14ac:dyDescent="0.2">
      <c r="R57329" s="1288"/>
    </row>
    <row r="57330" spans="18:18" s="2" customFormat="1" ht="12.75" x14ac:dyDescent="0.2">
      <c r="R57330" s="1288"/>
    </row>
    <row r="57331" spans="18:18" s="2" customFormat="1" ht="12.75" x14ac:dyDescent="0.2">
      <c r="R57331" s="1288"/>
    </row>
    <row r="57332" spans="18:18" s="2" customFormat="1" ht="12.75" x14ac:dyDescent="0.2">
      <c r="R57332" s="1288"/>
    </row>
    <row r="57333" spans="18:18" s="2" customFormat="1" ht="12.75" x14ac:dyDescent="0.2">
      <c r="R57333" s="1288"/>
    </row>
    <row r="57334" spans="18:18" s="2" customFormat="1" ht="12.75" x14ac:dyDescent="0.2">
      <c r="R57334" s="1288"/>
    </row>
    <row r="57335" spans="18:18" s="2" customFormat="1" ht="12.75" x14ac:dyDescent="0.2">
      <c r="R57335" s="1288"/>
    </row>
    <row r="57336" spans="18:18" s="2" customFormat="1" ht="12.75" x14ac:dyDescent="0.2">
      <c r="R57336" s="1288"/>
    </row>
    <row r="57337" spans="18:18" s="2" customFormat="1" ht="12.75" x14ac:dyDescent="0.2">
      <c r="R57337" s="1288"/>
    </row>
    <row r="57338" spans="18:18" s="2" customFormat="1" ht="12.75" x14ac:dyDescent="0.2">
      <c r="R57338" s="1288"/>
    </row>
    <row r="57339" spans="18:18" s="2" customFormat="1" ht="12.75" x14ac:dyDescent="0.2">
      <c r="R57339" s="1288"/>
    </row>
    <row r="57340" spans="18:18" s="2" customFormat="1" ht="12.75" x14ac:dyDescent="0.2">
      <c r="R57340" s="1288"/>
    </row>
    <row r="57341" spans="18:18" s="2" customFormat="1" ht="12.75" x14ac:dyDescent="0.2">
      <c r="R57341" s="1288"/>
    </row>
    <row r="57342" spans="18:18" s="2" customFormat="1" ht="12.75" x14ac:dyDescent="0.2">
      <c r="R57342" s="1288"/>
    </row>
    <row r="57343" spans="18:18" s="2" customFormat="1" ht="12.75" x14ac:dyDescent="0.2">
      <c r="R57343" s="1288"/>
    </row>
    <row r="57344" spans="18:18" s="2" customFormat="1" ht="12.75" x14ac:dyDescent="0.2">
      <c r="R57344" s="1288"/>
    </row>
    <row r="57345" spans="18:18" s="2" customFormat="1" ht="12.75" x14ac:dyDescent="0.2">
      <c r="R57345" s="1288"/>
    </row>
    <row r="57346" spans="18:18" s="2" customFormat="1" ht="12.75" x14ac:dyDescent="0.2">
      <c r="R57346" s="1288"/>
    </row>
    <row r="57347" spans="18:18" s="2" customFormat="1" ht="12.75" x14ac:dyDescent="0.2">
      <c r="R57347" s="1288"/>
    </row>
    <row r="57348" spans="18:18" s="2" customFormat="1" ht="12.75" x14ac:dyDescent="0.2">
      <c r="R57348" s="1288"/>
    </row>
    <row r="57349" spans="18:18" s="2" customFormat="1" ht="12.75" x14ac:dyDescent="0.2">
      <c r="R57349" s="1288"/>
    </row>
    <row r="57350" spans="18:18" s="2" customFormat="1" ht="12.75" x14ac:dyDescent="0.2">
      <c r="R57350" s="1288"/>
    </row>
    <row r="57351" spans="18:18" s="2" customFormat="1" ht="12.75" x14ac:dyDescent="0.2">
      <c r="R57351" s="1288"/>
    </row>
    <row r="57352" spans="18:18" s="2" customFormat="1" ht="12.75" x14ac:dyDescent="0.2">
      <c r="R57352" s="1288"/>
    </row>
    <row r="57353" spans="18:18" s="2" customFormat="1" ht="12.75" x14ac:dyDescent="0.2">
      <c r="R57353" s="1288"/>
    </row>
    <row r="57354" spans="18:18" s="2" customFormat="1" ht="12.75" x14ac:dyDescent="0.2">
      <c r="R57354" s="1288"/>
    </row>
    <row r="57355" spans="18:18" s="2" customFormat="1" ht="12.75" x14ac:dyDescent="0.2">
      <c r="R57355" s="1288"/>
    </row>
    <row r="57356" spans="18:18" s="2" customFormat="1" ht="12.75" x14ac:dyDescent="0.2">
      <c r="R57356" s="1288"/>
    </row>
    <row r="57357" spans="18:18" s="2" customFormat="1" ht="12.75" x14ac:dyDescent="0.2">
      <c r="R57357" s="1288"/>
    </row>
    <row r="57358" spans="18:18" s="2" customFormat="1" ht="12.75" x14ac:dyDescent="0.2">
      <c r="R57358" s="1288"/>
    </row>
    <row r="57359" spans="18:18" s="2" customFormat="1" ht="12.75" x14ac:dyDescent="0.2">
      <c r="R57359" s="1288"/>
    </row>
    <row r="57360" spans="18:18" s="2" customFormat="1" ht="12.75" x14ac:dyDescent="0.2">
      <c r="R57360" s="1288"/>
    </row>
    <row r="57361" spans="18:18" s="2" customFormat="1" ht="12.75" x14ac:dyDescent="0.2">
      <c r="R57361" s="1288"/>
    </row>
    <row r="57362" spans="18:18" s="2" customFormat="1" ht="12.75" x14ac:dyDescent="0.2">
      <c r="R57362" s="1288"/>
    </row>
    <row r="57363" spans="18:18" s="2" customFormat="1" ht="12.75" x14ac:dyDescent="0.2">
      <c r="R57363" s="1288"/>
    </row>
    <row r="57364" spans="18:18" s="2" customFormat="1" ht="12.75" x14ac:dyDescent="0.2">
      <c r="R57364" s="1288"/>
    </row>
    <row r="57365" spans="18:18" s="2" customFormat="1" ht="12.75" x14ac:dyDescent="0.2">
      <c r="R57365" s="1288"/>
    </row>
    <row r="57366" spans="18:18" s="2" customFormat="1" ht="12.75" x14ac:dyDescent="0.2">
      <c r="R57366" s="1288"/>
    </row>
    <row r="57367" spans="18:18" s="2" customFormat="1" ht="12.75" x14ac:dyDescent="0.2">
      <c r="R57367" s="1288"/>
    </row>
    <row r="57368" spans="18:18" s="2" customFormat="1" ht="12.75" x14ac:dyDescent="0.2">
      <c r="R57368" s="1288"/>
    </row>
    <row r="57369" spans="18:18" s="2" customFormat="1" ht="12.75" x14ac:dyDescent="0.2">
      <c r="R57369" s="1288"/>
    </row>
    <row r="57370" spans="18:18" s="2" customFormat="1" ht="12.75" x14ac:dyDescent="0.2">
      <c r="R57370" s="1288"/>
    </row>
    <row r="57371" spans="18:18" s="2" customFormat="1" ht="12.75" x14ac:dyDescent="0.2">
      <c r="R57371" s="1288"/>
    </row>
    <row r="57372" spans="18:18" s="2" customFormat="1" ht="12.75" x14ac:dyDescent="0.2">
      <c r="R57372" s="1288"/>
    </row>
    <row r="57373" spans="18:18" s="2" customFormat="1" ht="12.75" x14ac:dyDescent="0.2">
      <c r="R57373" s="1288"/>
    </row>
    <row r="57374" spans="18:18" s="2" customFormat="1" ht="12.75" x14ac:dyDescent="0.2">
      <c r="R57374" s="1288"/>
    </row>
    <row r="57375" spans="18:18" s="2" customFormat="1" ht="12.75" x14ac:dyDescent="0.2">
      <c r="R57375" s="1288"/>
    </row>
    <row r="57376" spans="18:18" s="2" customFormat="1" ht="12.75" x14ac:dyDescent="0.2">
      <c r="R57376" s="1288"/>
    </row>
    <row r="57377" spans="18:18" s="2" customFormat="1" ht="12.75" x14ac:dyDescent="0.2">
      <c r="R57377" s="1288"/>
    </row>
    <row r="57378" spans="18:18" s="2" customFormat="1" ht="12.75" x14ac:dyDescent="0.2">
      <c r="R57378" s="1288"/>
    </row>
    <row r="57379" spans="18:18" s="2" customFormat="1" ht="12.75" x14ac:dyDescent="0.2">
      <c r="R57379" s="1288"/>
    </row>
    <row r="57380" spans="18:18" s="2" customFormat="1" ht="12.75" x14ac:dyDescent="0.2">
      <c r="R57380" s="1288"/>
    </row>
    <row r="57381" spans="18:18" s="2" customFormat="1" ht="12.75" x14ac:dyDescent="0.2">
      <c r="R57381" s="1288"/>
    </row>
    <row r="57382" spans="18:18" s="2" customFormat="1" ht="12.75" x14ac:dyDescent="0.2">
      <c r="R57382" s="1288"/>
    </row>
    <row r="57383" spans="18:18" s="2" customFormat="1" ht="12.75" x14ac:dyDescent="0.2">
      <c r="R57383" s="1288"/>
    </row>
    <row r="57384" spans="18:18" s="2" customFormat="1" ht="12.75" x14ac:dyDescent="0.2">
      <c r="R57384" s="1288"/>
    </row>
    <row r="57385" spans="18:18" s="2" customFormat="1" ht="12.75" x14ac:dyDescent="0.2">
      <c r="R57385" s="1288"/>
    </row>
    <row r="57386" spans="18:18" s="2" customFormat="1" ht="12.75" x14ac:dyDescent="0.2">
      <c r="R57386" s="1288"/>
    </row>
    <row r="57387" spans="18:18" s="2" customFormat="1" ht="12.75" x14ac:dyDescent="0.2">
      <c r="R57387" s="1288"/>
    </row>
    <row r="57388" spans="18:18" s="2" customFormat="1" ht="12.75" x14ac:dyDescent="0.2">
      <c r="R57388" s="1288"/>
    </row>
    <row r="57389" spans="18:18" s="2" customFormat="1" ht="12.75" x14ac:dyDescent="0.2">
      <c r="R57389" s="1288"/>
    </row>
    <row r="57390" spans="18:18" s="2" customFormat="1" ht="12.75" x14ac:dyDescent="0.2">
      <c r="R57390" s="1288"/>
    </row>
    <row r="57391" spans="18:18" s="2" customFormat="1" ht="12.75" x14ac:dyDescent="0.2">
      <c r="R57391" s="1288"/>
    </row>
    <row r="57392" spans="18:18" s="2" customFormat="1" ht="12.75" x14ac:dyDescent="0.2">
      <c r="R57392" s="1288"/>
    </row>
    <row r="57393" spans="18:18" s="2" customFormat="1" ht="12.75" x14ac:dyDescent="0.2">
      <c r="R57393" s="1288"/>
    </row>
    <row r="57394" spans="18:18" s="2" customFormat="1" ht="12.75" x14ac:dyDescent="0.2">
      <c r="R57394" s="1288"/>
    </row>
    <row r="57395" spans="18:18" s="2" customFormat="1" ht="12.75" x14ac:dyDescent="0.2">
      <c r="R57395" s="1288"/>
    </row>
    <row r="57396" spans="18:18" s="2" customFormat="1" ht="12.75" x14ac:dyDescent="0.2">
      <c r="R57396" s="1288"/>
    </row>
    <row r="57397" spans="18:18" s="2" customFormat="1" ht="12.75" x14ac:dyDescent="0.2">
      <c r="R57397" s="1288"/>
    </row>
    <row r="57398" spans="18:18" s="2" customFormat="1" ht="12.75" x14ac:dyDescent="0.2">
      <c r="R57398" s="1288"/>
    </row>
    <row r="57399" spans="18:18" s="2" customFormat="1" ht="12.75" x14ac:dyDescent="0.2">
      <c r="R57399" s="1288"/>
    </row>
    <row r="57400" spans="18:18" s="2" customFormat="1" ht="12.75" x14ac:dyDescent="0.2">
      <c r="R57400" s="1288"/>
    </row>
    <row r="57401" spans="18:18" s="2" customFormat="1" ht="12.75" x14ac:dyDescent="0.2">
      <c r="R57401" s="1288"/>
    </row>
    <row r="57402" spans="18:18" s="2" customFormat="1" ht="12.75" x14ac:dyDescent="0.2">
      <c r="R57402" s="1288"/>
    </row>
    <row r="57403" spans="18:18" s="2" customFormat="1" ht="12.75" x14ac:dyDescent="0.2">
      <c r="R57403" s="1288"/>
    </row>
    <row r="57404" spans="18:18" s="2" customFormat="1" ht="12.75" x14ac:dyDescent="0.2">
      <c r="R57404" s="1288"/>
    </row>
    <row r="57405" spans="18:18" s="2" customFormat="1" ht="12.75" x14ac:dyDescent="0.2">
      <c r="R57405" s="1288"/>
    </row>
    <row r="57406" spans="18:18" s="2" customFormat="1" ht="12.75" x14ac:dyDescent="0.2">
      <c r="R57406" s="1288"/>
    </row>
    <row r="57407" spans="18:18" s="2" customFormat="1" ht="12.75" x14ac:dyDescent="0.2">
      <c r="R57407" s="1288"/>
    </row>
    <row r="57408" spans="18:18" s="2" customFormat="1" ht="12.75" x14ac:dyDescent="0.2">
      <c r="R57408" s="1288"/>
    </row>
    <row r="57409" spans="18:18" s="2" customFormat="1" ht="12.75" x14ac:dyDescent="0.2">
      <c r="R57409" s="1288"/>
    </row>
    <row r="57410" spans="18:18" s="2" customFormat="1" ht="12.75" x14ac:dyDescent="0.2">
      <c r="R57410" s="1288"/>
    </row>
    <row r="57411" spans="18:18" s="2" customFormat="1" ht="12.75" x14ac:dyDescent="0.2">
      <c r="R57411" s="1288"/>
    </row>
    <row r="57412" spans="18:18" s="2" customFormat="1" ht="12.75" x14ac:dyDescent="0.2">
      <c r="R57412" s="1288"/>
    </row>
    <row r="57413" spans="18:18" s="2" customFormat="1" ht="12.75" x14ac:dyDescent="0.2">
      <c r="R57413" s="1288"/>
    </row>
    <row r="57414" spans="18:18" s="2" customFormat="1" ht="12.75" x14ac:dyDescent="0.2">
      <c r="R57414" s="1288"/>
    </row>
    <row r="57415" spans="18:18" s="2" customFormat="1" ht="12.75" x14ac:dyDescent="0.2">
      <c r="R57415" s="1288"/>
    </row>
    <row r="57416" spans="18:18" s="2" customFormat="1" ht="12.75" x14ac:dyDescent="0.2">
      <c r="R57416" s="1288"/>
    </row>
    <row r="57417" spans="18:18" s="2" customFormat="1" ht="12.75" x14ac:dyDescent="0.2">
      <c r="R57417" s="1288"/>
    </row>
    <row r="57418" spans="18:18" s="2" customFormat="1" ht="12.75" x14ac:dyDescent="0.2">
      <c r="R57418" s="1288"/>
    </row>
    <row r="57419" spans="18:18" s="2" customFormat="1" ht="12.75" x14ac:dyDescent="0.2">
      <c r="R57419" s="1288"/>
    </row>
    <row r="57420" spans="18:18" s="2" customFormat="1" ht="12.75" x14ac:dyDescent="0.2">
      <c r="R57420" s="1288"/>
    </row>
    <row r="57421" spans="18:18" s="2" customFormat="1" ht="12.75" x14ac:dyDescent="0.2">
      <c r="R57421" s="1288"/>
    </row>
    <row r="57422" spans="18:18" s="2" customFormat="1" ht="12.75" x14ac:dyDescent="0.2">
      <c r="R57422" s="1288"/>
    </row>
    <row r="57423" spans="18:18" s="2" customFormat="1" ht="12.75" x14ac:dyDescent="0.2">
      <c r="R57423" s="1288"/>
    </row>
    <row r="57424" spans="18:18" s="2" customFormat="1" ht="12.75" x14ac:dyDescent="0.2">
      <c r="R57424" s="1288"/>
    </row>
    <row r="57425" spans="18:18" s="2" customFormat="1" ht="12.75" x14ac:dyDescent="0.2">
      <c r="R57425" s="1288"/>
    </row>
    <row r="57426" spans="18:18" s="2" customFormat="1" ht="12.75" x14ac:dyDescent="0.2">
      <c r="R57426" s="1288"/>
    </row>
    <row r="57427" spans="18:18" s="2" customFormat="1" ht="12.75" x14ac:dyDescent="0.2">
      <c r="R57427" s="1288"/>
    </row>
    <row r="57428" spans="18:18" s="2" customFormat="1" ht="12.75" x14ac:dyDescent="0.2">
      <c r="R57428" s="1288"/>
    </row>
    <row r="57429" spans="18:18" s="2" customFormat="1" ht="12.75" x14ac:dyDescent="0.2">
      <c r="R57429" s="1288"/>
    </row>
    <row r="57430" spans="18:18" s="2" customFormat="1" ht="12.75" x14ac:dyDescent="0.2">
      <c r="R57430" s="1288"/>
    </row>
    <row r="57431" spans="18:18" s="2" customFormat="1" ht="12.75" x14ac:dyDescent="0.2">
      <c r="R57431" s="1288"/>
    </row>
    <row r="57432" spans="18:18" s="2" customFormat="1" ht="12.75" x14ac:dyDescent="0.2">
      <c r="R57432" s="1288"/>
    </row>
    <row r="57433" spans="18:18" s="2" customFormat="1" ht="12.75" x14ac:dyDescent="0.2">
      <c r="R57433" s="1288"/>
    </row>
    <row r="57434" spans="18:18" s="2" customFormat="1" ht="12.75" x14ac:dyDescent="0.2">
      <c r="R57434" s="1288"/>
    </row>
    <row r="57435" spans="18:18" s="2" customFormat="1" ht="12.75" x14ac:dyDescent="0.2">
      <c r="R57435" s="1288"/>
    </row>
    <row r="57436" spans="18:18" s="2" customFormat="1" ht="12.75" x14ac:dyDescent="0.2">
      <c r="R57436" s="1288"/>
    </row>
    <row r="57437" spans="18:18" s="2" customFormat="1" ht="12.75" x14ac:dyDescent="0.2">
      <c r="R57437" s="1288"/>
    </row>
    <row r="57438" spans="18:18" s="2" customFormat="1" ht="12.75" x14ac:dyDescent="0.2">
      <c r="R57438" s="1288"/>
    </row>
    <row r="57439" spans="18:18" s="2" customFormat="1" ht="12.75" x14ac:dyDescent="0.2">
      <c r="R57439" s="1288"/>
    </row>
    <row r="57440" spans="18:18" s="2" customFormat="1" ht="12.75" x14ac:dyDescent="0.2">
      <c r="R57440" s="1288"/>
    </row>
    <row r="57441" spans="18:18" s="2" customFormat="1" ht="12.75" x14ac:dyDescent="0.2">
      <c r="R57441" s="1288"/>
    </row>
    <row r="57442" spans="18:18" s="2" customFormat="1" ht="12.75" x14ac:dyDescent="0.2">
      <c r="R57442" s="1288"/>
    </row>
    <row r="57443" spans="18:18" s="2" customFormat="1" ht="12.75" x14ac:dyDescent="0.2">
      <c r="R57443" s="1288"/>
    </row>
    <row r="57444" spans="18:18" s="2" customFormat="1" ht="12.75" x14ac:dyDescent="0.2">
      <c r="R57444" s="1288"/>
    </row>
    <row r="57445" spans="18:18" s="2" customFormat="1" ht="12.75" x14ac:dyDescent="0.2">
      <c r="R57445" s="1288"/>
    </row>
    <row r="57446" spans="18:18" s="2" customFormat="1" ht="12.75" x14ac:dyDescent="0.2">
      <c r="R57446" s="1288"/>
    </row>
    <row r="57447" spans="18:18" s="2" customFormat="1" ht="12.75" x14ac:dyDescent="0.2">
      <c r="R57447" s="1288"/>
    </row>
    <row r="57448" spans="18:18" s="2" customFormat="1" ht="12.75" x14ac:dyDescent="0.2">
      <c r="R57448" s="1288"/>
    </row>
    <row r="57449" spans="18:18" s="2" customFormat="1" ht="12.75" x14ac:dyDescent="0.2">
      <c r="R57449" s="1288"/>
    </row>
    <row r="57450" spans="18:18" s="2" customFormat="1" ht="12.75" x14ac:dyDescent="0.2">
      <c r="R57450" s="1288"/>
    </row>
    <row r="57451" spans="18:18" s="2" customFormat="1" ht="12.75" x14ac:dyDescent="0.2">
      <c r="R57451" s="1288"/>
    </row>
    <row r="57452" spans="18:18" s="2" customFormat="1" ht="12.75" x14ac:dyDescent="0.2">
      <c r="R57452" s="1288"/>
    </row>
    <row r="57453" spans="18:18" s="2" customFormat="1" ht="12.75" x14ac:dyDescent="0.2">
      <c r="R57453" s="1288"/>
    </row>
    <row r="57454" spans="18:18" s="2" customFormat="1" ht="12.75" x14ac:dyDescent="0.2">
      <c r="R57454" s="1288"/>
    </row>
    <row r="57455" spans="18:18" s="2" customFormat="1" ht="12.75" x14ac:dyDescent="0.2">
      <c r="R57455" s="1288"/>
    </row>
    <row r="57456" spans="18:18" s="2" customFormat="1" ht="12.75" x14ac:dyDescent="0.2">
      <c r="R57456" s="1288"/>
    </row>
    <row r="57457" spans="18:18" s="2" customFormat="1" ht="12.75" x14ac:dyDescent="0.2">
      <c r="R57457" s="1288"/>
    </row>
    <row r="57458" spans="18:18" s="2" customFormat="1" ht="12.75" x14ac:dyDescent="0.2">
      <c r="R57458" s="1288"/>
    </row>
    <row r="57459" spans="18:18" s="2" customFormat="1" ht="12.75" x14ac:dyDescent="0.2">
      <c r="R57459" s="1288"/>
    </row>
    <row r="57460" spans="18:18" s="2" customFormat="1" ht="12.75" x14ac:dyDescent="0.2">
      <c r="R57460" s="1288"/>
    </row>
    <row r="57461" spans="18:18" s="2" customFormat="1" ht="12.75" x14ac:dyDescent="0.2">
      <c r="R57461" s="1288"/>
    </row>
    <row r="57462" spans="18:18" s="2" customFormat="1" ht="12.75" x14ac:dyDescent="0.2">
      <c r="R57462" s="1288"/>
    </row>
    <row r="57463" spans="18:18" s="2" customFormat="1" ht="12.75" x14ac:dyDescent="0.2">
      <c r="R57463" s="1288"/>
    </row>
    <row r="57464" spans="18:18" s="2" customFormat="1" ht="12.75" x14ac:dyDescent="0.2">
      <c r="R57464" s="1288"/>
    </row>
    <row r="57465" spans="18:18" s="2" customFormat="1" ht="12.75" x14ac:dyDescent="0.2">
      <c r="R57465" s="1288"/>
    </row>
    <row r="57466" spans="18:18" s="2" customFormat="1" ht="12.75" x14ac:dyDescent="0.2">
      <c r="R57466" s="1288"/>
    </row>
    <row r="57467" spans="18:18" s="2" customFormat="1" ht="12.75" x14ac:dyDescent="0.2">
      <c r="R57467" s="1288"/>
    </row>
    <row r="57468" spans="18:18" s="2" customFormat="1" ht="12.75" x14ac:dyDescent="0.2">
      <c r="R57468" s="1288"/>
    </row>
    <row r="57469" spans="18:18" s="2" customFormat="1" ht="12.75" x14ac:dyDescent="0.2">
      <c r="R57469" s="1288"/>
    </row>
    <row r="57470" spans="18:18" s="2" customFormat="1" ht="12.75" x14ac:dyDescent="0.2">
      <c r="R57470" s="1288"/>
    </row>
    <row r="57471" spans="18:18" s="2" customFormat="1" ht="12.75" x14ac:dyDescent="0.2">
      <c r="R57471" s="1288"/>
    </row>
    <row r="57472" spans="18:18" s="2" customFormat="1" ht="12.75" x14ac:dyDescent="0.2">
      <c r="R57472" s="1288"/>
    </row>
    <row r="57473" spans="18:18" s="2" customFormat="1" ht="12.75" x14ac:dyDescent="0.2">
      <c r="R57473" s="1288"/>
    </row>
    <row r="57474" spans="18:18" s="2" customFormat="1" ht="12.75" x14ac:dyDescent="0.2">
      <c r="R57474" s="1288"/>
    </row>
    <row r="57475" spans="18:18" s="2" customFormat="1" ht="12.75" x14ac:dyDescent="0.2">
      <c r="R57475" s="1288"/>
    </row>
    <row r="57476" spans="18:18" s="2" customFormat="1" ht="12.75" x14ac:dyDescent="0.2">
      <c r="R57476" s="1288"/>
    </row>
    <row r="57477" spans="18:18" s="2" customFormat="1" ht="12.75" x14ac:dyDescent="0.2">
      <c r="R57477" s="1288"/>
    </row>
    <row r="57478" spans="18:18" s="2" customFormat="1" ht="12.75" x14ac:dyDescent="0.2">
      <c r="R57478" s="1288"/>
    </row>
    <row r="57479" spans="18:18" s="2" customFormat="1" ht="12.75" x14ac:dyDescent="0.2">
      <c r="R57479" s="1288"/>
    </row>
    <row r="57480" spans="18:18" s="2" customFormat="1" ht="12.75" x14ac:dyDescent="0.2">
      <c r="R57480" s="1288"/>
    </row>
    <row r="57481" spans="18:18" s="2" customFormat="1" ht="12.75" x14ac:dyDescent="0.2">
      <c r="R57481" s="1288"/>
    </row>
    <row r="57482" spans="18:18" s="2" customFormat="1" ht="12.75" x14ac:dyDescent="0.2">
      <c r="R57482" s="1288"/>
    </row>
    <row r="57483" spans="18:18" s="2" customFormat="1" ht="12.75" x14ac:dyDescent="0.2">
      <c r="R57483" s="1288"/>
    </row>
    <row r="57484" spans="18:18" s="2" customFormat="1" ht="12.75" x14ac:dyDescent="0.2">
      <c r="R57484" s="1288"/>
    </row>
    <row r="57485" spans="18:18" s="2" customFormat="1" ht="12.75" x14ac:dyDescent="0.2">
      <c r="R57485" s="1288"/>
    </row>
    <row r="57486" spans="18:18" s="2" customFormat="1" ht="12.75" x14ac:dyDescent="0.2">
      <c r="R57486" s="1288"/>
    </row>
    <row r="57487" spans="18:18" s="2" customFormat="1" ht="12.75" x14ac:dyDescent="0.2">
      <c r="R57487" s="1288"/>
    </row>
    <row r="57488" spans="18:18" s="2" customFormat="1" ht="12.75" x14ac:dyDescent="0.2">
      <c r="R57488" s="1288"/>
    </row>
    <row r="57489" spans="18:18" s="2" customFormat="1" ht="12.75" x14ac:dyDescent="0.2">
      <c r="R57489" s="1288"/>
    </row>
    <row r="57490" spans="18:18" s="2" customFormat="1" ht="12.75" x14ac:dyDescent="0.2">
      <c r="R57490" s="1288"/>
    </row>
    <row r="57491" spans="18:18" s="2" customFormat="1" ht="12.75" x14ac:dyDescent="0.2">
      <c r="R57491" s="1288"/>
    </row>
    <row r="57492" spans="18:18" s="2" customFormat="1" ht="12.75" x14ac:dyDescent="0.2">
      <c r="R57492" s="1288"/>
    </row>
    <row r="57493" spans="18:18" s="2" customFormat="1" ht="12.75" x14ac:dyDescent="0.2">
      <c r="R57493" s="1288"/>
    </row>
    <row r="57494" spans="18:18" s="2" customFormat="1" ht="12.75" x14ac:dyDescent="0.2">
      <c r="R57494" s="1288"/>
    </row>
    <row r="57495" spans="18:18" s="2" customFormat="1" ht="12.75" x14ac:dyDescent="0.2">
      <c r="R57495" s="1288"/>
    </row>
    <row r="57496" spans="18:18" s="2" customFormat="1" ht="12.75" x14ac:dyDescent="0.2">
      <c r="R57496" s="1288"/>
    </row>
    <row r="57497" spans="18:18" s="2" customFormat="1" ht="12.75" x14ac:dyDescent="0.2">
      <c r="R57497" s="1288"/>
    </row>
    <row r="57498" spans="18:18" s="2" customFormat="1" ht="12.75" x14ac:dyDescent="0.2">
      <c r="R57498" s="1288"/>
    </row>
    <row r="57499" spans="18:18" s="2" customFormat="1" ht="12.75" x14ac:dyDescent="0.2">
      <c r="R57499" s="1288"/>
    </row>
    <row r="57500" spans="18:18" s="2" customFormat="1" ht="12.75" x14ac:dyDescent="0.2">
      <c r="R57500" s="1288"/>
    </row>
    <row r="57501" spans="18:18" s="2" customFormat="1" ht="12.75" x14ac:dyDescent="0.2">
      <c r="R57501" s="1288"/>
    </row>
    <row r="57502" spans="18:18" s="2" customFormat="1" ht="12.75" x14ac:dyDescent="0.2">
      <c r="R57502" s="1288"/>
    </row>
    <row r="57503" spans="18:18" s="2" customFormat="1" ht="12.75" x14ac:dyDescent="0.2">
      <c r="R57503" s="1288"/>
    </row>
    <row r="57504" spans="18:18" s="2" customFormat="1" ht="12.75" x14ac:dyDescent="0.2">
      <c r="R57504" s="1288"/>
    </row>
    <row r="57505" spans="18:18" s="2" customFormat="1" ht="12.75" x14ac:dyDescent="0.2">
      <c r="R57505" s="1288"/>
    </row>
    <row r="57506" spans="18:18" s="2" customFormat="1" ht="12.75" x14ac:dyDescent="0.2">
      <c r="R57506" s="1288"/>
    </row>
    <row r="57507" spans="18:18" s="2" customFormat="1" ht="12.75" x14ac:dyDescent="0.2">
      <c r="R57507" s="1288"/>
    </row>
    <row r="57508" spans="18:18" s="2" customFormat="1" ht="12.75" x14ac:dyDescent="0.2">
      <c r="R57508" s="1288"/>
    </row>
    <row r="57509" spans="18:18" s="2" customFormat="1" ht="12.75" x14ac:dyDescent="0.2">
      <c r="R57509" s="1288"/>
    </row>
    <row r="57510" spans="18:18" s="2" customFormat="1" ht="12.75" x14ac:dyDescent="0.2">
      <c r="R57510" s="1288"/>
    </row>
    <row r="57511" spans="18:18" s="2" customFormat="1" ht="12.75" x14ac:dyDescent="0.2">
      <c r="R57511" s="1288"/>
    </row>
    <row r="57512" spans="18:18" s="2" customFormat="1" ht="12.75" x14ac:dyDescent="0.2">
      <c r="R57512" s="1288"/>
    </row>
    <row r="57513" spans="18:18" s="2" customFormat="1" ht="12.75" x14ac:dyDescent="0.2">
      <c r="R57513" s="1288"/>
    </row>
    <row r="57514" spans="18:18" s="2" customFormat="1" ht="12.75" x14ac:dyDescent="0.2">
      <c r="R57514" s="1288"/>
    </row>
    <row r="57515" spans="18:18" s="2" customFormat="1" ht="12.75" x14ac:dyDescent="0.2">
      <c r="R57515" s="1288"/>
    </row>
    <row r="57516" spans="18:18" s="2" customFormat="1" ht="12.75" x14ac:dyDescent="0.2">
      <c r="R57516" s="1288"/>
    </row>
    <row r="57517" spans="18:18" s="2" customFormat="1" ht="12.75" x14ac:dyDescent="0.2">
      <c r="R57517" s="1288"/>
    </row>
    <row r="57518" spans="18:18" s="2" customFormat="1" ht="12.75" x14ac:dyDescent="0.2">
      <c r="R57518" s="1288"/>
    </row>
    <row r="57519" spans="18:18" s="2" customFormat="1" ht="12.75" x14ac:dyDescent="0.2">
      <c r="R57519" s="1288"/>
    </row>
    <row r="57520" spans="18:18" s="2" customFormat="1" ht="12.75" x14ac:dyDescent="0.2">
      <c r="R57520" s="1288"/>
    </row>
    <row r="57521" spans="18:18" s="2" customFormat="1" ht="12.75" x14ac:dyDescent="0.2">
      <c r="R57521" s="1288"/>
    </row>
    <row r="57522" spans="18:18" s="2" customFormat="1" ht="12.75" x14ac:dyDescent="0.2">
      <c r="R57522" s="1288"/>
    </row>
    <row r="57523" spans="18:18" s="2" customFormat="1" ht="12.75" x14ac:dyDescent="0.2">
      <c r="R57523" s="1288"/>
    </row>
    <row r="57524" spans="18:18" s="2" customFormat="1" ht="12.75" x14ac:dyDescent="0.2">
      <c r="R57524" s="1288"/>
    </row>
    <row r="57525" spans="18:18" s="2" customFormat="1" ht="12.75" x14ac:dyDescent="0.2">
      <c r="R57525" s="1288"/>
    </row>
    <row r="57526" spans="18:18" s="2" customFormat="1" ht="12.75" x14ac:dyDescent="0.2">
      <c r="R57526" s="1288"/>
    </row>
    <row r="57527" spans="18:18" s="2" customFormat="1" ht="12.75" x14ac:dyDescent="0.2">
      <c r="R57527" s="1288"/>
    </row>
    <row r="57528" spans="18:18" s="2" customFormat="1" ht="12.75" x14ac:dyDescent="0.2">
      <c r="R57528" s="1288"/>
    </row>
    <row r="57529" spans="18:18" s="2" customFormat="1" ht="12.75" x14ac:dyDescent="0.2">
      <c r="R57529" s="1288"/>
    </row>
    <row r="57530" spans="18:18" s="2" customFormat="1" ht="12.75" x14ac:dyDescent="0.2">
      <c r="R57530" s="1288"/>
    </row>
    <row r="57531" spans="18:18" s="2" customFormat="1" ht="12.75" x14ac:dyDescent="0.2">
      <c r="R57531" s="1288"/>
    </row>
    <row r="57532" spans="18:18" s="2" customFormat="1" ht="12.75" x14ac:dyDescent="0.2">
      <c r="R57532" s="1288"/>
    </row>
    <row r="57533" spans="18:18" s="2" customFormat="1" ht="12.75" x14ac:dyDescent="0.2">
      <c r="R57533" s="1288"/>
    </row>
    <row r="57534" spans="18:18" s="2" customFormat="1" ht="12.75" x14ac:dyDescent="0.2">
      <c r="R57534" s="1288"/>
    </row>
    <row r="57535" spans="18:18" s="2" customFormat="1" ht="12.75" x14ac:dyDescent="0.2">
      <c r="R57535" s="1288"/>
    </row>
    <row r="57536" spans="18:18" s="2" customFormat="1" ht="12.75" x14ac:dyDescent="0.2">
      <c r="R57536" s="1288"/>
    </row>
    <row r="57537" spans="18:18" s="2" customFormat="1" ht="12.75" x14ac:dyDescent="0.2">
      <c r="R57537" s="1288"/>
    </row>
    <row r="57538" spans="18:18" s="2" customFormat="1" ht="12.75" x14ac:dyDescent="0.2">
      <c r="R57538" s="1288"/>
    </row>
    <row r="57539" spans="18:18" s="2" customFormat="1" ht="12.75" x14ac:dyDescent="0.2">
      <c r="R57539" s="1288"/>
    </row>
    <row r="57540" spans="18:18" s="2" customFormat="1" ht="12.75" x14ac:dyDescent="0.2">
      <c r="R57540" s="1288"/>
    </row>
    <row r="57541" spans="18:18" s="2" customFormat="1" ht="12.75" x14ac:dyDescent="0.2">
      <c r="R57541" s="1288"/>
    </row>
    <row r="57542" spans="18:18" s="2" customFormat="1" ht="12.75" x14ac:dyDescent="0.2">
      <c r="R57542" s="1288"/>
    </row>
    <row r="57543" spans="18:18" s="2" customFormat="1" ht="12.75" x14ac:dyDescent="0.2">
      <c r="R57543" s="1288"/>
    </row>
    <row r="57544" spans="18:18" s="2" customFormat="1" ht="12.75" x14ac:dyDescent="0.2">
      <c r="R57544" s="1288"/>
    </row>
    <row r="57545" spans="18:18" s="2" customFormat="1" ht="12.75" x14ac:dyDescent="0.2">
      <c r="R57545" s="1288"/>
    </row>
    <row r="57546" spans="18:18" s="2" customFormat="1" ht="12.75" x14ac:dyDescent="0.2">
      <c r="R57546" s="1288"/>
    </row>
    <row r="57547" spans="18:18" s="2" customFormat="1" ht="12.75" x14ac:dyDescent="0.2">
      <c r="R57547" s="1288"/>
    </row>
    <row r="57548" spans="18:18" s="2" customFormat="1" ht="12.75" x14ac:dyDescent="0.2">
      <c r="R57548" s="1288"/>
    </row>
    <row r="57549" spans="18:18" s="2" customFormat="1" ht="12.75" x14ac:dyDescent="0.2">
      <c r="R57549" s="1288"/>
    </row>
    <row r="57550" spans="18:18" s="2" customFormat="1" ht="12.75" x14ac:dyDescent="0.2">
      <c r="R57550" s="1288"/>
    </row>
    <row r="57551" spans="18:18" s="2" customFormat="1" ht="12.75" x14ac:dyDescent="0.2">
      <c r="R57551" s="1288"/>
    </row>
    <row r="57552" spans="18:18" s="2" customFormat="1" ht="12.75" x14ac:dyDescent="0.2">
      <c r="R57552" s="1288"/>
    </row>
    <row r="57553" spans="18:18" s="2" customFormat="1" ht="12.75" x14ac:dyDescent="0.2">
      <c r="R57553" s="1288"/>
    </row>
    <row r="57554" spans="18:18" s="2" customFormat="1" ht="12.75" x14ac:dyDescent="0.2">
      <c r="R57554" s="1288"/>
    </row>
    <row r="57555" spans="18:18" s="2" customFormat="1" ht="12.75" x14ac:dyDescent="0.2">
      <c r="R57555" s="1288"/>
    </row>
    <row r="57556" spans="18:18" s="2" customFormat="1" ht="12.75" x14ac:dyDescent="0.2">
      <c r="R57556" s="1288"/>
    </row>
    <row r="57557" spans="18:18" s="2" customFormat="1" ht="12.75" x14ac:dyDescent="0.2">
      <c r="R57557" s="1288"/>
    </row>
    <row r="57558" spans="18:18" s="2" customFormat="1" ht="12.75" x14ac:dyDescent="0.2">
      <c r="R57558" s="1288"/>
    </row>
    <row r="57559" spans="18:18" s="2" customFormat="1" ht="12.75" x14ac:dyDescent="0.2">
      <c r="R57559" s="1288"/>
    </row>
    <row r="57560" spans="18:18" s="2" customFormat="1" ht="12.75" x14ac:dyDescent="0.2">
      <c r="R57560" s="1288"/>
    </row>
    <row r="57561" spans="18:18" s="2" customFormat="1" ht="12.75" x14ac:dyDescent="0.2">
      <c r="R57561" s="1288"/>
    </row>
    <row r="57562" spans="18:18" s="2" customFormat="1" ht="12.75" x14ac:dyDescent="0.2">
      <c r="R57562" s="1288"/>
    </row>
    <row r="57563" spans="18:18" s="2" customFormat="1" ht="12.75" x14ac:dyDescent="0.2">
      <c r="R57563" s="1288"/>
    </row>
    <row r="57564" spans="18:18" s="2" customFormat="1" ht="12.75" x14ac:dyDescent="0.2">
      <c r="R57564" s="1288"/>
    </row>
    <row r="57565" spans="18:18" s="2" customFormat="1" ht="12.75" x14ac:dyDescent="0.2">
      <c r="R57565" s="1288"/>
    </row>
    <row r="57566" spans="18:18" s="2" customFormat="1" ht="12.75" x14ac:dyDescent="0.2">
      <c r="R57566" s="1288"/>
    </row>
    <row r="57567" spans="18:18" s="2" customFormat="1" ht="12.75" x14ac:dyDescent="0.2">
      <c r="R57567" s="1288"/>
    </row>
    <row r="57568" spans="18:18" s="2" customFormat="1" ht="12.75" x14ac:dyDescent="0.2">
      <c r="R57568" s="1288"/>
    </row>
    <row r="57569" spans="18:18" s="2" customFormat="1" ht="12.75" x14ac:dyDescent="0.2">
      <c r="R57569" s="1288"/>
    </row>
    <row r="57570" spans="18:18" s="2" customFormat="1" ht="12.75" x14ac:dyDescent="0.2">
      <c r="R57570" s="1288"/>
    </row>
    <row r="57571" spans="18:18" s="2" customFormat="1" ht="12.75" x14ac:dyDescent="0.2">
      <c r="R57571" s="1288"/>
    </row>
    <row r="57572" spans="18:18" s="2" customFormat="1" ht="12.75" x14ac:dyDescent="0.2">
      <c r="R57572" s="1288"/>
    </row>
    <row r="57573" spans="18:18" s="2" customFormat="1" ht="12.75" x14ac:dyDescent="0.2">
      <c r="R57573" s="1288"/>
    </row>
    <row r="57574" spans="18:18" s="2" customFormat="1" ht="12.75" x14ac:dyDescent="0.2">
      <c r="R57574" s="1288"/>
    </row>
    <row r="57575" spans="18:18" s="2" customFormat="1" ht="12.75" x14ac:dyDescent="0.2">
      <c r="R57575" s="1288"/>
    </row>
    <row r="57576" spans="18:18" s="2" customFormat="1" ht="12.75" x14ac:dyDescent="0.2">
      <c r="R57576" s="1288"/>
    </row>
    <row r="57577" spans="18:18" s="2" customFormat="1" ht="12.75" x14ac:dyDescent="0.2">
      <c r="R57577" s="1288"/>
    </row>
    <row r="57578" spans="18:18" s="2" customFormat="1" ht="12.75" x14ac:dyDescent="0.2">
      <c r="R57578" s="1288"/>
    </row>
    <row r="57579" spans="18:18" s="2" customFormat="1" ht="12.75" x14ac:dyDescent="0.2">
      <c r="R57579" s="1288"/>
    </row>
    <row r="57580" spans="18:18" s="2" customFormat="1" ht="12.75" x14ac:dyDescent="0.2">
      <c r="R57580" s="1288"/>
    </row>
    <row r="57581" spans="18:18" s="2" customFormat="1" ht="12.75" x14ac:dyDescent="0.2">
      <c r="R57581" s="1288"/>
    </row>
    <row r="57582" spans="18:18" s="2" customFormat="1" ht="12.75" x14ac:dyDescent="0.2">
      <c r="R57582" s="1288"/>
    </row>
    <row r="57583" spans="18:18" s="2" customFormat="1" ht="12.75" x14ac:dyDescent="0.2">
      <c r="R57583" s="1288"/>
    </row>
    <row r="57584" spans="18:18" s="2" customFormat="1" ht="12.75" x14ac:dyDescent="0.2">
      <c r="R57584" s="1288"/>
    </row>
    <row r="57585" spans="18:18" s="2" customFormat="1" ht="12.75" x14ac:dyDescent="0.2">
      <c r="R57585" s="1288"/>
    </row>
    <row r="57586" spans="18:18" s="2" customFormat="1" ht="12.75" x14ac:dyDescent="0.2">
      <c r="R57586" s="1288"/>
    </row>
    <row r="57587" spans="18:18" s="2" customFormat="1" ht="12.75" x14ac:dyDescent="0.2">
      <c r="R57587" s="1288"/>
    </row>
    <row r="57588" spans="18:18" s="2" customFormat="1" ht="12.75" x14ac:dyDescent="0.2">
      <c r="R57588" s="1288"/>
    </row>
    <row r="57589" spans="18:18" s="2" customFormat="1" ht="12.75" x14ac:dyDescent="0.2">
      <c r="R57589" s="1288"/>
    </row>
    <row r="57590" spans="18:18" s="2" customFormat="1" ht="12.75" x14ac:dyDescent="0.2">
      <c r="R57590" s="1288"/>
    </row>
    <row r="57591" spans="18:18" s="2" customFormat="1" ht="12.75" x14ac:dyDescent="0.2">
      <c r="R57591" s="1288"/>
    </row>
    <row r="57592" spans="18:18" s="2" customFormat="1" ht="12.75" x14ac:dyDescent="0.2">
      <c r="R57592" s="1288"/>
    </row>
    <row r="57593" spans="18:18" s="2" customFormat="1" ht="12.75" x14ac:dyDescent="0.2">
      <c r="R57593" s="1288"/>
    </row>
    <row r="57594" spans="18:18" s="2" customFormat="1" ht="12.75" x14ac:dyDescent="0.2">
      <c r="R57594" s="1288"/>
    </row>
    <row r="57595" spans="18:18" s="2" customFormat="1" ht="12.75" x14ac:dyDescent="0.2">
      <c r="R57595" s="1288"/>
    </row>
    <row r="57596" spans="18:18" s="2" customFormat="1" ht="12.75" x14ac:dyDescent="0.2">
      <c r="R57596" s="1288"/>
    </row>
    <row r="57597" spans="18:18" s="2" customFormat="1" ht="12.75" x14ac:dyDescent="0.2">
      <c r="R57597" s="1288"/>
    </row>
    <row r="57598" spans="18:18" s="2" customFormat="1" ht="12.75" x14ac:dyDescent="0.2">
      <c r="R57598" s="1288"/>
    </row>
    <row r="57599" spans="18:18" s="2" customFormat="1" ht="12.75" x14ac:dyDescent="0.2">
      <c r="R57599" s="1288"/>
    </row>
    <row r="57600" spans="18:18" s="2" customFormat="1" ht="12.75" x14ac:dyDescent="0.2">
      <c r="R57600" s="1288"/>
    </row>
    <row r="57601" spans="18:18" s="2" customFormat="1" ht="12.75" x14ac:dyDescent="0.2">
      <c r="R57601" s="1288"/>
    </row>
    <row r="57602" spans="18:18" s="2" customFormat="1" ht="12.75" x14ac:dyDescent="0.2">
      <c r="R57602" s="1288"/>
    </row>
    <row r="57603" spans="18:18" s="2" customFormat="1" ht="12.75" x14ac:dyDescent="0.2">
      <c r="R57603" s="1288"/>
    </row>
    <row r="57604" spans="18:18" s="2" customFormat="1" ht="12.75" x14ac:dyDescent="0.2">
      <c r="R57604" s="1288"/>
    </row>
    <row r="57605" spans="18:18" s="2" customFormat="1" ht="12.75" x14ac:dyDescent="0.2">
      <c r="R57605" s="1288"/>
    </row>
    <row r="57606" spans="18:18" s="2" customFormat="1" ht="12.75" x14ac:dyDescent="0.2">
      <c r="R57606" s="1288"/>
    </row>
    <row r="57607" spans="18:18" s="2" customFormat="1" ht="12.75" x14ac:dyDescent="0.2">
      <c r="R57607" s="1288"/>
    </row>
    <row r="57608" spans="18:18" s="2" customFormat="1" ht="12.75" x14ac:dyDescent="0.2">
      <c r="R57608" s="1288"/>
    </row>
    <row r="57609" spans="18:18" s="2" customFormat="1" ht="12.75" x14ac:dyDescent="0.2">
      <c r="R57609" s="1288"/>
    </row>
    <row r="57610" spans="18:18" s="2" customFormat="1" ht="12.75" x14ac:dyDescent="0.2">
      <c r="R57610" s="1288"/>
    </row>
    <row r="57611" spans="18:18" s="2" customFormat="1" ht="12.75" x14ac:dyDescent="0.2">
      <c r="R57611" s="1288"/>
    </row>
    <row r="57612" spans="18:18" s="2" customFormat="1" ht="12.75" x14ac:dyDescent="0.2">
      <c r="R57612" s="1288"/>
    </row>
    <row r="57613" spans="18:18" s="2" customFormat="1" ht="12.75" x14ac:dyDescent="0.2">
      <c r="R57613" s="1288"/>
    </row>
    <row r="57614" spans="18:18" s="2" customFormat="1" ht="12.75" x14ac:dyDescent="0.2">
      <c r="R57614" s="1288"/>
    </row>
    <row r="57615" spans="18:18" s="2" customFormat="1" ht="12.75" x14ac:dyDescent="0.2">
      <c r="R57615" s="1288"/>
    </row>
    <row r="57616" spans="18:18" s="2" customFormat="1" ht="12.75" x14ac:dyDescent="0.2">
      <c r="R57616" s="1288"/>
    </row>
    <row r="57617" spans="18:18" s="2" customFormat="1" ht="12.75" x14ac:dyDescent="0.2">
      <c r="R57617" s="1288"/>
    </row>
    <row r="57618" spans="18:18" s="2" customFormat="1" ht="12.75" x14ac:dyDescent="0.2">
      <c r="R57618" s="1288"/>
    </row>
    <row r="57619" spans="18:18" s="2" customFormat="1" ht="12.75" x14ac:dyDescent="0.2">
      <c r="R57619" s="1288"/>
    </row>
    <row r="57620" spans="18:18" s="2" customFormat="1" ht="12.75" x14ac:dyDescent="0.2">
      <c r="R57620" s="1288"/>
    </row>
    <row r="57621" spans="18:18" s="2" customFormat="1" ht="12.75" x14ac:dyDescent="0.2">
      <c r="R57621" s="1288"/>
    </row>
    <row r="57622" spans="18:18" s="2" customFormat="1" ht="12.75" x14ac:dyDescent="0.2">
      <c r="R57622" s="1288"/>
    </row>
    <row r="57623" spans="18:18" s="2" customFormat="1" ht="12.75" x14ac:dyDescent="0.2">
      <c r="R57623" s="1288"/>
    </row>
    <row r="57624" spans="18:18" s="2" customFormat="1" ht="12.75" x14ac:dyDescent="0.2">
      <c r="R57624" s="1288"/>
    </row>
    <row r="57625" spans="18:18" s="2" customFormat="1" ht="12.75" x14ac:dyDescent="0.2">
      <c r="R57625" s="1288"/>
    </row>
    <row r="57626" spans="18:18" s="2" customFormat="1" ht="12.75" x14ac:dyDescent="0.2">
      <c r="R57626" s="1288"/>
    </row>
    <row r="57627" spans="18:18" s="2" customFormat="1" ht="12.75" x14ac:dyDescent="0.2">
      <c r="R57627" s="1288"/>
    </row>
    <row r="57628" spans="18:18" s="2" customFormat="1" ht="12.75" x14ac:dyDescent="0.2">
      <c r="R57628" s="1288"/>
    </row>
    <row r="57629" spans="18:18" s="2" customFormat="1" ht="12.75" x14ac:dyDescent="0.2">
      <c r="R57629" s="1288"/>
    </row>
    <row r="57630" spans="18:18" s="2" customFormat="1" ht="12.75" x14ac:dyDescent="0.2">
      <c r="R57630" s="1288"/>
    </row>
    <row r="57631" spans="18:18" s="2" customFormat="1" ht="12.75" x14ac:dyDescent="0.2">
      <c r="R57631" s="1288"/>
    </row>
    <row r="57632" spans="18:18" s="2" customFormat="1" ht="12.75" x14ac:dyDescent="0.2">
      <c r="R57632" s="1288"/>
    </row>
    <row r="57633" spans="18:18" s="2" customFormat="1" ht="12.75" x14ac:dyDescent="0.2">
      <c r="R57633" s="1288"/>
    </row>
    <row r="57634" spans="18:18" s="2" customFormat="1" ht="12.75" x14ac:dyDescent="0.2">
      <c r="R57634" s="1288"/>
    </row>
    <row r="57635" spans="18:18" s="2" customFormat="1" ht="12.75" x14ac:dyDescent="0.2">
      <c r="R57635" s="1288"/>
    </row>
    <row r="57636" spans="18:18" s="2" customFormat="1" ht="12.75" x14ac:dyDescent="0.2">
      <c r="R57636" s="1288"/>
    </row>
    <row r="57637" spans="18:18" s="2" customFormat="1" ht="12.75" x14ac:dyDescent="0.2">
      <c r="R57637" s="1288"/>
    </row>
    <row r="57638" spans="18:18" s="2" customFormat="1" ht="12.75" x14ac:dyDescent="0.2">
      <c r="R57638" s="1288"/>
    </row>
    <row r="57639" spans="18:18" s="2" customFormat="1" ht="12.75" x14ac:dyDescent="0.2">
      <c r="R57639" s="1288"/>
    </row>
    <row r="57640" spans="18:18" s="2" customFormat="1" ht="12.75" x14ac:dyDescent="0.2">
      <c r="R57640" s="1288"/>
    </row>
    <row r="57641" spans="18:18" s="2" customFormat="1" ht="12.75" x14ac:dyDescent="0.2">
      <c r="R57641" s="1288"/>
    </row>
    <row r="57642" spans="18:18" s="2" customFormat="1" ht="12.75" x14ac:dyDescent="0.2">
      <c r="R57642" s="1288"/>
    </row>
    <row r="57643" spans="18:18" s="2" customFormat="1" ht="12.75" x14ac:dyDescent="0.2">
      <c r="R57643" s="1288"/>
    </row>
    <row r="57644" spans="18:18" s="2" customFormat="1" ht="12.75" x14ac:dyDescent="0.2">
      <c r="R57644" s="1288"/>
    </row>
    <row r="57645" spans="18:18" s="2" customFormat="1" ht="12.75" x14ac:dyDescent="0.2">
      <c r="R57645" s="1288"/>
    </row>
    <row r="57646" spans="18:18" s="2" customFormat="1" ht="12.75" x14ac:dyDescent="0.2">
      <c r="R57646" s="1288"/>
    </row>
    <row r="57647" spans="18:18" s="2" customFormat="1" ht="12.75" x14ac:dyDescent="0.2">
      <c r="R57647" s="1288"/>
    </row>
    <row r="57648" spans="18:18" s="2" customFormat="1" ht="12.75" x14ac:dyDescent="0.2">
      <c r="R57648" s="1288"/>
    </row>
    <row r="57649" spans="18:18" s="2" customFormat="1" ht="12.75" x14ac:dyDescent="0.2">
      <c r="R57649" s="1288"/>
    </row>
    <row r="57650" spans="18:18" s="2" customFormat="1" ht="12.75" x14ac:dyDescent="0.2">
      <c r="R57650" s="1288"/>
    </row>
    <row r="57651" spans="18:18" s="2" customFormat="1" ht="12.75" x14ac:dyDescent="0.2">
      <c r="R57651" s="1288"/>
    </row>
    <row r="57652" spans="18:18" s="2" customFormat="1" ht="12.75" x14ac:dyDescent="0.2">
      <c r="R57652" s="1288"/>
    </row>
    <row r="57653" spans="18:18" s="2" customFormat="1" ht="12.75" x14ac:dyDescent="0.2">
      <c r="R57653" s="1288"/>
    </row>
    <row r="57654" spans="18:18" s="2" customFormat="1" ht="12.75" x14ac:dyDescent="0.2">
      <c r="R57654" s="1288"/>
    </row>
    <row r="57655" spans="18:18" s="2" customFormat="1" ht="12.75" x14ac:dyDescent="0.2">
      <c r="R57655" s="1288"/>
    </row>
    <row r="57656" spans="18:18" s="2" customFormat="1" ht="12.75" x14ac:dyDescent="0.2">
      <c r="R57656" s="1288"/>
    </row>
    <row r="57657" spans="18:18" s="2" customFormat="1" ht="12.75" x14ac:dyDescent="0.2">
      <c r="R57657" s="1288"/>
    </row>
    <row r="57658" spans="18:18" s="2" customFormat="1" ht="12.75" x14ac:dyDescent="0.2">
      <c r="R57658" s="1288"/>
    </row>
    <row r="57659" spans="18:18" s="2" customFormat="1" ht="12.75" x14ac:dyDescent="0.2">
      <c r="R57659" s="1288"/>
    </row>
    <row r="57660" spans="18:18" s="2" customFormat="1" ht="12.75" x14ac:dyDescent="0.2">
      <c r="R57660" s="1288"/>
    </row>
    <row r="57661" spans="18:18" s="2" customFormat="1" ht="12.75" x14ac:dyDescent="0.2">
      <c r="R57661" s="1288"/>
    </row>
    <row r="57662" spans="18:18" s="2" customFormat="1" ht="12.75" x14ac:dyDescent="0.2">
      <c r="R57662" s="1288"/>
    </row>
    <row r="57663" spans="18:18" s="2" customFormat="1" ht="12.75" x14ac:dyDescent="0.2">
      <c r="R57663" s="1288"/>
    </row>
    <row r="57664" spans="18:18" s="2" customFormat="1" ht="12.75" x14ac:dyDescent="0.2">
      <c r="R57664" s="1288"/>
    </row>
    <row r="57665" spans="18:18" s="2" customFormat="1" ht="12.75" x14ac:dyDescent="0.2">
      <c r="R57665" s="1288"/>
    </row>
    <row r="57666" spans="18:18" s="2" customFormat="1" ht="12.75" x14ac:dyDescent="0.2">
      <c r="R57666" s="1288"/>
    </row>
    <row r="57667" spans="18:18" s="2" customFormat="1" ht="12.75" x14ac:dyDescent="0.2">
      <c r="R57667" s="1288"/>
    </row>
    <row r="57668" spans="18:18" s="2" customFormat="1" ht="12.75" x14ac:dyDescent="0.2">
      <c r="R57668" s="1288"/>
    </row>
    <row r="57669" spans="18:18" s="2" customFormat="1" ht="12.75" x14ac:dyDescent="0.2">
      <c r="R57669" s="1288"/>
    </row>
    <row r="57670" spans="18:18" s="2" customFormat="1" ht="12.75" x14ac:dyDescent="0.2">
      <c r="R57670" s="1288"/>
    </row>
    <row r="57671" spans="18:18" s="2" customFormat="1" ht="12.75" x14ac:dyDescent="0.2">
      <c r="R57671" s="1288"/>
    </row>
    <row r="57672" spans="18:18" s="2" customFormat="1" ht="12.75" x14ac:dyDescent="0.2">
      <c r="R57672" s="1288"/>
    </row>
    <row r="57673" spans="18:18" s="2" customFormat="1" ht="12.75" x14ac:dyDescent="0.2">
      <c r="R57673" s="1288"/>
    </row>
    <row r="57674" spans="18:18" s="2" customFormat="1" ht="12.75" x14ac:dyDescent="0.2">
      <c r="R57674" s="1288"/>
    </row>
    <row r="57675" spans="18:18" s="2" customFormat="1" ht="12.75" x14ac:dyDescent="0.2">
      <c r="R57675" s="1288"/>
    </row>
    <row r="57676" spans="18:18" s="2" customFormat="1" ht="12.75" x14ac:dyDescent="0.2">
      <c r="R57676" s="1288"/>
    </row>
    <row r="57677" spans="18:18" s="2" customFormat="1" ht="12.75" x14ac:dyDescent="0.2">
      <c r="R57677" s="1288"/>
    </row>
    <row r="57678" spans="18:18" s="2" customFormat="1" ht="12.75" x14ac:dyDescent="0.2">
      <c r="R57678" s="1288"/>
    </row>
    <row r="57679" spans="18:18" s="2" customFormat="1" ht="12.75" x14ac:dyDescent="0.2">
      <c r="R57679" s="1288"/>
    </row>
    <row r="57680" spans="18:18" s="2" customFormat="1" ht="12.75" x14ac:dyDescent="0.2">
      <c r="R57680" s="1288"/>
    </row>
    <row r="57681" spans="18:18" s="2" customFormat="1" ht="12.75" x14ac:dyDescent="0.2">
      <c r="R57681" s="1288"/>
    </row>
    <row r="57682" spans="18:18" s="2" customFormat="1" ht="12.75" x14ac:dyDescent="0.2">
      <c r="R57682" s="1288"/>
    </row>
    <row r="57683" spans="18:18" s="2" customFormat="1" ht="12.75" x14ac:dyDescent="0.2">
      <c r="R57683" s="1288"/>
    </row>
    <row r="57684" spans="18:18" s="2" customFormat="1" ht="12.75" x14ac:dyDescent="0.2">
      <c r="R57684" s="1288"/>
    </row>
    <row r="57685" spans="18:18" s="2" customFormat="1" ht="12.75" x14ac:dyDescent="0.2">
      <c r="R57685" s="1288"/>
    </row>
    <row r="57686" spans="18:18" s="2" customFormat="1" ht="12.75" x14ac:dyDescent="0.2">
      <c r="R57686" s="1288"/>
    </row>
    <row r="57687" spans="18:18" s="2" customFormat="1" ht="12.75" x14ac:dyDescent="0.2">
      <c r="R57687" s="1288"/>
    </row>
    <row r="57688" spans="18:18" s="2" customFormat="1" ht="12.75" x14ac:dyDescent="0.2">
      <c r="R57688" s="1288"/>
    </row>
    <row r="57689" spans="18:18" s="2" customFormat="1" ht="12.75" x14ac:dyDescent="0.2">
      <c r="R57689" s="1288"/>
    </row>
    <row r="57690" spans="18:18" s="2" customFormat="1" ht="12.75" x14ac:dyDescent="0.2">
      <c r="R57690" s="1288"/>
    </row>
    <row r="57691" spans="18:18" s="2" customFormat="1" ht="12.75" x14ac:dyDescent="0.2">
      <c r="R57691" s="1288"/>
    </row>
    <row r="57692" spans="18:18" s="2" customFormat="1" ht="12.75" x14ac:dyDescent="0.2">
      <c r="R57692" s="1288"/>
    </row>
    <row r="57693" spans="18:18" s="2" customFormat="1" ht="12.75" x14ac:dyDescent="0.2">
      <c r="R57693" s="1288"/>
    </row>
    <row r="57694" spans="18:18" s="2" customFormat="1" ht="12.75" x14ac:dyDescent="0.2">
      <c r="R57694" s="1288"/>
    </row>
    <row r="57695" spans="18:18" s="2" customFormat="1" ht="12.75" x14ac:dyDescent="0.2">
      <c r="R57695" s="1288"/>
    </row>
    <row r="57696" spans="18:18" s="2" customFormat="1" ht="12.75" x14ac:dyDescent="0.2">
      <c r="R57696" s="1288"/>
    </row>
    <row r="57697" spans="18:18" s="2" customFormat="1" ht="12.75" x14ac:dyDescent="0.2">
      <c r="R57697" s="1288"/>
    </row>
    <row r="57698" spans="18:18" s="2" customFormat="1" ht="12.75" x14ac:dyDescent="0.2">
      <c r="R57698" s="1288"/>
    </row>
    <row r="57699" spans="18:18" s="2" customFormat="1" ht="12.75" x14ac:dyDescent="0.2">
      <c r="R57699" s="1288"/>
    </row>
    <row r="57700" spans="18:18" s="2" customFormat="1" ht="12.75" x14ac:dyDescent="0.2">
      <c r="R57700" s="1288"/>
    </row>
    <row r="57701" spans="18:18" s="2" customFormat="1" ht="12.75" x14ac:dyDescent="0.2">
      <c r="R57701" s="1288"/>
    </row>
    <row r="57702" spans="18:18" s="2" customFormat="1" ht="12.75" x14ac:dyDescent="0.2">
      <c r="R57702" s="1288"/>
    </row>
    <row r="57703" spans="18:18" s="2" customFormat="1" ht="12.75" x14ac:dyDescent="0.2">
      <c r="R57703" s="1288"/>
    </row>
    <row r="57704" spans="18:18" s="2" customFormat="1" ht="12.75" x14ac:dyDescent="0.2">
      <c r="R57704" s="1288"/>
    </row>
    <row r="57705" spans="18:18" s="2" customFormat="1" ht="12.75" x14ac:dyDescent="0.2">
      <c r="R57705" s="1288"/>
    </row>
    <row r="57706" spans="18:18" s="2" customFormat="1" ht="12.75" x14ac:dyDescent="0.2">
      <c r="R57706" s="1288"/>
    </row>
    <row r="57707" spans="18:18" s="2" customFormat="1" ht="12.75" x14ac:dyDescent="0.2">
      <c r="R57707" s="1288"/>
    </row>
    <row r="57708" spans="18:18" s="2" customFormat="1" ht="12.75" x14ac:dyDescent="0.2">
      <c r="R57708" s="1288"/>
    </row>
    <row r="57709" spans="18:18" s="2" customFormat="1" ht="12.75" x14ac:dyDescent="0.2">
      <c r="R57709" s="1288"/>
    </row>
    <row r="57710" spans="18:18" s="2" customFormat="1" ht="12.75" x14ac:dyDescent="0.2">
      <c r="R57710" s="1288"/>
    </row>
    <row r="57711" spans="18:18" s="2" customFormat="1" ht="12.75" x14ac:dyDescent="0.2">
      <c r="R57711" s="1288"/>
    </row>
    <row r="57712" spans="18:18" s="2" customFormat="1" ht="12.75" x14ac:dyDescent="0.2">
      <c r="R57712" s="1288"/>
    </row>
    <row r="57713" spans="18:18" s="2" customFormat="1" ht="12.75" x14ac:dyDescent="0.2">
      <c r="R57713" s="1288"/>
    </row>
    <row r="57714" spans="18:18" s="2" customFormat="1" ht="12.75" x14ac:dyDescent="0.2">
      <c r="R57714" s="1288"/>
    </row>
    <row r="57715" spans="18:18" s="2" customFormat="1" ht="12.75" x14ac:dyDescent="0.2">
      <c r="R57715" s="1288"/>
    </row>
    <row r="57716" spans="18:18" s="2" customFormat="1" ht="12.75" x14ac:dyDescent="0.2">
      <c r="R57716" s="1288"/>
    </row>
    <row r="57717" spans="18:18" s="2" customFormat="1" ht="12.75" x14ac:dyDescent="0.2">
      <c r="R57717" s="1288"/>
    </row>
    <row r="57718" spans="18:18" s="2" customFormat="1" ht="12.75" x14ac:dyDescent="0.2">
      <c r="R57718" s="1288"/>
    </row>
    <row r="57719" spans="18:18" s="2" customFormat="1" ht="12.75" x14ac:dyDescent="0.2">
      <c r="R57719" s="1288"/>
    </row>
    <row r="57720" spans="18:18" s="2" customFormat="1" ht="12.75" x14ac:dyDescent="0.2">
      <c r="R57720" s="1288"/>
    </row>
    <row r="57721" spans="18:18" s="2" customFormat="1" ht="12.75" x14ac:dyDescent="0.2">
      <c r="R57721" s="1288"/>
    </row>
    <row r="57722" spans="18:18" s="2" customFormat="1" ht="12.75" x14ac:dyDescent="0.2">
      <c r="R57722" s="1288"/>
    </row>
    <row r="57723" spans="18:18" s="2" customFormat="1" ht="12.75" x14ac:dyDescent="0.2">
      <c r="R57723" s="1288"/>
    </row>
    <row r="57724" spans="18:18" s="2" customFormat="1" ht="12.75" x14ac:dyDescent="0.2">
      <c r="R57724" s="1288"/>
    </row>
    <row r="57725" spans="18:18" s="2" customFormat="1" ht="12.75" x14ac:dyDescent="0.2">
      <c r="R57725" s="1288"/>
    </row>
    <row r="57726" spans="18:18" s="2" customFormat="1" ht="12.75" x14ac:dyDescent="0.2">
      <c r="R57726" s="1288"/>
    </row>
    <row r="57727" spans="18:18" s="2" customFormat="1" ht="12.75" x14ac:dyDescent="0.2">
      <c r="R57727" s="1288"/>
    </row>
    <row r="57728" spans="18:18" s="2" customFormat="1" ht="12.75" x14ac:dyDescent="0.2">
      <c r="R57728" s="1288"/>
    </row>
    <row r="57729" spans="18:18" s="2" customFormat="1" ht="12.75" x14ac:dyDescent="0.2">
      <c r="R57729" s="1288"/>
    </row>
    <row r="57730" spans="18:18" s="2" customFormat="1" ht="12.75" x14ac:dyDescent="0.2">
      <c r="R57730" s="1288"/>
    </row>
    <row r="57731" spans="18:18" s="2" customFormat="1" ht="12.75" x14ac:dyDescent="0.2">
      <c r="R57731" s="1288"/>
    </row>
    <row r="57732" spans="18:18" s="2" customFormat="1" ht="12.75" x14ac:dyDescent="0.2">
      <c r="R57732" s="1288"/>
    </row>
    <row r="57733" spans="18:18" s="2" customFormat="1" ht="12.75" x14ac:dyDescent="0.2">
      <c r="R57733" s="1288"/>
    </row>
    <row r="57734" spans="18:18" s="2" customFormat="1" ht="12.75" x14ac:dyDescent="0.2">
      <c r="R57734" s="1288"/>
    </row>
    <row r="57735" spans="18:18" s="2" customFormat="1" ht="12.75" x14ac:dyDescent="0.2">
      <c r="R57735" s="1288"/>
    </row>
    <row r="57736" spans="18:18" s="2" customFormat="1" ht="12.75" x14ac:dyDescent="0.2">
      <c r="R57736" s="1288"/>
    </row>
    <row r="57737" spans="18:18" s="2" customFormat="1" ht="12.75" x14ac:dyDescent="0.2">
      <c r="R57737" s="1288"/>
    </row>
    <row r="57738" spans="18:18" s="2" customFormat="1" ht="12.75" x14ac:dyDescent="0.2">
      <c r="R57738" s="1288"/>
    </row>
    <row r="57739" spans="18:18" s="2" customFormat="1" ht="12.75" x14ac:dyDescent="0.2">
      <c r="R57739" s="1288"/>
    </row>
    <row r="57740" spans="18:18" s="2" customFormat="1" ht="12.75" x14ac:dyDescent="0.2">
      <c r="R57740" s="1288"/>
    </row>
    <row r="57741" spans="18:18" s="2" customFormat="1" ht="12.75" x14ac:dyDescent="0.2">
      <c r="R57741" s="1288"/>
    </row>
    <row r="57742" spans="18:18" s="2" customFormat="1" ht="12.75" x14ac:dyDescent="0.2">
      <c r="R57742" s="1288"/>
    </row>
    <row r="57743" spans="18:18" s="2" customFormat="1" ht="12.75" x14ac:dyDescent="0.2">
      <c r="R57743" s="1288"/>
    </row>
    <row r="57744" spans="18:18" s="2" customFormat="1" ht="12.75" x14ac:dyDescent="0.2">
      <c r="R57744" s="1288"/>
    </row>
    <row r="57745" spans="18:18" s="2" customFormat="1" ht="12.75" x14ac:dyDescent="0.2">
      <c r="R57745" s="1288"/>
    </row>
    <row r="57746" spans="18:18" s="2" customFormat="1" ht="12.75" x14ac:dyDescent="0.2">
      <c r="R57746" s="1288"/>
    </row>
    <row r="57747" spans="18:18" s="2" customFormat="1" ht="12.75" x14ac:dyDescent="0.2">
      <c r="R57747" s="1288"/>
    </row>
    <row r="57748" spans="18:18" s="2" customFormat="1" ht="12.75" x14ac:dyDescent="0.2">
      <c r="R57748" s="1288"/>
    </row>
    <row r="57749" spans="18:18" s="2" customFormat="1" ht="12.75" x14ac:dyDescent="0.2">
      <c r="R57749" s="1288"/>
    </row>
    <row r="57750" spans="18:18" s="2" customFormat="1" ht="12.75" x14ac:dyDescent="0.2">
      <c r="R57750" s="1288"/>
    </row>
    <row r="57751" spans="18:18" s="2" customFormat="1" ht="12.75" x14ac:dyDescent="0.2">
      <c r="R57751" s="1288"/>
    </row>
    <row r="57752" spans="18:18" s="2" customFormat="1" ht="12.75" x14ac:dyDescent="0.2">
      <c r="R57752" s="1288"/>
    </row>
    <row r="57753" spans="18:18" s="2" customFormat="1" ht="12.75" x14ac:dyDescent="0.2">
      <c r="R57753" s="1288"/>
    </row>
    <row r="57754" spans="18:18" s="2" customFormat="1" ht="12.75" x14ac:dyDescent="0.2">
      <c r="R57754" s="1288"/>
    </row>
    <row r="57755" spans="18:18" s="2" customFormat="1" ht="12.75" x14ac:dyDescent="0.2">
      <c r="R57755" s="1288"/>
    </row>
    <row r="57756" spans="18:18" s="2" customFormat="1" ht="12.75" x14ac:dyDescent="0.2">
      <c r="R57756" s="1288"/>
    </row>
    <row r="57757" spans="18:18" s="2" customFormat="1" ht="12.75" x14ac:dyDescent="0.2">
      <c r="R57757" s="1288"/>
    </row>
    <row r="57758" spans="18:18" s="2" customFormat="1" ht="12.75" x14ac:dyDescent="0.2">
      <c r="R57758" s="1288"/>
    </row>
    <row r="57759" spans="18:18" s="2" customFormat="1" ht="12.75" x14ac:dyDescent="0.2">
      <c r="R57759" s="1288"/>
    </row>
    <row r="57760" spans="18:18" s="2" customFormat="1" ht="12.75" x14ac:dyDescent="0.2">
      <c r="R57760" s="1288"/>
    </row>
    <row r="57761" spans="18:18" s="2" customFormat="1" ht="12.75" x14ac:dyDescent="0.2">
      <c r="R57761" s="1288"/>
    </row>
    <row r="57762" spans="18:18" s="2" customFormat="1" ht="12.75" x14ac:dyDescent="0.2">
      <c r="R57762" s="1288"/>
    </row>
    <row r="57763" spans="18:18" s="2" customFormat="1" ht="12.75" x14ac:dyDescent="0.2">
      <c r="R57763" s="1288"/>
    </row>
    <row r="57764" spans="18:18" s="2" customFormat="1" ht="12.75" x14ac:dyDescent="0.2">
      <c r="R57764" s="1288"/>
    </row>
    <row r="57765" spans="18:18" s="2" customFormat="1" ht="12.75" x14ac:dyDescent="0.2">
      <c r="R57765" s="1288"/>
    </row>
    <row r="57766" spans="18:18" s="2" customFormat="1" ht="12.75" x14ac:dyDescent="0.2">
      <c r="R57766" s="1288"/>
    </row>
    <row r="57767" spans="18:18" s="2" customFormat="1" ht="12.75" x14ac:dyDescent="0.2">
      <c r="R57767" s="1288"/>
    </row>
    <row r="57768" spans="18:18" s="2" customFormat="1" ht="12.75" x14ac:dyDescent="0.2">
      <c r="R57768" s="1288"/>
    </row>
    <row r="57769" spans="18:18" s="2" customFormat="1" ht="12.75" x14ac:dyDescent="0.2">
      <c r="R57769" s="1288"/>
    </row>
    <row r="57770" spans="18:18" s="2" customFormat="1" ht="12.75" x14ac:dyDescent="0.2">
      <c r="R57770" s="1288"/>
    </row>
    <row r="57771" spans="18:18" s="2" customFormat="1" ht="12.75" x14ac:dyDescent="0.2">
      <c r="R57771" s="1288"/>
    </row>
    <row r="57772" spans="18:18" s="2" customFormat="1" ht="12.75" x14ac:dyDescent="0.2">
      <c r="R57772" s="1288"/>
    </row>
    <row r="57773" spans="18:18" s="2" customFormat="1" ht="12.75" x14ac:dyDescent="0.2">
      <c r="R57773" s="1288"/>
    </row>
    <row r="57774" spans="18:18" s="2" customFormat="1" ht="12.75" x14ac:dyDescent="0.2">
      <c r="R57774" s="1288"/>
    </row>
    <row r="57775" spans="18:18" s="2" customFormat="1" ht="12.75" x14ac:dyDescent="0.2">
      <c r="R57775" s="1288"/>
    </row>
    <row r="57776" spans="18:18" s="2" customFormat="1" ht="12.75" x14ac:dyDescent="0.2">
      <c r="R57776" s="1288"/>
    </row>
    <row r="57777" spans="18:18" s="2" customFormat="1" ht="12.75" x14ac:dyDescent="0.2">
      <c r="R57777" s="1288"/>
    </row>
    <row r="57778" spans="18:18" s="2" customFormat="1" ht="12.75" x14ac:dyDescent="0.2">
      <c r="R57778" s="1288"/>
    </row>
    <row r="57779" spans="18:18" s="2" customFormat="1" ht="12.75" x14ac:dyDescent="0.2">
      <c r="R57779" s="1288"/>
    </row>
    <row r="57780" spans="18:18" s="2" customFormat="1" ht="12.75" x14ac:dyDescent="0.2">
      <c r="R57780" s="1288"/>
    </row>
    <row r="57781" spans="18:18" s="2" customFormat="1" ht="12.75" x14ac:dyDescent="0.2">
      <c r="R57781" s="1288"/>
    </row>
    <row r="57782" spans="18:18" s="2" customFormat="1" ht="12.75" x14ac:dyDescent="0.2">
      <c r="R57782" s="1288"/>
    </row>
    <row r="57783" spans="18:18" s="2" customFormat="1" ht="12.75" x14ac:dyDescent="0.2">
      <c r="R57783" s="1288"/>
    </row>
    <row r="57784" spans="18:18" s="2" customFormat="1" ht="12.75" x14ac:dyDescent="0.2">
      <c r="R57784" s="1288"/>
    </row>
    <row r="57785" spans="18:18" s="2" customFormat="1" ht="12.75" x14ac:dyDescent="0.2">
      <c r="R57785" s="1288"/>
    </row>
    <row r="57786" spans="18:18" s="2" customFormat="1" ht="12.75" x14ac:dyDescent="0.2">
      <c r="R57786" s="1288"/>
    </row>
    <row r="57787" spans="18:18" s="2" customFormat="1" ht="12.75" x14ac:dyDescent="0.2">
      <c r="R57787" s="1288"/>
    </row>
    <row r="57788" spans="18:18" s="2" customFormat="1" ht="12.75" x14ac:dyDescent="0.2">
      <c r="R57788" s="1288"/>
    </row>
    <row r="57789" spans="18:18" s="2" customFormat="1" ht="12.75" x14ac:dyDescent="0.2">
      <c r="R57789" s="1288"/>
    </row>
    <row r="57790" spans="18:18" s="2" customFormat="1" ht="12.75" x14ac:dyDescent="0.2">
      <c r="R57790" s="1288"/>
    </row>
    <row r="57791" spans="18:18" s="2" customFormat="1" ht="12.75" x14ac:dyDescent="0.2">
      <c r="R57791" s="1288"/>
    </row>
    <row r="57792" spans="18:18" s="2" customFormat="1" ht="12.75" x14ac:dyDescent="0.2">
      <c r="R57792" s="1288"/>
    </row>
    <row r="57793" spans="18:18" s="2" customFormat="1" ht="12.75" x14ac:dyDescent="0.2">
      <c r="R57793" s="1288"/>
    </row>
    <row r="57794" spans="18:18" s="2" customFormat="1" ht="12.75" x14ac:dyDescent="0.2">
      <c r="R57794" s="1288"/>
    </row>
    <row r="57795" spans="18:18" s="2" customFormat="1" ht="12.75" x14ac:dyDescent="0.2">
      <c r="R57795" s="1288"/>
    </row>
    <row r="57796" spans="18:18" s="2" customFormat="1" ht="12.75" x14ac:dyDescent="0.2">
      <c r="R57796" s="1288"/>
    </row>
    <row r="57797" spans="18:18" s="2" customFormat="1" ht="12.75" x14ac:dyDescent="0.2">
      <c r="R57797" s="1288"/>
    </row>
    <row r="57798" spans="18:18" s="2" customFormat="1" ht="12.75" x14ac:dyDescent="0.2">
      <c r="R57798" s="1288"/>
    </row>
    <row r="57799" spans="18:18" s="2" customFormat="1" ht="12.75" x14ac:dyDescent="0.2">
      <c r="R57799" s="1288"/>
    </row>
    <row r="57800" spans="18:18" s="2" customFormat="1" ht="12.75" x14ac:dyDescent="0.2">
      <c r="R57800" s="1288"/>
    </row>
    <row r="57801" spans="18:18" s="2" customFormat="1" ht="12.75" x14ac:dyDescent="0.2">
      <c r="R57801" s="1288"/>
    </row>
    <row r="57802" spans="18:18" s="2" customFormat="1" ht="12.75" x14ac:dyDescent="0.2">
      <c r="R57802" s="1288"/>
    </row>
    <row r="57803" spans="18:18" s="2" customFormat="1" ht="12.75" x14ac:dyDescent="0.2">
      <c r="R57803" s="1288"/>
    </row>
    <row r="57804" spans="18:18" s="2" customFormat="1" ht="12.75" x14ac:dyDescent="0.2">
      <c r="R57804" s="1288"/>
    </row>
    <row r="57805" spans="18:18" s="2" customFormat="1" ht="12.75" x14ac:dyDescent="0.2">
      <c r="R57805" s="1288"/>
    </row>
    <row r="57806" spans="18:18" s="2" customFormat="1" ht="12.75" x14ac:dyDescent="0.2">
      <c r="R57806" s="1288"/>
    </row>
    <row r="57807" spans="18:18" s="2" customFormat="1" ht="12.75" x14ac:dyDescent="0.2">
      <c r="R57807" s="1288"/>
    </row>
    <row r="57808" spans="18:18" s="2" customFormat="1" ht="12.75" x14ac:dyDescent="0.2">
      <c r="R57808" s="1288"/>
    </row>
    <row r="57809" spans="18:18" s="2" customFormat="1" ht="12.75" x14ac:dyDescent="0.2">
      <c r="R57809" s="1288"/>
    </row>
    <row r="57810" spans="18:18" s="2" customFormat="1" ht="12.75" x14ac:dyDescent="0.2">
      <c r="R57810" s="1288"/>
    </row>
    <row r="57811" spans="18:18" s="2" customFormat="1" ht="12.75" x14ac:dyDescent="0.2">
      <c r="R57811" s="1288"/>
    </row>
    <row r="57812" spans="18:18" s="2" customFormat="1" ht="12.75" x14ac:dyDescent="0.2">
      <c r="R57812" s="1288"/>
    </row>
    <row r="57813" spans="18:18" s="2" customFormat="1" ht="12.75" x14ac:dyDescent="0.2">
      <c r="R57813" s="1288"/>
    </row>
    <row r="57814" spans="18:18" s="2" customFormat="1" ht="12.75" x14ac:dyDescent="0.2">
      <c r="R57814" s="1288"/>
    </row>
    <row r="57815" spans="18:18" s="2" customFormat="1" ht="12.75" x14ac:dyDescent="0.2">
      <c r="R57815" s="1288"/>
    </row>
    <row r="57816" spans="18:18" s="2" customFormat="1" ht="12.75" x14ac:dyDescent="0.2">
      <c r="R57816" s="1288"/>
    </row>
    <row r="57817" spans="18:18" s="2" customFormat="1" ht="12.75" x14ac:dyDescent="0.2">
      <c r="R57817" s="1288"/>
    </row>
    <row r="57818" spans="18:18" s="2" customFormat="1" ht="12.75" x14ac:dyDescent="0.2">
      <c r="R57818" s="1288"/>
    </row>
    <row r="57819" spans="18:18" s="2" customFormat="1" ht="12.75" x14ac:dyDescent="0.2">
      <c r="R57819" s="1288"/>
    </row>
    <row r="57820" spans="18:18" s="2" customFormat="1" ht="12.75" x14ac:dyDescent="0.2">
      <c r="R57820" s="1288"/>
    </row>
    <row r="57821" spans="18:18" s="2" customFormat="1" ht="12.75" x14ac:dyDescent="0.2">
      <c r="R57821" s="1288"/>
    </row>
    <row r="57822" spans="18:18" s="2" customFormat="1" ht="12.75" x14ac:dyDescent="0.2">
      <c r="R57822" s="1288"/>
    </row>
    <row r="57823" spans="18:18" s="2" customFormat="1" ht="12.75" x14ac:dyDescent="0.2">
      <c r="R57823" s="1288"/>
    </row>
    <row r="57824" spans="18:18" s="2" customFormat="1" ht="12.75" x14ac:dyDescent="0.2">
      <c r="R57824" s="1288"/>
    </row>
    <row r="57825" spans="18:18" s="2" customFormat="1" ht="12.75" x14ac:dyDescent="0.2">
      <c r="R57825" s="1288"/>
    </row>
    <row r="57826" spans="18:18" s="2" customFormat="1" ht="12.75" x14ac:dyDescent="0.2">
      <c r="R57826" s="1288"/>
    </row>
    <row r="57827" spans="18:18" s="2" customFormat="1" ht="12.75" x14ac:dyDescent="0.2">
      <c r="R57827" s="1288"/>
    </row>
    <row r="57828" spans="18:18" s="2" customFormat="1" ht="12.75" x14ac:dyDescent="0.2">
      <c r="R57828" s="1288"/>
    </row>
    <row r="57829" spans="18:18" s="2" customFormat="1" ht="12.75" x14ac:dyDescent="0.2">
      <c r="R57829" s="1288"/>
    </row>
    <row r="57830" spans="18:18" s="2" customFormat="1" ht="12.75" x14ac:dyDescent="0.2">
      <c r="R57830" s="1288"/>
    </row>
    <row r="57831" spans="18:18" s="2" customFormat="1" ht="12.75" x14ac:dyDescent="0.2">
      <c r="R57831" s="1288"/>
    </row>
    <row r="57832" spans="18:18" s="2" customFormat="1" ht="12.75" x14ac:dyDescent="0.2">
      <c r="R57832" s="1288"/>
    </row>
    <row r="57833" spans="18:18" s="2" customFormat="1" ht="12.75" x14ac:dyDescent="0.2">
      <c r="R57833" s="1288"/>
    </row>
    <row r="57834" spans="18:18" s="2" customFormat="1" ht="12.75" x14ac:dyDescent="0.2">
      <c r="R57834" s="1288"/>
    </row>
    <row r="57835" spans="18:18" s="2" customFormat="1" ht="12.75" x14ac:dyDescent="0.2">
      <c r="R57835" s="1288"/>
    </row>
    <row r="57836" spans="18:18" s="2" customFormat="1" ht="12.75" x14ac:dyDescent="0.2">
      <c r="R57836" s="1288"/>
    </row>
    <row r="57837" spans="18:18" s="2" customFormat="1" ht="12.75" x14ac:dyDescent="0.2">
      <c r="R57837" s="1288"/>
    </row>
    <row r="57838" spans="18:18" s="2" customFormat="1" ht="12.75" x14ac:dyDescent="0.2">
      <c r="R57838" s="1288"/>
    </row>
    <row r="57839" spans="18:18" s="2" customFormat="1" ht="12.75" x14ac:dyDescent="0.2">
      <c r="R57839" s="1288"/>
    </row>
    <row r="57840" spans="18:18" s="2" customFormat="1" ht="12.75" x14ac:dyDescent="0.2">
      <c r="R57840" s="1288"/>
    </row>
    <row r="57841" spans="18:18" s="2" customFormat="1" ht="12.75" x14ac:dyDescent="0.2">
      <c r="R57841" s="1288"/>
    </row>
    <row r="57842" spans="18:18" s="2" customFormat="1" ht="12.75" x14ac:dyDescent="0.2">
      <c r="R57842" s="1288"/>
    </row>
    <row r="57843" spans="18:18" s="2" customFormat="1" ht="12.75" x14ac:dyDescent="0.2">
      <c r="R57843" s="1288"/>
    </row>
    <row r="57844" spans="18:18" s="2" customFormat="1" ht="12.75" x14ac:dyDescent="0.2">
      <c r="R57844" s="1288"/>
    </row>
    <row r="57845" spans="18:18" s="2" customFormat="1" ht="12.75" x14ac:dyDescent="0.2">
      <c r="R57845" s="1288"/>
    </row>
    <row r="57846" spans="18:18" s="2" customFormat="1" ht="12.75" x14ac:dyDescent="0.2">
      <c r="R57846" s="1288"/>
    </row>
    <row r="57847" spans="18:18" s="2" customFormat="1" ht="12.75" x14ac:dyDescent="0.2">
      <c r="R57847" s="1288"/>
    </row>
    <row r="57848" spans="18:18" s="2" customFormat="1" ht="12.75" x14ac:dyDescent="0.2">
      <c r="R57848" s="1288"/>
    </row>
    <row r="57849" spans="18:18" s="2" customFormat="1" ht="12.75" x14ac:dyDescent="0.2">
      <c r="R57849" s="1288"/>
    </row>
    <row r="57850" spans="18:18" s="2" customFormat="1" ht="12.75" x14ac:dyDescent="0.2">
      <c r="R57850" s="1288"/>
    </row>
    <row r="57851" spans="18:18" s="2" customFormat="1" ht="12.75" x14ac:dyDescent="0.2">
      <c r="R57851" s="1288"/>
    </row>
    <row r="57852" spans="18:18" s="2" customFormat="1" ht="12.75" x14ac:dyDescent="0.2">
      <c r="R57852" s="1288"/>
    </row>
    <row r="57853" spans="18:18" s="2" customFormat="1" ht="12.75" x14ac:dyDescent="0.2">
      <c r="R57853" s="1288"/>
    </row>
    <row r="57854" spans="18:18" s="2" customFormat="1" ht="12.75" x14ac:dyDescent="0.2">
      <c r="R57854" s="1288"/>
    </row>
    <row r="57855" spans="18:18" s="2" customFormat="1" ht="12.75" x14ac:dyDescent="0.2">
      <c r="R57855" s="1288"/>
    </row>
    <row r="57856" spans="18:18" s="2" customFormat="1" ht="12.75" x14ac:dyDescent="0.2">
      <c r="R57856" s="1288"/>
    </row>
    <row r="57857" spans="18:18" s="2" customFormat="1" ht="12.75" x14ac:dyDescent="0.2">
      <c r="R57857" s="1288"/>
    </row>
    <row r="57858" spans="18:18" s="2" customFormat="1" ht="12.75" x14ac:dyDescent="0.2">
      <c r="R57858" s="1288"/>
    </row>
    <row r="57859" spans="18:18" s="2" customFormat="1" ht="12.75" x14ac:dyDescent="0.2">
      <c r="R57859" s="1288"/>
    </row>
    <row r="57860" spans="18:18" s="2" customFormat="1" ht="12.75" x14ac:dyDescent="0.2">
      <c r="R57860" s="1288"/>
    </row>
    <row r="57861" spans="18:18" s="2" customFormat="1" ht="12.75" x14ac:dyDescent="0.2">
      <c r="R57861" s="1288"/>
    </row>
    <row r="57862" spans="18:18" s="2" customFormat="1" ht="12.75" x14ac:dyDescent="0.2">
      <c r="R57862" s="1288"/>
    </row>
    <row r="57863" spans="18:18" s="2" customFormat="1" ht="12.75" x14ac:dyDescent="0.2">
      <c r="R57863" s="1288"/>
    </row>
    <row r="57864" spans="18:18" s="2" customFormat="1" ht="12.75" x14ac:dyDescent="0.2">
      <c r="R57864" s="1288"/>
    </row>
    <row r="57865" spans="18:18" s="2" customFormat="1" ht="12.75" x14ac:dyDescent="0.2">
      <c r="R57865" s="1288"/>
    </row>
    <row r="57866" spans="18:18" s="2" customFormat="1" ht="12.75" x14ac:dyDescent="0.2">
      <c r="R57866" s="1288"/>
    </row>
    <row r="57867" spans="18:18" s="2" customFormat="1" ht="12.75" x14ac:dyDescent="0.2">
      <c r="R57867" s="1288"/>
    </row>
    <row r="57868" spans="18:18" s="2" customFormat="1" ht="12.75" x14ac:dyDescent="0.2">
      <c r="R57868" s="1288"/>
    </row>
    <row r="57869" spans="18:18" s="2" customFormat="1" ht="12.75" x14ac:dyDescent="0.2">
      <c r="R57869" s="1288"/>
    </row>
    <row r="57870" spans="18:18" s="2" customFormat="1" ht="12.75" x14ac:dyDescent="0.2">
      <c r="R57870" s="1288"/>
    </row>
    <row r="57871" spans="18:18" s="2" customFormat="1" ht="12.75" x14ac:dyDescent="0.2">
      <c r="R57871" s="1288"/>
    </row>
    <row r="57872" spans="18:18" s="2" customFormat="1" ht="12.75" x14ac:dyDescent="0.2">
      <c r="R57872" s="1288"/>
    </row>
    <row r="57873" spans="18:18" s="2" customFormat="1" ht="12.75" x14ac:dyDescent="0.2">
      <c r="R57873" s="1288"/>
    </row>
    <row r="57874" spans="18:18" s="2" customFormat="1" ht="12.75" x14ac:dyDescent="0.2">
      <c r="R57874" s="1288"/>
    </row>
    <row r="57875" spans="18:18" s="2" customFormat="1" ht="12.75" x14ac:dyDescent="0.2">
      <c r="R57875" s="1288"/>
    </row>
    <row r="57876" spans="18:18" s="2" customFormat="1" ht="12.75" x14ac:dyDescent="0.2">
      <c r="R57876" s="1288"/>
    </row>
    <row r="57877" spans="18:18" s="2" customFormat="1" ht="12.75" x14ac:dyDescent="0.2">
      <c r="R57877" s="1288"/>
    </row>
    <row r="57878" spans="18:18" s="2" customFormat="1" ht="12.75" x14ac:dyDescent="0.2">
      <c r="R57878" s="1288"/>
    </row>
    <row r="57879" spans="18:18" s="2" customFormat="1" ht="12.75" x14ac:dyDescent="0.2">
      <c r="R57879" s="1288"/>
    </row>
    <row r="57880" spans="18:18" s="2" customFormat="1" ht="12.75" x14ac:dyDescent="0.2">
      <c r="R57880" s="1288"/>
    </row>
    <row r="57881" spans="18:18" s="2" customFormat="1" ht="12.75" x14ac:dyDescent="0.2">
      <c r="R57881" s="1288"/>
    </row>
    <row r="57882" spans="18:18" s="2" customFormat="1" ht="12.75" x14ac:dyDescent="0.2">
      <c r="R57882" s="1288"/>
    </row>
    <row r="57883" spans="18:18" s="2" customFormat="1" ht="12.75" x14ac:dyDescent="0.2">
      <c r="R57883" s="1288"/>
    </row>
    <row r="57884" spans="18:18" s="2" customFormat="1" ht="12.75" x14ac:dyDescent="0.2">
      <c r="R57884" s="1288"/>
    </row>
    <row r="57885" spans="18:18" s="2" customFormat="1" ht="12.75" x14ac:dyDescent="0.2">
      <c r="R57885" s="1288"/>
    </row>
    <row r="57886" spans="18:18" s="2" customFormat="1" ht="12.75" x14ac:dyDescent="0.2">
      <c r="R57886" s="1288"/>
    </row>
    <row r="57887" spans="18:18" s="2" customFormat="1" ht="12.75" x14ac:dyDescent="0.2">
      <c r="R57887" s="1288"/>
    </row>
    <row r="57888" spans="18:18" s="2" customFormat="1" ht="12.75" x14ac:dyDescent="0.2">
      <c r="R57888" s="1288"/>
    </row>
    <row r="57889" spans="18:18" s="2" customFormat="1" ht="12.75" x14ac:dyDescent="0.2">
      <c r="R57889" s="1288"/>
    </row>
    <row r="57890" spans="18:18" s="2" customFormat="1" ht="12.75" x14ac:dyDescent="0.2">
      <c r="R57890" s="1288"/>
    </row>
    <row r="57891" spans="18:18" s="2" customFormat="1" ht="12.75" x14ac:dyDescent="0.2">
      <c r="R57891" s="1288"/>
    </row>
    <row r="57892" spans="18:18" s="2" customFormat="1" ht="12.75" x14ac:dyDescent="0.2">
      <c r="R57892" s="1288"/>
    </row>
    <row r="57893" spans="18:18" s="2" customFormat="1" ht="12.75" x14ac:dyDescent="0.2">
      <c r="R57893" s="1288"/>
    </row>
    <row r="57894" spans="18:18" s="2" customFormat="1" ht="12.75" x14ac:dyDescent="0.2">
      <c r="R57894" s="1288"/>
    </row>
    <row r="57895" spans="18:18" s="2" customFormat="1" ht="12.75" x14ac:dyDescent="0.2">
      <c r="R57895" s="1288"/>
    </row>
    <row r="57896" spans="18:18" s="2" customFormat="1" ht="12.75" x14ac:dyDescent="0.2">
      <c r="R57896" s="1288"/>
    </row>
    <row r="57897" spans="18:18" s="2" customFormat="1" ht="12.75" x14ac:dyDescent="0.2">
      <c r="R57897" s="1288"/>
    </row>
    <row r="57898" spans="18:18" s="2" customFormat="1" ht="12.75" x14ac:dyDescent="0.2">
      <c r="R57898" s="1288"/>
    </row>
    <row r="57899" spans="18:18" s="2" customFormat="1" ht="12.75" x14ac:dyDescent="0.2">
      <c r="R57899" s="1288"/>
    </row>
    <row r="57900" spans="18:18" s="2" customFormat="1" ht="12.75" x14ac:dyDescent="0.2">
      <c r="R57900" s="1288"/>
    </row>
    <row r="57901" spans="18:18" s="2" customFormat="1" ht="12.75" x14ac:dyDescent="0.2">
      <c r="R57901" s="1288"/>
    </row>
    <row r="57902" spans="18:18" s="2" customFormat="1" ht="12.75" x14ac:dyDescent="0.2">
      <c r="R57902" s="1288"/>
    </row>
    <row r="57903" spans="18:18" s="2" customFormat="1" ht="12.75" x14ac:dyDescent="0.2">
      <c r="R57903" s="1288"/>
    </row>
    <row r="57904" spans="18:18" s="2" customFormat="1" ht="12.75" x14ac:dyDescent="0.2">
      <c r="R57904" s="1288"/>
    </row>
    <row r="57905" spans="18:18" s="2" customFormat="1" ht="12.75" x14ac:dyDescent="0.2">
      <c r="R57905" s="1288"/>
    </row>
    <row r="57906" spans="18:18" s="2" customFormat="1" ht="12.75" x14ac:dyDescent="0.2">
      <c r="R57906" s="1288"/>
    </row>
    <row r="57907" spans="18:18" s="2" customFormat="1" ht="12.75" x14ac:dyDescent="0.2">
      <c r="R57907" s="1288"/>
    </row>
    <row r="57908" spans="18:18" s="2" customFormat="1" ht="12.75" x14ac:dyDescent="0.2">
      <c r="R57908" s="1288"/>
    </row>
    <row r="57909" spans="18:18" s="2" customFormat="1" ht="12.75" x14ac:dyDescent="0.2">
      <c r="R57909" s="1288"/>
    </row>
    <row r="57910" spans="18:18" s="2" customFormat="1" ht="12.75" x14ac:dyDescent="0.2">
      <c r="R57910" s="1288"/>
    </row>
    <row r="57911" spans="18:18" s="2" customFormat="1" ht="12.75" x14ac:dyDescent="0.2">
      <c r="R57911" s="1288"/>
    </row>
    <row r="57912" spans="18:18" s="2" customFormat="1" ht="12.75" x14ac:dyDescent="0.2">
      <c r="R57912" s="1288"/>
    </row>
    <row r="57913" spans="18:18" s="2" customFormat="1" ht="12.75" x14ac:dyDescent="0.2">
      <c r="R57913" s="1288"/>
    </row>
    <row r="57914" spans="18:18" s="2" customFormat="1" ht="12.75" x14ac:dyDescent="0.2">
      <c r="R57914" s="1288"/>
    </row>
    <row r="57915" spans="18:18" s="2" customFormat="1" ht="12.75" x14ac:dyDescent="0.2">
      <c r="R57915" s="1288"/>
    </row>
    <row r="57916" spans="18:18" s="2" customFormat="1" ht="12.75" x14ac:dyDescent="0.2">
      <c r="R57916" s="1288"/>
    </row>
    <row r="57917" spans="18:18" s="2" customFormat="1" ht="12.75" x14ac:dyDescent="0.2">
      <c r="R57917" s="1288"/>
    </row>
    <row r="57918" spans="18:18" s="2" customFormat="1" ht="12.75" x14ac:dyDescent="0.2">
      <c r="R57918" s="1288"/>
    </row>
    <row r="57919" spans="18:18" s="2" customFormat="1" ht="12.75" x14ac:dyDescent="0.2">
      <c r="R57919" s="1288"/>
    </row>
    <row r="57920" spans="18:18" s="2" customFormat="1" ht="12.75" x14ac:dyDescent="0.2">
      <c r="R57920" s="1288"/>
    </row>
    <row r="57921" spans="18:18" s="2" customFormat="1" ht="12.75" x14ac:dyDescent="0.2">
      <c r="R57921" s="1288"/>
    </row>
    <row r="57922" spans="18:18" s="2" customFormat="1" ht="12.75" x14ac:dyDescent="0.2">
      <c r="R57922" s="1288"/>
    </row>
    <row r="57923" spans="18:18" s="2" customFormat="1" ht="12.75" x14ac:dyDescent="0.2">
      <c r="R57923" s="1288"/>
    </row>
    <row r="57924" spans="18:18" s="2" customFormat="1" ht="12.75" x14ac:dyDescent="0.2">
      <c r="R57924" s="1288"/>
    </row>
    <row r="57925" spans="18:18" s="2" customFormat="1" ht="12.75" x14ac:dyDescent="0.2">
      <c r="R57925" s="1288"/>
    </row>
    <row r="57926" spans="18:18" s="2" customFormat="1" ht="12.75" x14ac:dyDescent="0.2">
      <c r="R57926" s="1288"/>
    </row>
    <row r="57927" spans="18:18" s="2" customFormat="1" ht="12.75" x14ac:dyDescent="0.2">
      <c r="R57927" s="1288"/>
    </row>
    <row r="57928" spans="18:18" s="2" customFormat="1" ht="12.75" x14ac:dyDescent="0.2">
      <c r="R57928" s="1288"/>
    </row>
    <row r="57929" spans="18:18" s="2" customFormat="1" ht="12.75" x14ac:dyDescent="0.2">
      <c r="R57929" s="1288"/>
    </row>
    <row r="57930" spans="18:18" s="2" customFormat="1" ht="12.75" x14ac:dyDescent="0.2">
      <c r="R57930" s="1288"/>
    </row>
    <row r="57931" spans="18:18" s="2" customFormat="1" ht="12.75" x14ac:dyDescent="0.2">
      <c r="R57931" s="1288"/>
    </row>
    <row r="57932" spans="18:18" s="2" customFormat="1" ht="12.75" x14ac:dyDescent="0.2">
      <c r="R57932" s="1288"/>
    </row>
    <row r="57933" spans="18:18" s="2" customFormat="1" ht="12.75" x14ac:dyDescent="0.2">
      <c r="R57933" s="1288"/>
    </row>
    <row r="57934" spans="18:18" s="2" customFormat="1" ht="12.75" x14ac:dyDescent="0.2">
      <c r="R57934" s="1288"/>
    </row>
    <row r="57935" spans="18:18" s="2" customFormat="1" ht="12.75" x14ac:dyDescent="0.2">
      <c r="R57935" s="1288"/>
    </row>
    <row r="57936" spans="18:18" s="2" customFormat="1" ht="12.75" x14ac:dyDescent="0.2">
      <c r="R57936" s="1288"/>
    </row>
    <row r="57937" spans="18:18" s="2" customFormat="1" ht="12.75" x14ac:dyDescent="0.2">
      <c r="R57937" s="1288"/>
    </row>
    <row r="57938" spans="18:18" s="2" customFormat="1" ht="12.75" x14ac:dyDescent="0.2">
      <c r="R57938" s="1288"/>
    </row>
    <row r="57939" spans="18:18" s="2" customFormat="1" ht="12.75" x14ac:dyDescent="0.2">
      <c r="R57939" s="1288"/>
    </row>
    <row r="57940" spans="18:18" s="2" customFormat="1" ht="12.75" x14ac:dyDescent="0.2">
      <c r="R57940" s="1288"/>
    </row>
    <row r="57941" spans="18:18" s="2" customFormat="1" ht="12.75" x14ac:dyDescent="0.2">
      <c r="R57941" s="1288"/>
    </row>
    <row r="57942" spans="18:18" s="2" customFormat="1" ht="12.75" x14ac:dyDescent="0.2">
      <c r="R57942" s="1288"/>
    </row>
    <row r="57943" spans="18:18" s="2" customFormat="1" ht="12.75" x14ac:dyDescent="0.2">
      <c r="R57943" s="1288"/>
    </row>
    <row r="57944" spans="18:18" s="2" customFormat="1" ht="12.75" x14ac:dyDescent="0.2">
      <c r="R57944" s="1288"/>
    </row>
    <row r="57945" spans="18:18" s="2" customFormat="1" ht="12.75" x14ac:dyDescent="0.2">
      <c r="R57945" s="1288"/>
    </row>
    <row r="57946" spans="18:18" s="2" customFormat="1" ht="12.75" x14ac:dyDescent="0.2">
      <c r="R57946" s="1288"/>
    </row>
    <row r="57947" spans="18:18" s="2" customFormat="1" ht="12.75" x14ac:dyDescent="0.2">
      <c r="R57947" s="1288"/>
    </row>
    <row r="57948" spans="18:18" s="2" customFormat="1" ht="12.75" x14ac:dyDescent="0.2">
      <c r="R57948" s="1288"/>
    </row>
    <row r="57949" spans="18:18" s="2" customFormat="1" ht="12.75" x14ac:dyDescent="0.2">
      <c r="R57949" s="1288"/>
    </row>
    <row r="57950" spans="18:18" s="2" customFormat="1" ht="12.75" x14ac:dyDescent="0.2">
      <c r="R57950" s="1288"/>
    </row>
    <row r="57951" spans="18:18" s="2" customFormat="1" ht="12.75" x14ac:dyDescent="0.2">
      <c r="R57951" s="1288"/>
    </row>
    <row r="57952" spans="18:18" s="2" customFormat="1" ht="12.75" x14ac:dyDescent="0.2">
      <c r="R57952" s="1288"/>
    </row>
    <row r="57953" spans="18:18" s="2" customFormat="1" ht="12.75" x14ac:dyDescent="0.2">
      <c r="R57953" s="1288"/>
    </row>
    <row r="57954" spans="18:18" s="2" customFormat="1" ht="12.75" x14ac:dyDescent="0.2">
      <c r="R57954" s="1288"/>
    </row>
    <row r="57955" spans="18:18" s="2" customFormat="1" ht="12.75" x14ac:dyDescent="0.2">
      <c r="R57955" s="1288"/>
    </row>
    <row r="57956" spans="18:18" s="2" customFormat="1" ht="12.75" x14ac:dyDescent="0.2">
      <c r="R57956" s="1288"/>
    </row>
    <row r="57957" spans="18:18" s="2" customFormat="1" ht="12.75" x14ac:dyDescent="0.2">
      <c r="R57957" s="1288"/>
    </row>
    <row r="57958" spans="18:18" s="2" customFormat="1" ht="12.75" x14ac:dyDescent="0.2">
      <c r="R57958" s="1288"/>
    </row>
    <row r="57959" spans="18:18" s="2" customFormat="1" ht="12.75" x14ac:dyDescent="0.2">
      <c r="R57959" s="1288"/>
    </row>
    <row r="57960" spans="18:18" s="2" customFormat="1" ht="12.75" x14ac:dyDescent="0.2">
      <c r="R57960" s="1288"/>
    </row>
    <row r="57961" spans="18:18" s="2" customFormat="1" ht="12.75" x14ac:dyDescent="0.2">
      <c r="R57961" s="1288"/>
    </row>
    <row r="57962" spans="18:18" s="2" customFormat="1" ht="12.75" x14ac:dyDescent="0.2">
      <c r="R57962" s="1288"/>
    </row>
    <row r="57963" spans="18:18" s="2" customFormat="1" ht="12.75" x14ac:dyDescent="0.2">
      <c r="R57963" s="1288"/>
    </row>
    <row r="57964" spans="18:18" s="2" customFormat="1" ht="12.75" x14ac:dyDescent="0.2">
      <c r="R57964" s="1288"/>
    </row>
    <row r="57965" spans="18:18" s="2" customFormat="1" ht="12.75" x14ac:dyDescent="0.2">
      <c r="R57965" s="1288"/>
    </row>
    <row r="57966" spans="18:18" s="2" customFormat="1" ht="12.75" x14ac:dyDescent="0.2">
      <c r="R57966" s="1288"/>
    </row>
    <row r="57967" spans="18:18" s="2" customFormat="1" ht="12.75" x14ac:dyDescent="0.2">
      <c r="R57967" s="1288"/>
    </row>
    <row r="57968" spans="18:18" s="2" customFormat="1" ht="12.75" x14ac:dyDescent="0.2">
      <c r="R57968" s="1288"/>
    </row>
    <row r="57969" spans="18:18" s="2" customFormat="1" ht="12.75" x14ac:dyDescent="0.2">
      <c r="R57969" s="1288"/>
    </row>
    <row r="57970" spans="18:18" s="2" customFormat="1" ht="12.75" x14ac:dyDescent="0.2">
      <c r="R57970" s="1288"/>
    </row>
    <row r="57971" spans="18:18" s="2" customFormat="1" ht="12.75" x14ac:dyDescent="0.2">
      <c r="R57971" s="1288"/>
    </row>
    <row r="57972" spans="18:18" s="2" customFormat="1" ht="12.75" x14ac:dyDescent="0.2">
      <c r="R57972" s="1288"/>
    </row>
    <row r="57973" spans="18:18" s="2" customFormat="1" ht="12.75" x14ac:dyDescent="0.2">
      <c r="R57973" s="1288"/>
    </row>
    <row r="57974" spans="18:18" s="2" customFormat="1" ht="12.75" x14ac:dyDescent="0.2">
      <c r="R57974" s="1288"/>
    </row>
    <row r="57975" spans="18:18" s="2" customFormat="1" ht="12.75" x14ac:dyDescent="0.2">
      <c r="R57975" s="1288"/>
    </row>
    <row r="57976" spans="18:18" s="2" customFormat="1" ht="12.75" x14ac:dyDescent="0.2">
      <c r="R57976" s="1288"/>
    </row>
    <row r="57977" spans="18:18" s="2" customFormat="1" ht="12.75" x14ac:dyDescent="0.2">
      <c r="R57977" s="1288"/>
    </row>
    <row r="57978" spans="18:18" s="2" customFormat="1" ht="12.75" x14ac:dyDescent="0.2">
      <c r="R57978" s="1288"/>
    </row>
    <row r="57979" spans="18:18" s="2" customFormat="1" ht="12.75" x14ac:dyDescent="0.2">
      <c r="R57979" s="1288"/>
    </row>
    <row r="57980" spans="18:18" s="2" customFormat="1" ht="12.75" x14ac:dyDescent="0.2">
      <c r="R57980" s="1288"/>
    </row>
    <row r="57981" spans="18:18" s="2" customFormat="1" ht="12.75" x14ac:dyDescent="0.2">
      <c r="R57981" s="1288"/>
    </row>
    <row r="57982" spans="18:18" s="2" customFormat="1" ht="12.75" x14ac:dyDescent="0.2">
      <c r="R57982" s="1288"/>
    </row>
    <row r="57983" spans="18:18" s="2" customFormat="1" ht="12.75" x14ac:dyDescent="0.2">
      <c r="R57983" s="1288"/>
    </row>
    <row r="57984" spans="18:18" s="2" customFormat="1" ht="12.75" x14ac:dyDescent="0.2">
      <c r="R57984" s="1288"/>
    </row>
    <row r="57985" spans="18:18" s="2" customFormat="1" ht="12.75" x14ac:dyDescent="0.2">
      <c r="R57985" s="1288"/>
    </row>
    <row r="57986" spans="18:18" s="2" customFormat="1" ht="12.75" x14ac:dyDescent="0.2">
      <c r="R57986" s="1288"/>
    </row>
    <row r="57987" spans="18:18" s="2" customFormat="1" ht="12.75" x14ac:dyDescent="0.2">
      <c r="R57987" s="1288"/>
    </row>
    <row r="57988" spans="18:18" s="2" customFormat="1" ht="12.75" x14ac:dyDescent="0.2">
      <c r="R57988" s="1288"/>
    </row>
    <row r="57989" spans="18:18" s="2" customFormat="1" ht="12.75" x14ac:dyDescent="0.2">
      <c r="R57989" s="1288"/>
    </row>
    <row r="57990" spans="18:18" s="2" customFormat="1" ht="12.75" x14ac:dyDescent="0.2">
      <c r="R57990" s="1288"/>
    </row>
    <row r="57991" spans="18:18" s="2" customFormat="1" ht="12.75" x14ac:dyDescent="0.2">
      <c r="R57991" s="1288"/>
    </row>
    <row r="57992" spans="18:18" s="2" customFormat="1" ht="12.75" x14ac:dyDescent="0.2">
      <c r="R57992" s="1288"/>
    </row>
    <row r="57993" spans="18:18" s="2" customFormat="1" ht="12.75" x14ac:dyDescent="0.2">
      <c r="R57993" s="1288"/>
    </row>
    <row r="57994" spans="18:18" s="2" customFormat="1" ht="12.75" x14ac:dyDescent="0.2">
      <c r="R57994" s="1288"/>
    </row>
    <row r="57995" spans="18:18" s="2" customFormat="1" ht="12.75" x14ac:dyDescent="0.2">
      <c r="R57995" s="1288"/>
    </row>
    <row r="57996" spans="18:18" s="2" customFormat="1" ht="12.75" x14ac:dyDescent="0.2">
      <c r="R57996" s="1288"/>
    </row>
    <row r="57997" spans="18:18" s="2" customFormat="1" ht="12.75" x14ac:dyDescent="0.2">
      <c r="R57997" s="1288"/>
    </row>
    <row r="57998" spans="18:18" s="2" customFormat="1" ht="12.75" x14ac:dyDescent="0.2">
      <c r="R57998" s="1288"/>
    </row>
    <row r="57999" spans="18:18" s="2" customFormat="1" ht="12.75" x14ac:dyDescent="0.2">
      <c r="R57999" s="1288"/>
    </row>
    <row r="58000" spans="18:18" s="2" customFormat="1" ht="12.75" x14ac:dyDescent="0.2">
      <c r="R58000" s="1288"/>
    </row>
    <row r="58001" spans="18:18" s="2" customFormat="1" ht="12.75" x14ac:dyDescent="0.2">
      <c r="R58001" s="1288"/>
    </row>
    <row r="58002" spans="18:18" s="2" customFormat="1" ht="12.75" x14ac:dyDescent="0.2">
      <c r="R58002" s="1288"/>
    </row>
    <row r="58003" spans="18:18" s="2" customFormat="1" ht="12.75" x14ac:dyDescent="0.2">
      <c r="R58003" s="1288"/>
    </row>
    <row r="58004" spans="18:18" s="2" customFormat="1" ht="12.75" x14ac:dyDescent="0.2">
      <c r="R58004" s="1288"/>
    </row>
    <row r="58005" spans="18:18" s="2" customFormat="1" ht="12.75" x14ac:dyDescent="0.2">
      <c r="R58005" s="1288"/>
    </row>
    <row r="58006" spans="18:18" s="2" customFormat="1" ht="12.75" x14ac:dyDescent="0.2">
      <c r="R58006" s="1288"/>
    </row>
    <row r="58007" spans="18:18" s="2" customFormat="1" ht="12.75" x14ac:dyDescent="0.2">
      <c r="R58007" s="1288"/>
    </row>
    <row r="58008" spans="18:18" s="2" customFormat="1" ht="12.75" x14ac:dyDescent="0.2">
      <c r="R58008" s="1288"/>
    </row>
    <row r="58009" spans="18:18" s="2" customFormat="1" ht="12.75" x14ac:dyDescent="0.2">
      <c r="R58009" s="1288"/>
    </row>
    <row r="58010" spans="18:18" s="2" customFormat="1" ht="12.75" x14ac:dyDescent="0.2">
      <c r="R58010" s="1288"/>
    </row>
    <row r="58011" spans="18:18" s="2" customFormat="1" ht="12.75" x14ac:dyDescent="0.2">
      <c r="R58011" s="1288"/>
    </row>
    <row r="58012" spans="18:18" s="2" customFormat="1" ht="12.75" x14ac:dyDescent="0.2">
      <c r="R58012" s="1288"/>
    </row>
    <row r="58013" spans="18:18" s="2" customFormat="1" ht="12.75" x14ac:dyDescent="0.2">
      <c r="R58013" s="1288"/>
    </row>
    <row r="58014" spans="18:18" s="2" customFormat="1" ht="12.75" x14ac:dyDescent="0.2">
      <c r="R58014" s="1288"/>
    </row>
    <row r="58015" spans="18:18" s="2" customFormat="1" ht="12.75" x14ac:dyDescent="0.2">
      <c r="R58015" s="1288"/>
    </row>
    <row r="58016" spans="18:18" s="2" customFormat="1" ht="12.75" x14ac:dyDescent="0.2">
      <c r="R58016" s="1288"/>
    </row>
    <row r="58017" spans="18:18" s="2" customFormat="1" ht="12.75" x14ac:dyDescent="0.2">
      <c r="R58017" s="1288"/>
    </row>
    <row r="58018" spans="18:18" s="2" customFormat="1" ht="12.75" x14ac:dyDescent="0.2">
      <c r="R58018" s="1288"/>
    </row>
    <row r="58019" spans="18:18" s="2" customFormat="1" ht="12.75" x14ac:dyDescent="0.2">
      <c r="R58019" s="1288"/>
    </row>
    <row r="58020" spans="18:18" s="2" customFormat="1" ht="12.75" x14ac:dyDescent="0.2">
      <c r="R58020" s="1288"/>
    </row>
    <row r="58021" spans="18:18" s="2" customFormat="1" ht="12.75" x14ac:dyDescent="0.2">
      <c r="R58021" s="1288"/>
    </row>
    <row r="58022" spans="18:18" s="2" customFormat="1" ht="12.75" x14ac:dyDescent="0.2">
      <c r="R58022" s="1288"/>
    </row>
    <row r="58023" spans="18:18" s="2" customFormat="1" ht="12.75" x14ac:dyDescent="0.2">
      <c r="R58023" s="1288"/>
    </row>
    <row r="58024" spans="18:18" s="2" customFormat="1" ht="12.75" x14ac:dyDescent="0.2">
      <c r="R58024" s="1288"/>
    </row>
    <row r="58025" spans="18:18" s="2" customFormat="1" ht="12.75" x14ac:dyDescent="0.2">
      <c r="R58025" s="1288"/>
    </row>
    <row r="58026" spans="18:18" s="2" customFormat="1" ht="12.75" x14ac:dyDescent="0.2">
      <c r="R58026" s="1288"/>
    </row>
    <row r="58027" spans="18:18" s="2" customFormat="1" ht="12.75" x14ac:dyDescent="0.2">
      <c r="R58027" s="1288"/>
    </row>
    <row r="58028" spans="18:18" s="2" customFormat="1" ht="12.75" x14ac:dyDescent="0.2">
      <c r="R58028" s="1288"/>
    </row>
    <row r="58029" spans="18:18" s="2" customFormat="1" ht="12.75" x14ac:dyDescent="0.2">
      <c r="R58029" s="1288"/>
    </row>
    <row r="58030" spans="18:18" s="2" customFormat="1" ht="12.75" x14ac:dyDescent="0.2">
      <c r="R58030" s="1288"/>
    </row>
    <row r="58031" spans="18:18" s="2" customFormat="1" ht="12.75" x14ac:dyDescent="0.2">
      <c r="R58031" s="1288"/>
    </row>
    <row r="58032" spans="18:18" s="2" customFormat="1" ht="12.75" x14ac:dyDescent="0.2">
      <c r="R58032" s="1288"/>
    </row>
    <row r="58033" spans="18:18" s="2" customFormat="1" ht="12.75" x14ac:dyDescent="0.2">
      <c r="R58033" s="1288"/>
    </row>
    <row r="58034" spans="18:18" s="2" customFormat="1" ht="12.75" x14ac:dyDescent="0.2">
      <c r="R58034" s="1288"/>
    </row>
    <row r="58035" spans="18:18" s="2" customFormat="1" ht="12.75" x14ac:dyDescent="0.2">
      <c r="R58035" s="1288"/>
    </row>
    <row r="58036" spans="18:18" s="2" customFormat="1" ht="12.75" x14ac:dyDescent="0.2">
      <c r="R58036" s="1288"/>
    </row>
    <row r="58037" spans="18:18" s="2" customFormat="1" ht="12.75" x14ac:dyDescent="0.2">
      <c r="R58037" s="1288"/>
    </row>
    <row r="58038" spans="18:18" s="2" customFormat="1" ht="12.75" x14ac:dyDescent="0.2">
      <c r="R58038" s="1288"/>
    </row>
    <row r="58039" spans="18:18" s="2" customFormat="1" ht="12.75" x14ac:dyDescent="0.2">
      <c r="R58039" s="1288"/>
    </row>
    <row r="58040" spans="18:18" s="2" customFormat="1" ht="12.75" x14ac:dyDescent="0.2">
      <c r="R58040" s="1288"/>
    </row>
    <row r="58041" spans="18:18" s="2" customFormat="1" ht="12.75" x14ac:dyDescent="0.2">
      <c r="R58041" s="1288"/>
    </row>
    <row r="58042" spans="18:18" s="2" customFormat="1" ht="12.75" x14ac:dyDescent="0.2">
      <c r="R58042" s="1288"/>
    </row>
    <row r="58043" spans="18:18" s="2" customFormat="1" ht="12.75" x14ac:dyDescent="0.2">
      <c r="R58043" s="1288"/>
    </row>
    <row r="58044" spans="18:18" s="2" customFormat="1" ht="12.75" x14ac:dyDescent="0.2">
      <c r="R58044" s="1288"/>
    </row>
    <row r="58045" spans="18:18" s="2" customFormat="1" ht="12.75" x14ac:dyDescent="0.2">
      <c r="R58045" s="1288"/>
    </row>
    <row r="58046" spans="18:18" s="2" customFormat="1" ht="12.75" x14ac:dyDescent="0.2">
      <c r="R58046" s="1288"/>
    </row>
    <row r="58047" spans="18:18" s="2" customFormat="1" ht="12.75" x14ac:dyDescent="0.2">
      <c r="R58047" s="1288"/>
    </row>
    <row r="58048" spans="18:18" s="2" customFormat="1" ht="12.75" x14ac:dyDescent="0.2">
      <c r="R58048" s="1288"/>
    </row>
    <row r="58049" spans="18:18" s="2" customFormat="1" ht="12.75" x14ac:dyDescent="0.2">
      <c r="R58049" s="1288"/>
    </row>
    <row r="58050" spans="18:18" s="2" customFormat="1" ht="12.75" x14ac:dyDescent="0.2">
      <c r="R58050" s="1288"/>
    </row>
    <row r="58051" spans="18:18" s="2" customFormat="1" ht="12.75" x14ac:dyDescent="0.2">
      <c r="R58051" s="1288"/>
    </row>
    <row r="58052" spans="18:18" s="2" customFormat="1" ht="12.75" x14ac:dyDescent="0.2">
      <c r="R58052" s="1288"/>
    </row>
    <row r="58053" spans="18:18" s="2" customFormat="1" ht="12.75" x14ac:dyDescent="0.2">
      <c r="R58053" s="1288"/>
    </row>
    <row r="58054" spans="18:18" s="2" customFormat="1" ht="12.75" x14ac:dyDescent="0.2">
      <c r="R58054" s="1288"/>
    </row>
    <row r="58055" spans="18:18" s="2" customFormat="1" ht="12.75" x14ac:dyDescent="0.2">
      <c r="R58055" s="1288"/>
    </row>
    <row r="58056" spans="18:18" s="2" customFormat="1" ht="12.75" x14ac:dyDescent="0.2">
      <c r="R58056" s="1288"/>
    </row>
    <row r="58057" spans="18:18" s="2" customFormat="1" ht="12.75" x14ac:dyDescent="0.2">
      <c r="R58057" s="1288"/>
    </row>
    <row r="58058" spans="18:18" s="2" customFormat="1" ht="12.75" x14ac:dyDescent="0.2">
      <c r="R58058" s="1288"/>
    </row>
    <row r="58059" spans="18:18" s="2" customFormat="1" ht="12.75" x14ac:dyDescent="0.2">
      <c r="R58059" s="1288"/>
    </row>
    <row r="58060" spans="18:18" s="2" customFormat="1" ht="12.75" x14ac:dyDescent="0.2">
      <c r="R58060" s="1288"/>
    </row>
    <row r="58061" spans="18:18" s="2" customFormat="1" ht="12.75" x14ac:dyDescent="0.2">
      <c r="R58061" s="1288"/>
    </row>
    <row r="58062" spans="18:18" s="2" customFormat="1" ht="12.75" x14ac:dyDescent="0.2">
      <c r="R58062" s="1288"/>
    </row>
    <row r="58063" spans="18:18" s="2" customFormat="1" ht="12.75" x14ac:dyDescent="0.2">
      <c r="R58063" s="1288"/>
    </row>
    <row r="58064" spans="18:18" s="2" customFormat="1" ht="12.75" x14ac:dyDescent="0.2">
      <c r="R58064" s="1288"/>
    </row>
    <row r="58065" spans="18:18" s="2" customFormat="1" ht="12.75" x14ac:dyDescent="0.2">
      <c r="R58065" s="1288"/>
    </row>
    <row r="58066" spans="18:18" s="2" customFormat="1" ht="12.75" x14ac:dyDescent="0.2">
      <c r="R58066" s="1288"/>
    </row>
    <row r="58067" spans="18:18" s="2" customFormat="1" ht="12.75" x14ac:dyDescent="0.2">
      <c r="R58067" s="1288"/>
    </row>
    <row r="58068" spans="18:18" s="2" customFormat="1" ht="12.75" x14ac:dyDescent="0.2">
      <c r="R58068" s="1288"/>
    </row>
    <row r="58069" spans="18:18" s="2" customFormat="1" ht="12.75" x14ac:dyDescent="0.2">
      <c r="R58069" s="1288"/>
    </row>
    <row r="58070" spans="18:18" s="2" customFormat="1" ht="12.75" x14ac:dyDescent="0.2">
      <c r="R58070" s="1288"/>
    </row>
    <row r="58071" spans="18:18" s="2" customFormat="1" ht="12.75" x14ac:dyDescent="0.2">
      <c r="R58071" s="1288"/>
    </row>
    <row r="58072" spans="18:18" s="2" customFormat="1" ht="12.75" x14ac:dyDescent="0.2">
      <c r="R58072" s="1288"/>
    </row>
    <row r="58073" spans="18:18" s="2" customFormat="1" ht="12.75" x14ac:dyDescent="0.2">
      <c r="R58073" s="1288"/>
    </row>
    <row r="58074" spans="18:18" s="2" customFormat="1" ht="12.75" x14ac:dyDescent="0.2">
      <c r="R58074" s="1288"/>
    </row>
    <row r="58075" spans="18:18" s="2" customFormat="1" ht="12.75" x14ac:dyDescent="0.2">
      <c r="R58075" s="1288"/>
    </row>
    <row r="58076" spans="18:18" s="2" customFormat="1" ht="12.75" x14ac:dyDescent="0.2">
      <c r="R58076" s="1288"/>
    </row>
    <row r="58077" spans="18:18" s="2" customFormat="1" ht="12.75" x14ac:dyDescent="0.2">
      <c r="R58077" s="1288"/>
    </row>
    <row r="58078" spans="18:18" s="2" customFormat="1" ht="12.75" x14ac:dyDescent="0.2">
      <c r="R58078" s="1288"/>
    </row>
    <row r="58079" spans="18:18" s="2" customFormat="1" ht="12.75" x14ac:dyDescent="0.2">
      <c r="R58079" s="1288"/>
    </row>
    <row r="58080" spans="18:18" s="2" customFormat="1" ht="12.75" x14ac:dyDescent="0.2">
      <c r="R58080" s="1288"/>
    </row>
    <row r="58081" spans="18:18" s="2" customFormat="1" ht="12.75" x14ac:dyDescent="0.2">
      <c r="R58081" s="1288"/>
    </row>
    <row r="58082" spans="18:18" s="2" customFormat="1" ht="12.75" x14ac:dyDescent="0.2">
      <c r="R58082" s="1288"/>
    </row>
    <row r="58083" spans="18:18" s="2" customFormat="1" ht="12.75" x14ac:dyDescent="0.2">
      <c r="R58083" s="1288"/>
    </row>
    <row r="58084" spans="18:18" s="2" customFormat="1" ht="12.75" x14ac:dyDescent="0.2">
      <c r="R58084" s="1288"/>
    </row>
    <row r="58085" spans="18:18" s="2" customFormat="1" ht="12.75" x14ac:dyDescent="0.2">
      <c r="R58085" s="1288"/>
    </row>
    <row r="58086" spans="18:18" s="2" customFormat="1" ht="12.75" x14ac:dyDescent="0.2">
      <c r="R58086" s="1288"/>
    </row>
    <row r="58087" spans="18:18" s="2" customFormat="1" ht="12.75" x14ac:dyDescent="0.2">
      <c r="R58087" s="1288"/>
    </row>
    <row r="58088" spans="18:18" s="2" customFormat="1" ht="12.75" x14ac:dyDescent="0.2">
      <c r="R58088" s="1288"/>
    </row>
    <row r="58089" spans="18:18" s="2" customFormat="1" ht="12.75" x14ac:dyDescent="0.2">
      <c r="R58089" s="1288"/>
    </row>
    <row r="58090" spans="18:18" s="2" customFormat="1" ht="12.75" x14ac:dyDescent="0.2">
      <c r="R58090" s="1288"/>
    </row>
    <row r="58091" spans="18:18" s="2" customFormat="1" ht="12.75" x14ac:dyDescent="0.2">
      <c r="R58091" s="1288"/>
    </row>
    <row r="58092" spans="18:18" s="2" customFormat="1" ht="12.75" x14ac:dyDescent="0.2">
      <c r="R58092" s="1288"/>
    </row>
    <row r="58093" spans="18:18" s="2" customFormat="1" ht="12.75" x14ac:dyDescent="0.2">
      <c r="R58093" s="1288"/>
    </row>
    <row r="58094" spans="18:18" s="2" customFormat="1" ht="12.75" x14ac:dyDescent="0.2">
      <c r="R58094" s="1288"/>
    </row>
    <row r="58095" spans="18:18" s="2" customFormat="1" ht="12.75" x14ac:dyDescent="0.2">
      <c r="R58095" s="1288"/>
    </row>
    <row r="58096" spans="18:18" s="2" customFormat="1" ht="12.75" x14ac:dyDescent="0.2">
      <c r="R58096" s="1288"/>
    </row>
    <row r="58097" spans="18:18" s="2" customFormat="1" ht="12.75" x14ac:dyDescent="0.2">
      <c r="R58097" s="1288"/>
    </row>
    <row r="58098" spans="18:18" s="2" customFormat="1" ht="12.75" x14ac:dyDescent="0.2">
      <c r="R58098" s="1288"/>
    </row>
    <row r="58099" spans="18:18" s="2" customFormat="1" ht="12.75" x14ac:dyDescent="0.2">
      <c r="R58099" s="1288"/>
    </row>
    <row r="58100" spans="18:18" s="2" customFormat="1" ht="12.75" x14ac:dyDescent="0.2">
      <c r="R58100" s="1288"/>
    </row>
    <row r="58101" spans="18:18" s="2" customFormat="1" ht="12.75" x14ac:dyDescent="0.2">
      <c r="R58101" s="1288"/>
    </row>
    <row r="58102" spans="18:18" s="2" customFormat="1" ht="12.75" x14ac:dyDescent="0.2">
      <c r="R58102" s="1288"/>
    </row>
    <row r="58103" spans="18:18" s="2" customFormat="1" ht="12.75" x14ac:dyDescent="0.2">
      <c r="R58103" s="1288"/>
    </row>
    <row r="58104" spans="18:18" s="2" customFormat="1" ht="12.75" x14ac:dyDescent="0.2">
      <c r="R58104" s="1288"/>
    </row>
    <row r="58105" spans="18:18" s="2" customFormat="1" ht="12.75" x14ac:dyDescent="0.2">
      <c r="R58105" s="1288"/>
    </row>
    <row r="58106" spans="18:18" s="2" customFormat="1" ht="12.75" x14ac:dyDescent="0.2">
      <c r="R58106" s="1288"/>
    </row>
    <row r="58107" spans="18:18" s="2" customFormat="1" ht="12.75" x14ac:dyDescent="0.2">
      <c r="R58107" s="1288"/>
    </row>
    <row r="58108" spans="18:18" s="2" customFormat="1" ht="12.75" x14ac:dyDescent="0.2">
      <c r="R58108" s="1288"/>
    </row>
    <row r="58109" spans="18:18" s="2" customFormat="1" ht="12.75" x14ac:dyDescent="0.2">
      <c r="R58109" s="1288"/>
    </row>
    <row r="58110" spans="18:18" s="2" customFormat="1" ht="12.75" x14ac:dyDescent="0.2">
      <c r="R58110" s="1288"/>
    </row>
    <row r="58111" spans="18:18" s="2" customFormat="1" ht="12.75" x14ac:dyDescent="0.2">
      <c r="R58111" s="1288"/>
    </row>
    <row r="58112" spans="18:18" s="2" customFormat="1" ht="12.75" x14ac:dyDescent="0.2">
      <c r="R58112" s="1288"/>
    </row>
    <row r="58113" spans="18:18" s="2" customFormat="1" ht="12.75" x14ac:dyDescent="0.2">
      <c r="R58113" s="1288"/>
    </row>
    <row r="58114" spans="18:18" s="2" customFormat="1" ht="12.75" x14ac:dyDescent="0.2">
      <c r="R58114" s="1288"/>
    </row>
    <row r="58115" spans="18:18" s="2" customFormat="1" ht="12.75" x14ac:dyDescent="0.2">
      <c r="R58115" s="1288"/>
    </row>
    <row r="58116" spans="18:18" s="2" customFormat="1" ht="12.75" x14ac:dyDescent="0.2">
      <c r="R58116" s="1288"/>
    </row>
    <row r="58117" spans="18:18" s="2" customFormat="1" ht="12.75" x14ac:dyDescent="0.2">
      <c r="R58117" s="1288"/>
    </row>
    <row r="58118" spans="18:18" s="2" customFormat="1" ht="12.75" x14ac:dyDescent="0.2">
      <c r="R58118" s="1288"/>
    </row>
    <row r="58119" spans="18:18" s="2" customFormat="1" ht="12.75" x14ac:dyDescent="0.2">
      <c r="R58119" s="1288"/>
    </row>
    <row r="58120" spans="18:18" s="2" customFormat="1" ht="12.75" x14ac:dyDescent="0.2">
      <c r="R58120" s="1288"/>
    </row>
    <row r="58121" spans="18:18" s="2" customFormat="1" ht="12.75" x14ac:dyDescent="0.2">
      <c r="R58121" s="1288"/>
    </row>
    <row r="58122" spans="18:18" s="2" customFormat="1" ht="12.75" x14ac:dyDescent="0.2">
      <c r="R58122" s="1288"/>
    </row>
    <row r="58123" spans="18:18" s="2" customFormat="1" ht="12.75" x14ac:dyDescent="0.2">
      <c r="R58123" s="1288"/>
    </row>
    <row r="58124" spans="18:18" s="2" customFormat="1" ht="12.75" x14ac:dyDescent="0.2">
      <c r="R58124" s="1288"/>
    </row>
    <row r="58125" spans="18:18" s="2" customFormat="1" ht="12.75" x14ac:dyDescent="0.2">
      <c r="R58125" s="1288"/>
    </row>
    <row r="58126" spans="18:18" s="2" customFormat="1" ht="12.75" x14ac:dyDescent="0.2">
      <c r="R58126" s="1288"/>
    </row>
    <row r="58127" spans="18:18" s="2" customFormat="1" ht="12.75" x14ac:dyDescent="0.2">
      <c r="R58127" s="1288"/>
    </row>
    <row r="58128" spans="18:18" s="2" customFormat="1" ht="12.75" x14ac:dyDescent="0.2">
      <c r="R58128" s="1288"/>
    </row>
    <row r="58129" spans="18:18" s="2" customFormat="1" ht="12.75" x14ac:dyDescent="0.2">
      <c r="R58129" s="1288"/>
    </row>
    <row r="58130" spans="18:18" s="2" customFormat="1" ht="12.75" x14ac:dyDescent="0.2">
      <c r="R58130" s="1288"/>
    </row>
    <row r="58131" spans="18:18" s="2" customFormat="1" ht="12.75" x14ac:dyDescent="0.2">
      <c r="R58131" s="1288"/>
    </row>
    <row r="58132" spans="18:18" s="2" customFormat="1" ht="12.75" x14ac:dyDescent="0.2">
      <c r="R58132" s="1288"/>
    </row>
    <row r="58133" spans="18:18" s="2" customFormat="1" ht="12.75" x14ac:dyDescent="0.2">
      <c r="R58133" s="1288"/>
    </row>
    <row r="58134" spans="18:18" s="2" customFormat="1" ht="12.75" x14ac:dyDescent="0.2">
      <c r="R58134" s="1288"/>
    </row>
    <row r="58135" spans="18:18" s="2" customFormat="1" ht="12.75" x14ac:dyDescent="0.2">
      <c r="R58135" s="1288"/>
    </row>
    <row r="58136" spans="18:18" s="2" customFormat="1" ht="12.75" x14ac:dyDescent="0.2">
      <c r="R58136" s="1288"/>
    </row>
    <row r="58137" spans="18:18" s="2" customFormat="1" ht="12.75" x14ac:dyDescent="0.2">
      <c r="R58137" s="1288"/>
    </row>
    <row r="58138" spans="18:18" s="2" customFormat="1" ht="12.75" x14ac:dyDescent="0.2">
      <c r="R58138" s="1288"/>
    </row>
    <row r="58139" spans="18:18" s="2" customFormat="1" ht="12.75" x14ac:dyDescent="0.2">
      <c r="R58139" s="1288"/>
    </row>
    <row r="58140" spans="18:18" s="2" customFormat="1" ht="12.75" x14ac:dyDescent="0.2">
      <c r="R58140" s="1288"/>
    </row>
    <row r="58141" spans="18:18" s="2" customFormat="1" ht="12.75" x14ac:dyDescent="0.2">
      <c r="R58141" s="1288"/>
    </row>
    <row r="58142" spans="18:18" s="2" customFormat="1" ht="12.75" x14ac:dyDescent="0.2">
      <c r="R58142" s="1288"/>
    </row>
    <row r="58143" spans="18:18" s="2" customFormat="1" ht="12.75" x14ac:dyDescent="0.2">
      <c r="R58143" s="1288"/>
    </row>
    <row r="58144" spans="18:18" s="2" customFormat="1" ht="12.75" x14ac:dyDescent="0.2">
      <c r="R58144" s="1288"/>
    </row>
    <row r="58145" spans="18:18" s="2" customFormat="1" ht="12.75" x14ac:dyDescent="0.2">
      <c r="R58145" s="1288"/>
    </row>
    <row r="58146" spans="18:18" s="2" customFormat="1" ht="12.75" x14ac:dyDescent="0.2">
      <c r="R58146" s="1288"/>
    </row>
    <row r="58147" spans="18:18" s="2" customFormat="1" ht="12.75" x14ac:dyDescent="0.2">
      <c r="R58147" s="1288"/>
    </row>
    <row r="58148" spans="18:18" s="2" customFormat="1" ht="12.75" x14ac:dyDescent="0.2">
      <c r="R58148" s="1288"/>
    </row>
    <row r="58149" spans="18:18" s="2" customFormat="1" ht="12.75" x14ac:dyDescent="0.2">
      <c r="R58149" s="1288"/>
    </row>
    <row r="58150" spans="18:18" s="2" customFormat="1" ht="12.75" x14ac:dyDescent="0.2">
      <c r="R58150" s="1288"/>
    </row>
    <row r="58151" spans="18:18" s="2" customFormat="1" ht="12.75" x14ac:dyDescent="0.2">
      <c r="R58151" s="1288"/>
    </row>
    <row r="58152" spans="18:18" s="2" customFormat="1" ht="12.75" x14ac:dyDescent="0.2">
      <c r="R58152" s="1288"/>
    </row>
    <row r="58153" spans="18:18" s="2" customFormat="1" ht="12.75" x14ac:dyDescent="0.2">
      <c r="R58153" s="1288"/>
    </row>
    <row r="58154" spans="18:18" s="2" customFormat="1" ht="12.75" x14ac:dyDescent="0.2">
      <c r="R58154" s="1288"/>
    </row>
    <row r="58155" spans="18:18" s="2" customFormat="1" ht="12.75" x14ac:dyDescent="0.2">
      <c r="R58155" s="1288"/>
    </row>
    <row r="58156" spans="18:18" s="2" customFormat="1" ht="12.75" x14ac:dyDescent="0.2">
      <c r="R58156" s="1288"/>
    </row>
    <row r="58157" spans="18:18" s="2" customFormat="1" ht="12.75" x14ac:dyDescent="0.2">
      <c r="R58157" s="1288"/>
    </row>
    <row r="58158" spans="18:18" s="2" customFormat="1" ht="12.75" x14ac:dyDescent="0.2">
      <c r="R58158" s="1288"/>
    </row>
    <row r="58159" spans="18:18" s="2" customFormat="1" ht="12.75" x14ac:dyDescent="0.2">
      <c r="R58159" s="1288"/>
    </row>
    <row r="58160" spans="18:18" s="2" customFormat="1" ht="12.75" x14ac:dyDescent="0.2">
      <c r="R58160" s="1288"/>
    </row>
    <row r="58161" spans="18:18" s="2" customFormat="1" ht="12.75" x14ac:dyDescent="0.2">
      <c r="R58161" s="1288"/>
    </row>
    <row r="58162" spans="18:18" s="2" customFormat="1" ht="12.75" x14ac:dyDescent="0.2">
      <c r="R58162" s="1288"/>
    </row>
    <row r="58163" spans="18:18" s="2" customFormat="1" ht="12.75" x14ac:dyDescent="0.2">
      <c r="R58163" s="1288"/>
    </row>
    <row r="58164" spans="18:18" s="2" customFormat="1" ht="12.75" x14ac:dyDescent="0.2">
      <c r="R58164" s="1288"/>
    </row>
    <row r="58165" spans="18:18" s="2" customFormat="1" ht="12.75" x14ac:dyDescent="0.2">
      <c r="R58165" s="1288"/>
    </row>
    <row r="58166" spans="18:18" s="2" customFormat="1" ht="12.75" x14ac:dyDescent="0.2">
      <c r="R58166" s="1288"/>
    </row>
    <row r="58167" spans="18:18" s="2" customFormat="1" ht="12.75" x14ac:dyDescent="0.2">
      <c r="R58167" s="1288"/>
    </row>
    <row r="58168" spans="18:18" s="2" customFormat="1" ht="12.75" x14ac:dyDescent="0.2">
      <c r="R58168" s="1288"/>
    </row>
    <row r="58169" spans="18:18" s="2" customFormat="1" ht="12.75" x14ac:dyDescent="0.2">
      <c r="R58169" s="1288"/>
    </row>
    <row r="58170" spans="18:18" s="2" customFormat="1" ht="12.75" x14ac:dyDescent="0.2">
      <c r="R58170" s="1288"/>
    </row>
    <row r="58171" spans="18:18" s="2" customFormat="1" ht="12.75" x14ac:dyDescent="0.2">
      <c r="R58171" s="1288"/>
    </row>
    <row r="58172" spans="18:18" s="2" customFormat="1" ht="12.75" x14ac:dyDescent="0.2">
      <c r="R58172" s="1288"/>
    </row>
    <row r="58173" spans="18:18" s="2" customFormat="1" ht="12.75" x14ac:dyDescent="0.2">
      <c r="R58173" s="1288"/>
    </row>
    <row r="58174" spans="18:18" s="2" customFormat="1" ht="12.75" x14ac:dyDescent="0.2">
      <c r="R58174" s="1288"/>
    </row>
    <row r="58175" spans="18:18" s="2" customFormat="1" ht="12.75" x14ac:dyDescent="0.2">
      <c r="R58175" s="1288"/>
    </row>
    <row r="58176" spans="18:18" s="2" customFormat="1" ht="12.75" x14ac:dyDescent="0.2">
      <c r="R58176" s="1288"/>
    </row>
    <row r="58177" spans="18:18" s="2" customFormat="1" ht="12.75" x14ac:dyDescent="0.2">
      <c r="R58177" s="1288"/>
    </row>
    <row r="58178" spans="18:18" s="2" customFormat="1" ht="12.75" x14ac:dyDescent="0.2">
      <c r="R58178" s="1288"/>
    </row>
    <row r="58179" spans="18:18" s="2" customFormat="1" ht="12.75" x14ac:dyDescent="0.2">
      <c r="R58179" s="1288"/>
    </row>
    <row r="58180" spans="18:18" s="2" customFormat="1" ht="12.75" x14ac:dyDescent="0.2">
      <c r="R58180" s="1288"/>
    </row>
    <row r="58181" spans="18:18" s="2" customFormat="1" ht="12.75" x14ac:dyDescent="0.2">
      <c r="R58181" s="1288"/>
    </row>
    <row r="58182" spans="18:18" s="2" customFormat="1" ht="12.75" x14ac:dyDescent="0.2">
      <c r="R58182" s="1288"/>
    </row>
    <row r="58183" spans="18:18" s="2" customFormat="1" ht="12.75" x14ac:dyDescent="0.2">
      <c r="R58183" s="1288"/>
    </row>
    <row r="58184" spans="18:18" s="2" customFormat="1" ht="12.75" x14ac:dyDescent="0.2">
      <c r="R58184" s="1288"/>
    </row>
    <row r="58185" spans="18:18" s="2" customFormat="1" ht="12.75" x14ac:dyDescent="0.2">
      <c r="R58185" s="1288"/>
    </row>
    <row r="58186" spans="18:18" s="2" customFormat="1" ht="12.75" x14ac:dyDescent="0.2">
      <c r="R58186" s="1288"/>
    </row>
    <row r="58187" spans="18:18" s="2" customFormat="1" ht="12.75" x14ac:dyDescent="0.2">
      <c r="R58187" s="1288"/>
    </row>
    <row r="58188" spans="18:18" s="2" customFormat="1" ht="12.75" x14ac:dyDescent="0.2">
      <c r="R58188" s="1288"/>
    </row>
    <row r="58189" spans="18:18" s="2" customFormat="1" ht="12.75" x14ac:dyDescent="0.2">
      <c r="R58189" s="1288"/>
    </row>
    <row r="58190" spans="18:18" s="2" customFormat="1" ht="12.75" x14ac:dyDescent="0.2">
      <c r="R58190" s="1288"/>
    </row>
    <row r="58191" spans="18:18" s="2" customFormat="1" ht="12.75" x14ac:dyDescent="0.2">
      <c r="R58191" s="1288"/>
    </row>
    <row r="58192" spans="18:18" s="2" customFormat="1" ht="12.75" x14ac:dyDescent="0.2">
      <c r="R58192" s="1288"/>
    </row>
    <row r="58193" spans="18:18" s="2" customFormat="1" ht="12.75" x14ac:dyDescent="0.2">
      <c r="R58193" s="1288"/>
    </row>
    <row r="58194" spans="18:18" s="2" customFormat="1" ht="12.75" x14ac:dyDescent="0.2">
      <c r="R58194" s="1288"/>
    </row>
    <row r="58195" spans="18:18" s="2" customFormat="1" ht="12.75" x14ac:dyDescent="0.2">
      <c r="R58195" s="1288"/>
    </row>
    <row r="58196" spans="18:18" s="2" customFormat="1" ht="12.75" x14ac:dyDescent="0.2">
      <c r="R58196" s="1288"/>
    </row>
    <row r="58197" spans="18:18" s="2" customFormat="1" ht="12.75" x14ac:dyDescent="0.2">
      <c r="R58197" s="1288"/>
    </row>
    <row r="58198" spans="18:18" s="2" customFormat="1" ht="12.75" x14ac:dyDescent="0.2">
      <c r="R58198" s="1288"/>
    </row>
    <row r="58199" spans="18:18" s="2" customFormat="1" ht="12.75" x14ac:dyDescent="0.2">
      <c r="R58199" s="1288"/>
    </row>
    <row r="58200" spans="18:18" s="2" customFormat="1" ht="12.75" x14ac:dyDescent="0.2">
      <c r="R58200" s="1288"/>
    </row>
    <row r="58201" spans="18:18" s="2" customFormat="1" ht="12.75" x14ac:dyDescent="0.2">
      <c r="R58201" s="1288"/>
    </row>
    <row r="58202" spans="18:18" s="2" customFormat="1" ht="12.75" x14ac:dyDescent="0.2">
      <c r="R58202" s="1288"/>
    </row>
    <row r="58203" spans="18:18" s="2" customFormat="1" ht="12.75" x14ac:dyDescent="0.2">
      <c r="R58203" s="1288"/>
    </row>
    <row r="58204" spans="18:18" s="2" customFormat="1" ht="12.75" x14ac:dyDescent="0.2">
      <c r="R58204" s="1288"/>
    </row>
    <row r="58205" spans="18:18" s="2" customFormat="1" ht="12.75" x14ac:dyDescent="0.2">
      <c r="R58205" s="1288"/>
    </row>
    <row r="58206" spans="18:18" s="2" customFormat="1" ht="12.75" x14ac:dyDescent="0.2">
      <c r="R58206" s="1288"/>
    </row>
    <row r="58207" spans="18:18" s="2" customFormat="1" ht="12.75" x14ac:dyDescent="0.2">
      <c r="R58207" s="1288"/>
    </row>
    <row r="58208" spans="18:18" s="2" customFormat="1" ht="12.75" x14ac:dyDescent="0.2">
      <c r="R58208" s="1288"/>
    </row>
    <row r="58209" spans="18:18" s="2" customFormat="1" ht="12.75" x14ac:dyDescent="0.2">
      <c r="R58209" s="1288"/>
    </row>
    <row r="58210" spans="18:18" s="2" customFormat="1" ht="12.75" x14ac:dyDescent="0.2">
      <c r="R58210" s="1288"/>
    </row>
    <row r="58211" spans="18:18" s="2" customFormat="1" ht="12.75" x14ac:dyDescent="0.2">
      <c r="R58211" s="1288"/>
    </row>
    <row r="58212" spans="18:18" s="2" customFormat="1" ht="12.75" x14ac:dyDescent="0.2">
      <c r="R58212" s="1288"/>
    </row>
    <row r="58213" spans="18:18" s="2" customFormat="1" ht="12.75" x14ac:dyDescent="0.2">
      <c r="R58213" s="1288"/>
    </row>
    <row r="58214" spans="18:18" s="2" customFormat="1" ht="12.75" x14ac:dyDescent="0.2">
      <c r="R58214" s="1288"/>
    </row>
    <row r="58215" spans="18:18" s="2" customFormat="1" ht="12.75" x14ac:dyDescent="0.2">
      <c r="R58215" s="1288"/>
    </row>
    <row r="58216" spans="18:18" s="2" customFormat="1" ht="12.75" x14ac:dyDescent="0.2">
      <c r="R58216" s="1288"/>
    </row>
    <row r="58217" spans="18:18" s="2" customFormat="1" ht="12.75" x14ac:dyDescent="0.2">
      <c r="R58217" s="1288"/>
    </row>
    <row r="58218" spans="18:18" s="2" customFormat="1" ht="12.75" x14ac:dyDescent="0.2">
      <c r="R58218" s="1288"/>
    </row>
    <row r="58219" spans="18:18" s="2" customFormat="1" ht="12.75" x14ac:dyDescent="0.2">
      <c r="R58219" s="1288"/>
    </row>
    <row r="58220" spans="18:18" s="2" customFormat="1" ht="12.75" x14ac:dyDescent="0.2">
      <c r="R58220" s="1288"/>
    </row>
    <row r="58221" spans="18:18" s="2" customFormat="1" ht="12.75" x14ac:dyDescent="0.2">
      <c r="R58221" s="1288"/>
    </row>
    <row r="58222" spans="18:18" s="2" customFormat="1" ht="12.75" x14ac:dyDescent="0.2">
      <c r="R58222" s="1288"/>
    </row>
    <row r="58223" spans="18:18" s="2" customFormat="1" ht="12.75" x14ac:dyDescent="0.2">
      <c r="R58223" s="1288"/>
    </row>
    <row r="58224" spans="18:18" s="2" customFormat="1" ht="12.75" x14ac:dyDescent="0.2">
      <c r="R58224" s="1288"/>
    </row>
    <row r="58225" spans="18:18" s="2" customFormat="1" ht="12.75" x14ac:dyDescent="0.2">
      <c r="R58225" s="1288"/>
    </row>
    <row r="58226" spans="18:18" s="2" customFormat="1" ht="12.75" x14ac:dyDescent="0.2">
      <c r="R58226" s="1288"/>
    </row>
    <row r="58227" spans="18:18" s="2" customFormat="1" ht="12.75" x14ac:dyDescent="0.2">
      <c r="R58227" s="1288"/>
    </row>
    <row r="58228" spans="18:18" s="2" customFormat="1" ht="12.75" x14ac:dyDescent="0.2">
      <c r="R58228" s="1288"/>
    </row>
    <row r="58229" spans="18:18" s="2" customFormat="1" ht="12.75" x14ac:dyDescent="0.2">
      <c r="R58229" s="1288"/>
    </row>
    <row r="58230" spans="18:18" s="2" customFormat="1" ht="12.75" x14ac:dyDescent="0.2">
      <c r="R58230" s="1288"/>
    </row>
    <row r="58231" spans="18:18" s="2" customFormat="1" ht="12.75" x14ac:dyDescent="0.2">
      <c r="R58231" s="1288"/>
    </row>
    <row r="58232" spans="18:18" s="2" customFormat="1" ht="12.75" x14ac:dyDescent="0.2">
      <c r="R58232" s="1288"/>
    </row>
    <row r="58233" spans="18:18" s="2" customFormat="1" ht="12.75" x14ac:dyDescent="0.2">
      <c r="R58233" s="1288"/>
    </row>
    <row r="58234" spans="18:18" s="2" customFormat="1" ht="12.75" x14ac:dyDescent="0.2">
      <c r="R58234" s="1288"/>
    </row>
    <row r="58235" spans="18:18" s="2" customFormat="1" ht="12.75" x14ac:dyDescent="0.2">
      <c r="R58235" s="1288"/>
    </row>
    <row r="58236" spans="18:18" s="2" customFormat="1" ht="12.75" x14ac:dyDescent="0.2">
      <c r="R58236" s="1288"/>
    </row>
    <row r="58237" spans="18:18" s="2" customFormat="1" ht="12.75" x14ac:dyDescent="0.2">
      <c r="R58237" s="1288"/>
    </row>
    <row r="58238" spans="18:18" s="2" customFormat="1" ht="12.75" x14ac:dyDescent="0.2">
      <c r="R58238" s="1288"/>
    </row>
    <row r="58239" spans="18:18" s="2" customFormat="1" ht="12.75" x14ac:dyDescent="0.2">
      <c r="R58239" s="1288"/>
    </row>
    <row r="58240" spans="18:18" s="2" customFormat="1" ht="12.75" x14ac:dyDescent="0.2">
      <c r="R58240" s="1288"/>
    </row>
    <row r="58241" spans="18:18" s="2" customFormat="1" ht="12.75" x14ac:dyDescent="0.2">
      <c r="R58241" s="1288"/>
    </row>
    <row r="58242" spans="18:18" s="2" customFormat="1" ht="12.75" x14ac:dyDescent="0.2">
      <c r="R58242" s="1288"/>
    </row>
    <row r="58243" spans="18:18" s="2" customFormat="1" ht="12.75" x14ac:dyDescent="0.2">
      <c r="R58243" s="1288"/>
    </row>
    <row r="58244" spans="18:18" s="2" customFormat="1" ht="12.75" x14ac:dyDescent="0.2">
      <c r="R58244" s="1288"/>
    </row>
    <row r="58245" spans="18:18" s="2" customFormat="1" ht="12.75" x14ac:dyDescent="0.2">
      <c r="R58245" s="1288"/>
    </row>
    <row r="58246" spans="18:18" s="2" customFormat="1" ht="12.75" x14ac:dyDescent="0.2">
      <c r="R58246" s="1288"/>
    </row>
    <row r="58247" spans="18:18" s="2" customFormat="1" ht="12.75" x14ac:dyDescent="0.2">
      <c r="R58247" s="1288"/>
    </row>
    <row r="58248" spans="18:18" s="2" customFormat="1" ht="12.75" x14ac:dyDescent="0.2">
      <c r="R58248" s="1288"/>
    </row>
    <row r="58249" spans="18:18" s="2" customFormat="1" ht="12.75" x14ac:dyDescent="0.2">
      <c r="R58249" s="1288"/>
    </row>
    <row r="58250" spans="18:18" s="2" customFormat="1" ht="12.75" x14ac:dyDescent="0.2">
      <c r="R58250" s="1288"/>
    </row>
    <row r="58251" spans="18:18" s="2" customFormat="1" ht="12.75" x14ac:dyDescent="0.2">
      <c r="R58251" s="1288"/>
    </row>
    <row r="58252" spans="18:18" s="2" customFormat="1" ht="12.75" x14ac:dyDescent="0.2">
      <c r="R58252" s="1288"/>
    </row>
    <row r="58253" spans="18:18" s="2" customFormat="1" ht="12.75" x14ac:dyDescent="0.2">
      <c r="R58253" s="1288"/>
    </row>
    <row r="58254" spans="18:18" s="2" customFormat="1" ht="12.75" x14ac:dyDescent="0.2">
      <c r="R58254" s="1288"/>
    </row>
    <row r="58255" spans="18:18" s="2" customFormat="1" ht="12.75" x14ac:dyDescent="0.2">
      <c r="R58255" s="1288"/>
    </row>
    <row r="58256" spans="18:18" s="2" customFormat="1" ht="12.75" x14ac:dyDescent="0.2">
      <c r="R58256" s="1288"/>
    </row>
    <row r="58257" spans="18:18" s="2" customFormat="1" ht="12.75" x14ac:dyDescent="0.2">
      <c r="R58257" s="1288"/>
    </row>
    <row r="58258" spans="18:18" s="2" customFormat="1" ht="12.75" x14ac:dyDescent="0.2">
      <c r="R58258" s="1288"/>
    </row>
    <row r="58259" spans="18:18" s="2" customFormat="1" ht="12.75" x14ac:dyDescent="0.2">
      <c r="R58259" s="1288"/>
    </row>
    <row r="58260" spans="18:18" s="2" customFormat="1" ht="12.75" x14ac:dyDescent="0.2">
      <c r="R58260" s="1288"/>
    </row>
    <row r="58261" spans="18:18" s="2" customFormat="1" ht="12.75" x14ac:dyDescent="0.2">
      <c r="R58261" s="1288"/>
    </row>
    <row r="58262" spans="18:18" s="2" customFormat="1" ht="12.75" x14ac:dyDescent="0.2">
      <c r="R58262" s="1288"/>
    </row>
    <row r="58263" spans="18:18" s="2" customFormat="1" ht="12.75" x14ac:dyDescent="0.2">
      <c r="R58263" s="1288"/>
    </row>
    <row r="58264" spans="18:18" s="2" customFormat="1" ht="12.75" x14ac:dyDescent="0.2">
      <c r="R58264" s="1288"/>
    </row>
    <row r="58265" spans="18:18" s="2" customFormat="1" ht="12.75" x14ac:dyDescent="0.2">
      <c r="R58265" s="1288"/>
    </row>
    <row r="58266" spans="18:18" s="2" customFormat="1" ht="12.75" x14ac:dyDescent="0.2">
      <c r="R58266" s="1288"/>
    </row>
    <row r="58267" spans="18:18" s="2" customFormat="1" ht="12.75" x14ac:dyDescent="0.2">
      <c r="R58267" s="1288"/>
    </row>
    <row r="58268" spans="18:18" s="2" customFormat="1" ht="12.75" x14ac:dyDescent="0.2">
      <c r="R58268" s="1288"/>
    </row>
    <row r="58269" spans="18:18" s="2" customFormat="1" ht="12.75" x14ac:dyDescent="0.2">
      <c r="R58269" s="1288"/>
    </row>
    <row r="58270" spans="18:18" s="2" customFormat="1" ht="12.75" x14ac:dyDescent="0.2">
      <c r="R58270" s="1288"/>
    </row>
    <row r="58271" spans="18:18" s="2" customFormat="1" ht="12.75" x14ac:dyDescent="0.2">
      <c r="R58271" s="1288"/>
    </row>
    <row r="58272" spans="18:18" s="2" customFormat="1" ht="12.75" x14ac:dyDescent="0.2">
      <c r="R58272" s="1288"/>
    </row>
    <row r="58273" spans="18:18" s="2" customFormat="1" ht="12.75" x14ac:dyDescent="0.2">
      <c r="R58273" s="1288"/>
    </row>
    <row r="58274" spans="18:18" s="2" customFormat="1" ht="12.75" x14ac:dyDescent="0.2">
      <c r="R58274" s="1288"/>
    </row>
    <row r="58275" spans="18:18" s="2" customFormat="1" ht="12.75" x14ac:dyDescent="0.2">
      <c r="R58275" s="1288"/>
    </row>
    <row r="58276" spans="18:18" s="2" customFormat="1" ht="12.75" x14ac:dyDescent="0.2">
      <c r="R58276" s="1288"/>
    </row>
    <row r="58277" spans="18:18" s="2" customFormat="1" ht="12.75" x14ac:dyDescent="0.2">
      <c r="R58277" s="1288"/>
    </row>
    <row r="58278" spans="18:18" s="2" customFormat="1" ht="12.75" x14ac:dyDescent="0.2">
      <c r="R58278" s="1288"/>
    </row>
    <row r="58279" spans="18:18" s="2" customFormat="1" ht="12.75" x14ac:dyDescent="0.2">
      <c r="R58279" s="1288"/>
    </row>
    <row r="58280" spans="18:18" s="2" customFormat="1" ht="12.75" x14ac:dyDescent="0.2">
      <c r="R58280" s="1288"/>
    </row>
    <row r="58281" spans="18:18" s="2" customFormat="1" ht="12.75" x14ac:dyDescent="0.2">
      <c r="R58281" s="1288"/>
    </row>
    <row r="58282" spans="18:18" s="2" customFormat="1" ht="12.75" x14ac:dyDescent="0.2">
      <c r="R58282" s="1288"/>
    </row>
    <row r="58283" spans="18:18" s="2" customFormat="1" ht="12.75" x14ac:dyDescent="0.2">
      <c r="R58283" s="1288"/>
    </row>
    <row r="58284" spans="18:18" s="2" customFormat="1" ht="12.75" x14ac:dyDescent="0.2">
      <c r="R58284" s="1288"/>
    </row>
    <row r="58285" spans="18:18" s="2" customFormat="1" ht="12.75" x14ac:dyDescent="0.2">
      <c r="R58285" s="1288"/>
    </row>
    <row r="58286" spans="18:18" s="2" customFormat="1" ht="12.75" x14ac:dyDescent="0.2">
      <c r="R58286" s="1288"/>
    </row>
    <row r="58287" spans="18:18" s="2" customFormat="1" ht="12.75" x14ac:dyDescent="0.2">
      <c r="R58287" s="1288"/>
    </row>
    <row r="58288" spans="18:18" s="2" customFormat="1" ht="12.75" x14ac:dyDescent="0.2">
      <c r="R58288" s="1288"/>
    </row>
    <row r="58289" spans="18:18" s="2" customFormat="1" ht="12.75" x14ac:dyDescent="0.2">
      <c r="R58289" s="1288"/>
    </row>
    <row r="58290" spans="18:18" s="2" customFormat="1" ht="12.75" x14ac:dyDescent="0.2">
      <c r="R58290" s="1288"/>
    </row>
    <row r="58291" spans="18:18" s="2" customFormat="1" ht="12.75" x14ac:dyDescent="0.2">
      <c r="R58291" s="1288"/>
    </row>
    <row r="58292" spans="18:18" s="2" customFormat="1" ht="12.75" x14ac:dyDescent="0.2">
      <c r="R58292" s="1288"/>
    </row>
    <row r="58293" spans="18:18" s="2" customFormat="1" ht="12.75" x14ac:dyDescent="0.2">
      <c r="R58293" s="1288"/>
    </row>
    <row r="58294" spans="18:18" s="2" customFormat="1" ht="12.75" x14ac:dyDescent="0.2">
      <c r="R58294" s="1288"/>
    </row>
    <row r="58295" spans="18:18" s="2" customFormat="1" ht="12.75" x14ac:dyDescent="0.2">
      <c r="R58295" s="1288"/>
    </row>
    <row r="58296" spans="18:18" s="2" customFormat="1" ht="12.75" x14ac:dyDescent="0.2">
      <c r="R58296" s="1288"/>
    </row>
    <row r="58297" spans="18:18" s="2" customFormat="1" ht="12.75" x14ac:dyDescent="0.2">
      <c r="R58297" s="1288"/>
    </row>
    <row r="58298" spans="18:18" s="2" customFormat="1" ht="12.75" x14ac:dyDescent="0.2">
      <c r="R58298" s="1288"/>
    </row>
    <row r="58299" spans="18:18" s="2" customFormat="1" ht="12.75" x14ac:dyDescent="0.2">
      <c r="R58299" s="1288"/>
    </row>
    <row r="58300" spans="18:18" s="2" customFormat="1" ht="12.75" x14ac:dyDescent="0.2">
      <c r="R58300" s="1288"/>
    </row>
    <row r="58301" spans="18:18" s="2" customFormat="1" ht="12.75" x14ac:dyDescent="0.2">
      <c r="R58301" s="1288"/>
    </row>
    <row r="58302" spans="18:18" s="2" customFormat="1" ht="12.75" x14ac:dyDescent="0.2">
      <c r="R58302" s="1288"/>
    </row>
    <row r="58303" spans="18:18" s="2" customFormat="1" ht="12.75" x14ac:dyDescent="0.2">
      <c r="R58303" s="1288"/>
    </row>
    <row r="58304" spans="18:18" s="2" customFormat="1" ht="12.75" x14ac:dyDescent="0.2">
      <c r="R58304" s="1288"/>
    </row>
    <row r="58305" spans="18:18" s="2" customFormat="1" ht="12.75" x14ac:dyDescent="0.2">
      <c r="R58305" s="1288"/>
    </row>
    <row r="58306" spans="18:18" s="2" customFormat="1" ht="12.75" x14ac:dyDescent="0.2">
      <c r="R58306" s="1288"/>
    </row>
    <row r="58307" spans="18:18" s="2" customFormat="1" ht="12.75" x14ac:dyDescent="0.2">
      <c r="R58307" s="1288"/>
    </row>
    <row r="58308" spans="18:18" s="2" customFormat="1" ht="12.75" x14ac:dyDescent="0.2">
      <c r="R58308" s="1288"/>
    </row>
    <row r="58309" spans="18:18" s="2" customFormat="1" ht="12.75" x14ac:dyDescent="0.2">
      <c r="R58309" s="1288"/>
    </row>
    <row r="58310" spans="18:18" s="2" customFormat="1" ht="12.75" x14ac:dyDescent="0.2">
      <c r="R58310" s="1288"/>
    </row>
    <row r="58311" spans="18:18" s="2" customFormat="1" ht="12.75" x14ac:dyDescent="0.2">
      <c r="R58311" s="1288"/>
    </row>
    <row r="58312" spans="18:18" s="2" customFormat="1" ht="12.75" x14ac:dyDescent="0.2">
      <c r="R58312" s="1288"/>
    </row>
    <row r="58313" spans="18:18" s="2" customFormat="1" ht="12.75" x14ac:dyDescent="0.2">
      <c r="R58313" s="1288"/>
    </row>
    <row r="58314" spans="18:18" s="2" customFormat="1" ht="12.75" x14ac:dyDescent="0.2">
      <c r="R58314" s="1288"/>
    </row>
    <row r="58315" spans="18:18" s="2" customFormat="1" ht="12.75" x14ac:dyDescent="0.2">
      <c r="R58315" s="1288"/>
    </row>
    <row r="58316" spans="18:18" s="2" customFormat="1" ht="12.75" x14ac:dyDescent="0.2">
      <c r="R58316" s="1288"/>
    </row>
    <row r="58317" spans="18:18" s="2" customFormat="1" ht="12.75" x14ac:dyDescent="0.2">
      <c r="R58317" s="1288"/>
    </row>
    <row r="58318" spans="18:18" s="2" customFormat="1" ht="12.75" x14ac:dyDescent="0.2">
      <c r="R58318" s="1288"/>
    </row>
    <row r="58319" spans="18:18" s="2" customFormat="1" ht="12.75" x14ac:dyDescent="0.2">
      <c r="R58319" s="1288"/>
    </row>
    <row r="58320" spans="18:18" s="2" customFormat="1" ht="12.75" x14ac:dyDescent="0.2">
      <c r="R58320" s="1288"/>
    </row>
    <row r="58321" spans="18:18" s="2" customFormat="1" ht="12.75" x14ac:dyDescent="0.2">
      <c r="R58321" s="1288"/>
    </row>
    <row r="58322" spans="18:18" s="2" customFormat="1" ht="12.75" x14ac:dyDescent="0.2">
      <c r="R58322" s="1288"/>
    </row>
    <row r="58323" spans="18:18" s="2" customFormat="1" ht="12.75" x14ac:dyDescent="0.2">
      <c r="R58323" s="1288"/>
    </row>
    <row r="58324" spans="18:18" s="2" customFormat="1" ht="12.75" x14ac:dyDescent="0.2">
      <c r="R58324" s="1288"/>
    </row>
    <row r="58325" spans="18:18" s="2" customFormat="1" ht="12.75" x14ac:dyDescent="0.2">
      <c r="R58325" s="1288"/>
    </row>
    <row r="58326" spans="18:18" s="2" customFormat="1" ht="12.75" x14ac:dyDescent="0.2">
      <c r="R58326" s="1288"/>
    </row>
    <row r="58327" spans="18:18" s="2" customFormat="1" ht="12.75" x14ac:dyDescent="0.2">
      <c r="R58327" s="1288"/>
    </row>
    <row r="58328" spans="18:18" s="2" customFormat="1" ht="12.75" x14ac:dyDescent="0.2">
      <c r="R58328" s="1288"/>
    </row>
    <row r="58329" spans="18:18" s="2" customFormat="1" ht="12.75" x14ac:dyDescent="0.2">
      <c r="R58329" s="1288"/>
    </row>
    <row r="58330" spans="18:18" s="2" customFormat="1" ht="12.75" x14ac:dyDescent="0.2">
      <c r="R58330" s="1288"/>
    </row>
    <row r="58331" spans="18:18" s="2" customFormat="1" ht="12.75" x14ac:dyDescent="0.2">
      <c r="R58331" s="1288"/>
    </row>
    <row r="58332" spans="18:18" s="2" customFormat="1" ht="12.75" x14ac:dyDescent="0.2">
      <c r="R58332" s="1288"/>
    </row>
    <row r="58333" spans="18:18" s="2" customFormat="1" ht="12.75" x14ac:dyDescent="0.2">
      <c r="R58333" s="1288"/>
    </row>
    <row r="58334" spans="18:18" s="2" customFormat="1" ht="12.75" x14ac:dyDescent="0.2">
      <c r="R58334" s="1288"/>
    </row>
    <row r="58335" spans="18:18" s="2" customFormat="1" ht="12.75" x14ac:dyDescent="0.2">
      <c r="R58335" s="1288"/>
    </row>
    <row r="58336" spans="18:18" s="2" customFormat="1" ht="12.75" x14ac:dyDescent="0.2">
      <c r="R58336" s="1288"/>
    </row>
    <row r="58337" spans="18:18" s="2" customFormat="1" ht="12.75" x14ac:dyDescent="0.2">
      <c r="R58337" s="1288"/>
    </row>
    <row r="58338" spans="18:18" s="2" customFormat="1" ht="12.75" x14ac:dyDescent="0.2">
      <c r="R58338" s="1288"/>
    </row>
    <row r="58339" spans="18:18" s="2" customFormat="1" ht="12.75" x14ac:dyDescent="0.2">
      <c r="R58339" s="1288"/>
    </row>
    <row r="58340" spans="18:18" s="2" customFormat="1" ht="12.75" x14ac:dyDescent="0.2">
      <c r="R58340" s="1288"/>
    </row>
    <row r="58341" spans="18:18" s="2" customFormat="1" ht="12.75" x14ac:dyDescent="0.2">
      <c r="R58341" s="1288"/>
    </row>
    <row r="58342" spans="18:18" s="2" customFormat="1" ht="12.75" x14ac:dyDescent="0.2">
      <c r="R58342" s="1288"/>
    </row>
    <row r="58343" spans="18:18" s="2" customFormat="1" ht="12.75" x14ac:dyDescent="0.2">
      <c r="R58343" s="1288"/>
    </row>
    <row r="58344" spans="18:18" s="2" customFormat="1" ht="12.75" x14ac:dyDescent="0.2">
      <c r="R58344" s="1288"/>
    </row>
    <row r="58345" spans="18:18" s="2" customFormat="1" ht="12.75" x14ac:dyDescent="0.2">
      <c r="R58345" s="1288"/>
    </row>
    <row r="58346" spans="18:18" s="2" customFormat="1" ht="12.75" x14ac:dyDescent="0.2">
      <c r="R58346" s="1288"/>
    </row>
    <row r="58347" spans="18:18" s="2" customFormat="1" ht="12.75" x14ac:dyDescent="0.2">
      <c r="R58347" s="1288"/>
    </row>
    <row r="58348" spans="18:18" s="2" customFormat="1" ht="12.75" x14ac:dyDescent="0.2">
      <c r="R58348" s="1288"/>
    </row>
    <row r="58349" spans="18:18" s="2" customFormat="1" ht="12.75" x14ac:dyDescent="0.2">
      <c r="R58349" s="1288"/>
    </row>
    <row r="58350" spans="18:18" s="2" customFormat="1" ht="12.75" x14ac:dyDescent="0.2">
      <c r="R58350" s="1288"/>
    </row>
    <row r="58351" spans="18:18" s="2" customFormat="1" ht="12.75" x14ac:dyDescent="0.2">
      <c r="R58351" s="1288"/>
    </row>
    <row r="58352" spans="18:18" s="2" customFormat="1" ht="12.75" x14ac:dyDescent="0.2">
      <c r="R58352" s="1288"/>
    </row>
    <row r="58353" spans="18:18" s="2" customFormat="1" ht="12.75" x14ac:dyDescent="0.2">
      <c r="R58353" s="1288"/>
    </row>
    <row r="58354" spans="18:18" s="2" customFormat="1" ht="12.75" x14ac:dyDescent="0.2">
      <c r="R58354" s="1288"/>
    </row>
    <row r="58355" spans="18:18" s="2" customFormat="1" ht="12.75" x14ac:dyDescent="0.2">
      <c r="R58355" s="1288"/>
    </row>
    <row r="58356" spans="18:18" s="2" customFormat="1" ht="12.75" x14ac:dyDescent="0.2">
      <c r="R58356" s="1288"/>
    </row>
    <row r="58357" spans="18:18" s="2" customFormat="1" ht="12.75" x14ac:dyDescent="0.2">
      <c r="R58357" s="1288"/>
    </row>
    <row r="58358" spans="18:18" s="2" customFormat="1" ht="12.75" x14ac:dyDescent="0.2">
      <c r="R58358" s="1288"/>
    </row>
    <row r="58359" spans="18:18" s="2" customFormat="1" ht="12.75" x14ac:dyDescent="0.2">
      <c r="R58359" s="1288"/>
    </row>
    <row r="58360" spans="18:18" s="2" customFormat="1" ht="12.75" x14ac:dyDescent="0.2">
      <c r="R58360" s="1288"/>
    </row>
    <row r="58361" spans="18:18" s="2" customFormat="1" ht="12.75" x14ac:dyDescent="0.2">
      <c r="R58361" s="1288"/>
    </row>
    <row r="58362" spans="18:18" s="2" customFormat="1" ht="12.75" x14ac:dyDescent="0.2">
      <c r="R58362" s="1288"/>
    </row>
    <row r="58363" spans="18:18" s="2" customFormat="1" ht="12.75" x14ac:dyDescent="0.2">
      <c r="R58363" s="1288"/>
    </row>
    <row r="58364" spans="18:18" s="2" customFormat="1" ht="12.75" x14ac:dyDescent="0.2">
      <c r="R58364" s="1288"/>
    </row>
    <row r="58365" spans="18:18" s="2" customFormat="1" ht="12.75" x14ac:dyDescent="0.2">
      <c r="R58365" s="1288"/>
    </row>
    <row r="58366" spans="18:18" s="2" customFormat="1" ht="12.75" x14ac:dyDescent="0.2">
      <c r="R58366" s="1288"/>
    </row>
    <row r="58367" spans="18:18" s="2" customFormat="1" ht="12.75" x14ac:dyDescent="0.2">
      <c r="R58367" s="1288"/>
    </row>
    <row r="58368" spans="18:18" s="2" customFormat="1" ht="12.75" x14ac:dyDescent="0.2">
      <c r="R58368" s="1288"/>
    </row>
    <row r="58369" spans="18:18" s="2" customFormat="1" ht="12.75" x14ac:dyDescent="0.2">
      <c r="R58369" s="1288"/>
    </row>
    <row r="58370" spans="18:18" s="2" customFormat="1" ht="12.75" x14ac:dyDescent="0.2">
      <c r="R58370" s="1288"/>
    </row>
    <row r="58371" spans="18:18" s="2" customFormat="1" ht="12.75" x14ac:dyDescent="0.2">
      <c r="R58371" s="1288"/>
    </row>
    <row r="58372" spans="18:18" s="2" customFormat="1" ht="12.75" x14ac:dyDescent="0.2">
      <c r="R58372" s="1288"/>
    </row>
    <row r="58373" spans="18:18" s="2" customFormat="1" ht="12.75" x14ac:dyDescent="0.2">
      <c r="R58373" s="1288"/>
    </row>
    <row r="58374" spans="18:18" s="2" customFormat="1" ht="12.75" x14ac:dyDescent="0.2">
      <c r="R58374" s="1288"/>
    </row>
    <row r="58375" spans="18:18" s="2" customFormat="1" ht="12.75" x14ac:dyDescent="0.2">
      <c r="R58375" s="1288"/>
    </row>
    <row r="58376" spans="18:18" s="2" customFormat="1" ht="12.75" x14ac:dyDescent="0.2">
      <c r="R58376" s="1288"/>
    </row>
    <row r="58377" spans="18:18" s="2" customFormat="1" ht="12.75" x14ac:dyDescent="0.2">
      <c r="R58377" s="1288"/>
    </row>
    <row r="58378" spans="18:18" s="2" customFormat="1" ht="12.75" x14ac:dyDescent="0.2">
      <c r="R58378" s="1288"/>
    </row>
    <row r="58379" spans="18:18" s="2" customFormat="1" ht="12.75" x14ac:dyDescent="0.2">
      <c r="R58379" s="1288"/>
    </row>
    <row r="58380" spans="18:18" s="2" customFormat="1" ht="12.75" x14ac:dyDescent="0.2">
      <c r="R58380" s="1288"/>
    </row>
    <row r="58381" spans="18:18" s="2" customFormat="1" ht="12.75" x14ac:dyDescent="0.2">
      <c r="R58381" s="1288"/>
    </row>
    <row r="58382" spans="18:18" s="2" customFormat="1" ht="12.75" x14ac:dyDescent="0.2">
      <c r="R58382" s="1288"/>
    </row>
    <row r="58383" spans="18:18" s="2" customFormat="1" ht="12.75" x14ac:dyDescent="0.2">
      <c r="R58383" s="1288"/>
    </row>
    <row r="58384" spans="18:18" s="2" customFormat="1" ht="12.75" x14ac:dyDescent="0.2">
      <c r="R58384" s="1288"/>
    </row>
    <row r="58385" spans="18:18" s="2" customFormat="1" ht="12.75" x14ac:dyDescent="0.2">
      <c r="R58385" s="1288"/>
    </row>
    <row r="58386" spans="18:18" s="2" customFormat="1" ht="12.75" x14ac:dyDescent="0.2">
      <c r="R58386" s="1288"/>
    </row>
    <row r="58387" spans="18:18" s="2" customFormat="1" ht="12.75" x14ac:dyDescent="0.2">
      <c r="R58387" s="1288"/>
    </row>
    <row r="58388" spans="18:18" s="2" customFormat="1" ht="12.75" x14ac:dyDescent="0.2">
      <c r="R58388" s="1288"/>
    </row>
    <row r="58389" spans="18:18" s="2" customFormat="1" ht="12.75" x14ac:dyDescent="0.2">
      <c r="R58389" s="1288"/>
    </row>
    <row r="58390" spans="18:18" s="2" customFormat="1" ht="12.75" x14ac:dyDescent="0.2">
      <c r="R58390" s="1288"/>
    </row>
    <row r="58391" spans="18:18" s="2" customFormat="1" ht="12.75" x14ac:dyDescent="0.2">
      <c r="R58391" s="1288"/>
    </row>
    <row r="58392" spans="18:18" s="2" customFormat="1" ht="12.75" x14ac:dyDescent="0.2">
      <c r="R58392" s="1288"/>
    </row>
    <row r="58393" spans="18:18" s="2" customFormat="1" ht="12.75" x14ac:dyDescent="0.2">
      <c r="R58393" s="1288"/>
    </row>
    <row r="58394" spans="18:18" s="2" customFormat="1" ht="12.75" x14ac:dyDescent="0.2">
      <c r="R58394" s="1288"/>
    </row>
    <row r="58395" spans="18:18" s="2" customFormat="1" ht="12.75" x14ac:dyDescent="0.2">
      <c r="R58395" s="1288"/>
    </row>
    <row r="58396" spans="18:18" s="2" customFormat="1" ht="12.75" x14ac:dyDescent="0.2">
      <c r="R58396" s="1288"/>
    </row>
    <row r="58397" spans="18:18" s="2" customFormat="1" ht="12.75" x14ac:dyDescent="0.2">
      <c r="R58397" s="1288"/>
    </row>
    <row r="58398" spans="18:18" s="2" customFormat="1" ht="12.75" x14ac:dyDescent="0.2">
      <c r="R58398" s="1288"/>
    </row>
    <row r="58399" spans="18:18" s="2" customFormat="1" ht="12.75" x14ac:dyDescent="0.2">
      <c r="R58399" s="1288"/>
    </row>
    <row r="58400" spans="18:18" s="2" customFormat="1" ht="12.75" x14ac:dyDescent="0.2">
      <c r="R58400" s="1288"/>
    </row>
    <row r="58401" spans="18:18" s="2" customFormat="1" ht="12.75" x14ac:dyDescent="0.2">
      <c r="R58401" s="1288"/>
    </row>
    <row r="58402" spans="18:18" s="2" customFormat="1" ht="12.75" x14ac:dyDescent="0.2">
      <c r="R58402" s="1288"/>
    </row>
    <row r="58403" spans="18:18" s="2" customFormat="1" ht="12.75" x14ac:dyDescent="0.2">
      <c r="R58403" s="1288"/>
    </row>
    <row r="58404" spans="18:18" s="2" customFormat="1" ht="12.75" x14ac:dyDescent="0.2">
      <c r="R58404" s="1288"/>
    </row>
    <row r="58405" spans="18:18" s="2" customFormat="1" ht="12.75" x14ac:dyDescent="0.2">
      <c r="R58405" s="1288"/>
    </row>
    <row r="58406" spans="18:18" s="2" customFormat="1" ht="12.75" x14ac:dyDescent="0.2">
      <c r="R58406" s="1288"/>
    </row>
    <row r="58407" spans="18:18" s="2" customFormat="1" ht="12.75" x14ac:dyDescent="0.2">
      <c r="R58407" s="1288"/>
    </row>
    <row r="58408" spans="18:18" s="2" customFormat="1" ht="12.75" x14ac:dyDescent="0.2">
      <c r="R58408" s="1288"/>
    </row>
    <row r="58409" spans="18:18" s="2" customFormat="1" ht="12.75" x14ac:dyDescent="0.2">
      <c r="R58409" s="1288"/>
    </row>
    <row r="58410" spans="18:18" s="2" customFormat="1" ht="12.75" x14ac:dyDescent="0.2">
      <c r="R58410" s="1288"/>
    </row>
    <row r="58411" spans="18:18" s="2" customFormat="1" ht="12.75" x14ac:dyDescent="0.2">
      <c r="R58411" s="1288"/>
    </row>
    <row r="58412" spans="18:18" s="2" customFormat="1" ht="12.75" x14ac:dyDescent="0.2">
      <c r="R58412" s="1288"/>
    </row>
    <row r="58413" spans="18:18" s="2" customFormat="1" ht="12.75" x14ac:dyDescent="0.2">
      <c r="R58413" s="1288"/>
    </row>
    <row r="58414" spans="18:18" s="2" customFormat="1" ht="12.75" x14ac:dyDescent="0.2">
      <c r="R58414" s="1288"/>
    </row>
    <row r="58415" spans="18:18" s="2" customFormat="1" ht="12.75" x14ac:dyDescent="0.2">
      <c r="R58415" s="1288"/>
    </row>
    <row r="58416" spans="18:18" s="2" customFormat="1" ht="12.75" x14ac:dyDescent="0.2">
      <c r="R58416" s="1288"/>
    </row>
    <row r="58417" spans="18:18" s="2" customFormat="1" ht="12.75" x14ac:dyDescent="0.2">
      <c r="R58417" s="1288"/>
    </row>
    <row r="58418" spans="18:18" s="2" customFormat="1" ht="12.75" x14ac:dyDescent="0.2">
      <c r="R58418" s="1288"/>
    </row>
    <row r="58419" spans="18:18" s="2" customFormat="1" ht="12.75" x14ac:dyDescent="0.2">
      <c r="R58419" s="1288"/>
    </row>
    <row r="58420" spans="18:18" s="2" customFormat="1" ht="12.75" x14ac:dyDescent="0.2">
      <c r="R58420" s="1288"/>
    </row>
    <row r="58421" spans="18:18" s="2" customFormat="1" ht="12.75" x14ac:dyDescent="0.2">
      <c r="R58421" s="1288"/>
    </row>
    <row r="58422" spans="18:18" s="2" customFormat="1" ht="12.75" x14ac:dyDescent="0.2">
      <c r="R58422" s="1288"/>
    </row>
    <row r="58423" spans="18:18" s="2" customFormat="1" ht="12.75" x14ac:dyDescent="0.2">
      <c r="R58423" s="1288"/>
    </row>
    <row r="58424" spans="18:18" s="2" customFormat="1" ht="12.75" x14ac:dyDescent="0.2">
      <c r="R58424" s="1288"/>
    </row>
    <row r="58425" spans="18:18" s="2" customFormat="1" ht="12.75" x14ac:dyDescent="0.2">
      <c r="R58425" s="1288"/>
    </row>
    <row r="58426" spans="18:18" s="2" customFormat="1" ht="12.75" x14ac:dyDescent="0.2">
      <c r="R58426" s="1288"/>
    </row>
    <row r="58427" spans="18:18" s="2" customFormat="1" ht="12.75" x14ac:dyDescent="0.2">
      <c r="R58427" s="1288"/>
    </row>
    <row r="58428" spans="18:18" s="2" customFormat="1" ht="12.75" x14ac:dyDescent="0.2">
      <c r="R58428" s="1288"/>
    </row>
    <row r="58429" spans="18:18" s="2" customFormat="1" ht="12.75" x14ac:dyDescent="0.2">
      <c r="R58429" s="1288"/>
    </row>
    <row r="58430" spans="18:18" s="2" customFormat="1" ht="12.75" x14ac:dyDescent="0.2">
      <c r="R58430" s="1288"/>
    </row>
    <row r="58431" spans="18:18" s="2" customFormat="1" ht="12.75" x14ac:dyDescent="0.2">
      <c r="R58431" s="1288"/>
    </row>
    <row r="58432" spans="18:18" s="2" customFormat="1" ht="12.75" x14ac:dyDescent="0.2">
      <c r="R58432" s="1288"/>
    </row>
    <row r="58433" spans="18:18" s="2" customFormat="1" ht="12.75" x14ac:dyDescent="0.2">
      <c r="R58433" s="1288"/>
    </row>
    <row r="58434" spans="18:18" s="2" customFormat="1" ht="12.75" x14ac:dyDescent="0.2">
      <c r="R58434" s="1288"/>
    </row>
    <row r="58435" spans="18:18" s="2" customFormat="1" ht="12.75" x14ac:dyDescent="0.2">
      <c r="R58435" s="1288"/>
    </row>
    <row r="58436" spans="18:18" s="2" customFormat="1" ht="12.75" x14ac:dyDescent="0.2">
      <c r="R58436" s="1288"/>
    </row>
    <row r="58437" spans="18:18" s="2" customFormat="1" ht="12.75" x14ac:dyDescent="0.2">
      <c r="R58437" s="1288"/>
    </row>
    <row r="58438" spans="18:18" s="2" customFormat="1" ht="12.75" x14ac:dyDescent="0.2">
      <c r="R58438" s="1288"/>
    </row>
    <row r="58439" spans="18:18" s="2" customFormat="1" ht="12.75" x14ac:dyDescent="0.2">
      <c r="R58439" s="1288"/>
    </row>
    <row r="58440" spans="18:18" s="2" customFormat="1" ht="12.75" x14ac:dyDescent="0.2">
      <c r="R58440" s="1288"/>
    </row>
    <row r="58441" spans="18:18" s="2" customFormat="1" ht="12.75" x14ac:dyDescent="0.2">
      <c r="R58441" s="1288"/>
    </row>
    <row r="58442" spans="18:18" s="2" customFormat="1" ht="12.75" x14ac:dyDescent="0.2">
      <c r="R58442" s="1288"/>
    </row>
    <row r="58443" spans="18:18" s="2" customFormat="1" ht="12.75" x14ac:dyDescent="0.2">
      <c r="R58443" s="1288"/>
    </row>
    <row r="58444" spans="18:18" s="2" customFormat="1" ht="12.75" x14ac:dyDescent="0.2">
      <c r="R58444" s="1288"/>
    </row>
    <row r="58445" spans="18:18" s="2" customFormat="1" ht="12.75" x14ac:dyDescent="0.2">
      <c r="R58445" s="1288"/>
    </row>
    <row r="58446" spans="18:18" s="2" customFormat="1" ht="12.75" x14ac:dyDescent="0.2">
      <c r="R58446" s="1288"/>
    </row>
    <row r="58447" spans="18:18" s="2" customFormat="1" ht="12.75" x14ac:dyDescent="0.2">
      <c r="R58447" s="1288"/>
    </row>
    <row r="58448" spans="18:18" s="2" customFormat="1" ht="12.75" x14ac:dyDescent="0.2">
      <c r="R58448" s="1288"/>
    </row>
    <row r="58449" spans="18:18" s="2" customFormat="1" ht="12.75" x14ac:dyDescent="0.2">
      <c r="R58449" s="1288"/>
    </row>
    <row r="58450" spans="18:18" s="2" customFormat="1" ht="12.75" x14ac:dyDescent="0.2">
      <c r="R58450" s="1288"/>
    </row>
    <row r="58451" spans="18:18" s="2" customFormat="1" ht="12.75" x14ac:dyDescent="0.2">
      <c r="R58451" s="1288"/>
    </row>
    <row r="58452" spans="18:18" s="2" customFormat="1" ht="12.75" x14ac:dyDescent="0.2">
      <c r="R58452" s="1288"/>
    </row>
    <row r="58453" spans="18:18" s="2" customFormat="1" ht="12.75" x14ac:dyDescent="0.2">
      <c r="R58453" s="1288"/>
    </row>
    <row r="58454" spans="18:18" s="2" customFormat="1" ht="12.75" x14ac:dyDescent="0.2">
      <c r="R58454" s="1288"/>
    </row>
    <row r="58455" spans="18:18" s="2" customFormat="1" ht="12.75" x14ac:dyDescent="0.2">
      <c r="R58455" s="1288"/>
    </row>
    <row r="58456" spans="18:18" s="2" customFormat="1" ht="12.75" x14ac:dyDescent="0.2">
      <c r="R58456" s="1288"/>
    </row>
    <row r="58457" spans="18:18" s="2" customFormat="1" ht="12.75" x14ac:dyDescent="0.2">
      <c r="R58457" s="1288"/>
    </row>
    <row r="58458" spans="18:18" s="2" customFormat="1" ht="12.75" x14ac:dyDescent="0.2">
      <c r="R58458" s="1288"/>
    </row>
    <row r="58459" spans="18:18" s="2" customFormat="1" ht="12.75" x14ac:dyDescent="0.2">
      <c r="R58459" s="1288"/>
    </row>
    <row r="58460" spans="18:18" s="2" customFormat="1" ht="12.75" x14ac:dyDescent="0.2">
      <c r="R58460" s="1288"/>
    </row>
    <row r="58461" spans="18:18" s="2" customFormat="1" ht="12.75" x14ac:dyDescent="0.2">
      <c r="R58461" s="1288"/>
    </row>
    <row r="58462" spans="18:18" s="2" customFormat="1" ht="12.75" x14ac:dyDescent="0.2">
      <c r="R58462" s="1288"/>
    </row>
    <row r="58463" spans="18:18" s="2" customFormat="1" ht="12.75" x14ac:dyDescent="0.2">
      <c r="R58463" s="1288"/>
    </row>
    <row r="58464" spans="18:18" s="2" customFormat="1" ht="12.75" x14ac:dyDescent="0.2">
      <c r="R58464" s="1288"/>
    </row>
    <row r="58465" spans="18:18" s="2" customFormat="1" ht="12.75" x14ac:dyDescent="0.2">
      <c r="R58465" s="1288"/>
    </row>
    <row r="58466" spans="18:18" s="2" customFormat="1" ht="12.75" x14ac:dyDescent="0.2">
      <c r="R58466" s="1288"/>
    </row>
    <row r="58467" spans="18:18" s="2" customFormat="1" ht="12.75" x14ac:dyDescent="0.2">
      <c r="R58467" s="1288"/>
    </row>
    <row r="58468" spans="18:18" s="2" customFormat="1" ht="12.75" x14ac:dyDescent="0.2">
      <c r="R58468" s="1288"/>
    </row>
    <row r="58469" spans="18:18" s="2" customFormat="1" ht="12.75" x14ac:dyDescent="0.2">
      <c r="R58469" s="1288"/>
    </row>
    <row r="58470" spans="18:18" s="2" customFormat="1" ht="12.75" x14ac:dyDescent="0.2">
      <c r="R58470" s="1288"/>
    </row>
    <row r="58471" spans="18:18" s="2" customFormat="1" ht="12.75" x14ac:dyDescent="0.2">
      <c r="R58471" s="1288"/>
    </row>
    <row r="58472" spans="18:18" s="2" customFormat="1" ht="12.75" x14ac:dyDescent="0.2">
      <c r="R58472" s="1288"/>
    </row>
    <row r="58473" spans="18:18" s="2" customFormat="1" ht="12.75" x14ac:dyDescent="0.2">
      <c r="R58473" s="1288"/>
    </row>
    <row r="58474" spans="18:18" s="2" customFormat="1" ht="12.75" x14ac:dyDescent="0.2">
      <c r="R58474" s="1288"/>
    </row>
    <row r="58475" spans="18:18" s="2" customFormat="1" ht="12.75" x14ac:dyDescent="0.2">
      <c r="R58475" s="1288"/>
    </row>
    <row r="58476" spans="18:18" s="2" customFormat="1" ht="12.75" x14ac:dyDescent="0.2">
      <c r="R58476" s="1288"/>
    </row>
    <row r="58477" spans="18:18" s="2" customFormat="1" ht="12.75" x14ac:dyDescent="0.2">
      <c r="R58477" s="1288"/>
    </row>
    <row r="58478" spans="18:18" s="2" customFormat="1" ht="12.75" x14ac:dyDescent="0.2">
      <c r="R58478" s="1288"/>
    </row>
    <row r="58479" spans="18:18" s="2" customFormat="1" ht="12.75" x14ac:dyDescent="0.2">
      <c r="R58479" s="1288"/>
    </row>
    <row r="58480" spans="18:18" s="2" customFormat="1" ht="12.75" x14ac:dyDescent="0.2">
      <c r="R58480" s="1288"/>
    </row>
    <row r="58481" spans="18:18" s="2" customFormat="1" ht="12.75" x14ac:dyDescent="0.2">
      <c r="R58481" s="1288"/>
    </row>
    <row r="58482" spans="18:18" s="2" customFormat="1" ht="12.75" x14ac:dyDescent="0.2">
      <c r="R58482" s="1288"/>
    </row>
    <row r="58483" spans="18:18" s="2" customFormat="1" ht="12.75" x14ac:dyDescent="0.2">
      <c r="R58483" s="1288"/>
    </row>
    <row r="58484" spans="18:18" s="2" customFormat="1" ht="12.75" x14ac:dyDescent="0.2">
      <c r="R58484" s="1288"/>
    </row>
    <row r="58485" spans="18:18" s="2" customFormat="1" ht="12.75" x14ac:dyDescent="0.2">
      <c r="R58485" s="1288"/>
    </row>
    <row r="58486" spans="18:18" s="2" customFormat="1" ht="12.75" x14ac:dyDescent="0.2">
      <c r="R58486" s="1288"/>
    </row>
    <row r="58487" spans="18:18" s="2" customFormat="1" ht="12.75" x14ac:dyDescent="0.2">
      <c r="R58487" s="1288"/>
    </row>
    <row r="58488" spans="18:18" s="2" customFormat="1" ht="12.75" x14ac:dyDescent="0.2">
      <c r="R58488" s="1288"/>
    </row>
    <row r="58489" spans="18:18" s="2" customFormat="1" ht="12.75" x14ac:dyDescent="0.2">
      <c r="R58489" s="1288"/>
    </row>
    <row r="58490" spans="18:18" s="2" customFormat="1" ht="12.75" x14ac:dyDescent="0.2">
      <c r="R58490" s="1288"/>
    </row>
    <row r="58491" spans="18:18" s="2" customFormat="1" ht="12.75" x14ac:dyDescent="0.2">
      <c r="R58491" s="1288"/>
    </row>
    <row r="58492" spans="18:18" s="2" customFormat="1" ht="12.75" x14ac:dyDescent="0.2">
      <c r="R58492" s="1288"/>
    </row>
    <row r="58493" spans="18:18" s="2" customFormat="1" ht="12.75" x14ac:dyDescent="0.2">
      <c r="R58493" s="1288"/>
    </row>
    <row r="58494" spans="18:18" s="2" customFormat="1" ht="12.75" x14ac:dyDescent="0.2">
      <c r="R58494" s="1288"/>
    </row>
    <row r="58495" spans="18:18" s="2" customFormat="1" ht="12.75" x14ac:dyDescent="0.2">
      <c r="R58495" s="1288"/>
    </row>
    <row r="58496" spans="18:18" s="2" customFormat="1" ht="12.75" x14ac:dyDescent="0.2">
      <c r="R58496" s="1288"/>
    </row>
    <row r="58497" spans="18:18" s="2" customFormat="1" ht="12.75" x14ac:dyDescent="0.2">
      <c r="R58497" s="1288"/>
    </row>
    <row r="58498" spans="18:18" s="2" customFormat="1" ht="12.75" x14ac:dyDescent="0.2">
      <c r="R58498" s="1288"/>
    </row>
    <row r="58499" spans="18:18" s="2" customFormat="1" ht="12.75" x14ac:dyDescent="0.2">
      <c r="R58499" s="1288"/>
    </row>
    <row r="58500" spans="18:18" s="2" customFormat="1" ht="12.75" x14ac:dyDescent="0.2">
      <c r="R58500" s="1288"/>
    </row>
    <row r="58501" spans="18:18" s="2" customFormat="1" ht="12.75" x14ac:dyDescent="0.2">
      <c r="R58501" s="1288"/>
    </row>
    <row r="58502" spans="18:18" s="2" customFormat="1" ht="12.75" x14ac:dyDescent="0.2">
      <c r="R58502" s="1288"/>
    </row>
    <row r="58503" spans="18:18" s="2" customFormat="1" ht="12.75" x14ac:dyDescent="0.2">
      <c r="R58503" s="1288"/>
    </row>
    <row r="58504" spans="18:18" s="2" customFormat="1" ht="12.75" x14ac:dyDescent="0.2">
      <c r="R58504" s="1288"/>
    </row>
    <row r="58505" spans="18:18" s="2" customFormat="1" ht="12.75" x14ac:dyDescent="0.2">
      <c r="R58505" s="1288"/>
    </row>
    <row r="58506" spans="18:18" s="2" customFormat="1" ht="12.75" x14ac:dyDescent="0.2">
      <c r="R58506" s="1288"/>
    </row>
    <row r="58507" spans="18:18" s="2" customFormat="1" ht="12.75" x14ac:dyDescent="0.2">
      <c r="R58507" s="1288"/>
    </row>
    <row r="58508" spans="18:18" s="2" customFormat="1" ht="12.75" x14ac:dyDescent="0.2">
      <c r="R58508" s="1288"/>
    </row>
    <row r="58509" spans="18:18" s="2" customFormat="1" ht="12.75" x14ac:dyDescent="0.2">
      <c r="R58509" s="1288"/>
    </row>
    <row r="58510" spans="18:18" s="2" customFormat="1" ht="12.75" x14ac:dyDescent="0.2">
      <c r="R58510" s="1288"/>
    </row>
    <row r="58511" spans="18:18" s="2" customFormat="1" ht="12.75" x14ac:dyDescent="0.2">
      <c r="R58511" s="1288"/>
    </row>
    <row r="58512" spans="18:18" s="2" customFormat="1" ht="12.75" x14ac:dyDescent="0.2">
      <c r="R58512" s="1288"/>
    </row>
    <row r="58513" spans="18:18" s="2" customFormat="1" ht="12.75" x14ac:dyDescent="0.2">
      <c r="R58513" s="1288"/>
    </row>
    <row r="58514" spans="18:18" s="2" customFormat="1" ht="12.75" x14ac:dyDescent="0.2">
      <c r="R58514" s="1288"/>
    </row>
    <row r="58515" spans="18:18" s="2" customFormat="1" ht="12.75" x14ac:dyDescent="0.2">
      <c r="R58515" s="1288"/>
    </row>
    <row r="58516" spans="18:18" s="2" customFormat="1" ht="12.75" x14ac:dyDescent="0.2">
      <c r="R58516" s="1288"/>
    </row>
    <row r="58517" spans="18:18" s="2" customFormat="1" ht="12.75" x14ac:dyDescent="0.2">
      <c r="R58517" s="1288"/>
    </row>
    <row r="58518" spans="18:18" s="2" customFormat="1" ht="12.75" x14ac:dyDescent="0.2">
      <c r="R58518" s="1288"/>
    </row>
    <row r="58519" spans="18:18" s="2" customFormat="1" ht="12.75" x14ac:dyDescent="0.2">
      <c r="R58519" s="1288"/>
    </row>
    <row r="58520" spans="18:18" s="2" customFormat="1" ht="12.75" x14ac:dyDescent="0.2">
      <c r="R58520" s="1288"/>
    </row>
    <row r="58521" spans="18:18" s="2" customFormat="1" ht="12.75" x14ac:dyDescent="0.2">
      <c r="R58521" s="1288"/>
    </row>
    <row r="58522" spans="18:18" s="2" customFormat="1" ht="12.75" x14ac:dyDescent="0.2">
      <c r="R58522" s="1288"/>
    </row>
    <row r="58523" spans="18:18" s="2" customFormat="1" ht="12.75" x14ac:dyDescent="0.2">
      <c r="R58523" s="1288"/>
    </row>
    <row r="58524" spans="18:18" s="2" customFormat="1" ht="12.75" x14ac:dyDescent="0.2">
      <c r="R58524" s="1288"/>
    </row>
    <row r="58525" spans="18:18" s="2" customFormat="1" ht="12.75" x14ac:dyDescent="0.2">
      <c r="R58525" s="1288"/>
    </row>
    <row r="58526" spans="18:18" s="2" customFormat="1" ht="12.75" x14ac:dyDescent="0.2">
      <c r="R58526" s="1288"/>
    </row>
    <row r="58527" spans="18:18" s="2" customFormat="1" ht="12.75" x14ac:dyDescent="0.2">
      <c r="R58527" s="1288"/>
    </row>
    <row r="58528" spans="18:18" s="2" customFormat="1" ht="12.75" x14ac:dyDescent="0.2">
      <c r="R58528" s="1288"/>
    </row>
    <row r="58529" spans="18:18" s="2" customFormat="1" ht="12.75" x14ac:dyDescent="0.2">
      <c r="R58529" s="1288"/>
    </row>
    <row r="58530" spans="18:18" s="2" customFormat="1" ht="12.75" x14ac:dyDescent="0.2">
      <c r="R58530" s="1288"/>
    </row>
    <row r="58531" spans="18:18" s="2" customFormat="1" ht="12.75" x14ac:dyDescent="0.2">
      <c r="R58531" s="1288"/>
    </row>
    <row r="58532" spans="18:18" s="2" customFormat="1" ht="12.75" x14ac:dyDescent="0.2">
      <c r="R58532" s="1288"/>
    </row>
    <row r="58533" spans="18:18" s="2" customFormat="1" ht="12.75" x14ac:dyDescent="0.2">
      <c r="R58533" s="1288"/>
    </row>
    <row r="58534" spans="18:18" s="2" customFormat="1" ht="12.75" x14ac:dyDescent="0.2">
      <c r="R58534" s="1288"/>
    </row>
    <row r="58535" spans="18:18" s="2" customFormat="1" ht="12.75" x14ac:dyDescent="0.2">
      <c r="R58535" s="1288"/>
    </row>
    <row r="58536" spans="18:18" s="2" customFormat="1" ht="12.75" x14ac:dyDescent="0.2">
      <c r="R58536" s="1288"/>
    </row>
    <row r="58537" spans="18:18" s="2" customFormat="1" ht="12.75" x14ac:dyDescent="0.2">
      <c r="R58537" s="1288"/>
    </row>
    <row r="58538" spans="18:18" s="2" customFormat="1" ht="12.75" x14ac:dyDescent="0.2">
      <c r="R58538" s="1288"/>
    </row>
    <row r="58539" spans="18:18" s="2" customFormat="1" ht="12.75" x14ac:dyDescent="0.2">
      <c r="R58539" s="1288"/>
    </row>
    <row r="58540" spans="18:18" s="2" customFormat="1" ht="12.75" x14ac:dyDescent="0.2">
      <c r="R58540" s="1288"/>
    </row>
    <row r="58541" spans="18:18" s="2" customFormat="1" ht="12.75" x14ac:dyDescent="0.2">
      <c r="R58541" s="1288"/>
    </row>
    <row r="58542" spans="18:18" s="2" customFormat="1" ht="12.75" x14ac:dyDescent="0.2">
      <c r="R58542" s="1288"/>
    </row>
    <row r="58543" spans="18:18" s="2" customFormat="1" ht="12.75" x14ac:dyDescent="0.2">
      <c r="R58543" s="1288"/>
    </row>
    <row r="58544" spans="18:18" s="2" customFormat="1" ht="12.75" x14ac:dyDescent="0.2">
      <c r="R58544" s="1288"/>
    </row>
    <row r="58545" spans="18:18" s="2" customFormat="1" ht="12.75" x14ac:dyDescent="0.2">
      <c r="R58545" s="1288"/>
    </row>
    <row r="58546" spans="18:18" s="2" customFormat="1" ht="12.75" x14ac:dyDescent="0.2">
      <c r="R58546" s="1288"/>
    </row>
    <row r="58547" spans="18:18" s="2" customFormat="1" ht="12.75" x14ac:dyDescent="0.2">
      <c r="R58547" s="1288"/>
    </row>
    <row r="58548" spans="18:18" s="2" customFormat="1" ht="12.75" x14ac:dyDescent="0.2">
      <c r="R58548" s="1288"/>
    </row>
    <row r="58549" spans="18:18" s="2" customFormat="1" ht="12.75" x14ac:dyDescent="0.2">
      <c r="R58549" s="1288"/>
    </row>
    <row r="58550" spans="18:18" s="2" customFormat="1" ht="12.75" x14ac:dyDescent="0.2">
      <c r="R58550" s="1288"/>
    </row>
    <row r="58551" spans="18:18" s="2" customFormat="1" ht="12.75" x14ac:dyDescent="0.2">
      <c r="R58551" s="1288"/>
    </row>
    <row r="58552" spans="18:18" s="2" customFormat="1" ht="12.75" x14ac:dyDescent="0.2">
      <c r="R58552" s="1288"/>
    </row>
    <row r="58553" spans="18:18" s="2" customFormat="1" ht="12.75" x14ac:dyDescent="0.2">
      <c r="R58553" s="1288"/>
    </row>
    <row r="58554" spans="18:18" s="2" customFormat="1" ht="12.75" x14ac:dyDescent="0.2">
      <c r="R58554" s="1288"/>
    </row>
    <row r="58555" spans="18:18" s="2" customFormat="1" ht="12.75" x14ac:dyDescent="0.2">
      <c r="R58555" s="1288"/>
    </row>
    <row r="58556" spans="18:18" s="2" customFormat="1" ht="12.75" x14ac:dyDescent="0.2">
      <c r="R58556" s="1288"/>
    </row>
    <row r="58557" spans="18:18" s="2" customFormat="1" ht="12.75" x14ac:dyDescent="0.2">
      <c r="R58557" s="1288"/>
    </row>
    <row r="58558" spans="18:18" s="2" customFormat="1" ht="12.75" x14ac:dyDescent="0.2">
      <c r="R58558" s="1288"/>
    </row>
    <row r="58559" spans="18:18" s="2" customFormat="1" ht="12.75" x14ac:dyDescent="0.2">
      <c r="R58559" s="1288"/>
    </row>
    <row r="58560" spans="18:18" s="2" customFormat="1" ht="12.75" x14ac:dyDescent="0.2">
      <c r="R58560" s="1288"/>
    </row>
    <row r="58561" spans="18:18" s="2" customFormat="1" ht="12.75" x14ac:dyDescent="0.2">
      <c r="R58561" s="1288"/>
    </row>
    <row r="58562" spans="18:18" s="2" customFormat="1" ht="12.75" x14ac:dyDescent="0.2">
      <c r="R58562" s="1288"/>
    </row>
    <row r="58563" spans="18:18" s="2" customFormat="1" ht="12.75" x14ac:dyDescent="0.2">
      <c r="R58563" s="1288"/>
    </row>
    <row r="58564" spans="18:18" s="2" customFormat="1" ht="12.75" x14ac:dyDescent="0.2">
      <c r="R58564" s="1288"/>
    </row>
    <row r="58565" spans="18:18" s="2" customFormat="1" ht="12.75" x14ac:dyDescent="0.2">
      <c r="R58565" s="1288"/>
    </row>
    <row r="58566" spans="18:18" s="2" customFormat="1" ht="12.75" x14ac:dyDescent="0.2">
      <c r="R58566" s="1288"/>
    </row>
    <row r="58567" spans="18:18" s="2" customFormat="1" ht="12.75" x14ac:dyDescent="0.2">
      <c r="R58567" s="1288"/>
    </row>
    <row r="58568" spans="18:18" s="2" customFormat="1" ht="12.75" x14ac:dyDescent="0.2">
      <c r="R58568" s="1288"/>
    </row>
    <row r="58569" spans="18:18" s="2" customFormat="1" ht="12.75" x14ac:dyDescent="0.2">
      <c r="R58569" s="1288"/>
    </row>
    <row r="58570" spans="18:18" s="2" customFormat="1" ht="12.75" x14ac:dyDescent="0.2">
      <c r="R58570" s="1288"/>
    </row>
    <row r="58571" spans="18:18" s="2" customFormat="1" ht="12.75" x14ac:dyDescent="0.2">
      <c r="R58571" s="1288"/>
    </row>
    <row r="58572" spans="18:18" s="2" customFormat="1" ht="12.75" x14ac:dyDescent="0.2">
      <c r="R58572" s="1288"/>
    </row>
    <row r="58573" spans="18:18" s="2" customFormat="1" ht="12.75" x14ac:dyDescent="0.2">
      <c r="R58573" s="1288"/>
    </row>
    <row r="58574" spans="18:18" s="2" customFormat="1" ht="12.75" x14ac:dyDescent="0.2">
      <c r="R58574" s="1288"/>
    </row>
    <row r="58575" spans="18:18" s="2" customFormat="1" ht="12.75" x14ac:dyDescent="0.2">
      <c r="R58575" s="1288"/>
    </row>
    <row r="58576" spans="18:18" s="2" customFormat="1" ht="12.75" x14ac:dyDescent="0.2">
      <c r="R58576" s="1288"/>
    </row>
    <row r="58577" spans="18:18" s="2" customFormat="1" ht="12.75" x14ac:dyDescent="0.2">
      <c r="R58577" s="1288"/>
    </row>
    <row r="58578" spans="18:18" s="2" customFormat="1" ht="12.75" x14ac:dyDescent="0.2">
      <c r="R58578" s="1288"/>
    </row>
    <row r="58579" spans="18:18" s="2" customFormat="1" ht="12.75" x14ac:dyDescent="0.2">
      <c r="R58579" s="1288"/>
    </row>
    <row r="58580" spans="18:18" s="2" customFormat="1" ht="12.75" x14ac:dyDescent="0.2">
      <c r="R58580" s="1288"/>
    </row>
    <row r="58581" spans="18:18" s="2" customFormat="1" ht="12.75" x14ac:dyDescent="0.2">
      <c r="R58581" s="1288"/>
    </row>
    <row r="58582" spans="18:18" s="2" customFormat="1" ht="12.75" x14ac:dyDescent="0.2">
      <c r="R58582" s="1288"/>
    </row>
    <row r="58583" spans="18:18" s="2" customFormat="1" ht="12.75" x14ac:dyDescent="0.2">
      <c r="R58583" s="1288"/>
    </row>
    <row r="58584" spans="18:18" s="2" customFormat="1" ht="12.75" x14ac:dyDescent="0.2">
      <c r="R58584" s="1288"/>
    </row>
    <row r="58585" spans="18:18" s="2" customFormat="1" ht="12.75" x14ac:dyDescent="0.2">
      <c r="R58585" s="1288"/>
    </row>
    <row r="58586" spans="18:18" s="2" customFormat="1" ht="12.75" x14ac:dyDescent="0.2">
      <c r="R58586" s="1288"/>
    </row>
    <row r="58587" spans="18:18" s="2" customFormat="1" ht="12.75" x14ac:dyDescent="0.2">
      <c r="R58587" s="1288"/>
    </row>
    <row r="58588" spans="18:18" s="2" customFormat="1" ht="12.75" x14ac:dyDescent="0.2">
      <c r="R58588" s="1288"/>
    </row>
    <row r="58589" spans="18:18" s="2" customFormat="1" ht="12.75" x14ac:dyDescent="0.2">
      <c r="R58589" s="1288"/>
    </row>
    <row r="58590" spans="18:18" s="2" customFormat="1" ht="12.75" x14ac:dyDescent="0.2">
      <c r="R58590" s="1288"/>
    </row>
    <row r="58591" spans="18:18" s="2" customFormat="1" ht="12.75" x14ac:dyDescent="0.2">
      <c r="R58591" s="1288"/>
    </row>
    <row r="58592" spans="18:18" s="2" customFormat="1" ht="12.75" x14ac:dyDescent="0.2">
      <c r="R58592" s="1288"/>
    </row>
    <row r="58593" spans="18:18" s="2" customFormat="1" ht="12.75" x14ac:dyDescent="0.2">
      <c r="R58593" s="1288"/>
    </row>
    <row r="58594" spans="18:18" s="2" customFormat="1" ht="12.75" x14ac:dyDescent="0.2">
      <c r="R58594" s="1288"/>
    </row>
    <row r="58595" spans="18:18" s="2" customFormat="1" ht="12.75" x14ac:dyDescent="0.2">
      <c r="R58595" s="1288"/>
    </row>
    <row r="58596" spans="18:18" s="2" customFormat="1" ht="12.75" x14ac:dyDescent="0.2">
      <c r="R58596" s="1288"/>
    </row>
    <row r="58597" spans="18:18" s="2" customFormat="1" ht="12.75" x14ac:dyDescent="0.2">
      <c r="R58597" s="1288"/>
    </row>
    <row r="58598" spans="18:18" s="2" customFormat="1" ht="12.75" x14ac:dyDescent="0.2">
      <c r="R58598" s="1288"/>
    </row>
    <row r="58599" spans="18:18" s="2" customFormat="1" ht="12.75" x14ac:dyDescent="0.2">
      <c r="R58599" s="1288"/>
    </row>
    <row r="58600" spans="18:18" s="2" customFormat="1" ht="12.75" x14ac:dyDescent="0.2">
      <c r="R58600" s="1288"/>
    </row>
    <row r="58601" spans="18:18" s="2" customFormat="1" ht="12.75" x14ac:dyDescent="0.2">
      <c r="R58601" s="1288"/>
    </row>
    <row r="58602" spans="18:18" s="2" customFormat="1" ht="12.75" x14ac:dyDescent="0.2">
      <c r="R58602" s="1288"/>
    </row>
    <row r="58603" spans="18:18" s="2" customFormat="1" ht="12.75" x14ac:dyDescent="0.2">
      <c r="R58603" s="1288"/>
    </row>
    <row r="58604" spans="18:18" s="2" customFormat="1" ht="12.75" x14ac:dyDescent="0.2">
      <c r="R58604" s="1288"/>
    </row>
    <row r="58605" spans="18:18" s="2" customFormat="1" ht="12.75" x14ac:dyDescent="0.2">
      <c r="R58605" s="1288"/>
    </row>
    <row r="58606" spans="18:18" s="2" customFormat="1" ht="12.75" x14ac:dyDescent="0.2">
      <c r="R58606" s="1288"/>
    </row>
    <row r="58607" spans="18:18" s="2" customFormat="1" ht="12.75" x14ac:dyDescent="0.2">
      <c r="R58607" s="1288"/>
    </row>
    <row r="58608" spans="18:18" s="2" customFormat="1" ht="12.75" x14ac:dyDescent="0.2">
      <c r="R58608" s="1288"/>
    </row>
    <row r="58609" spans="18:18" s="2" customFormat="1" ht="12.75" x14ac:dyDescent="0.2">
      <c r="R58609" s="1288"/>
    </row>
    <row r="58610" spans="18:18" s="2" customFormat="1" ht="12.75" x14ac:dyDescent="0.2">
      <c r="R58610" s="1288"/>
    </row>
    <row r="58611" spans="18:18" s="2" customFormat="1" ht="12.75" x14ac:dyDescent="0.2">
      <c r="R58611" s="1288"/>
    </row>
    <row r="58612" spans="18:18" s="2" customFormat="1" ht="12.75" x14ac:dyDescent="0.2">
      <c r="R58612" s="1288"/>
    </row>
    <row r="58613" spans="18:18" s="2" customFormat="1" ht="12.75" x14ac:dyDescent="0.2">
      <c r="R58613" s="1288"/>
    </row>
    <row r="58614" spans="18:18" s="2" customFormat="1" ht="12.75" x14ac:dyDescent="0.2">
      <c r="R58614" s="1288"/>
    </row>
    <row r="58615" spans="18:18" s="2" customFormat="1" ht="12.75" x14ac:dyDescent="0.2">
      <c r="R58615" s="1288"/>
    </row>
    <row r="58616" spans="18:18" s="2" customFormat="1" ht="12.75" x14ac:dyDescent="0.2">
      <c r="R58616" s="1288"/>
    </row>
    <row r="58617" spans="18:18" s="2" customFormat="1" ht="12.75" x14ac:dyDescent="0.2">
      <c r="R58617" s="1288"/>
    </row>
    <row r="58618" spans="18:18" s="2" customFormat="1" ht="12.75" x14ac:dyDescent="0.2">
      <c r="R58618" s="1288"/>
    </row>
    <row r="58619" spans="18:18" s="2" customFormat="1" ht="12.75" x14ac:dyDescent="0.2">
      <c r="R58619" s="1288"/>
    </row>
    <row r="58620" spans="18:18" s="2" customFormat="1" ht="12.75" x14ac:dyDescent="0.2">
      <c r="R58620" s="1288"/>
    </row>
    <row r="58621" spans="18:18" s="2" customFormat="1" ht="12.75" x14ac:dyDescent="0.2">
      <c r="R58621" s="1288"/>
    </row>
    <row r="58622" spans="18:18" s="2" customFormat="1" ht="12.75" x14ac:dyDescent="0.2">
      <c r="R58622" s="1288"/>
    </row>
    <row r="58623" spans="18:18" s="2" customFormat="1" ht="12.75" x14ac:dyDescent="0.2">
      <c r="R58623" s="1288"/>
    </row>
    <row r="58624" spans="18:18" s="2" customFormat="1" ht="12.75" x14ac:dyDescent="0.2">
      <c r="R58624" s="1288"/>
    </row>
    <row r="58625" spans="18:18" s="2" customFormat="1" ht="12.75" x14ac:dyDescent="0.2">
      <c r="R58625" s="1288"/>
    </row>
    <row r="58626" spans="18:18" s="2" customFormat="1" ht="12.75" x14ac:dyDescent="0.2">
      <c r="R58626" s="1288"/>
    </row>
    <row r="58627" spans="18:18" s="2" customFormat="1" ht="12.75" x14ac:dyDescent="0.2">
      <c r="R58627" s="1288"/>
    </row>
    <row r="58628" spans="18:18" s="2" customFormat="1" ht="12.75" x14ac:dyDescent="0.2">
      <c r="R58628" s="1288"/>
    </row>
    <row r="58629" spans="18:18" s="2" customFormat="1" ht="12.75" x14ac:dyDescent="0.2">
      <c r="R58629" s="1288"/>
    </row>
    <row r="58630" spans="18:18" s="2" customFormat="1" ht="12.75" x14ac:dyDescent="0.2">
      <c r="R58630" s="1288"/>
    </row>
    <row r="58631" spans="18:18" s="2" customFormat="1" ht="12.75" x14ac:dyDescent="0.2">
      <c r="R58631" s="1288"/>
    </row>
    <row r="58632" spans="18:18" s="2" customFormat="1" ht="12.75" x14ac:dyDescent="0.2">
      <c r="R58632" s="1288"/>
    </row>
    <row r="58633" spans="18:18" s="2" customFormat="1" ht="12.75" x14ac:dyDescent="0.2">
      <c r="R58633" s="1288"/>
    </row>
    <row r="58634" spans="18:18" s="2" customFormat="1" ht="12.75" x14ac:dyDescent="0.2">
      <c r="R58634" s="1288"/>
    </row>
    <row r="58635" spans="18:18" s="2" customFormat="1" ht="12.75" x14ac:dyDescent="0.2">
      <c r="R58635" s="1288"/>
    </row>
    <row r="58636" spans="18:18" s="2" customFormat="1" ht="12.75" x14ac:dyDescent="0.2">
      <c r="R58636" s="1288"/>
    </row>
    <row r="58637" spans="18:18" s="2" customFormat="1" ht="12.75" x14ac:dyDescent="0.2">
      <c r="R58637" s="1288"/>
    </row>
    <row r="58638" spans="18:18" s="2" customFormat="1" ht="12.75" x14ac:dyDescent="0.2">
      <c r="R58638" s="1288"/>
    </row>
    <row r="58639" spans="18:18" s="2" customFormat="1" ht="12.75" x14ac:dyDescent="0.2">
      <c r="R58639" s="1288"/>
    </row>
    <row r="58640" spans="18:18" s="2" customFormat="1" ht="12.75" x14ac:dyDescent="0.2">
      <c r="R58640" s="1288"/>
    </row>
    <row r="58641" spans="18:18" s="2" customFormat="1" ht="12.75" x14ac:dyDescent="0.2">
      <c r="R58641" s="1288"/>
    </row>
    <row r="58642" spans="18:18" s="2" customFormat="1" ht="12.75" x14ac:dyDescent="0.2">
      <c r="R58642" s="1288"/>
    </row>
    <row r="58643" spans="18:18" s="2" customFormat="1" ht="12.75" x14ac:dyDescent="0.2">
      <c r="R58643" s="1288"/>
    </row>
    <row r="58644" spans="18:18" s="2" customFormat="1" ht="12.75" x14ac:dyDescent="0.2">
      <c r="R58644" s="1288"/>
    </row>
    <row r="58645" spans="18:18" s="2" customFormat="1" ht="12.75" x14ac:dyDescent="0.2">
      <c r="R58645" s="1288"/>
    </row>
    <row r="58646" spans="18:18" s="2" customFormat="1" ht="12.75" x14ac:dyDescent="0.2">
      <c r="R58646" s="1288"/>
    </row>
    <row r="58647" spans="18:18" s="2" customFormat="1" ht="12.75" x14ac:dyDescent="0.2">
      <c r="R58647" s="1288"/>
    </row>
    <row r="58648" spans="18:18" s="2" customFormat="1" ht="12.75" x14ac:dyDescent="0.2">
      <c r="R58648" s="1288"/>
    </row>
    <row r="58649" spans="18:18" s="2" customFormat="1" ht="12.75" x14ac:dyDescent="0.2">
      <c r="R58649" s="1288"/>
    </row>
    <row r="58650" spans="18:18" s="2" customFormat="1" ht="12.75" x14ac:dyDescent="0.2">
      <c r="R58650" s="1288"/>
    </row>
    <row r="58651" spans="18:18" s="2" customFormat="1" ht="12.75" x14ac:dyDescent="0.2">
      <c r="R58651" s="1288"/>
    </row>
    <row r="58652" spans="18:18" s="2" customFormat="1" ht="12.75" x14ac:dyDescent="0.2">
      <c r="R58652" s="1288"/>
    </row>
    <row r="58653" spans="18:18" s="2" customFormat="1" ht="12.75" x14ac:dyDescent="0.2">
      <c r="R58653" s="1288"/>
    </row>
    <row r="58654" spans="18:18" s="2" customFormat="1" ht="12.75" x14ac:dyDescent="0.2">
      <c r="R58654" s="1288"/>
    </row>
    <row r="58655" spans="18:18" s="2" customFormat="1" ht="12.75" x14ac:dyDescent="0.2">
      <c r="R58655" s="1288"/>
    </row>
    <row r="58656" spans="18:18" s="2" customFormat="1" ht="12.75" x14ac:dyDescent="0.2">
      <c r="R58656" s="1288"/>
    </row>
    <row r="58657" spans="18:18" s="2" customFormat="1" ht="12.75" x14ac:dyDescent="0.2">
      <c r="R58657" s="1288"/>
    </row>
    <row r="58658" spans="18:18" s="2" customFormat="1" ht="12.75" x14ac:dyDescent="0.2">
      <c r="R58658" s="1288"/>
    </row>
    <row r="58659" spans="18:18" s="2" customFormat="1" ht="12.75" x14ac:dyDescent="0.2">
      <c r="R58659" s="1288"/>
    </row>
    <row r="58660" spans="18:18" s="2" customFormat="1" ht="12.75" x14ac:dyDescent="0.2">
      <c r="R58660" s="1288"/>
    </row>
    <row r="58661" spans="18:18" s="2" customFormat="1" ht="12.75" x14ac:dyDescent="0.2">
      <c r="R58661" s="1288"/>
    </row>
    <row r="58662" spans="18:18" s="2" customFormat="1" ht="12.75" x14ac:dyDescent="0.2">
      <c r="R58662" s="1288"/>
    </row>
    <row r="58663" spans="18:18" s="2" customFormat="1" ht="12.75" x14ac:dyDescent="0.2">
      <c r="R58663" s="1288"/>
    </row>
    <row r="58664" spans="18:18" s="2" customFormat="1" ht="12.75" x14ac:dyDescent="0.2">
      <c r="R58664" s="1288"/>
    </row>
    <row r="58665" spans="18:18" s="2" customFormat="1" ht="12.75" x14ac:dyDescent="0.2">
      <c r="R58665" s="1288"/>
    </row>
    <row r="58666" spans="18:18" s="2" customFormat="1" ht="12.75" x14ac:dyDescent="0.2">
      <c r="R58666" s="1288"/>
    </row>
    <row r="58667" spans="18:18" s="2" customFormat="1" ht="12.75" x14ac:dyDescent="0.2">
      <c r="R58667" s="1288"/>
    </row>
    <row r="58668" spans="18:18" s="2" customFormat="1" ht="12.75" x14ac:dyDescent="0.2">
      <c r="R58668" s="1288"/>
    </row>
    <row r="58669" spans="18:18" s="2" customFormat="1" ht="12.75" x14ac:dyDescent="0.2">
      <c r="R58669" s="1288"/>
    </row>
    <row r="58670" spans="18:18" s="2" customFormat="1" ht="12.75" x14ac:dyDescent="0.2">
      <c r="R58670" s="1288"/>
    </row>
    <row r="58671" spans="18:18" s="2" customFormat="1" ht="12.75" x14ac:dyDescent="0.2">
      <c r="R58671" s="1288"/>
    </row>
    <row r="58672" spans="18:18" s="2" customFormat="1" ht="12.75" x14ac:dyDescent="0.2">
      <c r="R58672" s="1288"/>
    </row>
    <row r="58673" spans="18:18" s="2" customFormat="1" ht="12.75" x14ac:dyDescent="0.2">
      <c r="R58673" s="1288"/>
    </row>
    <row r="58674" spans="18:18" s="2" customFormat="1" ht="12.75" x14ac:dyDescent="0.2">
      <c r="R58674" s="1288"/>
    </row>
    <row r="58675" spans="18:18" s="2" customFormat="1" ht="12.75" x14ac:dyDescent="0.2">
      <c r="R58675" s="1288"/>
    </row>
    <row r="58676" spans="18:18" s="2" customFormat="1" ht="12.75" x14ac:dyDescent="0.2">
      <c r="R58676" s="1288"/>
    </row>
    <row r="58677" spans="18:18" s="2" customFormat="1" ht="12.75" x14ac:dyDescent="0.2">
      <c r="R58677" s="1288"/>
    </row>
    <row r="58678" spans="18:18" s="2" customFormat="1" ht="12.75" x14ac:dyDescent="0.2">
      <c r="R58678" s="1288"/>
    </row>
    <row r="58679" spans="18:18" s="2" customFormat="1" ht="12.75" x14ac:dyDescent="0.2">
      <c r="R58679" s="1288"/>
    </row>
    <row r="58680" spans="18:18" s="2" customFormat="1" ht="12.75" x14ac:dyDescent="0.2">
      <c r="R58680" s="1288"/>
    </row>
    <row r="58681" spans="18:18" s="2" customFormat="1" ht="12.75" x14ac:dyDescent="0.2">
      <c r="R58681" s="1288"/>
    </row>
    <row r="58682" spans="18:18" s="2" customFormat="1" ht="12.75" x14ac:dyDescent="0.2">
      <c r="R58682" s="1288"/>
    </row>
    <row r="58683" spans="18:18" s="2" customFormat="1" ht="12.75" x14ac:dyDescent="0.2">
      <c r="R58683" s="1288"/>
    </row>
    <row r="58684" spans="18:18" s="2" customFormat="1" ht="12.75" x14ac:dyDescent="0.2">
      <c r="R58684" s="1288"/>
    </row>
    <row r="58685" spans="18:18" s="2" customFormat="1" ht="12.75" x14ac:dyDescent="0.2">
      <c r="R58685" s="1288"/>
    </row>
    <row r="58686" spans="18:18" s="2" customFormat="1" ht="12.75" x14ac:dyDescent="0.2">
      <c r="R58686" s="1288"/>
    </row>
    <row r="58687" spans="18:18" s="2" customFormat="1" ht="12.75" x14ac:dyDescent="0.2">
      <c r="R58687" s="1288"/>
    </row>
    <row r="58688" spans="18:18" s="2" customFormat="1" ht="12.75" x14ac:dyDescent="0.2">
      <c r="R58688" s="1288"/>
    </row>
    <row r="58689" spans="18:18" s="2" customFormat="1" ht="12.75" x14ac:dyDescent="0.2">
      <c r="R58689" s="1288"/>
    </row>
    <row r="58690" spans="18:18" s="2" customFormat="1" ht="12.75" x14ac:dyDescent="0.2">
      <c r="R58690" s="1288"/>
    </row>
    <row r="58691" spans="18:18" s="2" customFormat="1" ht="12.75" x14ac:dyDescent="0.2">
      <c r="R58691" s="1288"/>
    </row>
    <row r="58692" spans="18:18" s="2" customFormat="1" ht="12.75" x14ac:dyDescent="0.2">
      <c r="R58692" s="1288"/>
    </row>
    <row r="58693" spans="18:18" s="2" customFormat="1" ht="12.75" x14ac:dyDescent="0.2">
      <c r="R58693" s="1288"/>
    </row>
    <row r="58694" spans="18:18" s="2" customFormat="1" ht="12.75" x14ac:dyDescent="0.2">
      <c r="R58694" s="1288"/>
    </row>
    <row r="58695" spans="18:18" s="2" customFormat="1" ht="12.75" x14ac:dyDescent="0.2">
      <c r="R58695" s="1288"/>
    </row>
    <row r="58696" spans="18:18" s="2" customFormat="1" ht="12.75" x14ac:dyDescent="0.2">
      <c r="R58696" s="1288"/>
    </row>
    <row r="58697" spans="18:18" s="2" customFormat="1" ht="12.75" x14ac:dyDescent="0.2">
      <c r="R58697" s="1288"/>
    </row>
    <row r="58698" spans="18:18" s="2" customFormat="1" ht="12.75" x14ac:dyDescent="0.2">
      <c r="R58698" s="1288"/>
    </row>
    <row r="58699" spans="18:18" s="2" customFormat="1" ht="12.75" x14ac:dyDescent="0.2">
      <c r="R58699" s="1288"/>
    </row>
    <row r="58700" spans="18:18" s="2" customFormat="1" ht="12.75" x14ac:dyDescent="0.2">
      <c r="R58700" s="1288"/>
    </row>
    <row r="58701" spans="18:18" s="2" customFormat="1" ht="12.75" x14ac:dyDescent="0.2">
      <c r="R58701" s="1288"/>
    </row>
    <row r="58702" spans="18:18" s="2" customFormat="1" ht="12.75" x14ac:dyDescent="0.2">
      <c r="R58702" s="1288"/>
    </row>
    <row r="58703" spans="18:18" s="2" customFormat="1" ht="12.75" x14ac:dyDescent="0.2">
      <c r="R58703" s="1288"/>
    </row>
    <row r="58704" spans="18:18" s="2" customFormat="1" ht="12.75" x14ac:dyDescent="0.2">
      <c r="R58704" s="1288"/>
    </row>
    <row r="58705" spans="18:18" s="2" customFormat="1" ht="12.75" x14ac:dyDescent="0.2">
      <c r="R58705" s="1288"/>
    </row>
    <row r="58706" spans="18:18" s="2" customFormat="1" ht="12.75" x14ac:dyDescent="0.2">
      <c r="R58706" s="1288"/>
    </row>
    <row r="58707" spans="18:18" s="2" customFormat="1" ht="12.75" x14ac:dyDescent="0.2">
      <c r="R58707" s="1288"/>
    </row>
    <row r="58708" spans="18:18" s="2" customFormat="1" ht="12.75" x14ac:dyDescent="0.2">
      <c r="R58708" s="1288"/>
    </row>
    <row r="58709" spans="18:18" s="2" customFormat="1" ht="12.75" x14ac:dyDescent="0.2">
      <c r="R58709" s="1288"/>
    </row>
    <row r="58710" spans="18:18" s="2" customFormat="1" ht="12.75" x14ac:dyDescent="0.2">
      <c r="R58710" s="1288"/>
    </row>
    <row r="58711" spans="18:18" s="2" customFormat="1" ht="12.75" x14ac:dyDescent="0.2">
      <c r="R58711" s="1288"/>
    </row>
    <row r="58712" spans="18:18" s="2" customFormat="1" ht="12.75" x14ac:dyDescent="0.2">
      <c r="R58712" s="1288"/>
    </row>
    <row r="58713" spans="18:18" s="2" customFormat="1" ht="12.75" x14ac:dyDescent="0.2">
      <c r="R58713" s="1288"/>
    </row>
    <row r="58714" spans="18:18" s="2" customFormat="1" ht="12.75" x14ac:dyDescent="0.2">
      <c r="R58714" s="1288"/>
    </row>
    <row r="58715" spans="18:18" s="2" customFormat="1" ht="12.75" x14ac:dyDescent="0.2">
      <c r="R58715" s="1288"/>
    </row>
    <row r="58716" spans="18:18" s="2" customFormat="1" ht="12.75" x14ac:dyDescent="0.2">
      <c r="R58716" s="1288"/>
    </row>
    <row r="58717" spans="18:18" s="2" customFormat="1" ht="12.75" x14ac:dyDescent="0.2">
      <c r="R58717" s="1288"/>
    </row>
    <row r="58718" spans="18:18" s="2" customFormat="1" ht="12.75" x14ac:dyDescent="0.2">
      <c r="R58718" s="1288"/>
    </row>
    <row r="58719" spans="18:18" s="2" customFormat="1" ht="12.75" x14ac:dyDescent="0.2">
      <c r="R58719" s="1288"/>
    </row>
    <row r="58720" spans="18:18" s="2" customFormat="1" ht="12.75" x14ac:dyDescent="0.2">
      <c r="R58720" s="1288"/>
    </row>
    <row r="58721" spans="18:18" s="2" customFormat="1" ht="12.75" x14ac:dyDescent="0.2">
      <c r="R58721" s="1288"/>
    </row>
    <row r="58722" spans="18:18" s="2" customFormat="1" ht="12.75" x14ac:dyDescent="0.2">
      <c r="R58722" s="1288"/>
    </row>
    <row r="58723" spans="18:18" s="2" customFormat="1" ht="12.75" x14ac:dyDescent="0.2">
      <c r="R58723" s="1288"/>
    </row>
    <row r="58724" spans="18:18" s="2" customFormat="1" ht="12.75" x14ac:dyDescent="0.2">
      <c r="R58724" s="1288"/>
    </row>
    <row r="58725" spans="18:18" s="2" customFormat="1" ht="12.75" x14ac:dyDescent="0.2">
      <c r="R58725" s="1288"/>
    </row>
    <row r="58726" spans="18:18" s="2" customFormat="1" ht="12.75" x14ac:dyDescent="0.2">
      <c r="R58726" s="1288"/>
    </row>
    <row r="58727" spans="18:18" s="2" customFormat="1" ht="12.75" x14ac:dyDescent="0.2">
      <c r="R58727" s="1288"/>
    </row>
    <row r="58728" spans="18:18" s="2" customFormat="1" ht="12.75" x14ac:dyDescent="0.2">
      <c r="R58728" s="1288"/>
    </row>
    <row r="58729" spans="18:18" s="2" customFormat="1" ht="12.75" x14ac:dyDescent="0.2">
      <c r="R58729" s="1288"/>
    </row>
    <row r="58730" spans="18:18" s="2" customFormat="1" ht="12.75" x14ac:dyDescent="0.2">
      <c r="R58730" s="1288"/>
    </row>
    <row r="58731" spans="18:18" s="2" customFormat="1" ht="12.75" x14ac:dyDescent="0.2">
      <c r="R58731" s="1288"/>
    </row>
    <row r="58732" spans="18:18" s="2" customFormat="1" ht="12.75" x14ac:dyDescent="0.2">
      <c r="R58732" s="1288"/>
    </row>
    <row r="58733" spans="18:18" s="2" customFormat="1" ht="12.75" x14ac:dyDescent="0.2">
      <c r="R58733" s="1288"/>
    </row>
    <row r="58734" spans="18:18" s="2" customFormat="1" ht="12.75" x14ac:dyDescent="0.2">
      <c r="R58734" s="1288"/>
    </row>
    <row r="58735" spans="18:18" s="2" customFormat="1" ht="12.75" x14ac:dyDescent="0.2">
      <c r="R58735" s="1288"/>
    </row>
    <row r="58736" spans="18:18" s="2" customFormat="1" ht="12.75" x14ac:dyDescent="0.2">
      <c r="R58736" s="1288"/>
    </row>
    <row r="58737" spans="18:18" s="2" customFormat="1" ht="12.75" x14ac:dyDescent="0.2">
      <c r="R58737" s="1288"/>
    </row>
    <row r="58738" spans="18:18" s="2" customFormat="1" ht="12.75" x14ac:dyDescent="0.2">
      <c r="R58738" s="1288"/>
    </row>
    <row r="58739" spans="18:18" s="2" customFormat="1" ht="12.75" x14ac:dyDescent="0.2">
      <c r="R58739" s="1288"/>
    </row>
    <row r="58740" spans="18:18" s="2" customFormat="1" ht="12.75" x14ac:dyDescent="0.2">
      <c r="R58740" s="1288"/>
    </row>
    <row r="58741" spans="18:18" s="2" customFormat="1" ht="12.75" x14ac:dyDescent="0.2">
      <c r="R58741" s="1288"/>
    </row>
    <row r="58742" spans="18:18" s="2" customFormat="1" ht="12.75" x14ac:dyDescent="0.2">
      <c r="R58742" s="1288"/>
    </row>
    <row r="58743" spans="18:18" s="2" customFormat="1" ht="12.75" x14ac:dyDescent="0.2">
      <c r="R58743" s="1288"/>
    </row>
    <row r="58744" spans="18:18" s="2" customFormat="1" ht="12.75" x14ac:dyDescent="0.2">
      <c r="R58744" s="1288"/>
    </row>
    <row r="58745" spans="18:18" s="2" customFormat="1" ht="12.75" x14ac:dyDescent="0.2">
      <c r="R58745" s="1288"/>
    </row>
    <row r="58746" spans="18:18" s="2" customFormat="1" ht="12.75" x14ac:dyDescent="0.2">
      <c r="R58746" s="1288"/>
    </row>
    <row r="58747" spans="18:18" s="2" customFormat="1" ht="12.75" x14ac:dyDescent="0.2">
      <c r="R58747" s="1288"/>
    </row>
    <row r="58748" spans="18:18" s="2" customFormat="1" ht="12.75" x14ac:dyDescent="0.2">
      <c r="R58748" s="1288"/>
    </row>
    <row r="58749" spans="18:18" s="2" customFormat="1" ht="12.75" x14ac:dyDescent="0.2">
      <c r="R58749" s="1288"/>
    </row>
    <row r="58750" spans="18:18" s="2" customFormat="1" ht="12.75" x14ac:dyDescent="0.2">
      <c r="R58750" s="1288"/>
    </row>
    <row r="58751" spans="18:18" s="2" customFormat="1" ht="12.75" x14ac:dyDescent="0.2">
      <c r="R58751" s="1288"/>
    </row>
    <row r="58752" spans="18:18" s="2" customFormat="1" ht="12.75" x14ac:dyDescent="0.2">
      <c r="R58752" s="1288"/>
    </row>
    <row r="58753" spans="18:18" s="2" customFormat="1" ht="12.75" x14ac:dyDescent="0.2">
      <c r="R58753" s="1288"/>
    </row>
    <row r="58754" spans="18:18" s="2" customFormat="1" ht="12.75" x14ac:dyDescent="0.2">
      <c r="R58754" s="1288"/>
    </row>
    <row r="58755" spans="18:18" s="2" customFormat="1" ht="12.75" x14ac:dyDescent="0.2">
      <c r="R58755" s="1288"/>
    </row>
    <row r="58756" spans="18:18" s="2" customFormat="1" ht="12.75" x14ac:dyDescent="0.2">
      <c r="R58756" s="1288"/>
    </row>
    <row r="58757" spans="18:18" s="2" customFormat="1" ht="12.75" x14ac:dyDescent="0.2">
      <c r="R58757" s="1288"/>
    </row>
    <row r="58758" spans="18:18" s="2" customFormat="1" ht="12.75" x14ac:dyDescent="0.2">
      <c r="R58758" s="1288"/>
    </row>
    <row r="58759" spans="18:18" s="2" customFormat="1" ht="12.75" x14ac:dyDescent="0.2">
      <c r="R58759" s="1288"/>
    </row>
    <row r="58760" spans="18:18" s="2" customFormat="1" ht="12.75" x14ac:dyDescent="0.2">
      <c r="R58760" s="1288"/>
    </row>
    <row r="58761" spans="18:18" s="2" customFormat="1" ht="12.75" x14ac:dyDescent="0.2">
      <c r="R58761" s="1288"/>
    </row>
    <row r="58762" spans="18:18" s="2" customFormat="1" ht="12.75" x14ac:dyDescent="0.2">
      <c r="R58762" s="1288"/>
    </row>
    <row r="58763" spans="18:18" s="2" customFormat="1" ht="12.75" x14ac:dyDescent="0.2">
      <c r="R58763" s="1288"/>
    </row>
    <row r="58764" spans="18:18" s="2" customFormat="1" ht="12.75" x14ac:dyDescent="0.2">
      <c r="R58764" s="1288"/>
    </row>
    <row r="58765" spans="18:18" s="2" customFormat="1" ht="12.75" x14ac:dyDescent="0.2">
      <c r="R58765" s="1288"/>
    </row>
    <row r="58766" spans="18:18" s="2" customFormat="1" ht="12.75" x14ac:dyDescent="0.2">
      <c r="R58766" s="1288"/>
    </row>
    <row r="58767" spans="18:18" s="2" customFormat="1" ht="12.75" x14ac:dyDescent="0.2">
      <c r="R58767" s="1288"/>
    </row>
    <row r="58768" spans="18:18" s="2" customFormat="1" ht="12.75" x14ac:dyDescent="0.2">
      <c r="R58768" s="1288"/>
    </row>
    <row r="58769" spans="18:18" s="2" customFormat="1" ht="12.75" x14ac:dyDescent="0.2">
      <c r="R58769" s="1288"/>
    </row>
    <row r="58770" spans="18:18" s="2" customFormat="1" ht="12.75" x14ac:dyDescent="0.2">
      <c r="R58770" s="1288"/>
    </row>
    <row r="58771" spans="18:18" s="2" customFormat="1" ht="12.75" x14ac:dyDescent="0.2">
      <c r="R58771" s="1288"/>
    </row>
    <row r="58772" spans="18:18" s="2" customFormat="1" ht="12.75" x14ac:dyDescent="0.2">
      <c r="R58772" s="1288"/>
    </row>
    <row r="58773" spans="18:18" s="2" customFormat="1" ht="12.75" x14ac:dyDescent="0.2">
      <c r="R58773" s="1288"/>
    </row>
    <row r="58774" spans="18:18" s="2" customFormat="1" ht="12.75" x14ac:dyDescent="0.2">
      <c r="R58774" s="1288"/>
    </row>
    <row r="58775" spans="18:18" s="2" customFormat="1" ht="12.75" x14ac:dyDescent="0.2">
      <c r="R58775" s="1288"/>
    </row>
    <row r="58776" spans="18:18" s="2" customFormat="1" ht="12.75" x14ac:dyDescent="0.2">
      <c r="R58776" s="1288"/>
    </row>
    <row r="58777" spans="18:18" s="2" customFormat="1" ht="12.75" x14ac:dyDescent="0.2">
      <c r="R58777" s="1288"/>
    </row>
    <row r="58778" spans="18:18" s="2" customFormat="1" ht="12.75" x14ac:dyDescent="0.2">
      <c r="R58778" s="1288"/>
    </row>
    <row r="58779" spans="18:18" s="2" customFormat="1" ht="12.75" x14ac:dyDescent="0.2">
      <c r="R58779" s="1288"/>
    </row>
    <row r="58780" spans="18:18" s="2" customFormat="1" ht="12.75" x14ac:dyDescent="0.2">
      <c r="R58780" s="1288"/>
    </row>
    <row r="58781" spans="18:18" s="2" customFormat="1" ht="12.75" x14ac:dyDescent="0.2">
      <c r="R58781" s="1288"/>
    </row>
    <row r="58782" spans="18:18" s="2" customFormat="1" ht="12.75" x14ac:dyDescent="0.2">
      <c r="R58782" s="1288"/>
    </row>
    <row r="58783" spans="18:18" s="2" customFormat="1" ht="12.75" x14ac:dyDescent="0.2">
      <c r="R58783" s="1288"/>
    </row>
    <row r="58784" spans="18:18" s="2" customFormat="1" ht="12.75" x14ac:dyDescent="0.2">
      <c r="R58784" s="1288"/>
    </row>
    <row r="58785" spans="18:18" s="2" customFormat="1" ht="12.75" x14ac:dyDescent="0.2">
      <c r="R58785" s="1288"/>
    </row>
    <row r="58786" spans="18:18" s="2" customFormat="1" ht="12.75" x14ac:dyDescent="0.2">
      <c r="R58786" s="1288"/>
    </row>
    <row r="58787" spans="18:18" s="2" customFormat="1" ht="12.75" x14ac:dyDescent="0.2">
      <c r="R58787" s="1288"/>
    </row>
    <row r="58788" spans="18:18" s="2" customFormat="1" ht="12.75" x14ac:dyDescent="0.2">
      <c r="R58788" s="1288"/>
    </row>
    <row r="58789" spans="18:18" s="2" customFormat="1" ht="12.75" x14ac:dyDescent="0.2">
      <c r="R58789" s="1288"/>
    </row>
    <row r="58790" spans="18:18" s="2" customFormat="1" ht="12.75" x14ac:dyDescent="0.2">
      <c r="R58790" s="1288"/>
    </row>
    <row r="58791" spans="18:18" s="2" customFormat="1" ht="12.75" x14ac:dyDescent="0.2">
      <c r="R58791" s="1288"/>
    </row>
    <row r="58792" spans="18:18" s="2" customFormat="1" ht="12.75" x14ac:dyDescent="0.2">
      <c r="R58792" s="1288"/>
    </row>
    <row r="58793" spans="18:18" s="2" customFormat="1" ht="12.75" x14ac:dyDescent="0.2">
      <c r="R58793" s="1288"/>
    </row>
    <row r="58794" spans="18:18" s="2" customFormat="1" ht="12.75" x14ac:dyDescent="0.2">
      <c r="R58794" s="1288"/>
    </row>
    <row r="58795" spans="18:18" s="2" customFormat="1" ht="12.75" x14ac:dyDescent="0.2">
      <c r="R58795" s="1288"/>
    </row>
    <row r="58796" spans="18:18" s="2" customFormat="1" ht="12.75" x14ac:dyDescent="0.2">
      <c r="R58796" s="1288"/>
    </row>
    <row r="58797" spans="18:18" s="2" customFormat="1" ht="12.75" x14ac:dyDescent="0.2">
      <c r="R58797" s="1288"/>
    </row>
    <row r="58798" spans="18:18" s="2" customFormat="1" ht="12.75" x14ac:dyDescent="0.2">
      <c r="R58798" s="1288"/>
    </row>
    <row r="58799" spans="18:18" s="2" customFormat="1" ht="12.75" x14ac:dyDescent="0.2">
      <c r="R58799" s="1288"/>
    </row>
    <row r="58800" spans="18:18" s="2" customFormat="1" ht="12.75" x14ac:dyDescent="0.2">
      <c r="R58800" s="1288"/>
    </row>
    <row r="58801" spans="18:18" s="2" customFormat="1" ht="12.75" x14ac:dyDescent="0.2">
      <c r="R58801" s="1288"/>
    </row>
    <row r="58802" spans="18:18" s="2" customFormat="1" ht="12.75" x14ac:dyDescent="0.2">
      <c r="R58802" s="1288"/>
    </row>
    <row r="58803" spans="18:18" s="2" customFormat="1" ht="12.75" x14ac:dyDescent="0.2">
      <c r="R58803" s="1288"/>
    </row>
    <row r="58804" spans="18:18" s="2" customFormat="1" ht="12.75" x14ac:dyDescent="0.2">
      <c r="R58804" s="1288"/>
    </row>
    <row r="58805" spans="18:18" s="2" customFormat="1" ht="12.75" x14ac:dyDescent="0.2">
      <c r="R58805" s="1288"/>
    </row>
    <row r="58806" spans="18:18" s="2" customFormat="1" ht="12.75" x14ac:dyDescent="0.2">
      <c r="R58806" s="1288"/>
    </row>
    <row r="58807" spans="18:18" s="2" customFormat="1" ht="12.75" x14ac:dyDescent="0.2">
      <c r="R58807" s="1288"/>
    </row>
    <row r="58808" spans="18:18" s="2" customFormat="1" ht="12.75" x14ac:dyDescent="0.2">
      <c r="R58808" s="1288"/>
    </row>
    <row r="58809" spans="18:18" s="2" customFormat="1" ht="12.75" x14ac:dyDescent="0.2">
      <c r="R58809" s="1288"/>
    </row>
    <row r="58810" spans="18:18" s="2" customFormat="1" ht="12.75" x14ac:dyDescent="0.2">
      <c r="R58810" s="1288"/>
    </row>
    <row r="58811" spans="18:18" s="2" customFormat="1" ht="12.75" x14ac:dyDescent="0.2">
      <c r="R58811" s="1288"/>
    </row>
    <row r="58812" spans="18:18" s="2" customFormat="1" ht="12.75" x14ac:dyDescent="0.2">
      <c r="R58812" s="1288"/>
    </row>
    <row r="58813" spans="18:18" s="2" customFormat="1" ht="12.75" x14ac:dyDescent="0.2">
      <c r="R58813" s="1288"/>
    </row>
    <row r="58814" spans="18:18" s="2" customFormat="1" ht="12.75" x14ac:dyDescent="0.2">
      <c r="R58814" s="1288"/>
    </row>
    <row r="58815" spans="18:18" s="2" customFormat="1" ht="12.75" x14ac:dyDescent="0.2">
      <c r="R58815" s="1288"/>
    </row>
    <row r="58816" spans="18:18" s="2" customFormat="1" ht="12.75" x14ac:dyDescent="0.2">
      <c r="R58816" s="1288"/>
    </row>
    <row r="58817" spans="18:18" s="2" customFormat="1" ht="12.75" x14ac:dyDescent="0.2">
      <c r="R58817" s="1288"/>
    </row>
    <row r="58818" spans="18:18" s="2" customFormat="1" ht="12.75" x14ac:dyDescent="0.2">
      <c r="R58818" s="1288"/>
    </row>
    <row r="58819" spans="18:18" s="2" customFormat="1" ht="12.75" x14ac:dyDescent="0.2">
      <c r="R58819" s="1288"/>
    </row>
    <row r="58820" spans="18:18" s="2" customFormat="1" ht="12.75" x14ac:dyDescent="0.2">
      <c r="R58820" s="1288"/>
    </row>
    <row r="58821" spans="18:18" s="2" customFormat="1" ht="12.75" x14ac:dyDescent="0.2">
      <c r="R58821" s="1288"/>
    </row>
    <row r="58822" spans="18:18" s="2" customFormat="1" ht="12.75" x14ac:dyDescent="0.2">
      <c r="R58822" s="1288"/>
    </row>
    <row r="58823" spans="18:18" s="2" customFormat="1" ht="12.75" x14ac:dyDescent="0.2">
      <c r="R58823" s="1288"/>
    </row>
    <row r="58824" spans="18:18" s="2" customFormat="1" ht="12.75" x14ac:dyDescent="0.2">
      <c r="R58824" s="1288"/>
    </row>
    <row r="58825" spans="18:18" s="2" customFormat="1" ht="12.75" x14ac:dyDescent="0.2">
      <c r="R58825" s="1288"/>
    </row>
    <row r="58826" spans="18:18" s="2" customFormat="1" ht="12.75" x14ac:dyDescent="0.2">
      <c r="R58826" s="1288"/>
    </row>
    <row r="58827" spans="18:18" s="2" customFormat="1" ht="12.75" x14ac:dyDescent="0.2">
      <c r="R58827" s="1288"/>
    </row>
    <row r="58828" spans="18:18" s="2" customFormat="1" ht="12.75" x14ac:dyDescent="0.2">
      <c r="R58828" s="1288"/>
    </row>
    <row r="58829" spans="18:18" s="2" customFormat="1" ht="12.75" x14ac:dyDescent="0.2">
      <c r="R58829" s="1288"/>
    </row>
    <row r="58830" spans="18:18" s="2" customFormat="1" ht="12.75" x14ac:dyDescent="0.2">
      <c r="R58830" s="1288"/>
    </row>
    <row r="58831" spans="18:18" s="2" customFormat="1" ht="12.75" x14ac:dyDescent="0.2">
      <c r="R58831" s="1288"/>
    </row>
    <row r="58832" spans="18:18" s="2" customFormat="1" ht="12.75" x14ac:dyDescent="0.2">
      <c r="R58832" s="1288"/>
    </row>
    <row r="58833" spans="18:18" s="2" customFormat="1" ht="12.75" x14ac:dyDescent="0.2">
      <c r="R58833" s="1288"/>
    </row>
    <row r="58834" spans="18:18" s="2" customFormat="1" ht="12.75" x14ac:dyDescent="0.2">
      <c r="R58834" s="1288"/>
    </row>
    <row r="58835" spans="18:18" s="2" customFormat="1" ht="12.75" x14ac:dyDescent="0.2">
      <c r="R58835" s="1288"/>
    </row>
    <row r="58836" spans="18:18" s="2" customFormat="1" ht="12.75" x14ac:dyDescent="0.2">
      <c r="R58836" s="1288"/>
    </row>
    <row r="58837" spans="18:18" s="2" customFormat="1" ht="12.75" x14ac:dyDescent="0.2">
      <c r="R58837" s="1288"/>
    </row>
    <row r="58838" spans="18:18" s="2" customFormat="1" ht="12.75" x14ac:dyDescent="0.2">
      <c r="R58838" s="1288"/>
    </row>
    <row r="58839" spans="18:18" s="2" customFormat="1" ht="12.75" x14ac:dyDescent="0.2">
      <c r="R58839" s="1288"/>
    </row>
    <row r="58840" spans="18:18" s="2" customFormat="1" ht="12.75" x14ac:dyDescent="0.2">
      <c r="R58840" s="1288"/>
    </row>
    <row r="58841" spans="18:18" s="2" customFormat="1" ht="12.75" x14ac:dyDescent="0.2">
      <c r="R58841" s="1288"/>
    </row>
    <row r="58842" spans="18:18" s="2" customFormat="1" ht="12.75" x14ac:dyDescent="0.2">
      <c r="R58842" s="1288"/>
    </row>
    <row r="58843" spans="18:18" s="2" customFormat="1" ht="12.75" x14ac:dyDescent="0.2">
      <c r="R58843" s="1288"/>
    </row>
    <row r="58844" spans="18:18" s="2" customFormat="1" ht="12.75" x14ac:dyDescent="0.2">
      <c r="R58844" s="1288"/>
    </row>
    <row r="58845" spans="18:18" s="2" customFormat="1" ht="12.75" x14ac:dyDescent="0.2">
      <c r="R58845" s="1288"/>
    </row>
    <row r="58846" spans="18:18" s="2" customFormat="1" ht="12.75" x14ac:dyDescent="0.2">
      <c r="R58846" s="1288"/>
    </row>
    <row r="58847" spans="18:18" s="2" customFormat="1" ht="12.75" x14ac:dyDescent="0.2">
      <c r="R58847" s="1288"/>
    </row>
    <row r="58848" spans="18:18" s="2" customFormat="1" ht="12.75" x14ac:dyDescent="0.2">
      <c r="R58848" s="1288"/>
    </row>
    <row r="58849" spans="18:18" s="2" customFormat="1" ht="12.75" x14ac:dyDescent="0.2">
      <c r="R58849" s="1288"/>
    </row>
    <row r="58850" spans="18:18" s="2" customFormat="1" ht="12.75" x14ac:dyDescent="0.2">
      <c r="R58850" s="1288"/>
    </row>
    <row r="58851" spans="18:18" s="2" customFormat="1" ht="12.75" x14ac:dyDescent="0.2">
      <c r="R58851" s="1288"/>
    </row>
    <row r="58852" spans="18:18" s="2" customFormat="1" ht="12.75" x14ac:dyDescent="0.2">
      <c r="R58852" s="1288"/>
    </row>
    <row r="58853" spans="18:18" s="2" customFormat="1" ht="12.75" x14ac:dyDescent="0.2">
      <c r="R58853" s="1288"/>
    </row>
    <row r="58854" spans="18:18" s="2" customFormat="1" ht="12.75" x14ac:dyDescent="0.2">
      <c r="R58854" s="1288"/>
    </row>
    <row r="58855" spans="18:18" s="2" customFormat="1" ht="12.75" x14ac:dyDescent="0.2">
      <c r="R58855" s="1288"/>
    </row>
    <row r="58856" spans="18:18" s="2" customFormat="1" ht="12.75" x14ac:dyDescent="0.2">
      <c r="R58856" s="1288"/>
    </row>
    <row r="58857" spans="18:18" s="2" customFormat="1" ht="12.75" x14ac:dyDescent="0.2">
      <c r="R58857" s="1288"/>
    </row>
    <row r="58858" spans="18:18" s="2" customFormat="1" ht="12.75" x14ac:dyDescent="0.2">
      <c r="R58858" s="1288"/>
    </row>
    <row r="58859" spans="18:18" s="2" customFormat="1" ht="12.75" x14ac:dyDescent="0.2">
      <c r="R58859" s="1288"/>
    </row>
    <row r="58860" spans="18:18" s="2" customFormat="1" ht="12.75" x14ac:dyDescent="0.2">
      <c r="R58860" s="1288"/>
    </row>
    <row r="58861" spans="18:18" s="2" customFormat="1" ht="12.75" x14ac:dyDescent="0.2">
      <c r="R58861" s="1288"/>
    </row>
    <row r="58862" spans="18:18" s="2" customFormat="1" ht="12.75" x14ac:dyDescent="0.2">
      <c r="R58862" s="1288"/>
    </row>
    <row r="58863" spans="18:18" s="2" customFormat="1" ht="12.75" x14ac:dyDescent="0.2">
      <c r="R58863" s="1288"/>
    </row>
    <row r="58864" spans="18:18" s="2" customFormat="1" ht="12.75" x14ac:dyDescent="0.2">
      <c r="R58864" s="1288"/>
    </row>
    <row r="58865" spans="18:18" s="2" customFormat="1" ht="12.75" x14ac:dyDescent="0.2">
      <c r="R58865" s="1288"/>
    </row>
    <row r="58866" spans="18:18" s="2" customFormat="1" ht="12.75" x14ac:dyDescent="0.2">
      <c r="R58866" s="1288"/>
    </row>
    <row r="58867" spans="18:18" s="2" customFormat="1" ht="12.75" x14ac:dyDescent="0.2">
      <c r="R58867" s="1288"/>
    </row>
    <row r="58868" spans="18:18" s="2" customFormat="1" ht="12.75" x14ac:dyDescent="0.2">
      <c r="R58868" s="1288"/>
    </row>
    <row r="58869" spans="18:18" s="2" customFormat="1" ht="12.75" x14ac:dyDescent="0.2">
      <c r="R58869" s="1288"/>
    </row>
    <row r="58870" spans="18:18" s="2" customFormat="1" ht="12.75" x14ac:dyDescent="0.2">
      <c r="R58870" s="1288"/>
    </row>
    <row r="58871" spans="18:18" s="2" customFormat="1" ht="12.75" x14ac:dyDescent="0.2">
      <c r="R58871" s="1288"/>
    </row>
    <row r="58872" spans="18:18" s="2" customFormat="1" ht="12.75" x14ac:dyDescent="0.2">
      <c r="R58872" s="1288"/>
    </row>
    <row r="58873" spans="18:18" s="2" customFormat="1" ht="12.75" x14ac:dyDescent="0.2">
      <c r="R58873" s="1288"/>
    </row>
    <row r="58874" spans="18:18" s="2" customFormat="1" ht="12.75" x14ac:dyDescent="0.2">
      <c r="R58874" s="1288"/>
    </row>
    <row r="58875" spans="18:18" s="2" customFormat="1" ht="12.75" x14ac:dyDescent="0.2">
      <c r="R58875" s="1288"/>
    </row>
    <row r="58876" spans="18:18" s="2" customFormat="1" ht="12.75" x14ac:dyDescent="0.2">
      <c r="R58876" s="1288"/>
    </row>
    <row r="58877" spans="18:18" s="2" customFormat="1" ht="12.75" x14ac:dyDescent="0.2">
      <c r="R58877" s="1288"/>
    </row>
    <row r="58878" spans="18:18" s="2" customFormat="1" ht="12.75" x14ac:dyDescent="0.2">
      <c r="R58878" s="1288"/>
    </row>
    <row r="58879" spans="18:18" s="2" customFormat="1" ht="12.75" x14ac:dyDescent="0.2">
      <c r="R58879" s="1288"/>
    </row>
    <row r="58880" spans="18:18" s="2" customFormat="1" ht="12.75" x14ac:dyDescent="0.2">
      <c r="R58880" s="1288"/>
    </row>
    <row r="58881" spans="18:18" s="2" customFormat="1" ht="12.75" x14ac:dyDescent="0.2">
      <c r="R58881" s="1288"/>
    </row>
    <row r="58882" spans="18:18" s="2" customFormat="1" ht="12.75" x14ac:dyDescent="0.2">
      <c r="R58882" s="1288"/>
    </row>
    <row r="58883" spans="18:18" s="2" customFormat="1" ht="12.75" x14ac:dyDescent="0.2">
      <c r="R58883" s="1288"/>
    </row>
    <row r="58884" spans="18:18" s="2" customFormat="1" ht="12.75" x14ac:dyDescent="0.2">
      <c r="R58884" s="1288"/>
    </row>
    <row r="58885" spans="18:18" s="2" customFormat="1" ht="12.75" x14ac:dyDescent="0.2">
      <c r="R58885" s="1288"/>
    </row>
    <row r="58886" spans="18:18" s="2" customFormat="1" ht="12.75" x14ac:dyDescent="0.2">
      <c r="R58886" s="1288"/>
    </row>
    <row r="58887" spans="18:18" s="2" customFormat="1" ht="12.75" x14ac:dyDescent="0.2">
      <c r="R58887" s="1288"/>
    </row>
    <row r="58888" spans="18:18" s="2" customFormat="1" ht="12.75" x14ac:dyDescent="0.2">
      <c r="R58888" s="1288"/>
    </row>
    <row r="58889" spans="18:18" s="2" customFormat="1" ht="12.75" x14ac:dyDescent="0.2">
      <c r="R58889" s="1288"/>
    </row>
    <row r="58890" spans="18:18" s="2" customFormat="1" ht="12.75" x14ac:dyDescent="0.2">
      <c r="R58890" s="1288"/>
    </row>
    <row r="58891" spans="18:18" s="2" customFormat="1" ht="12.75" x14ac:dyDescent="0.2">
      <c r="R58891" s="1288"/>
    </row>
    <row r="58892" spans="18:18" s="2" customFormat="1" ht="12.75" x14ac:dyDescent="0.2">
      <c r="R58892" s="1288"/>
    </row>
    <row r="58893" spans="18:18" s="2" customFormat="1" ht="12.75" x14ac:dyDescent="0.2">
      <c r="R58893" s="1288"/>
    </row>
    <row r="58894" spans="18:18" s="2" customFormat="1" ht="12.75" x14ac:dyDescent="0.2">
      <c r="R58894" s="1288"/>
    </row>
    <row r="58895" spans="18:18" s="2" customFormat="1" ht="12.75" x14ac:dyDescent="0.2">
      <c r="R58895" s="1288"/>
    </row>
    <row r="58896" spans="18:18" s="2" customFormat="1" ht="12.75" x14ac:dyDescent="0.2">
      <c r="R58896" s="1288"/>
    </row>
    <row r="58897" spans="18:18" s="2" customFormat="1" ht="12.75" x14ac:dyDescent="0.2">
      <c r="R58897" s="1288"/>
    </row>
    <row r="58898" spans="18:18" s="2" customFormat="1" ht="12.75" x14ac:dyDescent="0.2">
      <c r="R58898" s="1288"/>
    </row>
    <row r="58899" spans="18:18" s="2" customFormat="1" ht="12.75" x14ac:dyDescent="0.2">
      <c r="R58899" s="1288"/>
    </row>
    <row r="58900" spans="18:18" s="2" customFormat="1" ht="12.75" x14ac:dyDescent="0.2">
      <c r="R58900" s="1288"/>
    </row>
    <row r="58901" spans="18:18" s="2" customFormat="1" ht="12.75" x14ac:dyDescent="0.2">
      <c r="R58901" s="1288"/>
    </row>
    <row r="58902" spans="18:18" s="2" customFormat="1" ht="12.75" x14ac:dyDescent="0.2">
      <c r="R58902" s="1288"/>
    </row>
    <row r="58903" spans="18:18" s="2" customFormat="1" ht="12.75" x14ac:dyDescent="0.2">
      <c r="R58903" s="1288"/>
    </row>
    <row r="58904" spans="18:18" s="2" customFormat="1" ht="12.75" x14ac:dyDescent="0.2">
      <c r="R58904" s="1288"/>
    </row>
    <row r="58905" spans="18:18" s="2" customFormat="1" ht="12.75" x14ac:dyDescent="0.2">
      <c r="R58905" s="1288"/>
    </row>
    <row r="58906" spans="18:18" s="2" customFormat="1" ht="12.75" x14ac:dyDescent="0.2">
      <c r="R58906" s="1288"/>
    </row>
    <row r="58907" spans="18:18" s="2" customFormat="1" ht="12.75" x14ac:dyDescent="0.2">
      <c r="R58907" s="1288"/>
    </row>
    <row r="58908" spans="18:18" s="2" customFormat="1" ht="12.75" x14ac:dyDescent="0.2">
      <c r="R58908" s="1288"/>
    </row>
    <row r="58909" spans="18:18" s="2" customFormat="1" ht="12.75" x14ac:dyDescent="0.2">
      <c r="R58909" s="1288"/>
    </row>
    <row r="58910" spans="18:18" s="2" customFormat="1" ht="12.75" x14ac:dyDescent="0.2">
      <c r="R58910" s="1288"/>
    </row>
    <row r="58911" spans="18:18" s="2" customFormat="1" ht="12.75" x14ac:dyDescent="0.2">
      <c r="R58911" s="1288"/>
    </row>
    <row r="58912" spans="18:18" s="2" customFormat="1" ht="12.75" x14ac:dyDescent="0.2">
      <c r="R58912" s="1288"/>
    </row>
    <row r="58913" spans="18:18" s="2" customFormat="1" ht="12.75" x14ac:dyDescent="0.2">
      <c r="R58913" s="1288"/>
    </row>
    <row r="58914" spans="18:18" s="2" customFormat="1" ht="12.75" x14ac:dyDescent="0.2">
      <c r="R58914" s="1288"/>
    </row>
    <row r="58915" spans="18:18" s="2" customFormat="1" ht="12.75" x14ac:dyDescent="0.2">
      <c r="R58915" s="1288"/>
    </row>
    <row r="58916" spans="18:18" s="2" customFormat="1" ht="12.75" x14ac:dyDescent="0.2">
      <c r="R58916" s="1288"/>
    </row>
    <row r="58917" spans="18:18" s="2" customFormat="1" ht="12.75" x14ac:dyDescent="0.2">
      <c r="R58917" s="1288"/>
    </row>
    <row r="58918" spans="18:18" s="2" customFormat="1" ht="12.75" x14ac:dyDescent="0.2">
      <c r="R58918" s="1288"/>
    </row>
    <row r="58919" spans="18:18" s="2" customFormat="1" ht="12.75" x14ac:dyDescent="0.2">
      <c r="R58919" s="1288"/>
    </row>
    <row r="58920" spans="18:18" s="2" customFormat="1" ht="12.75" x14ac:dyDescent="0.2">
      <c r="R58920" s="1288"/>
    </row>
    <row r="58921" spans="18:18" s="2" customFormat="1" ht="12.75" x14ac:dyDescent="0.2">
      <c r="R58921" s="1288"/>
    </row>
    <row r="58922" spans="18:18" s="2" customFormat="1" ht="12.75" x14ac:dyDescent="0.2">
      <c r="R58922" s="1288"/>
    </row>
    <row r="58923" spans="18:18" s="2" customFormat="1" ht="12.75" x14ac:dyDescent="0.2">
      <c r="R58923" s="1288"/>
    </row>
    <row r="58924" spans="18:18" s="2" customFormat="1" ht="12.75" x14ac:dyDescent="0.2">
      <c r="R58924" s="1288"/>
    </row>
    <row r="58925" spans="18:18" s="2" customFormat="1" ht="12.75" x14ac:dyDescent="0.2">
      <c r="R58925" s="1288"/>
    </row>
    <row r="58926" spans="18:18" s="2" customFormat="1" ht="12.75" x14ac:dyDescent="0.2">
      <c r="R58926" s="1288"/>
    </row>
    <row r="58927" spans="18:18" s="2" customFormat="1" ht="12.75" x14ac:dyDescent="0.2">
      <c r="R58927" s="1288"/>
    </row>
    <row r="58928" spans="18:18" s="2" customFormat="1" ht="12.75" x14ac:dyDescent="0.2">
      <c r="R58928" s="1288"/>
    </row>
    <row r="58929" spans="18:18" s="2" customFormat="1" ht="12.75" x14ac:dyDescent="0.2">
      <c r="R58929" s="1288"/>
    </row>
    <row r="58930" spans="18:18" s="2" customFormat="1" ht="12.75" x14ac:dyDescent="0.2">
      <c r="R58930" s="1288"/>
    </row>
    <row r="58931" spans="18:18" s="2" customFormat="1" ht="12.75" x14ac:dyDescent="0.2">
      <c r="R58931" s="1288"/>
    </row>
    <row r="58932" spans="18:18" s="2" customFormat="1" ht="12.75" x14ac:dyDescent="0.2">
      <c r="R58932" s="1288"/>
    </row>
    <row r="58933" spans="18:18" s="2" customFormat="1" ht="12.75" x14ac:dyDescent="0.2">
      <c r="R58933" s="1288"/>
    </row>
    <row r="58934" spans="18:18" s="2" customFormat="1" ht="12.75" x14ac:dyDescent="0.2">
      <c r="R58934" s="1288"/>
    </row>
    <row r="58935" spans="18:18" s="2" customFormat="1" ht="12.75" x14ac:dyDescent="0.2">
      <c r="R58935" s="1288"/>
    </row>
    <row r="58936" spans="18:18" s="2" customFormat="1" ht="12.75" x14ac:dyDescent="0.2">
      <c r="R58936" s="1288"/>
    </row>
    <row r="58937" spans="18:18" s="2" customFormat="1" ht="12.75" x14ac:dyDescent="0.2">
      <c r="R58937" s="1288"/>
    </row>
    <row r="58938" spans="18:18" s="2" customFormat="1" ht="12.75" x14ac:dyDescent="0.2">
      <c r="R58938" s="1288"/>
    </row>
    <row r="58939" spans="18:18" s="2" customFormat="1" ht="12.75" x14ac:dyDescent="0.2">
      <c r="R58939" s="1288"/>
    </row>
    <row r="58940" spans="18:18" s="2" customFormat="1" ht="12.75" x14ac:dyDescent="0.2">
      <c r="R58940" s="1288"/>
    </row>
    <row r="58941" spans="18:18" s="2" customFormat="1" ht="12.75" x14ac:dyDescent="0.2">
      <c r="R58941" s="1288"/>
    </row>
    <row r="58942" spans="18:18" s="2" customFormat="1" ht="12.75" x14ac:dyDescent="0.2">
      <c r="R58942" s="1288"/>
    </row>
    <row r="58943" spans="18:18" s="2" customFormat="1" ht="12.75" x14ac:dyDescent="0.2">
      <c r="R58943" s="1288"/>
    </row>
    <row r="58944" spans="18:18" s="2" customFormat="1" ht="12.75" x14ac:dyDescent="0.2">
      <c r="R58944" s="1288"/>
    </row>
    <row r="58945" spans="18:18" s="2" customFormat="1" ht="12.75" x14ac:dyDescent="0.2">
      <c r="R58945" s="1288"/>
    </row>
    <row r="58946" spans="18:18" s="2" customFormat="1" ht="12.75" x14ac:dyDescent="0.2">
      <c r="R58946" s="1288"/>
    </row>
    <row r="58947" spans="18:18" s="2" customFormat="1" ht="12.75" x14ac:dyDescent="0.2">
      <c r="R58947" s="1288"/>
    </row>
    <row r="58948" spans="18:18" s="2" customFormat="1" ht="12.75" x14ac:dyDescent="0.2">
      <c r="R58948" s="1288"/>
    </row>
    <row r="58949" spans="18:18" s="2" customFormat="1" ht="12.75" x14ac:dyDescent="0.2">
      <c r="R58949" s="1288"/>
    </row>
    <row r="58950" spans="18:18" s="2" customFormat="1" ht="12.75" x14ac:dyDescent="0.2">
      <c r="R58950" s="1288"/>
    </row>
    <row r="58951" spans="18:18" s="2" customFormat="1" ht="12.75" x14ac:dyDescent="0.2">
      <c r="R58951" s="1288"/>
    </row>
    <row r="58952" spans="18:18" s="2" customFormat="1" ht="12.75" x14ac:dyDescent="0.2">
      <c r="R58952" s="1288"/>
    </row>
    <row r="58953" spans="18:18" s="2" customFormat="1" ht="12.75" x14ac:dyDescent="0.2">
      <c r="R58953" s="1288"/>
    </row>
    <row r="58954" spans="18:18" s="2" customFormat="1" ht="12.75" x14ac:dyDescent="0.2">
      <c r="R58954" s="1288"/>
    </row>
    <row r="58955" spans="18:18" s="2" customFormat="1" ht="12.75" x14ac:dyDescent="0.2">
      <c r="R58955" s="1288"/>
    </row>
    <row r="58956" spans="18:18" s="2" customFormat="1" ht="12.75" x14ac:dyDescent="0.2">
      <c r="R58956" s="1288"/>
    </row>
    <row r="58957" spans="18:18" s="2" customFormat="1" ht="12.75" x14ac:dyDescent="0.2">
      <c r="R58957" s="1288"/>
    </row>
    <row r="58958" spans="18:18" s="2" customFormat="1" ht="12.75" x14ac:dyDescent="0.2">
      <c r="R58958" s="1288"/>
    </row>
    <row r="58959" spans="18:18" s="2" customFormat="1" ht="12.75" x14ac:dyDescent="0.2">
      <c r="R58959" s="1288"/>
    </row>
    <row r="58960" spans="18:18" s="2" customFormat="1" ht="12.75" x14ac:dyDescent="0.2">
      <c r="R58960" s="1288"/>
    </row>
    <row r="58961" spans="18:18" s="2" customFormat="1" ht="12.75" x14ac:dyDescent="0.2">
      <c r="R58961" s="1288"/>
    </row>
    <row r="58962" spans="18:18" s="2" customFormat="1" ht="12.75" x14ac:dyDescent="0.2">
      <c r="R58962" s="1288"/>
    </row>
    <row r="58963" spans="18:18" s="2" customFormat="1" ht="12.75" x14ac:dyDescent="0.2">
      <c r="R58963" s="1288"/>
    </row>
    <row r="58964" spans="18:18" s="2" customFormat="1" ht="12.75" x14ac:dyDescent="0.2">
      <c r="R58964" s="1288"/>
    </row>
    <row r="58965" spans="18:18" s="2" customFormat="1" ht="12.75" x14ac:dyDescent="0.2">
      <c r="R58965" s="1288"/>
    </row>
    <row r="58966" spans="18:18" s="2" customFormat="1" ht="12.75" x14ac:dyDescent="0.2">
      <c r="R58966" s="1288"/>
    </row>
    <row r="58967" spans="18:18" s="2" customFormat="1" ht="12.75" x14ac:dyDescent="0.2">
      <c r="R58967" s="1288"/>
    </row>
    <row r="58968" spans="18:18" s="2" customFormat="1" ht="12.75" x14ac:dyDescent="0.2">
      <c r="R58968" s="1288"/>
    </row>
    <row r="58969" spans="18:18" s="2" customFormat="1" ht="12.75" x14ac:dyDescent="0.2">
      <c r="R58969" s="1288"/>
    </row>
    <row r="58970" spans="18:18" s="2" customFormat="1" ht="12.75" x14ac:dyDescent="0.2">
      <c r="R58970" s="1288"/>
    </row>
    <row r="58971" spans="18:18" s="2" customFormat="1" ht="12.75" x14ac:dyDescent="0.2">
      <c r="R58971" s="1288"/>
    </row>
    <row r="58972" spans="18:18" s="2" customFormat="1" ht="12.75" x14ac:dyDescent="0.2">
      <c r="R58972" s="1288"/>
    </row>
    <row r="58973" spans="18:18" s="2" customFormat="1" ht="12.75" x14ac:dyDescent="0.2">
      <c r="R58973" s="1288"/>
    </row>
    <row r="58974" spans="18:18" s="2" customFormat="1" ht="12.75" x14ac:dyDescent="0.2">
      <c r="R58974" s="1288"/>
    </row>
    <row r="58975" spans="18:18" s="2" customFormat="1" ht="12.75" x14ac:dyDescent="0.2">
      <c r="R58975" s="1288"/>
    </row>
    <row r="58976" spans="18:18" s="2" customFormat="1" ht="12.75" x14ac:dyDescent="0.2">
      <c r="R58976" s="1288"/>
    </row>
    <row r="58977" spans="18:18" s="2" customFormat="1" ht="12.75" x14ac:dyDescent="0.2">
      <c r="R58977" s="1288"/>
    </row>
    <row r="58978" spans="18:18" s="2" customFormat="1" ht="12.75" x14ac:dyDescent="0.2">
      <c r="R58978" s="1288"/>
    </row>
    <row r="58979" spans="18:18" s="2" customFormat="1" ht="12.75" x14ac:dyDescent="0.2">
      <c r="R58979" s="1288"/>
    </row>
    <row r="58980" spans="18:18" s="2" customFormat="1" ht="12.75" x14ac:dyDescent="0.2">
      <c r="R58980" s="1288"/>
    </row>
    <row r="58981" spans="18:18" s="2" customFormat="1" ht="12.75" x14ac:dyDescent="0.2">
      <c r="R58981" s="1288"/>
    </row>
    <row r="58982" spans="18:18" s="2" customFormat="1" ht="12.75" x14ac:dyDescent="0.2">
      <c r="R58982" s="1288"/>
    </row>
    <row r="58983" spans="18:18" s="2" customFormat="1" ht="12.75" x14ac:dyDescent="0.2">
      <c r="R58983" s="1288"/>
    </row>
    <row r="58984" spans="18:18" s="2" customFormat="1" ht="12.75" x14ac:dyDescent="0.2">
      <c r="R58984" s="1288"/>
    </row>
    <row r="58985" spans="18:18" s="2" customFormat="1" ht="12.75" x14ac:dyDescent="0.2">
      <c r="R58985" s="1288"/>
    </row>
    <row r="58986" spans="18:18" s="2" customFormat="1" ht="12.75" x14ac:dyDescent="0.2">
      <c r="R58986" s="1288"/>
    </row>
    <row r="58987" spans="18:18" s="2" customFormat="1" ht="12.75" x14ac:dyDescent="0.2">
      <c r="R58987" s="1288"/>
    </row>
    <row r="58988" spans="18:18" s="2" customFormat="1" ht="12.75" x14ac:dyDescent="0.2">
      <c r="R58988" s="1288"/>
    </row>
    <row r="58989" spans="18:18" s="2" customFormat="1" ht="12.75" x14ac:dyDescent="0.2">
      <c r="R58989" s="1288"/>
    </row>
    <row r="58990" spans="18:18" s="2" customFormat="1" ht="12.75" x14ac:dyDescent="0.2">
      <c r="R58990" s="1288"/>
    </row>
    <row r="58991" spans="18:18" s="2" customFormat="1" ht="12.75" x14ac:dyDescent="0.2">
      <c r="R58991" s="1288"/>
    </row>
    <row r="58992" spans="18:18" s="2" customFormat="1" ht="12.75" x14ac:dyDescent="0.2">
      <c r="R58992" s="1288"/>
    </row>
    <row r="58993" spans="18:18" s="2" customFormat="1" ht="12.75" x14ac:dyDescent="0.2">
      <c r="R58993" s="1288"/>
    </row>
    <row r="58994" spans="18:18" s="2" customFormat="1" ht="12.75" x14ac:dyDescent="0.2">
      <c r="R58994" s="1288"/>
    </row>
    <row r="58995" spans="18:18" s="2" customFormat="1" ht="12.75" x14ac:dyDescent="0.2">
      <c r="R58995" s="1288"/>
    </row>
    <row r="58996" spans="18:18" s="2" customFormat="1" ht="12.75" x14ac:dyDescent="0.2">
      <c r="R58996" s="1288"/>
    </row>
    <row r="58997" spans="18:18" s="2" customFormat="1" ht="12.75" x14ac:dyDescent="0.2">
      <c r="R58997" s="1288"/>
    </row>
    <row r="58998" spans="18:18" s="2" customFormat="1" ht="12.75" x14ac:dyDescent="0.2">
      <c r="R58998" s="1288"/>
    </row>
    <row r="58999" spans="18:18" s="2" customFormat="1" ht="12.75" x14ac:dyDescent="0.2">
      <c r="R58999" s="1288"/>
    </row>
    <row r="59000" spans="18:18" s="2" customFormat="1" ht="12.75" x14ac:dyDescent="0.2">
      <c r="R59000" s="1288"/>
    </row>
    <row r="59001" spans="18:18" s="2" customFormat="1" ht="12.75" x14ac:dyDescent="0.2">
      <c r="R59001" s="1288"/>
    </row>
    <row r="59002" spans="18:18" s="2" customFormat="1" ht="12.75" x14ac:dyDescent="0.2">
      <c r="R59002" s="1288"/>
    </row>
    <row r="59003" spans="18:18" s="2" customFormat="1" ht="12.75" x14ac:dyDescent="0.2">
      <c r="R59003" s="1288"/>
    </row>
    <row r="59004" spans="18:18" s="2" customFormat="1" ht="12.75" x14ac:dyDescent="0.2">
      <c r="R59004" s="1288"/>
    </row>
    <row r="59005" spans="18:18" s="2" customFormat="1" ht="12.75" x14ac:dyDescent="0.2">
      <c r="R59005" s="1288"/>
    </row>
    <row r="59006" spans="18:18" s="2" customFormat="1" ht="12.75" x14ac:dyDescent="0.2">
      <c r="R59006" s="1288"/>
    </row>
    <row r="59007" spans="18:18" s="2" customFormat="1" ht="12.75" x14ac:dyDescent="0.2">
      <c r="R59007" s="1288"/>
    </row>
    <row r="59008" spans="18:18" s="2" customFormat="1" ht="12.75" x14ac:dyDescent="0.2">
      <c r="R59008" s="1288"/>
    </row>
    <row r="59009" spans="18:18" s="2" customFormat="1" ht="12.75" x14ac:dyDescent="0.2">
      <c r="R59009" s="1288"/>
    </row>
    <row r="59010" spans="18:18" s="2" customFormat="1" ht="12.75" x14ac:dyDescent="0.2">
      <c r="R59010" s="1288"/>
    </row>
    <row r="59011" spans="18:18" s="2" customFormat="1" ht="12.75" x14ac:dyDescent="0.2">
      <c r="R59011" s="1288"/>
    </row>
    <row r="59012" spans="18:18" s="2" customFormat="1" ht="12.75" x14ac:dyDescent="0.2">
      <c r="R59012" s="1288"/>
    </row>
    <row r="59013" spans="18:18" s="2" customFormat="1" ht="12.75" x14ac:dyDescent="0.2">
      <c r="R59013" s="1288"/>
    </row>
    <row r="59014" spans="18:18" s="2" customFormat="1" ht="12.75" x14ac:dyDescent="0.2">
      <c r="R59014" s="1288"/>
    </row>
    <row r="59015" spans="18:18" s="2" customFormat="1" ht="12.75" x14ac:dyDescent="0.2">
      <c r="R59015" s="1288"/>
    </row>
    <row r="59016" spans="18:18" s="2" customFormat="1" ht="12.75" x14ac:dyDescent="0.2">
      <c r="R59016" s="1288"/>
    </row>
    <row r="59017" spans="18:18" s="2" customFormat="1" ht="12.75" x14ac:dyDescent="0.2">
      <c r="R59017" s="1288"/>
    </row>
    <row r="59018" spans="18:18" s="2" customFormat="1" ht="12.75" x14ac:dyDescent="0.2">
      <c r="R59018" s="1288"/>
    </row>
    <row r="59019" spans="18:18" s="2" customFormat="1" ht="12.75" x14ac:dyDescent="0.2">
      <c r="R59019" s="1288"/>
    </row>
    <row r="59020" spans="18:18" s="2" customFormat="1" ht="12.75" x14ac:dyDescent="0.2">
      <c r="R59020" s="1288"/>
    </row>
    <row r="59021" spans="18:18" s="2" customFormat="1" ht="12.75" x14ac:dyDescent="0.2">
      <c r="R59021" s="1288"/>
    </row>
    <row r="59022" spans="18:18" s="2" customFormat="1" ht="12.75" x14ac:dyDescent="0.2">
      <c r="R59022" s="1288"/>
    </row>
    <row r="59023" spans="18:18" s="2" customFormat="1" ht="12.75" x14ac:dyDescent="0.2">
      <c r="R59023" s="1288"/>
    </row>
    <row r="59024" spans="18:18" s="2" customFormat="1" ht="12.75" x14ac:dyDescent="0.2">
      <c r="R59024" s="1288"/>
    </row>
    <row r="59025" spans="18:18" s="2" customFormat="1" ht="12.75" x14ac:dyDescent="0.2">
      <c r="R59025" s="1288"/>
    </row>
    <row r="59026" spans="18:18" s="2" customFormat="1" ht="12.75" x14ac:dyDescent="0.2">
      <c r="R59026" s="1288"/>
    </row>
    <row r="59027" spans="18:18" s="2" customFormat="1" ht="12.75" x14ac:dyDescent="0.2">
      <c r="R59027" s="1288"/>
    </row>
    <row r="59028" spans="18:18" s="2" customFormat="1" ht="12.75" x14ac:dyDescent="0.2">
      <c r="R59028" s="1288"/>
    </row>
    <row r="59029" spans="18:18" s="2" customFormat="1" ht="12.75" x14ac:dyDescent="0.2">
      <c r="R59029" s="1288"/>
    </row>
    <row r="59030" spans="18:18" s="2" customFormat="1" ht="12.75" x14ac:dyDescent="0.2">
      <c r="R59030" s="1288"/>
    </row>
    <row r="59031" spans="18:18" s="2" customFormat="1" ht="12.75" x14ac:dyDescent="0.2">
      <c r="R59031" s="1288"/>
    </row>
    <row r="59032" spans="18:18" s="2" customFormat="1" ht="12.75" x14ac:dyDescent="0.2">
      <c r="R59032" s="1288"/>
    </row>
    <row r="59033" spans="18:18" s="2" customFormat="1" ht="12.75" x14ac:dyDescent="0.2">
      <c r="R59033" s="1288"/>
    </row>
    <row r="59034" spans="18:18" s="2" customFormat="1" ht="12.75" x14ac:dyDescent="0.2">
      <c r="R59034" s="1288"/>
    </row>
    <row r="59035" spans="18:18" s="2" customFormat="1" ht="12.75" x14ac:dyDescent="0.2">
      <c r="R59035" s="1288"/>
    </row>
    <row r="59036" spans="18:18" s="2" customFormat="1" ht="12.75" x14ac:dyDescent="0.2">
      <c r="R59036" s="1288"/>
    </row>
    <row r="59037" spans="18:18" s="2" customFormat="1" ht="12.75" x14ac:dyDescent="0.2">
      <c r="R59037" s="1288"/>
    </row>
    <row r="59038" spans="18:18" s="2" customFormat="1" ht="12.75" x14ac:dyDescent="0.2">
      <c r="R59038" s="1288"/>
    </row>
    <row r="59039" spans="18:18" s="2" customFormat="1" ht="12.75" x14ac:dyDescent="0.2">
      <c r="R59039" s="1288"/>
    </row>
    <row r="59040" spans="18:18" s="2" customFormat="1" ht="12.75" x14ac:dyDescent="0.2">
      <c r="R59040" s="1288"/>
    </row>
    <row r="59041" spans="18:18" s="2" customFormat="1" ht="12.75" x14ac:dyDescent="0.2">
      <c r="R59041" s="1288"/>
    </row>
    <row r="59042" spans="18:18" s="2" customFormat="1" ht="12.75" x14ac:dyDescent="0.2">
      <c r="R59042" s="1288"/>
    </row>
    <row r="59043" spans="18:18" s="2" customFormat="1" ht="12.75" x14ac:dyDescent="0.2">
      <c r="R59043" s="1288"/>
    </row>
    <row r="59044" spans="18:18" s="2" customFormat="1" ht="12.75" x14ac:dyDescent="0.2">
      <c r="R59044" s="1288"/>
    </row>
    <row r="59045" spans="18:18" s="2" customFormat="1" ht="12.75" x14ac:dyDescent="0.2">
      <c r="R59045" s="1288"/>
    </row>
    <row r="59046" spans="18:18" s="2" customFormat="1" ht="12.75" x14ac:dyDescent="0.2">
      <c r="R59046" s="1288"/>
    </row>
    <row r="59047" spans="18:18" s="2" customFormat="1" ht="12.75" x14ac:dyDescent="0.2">
      <c r="R59047" s="1288"/>
    </row>
    <row r="59048" spans="18:18" s="2" customFormat="1" ht="12.75" x14ac:dyDescent="0.2">
      <c r="R59048" s="1288"/>
    </row>
    <row r="59049" spans="18:18" s="2" customFormat="1" ht="12.75" x14ac:dyDescent="0.2">
      <c r="R59049" s="1288"/>
    </row>
    <row r="59050" spans="18:18" s="2" customFormat="1" ht="12.75" x14ac:dyDescent="0.2">
      <c r="R59050" s="1288"/>
    </row>
    <row r="59051" spans="18:18" s="2" customFormat="1" ht="12.75" x14ac:dyDescent="0.2">
      <c r="R59051" s="1288"/>
    </row>
    <row r="59052" spans="18:18" s="2" customFormat="1" ht="12.75" x14ac:dyDescent="0.2">
      <c r="R59052" s="1288"/>
    </row>
    <row r="59053" spans="18:18" s="2" customFormat="1" ht="12.75" x14ac:dyDescent="0.2">
      <c r="R59053" s="1288"/>
    </row>
    <row r="59054" spans="18:18" s="2" customFormat="1" ht="12.75" x14ac:dyDescent="0.2">
      <c r="R59054" s="1288"/>
    </row>
    <row r="59055" spans="18:18" s="2" customFormat="1" ht="12.75" x14ac:dyDescent="0.2">
      <c r="R59055" s="1288"/>
    </row>
    <row r="59056" spans="18:18" s="2" customFormat="1" ht="12.75" x14ac:dyDescent="0.2">
      <c r="R59056" s="1288"/>
    </row>
    <row r="59057" spans="18:18" s="2" customFormat="1" ht="12.75" x14ac:dyDescent="0.2">
      <c r="R59057" s="1288"/>
    </row>
    <row r="59058" spans="18:18" s="2" customFormat="1" ht="12.75" x14ac:dyDescent="0.2">
      <c r="R59058" s="1288"/>
    </row>
    <row r="59059" spans="18:18" s="2" customFormat="1" ht="12.75" x14ac:dyDescent="0.2">
      <c r="R59059" s="1288"/>
    </row>
    <row r="59060" spans="18:18" s="2" customFormat="1" ht="12.75" x14ac:dyDescent="0.2">
      <c r="R59060" s="1288"/>
    </row>
    <row r="59061" spans="18:18" s="2" customFormat="1" ht="12.75" x14ac:dyDescent="0.2">
      <c r="R59061" s="1288"/>
    </row>
    <row r="59062" spans="18:18" s="2" customFormat="1" ht="12.75" x14ac:dyDescent="0.2">
      <c r="R59062" s="1288"/>
    </row>
    <row r="59063" spans="18:18" s="2" customFormat="1" ht="12.75" x14ac:dyDescent="0.2">
      <c r="R59063" s="1288"/>
    </row>
    <row r="59064" spans="18:18" s="2" customFormat="1" ht="12.75" x14ac:dyDescent="0.2">
      <c r="R59064" s="1288"/>
    </row>
    <row r="59065" spans="18:18" s="2" customFormat="1" ht="12.75" x14ac:dyDescent="0.2">
      <c r="R59065" s="1288"/>
    </row>
    <row r="59066" spans="18:18" s="2" customFormat="1" ht="12.75" x14ac:dyDescent="0.2">
      <c r="R59066" s="1288"/>
    </row>
    <row r="59067" spans="18:18" s="2" customFormat="1" ht="12.75" x14ac:dyDescent="0.2">
      <c r="R59067" s="1288"/>
    </row>
    <row r="59068" spans="18:18" s="2" customFormat="1" ht="12.75" x14ac:dyDescent="0.2">
      <c r="R59068" s="1288"/>
    </row>
    <row r="59069" spans="18:18" s="2" customFormat="1" ht="12.75" x14ac:dyDescent="0.2">
      <c r="R59069" s="1288"/>
    </row>
    <row r="59070" spans="18:18" s="2" customFormat="1" ht="12.75" x14ac:dyDescent="0.2">
      <c r="R59070" s="1288"/>
    </row>
    <row r="59071" spans="18:18" s="2" customFormat="1" ht="12.75" x14ac:dyDescent="0.2">
      <c r="R59071" s="1288"/>
    </row>
    <row r="59072" spans="18:18" s="2" customFormat="1" ht="12.75" x14ac:dyDescent="0.2">
      <c r="R59072" s="1288"/>
    </row>
    <row r="59073" spans="18:18" s="2" customFormat="1" ht="12.75" x14ac:dyDescent="0.2">
      <c r="R59073" s="1288"/>
    </row>
    <row r="59074" spans="18:18" s="2" customFormat="1" ht="12.75" x14ac:dyDescent="0.2">
      <c r="R59074" s="1288"/>
    </row>
    <row r="59075" spans="18:18" s="2" customFormat="1" ht="12.75" x14ac:dyDescent="0.2">
      <c r="R59075" s="1288"/>
    </row>
    <row r="59076" spans="18:18" s="2" customFormat="1" ht="12.75" x14ac:dyDescent="0.2">
      <c r="R59076" s="1288"/>
    </row>
    <row r="59077" spans="18:18" s="2" customFormat="1" ht="12.75" x14ac:dyDescent="0.2">
      <c r="R59077" s="1288"/>
    </row>
    <row r="59078" spans="18:18" s="2" customFormat="1" ht="12.75" x14ac:dyDescent="0.2">
      <c r="R59078" s="1288"/>
    </row>
    <row r="59079" spans="18:18" s="2" customFormat="1" ht="12.75" x14ac:dyDescent="0.2">
      <c r="R59079" s="1288"/>
    </row>
    <row r="59080" spans="18:18" s="2" customFormat="1" ht="12.75" x14ac:dyDescent="0.2">
      <c r="R59080" s="1288"/>
    </row>
    <row r="59081" spans="18:18" s="2" customFormat="1" ht="12.75" x14ac:dyDescent="0.2">
      <c r="R59081" s="1288"/>
    </row>
    <row r="59082" spans="18:18" s="2" customFormat="1" ht="12.75" x14ac:dyDescent="0.2">
      <c r="R59082" s="1288"/>
    </row>
    <row r="59083" spans="18:18" s="2" customFormat="1" ht="12.75" x14ac:dyDescent="0.2">
      <c r="R59083" s="1288"/>
    </row>
    <row r="59084" spans="18:18" s="2" customFormat="1" ht="12.75" x14ac:dyDescent="0.2">
      <c r="R59084" s="1288"/>
    </row>
    <row r="59085" spans="18:18" s="2" customFormat="1" ht="12.75" x14ac:dyDescent="0.2">
      <c r="R59085" s="1288"/>
    </row>
    <row r="59086" spans="18:18" s="2" customFormat="1" ht="12.75" x14ac:dyDescent="0.2">
      <c r="R59086" s="1288"/>
    </row>
    <row r="59087" spans="18:18" s="2" customFormat="1" ht="12.75" x14ac:dyDescent="0.2">
      <c r="R59087" s="1288"/>
    </row>
    <row r="59088" spans="18:18" s="2" customFormat="1" ht="12.75" x14ac:dyDescent="0.2">
      <c r="R59088" s="1288"/>
    </row>
    <row r="59089" spans="18:18" s="2" customFormat="1" ht="12.75" x14ac:dyDescent="0.2">
      <c r="R59089" s="1288"/>
    </row>
    <row r="59090" spans="18:18" s="2" customFormat="1" ht="12.75" x14ac:dyDescent="0.2">
      <c r="R59090" s="1288"/>
    </row>
    <row r="59091" spans="18:18" s="2" customFormat="1" ht="12.75" x14ac:dyDescent="0.2">
      <c r="R59091" s="1288"/>
    </row>
    <row r="59092" spans="18:18" s="2" customFormat="1" ht="12.75" x14ac:dyDescent="0.2">
      <c r="R59092" s="1288"/>
    </row>
    <row r="59093" spans="18:18" s="2" customFormat="1" ht="12.75" x14ac:dyDescent="0.2">
      <c r="R59093" s="1288"/>
    </row>
    <row r="59094" spans="18:18" s="2" customFormat="1" ht="12.75" x14ac:dyDescent="0.2">
      <c r="R59094" s="1288"/>
    </row>
    <row r="59095" spans="18:18" s="2" customFormat="1" ht="12.75" x14ac:dyDescent="0.2">
      <c r="R59095" s="1288"/>
    </row>
    <row r="59096" spans="18:18" s="2" customFormat="1" ht="12.75" x14ac:dyDescent="0.2">
      <c r="R59096" s="1288"/>
    </row>
    <row r="59097" spans="18:18" s="2" customFormat="1" ht="12.75" x14ac:dyDescent="0.2">
      <c r="R59097" s="1288"/>
    </row>
    <row r="59098" spans="18:18" s="2" customFormat="1" ht="12.75" x14ac:dyDescent="0.2">
      <c r="R59098" s="1288"/>
    </row>
    <row r="59099" spans="18:18" s="2" customFormat="1" ht="12.75" x14ac:dyDescent="0.2">
      <c r="R59099" s="1288"/>
    </row>
    <row r="59100" spans="18:18" s="2" customFormat="1" ht="12.75" x14ac:dyDescent="0.2">
      <c r="R59100" s="1288"/>
    </row>
    <row r="59101" spans="18:18" s="2" customFormat="1" ht="12.75" x14ac:dyDescent="0.2">
      <c r="R59101" s="1288"/>
    </row>
    <row r="59102" spans="18:18" s="2" customFormat="1" ht="12.75" x14ac:dyDescent="0.2">
      <c r="R59102" s="1288"/>
    </row>
    <row r="59103" spans="18:18" s="2" customFormat="1" ht="12.75" x14ac:dyDescent="0.2">
      <c r="R59103" s="1288"/>
    </row>
    <row r="59104" spans="18:18" s="2" customFormat="1" ht="12.75" x14ac:dyDescent="0.2">
      <c r="R59104" s="1288"/>
    </row>
    <row r="59105" spans="18:18" s="2" customFormat="1" ht="12.75" x14ac:dyDescent="0.2">
      <c r="R59105" s="1288"/>
    </row>
    <row r="59106" spans="18:18" s="2" customFormat="1" ht="12.75" x14ac:dyDescent="0.2">
      <c r="R59106" s="1288"/>
    </row>
    <row r="59107" spans="18:18" s="2" customFormat="1" ht="12.75" x14ac:dyDescent="0.2">
      <c r="R59107" s="1288"/>
    </row>
    <row r="59108" spans="18:18" s="2" customFormat="1" ht="12.75" x14ac:dyDescent="0.2">
      <c r="R59108" s="1288"/>
    </row>
    <row r="59109" spans="18:18" s="2" customFormat="1" ht="12.75" x14ac:dyDescent="0.2">
      <c r="R59109" s="1288"/>
    </row>
    <row r="59110" spans="18:18" s="2" customFormat="1" ht="12.75" x14ac:dyDescent="0.2">
      <c r="R59110" s="1288"/>
    </row>
    <row r="59111" spans="18:18" s="2" customFormat="1" ht="12.75" x14ac:dyDescent="0.2">
      <c r="R59111" s="1288"/>
    </row>
    <row r="59112" spans="18:18" s="2" customFormat="1" ht="12.75" x14ac:dyDescent="0.2">
      <c r="R59112" s="1288"/>
    </row>
    <row r="59113" spans="18:18" s="2" customFormat="1" ht="12.75" x14ac:dyDescent="0.2">
      <c r="R59113" s="1288"/>
    </row>
    <row r="59114" spans="18:18" s="2" customFormat="1" ht="12.75" x14ac:dyDescent="0.2">
      <c r="R59114" s="1288"/>
    </row>
    <row r="59115" spans="18:18" s="2" customFormat="1" ht="12.75" x14ac:dyDescent="0.2">
      <c r="R59115" s="1288"/>
    </row>
    <row r="59116" spans="18:18" s="2" customFormat="1" ht="12.75" x14ac:dyDescent="0.2">
      <c r="R59116" s="1288"/>
    </row>
    <row r="59117" spans="18:18" s="2" customFormat="1" ht="12.75" x14ac:dyDescent="0.2">
      <c r="R59117" s="1288"/>
    </row>
    <row r="59118" spans="18:18" s="2" customFormat="1" ht="12.75" x14ac:dyDescent="0.2">
      <c r="R59118" s="1288"/>
    </row>
    <row r="59119" spans="18:18" s="2" customFormat="1" ht="12.75" x14ac:dyDescent="0.2">
      <c r="R59119" s="1288"/>
    </row>
    <row r="59120" spans="18:18" s="2" customFormat="1" ht="12.75" x14ac:dyDescent="0.2">
      <c r="R59120" s="1288"/>
    </row>
    <row r="59121" spans="18:18" s="2" customFormat="1" ht="12.75" x14ac:dyDescent="0.2">
      <c r="R59121" s="1288"/>
    </row>
    <row r="59122" spans="18:18" s="2" customFormat="1" ht="12.75" x14ac:dyDescent="0.2">
      <c r="R59122" s="1288"/>
    </row>
    <row r="59123" spans="18:18" s="2" customFormat="1" ht="12.75" x14ac:dyDescent="0.2">
      <c r="R59123" s="1288"/>
    </row>
    <row r="59124" spans="18:18" s="2" customFormat="1" ht="12.75" x14ac:dyDescent="0.2">
      <c r="R59124" s="1288"/>
    </row>
    <row r="59125" spans="18:18" s="2" customFormat="1" ht="12.75" x14ac:dyDescent="0.2">
      <c r="R59125" s="1288"/>
    </row>
    <row r="59126" spans="18:18" s="2" customFormat="1" ht="12.75" x14ac:dyDescent="0.2">
      <c r="R59126" s="1288"/>
    </row>
    <row r="59127" spans="18:18" s="2" customFormat="1" ht="12.75" x14ac:dyDescent="0.2">
      <c r="R59127" s="1288"/>
    </row>
    <row r="59128" spans="18:18" s="2" customFormat="1" ht="12.75" x14ac:dyDescent="0.2">
      <c r="R59128" s="1288"/>
    </row>
    <row r="59129" spans="18:18" s="2" customFormat="1" ht="12.75" x14ac:dyDescent="0.2">
      <c r="R59129" s="1288"/>
    </row>
    <row r="59130" spans="18:18" s="2" customFormat="1" ht="12.75" x14ac:dyDescent="0.2">
      <c r="R59130" s="1288"/>
    </row>
    <row r="59131" spans="18:18" s="2" customFormat="1" ht="12.75" x14ac:dyDescent="0.2">
      <c r="R59131" s="1288"/>
    </row>
    <row r="59132" spans="18:18" s="2" customFormat="1" ht="12.75" x14ac:dyDescent="0.2">
      <c r="R59132" s="1288"/>
    </row>
    <row r="59133" spans="18:18" s="2" customFormat="1" ht="12.75" x14ac:dyDescent="0.2">
      <c r="R59133" s="1288"/>
    </row>
    <row r="59134" spans="18:18" s="2" customFormat="1" ht="12.75" x14ac:dyDescent="0.2">
      <c r="R59134" s="1288"/>
    </row>
    <row r="59135" spans="18:18" s="2" customFormat="1" ht="12.75" x14ac:dyDescent="0.2">
      <c r="R59135" s="1288"/>
    </row>
    <row r="59136" spans="18:18" s="2" customFormat="1" ht="12.75" x14ac:dyDescent="0.2">
      <c r="R59136" s="1288"/>
    </row>
    <row r="59137" spans="18:18" s="2" customFormat="1" ht="12.75" x14ac:dyDescent="0.2">
      <c r="R59137" s="1288"/>
    </row>
    <row r="59138" spans="18:18" s="2" customFormat="1" ht="12.75" x14ac:dyDescent="0.2">
      <c r="R59138" s="1288"/>
    </row>
    <row r="59139" spans="18:18" s="2" customFormat="1" ht="12.75" x14ac:dyDescent="0.2">
      <c r="R59139" s="1288"/>
    </row>
    <row r="59140" spans="18:18" s="2" customFormat="1" ht="12.75" x14ac:dyDescent="0.2">
      <c r="R59140" s="1288"/>
    </row>
    <row r="59141" spans="18:18" s="2" customFormat="1" ht="12.75" x14ac:dyDescent="0.2">
      <c r="R59141" s="1288"/>
    </row>
    <row r="59142" spans="18:18" s="2" customFormat="1" ht="12.75" x14ac:dyDescent="0.2">
      <c r="R59142" s="1288"/>
    </row>
    <row r="59143" spans="18:18" s="2" customFormat="1" ht="12.75" x14ac:dyDescent="0.2">
      <c r="R59143" s="1288"/>
    </row>
    <row r="59144" spans="18:18" s="2" customFormat="1" ht="12.75" x14ac:dyDescent="0.2">
      <c r="R59144" s="1288"/>
    </row>
    <row r="59145" spans="18:18" s="2" customFormat="1" ht="12.75" x14ac:dyDescent="0.2">
      <c r="R59145" s="1288"/>
    </row>
    <row r="59146" spans="18:18" s="2" customFormat="1" ht="12.75" x14ac:dyDescent="0.2">
      <c r="R59146" s="1288"/>
    </row>
    <row r="59147" spans="18:18" s="2" customFormat="1" ht="12.75" x14ac:dyDescent="0.2">
      <c r="R59147" s="1288"/>
    </row>
    <row r="59148" spans="18:18" s="2" customFormat="1" ht="12.75" x14ac:dyDescent="0.2">
      <c r="R59148" s="1288"/>
    </row>
    <row r="59149" spans="18:18" s="2" customFormat="1" ht="12.75" x14ac:dyDescent="0.2">
      <c r="R59149" s="1288"/>
    </row>
    <row r="59150" spans="18:18" s="2" customFormat="1" ht="12.75" x14ac:dyDescent="0.2">
      <c r="R59150" s="1288"/>
    </row>
    <row r="59151" spans="18:18" s="2" customFormat="1" ht="12.75" x14ac:dyDescent="0.2">
      <c r="R59151" s="1288"/>
    </row>
    <row r="59152" spans="18:18" s="2" customFormat="1" ht="12.75" x14ac:dyDescent="0.2">
      <c r="R59152" s="1288"/>
    </row>
    <row r="59153" spans="18:18" s="2" customFormat="1" ht="12.75" x14ac:dyDescent="0.2">
      <c r="R59153" s="1288"/>
    </row>
    <row r="59154" spans="18:18" s="2" customFormat="1" ht="12.75" x14ac:dyDescent="0.2">
      <c r="R59154" s="1288"/>
    </row>
    <row r="59155" spans="18:18" s="2" customFormat="1" ht="12.75" x14ac:dyDescent="0.2">
      <c r="R59155" s="1288"/>
    </row>
    <row r="59156" spans="18:18" s="2" customFormat="1" ht="12.75" x14ac:dyDescent="0.2">
      <c r="R59156" s="1288"/>
    </row>
    <row r="59157" spans="18:18" s="2" customFormat="1" ht="12.75" x14ac:dyDescent="0.2">
      <c r="R59157" s="1288"/>
    </row>
    <row r="59158" spans="18:18" s="2" customFormat="1" ht="12.75" x14ac:dyDescent="0.2">
      <c r="R59158" s="1288"/>
    </row>
    <row r="59159" spans="18:18" s="2" customFormat="1" ht="12.75" x14ac:dyDescent="0.2">
      <c r="R59159" s="1288"/>
    </row>
    <row r="59160" spans="18:18" s="2" customFormat="1" ht="12.75" x14ac:dyDescent="0.2">
      <c r="R59160" s="1288"/>
    </row>
    <row r="59161" spans="18:18" s="2" customFormat="1" ht="12.75" x14ac:dyDescent="0.2">
      <c r="R59161" s="1288"/>
    </row>
    <row r="59162" spans="18:18" s="2" customFormat="1" ht="12.75" x14ac:dyDescent="0.2">
      <c r="R59162" s="1288"/>
    </row>
    <row r="59163" spans="18:18" s="2" customFormat="1" ht="12.75" x14ac:dyDescent="0.2">
      <c r="R59163" s="1288"/>
    </row>
    <row r="59164" spans="18:18" s="2" customFormat="1" ht="12.75" x14ac:dyDescent="0.2">
      <c r="R59164" s="1288"/>
    </row>
    <row r="59165" spans="18:18" s="2" customFormat="1" ht="12.75" x14ac:dyDescent="0.2">
      <c r="R59165" s="1288"/>
    </row>
    <row r="59166" spans="18:18" s="2" customFormat="1" ht="12.75" x14ac:dyDescent="0.2">
      <c r="R59166" s="1288"/>
    </row>
    <row r="59167" spans="18:18" s="2" customFormat="1" ht="12.75" x14ac:dyDescent="0.2">
      <c r="R59167" s="1288"/>
    </row>
    <row r="59168" spans="18:18" s="2" customFormat="1" ht="12.75" x14ac:dyDescent="0.2">
      <c r="R59168" s="1288"/>
    </row>
    <row r="59169" spans="18:18" s="2" customFormat="1" ht="12.75" x14ac:dyDescent="0.2">
      <c r="R59169" s="1288"/>
    </row>
    <row r="59170" spans="18:18" s="2" customFormat="1" ht="12.75" x14ac:dyDescent="0.2">
      <c r="R59170" s="1288"/>
    </row>
    <row r="59171" spans="18:18" s="2" customFormat="1" ht="12.75" x14ac:dyDescent="0.2">
      <c r="R59171" s="1288"/>
    </row>
    <row r="59172" spans="18:18" s="2" customFormat="1" ht="12.75" x14ac:dyDescent="0.2">
      <c r="R59172" s="1288"/>
    </row>
    <row r="59173" spans="18:18" s="2" customFormat="1" ht="12.75" x14ac:dyDescent="0.2">
      <c r="R59173" s="1288"/>
    </row>
    <row r="59174" spans="18:18" s="2" customFormat="1" ht="12.75" x14ac:dyDescent="0.2">
      <c r="R59174" s="1288"/>
    </row>
    <row r="59175" spans="18:18" s="2" customFormat="1" ht="12.75" x14ac:dyDescent="0.2">
      <c r="R59175" s="1288"/>
    </row>
    <row r="59176" spans="18:18" s="2" customFormat="1" ht="12.75" x14ac:dyDescent="0.2">
      <c r="R59176" s="1288"/>
    </row>
    <row r="59177" spans="18:18" s="2" customFormat="1" ht="12.75" x14ac:dyDescent="0.2">
      <c r="R59177" s="1288"/>
    </row>
    <row r="59178" spans="18:18" s="2" customFormat="1" ht="12.75" x14ac:dyDescent="0.2">
      <c r="R59178" s="1288"/>
    </row>
    <row r="59179" spans="18:18" s="2" customFormat="1" ht="12.75" x14ac:dyDescent="0.2">
      <c r="R59179" s="1288"/>
    </row>
    <row r="59180" spans="18:18" s="2" customFormat="1" ht="12.75" x14ac:dyDescent="0.2">
      <c r="R59180" s="1288"/>
    </row>
    <row r="59181" spans="18:18" s="2" customFormat="1" ht="12.75" x14ac:dyDescent="0.2">
      <c r="R59181" s="1288"/>
    </row>
    <row r="59182" spans="18:18" s="2" customFormat="1" ht="12.75" x14ac:dyDescent="0.2">
      <c r="R59182" s="1288"/>
    </row>
    <row r="59183" spans="18:18" s="2" customFormat="1" ht="12.75" x14ac:dyDescent="0.2">
      <c r="R59183" s="1288"/>
    </row>
    <row r="59184" spans="18:18" s="2" customFormat="1" ht="12.75" x14ac:dyDescent="0.2">
      <c r="R59184" s="1288"/>
    </row>
    <row r="59185" spans="18:18" s="2" customFormat="1" ht="12.75" x14ac:dyDescent="0.2">
      <c r="R59185" s="1288"/>
    </row>
    <row r="59186" spans="18:18" s="2" customFormat="1" ht="12.75" x14ac:dyDescent="0.2">
      <c r="R59186" s="1288"/>
    </row>
    <row r="59187" spans="18:18" s="2" customFormat="1" ht="12.75" x14ac:dyDescent="0.2">
      <c r="R59187" s="1288"/>
    </row>
    <row r="59188" spans="18:18" s="2" customFormat="1" ht="12.75" x14ac:dyDescent="0.2">
      <c r="R59188" s="1288"/>
    </row>
    <row r="59189" spans="18:18" s="2" customFormat="1" ht="12.75" x14ac:dyDescent="0.2">
      <c r="R59189" s="1288"/>
    </row>
    <row r="59190" spans="18:18" s="2" customFormat="1" ht="12.75" x14ac:dyDescent="0.2">
      <c r="R59190" s="1288"/>
    </row>
    <row r="59191" spans="18:18" s="2" customFormat="1" ht="12.75" x14ac:dyDescent="0.2">
      <c r="R59191" s="1288"/>
    </row>
    <row r="59192" spans="18:18" s="2" customFormat="1" ht="12.75" x14ac:dyDescent="0.2">
      <c r="R59192" s="1288"/>
    </row>
    <row r="59193" spans="18:18" s="2" customFormat="1" ht="12.75" x14ac:dyDescent="0.2">
      <c r="R59193" s="1288"/>
    </row>
    <row r="59194" spans="18:18" s="2" customFormat="1" ht="12.75" x14ac:dyDescent="0.2">
      <c r="R59194" s="1288"/>
    </row>
    <row r="59195" spans="18:18" s="2" customFormat="1" ht="12.75" x14ac:dyDescent="0.2">
      <c r="R59195" s="1288"/>
    </row>
    <row r="59196" spans="18:18" s="2" customFormat="1" ht="12.75" x14ac:dyDescent="0.2">
      <c r="R59196" s="1288"/>
    </row>
    <row r="59197" spans="18:18" s="2" customFormat="1" ht="12.75" x14ac:dyDescent="0.2">
      <c r="R59197" s="1288"/>
    </row>
    <row r="59198" spans="18:18" s="2" customFormat="1" ht="12.75" x14ac:dyDescent="0.2">
      <c r="R59198" s="1288"/>
    </row>
    <row r="59199" spans="18:18" s="2" customFormat="1" ht="12.75" x14ac:dyDescent="0.2">
      <c r="R59199" s="1288"/>
    </row>
    <row r="59200" spans="18:18" s="2" customFormat="1" ht="12.75" x14ac:dyDescent="0.2">
      <c r="R59200" s="1288"/>
    </row>
    <row r="59201" spans="18:18" s="2" customFormat="1" ht="12.75" x14ac:dyDescent="0.2">
      <c r="R59201" s="1288"/>
    </row>
    <row r="59202" spans="18:18" s="2" customFormat="1" ht="12.75" x14ac:dyDescent="0.2">
      <c r="R59202" s="1288"/>
    </row>
    <row r="59203" spans="18:18" s="2" customFormat="1" ht="12.75" x14ac:dyDescent="0.2">
      <c r="R59203" s="1288"/>
    </row>
    <row r="59204" spans="18:18" s="2" customFormat="1" ht="12.75" x14ac:dyDescent="0.2">
      <c r="R59204" s="1288"/>
    </row>
    <row r="59205" spans="18:18" s="2" customFormat="1" ht="12.75" x14ac:dyDescent="0.2">
      <c r="R59205" s="1288"/>
    </row>
    <row r="59206" spans="18:18" s="2" customFormat="1" ht="12.75" x14ac:dyDescent="0.2">
      <c r="R59206" s="1288"/>
    </row>
    <row r="59207" spans="18:18" s="2" customFormat="1" ht="12.75" x14ac:dyDescent="0.2">
      <c r="R59207" s="1288"/>
    </row>
    <row r="59208" spans="18:18" s="2" customFormat="1" ht="12.75" x14ac:dyDescent="0.2">
      <c r="R59208" s="1288"/>
    </row>
    <row r="59209" spans="18:18" s="2" customFormat="1" ht="12.75" x14ac:dyDescent="0.2">
      <c r="R59209" s="1288"/>
    </row>
    <row r="59210" spans="18:18" s="2" customFormat="1" ht="12.75" x14ac:dyDescent="0.2">
      <c r="R59210" s="1288"/>
    </row>
    <row r="59211" spans="18:18" s="2" customFormat="1" ht="12.75" x14ac:dyDescent="0.2">
      <c r="R59211" s="1288"/>
    </row>
    <row r="59212" spans="18:18" s="2" customFormat="1" ht="12.75" x14ac:dyDescent="0.2">
      <c r="R59212" s="1288"/>
    </row>
    <row r="59213" spans="18:18" s="2" customFormat="1" ht="12.75" x14ac:dyDescent="0.2">
      <c r="R59213" s="1288"/>
    </row>
    <row r="59214" spans="18:18" s="2" customFormat="1" ht="12.75" x14ac:dyDescent="0.2">
      <c r="R59214" s="1288"/>
    </row>
    <row r="59215" spans="18:18" s="2" customFormat="1" ht="12.75" x14ac:dyDescent="0.2">
      <c r="R59215" s="1288"/>
    </row>
    <row r="59216" spans="18:18" s="2" customFormat="1" ht="12.75" x14ac:dyDescent="0.2">
      <c r="R59216" s="1288"/>
    </row>
    <row r="59217" spans="18:18" s="2" customFormat="1" ht="12.75" x14ac:dyDescent="0.2">
      <c r="R59217" s="1288"/>
    </row>
    <row r="59218" spans="18:18" s="2" customFormat="1" ht="12.75" x14ac:dyDescent="0.2">
      <c r="R59218" s="1288"/>
    </row>
    <row r="59219" spans="18:18" s="2" customFormat="1" ht="12.75" x14ac:dyDescent="0.2">
      <c r="R59219" s="1288"/>
    </row>
    <row r="59220" spans="18:18" s="2" customFormat="1" ht="12.75" x14ac:dyDescent="0.2">
      <c r="R59220" s="1288"/>
    </row>
    <row r="59221" spans="18:18" s="2" customFormat="1" ht="12.75" x14ac:dyDescent="0.2">
      <c r="R59221" s="1288"/>
    </row>
    <row r="59222" spans="18:18" s="2" customFormat="1" ht="12.75" x14ac:dyDescent="0.2">
      <c r="R59222" s="1288"/>
    </row>
    <row r="59223" spans="18:18" s="2" customFormat="1" ht="12.75" x14ac:dyDescent="0.2">
      <c r="R59223" s="1288"/>
    </row>
    <row r="59224" spans="18:18" s="2" customFormat="1" ht="12.75" x14ac:dyDescent="0.2">
      <c r="R59224" s="1288"/>
    </row>
    <row r="59225" spans="18:18" s="2" customFormat="1" ht="12.75" x14ac:dyDescent="0.2">
      <c r="R59225" s="1288"/>
    </row>
    <row r="59226" spans="18:18" s="2" customFormat="1" ht="12.75" x14ac:dyDescent="0.2">
      <c r="R59226" s="1288"/>
    </row>
    <row r="59227" spans="18:18" s="2" customFormat="1" ht="12.75" x14ac:dyDescent="0.2">
      <c r="R59227" s="1288"/>
    </row>
    <row r="59228" spans="18:18" s="2" customFormat="1" ht="12.75" x14ac:dyDescent="0.2">
      <c r="R59228" s="1288"/>
    </row>
    <row r="59229" spans="18:18" s="2" customFormat="1" ht="12.75" x14ac:dyDescent="0.2">
      <c r="R59229" s="1288"/>
    </row>
    <row r="59230" spans="18:18" s="2" customFormat="1" ht="12.75" x14ac:dyDescent="0.2">
      <c r="R59230" s="1288"/>
    </row>
    <row r="59231" spans="18:18" s="2" customFormat="1" ht="12.75" x14ac:dyDescent="0.2">
      <c r="R59231" s="1288"/>
    </row>
    <row r="59232" spans="18:18" s="2" customFormat="1" ht="12.75" x14ac:dyDescent="0.2">
      <c r="R59232" s="1288"/>
    </row>
    <row r="59233" spans="18:18" s="2" customFormat="1" ht="12.75" x14ac:dyDescent="0.2">
      <c r="R59233" s="1288"/>
    </row>
    <row r="59234" spans="18:18" s="2" customFormat="1" ht="12.75" x14ac:dyDescent="0.2">
      <c r="R59234" s="1288"/>
    </row>
    <row r="59235" spans="18:18" s="2" customFormat="1" ht="12.75" x14ac:dyDescent="0.2">
      <c r="R59235" s="1288"/>
    </row>
    <row r="59236" spans="18:18" s="2" customFormat="1" ht="12.75" x14ac:dyDescent="0.2">
      <c r="R59236" s="1288"/>
    </row>
    <row r="59237" spans="18:18" s="2" customFormat="1" ht="12.75" x14ac:dyDescent="0.2">
      <c r="R59237" s="1288"/>
    </row>
    <row r="59238" spans="18:18" s="2" customFormat="1" ht="12.75" x14ac:dyDescent="0.2">
      <c r="R59238" s="1288"/>
    </row>
    <row r="59239" spans="18:18" s="2" customFormat="1" ht="12.75" x14ac:dyDescent="0.2">
      <c r="R59239" s="1288"/>
    </row>
    <row r="59240" spans="18:18" s="2" customFormat="1" ht="12.75" x14ac:dyDescent="0.2">
      <c r="R59240" s="1288"/>
    </row>
    <row r="59241" spans="18:18" s="2" customFormat="1" ht="12.75" x14ac:dyDescent="0.2">
      <c r="R59241" s="1288"/>
    </row>
    <row r="59242" spans="18:18" s="2" customFormat="1" ht="12.75" x14ac:dyDescent="0.2">
      <c r="R59242" s="1288"/>
    </row>
    <row r="59243" spans="18:18" s="2" customFormat="1" ht="12.75" x14ac:dyDescent="0.2">
      <c r="R59243" s="1288"/>
    </row>
    <row r="59244" spans="18:18" s="2" customFormat="1" ht="12.75" x14ac:dyDescent="0.2">
      <c r="R59244" s="1288"/>
    </row>
    <row r="59245" spans="18:18" s="2" customFormat="1" ht="12.75" x14ac:dyDescent="0.2">
      <c r="R59245" s="1288"/>
    </row>
    <row r="59246" spans="18:18" s="2" customFormat="1" ht="12.75" x14ac:dyDescent="0.2">
      <c r="R59246" s="1288"/>
    </row>
    <row r="59247" spans="18:18" s="2" customFormat="1" ht="12.75" x14ac:dyDescent="0.2">
      <c r="R59247" s="1288"/>
    </row>
    <row r="59248" spans="18:18" s="2" customFormat="1" ht="12.75" x14ac:dyDescent="0.2">
      <c r="R59248" s="1288"/>
    </row>
    <row r="59249" spans="18:18" s="2" customFormat="1" ht="12.75" x14ac:dyDescent="0.2">
      <c r="R59249" s="1288"/>
    </row>
    <row r="59250" spans="18:18" s="2" customFormat="1" ht="12.75" x14ac:dyDescent="0.2">
      <c r="R59250" s="1288"/>
    </row>
    <row r="59251" spans="18:18" s="2" customFormat="1" ht="12.75" x14ac:dyDescent="0.2">
      <c r="R59251" s="1288"/>
    </row>
    <row r="59252" spans="18:18" s="2" customFormat="1" ht="12.75" x14ac:dyDescent="0.2">
      <c r="R59252" s="1288"/>
    </row>
    <row r="59253" spans="18:18" s="2" customFormat="1" ht="12.75" x14ac:dyDescent="0.2">
      <c r="R59253" s="1288"/>
    </row>
    <row r="59254" spans="18:18" s="2" customFormat="1" ht="12.75" x14ac:dyDescent="0.2">
      <c r="R59254" s="1288"/>
    </row>
    <row r="59255" spans="18:18" s="2" customFormat="1" ht="12.75" x14ac:dyDescent="0.2">
      <c r="R59255" s="1288"/>
    </row>
    <row r="59256" spans="18:18" s="2" customFormat="1" ht="12.75" x14ac:dyDescent="0.2">
      <c r="R59256" s="1288"/>
    </row>
    <row r="59257" spans="18:18" s="2" customFormat="1" ht="12.75" x14ac:dyDescent="0.2">
      <c r="R59257" s="1288"/>
    </row>
    <row r="59258" spans="18:18" s="2" customFormat="1" ht="12.75" x14ac:dyDescent="0.2">
      <c r="R59258" s="1288"/>
    </row>
    <row r="59259" spans="18:18" s="2" customFormat="1" ht="12.75" x14ac:dyDescent="0.2">
      <c r="R59259" s="1288"/>
    </row>
    <row r="59260" spans="18:18" s="2" customFormat="1" ht="12.75" x14ac:dyDescent="0.2">
      <c r="R59260" s="1288"/>
    </row>
    <row r="59261" spans="18:18" s="2" customFormat="1" ht="12.75" x14ac:dyDescent="0.2">
      <c r="R59261" s="1288"/>
    </row>
    <row r="59262" spans="18:18" s="2" customFormat="1" ht="12.75" x14ac:dyDescent="0.2">
      <c r="R59262" s="1288"/>
    </row>
    <row r="59263" spans="18:18" s="2" customFormat="1" ht="12.75" x14ac:dyDescent="0.2">
      <c r="R59263" s="1288"/>
    </row>
    <row r="59264" spans="18:18" s="2" customFormat="1" ht="12.75" x14ac:dyDescent="0.2">
      <c r="R59264" s="1288"/>
    </row>
    <row r="59265" spans="18:18" s="2" customFormat="1" ht="12.75" x14ac:dyDescent="0.2">
      <c r="R59265" s="1288"/>
    </row>
    <row r="59266" spans="18:18" s="2" customFormat="1" ht="12.75" x14ac:dyDescent="0.2">
      <c r="R59266" s="1288"/>
    </row>
    <row r="59267" spans="18:18" s="2" customFormat="1" ht="12.75" x14ac:dyDescent="0.2">
      <c r="R59267" s="1288"/>
    </row>
    <row r="59268" spans="18:18" s="2" customFormat="1" ht="12.75" x14ac:dyDescent="0.2">
      <c r="R59268" s="1288"/>
    </row>
    <row r="59269" spans="18:18" s="2" customFormat="1" ht="12.75" x14ac:dyDescent="0.2">
      <c r="R59269" s="1288"/>
    </row>
    <row r="59270" spans="18:18" s="2" customFormat="1" ht="12.75" x14ac:dyDescent="0.2">
      <c r="R59270" s="1288"/>
    </row>
    <row r="59271" spans="18:18" s="2" customFormat="1" ht="12.75" x14ac:dyDescent="0.2">
      <c r="R59271" s="1288"/>
    </row>
    <row r="59272" spans="18:18" s="2" customFormat="1" ht="12.75" x14ac:dyDescent="0.2">
      <c r="R59272" s="1288"/>
    </row>
    <row r="59273" spans="18:18" s="2" customFormat="1" ht="12.75" x14ac:dyDescent="0.2">
      <c r="R59273" s="1288"/>
    </row>
    <row r="59274" spans="18:18" s="2" customFormat="1" ht="12.75" x14ac:dyDescent="0.2">
      <c r="R59274" s="1288"/>
    </row>
    <row r="59275" spans="18:18" s="2" customFormat="1" ht="12.75" x14ac:dyDescent="0.2">
      <c r="R59275" s="1288"/>
    </row>
    <row r="59276" spans="18:18" s="2" customFormat="1" ht="12.75" x14ac:dyDescent="0.2">
      <c r="R59276" s="1288"/>
    </row>
    <row r="59277" spans="18:18" s="2" customFormat="1" ht="12.75" x14ac:dyDescent="0.2">
      <c r="R59277" s="1288"/>
    </row>
    <row r="59278" spans="18:18" s="2" customFormat="1" ht="12.75" x14ac:dyDescent="0.2">
      <c r="R59278" s="1288"/>
    </row>
    <row r="59279" spans="18:18" s="2" customFormat="1" ht="12.75" x14ac:dyDescent="0.2">
      <c r="R59279" s="1288"/>
    </row>
    <row r="59280" spans="18:18" s="2" customFormat="1" ht="12.75" x14ac:dyDescent="0.2">
      <c r="R59280" s="1288"/>
    </row>
    <row r="59281" spans="18:18" s="2" customFormat="1" ht="12.75" x14ac:dyDescent="0.2">
      <c r="R59281" s="1288"/>
    </row>
    <row r="59282" spans="18:18" s="2" customFormat="1" ht="12.75" x14ac:dyDescent="0.2">
      <c r="R59282" s="1288"/>
    </row>
    <row r="59283" spans="18:18" s="2" customFormat="1" ht="12.75" x14ac:dyDescent="0.2">
      <c r="R59283" s="1288"/>
    </row>
    <row r="59284" spans="18:18" s="2" customFormat="1" ht="12.75" x14ac:dyDescent="0.2">
      <c r="R59284" s="1288"/>
    </row>
    <row r="59285" spans="18:18" s="2" customFormat="1" ht="12.75" x14ac:dyDescent="0.2">
      <c r="R59285" s="1288"/>
    </row>
    <row r="59286" spans="18:18" s="2" customFormat="1" ht="12.75" x14ac:dyDescent="0.2">
      <c r="R59286" s="1288"/>
    </row>
    <row r="59287" spans="18:18" s="2" customFormat="1" ht="12.75" x14ac:dyDescent="0.2">
      <c r="R59287" s="1288"/>
    </row>
    <row r="59288" spans="18:18" s="2" customFormat="1" ht="12.75" x14ac:dyDescent="0.2">
      <c r="R59288" s="1288"/>
    </row>
    <row r="59289" spans="18:18" s="2" customFormat="1" ht="12.75" x14ac:dyDescent="0.2">
      <c r="R59289" s="1288"/>
    </row>
    <row r="59290" spans="18:18" s="2" customFormat="1" ht="12.75" x14ac:dyDescent="0.2">
      <c r="R59290" s="1288"/>
    </row>
    <row r="59291" spans="18:18" s="2" customFormat="1" ht="12.75" x14ac:dyDescent="0.2">
      <c r="R59291" s="1288"/>
    </row>
    <row r="59292" spans="18:18" s="2" customFormat="1" ht="12.75" x14ac:dyDescent="0.2">
      <c r="R59292" s="1288"/>
    </row>
    <row r="59293" spans="18:18" s="2" customFormat="1" ht="12.75" x14ac:dyDescent="0.2">
      <c r="R59293" s="1288"/>
    </row>
    <row r="59294" spans="18:18" s="2" customFormat="1" ht="12.75" x14ac:dyDescent="0.2">
      <c r="R59294" s="1288"/>
    </row>
    <row r="59295" spans="18:18" s="2" customFormat="1" ht="12.75" x14ac:dyDescent="0.2">
      <c r="R59295" s="1288"/>
    </row>
    <row r="59296" spans="18:18" s="2" customFormat="1" ht="12.75" x14ac:dyDescent="0.2">
      <c r="R59296" s="1288"/>
    </row>
    <row r="59297" spans="18:18" s="2" customFormat="1" ht="12.75" x14ac:dyDescent="0.2">
      <c r="R59297" s="1288"/>
    </row>
    <row r="59298" spans="18:18" s="2" customFormat="1" ht="12.75" x14ac:dyDescent="0.2">
      <c r="R59298" s="1288"/>
    </row>
    <row r="59299" spans="18:18" s="2" customFormat="1" ht="12.75" x14ac:dyDescent="0.2">
      <c r="R59299" s="1288"/>
    </row>
    <row r="59300" spans="18:18" s="2" customFormat="1" ht="12.75" x14ac:dyDescent="0.2">
      <c r="R59300" s="1288"/>
    </row>
    <row r="59301" spans="18:18" s="2" customFormat="1" ht="12.75" x14ac:dyDescent="0.2">
      <c r="R59301" s="1288"/>
    </row>
    <row r="59302" spans="18:18" s="2" customFormat="1" ht="12.75" x14ac:dyDescent="0.2">
      <c r="R59302" s="1288"/>
    </row>
    <row r="59303" spans="18:18" s="2" customFormat="1" ht="12.75" x14ac:dyDescent="0.2">
      <c r="R59303" s="1288"/>
    </row>
    <row r="59304" spans="18:18" s="2" customFormat="1" ht="12.75" x14ac:dyDescent="0.2">
      <c r="R59304" s="1288"/>
    </row>
    <row r="59305" spans="18:18" s="2" customFormat="1" ht="12.75" x14ac:dyDescent="0.2">
      <c r="R59305" s="1288"/>
    </row>
    <row r="59306" spans="18:18" s="2" customFormat="1" ht="12.75" x14ac:dyDescent="0.2">
      <c r="R59306" s="1288"/>
    </row>
    <row r="59307" spans="18:18" s="2" customFormat="1" ht="12.75" x14ac:dyDescent="0.2">
      <c r="R59307" s="1288"/>
    </row>
    <row r="59308" spans="18:18" s="2" customFormat="1" ht="12.75" x14ac:dyDescent="0.2">
      <c r="R59308" s="1288"/>
    </row>
    <row r="59309" spans="18:18" s="2" customFormat="1" ht="12.75" x14ac:dyDescent="0.2">
      <c r="R59309" s="1288"/>
    </row>
    <row r="59310" spans="18:18" s="2" customFormat="1" ht="12.75" x14ac:dyDescent="0.2">
      <c r="R59310" s="1288"/>
    </row>
    <row r="59311" spans="18:18" s="2" customFormat="1" ht="12.75" x14ac:dyDescent="0.2">
      <c r="R59311" s="1288"/>
    </row>
    <row r="59312" spans="18:18" s="2" customFormat="1" ht="12.75" x14ac:dyDescent="0.2">
      <c r="R59312" s="1288"/>
    </row>
    <row r="59313" spans="18:18" s="2" customFormat="1" ht="12.75" x14ac:dyDescent="0.2">
      <c r="R59313" s="1288"/>
    </row>
    <row r="59314" spans="18:18" s="2" customFormat="1" ht="12.75" x14ac:dyDescent="0.2">
      <c r="R59314" s="1288"/>
    </row>
    <row r="59315" spans="18:18" s="2" customFormat="1" ht="12.75" x14ac:dyDescent="0.2">
      <c r="R59315" s="1288"/>
    </row>
    <row r="59316" spans="18:18" s="2" customFormat="1" ht="12.75" x14ac:dyDescent="0.2">
      <c r="R59316" s="1288"/>
    </row>
    <row r="59317" spans="18:18" s="2" customFormat="1" ht="12.75" x14ac:dyDescent="0.2">
      <c r="R59317" s="1288"/>
    </row>
    <row r="59318" spans="18:18" s="2" customFormat="1" ht="12.75" x14ac:dyDescent="0.2">
      <c r="R59318" s="1288"/>
    </row>
    <row r="59319" spans="18:18" s="2" customFormat="1" ht="12.75" x14ac:dyDescent="0.2">
      <c r="R59319" s="1288"/>
    </row>
    <row r="59320" spans="18:18" s="2" customFormat="1" ht="12.75" x14ac:dyDescent="0.2">
      <c r="R59320" s="1288"/>
    </row>
    <row r="59321" spans="18:18" s="2" customFormat="1" ht="12.75" x14ac:dyDescent="0.2">
      <c r="R59321" s="1288"/>
    </row>
    <row r="59322" spans="18:18" s="2" customFormat="1" ht="12.75" x14ac:dyDescent="0.2">
      <c r="R59322" s="1288"/>
    </row>
    <row r="59323" spans="18:18" s="2" customFormat="1" ht="12.75" x14ac:dyDescent="0.2">
      <c r="R59323" s="1288"/>
    </row>
    <row r="59324" spans="18:18" s="2" customFormat="1" ht="12.75" x14ac:dyDescent="0.2">
      <c r="R59324" s="1288"/>
    </row>
    <row r="59325" spans="18:18" s="2" customFormat="1" ht="12.75" x14ac:dyDescent="0.2">
      <c r="R59325" s="1288"/>
    </row>
    <row r="59326" spans="18:18" s="2" customFormat="1" ht="12.75" x14ac:dyDescent="0.2">
      <c r="R59326" s="1288"/>
    </row>
    <row r="59327" spans="18:18" s="2" customFormat="1" ht="12.75" x14ac:dyDescent="0.2">
      <c r="R59327" s="1288"/>
    </row>
    <row r="59328" spans="18:18" s="2" customFormat="1" ht="12.75" x14ac:dyDescent="0.2">
      <c r="R59328" s="1288"/>
    </row>
    <row r="59329" spans="18:18" s="2" customFormat="1" ht="12.75" x14ac:dyDescent="0.2">
      <c r="R59329" s="1288"/>
    </row>
    <row r="59330" spans="18:18" s="2" customFormat="1" ht="12.75" x14ac:dyDescent="0.2">
      <c r="R59330" s="1288"/>
    </row>
    <row r="59331" spans="18:18" s="2" customFormat="1" ht="12.75" x14ac:dyDescent="0.2">
      <c r="R59331" s="1288"/>
    </row>
    <row r="59332" spans="18:18" s="2" customFormat="1" ht="12.75" x14ac:dyDescent="0.2">
      <c r="R59332" s="1288"/>
    </row>
    <row r="59333" spans="18:18" s="2" customFormat="1" ht="12.75" x14ac:dyDescent="0.2">
      <c r="R59333" s="1288"/>
    </row>
    <row r="59334" spans="18:18" s="2" customFormat="1" ht="12.75" x14ac:dyDescent="0.2">
      <c r="R59334" s="1288"/>
    </row>
    <row r="59335" spans="18:18" s="2" customFormat="1" ht="12.75" x14ac:dyDescent="0.2">
      <c r="R59335" s="1288"/>
    </row>
    <row r="59336" spans="18:18" s="2" customFormat="1" ht="12.75" x14ac:dyDescent="0.2">
      <c r="R59336" s="1288"/>
    </row>
    <row r="59337" spans="18:18" s="2" customFormat="1" ht="12.75" x14ac:dyDescent="0.2">
      <c r="R59337" s="1288"/>
    </row>
    <row r="59338" spans="18:18" s="2" customFormat="1" ht="12.75" x14ac:dyDescent="0.2">
      <c r="R59338" s="1288"/>
    </row>
    <row r="59339" spans="18:18" s="2" customFormat="1" ht="12.75" x14ac:dyDescent="0.2">
      <c r="R59339" s="1288"/>
    </row>
    <row r="59340" spans="18:18" s="2" customFormat="1" ht="12.75" x14ac:dyDescent="0.2">
      <c r="R59340" s="1288"/>
    </row>
    <row r="59341" spans="18:18" s="2" customFormat="1" ht="12.75" x14ac:dyDescent="0.2">
      <c r="R59341" s="1288"/>
    </row>
    <row r="59342" spans="18:18" s="2" customFormat="1" ht="12.75" x14ac:dyDescent="0.2">
      <c r="R59342" s="1288"/>
    </row>
    <row r="59343" spans="18:18" s="2" customFormat="1" ht="12.75" x14ac:dyDescent="0.2">
      <c r="R59343" s="1288"/>
    </row>
    <row r="59344" spans="18:18" s="2" customFormat="1" ht="12.75" x14ac:dyDescent="0.2">
      <c r="R59344" s="1288"/>
    </row>
    <row r="59345" spans="18:18" s="2" customFormat="1" ht="12.75" x14ac:dyDescent="0.2">
      <c r="R59345" s="1288"/>
    </row>
    <row r="59346" spans="18:18" s="2" customFormat="1" ht="12.75" x14ac:dyDescent="0.2">
      <c r="R59346" s="1288"/>
    </row>
    <row r="59347" spans="18:18" s="2" customFormat="1" ht="12.75" x14ac:dyDescent="0.2">
      <c r="R59347" s="1288"/>
    </row>
    <row r="59348" spans="18:18" s="2" customFormat="1" ht="12.75" x14ac:dyDescent="0.2">
      <c r="R59348" s="1288"/>
    </row>
    <row r="59349" spans="18:18" s="2" customFormat="1" ht="12.75" x14ac:dyDescent="0.2">
      <c r="R59349" s="1288"/>
    </row>
    <row r="59350" spans="18:18" s="2" customFormat="1" ht="12.75" x14ac:dyDescent="0.2">
      <c r="R59350" s="1288"/>
    </row>
    <row r="59351" spans="18:18" s="2" customFormat="1" ht="12.75" x14ac:dyDescent="0.2">
      <c r="R59351" s="1288"/>
    </row>
    <row r="59352" spans="18:18" s="2" customFormat="1" ht="12.75" x14ac:dyDescent="0.2">
      <c r="R59352" s="1288"/>
    </row>
    <row r="59353" spans="18:18" s="2" customFormat="1" ht="12.75" x14ac:dyDescent="0.2">
      <c r="R59353" s="1288"/>
    </row>
    <row r="59354" spans="18:18" s="2" customFormat="1" ht="12.75" x14ac:dyDescent="0.2">
      <c r="R59354" s="1288"/>
    </row>
    <row r="59355" spans="18:18" s="2" customFormat="1" ht="12.75" x14ac:dyDescent="0.2">
      <c r="R59355" s="1288"/>
    </row>
    <row r="59356" spans="18:18" s="2" customFormat="1" ht="12.75" x14ac:dyDescent="0.2">
      <c r="R59356" s="1288"/>
    </row>
    <row r="59357" spans="18:18" s="2" customFormat="1" ht="12.75" x14ac:dyDescent="0.2">
      <c r="R59357" s="1288"/>
    </row>
    <row r="59358" spans="18:18" s="2" customFormat="1" ht="12.75" x14ac:dyDescent="0.2">
      <c r="R59358" s="1288"/>
    </row>
    <row r="59359" spans="18:18" s="2" customFormat="1" ht="12.75" x14ac:dyDescent="0.2">
      <c r="R59359" s="1288"/>
    </row>
    <row r="59360" spans="18:18" s="2" customFormat="1" ht="12.75" x14ac:dyDescent="0.2">
      <c r="R59360" s="1288"/>
    </row>
    <row r="59361" spans="18:18" s="2" customFormat="1" ht="12.75" x14ac:dyDescent="0.2">
      <c r="R59361" s="1288"/>
    </row>
    <row r="59362" spans="18:18" s="2" customFormat="1" ht="12.75" x14ac:dyDescent="0.2">
      <c r="R59362" s="1288"/>
    </row>
    <row r="59363" spans="18:18" s="2" customFormat="1" ht="12.75" x14ac:dyDescent="0.2">
      <c r="R59363" s="1288"/>
    </row>
    <row r="59364" spans="18:18" s="2" customFormat="1" ht="12.75" x14ac:dyDescent="0.2">
      <c r="R59364" s="1288"/>
    </row>
    <row r="59365" spans="18:18" s="2" customFormat="1" ht="12.75" x14ac:dyDescent="0.2">
      <c r="R59365" s="1288"/>
    </row>
    <row r="59366" spans="18:18" s="2" customFormat="1" ht="12.75" x14ac:dyDescent="0.2">
      <c r="R59366" s="1288"/>
    </row>
    <row r="59367" spans="18:18" s="2" customFormat="1" ht="12.75" x14ac:dyDescent="0.2">
      <c r="R59367" s="1288"/>
    </row>
    <row r="59368" spans="18:18" s="2" customFormat="1" ht="12.75" x14ac:dyDescent="0.2">
      <c r="R59368" s="1288"/>
    </row>
    <row r="59369" spans="18:18" s="2" customFormat="1" ht="12.75" x14ac:dyDescent="0.2">
      <c r="R59369" s="1288"/>
    </row>
    <row r="59370" spans="18:18" s="2" customFormat="1" ht="12.75" x14ac:dyDescent="0.2">
      <c r="R59370" s="1288"/>
    </row>
    <row r="59371" spans="18:18" s="2" customFormat="1" ht="12.75" x14ac:dyDescent="0.2">
      <c r="R59371" s="1288"/>
    </row>
    <row r="59372" spans="18:18" s="2" customFormat="1" ht="12.75" x14ac:dyDescent="0.2">
      <c r="R59372" s="1288"/>
    </row>
    <row r="59373" spans="18:18" s="2" customFormat="1" ht="12.75" x14ac:dyDescent="0.2">
      <c r="R59373" s="1288"/>
    </row>
    <row r="59374" spans="18:18" s="2" customFormat="1" ht="12.75" x14ac:dyDescent="0.2">
      <c r="R59374" s="1288"/>
    </row>
    <row r="59375" spans="18:18" s="2" customFormat="1" ht="12.75" x14ac:dyDescent="0.2">
      <c r="R59375" s="1288"/>
    </row>
    <row r="59376" spans="18:18" s="2" customFormat="1" ht="12.75" x14ac:dyDescent="0.2">
      <c r="R59376" s="1288"/>
    </row>
    <row r="59377" spans="18:18" s="2" customFormat="1" ht="12.75" x14ac:dyDescent="0.2">
      <c r="R59377" s="1288"/>
    </row>
    <row r="59378" spans="18:18" s="2" customFormat="1" ht="12.75" x14ac:dyDescent="0.2">
      <c r="R59378" s="1288"/>
    </row>
    <row r="59379" spans="18:18" s="2" customFormat="1" ht="12.75" x14ac:dyDescent="0.2">
      <c r="R59379" s="1288"/>
    </row>
    <row r="59380" spans="18:18" s="2" customFormat="1" ht="12.75" x14ac:dyDescent="0.2">
      <c r="R59380" s="1288"/>
    </row>
    <row r="59381" spans="18:18" s="2" customFormat="1" ht="12.75" x14ac:dyDescent="0.2">
      <c r="R59381" s="1288"/>
    </row>
    <row r="59382" spans="18:18" s="2" customFormat="1" ht="12.75" x14ac:dyDescent="0.2">
      <c r="R59382" s="1288"/>
    </row>
    <row r="59383" spans="18:18" s="2" customFormat="1" ht="12.75" x14ac:dyDescent="0.2">
      <c r="R59383" s="1288"/>
    </row>
    <row r="59384" spans="18:18" s="2" customFormat="1" ht="12.75" x14ac:dyDescent="0.2">
      <c r="R59384" s="1288"/>
    </row>
    <row r="59385" spans="18:18" s="2" customFormat="1" ht="12.75" x14ac:dyDescent="0.2">
      <c r="R59385" s="1288"/>
    </row>
    <row r="59386" spans="18:18" s="2" customFormat="1" ht="12.75" x14ac:dyDescent="0.2">
      <c r="R59386" s="1288"/>
    </row>
    <row r="59387" spans="18:18" s="2" customFormat="1" ht="12.75" x14ac:dyDescent="0.2">
      <c r="R59387" s="1288"/>
    </row>
    <row r="59388" spans="18:18" s="2" customFormat="1" ht="12.75" x14ac:dyDescent="0.2">
      <c r="R59388" s="1288"/>
    </row>
    <row r="59389" spans="18:18" s="2" customFormat="1" ht="12.75" x14ac:dyDescent="0.2">
      <c r="R59389" s="1288"/>
    </row>
    <row r="59390" spans="18:18" s="2" customFormat="1" ht="12.75" x14ac:dyDescent="0.2">
      <c r="R59390" s="1288"/>
    </row>
    <row r="59391" spans="18:18" s="2" customFormat="1" ht="12.75" x14ac:dyDescent="0.2">
      <c r="R59391" s="1288"/>
    </row>
    <row r="59392" spans="18:18" s="2" customFormat="1" ht="12.75" x14ac:dyDescent="0.2">
      <c r="R59392" s="1288"/>
    </row>
    <row r="59393" spans="18:18" s="2" customFormat="1" ht="12.75" x14ac:dyDescent="0.2">
      <c r="R59393" s="1288"/>
    </row>
    <row r="59394" spans="18:18" s="2" customFormat="1" ht="12.75" x14ac:dyDescent="0.2">
      <c r="R59394" s="1288"/>
    </row>
    <row r="59395" spans="18:18" s="2" customFormat="1" ht="12.75" x14ac:dyDescent="0.2">
      <c r="R59395" s="1288"/>
    </row>
    <row r="59396" spans="18:18" s="2" customFormat="1" ht="12.75" x14ac:dyDescent="0.2">
      <c r="R59396" s="1288"/>
    </row>
    <row r="59397" spans="18:18" s="2" customFormat="1" ht="12.75" x14ac:dyDescent="0.2">
      <c r="R59397" s="1288"/>
    </row>
    <row r="59398" spans="18:18" s="2" customFormat="1" ht="12.75" x14ac:dyDescent="0.2">
      <c r="R59398" s="1288"/>
    </row>
    <row r="59399" spans="18:18" s="2" customFormat="1" ht="12.75" x14ac:dyDescent="0.2">
      <c r="R59399" s="1288"/>
    </row>
    <row r="59400" spans="18:18" s="2" customFormat="1" ht="12.75" x14ac:dyDescent="0.2">
      <c r="R59400" s="1288"/>
    </row>
    <row r="59401" spans="18:18" s="2" customFormat="1" ht="12.75" x14ac:dyDescent="0.2">
      <c r="R59401" s="1288"/>
    </row>
    <row r="59402" spans="18:18" s="2" customFormat="1" ht="12.75" x14ac:dyDescent="0.2">
      <c r="R59402" s="1288"/>
    </row>
    <row r="59403" spans="18:18" s="2" customFormat="1" ht="12.75" x14ac:dyDescent="0.2">
      <c r="R59403" s="1288"/>
    </row>
    <row r="59404" spans="18:18" s="2" customFormat="1" ht="12.75" x14ac:dyDescent="0.2">
      <c r="R59404" s="1288"/>
    </row>
    <row r="59405" spans="18:18" s="2" customFormat="1" ht="12.75" x14ac:dyDescent="0.2">
      <c r="R59405" s="1288"/>
    </row>
    <row r="59406" spans="18:18" s="2" customFormat="1" ht="12.75" x14ac:dyDescent="0.2">
      <c r="R59406" s="1288"/>
    </row>
    <row r="59407" spans="18:18" s="2" customFormat="1" ht="12.75" x14ac:dyDescent="0.2">
      <c r="R59407" s="1288"/>
    </row>
    <row r="59408" spans="18:18" s="2" customFormat="1" ht="12.75" x14ac:dyDescent="0.2">
      <c r="R59408" s="1288"/>
    </row>
    <row r="59409" spans="18:18" s="2" customFormat="1" ht="12.75" x14ac:dyDescent="0.2">
      <c r="R59409" s="1288"/>
    </row>
    <row r="59410" spans="18:18" s="2" customFormat="1" ht="12.75" x14ac:dyDescent="0.2">
      <c r="R59410" s="1288"/>
    </row>
    <row r="59411" spans="18:18" s="2" customFormat="1" ht="12.75" x14ac:dyDescent="0.2">
      <c r="R59411" s="1288"/>
    </row>
    <row r="59412" spans="18:18" s="2" customFormat="1" ht="12.75" x14ac:dyDescent="0.2">
      <c r="R59412" s="1288"/>
    </row>
    <row r="59413" spans="18:18" s="2" customFormat="1" ht="12.75" x14ac:dyDescent="0.2">
      <c r="R59413" s="1288"/>
    </row>
    <row r="59414" spans="18:18" s="2" customFormat="1" ht="12.75" x14ac:dyDescent="0.2">
      <c r="R59414" s="1288"/>
    </row>
    <row r="59415" spans="18:18" s="2" customFormat="1" ht="12.75" x14ac:dyDescent="0.2">
      <c r="R59415" s="1288"/>
    </row>
    <row r="59416" spans="18:18" s="2" customFormat="1" ht="12.75" x14ac:dyDescent="0.2">
      <c r="R59416" s="1288"/>
    </row>
    <row r="59417" spans="18:18" s="2" customFormat="1" ht="12.75" x14ac:dyDescent="0.2">
      <c r="R59417" s="1288"/>
    </row>
    <row r="59418" spans="18:18" s="2" customFormat="1" ht="12.75" x14ac:dyDescent="0.2">
      <c r="R59418" s="1288"/>
    </row>
    <row r="59419" spans="18:18" s="2" customFormat="1" ht="12.75" x14ac:dyDescent="0.2">
      <c r="R59419" s="1288"/>
    </row>
    <row r="59420" spans="18:18" s="2" customFormat="1" ht="12.75" x14ac:dyDescent="0.2">
      <c r="R59420" s="1288"/>
    </row>
    <row r="59421" spans="18:18" s="2" customFormat="1" ht="12.75" x14ac:dyDescent="0.2">
      <c r="R59421" s="1288"/>
    </row>
    <row r="59422" spans="18:18" s="2" customFormat="1" ht="12.75" x14ac:dyDescent="0.2">
      <c r="R59422" s="1288"/>
    </row>
    <row r="59423" spans="18:18" s="2" customFormat="1" ht="12.75" x14ac:dyDescent="0.2">
      <c r="R59423" s="1288"/>
    </row>
    <row r="59424" spans="18:18" s="2" customFormat="1" ht="12.75" x14ac:dyDescent="0.2">
      <c r="R59424" s="1288"/>
    </row>
    <row r="59425" spans="18:18" s="2" customFormat="1" ht="12.75" x14ac:dyDescent="0.2">
      <c r="R59425" s="1288"/>
    </row>
    <row r="59426" spans="18:18" s="2" customFormat="1" ht="12.75" x14ac:dyDescent="0.2">
      <c r="R59426" s="1288"/>
    </row>
    <row r="59427" spans="18:18" s="2" customFormat="1" ht="12.75" x14ac:dyDescent="0.2">
      <c r="R59427" s="1288"/>
    </row>
    <row r="59428" spans="18:18" s="2" customFormat="1" ht="12.75" x14ac:dyDescent="0.2">
      <c r="R59428" s="1288"/>
    </row>
    <row r="59429" spans="18:18" s="2" customFormat="1" ht="12.75" x14ac:dyDescent="0.2">
      <c r="R59429" s="1288"/>
    </row>
    <row r="59430" spans="18:18" s="2" customFormat="1" ht="12.75" x14ac:dyDescent="0.2">
      <c r="R59430" s="1288"/>
    </row>
    <row r="59431" spans="18:18" s="2" customFormat="1" ht="12.75" x14ac:dyDescent="0.2">
      <c r="R59431" s="1288"/>
    </row>
    <row r="59432" spans="18:18" s="2" customFormat="1" ht="12.75" x14ac:dyDescent="0.2">
      <c r="R59432" s="1288"/>
    </row>
    <row r="59433" spans="18:18" s="2" customFormat="1" ht="12.75" x14ac:dyDescent="0.2">
      <c r="R59433" s="1288"/>
    </row>
    <row r="59434" spans="18:18" s="2" customFormat="1" ht="12.75" x14ac:dyDescent="0.2">
      <c r="R59434" s="1288"/>
    </row>
    <row r="59435" spans="18:18" s="2" customFormat="1" ht="12.75" x14ac:dyDescent="0.2">
      <c r="R59435" s="1288"/>
    </row>
    <row r="59436" spans="18:18" s="2" customFormat="1" ht="12.75" x14ac:dyDescent="0.2">
      <c r="R59436" s="1288"/>
    </row>
    <row r="59437" spans="18:18" s="2" customFormat="1" ht="12.75" x14ac:dyDescent="0.2">
      <c r="R59437" s="1288"/>
    </row>
    <row r="59438" spans="18:18" s="2" customFormat="1" ht="12.75" x14ac:dyDescent="0.2">
      <c r="R59438" s="1288"/>
    </row>
    <row r="59439" spans="18:18" s="2" customFormat="1" ht="12.75" x14ac:dyDescent="0.2">
      <c r="R59439" s="1288"/>
    </row>
    <row r="59440" spans="18:18" s="2" customFormat="1" ht="12.75" x14ac:dyDescent="0.2">
      <c r="R59440" s="1288"/>
    </row>
    <row r="59441" spans="18:18" s="2" customFormat="1" ht="12.75" x14ac:dyDescent="0.2">
      <c r="R59441" s="1288"/>
    </row>
    <row r="59442" spans="18:18" s="2" customFormat="1" ht="12.75" x14ac:dyDescent="0.2">
      <c r="R59442" s="1288"/>
    </row>
    <row r="59443" spans="18:18" s="2" customFormat="1" ht="12.75" x14ac:dyDescent="0.2">
      <c r="R59443" s="1288"/>
    </row>
    <row r="59444" spans="18:18" s="2" customFormat="1" ht="12.75" x14ac:dyDescent="0.2">
      <c r="R59444" s="1288"/>
    </row>
    <row r="59445" spans="18:18" s="2" customFormat="1" ht="12.75" x14ac:dyDescent="0.2">
      <c r="R59445" s="1288"/>
    </row>
    <row r="59446" spans="18:18" s="2" customFormat="1" ht="12.75" x14ac:dyDescent="0.2">
      <c r="R59446" s="1288"/>
    </row>
    <row r="59447" spans="18:18" s="2" customFormat="1" ht="12.75" x14ac:dyDescent="0.2">
      <c r="R59447" s="1288"/>
    </row>
    <row r="59448" spans="18:18" s="2" customFormat="1" ht="12.75" x14ac:dyDescent="0.2">
      <c r="R59448" s="1288"/>
    </row>
    <row r="59449" spans="18:18" s="2" customFormat="1" ht="12.75" x14ac:dyDescent="0.2">
      <c r="R59449" s="1288"/>
    </row>
    <row r="59450" spans="18:18" s="2" customFormat="1" ht="12.75" x14ac:dyDescent="0.2">
      <c r="R59450" s="1288"/>
    </row>
    <row r="59451" spans="18:18" s="2" customFormat="1" ht="12.75" x14ac:dyDescent="0.2">
      <c r="R59451" s="1288"/>
    </row>
    <row r="59452" spans="18:18" s="2" customFormat="1" ht="12.75" x14ac:dyDescent="0.2">
      <c r="R59452" s="1288"/>
    </row>
    <row r="59453" spans="18:18" s="2" customFormat="1" ht="12.75" x14ac:dyDescent="0.2">
      <c r="R59453" s="1288"/>
    </row>
    <row r="59454" spans="18:18" s="2" customFormat="1" ht="12.75" x14ac:dyDescent="0.2">
      <c r="R59454" s="1288"/>
    </row>
    <row r="59455" spans="18:18" s="2" customFormat="1" ht="12.75" x14ac:dyDescent="0.2">
      <c r="R59455" s="1288"/>
    </row>
    <row r="59456" spans="18:18" s="2" customFormat="1" ht="12.75" x14ac:dyDescent="0.2">
      <c r="R59456" s="1288"/>
    </row>
    <row r="59457" spans="18:18" s="2" customFormat="1" ht="12.75" x14ac:dyDescent="0.2">
      <c r="R59457" s="1288"/>
    </row>
    <row r="59458" spans="18:18" s="2" customFormat="1" ht="12.75" x14ac:dyDescent="0.2">
      <c r="R59458" s="1288"/>
    </row>
    <row r="59459" spans="18:18" s="2" customFormat="1" ht="12.75" x14ac:dyDescent="0.2">
      <c r="R59459" s="1288"/>
    </row>
    <row r="59460" spans="18:18" s="2" customFormat="1" ht="12.75" x14ac:dyDescent="0.2">
      <c r="R59460" s="1288"/>
    </row>
    <row r="59461" spans="18:18" s="2" customFormat="1" ht="12.75" x14ac:dyDescent="0.2">
      <c r="R59461" s="1288"/>
    </row>
    <row r="59462" spans="18:18" s="2" customFormat="1" ht="12.75" x14ac:dyDescent="0.2">
      <c r="R59462" s="1288"/>
    </row>
    <row r="59463" spans="18:18" s="2" customFormat="1" ht="12.75" x14ac:dyDescent="0.2">
      <c r="R59463" s="1288"/>
    </row>
    <row r="59464" spans="18:18" s="2" customFormat="1" ht="12.75" x14ac:dyDescent="0.2">
      <c r="R59464" s="1288"/>
    </row>
    <row r="59465" spans="18:18" s="2" customFormat="1" ht="12.75" x14ac:dyDescent="0.2">
      <c r="R59465" s="1288"/>
    </row>
    <row r="59466" spans="18:18" s="2" customFormat="1" ht="12.75" x14ac:dyDescent="0.2">
      <c r="R59466" s="1288"/>
    </row>
    <row r="59467" spans="18:18" s="2" customFormat="1" ht="12.75" x14ac:dyDescent="0.2">
      <c r="R59467" s="1288"/>
    </row>
    <row r="59468" spans="18:18" s="2" customFormat="1" ht="12.75" x14ac:dyDescent="0.2">
      <c r="R59468" s="1288"/>
    </row>
    <row r="59469" spans="18:18" s="2" customFormat="1" ht="12.75" x14ac:dyDescent="0.2">
      <c r="R59469" s="1288"/>
    </row>
    <row r="59470" spans="18:18" s="2" customFormat="1" ht="12.75" x14ac:dyDescent="0.2">
      <c r="R59470" s="1288"/>
    </row>
    <row r="59471" spans="18:18" s="2" customFormat="1" ht="12.75" x14ac:dyDescent="0.2">
      <c r="R59471" s="1288"/>
    </row>
    <row r="59472" spans="18:18" s="2" customFormat="1" ht="12.75" x14ac:dyDescent="0.2">
      <c r="R59472" s="1288"/>
    </row>
    <row r="59473" spans="18:18" s="2" customFormat="1" ht="12.75" x14ac:dyDescent="0.2">
      <c r="R59473" s="1288"/>
    </row>
    <row r="59474" spans="18:18" s="2" customFormat="1" ht="12.75" x14ac:dyDescent="0.2">
      <c r="R59474" s="1288"/>
    </row>
    <row r="59475" spans="18:18" s="2" customFormat="1" ht="12.75" x14ac:dyDescent="0.2">
      <c r="R59475" s="1288"/>
    </row>
    <row r="59476" spans="18:18" s="2" customFormat="1" ht="12.75" x14ac:dyDescent="0.2">
      <c r="R59476" s="1288"/>
    </row>
    <row r="59477" spans="18:18" s="2" customFormat="1" ht="12.75" x14ac:dyDescent="0.2">
      <c r="R59477" s="1288"/>
    </row>
    <row r="59478" spans="18:18" s="2" customFormat="1" ht="12.75" x14ac:dyDescent="0.2">
      <c r="R59478" s="1288"/>
    </row>
    <row r="59479" spans="18:18" s="2" customFormat="1" ht="12.75" x14ac:dyDescent="0.2">
      <c r="R59479" s="1288"/>
    </row>
    <row r="59480" spans="18:18" s="2" customFormat="1" ht="12.75" x14ac:dyDescent="0.2">
      <c r="R59480" s="1288"/>
    </row>
    <row r="59481" spans="18:18" s="2" customFormat="1" ht="12.75" x14ac:dyDescent="0.2">
      <c r="R59481" s="1288"/>
    </row>
    <row r="59482" spans="18:18" s="2" customFormat="1" ht="12.75" x14ac:dyDescent="0.2">
      <c r="R59482" s="1288"/>
    </row>
    <row r="59483" spans="18:18" s="2" customFormat="1" ht="12.75" x14ac:dyDescent="0.2">
      <c r="R59483" s="1288"/>
    </row>
    <row r="59484" spans="18:18" s="2" customFormat="1" ht="12.75" x14ac:dyDescent="0.2">
      <c r="R59484" s="1288"/>
    </row>
    <row r="59485" spans="18:18" s="2" customFormat="1" ht="12.75" x14ac:dyDescent="0.2">
      <c r="R59485" s="1288"/>
    </row>
    <row r="59486" spans="18:18" s="2" customFormat="1" ht="12.75" x14ac:dyDescent="0.2">
      <c r="R59486" s="1288"/>
    </row>
    <row r="59487" spans="18:18" s="2" customFormat="1" ht="12.75" x14ac:dyDescent="0.2">
      <c r="R59487" s="1288"/>
    </row>
    <row r="59488" spans="18:18" s="2" customFormat="1" ht="12.75" x14ac:dyDescent="0.2">
      <c r="R59488" s="1288"/>
    </row>
    <row r="59489" spans="18:18" s="2" customFormat="1" ht="12.75" x14ac:dyDescent="0.2">
      <c r="R59489" s="1288"/>
    </row>
    <row r="59490" spans="18:18" s="2" customFormat="1" ht="12.75" x14ac:dyDescent="0.2">
      <c r="R59490" s="1288"/>
    </row>
    <row r="59491" spans="18:18" s="2" customFormat="1" ht="12.75" x14ac:dyDescent="0.2">
      <c r="R59491" s="1288"/>
    </row>
    <row r="59492" spans="18:18" s="2" customFormat="1" ht="12.75" x14ac:dyDescent="0.2">
      <c r="R59492" s="1288"/>
    </row>
    <row r="59493" spans="18:18" s="2" customFormat="1" ht="12.75" x14ac:dyDescent="0.2">
      <c r="R59493" s="1288"/>
    </row>
    <row r="59494" spans="18:18" s="2" customFormat="1" ht="12.75" x14ac:dyDescent="0.2">
      <c r="R59494" s="1288"/>
    </row>
    <row r="59495" spans="18:18" s="2" customFormat="1" ht="12.75" x14ac:dyDescent="0.2">
      <c r="R59495" s="1288"/>
    </row>
    <row r="59496" spans="18:18" s="2" customFormat="1" ht="12.75" x14ac:dyDescent="0.2">
      <c r="R59496" s="1288"/>
    </row>
    <row r="59497" spans="18:18" s="2" customFormat="1" ht="12.75" x14ac:dyDescent="0.2">
      <c r="R59497" s="1288"/>
    </row>
    <row r="59498" spans="18:18" s="2" customFormat="1" ht="12.75" x14ac:dyDescent="0.2">
      <c r="R59498" s="1288"/>
    </row>
    <row r="59499" spans="18:18" s="2" customFormat="1" ht="12.75" x14ac:dyDescent="0.2">
      <c r="R59499" s="1288"/>
    </row>
    <row r="59500" spans="18:18" s="2" customFormat="1" ht="12.75" x14ac:dyDescent="0.2">
      <c r="R59500" s="1288"/>
    </row>
    <row r="59501" spans="18:18" s="2" customFormat="1" ht="12.75" x14ac:dyDescent="0.2">
      <c r="R59501" s="1288"/>
    </row>
    <row r="59502" spans="18:18" s="2" customFormat="1" ht="12.75" x14ac:dyDescent="0.2">
      <c r="R59502" s="1288"/>
    </row>
    <row r="59503" spans="18:18" s="2" customFormat="1" ht="12.75" x14ac:dyDescent="0.2">
      <c r="R59503" s="1288"/>
    </row>
    <row r="59504" spans="18:18" s="2" customFormat="1" ht="12.75" x14ac:dyDescent="0.2">
      <c r="R59504" s="1288"/>
    </row>
    <row r="59505" spans="18:18" s="2" customFormat="1" ht="12.75" x14ac:dyDescent="0.2">
      <c r="R59505" s="1288"/>
    </row>
    <row r="59506" spans="18:18" s="2" customFormat="1" ht="12.75" x14ac:dyDescent="0.2">
      <c r="R59506" s="1288"/>
    </row>
    <row r="59507" spans="18:18" s="2" customFormat="1" ht="12.75" x14ac:dyDescent="0.2">
      <c r="R59507" s="1288"/>
    </row>
    <row r="59508" spans="18:18" s="2" customFormat="1" ht="12.75" x14ac:dyDescent="0.2">
      <c r="R59508" s="1288"/>
    </row>
    <row r="59509" spans="18:18" s="2" customFormat="1" ht="12.75" x14ac:dyDescent="0.2">
      <c r="R59509" s="1288"/>
    </row>
    <row r="59510" spans="18:18" s="2" customFormat="1" ht="12.75" x14ac:dyDescent="0.2">
      <c r="R59510" s="1288"/>
    </row>
    <row r="59511" spans="18:18" s="2" customFormat="1" ht="12.75" x14ac:dyDescent="0.2">
      <c r="R59511" s="1288"/>
    </row>
    <row r="59512" spans="18:18" s="2" customFormat="1" ht="12.75" x14ac:dyDescent="0.2">
      <c r="R59512" s="1288"/>
    </row>
    <row r="59513" spans="18:18" s="2" customFormat="1" ht="12.75" x14ac:dyDescent="0.2">
      <c r="R59513" s="1288"/>
    </row>
    <row r="59514" spans="18:18" s="2" customFormat="1" ht="12.75" x14ac:dyDescent="0.2">
      <c r="R59514" s="1288"/>
    </row>
    <row r="59515" spans="18:18" s="2" customFormat="1" ht="12.75" x14ac:dyDescent="0.2">
      <c r="R59515" s="1288"/>
    </row>
    <row r="59516" spans="18:18" s="2" customFormat="1" ht="12.75" x14ac:dyDescent="0.2">
      <c r="R59516" s="1288"/>
    </row>
    <row r="59517" spans="18:18" s="2" customFormat="1" ht="12.75" x14ac:dyDescent="0.2">
      <c r="R59517" s="1288"/>
    </row>
    <row r="59518" spans="18:18" s="2" customFormat="1" ht="12.75" x14ac:dyDescent="0.2">
      <c r="R59518" s="1288"/>
    </row>
    <row r="59519" spans="18:18" s="2" customFormat="1" ht="12.75" x14ac:dyDescent="0.2">
      <c r="R59519" s="1288"/>
    </row>
    <row r="59520" spans="18:18" s="2" customFormat="1" ht="12.75" x14ac:dyDescent="0.2">
      <c r="R59520" s="1288"/>
    </row>
    <row r="59521" spans="18:18" s="2" customFormat="1" ht="12.75" x14ac:dyDescent="0.2">
      <c r="R59521" s="1288"/>
    </row>
    <row r="59522" spans="18:18" s="2" customFormat="1" ht="12.75" x14ac:dyDescent="0.2">
      <c r="R59522" s="1288"/>
    </row>
    <row r="59523" spans="18:18" s="2" customFormat="1" ht="12.75" x14ac:dyDescent="0.2">
      <c r="R59523" s="1288"/>
    </row>
    <row r="59524" spans="18:18" s="2" customFormat="1" ht="12.75" x14ac:dyDescent="0.2">
      <c r="R59524" s="1288"/>
    </row>
    <row r="59525" spans="18:18" s="2" customFormat="1" ht="12.75" x14ac:dyDescent="0.2">
      <c r="R59525" s="1288"/>
    </row>
    <row r="59526" spans="18:18" s="2" customFormat="1" ht="12.75" x14ac:dyDescent="0.2">
      <c r="R59526" s="1288"/>
    </row>
    <row r="59527" spans="18:18" s="2" customFormat="1" ht="12.75" x14ac:dyDescent="0.2">
      <c r="R59527" s="1288"/>
    </row>
    <row r="59528" spans="18:18" s="2" customFormat="1" ht="12.75" x14ac:dyDescent="0.2">
      <c r="R59528" s="1288"/>
    </row>
    <row r="59529" spans="18:18" s="2" customFormat="1" ht="12.75" x14ac:dyDescent="0.2">
      <c r="R59529" s="1288"/>
    </row>
    <row r="59530" spans="18:18" s="2" customFormat="1" ht="12.75" x14ac:dyDescent="0.2">
      <c r="R59530" s="1288"/>
    </row>
    <row r="59531" spans="18:18" s="2" customFormat="1" ht="12.75" x14ac:dyDescent="0.2">
      <c r="R59531" s="1288"/>
    </row>
    <row r="59532" spans="18:18" s="2" customFormat="1" ht="12.75" x14ac:dyDescent="0.2">
      <c r="R59532" s="1288"/>
    </row>
    <row r="59533" spans="18:18" s="2" customFormat="1" ht="12.75" x14ac:dyDescent="0.2">
      <c r="R59533" s="1288"/>
    </row>
    <row r="59534" spans="18:18" s="2" customFormat="1" ht="12.75" x14ac:dyDescent="0.2">
      <c r="R59534" s="1288"/>
    </row>
    <row r="59535" spans="18:18" s="2" customFormat="1" ht="12.75" x14ac:dyDescent="0.2">
      <c r="R59535" s="1288"/>
    </row>
    <row r="59536" spans="18:18" s="2" customFormat="1" ht="12.75" x14ac:dyDescent="0.2">
      <c r="R59536" s="1288"/>
    </row>
    <row r="59537" spans="18:18" s="2" customFormat="1" ht="12.75" x14ac:dyDescent="0.2">
      <c r="R59537" s="1288"/>
    </row>
    <row r="59538" spans="18:18" s="2" customFormat="1" ht="12.75" x14ac:dyDescent="0.2">
      <c r="R59538" s="1288"/>
    </row>
    <row r="59539" spans="18:18" s="2" customFormat="1" ht="12.75" x14ac:dyDescent="0.2">
      <c r="R59539" s="1288"/>
    </row>
    <row r="59540" spans="18:18" s="2" customFormat="1" ht="12.75" x14ac:dyDescent="0.2">
      <c r="R59540" s="1288"/>
    </row>
    <row r="59541" spans="18:18" s="2" customFormat="1" ht="12.75" x14ac:dyDescent="0.2">
      <c r="R59541" s="1288"/>
    </row>
    <row r="59542" spans="18:18" s="2" customFormat="1" ht="12.75" x14ac:dyDescent="0.2">
      <c r="R59542" s="1288"/>
    </row>
    <row r="59543" spans="18:18" s="2" customFormat="1" ht="12.75" x14ac:dyDescent="0.2">
      <c r="R59543" s="1288"/>
    </row>
    <row r="59544" spans="18:18" s="2" customFormat="1" ht="12.75" x14ac:dyDescent="0.2">
      <c r="R59544" s="1288"/>
    </row>
    <row r="59545" spans="18:18" s="2" customFormat="1" ht="12.75" x14ac:dyDescent="0.2">
      <c r="R59545" s="1288"/>
    </row>
    <row r="59546" spans="18:18" s="2" customFormat="1" ht="12.75" x14ac:dyDescent="0.2">
      <c r="R59546" s="1288"/>
    </row>
    <row r="59547" spans="18:18" s="2" customFormat="1" ht="12.75" x14ac:dyDescent="0.2">
      <c r="R59547" s="1288"/>
    </row>
    <row r="59548" spans="18:18" s="2" customFormat="1" ht="12.75" x14ac:dyDescent="0.2">
      <c r="R59548" s="1288"/>
    </row>
    <row r="59549" spans="18:18" s="2" customFormat="1" ht="12.75" x14ac:dyDescent="0.2">
      <c r="R59549" s="1288"/>
    </row>
    <row r="59550" spans="18:18" s="2" customFormat="1" ht="12.75" x14ac:dyDescent="0.2">
      <c r="R59550" s="1288"/>
    </row>
    <row r="59551" spans="18:18" s="2" customFormat="1" ht="12.75" x14ac:dyDescent="0.2">
      <c r="R59551" s="1288"/>
    </row>
    <row r="59552" spans="18:18" s="2" customFormat="1" ht="12.75" x14ac:dyDescent="0.2">
      <c r="R59552" s="1288"/>
    </row>
    <row r="59553" spans="18:18" s="2" customFormat="1" ht="12.75" x14ac:dyDescent="0.2">
      <c r="R59553" s="1288"/>
    </row>
    <row r="59554" spans="18:18" s="2" customFormat="1" ht="12.75" x14ac:dyDescent="0.2">
      <c r="R59554" s="1288"/>
    </row>
    <row r="59555" spans="18:18" s="2" customFormat="1" ht="12.75" x14ac:dyDescent="0.2">
      <c r="R59555" s="1288"/>
    </row>
    <row r="59556" spans="18:18" s="2" customFormat="1" ht="12.75" x14ac:dyDescent="0.2">
      <c r="R59556" s="1288"/>
    </row>
    <row r="59557" spans="18:18" s="2" customFormat="1" ht="12.75" x14ac:dyDescent="0.2">
      <c r="R59557" s="1288"/>
    </row>
    <row r="59558" spans="18:18" s="2" customFormat="1" ht="12.75" x14ac:dyDescent="0.2">
      <c r="R59558" s="1288"/>
    </row>
    <row r="59559" spans="18:18" s="2" customFormat="1" ht="12.75" x14ac:dyDescent="0.2">
      <c r="R59559" s="1288"/>
    </row>
    <row r="59560" spans="18:18" s="2" customFormat="1" ht="12.75" x14ac:dyDescent="0.2">
      <c r="R59560" s="1288"/>
    </row>
    <row r="59561" spans="18:18" s="2" customFormat="1" ht="12.75" x14ac:dyDescent="0.2">
      <c r="R59561" s="1288"/>
    </row>
    <row r="59562" spans="18:18" s="2" customFormat="1" ht="12.75" x14ac:dyDescent="0.2">
      <c r="R59562" s="1288"/>
    </row>
    <row r="59563" spans="18:18" s="2" customFormat="1" ht="12.75" x14ac:dyDescent="0.2">
      <c r="R59563" s="1288"/>
    </row>
    <row r="59564" spans="18:18" s="2" customFormat="1" ht="12.75" x14ac:dyDescent="0.2">
      <c r="R59564" s="1288"/>
    </row>
    <row r="59565" spans="18:18" s="2" customFormat="1" ht="12.75" x14ac:dyDescent="0.2">
      <c r="R59565" s="1288"/>
    </row>
    <row r="59566" spans="18:18" s="2" customFormat="1" ht="12.75" x14ac:dyDescent="0.2">
      <c r="R59566" s="1288"/>
    </row>
    <row r="59567" spans="18:18" s="2" customFormat="1" ht="12.75" x14ac:dyDescent="0.2">
      <c r="R59567" s="1288"/>
    </row>
    <row r="59568" spans="18:18" s="2" customFormat="1" ht="12.75" x14ac:dyDescent="0.2">
      <c r="R59568" s="1288"/>
    </row>
    <row r="59569" spans="18:18" s="2" customFormat="1" ht="12.75" x14ac:dyDescent="0.2">
      <c r="R59569" s="1288"/>
    </row>
    <row r="59570" spans="18:18" s="2" customFormat="1" ht="12.75" x14ac:dyDescent="0.2">
      <c r="R59570" s="1288"/>
    </row>
    <row r="59571" spans="18:18" s="2" customFormat="1" ht="12.75" x14ac:dyDescent="0.2">
      <c r="R59571" s="1288"/>
    </row>
    <row r="59572" spans="18:18" s="2" customFormat="1" ht="12.75" x14ac:dyDescent="0.2">
      <c r="R59572" s="1288"/>
    </row>
    <row r="59573" spans="18:18" s="2" customFormat="1" ht="12.75" x14ac:dyDescent="0.2">
      <c r="R59573" s="1288"/>
    </row>
    <row r="59574" spans="18:18" s="2" customFormat="1" ht="12.75" x14ac:dyDescent="0.2">
      <c r="R59574" s="1288"/>
    </row>
    <row r="59575" spans="18:18" s="2" customFormat="1" ht="12.75" x14ac:dyDescent="0.2">
      <c r="R59575" s="1288"/>
    </row>
    <row r="59576" spans="18:18" s="2" customFormat="1" ht="12.75" x14ac:dyDescent="0.2">
      <c r="R59576" s="1288"/>
    </row>
    <row r="59577" spans="18:18" s="2" customFormat="1" ht="12.75" x14ac:dyDescent="0.2">
      <c r="R59577" s="1288"/>
    </row>
    <row r="59578" spans="18:18" s="2" customFormat="1" ht="12.75" x14ac:dyDescent="0.2">
      <c r="R59578" s="1288"/>
    </row>
    <row r="59579" spans="18:18" s="2" customFormat="1" ht="12.75" x14ac:dyDescent="0.2">
      <c r="R59579" s="1288"/>
    </row>
    <row r="59580" spans="18:18" s="2" customFormat="1" ht="12.75" x14ac:dyDescent="0.2">
      <c r="R59580" s="1288"/>
    </row>
    <row r="59581" spans="18:18" s="2" customFormat="1" ht="12.75" x14ac:dyDescent="0.2">
      <c r="R59581" s="1288"/>
    </row>
    <row r="59582" spans="18:18" s="2" customFormat="1" ht="12.75" x14ac:dyDescent="0.2">
      <c r="R59582" s="1288"/>
    </row>
    <row r="59583" spans="18:18" s="2" customFormat="1" ht="12.75" x14ac:dyDescent="0.2">
      <c r="R59583" s="1288"/>
    </row>
    <row r="59584" spans="18:18" s="2" customFormat="1" ht="12.75" x14ac:dyDescent="0.2">
      <c r="R59584" s="1288"/>
    </row>
    <row r="59585" spans="18:18" s="2" customFormat="1" ht="12.75" x14ac:dyDescent="0.2">
      <c r="R59585" s="1288"/>
    </row>
    <row r="59586" spans="18:18" s="2" customFormat="1" ht="12.75" x14ac:dyDescent="0.2">
      <c r="R59586" s="1288"/>
    </row>
    <row r="59587" spans="18:18" s="2" customFormat="1" ht="12.75" x14ac:dyDescent="0.2">
      <c r="R59587" s="1288"/>
    </row>
    <row r="59588" spans="18:18" s="2" customFormat="1" ht="12.75" x14ac:dyDescent="0.2">
      <c r="R59588" s="1288"/>
    </row>
    <row r="59589" spans="18:18" s="2" customFormat="1" ht="12.75" x14ac:dyDescent="0.2">
      <c r="R59589" s="1288"/>
    </row>
    <row r="59590" spans="18:18" s="2" customFormat="1" ht="12.75" x14ac:dyDescent="0.2">
      <c r="R59590" s="1288"/>
    </row>
    <row r="59591" spans="18:18" s="2" customFormat="1" ht="12.75" x14ac:dyDescent="0.2">
      <c r="R59591" s="1288"/>
    </row>
    <row r="59592" spans="18:18" s="2" customFormat="1" ht="12.75" x14ac:dyDescent="0.2">
      <c r="R59592" s="1288"/>
    </row>
    <row r="59593" spans="18:18" s="2" customFormat="1" ht="12.75" x14ac:dyDescent="0.2">
      <c r="R59593" s="1288"/>
    </row>
    <row r="59594" spans="18:18" s="2" customFormat="1" ht="12.75" x14ac:dyDescent="0.2">
      <c r="R59594" s="1288"/>
    </row>
    <row r="59595" spans="18:18" s="2" customFormat="1" ht="12.75" x14ac:dyDescent="0.2">
      <c r="R59595" s="1288"/>
    </row>
    <row r="59596" spans="18:18" s="2" customFormat="1" ht="12.75" x14ac:dyDescent="0.2">
      <c r="R59596" s="1288"/>
    </row>
    <row r="59597" spans="18:18" s="2" customFormat="1" ht="12.75" x14ac:dyDescent="0.2">
      <c r="R59597" s="1288"/>
    </row>
    <row r="59598" spans="18:18" s="2" customFormat="1" ht="12.75" x14ac:dyDescent="0.2">
      <c r="R59598" s="1288"/>
    </row>
    <row r="59599" spans="18:18" s="2" customFormat="1" ht="12.75" x14ac:dyDescent="0.2">
      <c r="R59599" s="1288"/>
    </row>
    <row r="59600" spans="18:18" s="2" customFormat="1" ht="12.75" x14ac:dyDescent="0.2">
      <c r="R59600" s="1288"/>
    </row>
    <row r="59601" spans="18:18" s="2" customFormat="1" ht="12.75" x14ac:dyDescent="0.2">
      <c r="R59601" s="1288"/>
    </row>
    <row r="59602" spans="18:18" s="2" customFormat="1" ht="12.75" x14ac:dyDescent="0.2">
      <c r="R59602" s="1288"/>
    </row>
    <row r="59603" spans="18:18" s="2" customFormat="1" ht="12.75" x14ac:dyDescent="0.2">
      <c r="R59603" s="1288"/>
    </row>
    <row r="59604" spans="18:18" s="2" customFormat="1" ht="12.75" x14ac:dyDescent="0.2">
      <c r="R59604" s="1288"/>
    </row>
    <row r="59605" spans="18:18" s="2" customFormat="1" ht="12.75" x14ac:dyDescent="0.2">
      <c r="R59605" s="1288"/>
    </row>
    <row r="59606" spans="18:18" s="2" customFormat="1" ht="12.75" x14ac:dyDescent="0.2">
      <c r="R59606" s="1288"/>
    </row>
    <row r="59607" spans="18:18" s="2" customFormat="1" ht="12.75" x14ac:dyDescent="0.2">
      <c r="R59607" s="1288"/>
    </row>
    <row r="59608" spans="18:18" s="2" customFormat="1" ht="12.75" x14ac:dyDescent="0.2">
      <c r="R59608" s="1288"/>
    </row>
    <row r="59609" spans="18:18" s="2" customFormat="1" ht="12.75" x14ac:dyDescent="0.2">
      <c r="R59609" s="1288"/>
    </row>
    <row r="59610" spans="18:18" s="2" customFormat="1" ht="12.75" x14ac:dyDescent="0.2">
      <c r="R59610" s="1288"/>
    </row>
    <row r="59611" spans="18:18" s="2" customFormat="1" ht="12.75" x14ac:dyDescent="0.2">
      <c r="R59611" s="1288"/>
    </row>
    <row r="59612" spans="18:18" s="2" customFormat="1" ht="12.75" x14ac:dyDescent="0.2">
      <c r="R59612" s="1288"/>
    </row>
    <row r="59613" spans="18:18" s="2" customFormat="1" ht="12.75" x14ac:dyDescent="0.2">
      <c r="R59613" s="1288"/>
    </row>
    <row r="59614" spans="18:18" s="2" customFormat="1" ht="12.75" x14ac:dyDescent="0.2">
      <c r="R59614" s="1288"/>
    </row>
    <row r="59615" spans="18:18" s="2" customFormat="1" ht="12.75" x14ac:dyDescent="0.2">
      <c r="R59615" s="1288"/>
    </row>
    <row r="59616" spans="18:18" s="2" customFormat="1" ht="12.75" x14ac:dyDescent="0.2">
      <c r="R59616" s="1288"/>
    </row>
    <row r="59617" spans="18:18" s="2" customFormat="1" ht="12.75" x14ac:dyDescent="0.2">
      <c r="R59617" s="1288"/>
    </row>
    <row r="59618" spans="18:18" s="2" customFormat="1" ht="12.75" x14ac:dyDescent="0.2">
      <c r="R59618" s="1288"/>
    </row>
    <row r="59619" spans="18:18" s="2" customFormat="1" ht="12.75" x14ac:dyDescent="0.2">
      <c r="R59619" s="1288"/>
    </row>
    <row r="59620" spans="18:18" s="2" customFormat="1" ht="12.75" x14ac:dyDescent="0.2">
      <c r="R59620" s="1288"/>
    </row>
    <row r="59621" spans="18:18" s="2" customFormat="1" ht="12.75" x14ac:dyDescent="0.2">
      <c r="R59621" s="1288"/>
    </row>
    <row r="59622" spans="18:18" s="2" customFormat="1" ht="12.75" x14ac:dyDescent="0.2">
      <c r="R59622" s="1288"/>
    </row>
    <row r="59623" spans="18:18" s="2" customFormat="1" ht="12.75" x14ac:dyDescent="0.2">
      <c r="R59623" s="1288"/>
    </row>
    <row r="59624" spans="18:18" s="2" customFormat="1" ht="12.75" x14ac:dyDescent="0.2">
      <c r="R59624" s="1288"/>
    </row>
    <row r="59625" spans="18:18" s="2" customFormat="1" ht="12.75" x14ac:dyDescent="0.2">
      <c r="R59625" s="1288"/>
    </row>
    <row r="59626" spans="18:18" s="2" customFormat="1" ht="12.75" x14ac:dyDescent="0.2">
      <c r="R59626" s="1288"/>
    </row>
    <row r="59627" spans="18:18" s="2" customFormat="1" ht="12.75" x14ac:dyDescent="0.2">
      <c r="R59627" s="1288"/>
    </row>
    <row r="59628" spans="18:18" s="2" customFormat="1" ht="12.75" x14ac:dyDescent="0.2">
      <c r="R59628" s="1288"/>
    </row>
    <row r="59629" spans="18:18" s="2" customFormat="1" ht="12.75" x14ac:dyDescent="0.2">
      <c r="R59629" s="1288"/>
    </row>
    <row r="59630" spans="18:18" s="2" customFormat="1" ht="12.75" x14ac:dyDescent="0.2">
      <c r="R59630" s="1288"/>
    </row>
    <row r="59631" spans="18:18" s="2" customFormat="1" ht="12.75" x14ac:dyDescent="0.2">
      <c r="R59631" s="1288"/>
    </row>
    <row r="59632" spans="18:18" s="2" customFormat="1" ht="12.75" x14ac:dyDescent="0.2">
      <c r="R59632" s="1288"/>
    </row>
    <row r="59633" spans="18:18" s="2" customFormat="1" ht="12.75" x14ac:dyDescent="0.2">
      <c r="R59633" s="1288"/>
    </row>
    <row r="59634" spans="18:18" s="2" customFormat="1" ht="12.75" x14ac:dyDescent="0.2">
      <c r="R59634" s="1288"/>
    </row>
    <row r="59635" spans="18:18" s="2" customFormat="1" ht="12.75" x14ac:dyDescent="0.2">
      <c r="R59635" s="1288"/>
    </row>
    <row r="59636" spans="18:18" s="2" customFormat="1" ht="12.75" x14ac:dyDescent="0.2">
      <c r="R59636" s="1288"/>
    </row>
    <row r="59637" spans="18:18" s="2" customFormat="1" ht="12.75" x14ac:dyDescent="0.2">
      <c r="R59637" s="1288"/>
    </row>
    <row r="59638" spans="18:18" s="2" customFormat="1" ht="12.75" x14ac:dyDescent="0.2">
      <c r="R59638" s="1288"/>
    </row>
    <row r="59639" spans="18:18" s="2" customFormat="1" ht="12.75" x14ac:dyDescent="0.2">
      <c r="R59639" s="1288"/>
    </row>
    <row r="59640" spans="18:18" s="2" customFormat="1" ht="12.75" x14ac:dyDescent="0.2">
      <c r="R59640" s="1288"/>
    </row>
    <row r="59641" spans="18:18" s="2" customFormat="1" ht="12.75" x14ac:dyDescent="0.2">
      <c r="R59641" s="1288"/>
    </row>
    <row r="59642" spans="18:18" s="2" customFormat="1" ht="12.75" x14ac:dyDescent="0.2">
      <c r="R59642" s="1288"/>
    </row>
    <row r="59643" spans="18:18" s="2" customFormat="1" ht="12.75" x14ac:dyDescent="0.2">
      <c r="R59643" s="1288"/>
    </row>
    <row r="59644" spans="18:18" s="2" customFormat="1" ht="12.75" x14ac:dyDescent="0.2">
      <c r="R59644" s="1288"/>
    </row>
    <row r="59645" spans="18:18" s="2" customFormat="1" ht="12.75" x14ac:dyDescent="0.2">
      <c r="R59645" s="1288"/>
    </row>
    <row r="59646" spans="18:18" s="2" customFormat="1" ht="12.75" x14ac:dyDescent="0.2">
      <c r="R59646" s="1288"/>
    </row>
    <row r="59647" spans="18:18" s="2" customFormat="1" ht="12.75" x14ac:dyDescent="0.2">
      <c r="R59647" s="1288"/>
    </row>
    <row r="59648" spans="18:18" s="2" customFormat="1" ht="12.75" x14ac:dyDescent="0.2">
      <c r="R59648" s="1288"/>
    </row>
    <row r="59649" spans="18:18" s="2" customFormat="1" ht="12.75" x14ac:dyDescent="0.2">
      <c r="R59649" s="1288"/>
    </row>
    <row r="59650" spans="18:18" s="2" customFormat="1" ht="12.75" x14ac:dyDescent="0.2">
      <c r="R59650" s="1288"/>
    </row>
    <row r="59651" spans="18:18" s="2" customFormat="1" ht="12.75" x14ac:dyDescent="0.2">
      <c r="R59651" s="1288"/>
    </row>
    <row r="59652" spans="18:18" s="2" customFormat="1" ht="12.75" x14ac:dyDescent="0.2">
      <c r="R59652" s="1288"/>
    </row>
    <row r="59653" spans="18:18" s="2" customFormat="1" ht="12.75" x14ac:dyDescent="0.2">
      <c r="R59653" s="1288"/>
    </row>
    <row r="59654" spans="18:18" s="2" customFormat="1" ht="12.75" x14ac:dyDescent="0.2">
      <c r="R59654" s="1288"/>
    </row>
    <row r="59655" spans="18:18" s="2" customFormat="1" ht="12.75" x14ac:dyDescent="0.2">
      <c r="R59655" s="1288"/>
    </row>
    <row r="59656" spans="18:18" s="2" customFormat="1" ht="12.75" x14ac:dyDescent="0.2">
      <c r="R59656" s="1288"/>
    </row>
    <row r="59657" spans="18:18" s="2" customFormat="1" ht="12.75" x14ac:dyDescent="0.2">
      <c r="R59657" s="1288"/>
    </row>
    <row r="59658" spans="18:18" s="2" customFormat="1" ht="12.75" x14ac:dyDescent="0.2">
      <c r="R59658" s="1288"/>
    </row>
    <row r="59659" spans="18:18" s="2" customFormat="1" ht="12.75" x14ac:dyDescent="0.2">
      <c r="R59659" s="1288"/>
    </row>
    <row r="59660" spans="18:18" s="2" customFormat="1" ht="12.75" x14ac:dyDescent="0.2">
      <c r="R59660" s="1288"/>
    </row>
    <row r="59661" spans="18:18" s="2" customFormat="1" ht="12.75" x14ac:dyDescent="0.2">
      <c r="R59661" s="1288"/>
    </row>
    <row r="59662" spans="18:18" s="2" customFormat="1" ht="12.75" x14ac:dyDescent="0.2">
      <c r="R59662" s="1288"/>
    </row>
    <row r="59663" spans="18:18" s="2" customFormat="1" ht="12.75" x14ac:dyDescent="0.2">
      <c r="R59663" s="1288"/>
    </row>
    <row r="59664" spans="18:18" s="2" customFormat="1" ht="12.75" x14ac:dyDescent="0.2">
      <c r="R59664" s="1288"/>
    </row>
    <row r="59665" spans="18:18" s="2" customFormat="1" ht="12.75" x14ac:dyDescent="0.2">
      <c r="R59665" s="1288"/>
    </row>
    <row r="59666" spans="18:18" s="2" customFormat="1" ht="12.75" x14ac:dyDescent="0.2">
      <c r="R59666" s="1288"/>
    </row>
    <row r="59667" spans="18:18" s="2" customFormat="1" ht="12.75" x14ac:dyDescent="0.2">
      <c r="R59667" s="1288"/>
    </row>
    <row r="59668" spans="18:18" s="2" customFormat="1" ht="12.75" x14ac:dyDescent="0.2">
      <c r="R59668" s="1288"/>
    </row>
    <row r="59669" spans="18:18" s="2" customFormat="1" ht="12.75" x14ac:dyDescent="0.2">
      <c r="R59669" s="1288"/>
    </row>
    <row r="59670" spans="18:18" s="2" customFormat="1" ht="12.75" x14ac:dyDescent="0.2">
      <c r="R59670" s="1288"/>
    </row>
    <row r="59671" spans="18:18" s="2" customFormat="1" ht="12.75" x14ac:dyDescent="0.2">
      <c r="R59671" s="1288"/>
    </row>
    <row r="59672" spans="18:18" s="2" customFormat="1" ht="12.75" x14ac:dyDescent="0.2">
      <c r="R59672" s="1288"/>
    </row>
    <row r="59673" spans="18:18" s="2" customFormat="1" ht="12.75" x14ac:dyDescent="0.2">
      <c r="R59673" s="1288"/>
    </row>
    <row r="59674" spans="18:18" s="2" customFormat="1" ht="12.75" x14ac:dyDescent="0.2">
      <c r="R59674" s="1288"/>
    </row>
    <row r="59675" spans="18:18" s="2" customFormat="1" ht="12.75" x14ac:dyDescent="0.2">
      <c r="R59675" s="1288"/>
    </row>
    <row r="59676" spans="18:18" s="2" customFormat="1" ht="12.75" x14ac:dyDescent="0.2">
      <c r="R59676" s="1288"/>
    </row>
    <row r="59677" spans="18:18" s="2" customFormat="1" ht="12.75" x14ac:dyDescent="0.2">
      <c r="R59677" s="1288"/>
    </row>
    <row r="59678" spans="18:18" s="2" customFormat="1" ht="12.75" x14ac:dyDescent="0.2">
      <c r="R59678" s="1288"/>
    </row>
    <row r="59679" spans="18:18" s="2" customFormat="1" ht="12.75" x14ac:dyDescent="0.2">
      <c r="R59679" s="1288"/>
    </row>
    <row r="59680" spans="18:18" s="2" customFormat="1" ht="12.75" x14ac:dyDescent="0.2">
      <c r="R59680" s="1288"/>
    </row>
    <row r="59681" spans="18:18" s="2" customFormat="1" ht="12.75" x14ac:dyDescent="0.2">
      <c r="R59681" s="1288"/>
    </row>
    <row r="59682" spans="18:18" s="2" customFormat="1" ht="12.75" x14ac:dyDescent="0.2">
      <c r="R59682" s="1288"/>
    </row>
    <row r="59683" spans="18:18" s="2" customFormat="1" ht="12.75" x14ac:dyDescent="0.2">
      <c r="R59683" s="1288"/>
    </row>
    <row r="59684" spans="18:18" s="2" customFormat="1" ht="12.75" x14ac:dyDescent="0.2">
      <c r="R59684" s="1288"/>
    </row>
    <row r="59685" spans="18:18" s="2" customFormat="1" ht="12.75" x14ac:dyDescent="0.2">
      <c r="R59685" s="1288"/>
    </row>
    <row r="59686" spans="18:18" s="2" customFormat="1" ht="12.75" x14ac:dyDescent="0.2">
      <c r="R59686" s="1288"/>
    </row>
    <row r="59687" spans="18:18" s="2" customFormat="1" ht="12.75" x14ac:dyDescent="0.2">
      <c r="R59687" s="1288"/>
    </row>
    <row r="59688" spans="18:18" s="2" customFormat="1" ht="12.75" x14ac:dyDescent="0.2">
      <c r="R59688" s="1288"/>
    </row>
    <row r="59689" spans="18:18" s="2" customFormat="1" ht="12.75" x14ac:dyDescent="0.2">
      <c r="R59689" s="1288"/>
    </row>
    <row r="59690" spans="18:18" s="2" customFormat="1" ht="12.75" x14ac:dyDescent="0.2">
      <c r="R59690" s="1288"/>
    </row>
    <row r="59691" spans="18:18" s="2" customFormat="1" ht="12.75" x14ac:dyDescent="0.2">
      <c r="R59691" s="1288"/>
    </row>
    <row r="59692" spans="18:18" s="2" customFormat="1" ht="12.75" x14ac:dyDescent="0.2">
      <c r="R59692" s="1288"/>
    </row>
    <row r="59693" spans="18:18" s="2" customFormat="1" ht="12.75" x14ac:dyDescent="0.2">
      <c r="R59693" s="1288"/>
    </row>
    <row r="59694" spans="18:18" s="2" customFormat="1" ht="12.75" x14ac:dyDescent="0.2">
      <c r="R59694" s="1288"/>
    </row>
    <row r="59695" spans="18:18" s="2" customFormat="1" ht="12.75" x14ac:dyDescent="0.2">
      <c r="R59695" s="1288"/>
    </row>
    <row r="59696" spans="18:18" s="2" customFormat="1" ht="12.75" x14ac:dyDescent="0.2">
      <c r="R59696" s="1288"/>
    </row>
    <row r="59697" spans="18:18" s="2" customFormat="1" ht="12.75" x14ac:dyDescent="0.2">
      <c r="R59697" s="1288"/>
    </row>
    <row r="59698" spans="18:18" s="2" customFormat="1" ht="12.75" x14ac:dyDescent="0.2">
      <c r="R59698" s="1288"/>
    </row>
    <row r="59699" spans="18:18" s="2" customFormat="1" ht="12.75" x14ac:dyDescent="0.2">
      <c r="R59699" s="1288"/>
    </row>
    <row r="59700" spans="18:18" s="2" customFormat="1" ht="12.75" x14ac:dyDescent="0.2">
      <c r="R59700" s="1288"/>
    </row>
    <row r="59701" spans="18:18" s="2" customFormat="1" ht="12.75" x14ac:dyDescent="0.2">
      <c r="R59701" s="1288"/>
    </row>
    <row r="59702" spans="18:18" s="2" customFormat="1" ht="12.75" x14ac:dyDescent="0.2">
      <c r="R59702" s="1288"/>
    </row>
    <row r="59703" spans="18:18" s="2" customFormat="1" ht="12.75" x14ac:dyDescent="0.2">
      <c r="R59703" s="1288"/>
    </row>
    <row r="59704" spans="18:18" s="2" customFormat="1" ht="12.75" x14ac:dyDescent="0.2">
      <c r="R59704" s="1288"/>
    </row>
    <row r="59705" spans="18:18" s="2" customFormat="1" ht="12.75" x14ac:dyDescent="0.2">
      <c r="R59705" s="1288"/>
    </row>
    <row r="59706" spans="18:18" s="2" customFormat="1" ht="12.75" x14ac:dyDescent="0.2">
      <c r="R59706" s="1288"/>
    </row>
    <row r="59707" spans="18:18" s="2" customFormat="1" ht="12.75" x14ac:dyDescent="0.2">
      <c r="R59707" s="1288"/>
    </row>
    <row r="59708" spans="18:18" s="2" customFormat="1" ht="12.75" x14ac:dyDescent="0.2">
      <c r="R59708" s="1288"/>
    </row>
    <row r="59709" spans="18:18" s="2" customFormat="1" ht="12.75" x14ac:dyDescent="0.2">
      <c r="R59709" s="1288"/>
    </row>
    <row r="59710" spans="18:18" s="2" customFormat="1" ht="12.75" x14ac:dyDescent="0.2">
      <c r="R59710" s="1288"/>
    </row>
    <row r="59711" spans="18:18" s="2" customFormat="1" ht="12.75" x14ac:dyDescent="0.2">
      <c r="R59711" s="1288"/>
    </row>
    <row r="59712" spans="18:18" s="2" customFormat="1" ht="12.75" x14ac:dyDescent="0.2">
      <c r="R59712" s="1288"/>
    </row>
    <row r="59713" spans="18:18" s="2" customFormat="1" ht="12.75" x14ac:dyDescent="0.2">
      <c r="R59713" s="1288"/>
    </row>
    <row r="59714" spans="18:18" s="2" customFormat="1" ht="12.75" x14ac:dyDescent="0.2">
      <c r="R59714" s="1288"/>
    </row>
    <row r="59715" spans="18:18" s="2" customFormat="1" ht="12.75" x14ac:dyDescent="0.2">
      <c r="R59715" s="1288"/>
    </row>
    <row r="59716" spans="18:18" s="2" customFormat="1" ht="12.75" x14ac:dyDescent="0.2">
      <c r="R59716" s="1288"/>
    </row>
    <row r="59717" spans="18:18" s="2" customFormat="1" ht="12.75" x14ac:dyDescent="0.2">
      <c r="R59717" s="1288"/>
    </row>
    <row r="59718" spans="18:18" s="2" customFormat="1" ht="12.75" x14ac:dyDescent="0.2">
      <c r="R59718" s="1288"/>
    </row>
    <row r="59719" spans="18:18" s="2" customFormat="1" ht="12.75" x14ac:dyDescent="0.2">
      <c r="R59719" s="1288"/>
    </row>
    <row r="59720" spans="18:18" s="2" customFormat="1" ht="12.75" x14ac:dyDescent="0.2">
      <c r="R59720" s="1288"/>
    </row>
    <row r="59721" spans="18:18" s="2" customFormat="1" ht="12.75" x14ac:dyDescent="0.2">
      <c r="R59721" s="1288"/>
    </row>
    <row r="59722" spans="18:18" s="2" customFormat="1" ht="12.75" x14ac:dyDescent="0.2">
      <c r="R59722" s="1288"/>
    </row>
    <row r="59723" spans="18:18" s="2" customFormat="1" ht="12.75" x14ac:dyDescent="0.2">
      <c r="R59723" s="1288"/>
    </row>
    <row r="59724" spans="18:18" s="2" customFormat="1" ht="12.75" x14ac:dyDescent="0.2">
      <c r="R59724" s="1288"/>
    </row>
    <row r="59725" spans="18:18" s="2" customFormat="1" ht="12.75" x14ac:dyDescent="0.2">
      <c r="R59725" s="1288"/>
    </row>
    <row r="59726" spans="18:18" s="2" customFormat="1" ht="12.75" x14ac:dyDescent="0.2">
      <c r="R59726" s="1288"/>
    </row>
    <row r="59727" spans="18:18" s="2" customFormat="1" ht="12.75" x14ac:dyDescent="0.2">
      <c r="R59727" s="1288"/>
    </row>
    <row r="59728" spans="18:18" s="2" customFormat="1" ht="12.75" x14ac:dyDescent="0.2">
      <c r="R59728" s="1288"/>
    </row>
    <row r="59729" spans="18:18" s="2" customFormat="1" ht="12.75" x14ac:dyDescent="0.2">
      <c r="R59729" s="1288"/>
    </row>
    <row r="59730" spans="18:18" s="2" customFormat="1" ht="12.75" x14ac:dyDescent="0.2">
      <c r="R59730" s="1288"/>
    </row>
    <row r="59731" spans="18:18" s="2" customFormat="1" ht="12.75" x14ac:dyDescent="0.2">
      <c r="R59731" s="1288"/>
    </row>
    <row r="59732" spans="18:18" s="2" customFormat="1" ht="12.75" x14ac:dyDescent="0.2">
      <c r="R59732" s="1288"/>
    </row>
    <row r="59733" spans="18:18" s="2" customFormat="1" ht="12.75" x14ac:dyDescent="0.2">
      <c r="R59733" s="1288"/>
    </row>
    <row r="59734" spans="18:18" s="2" customFormat="1" ht="12.75" x14ac:dyDescent="0.2">
      <c r="R59734" s="1288"/>
    </row>
    <row r="59735" spans="18:18" s="2" customFormat="1" ht="12.75" x14ac:dyDescent="0.2">
      <c r="R59735" s="1288"/>
    </row>
    <row r="59736" spans="18:18" s="2" customFormat="1" ht="12.75" x14ac:dyDescent="0.2">
      <c r="R59736" s="1288"/>
    </row>
    <row r="59737" spans="18:18" s="2" customFormat="1" ht="12.75" x14ac:dyDescent="0.2">
      <c r="R59737" s="1288"/>
    </row>
    <row r="59738" spans="18:18" s="2" customFormat="1" ht="12.75" x14ac:dyDescent="0.2">
      <c r="R59738" s="1288"/>
    </row>
    <row r="59739" spans="18:18" s="2" customFormat="1" ht="12.75" x14ac:dyDescent="0.2">
      <c r="R59739" s="1288"/>
    </row>
    <row r="59740" spans="18:18" s="2" customFormat="1" ht="12.75" x14ac:dyDescent="0.2">
      <c r="R59740" s="1288"/>
    </row>
    <row r="59741" spans="18:18" s="2" customFormat="1" ht="12.75" x14ac:dyDescent="0.2">
      <c r="R59741" s="1288"/>
    </row>
    <row r="59742" spans="18:18" s="2" customFormat="1" ht="12.75" x14ac:dyDescent="0.2">
      <c r="R59742" s="1288"/>
    </row>
    <row r="59743" spans="18:18" s="2" customFormat="1" ht="12.75" x14ac:dyDescent="0.2">
      <c r="R59743" s="1288"/>
    </row>
    <row r="59744" spans="18:18" s="2" customFormat="1" ht="12.75" x14ac:dyDescent="0.2">
      <c r="R59744" s="1288"/>
    </row>
    <row r="59745" spans="18:18" s="2" customFormat="1" ht="12.75" x14ac:dyDescent="0.2">
      <c r="R59745" s="1288"/>
    </row>
    <row r="59746" spans="18:18" s="2" customFormat="1" ht="12.75" x14ac:dyDescent="0.2">
      <c r="R59746" s="1288"/>
    </row>
    <row r="59747" spans="18:18" s="2" customFormat="1" ht="12.75" x14ac:dyDescent="0.2">
      <c r="R59747" s="1288"/>
    </row>
    <row r="59748" spans="18:18" s="2" customFormat="1" ht="12.75" x14ac:dyDescent="0.2">
      <c r="R59748" s="1288"/>
    </row>
    <row r="59749" spans="18:18" s="2" customFormat="1" ht="12.75" x14ac:dyDescent="0.2">
      <c r="R59749" s="1288"/>
    </row>
    <row r="59750" spans="18:18" s="2" customFormat="1" ht="12.75" x14ac:dyDescent="0.2">
      <c r="R59750" s="1288"/>
    </row>
    <row r="59751" spans="18:18" s="2" customFormat="1" ht="12.75" x14ac:dyDescent="0.2">
      <c r="R59751" s="1288"/>
    </row>
    <row r="59752" spans="18:18" s="2" customFormat="1" ht="12.75" x14ac:dyDescent="0.2">
      <c r="R59752" s="1288"/>
    </row>
    <row r="59753" spans="18:18" s="2" customFormat="1" ht="12.75" x14ac:dyDescent="0.2">
      <c r="R59753" s="1288"/>
    </row>
    <row r="59754" spans="18:18" s="2" customFormat="1" ht="12.75" x14ac:dyDescent="0.2">
      <c r="R59754" s="1288"/>
    </row>
    <row r="59755" spans="18:18" s="2" customFormat="1" ht="12.75" x14ac:dyDescent="0.2">
      <c r="R59755" s="1288"/>
    </row>
    <row r="59756" spans="18:18" s="2" customFormat="1" ht="12.75" x14ac:dyDescent="0.2">
      <c r="R59756" s="1288"/>
    </row>
    <row r="59757" spans="18:18" s="2" customFormat="1" ht="12.75" x14ac:dyDescent="0.2">
      <c r="R59757" s="1288"/>
    </row>
    <row r="59758" spans="18:18" s="2" customFormat="1" ht="12.75" x14ac:dyDescent="0.2">
      <c r="R59758" s="1288"/>
    </row>
    <row r="59759" spans="18:18" s="2" customFormat="1" ht="12.75" x14ac:dyDescent="0.2">
      <c r="R59759" s="1288"/>
    </row>
    <row r="59760" spans="18:18" s="2" customFormat="1" ht="12.75" x14ac:dyDescent="0.2">
      <c r="R59760" s="1288"/>
    </row>
    <row r="59761" spans="18:18" s="2" customFormat="1" ht="12.75" x14ac:dyDescent="0.2">
      <c r="R59761" s="1288"/>
    </row>
    <row r="59762" spans="18:18" s="2" customFormat="1" ht="12.75" x14ac:dyDescent="0.2">
      <c r="R59762" s="1288"/>
    </row>
    <row r="59763" spans="18:18" s="2" customFormat="1" ht="12.75" x14ac:dyDescent="0.2">
      <c r="R59763" s="1288"/>
    </row>
    <row r="59764" spans="18:18" s="2" customFormat="1" ht="12.75" x14ac:dyDescent="0.2">
      <c r="R59764" s="1288"/>
    </row>
    <row r="59765" spans="18:18" s="2" customFormat="1" ht="12.75" x14ac:dyDescent="0.2">
      <c r="R59765" s="1288"/>
    </row>
    <row r="59766" spans="18:18" s="2" customFormat="1" ht="12.75" x14ac:dyDescent="0.2">
      <c r="R59766" s="1288"/>
    </row>
    <row r="59767" spans="18:18" s="2" customFormat="1" ht="12.75" x14ac:dyDescent="0.2">
      <c r="R59767" s="1288"/>
    </row>
    <row r="59768" spans="18:18" s="2" customFormat="1" ht="12.75" x14ac:dyDescent="0.2">
      <c r="R59768" s="1288"/>
    </row>
    <row r="59769" spans="18:18" s="2" customFormat="1" ht="12.75" x14ac:dyDescent="0.2">
      <c r="R59769" s="1288"/>
    </row>
    <row r="59770" spans="18:18" s="2" customFormat="1" ht="12.75" x14ac:dyDescent="0.2">
      <c r="R59770" s="1288"/>
    </row>
    <row r="59771" spans="18:18" s="2" customFormat="1" ht="12.75" x14ac:dyDescent="0.2">
      <c r="R59771" s="1288"/>
    </row>
    <row r="59772" spans="18:18" s="2" customFormat="1" ht="12.75" x14ac:dyDescent="0.2">
      <c r="R59772" s="1288"/>
    </row>
    <row r="59773" spans="18:18" s="2" customFormat="1" ht="12.75" x14ac:dyDescent="0.2">
      <c r="R59773" s="1288"/>
    </row>
    <row r="59774" spans="18:18" s="2" customFormat="1" ht="12.75" x14ac:dyDescent="0.2">
      <c r="R59774" s="1288"/>
    </row>
    <row r="59775" spans="18:18" s="2" customFormat="1" ht="12.75" x14ac:dyDescent="0.2">
      <c r="R59775" s="1288"/>
    </row>
    <row r="59776" spans="18:18" s="2" customFormat="1" ht="12.75" x14ac:dyDescent="0.2">
      <c r="R59776" s="1288"/>
    </row>
    <row r="59777" spans="18:18" s="2" customFormat="1" ht="12.75" x14ac:dyDescent="0.2">
      <c r="R59777" s="1288"/>
    </row>
    <row r="59778" spans="18:18" s="2" customFormat="1" ht="12.75" x14ac:dyDescent="0.2">
      <c r="R59778" s="1288"/>
    </row>
    <row r="59779" spans="18:18" s="2" customFormat="1" ht="12.75" x14ac:dyDescent="0.2">
      <c r="R59779" s="1288"/>
    </row>
    <row r="59780" spans="18:18" s="2" customFormat="1" ht="12.75" x14ac:dyDescent="0.2">
      <c r="R59780" s="1288"/>
    </row>
    <row r="59781" spans="18:18" s="2" customFormat="1" ht="12.75" x14ac:dyDescent="0.2">
      <c r="R59781" s="1288"/>
    </row>
    <row r="59782" spans="18:18" s="2" customFormat="1" ht="12.75" x14ac:dyDescent="0.2">
      <c r="R59782" s="1288"/>
    </row>
    <row r="59783" spans="18:18" s="2" customFormat="1" ht="12.75" x14ac:dyDescent="0.2">
      <c r="R59783" s="1288"/>
    </row>
    <row r="59784" spans="18:18" s="2" customFormat="1" ht="12.75" x14ac:dyDescent="0.2">
      <c r="R59784" s="1288"/>
    </row>
    <row r="59785" spans="18:18" s="2" customFormat="1" ht="12.75" x14ac:dyDescent="0.2">
      <c r="R59785" s="1288"/>
    </row>
    <row r="59786" spans="18:18" s="2" customFormat="1" ht="12.75" x14ac:dyDescent="0.2">
      <c r="R59786" s="1288"/>
    </row>
    <row r="59787" spans="18:18" s="2" customFormat="1" ht="12.75" x14ac:dyDescent="0.2">
      <c r="R59787" s="1288"/>
    </row>
    <row r="59788" spans="18:18" s="2" customFormat="1" ht="12.75" x14ac:dyDescent="0.2">
      <c r="R59788" s="1288"/>
    </row>
    <row r="59789" spans="18:18" s="2" customFormat="1" ht="12.75" x14ac:dyDescent="0.2">
      <c r="R59789" s="1288"/>
    </row>
    <row r="59790" spans="18:18" s="2" customFormat="1" ht="12.75" x14ac:dyDescent="0.2">
      <c r="R59790" s="1288"/>
    </row>
    <row r="59791" spans="18:18" s="2" customFormat="1" ht="12.75" x14ac:dyDescent="0.2">
      <c r="R59791" s="1288"/>
    </row>
    <row r="59792" spans="18:18" s="2" customFormat="1" ht="12.75" x14ac:dyDescent="0.2">
      <c r="R59792" s="1288"/>
    </row>
    <row r="59793" spans="18:18" s="2" customFormat="1" ht="12.75" x14ac:dyDescent="0.2">
      <c r="R59793" s="1288"/>
    </row>
    <row r="59794" spans="18:18" s="2" customFormat="1" ht="12.75" x14ac:dyDescent="0.2">
      <c r="R59794" s="1288"/>
    </row>
    <row r="59795" spans="18:18" s="2" customFormat="1" ht="12.75" x14ac:dyDescent="0.2">
      <c r="R59795" s="1288"/>
    </row>
    <row r="59796" spans="18:18" s="2" customFormat="1" ht="12.75" x14ac:dyDescent="0.2">
      <c r="R59796" s="1288"/>
    </row>
    <row r="59797" spans="18:18" s="2" customFormat="1" ht="12.75" x14ac:dyDescent="0.2">
      <c r="R59797" s="1288"/>
    </row>
    <row r="59798" spans="18:18" s="2" customFormat="1" ht="12.75" x14ac:dyDescent="0.2">
      <c r="R59798" s="1288"/>
    </row>
    <row r="59799" spans="18:18" s="2" customFormat="1" ht="12.75" x14ac:dyDescent="0.2">
      <c r="R59799" s="1288"/>
    </row>
    <row r="59800" spans="18:18" s="2" customFormat="1" ht="12.75" x14ac:dyDescent="0.2">
      <c r="R59800" s="1288"/>
    </row>
    <row r="59801" spans="18:18" s="2" customFormat="1" ht="12.75" x14ac:dyDescent="0.2">
      <c r="R59801" s="1288"/>
    </row>
    <row r="59802" spans="18:18" s="2" customFormat="1" ht="12.75" x14ac:dyDescent="0.2">
      <c r="R59802" s="1288"/>
    </row>
    <row r="59803" spans="18:18" s="2" customFormat="1" ht="12.75" x14ac:dyDescent="0.2">
      <c r="R59803" s="1288"/>
    </row>
    <row r="59804" spans="18:18" s="2" customFormat="1" ht="12.75" x14ac:dyDescent="0.2">
      <c r="R59804" s="1288"/>
    </row>
    <row r="59805" spans="18:18" s="2" customFormat="1" ht="12.75" x14ac:dyDescent="0.2">
      <c r="R59805" s="1288"/>
    </row>
    <row r="59806" spans="18:18" s="2" customFormat="1" ht="12.75" x14ac:dyDescent="0.2">
      <c r="R59806" s="1288"/>
    </row>
    <row r="59807" spans="18:18" s="2" customFormat="1" ht="12.75" x14ac:dyDescent="0.2">
      <c r="R59807" s="1288"/>
    </row>
    <row r="59808" spans="18:18" s="2" customFormat="1" ht="12.75" x14ac:dyDescent="0.2">
      <c r="R59808" s="1288"/>
    </row>
    <row r="59809" spans="18:18" s="2" customFormat="1" ht="12.75" x14ac:dyDescent="0.2">
      <c r="R59809" s="1288"/>
    </row>
    <row r="59810" spans="18:18" s="2" customFormat="1" ht="12.75" x14ac:dyDescent="0.2">
      <c r="R59810" s="1288"/>
    </row>
    <row r="59811" spans="18:18" s="2" customFormat="1" ht="12.75" x14ac:dyDescent="0.2">
      <c r="R59811" s="1288"/>
    </row>
    <row r="59812" spans="18:18" s="2" customFormat="1" ht="12.75" x14ac:dyDescent="0.2">
      <c r="R59812" s="1288"/>
    </row>
    <row r="59813" spans="18:18" s="2" customFormat="1" ht="12.75" x14ac:dyDescent="0.2">
      <c r="R59813" s="1288"/>
    </row>
    <row r="59814" spans="18:18" s="2" customFormat="1" ht="12.75" x14ac:dyDescent="0.2">
      <c r="R59814" s="1288"/>
    </row>
    <row r="59815" spans="18:18" s="2" customFormat="1" ht="12.75" x14ac:dyDescent="0.2">
      <c r="R59815" s="1288"/>
    </row>
    <row r="59816" spans="18:18" s="2" customFormat="1" ht="12.75" x14ac:dyDescent="0.2">
      <c r="R59816" s="1288"/>
    </row>
    <row r="59817" spans="18:18" s="2" customFormat="1" ht="12.75" x14ac:dyDescent="0.2">
      <c r="R59817" s="1288"/>
    </row>
    <row r="59818" spans="18:18" s="2" customFormat="1" ht="12.75" x14ac:dyDescent="0.2">
      <c r="R59818" s="1288"/>
    </row>
    <row r="59819" spans="18:18" s="2" customFormat="1" ht="12.75" x14ac:dyDescent="0.2">
      <c r="R59819" s="1288"/>
    </row>
    <row r="59820" spans="18:18" s="2" customFormat="1" ht="12.75" x14ac:dyDescent="0.2">
      <c r="R59820" s="1288"/>
    </row>
    <row r="59821" spans="18:18" s="2" customFormat="1" ht="12.75" x14ac:dyDescent="0.2">
      <c r="R59821" s="1288"/>
    </row>
    <row r="59822" spans="18:18" s="2" customFormat="1" ht="12.75" x14ac:dyDescent="0.2">
      <c r="R59822" s="1288"/>
    </row>
    <row r="59823" spans="18:18" s="2" customFormat="1" ht="12.75" x14ac:dyDescent="0.2">
      <c r="R59823" s="1288"/>
    </row>
    <row r="59824" spans="18:18" s="2" customFormat="1" ht="12.75" x14ac:dyDescent="0.2">
      <c r="R59824" s="1288"/>
    </row>
    <row r="59825" spans="18:18" s="2" customFormat="1" ht="12.75" x14ac:dyDescent="0.2">
      <c r="R59825" s="1288"/>
    </row>
    <row r="59826" spans="18:18" s="2" customFormat="1" ht="12.75" x14ac:dyDescent="0.2">
      <c r="R59826" s="1288"/>
    </row>
    <row r="59827" spans="18:18" s="2" customFormat="1" ht="12.75" x14ac:dyDescent="0.2">
      <c r="R59827" s="1288"/>
    </row>
    <row r="59828" spans="18:18" s="2" customFormat="1" ht="12.75" x14ac:dyDescent="0.2">
      <c r="R59828" s="1288"/>
    </row>
    <row r="59829" spans="18:18" s="2" customFormat="1" ht="12.75" x14ac:dyDescent="0.2">
      <c r="R59829" s="1288"/>
    </row>
    <row r="59830" spans="18:18" s="2" customFormat="1" ht="12.75" x14ac:dyDescent="0.2">
      <c r="R59830" s="1288"/>
    </row>
    <row r="59831" spans="18:18" s="2" customFormat="1" ht="12.75" x14ac:dyDescent="0.2">
      <c r="R59831" s="1288"/>
    </row>
    <row r="59832" spans="18:18" s="2" customFormat="1" ht="12.75" x14ac:dyDescent="0.2">
      <c r="R59832" s="1288"/>
    </row>
    <row r="59833" spans="18:18" s="2" customFormat="1" ht="12.75" x14ac:dyDescent="0.2">
      <c r="R59833" s="1288"/>
    </row>
    <row r="59834" spans="18:18" s="2" customFormat="1" ht="12.75" x14ac:dyDescent="0.2">
      <c r="R59834" s="1288"/>
    </row>
    <row r="59835" spans="18:18" s="2" customFormat="1" ht="12.75" x14ac:dyDescent="0.2">
      <c r="R59835" s="1288"/>
    </row>
    <row r="59836" spans="18:18" s="2" customFormat="1" ht="12.75" x14ac:dyDescent="0.2">
      <c r="R59836" s="1288"/>
    </row>
    <row r="59837" spans="18:18" s="2" customFormat="1" ht="12.75" x14ac:dyDescent="0.2">
      <c r="R59837" s="1288"/>
    </row>
    <row r="59838" spans="18:18" s="2" customFormat="1" ht="12.75" x14ac:dyDescent="0.2">
      <c r="R59838" s="1288"/>
    </row>
    <row r="59839" spans="18:18" s="2" customFormat="1" ht="12.75" x14ac:dyDescent="0.2">
      <c r="R59839" s="1288"/>
    </row>
    <row r="59840" spans="18:18" s="2" customFormat="1" ht="12.75" x14ac:dyDescent="0.2">
      <c r="R59840" s="1288"/>
    </row>
    <row r="59841" spans="18:18" s="2" customFormat="1" ht="12.75" x14ac:dyDescent="0.2">
      <c r="R59841" s="1288"/>
    </row>
    <row r="59842" spans="18:18" s="2" customFormat="1" ht="12.75" x14ac:dyDescent="0.2">
      <c r="R59842" s="1288"/>
    </row>
    <row r="59843" spans="18:18" s="2" customFormat="1" ht="12.75" x14ac:dyDescent="0.2">
      <c r="R59843" s="1288"/>
    </row>
    <row r="59844" spans="18:18" s="2" customFormat="1" ht="12.75" x14ac:dyDescent="0.2">
      <c r="R59844" s="1288"/>
    </row>
    <row r="59845" spans="18:18" s="2" customFormat="1" ht="12.75" x14ac:dyDescent="0.2">
      <c r="R59845" s="1288"/>
    </row>
    <row r="59846" spans="18:18" s="2" customFormat="1" ht="12.75" x14ac:dyDescent="0.2">
      <c r="R59846" s="1288"/>
    </row>
    <row r="59847" spans="18:18" s="2" customFormat="1" ht="12.75" x14ac:dyDescent="0.2">
      <c r="R59847" s="1288"/>
    </row>
    <row r="59848" spans="18:18" s="2" customFormat="1" ht="12.75" x14ac:dyDescent="0.2">
      <c r="R59848" s="1288"/>
    </row>
    <row r="59849" spans="18:18" s="2" customFormat="1" ht="12.75" x14ac:dyDescent="0.2">
      <c r="R59849" s="1288"/>
    </row>
    <row r="59850" spans="18:18" s="2" customFormat="1" ht="12.75" x14ac:dyDescent="0.2">
      <c r="R59850" s="1288"/>
    </row>
    <row r="59851" spans="18:18" s="2" customFormat="1" ht="12.75" x14ac:dyDescent="0.2">
      <c r="R59851" s="1288"/>
    </row>
    <row r="59852" spans="18:18" s="2" customFormat="1" ht="12.75" x14ac:dyDescent="0.2">
      <c r="R59852" s="1288"/>
    </row>
    <row r="59853" spans="18:18" s="2" customFormat="1" ht="12.75" x14ac:dyDescent="0.2">
      <c r="R59853" s="1288"/>
    </row>
    <row r="59854" spans="18:18" s="2" customFormat="1" ht="12.75" x14ac:dyDescent="0.2">
      <c r="R59854" s="1288"/>
    </row>
    <row r="59855" spans="18:18" s="2" customFormat="1" ht="12.75" x14ac:dyDescent="0.2">
      <c r="R59855" s="1288"/>
    </row>
    <row r="59856" spans="18:18" s="2" customFormat="1" ht="12.75" x14ac:dyDescent="0.2">
      <c r="R59856" s="1288"/>
    </row>
    <row r="59857" spans="18:18" s="2" customFormat="1" ht="12.75" x14ac:dyDescent="0.2">
      <c r="R59857" s="1288"/>
    </row>
    <row r="59858" spans="18:18" s="2" customFormat="1" ht="12.75" x14ac:dyDescent="0.2">
      <c r="R59858" s="1288"/>
    </row>
    <row r="59859" spans="18:18" s="2" customFormat="1" ht="12.75" x14ac:dyDescent="0.2">
      <c r="R59859" s="1288"/>
    </row>
    <row r="59860" spans="18:18" s="2" customFormat="1" ht="12.75" x14ac:dyDescent="0.2">
      <c r="R59860" s="1288"/>
    </row>
    <row r="59861" spans="18:18" s="2" customFormat="1" ht="12.75" x14ac:dyDescent="0.2">
      <c r="R59861" s="1288"/>
    </row>
    <row r="59862" spans="18:18" s="2" customFormat="1" ht="12.75" x14ac:dyDescent="0.2">
      <c r="R59862" s="1288"/>
    </row>
    <row r="59863" spans="18:18" s="2" customFormat="1" ht="12.75" x14ac:dyDescent="0.2">
      <c r="R59863" s="1288"/>
    </row>
    <row r="59864" spans="18:18" s="2" customFormat="1" ht="12.75" x14ac:dyDescent="0.2">
      <c r="R59864" s="1288"/>
    </row>
    <row r="59865" spans="18:18" s="2" customFormat="1" ht="12.75" x14ac:dyDescent="0.2">
      <c r="R59865" s="1288"/>
    </row>
    <row r="59866" spans="18:18" s="2" customFormat="1" ht="12.75" x14ac:dyDescent="0.2">
      <c r="R59866" s="1288"/>
    </row>
    <row r="59867" spans="18:18" s="2" customFormat="1" ht="12.75" x14ac:dyDescent="0.2">
      <c r="R59867" s="1288"/>
    </row>
    <row r="59868" spans="18:18" s="2" customFormat="1" ht="12.75" x14ac:dyDescent="0.2">
      <c r="R59868" s="1288"/>
    </row>
    <row r="59869" spans="18:18" s="2" customFormat="1" ht="12.75" x14ac:dyDescent="0.2">
      <c r="R59869" s="1288"/>
    </row>
    <row r="59870" spans="18:18" s="2" customFormat="1" ht="12.75" x14ac:dyDescent="0.2">
      <c r="R59870" s="1288"/>
    </row>
    <row r="59871" spans="18:18" s="2" customFormat="1" ht="12.75" x14ac:dyDescent="0.2">
      <c r="R59871" s="1288"/>
    </row>
    <row r="59872" spans="18:18" s="2" customFormat="1" ht="12.75" x14ac:dyDescent="0.2">
      <c r="R59872" s="1288"/>
    </row>
    <row r="59873" spans="18:18" s="2" customFormat="1" ht="12.75" x14ac:dyDescent="0.2">
      <c r="R59873" s="1288"/>
    </row>
    <row r="59874" spans="18:18" s="2" customFormat="1" ht="12.75" x14ac:dyDescent="0.2">
      <c r="R59874" s="1288"/>
    </row>
    <row r="59875" spans="18:18" s="2" customFormat="1" ht="12.75" x14ac:dyDescent="0.2">
      <c r="R59875" s="1288"/>
    </row>
    <row r="59876" spans="18:18" s="2" customFormat="1" ht="12.75" x14ac:dyDescent="0.2">
      <c r="R59876" s="1288"/>
    </row>
    <row r="59877" spans="18:18" s="2" customFormat="1" ht="12.75" x14ac:dyDescent="0.2">
      <c r="R59877" s="1288"/>
    </row>
    <row r="59878" spans="18:18" s="2" customFormat="1" ht="12.75" x14ac:dyDescent="0.2">
      <c r="R59878" s="1288"/>
    </row>
    <row r="59879" spans="18:18" s="2" customFormat="1" ht="12.75" x14ac:dyDescent="0.2">
      <c r="R59879" s="1288"/>
    </row>
    <row r="59880" spans="18:18" s="2" customFormat="1" ht="12.75" x14ac:dyDescent="0.2">
      <c r="R59880" s="1288"/>
    </row>
    <row r="59881" spans="18:18" s="2" customFormat="1" ht="12.75" x14ac:dyDescent="0.2">
      <c r="R59881" s="1288"/>
    </row>
    <row r="59882" spans="18:18" s="2" customFormat="1" ht="12.75" x14ac:dyDescent="0.2">
      <c r="R59882" s="1288"/>
    </row>
    <row r="59883" spans="18:18" s="2" customFormat="1" ht="12.75" x14ac:dyDescent="0.2">
      <c r="R59883" s="1288"/>
    </row>
    <row r="59884" spans="18:18" s="2" customFormat="1" ht="12.75" x14ac:dyDescent="0.2">
      <c r="R59884" s="1288"/>
    </row>
    <row r="59885" spans="18:18" s="2" customFormat="1" ht="12.75" x14ac:dyDescent="0.2">
      <c r="R59885" s="1288"/>
    </row>
    <row r="59886" spans="18:18" s="2" customFormat="1" ht="12.75" x14ac:dyDescent="0.2">
      <c r="R59886" s="1288"/>
    </row>
    <row r="59887" spans="18:18" s="2" customFormat="1" ht="12.75" x14ac:dyDescent="0.2">
      <c r="R59887" s="1288"/>
    </row>
    <row r="59888" spans="18:18" s="2" customFormat="1" ht="12.75" x14ac:dyDescent="0.2">
      <c r="R59888" s="1288"/>
    </row>
    <row r="59889" spans="18:18" s="2" customFormat="1" ht="12.75" x14ac:dyDescent="0.2">
      <c r="R59889" s="1288"/>
    </row>
    <row r="59890" spans="18:18" s="2" customFormat="1" ht="12.75" x14ac:dyDescent="0.2">
      <c r="R59890" s="1288"/>
    </row>
    <row r="59891" spans="18:18" s="2" customFormat="1" ht="12.75" x14ac:dyDescent="0.2">
      <c r="R59891" s="1288"/>
    </row>
    <row r="59892" spans="18:18" s="2" customFormat="1" ht="12.75" x14ac:dyDescent="0.2">
      <c r="R59892" s="1288"/>
    </row>
    <row r="59893" spans="18:18" s="2" customFormat="1" ht="12.75" x14ac:dyDescent="0.2">
      <c r="R59893" s="1288"/>
    </row>
    <row r="59894" spans="18:18" s="2" customFormat="1" ht="12.75" x14ac:dyDescent="0.2">
      <c r="R59894" s="1288"/>
    </row>
    <row r="59895" spans="18:18" s="2" customFormat="1" ht="12.75" x14ac:dyDescent="0.2">
      <c r="R59895" s="1288"/>
    </row>
    <row r="59896" spans="18:18" s="2" customFormat="1" ht="12.75" x14ac:dyDescent="0.2">
      <c r="R59896" s="1288"/>
    </row>
    <row r="59897" spans="18:18" s="2" customFormat="1" ht="12.75" x14ac:dyDescent="0.2">
      <c r="R59897" s="1288"/>
    </row>
    <row r="59898" spans="18:18" s="2" customFormat="1" ht="12.75" x14ac:dyDescent="0.2">
      <c r="R59898" s="1288"/>
    </row>
    <row r="59899" spans="18:18" s="2" customFormat="1" ht="12.75" x14ac:dyDescent="0.2">
      <c r="R59899" s="1288"/>
    </row>
    <row r="59900" spans="18:18" s="2" customFormat="1" ht="12.75" x14ac:dyDescent="0.2">
      <c r="R59900" s="1288"/>
    </row>
    <row r="59901" spans="18:18" s="2" customFormat="1" ht="12.75" x14ac:dyDescent="0.2">
      <c r="R59901" s="1288"/>
    </row>
    <row r="59902" spans="18:18" s="2" customFormat="1" ht="12.75" x14ac:dyDescent="0.2">
      <c r="R59902" s="1288"/>
    </row>
    <row r="59903" spans="18:18" s="2" customFormat="1" ht="12.75" x14ac:dyDescent="0.2">
      <c r="R59903" s="1288"/>
    </row>
    <row r="59904" spans="18:18" s="2" customFormat="1" ht="12.75" x14ac:dyDescent="0.2">
      <c r="R59904" s="1288"/>
    </row>
    <row r="59905" spans="18:18" s="2" customFormat="1" ht="12.75" x14ac:dyDescent="0.2">
      <c r="R59905" s="1288"/>
    </row>
    <row r="59906" spans="18:18" s="2" customFormat="1" ht="12.75" x14ac:dyDescent="0.2">
      <c r="R59906" s="1288"/>
    </row>
    <row r="59907" spans="18:18" s="2" customFormat="1" ht="12.75" x14ac:dyDescent="0.2">
      <c r="R59907" s="1288"/>
    </row>
    <row r="59908" spans="18:18" s="2" customFormat="1" ht="12.75" x14ac:dyDescent="0.2">
      <c r="R59908" s="1288"/>
    </row>
    <row r="59909" spans="18:18" s="2" customFormat="1" ht="12.75" x14ac:dyDescent="0.2">
      <c r="R59909" s="1288"/>
    </row>
    <row r="59910" spans="18:18" s="2" customFormat="1" ht="12.75" x14ac:dyDescent="0.2">
      <c r="R59910" s="1288"/>
    </row>
    <row r="59911" spans="18:18" s="2" customFormat="1" ht="12.75" x14ac:dyDescent="0.2">
      <c r="R59911" s="1288"/>
    </row>
    <row r="59912" spans="18:18" s="2" customFormat="1" ht="12.75" x14ac:dyDescent="0.2">
      <c r="R59912" s="1288"/>
    </row>
    <row r="59913" spans="18:18" s="2" customFormat="1" ht="12.75" x14ac:dyDescent="0.2">
      <c r="R59913" s="1288"/>
    </row>
    <row r="59914" spans="18:18" s="2" customFormat="1" ht="12.75" x14ac:dyDescent="0.2">
      <c r="R59914" s="1288"/>
    </row>
    <row r="59915" spans="18:18" s="2" customFormat="1" ht="12.75" x14ac:dyDescent="0.2">
      <c r="R59915" s="1288"/>
    </row>
    <row r="59916" spans="18:18" s="2" customFormat="1" ht="12.75" x14ac:dyDescent="0.2">
      <c r="R59916" s="1288"/>
    </row>
    <row r="59917" spans="18:18" s="2" customFormat="1" ht="12.75" x14ac:dyDescent="0.2">
      <c r="R59917" s="1288"/>
    </row>
    <row r="59918" spans="18:18" s="2" customFormat="1" ht="12.75" x14ac:dyDescent="0.2">
      <c r="R59918" s="1288"/>
    </row>
    <row r="59919" spans="18:18" s="2" customFormat="1" ht="12.75" x14ac:dyDescent="0.2">
      <c r="R59919" s="1288"/>
    </row>
    <row r="59920" spans="18:18" s="2" customFormat="1" ht="12.75" x14ac:dyDescent="0.2">
      <c r="R59920" s="1288"/>
    </row>
    <row r="59921" spans="18:18" s="2" customFormat="1" ht="12.75" x14ac:dyDescent="0.2">
      <c r="R59921" s="1288"/>
    </row>
    <row r="59922" spans="18:18" s="2" customFormat="1" ht="12.75" x14ac:dyDescent="0.2">
      <c r="R59922" s="1288"/>
    </row>
    <row r="59923" spans="18:18" s="2" customFormat="1" ht="12.75" x14ac:dyDescent="0.2">
      <c r="R59923" s="1288"/>
    </row>
    <row r="59924" spans="18:18" s="2" customFormat="1" ht="12.75" x14ac:dyDescent="0.2">
      <c r="R59924" s="1288"/>
    </row>
    <row r="59925" spans="18:18" s="2" customFormat="1" ht="12.75" x14ac:dyDescent="0.2">
      <c r="R59925" s="1288"/>
    </row>
    <row r="59926" spans="18:18" s="2" customFormat="1" ht="12.75" x14ac:dyDescent="0.2">
      <c r="R59926" s="1288"/>
    </row>
    <row r="59927" spans="18:18" s="2" customFormat="1" ht="12.75" x14ac:dyDescent="0.2">
      <c r="R59927" s="1288"/>
    </row>
    <row r="59928" spans="18:18" s="2" customFormat="1" ht="12.75" x14ac:dyDescent="0.2">
      <c r="R59928" s="1288"/>
    </row>
    <row r="59929" spans="18:18" s="2" customFormat="1" ht="12.75" x14ac:dyDescent="0.2">
      <c r="R59929" s="1288"/>
    </row>
    <row r="59930" spans="18:18" s="2" customFormat="1" ht="12.75" x14ac:dyDescent="0.2">
      <c r="R59930" s="1288"/>
    </row>
    <row r="59931" spans="18:18" s="2" customFormat="1" ht="12.75" x14ac:dyDescent="0.2">
      <c r="R59931" s="1288"/>
    </row>
    <row r="59932" spans="18:18" s="2" customFormat="1" ht="12.75" x14ac:dyDescent="0.2">
      <c r="R59932" s="1288"/>
    </row>
    <row r="59933" spans="18:18" s="2" customFormat="1" ht="12.75" x14ac:dyDescent="0.2">
      <c r="R59933" s="1288"/>
    </row>
    <row r="59934" spans="18:18" s="2" customFormat="1" ht="12.75" x14ac:dyDescent="0.2">
      <c r="R59934" s="1288"/>
    </row>
    <row r="59935" spans="18:18" s="2" customFormat="1" ht="12.75" x14ac:dyDescent="0.2">
      <c r="R59935" s="1288"/>
    </row>
    <row r="59936" spans="18:18" s="2" customFormat="1" ht="12.75" x14ac:dyDescent="0.2">
      <c r="R59936" s="1288"/>
    </row>
    <row r="59937" spans="18:18" s="2" customFormat="1" ht="12.75" x14ac:dyDescent="0.2">
      <c r="R59937" s="1288"/>
    </row>
    <row r="59938" spans="18:18" s="2" customFormat="1" ht="12.75" x14ac:dyDescent="0.2">
      <c r="R59938" s="1288"/>
    </row>
    <row r="59939" spans="18:18" s="2" customFormat="1" ht="12.75" x14ac:dyDescent="0.2">
      <c r="R59939" s="1288"/>
    </row>
    <row r="59940" spans="18:18" s="2" customFormat="1" ht="12.75" x14ac:dyDescent="0.2">
      <c r="R59940" s="1288"/>
    </row>
    <row r="59941" spans="18:18" s="2" customFormat="1" ht="12.75" x14ac:dyDescent="0.2">
      <c r="R59941" s="1288"/>
    </row>
    <row r="59942" spans="18:18" s="2" customFormat="1" ht="12.75" x14ac:dyDescent="0.2">
      <c r="R59942" s="1288"/>
    </row>
    <row r="59943" spans="18:18" s="2" customFormat="1" ht="12.75" x14ac:dyDescent="0.2">
      <c r="R59943" s="1288"/>
    </row>
    <row r="59944" spans="18:18" s="2" customFormat="1" ht="12.75" x14ac:dyDescent="0.2">
      <c r="R59944" s="1288"/>
    </row>
    <row r="59945" spans="18:18" s="2" customFormat="1" ht="12.75" x14ac:dyDescent="0.2">
      <c r="R59945" s="1288"/>
    </row>
    <row r="59946" spans="18:18" s="2" customFormat="1" ht="12.75" x14ac:dyDescent="0.2">
      <c r="R59946" s="1288"/>
    </row>
    <row r="59947" spans="18:18" s="2" customFormat="1" ht="12.75" x14ac:dyDescent="0.2">
      <c r="R59947" s="1288"/>
    </row>
    <row r="59948" spans="18:18" s="2" customFormat="1" ht="12.75" x14ac:dyDescent="0.2">
      <c r="R59948" s="1288"/>
    </row>
    <row r="59949" spans="18:18" s="2" customFormat="1" ht="12.75" x14ac:dyDescent="0.2">
      <c r="R59949" s="1288"/>
    </row>
    <row r="59950" spans="18:18" s="2" customFormat="1" ht="12.75" x14ac:dyDescent="0.2">
      <c r="R59950" s="1288"/>
    </row>
    <row r="59951" spans="18:18" s="2" customFormat="1" ht="12.75" x14ac:dyDescent="0.2">
      <c r="R59951" s="1288"/>
    </row>
    <row r="59952" spans="18:18" s="2" customFormat="1" ht="12.75" x14ac:dyDescent="0.2">
      <c r="R59952" s="1288"/>
    </row>
    <row r="59953" spans="18:18" s="2" customFormat="1" ht="12.75" x14ac:dyDescent="0.2">
      <c r="R59953" s="1288"/>
    </row>
    <row r="59954" spans="18:18" s="2" customFormat="1" ht="12.75" x14ac:dyDescent="0.2">
      <c r="R59954" s="1288"/>
    </row>
    <row r="59955" spans="18:18" s="2" customFormat="1" ht="12.75" x14ac:dyDescent="0.2">
      <c r="R59955" s="1288"/>
    </row>
    <row r="59956" spans="18:18" s="2" customFormat="1" ht="12.75" x14ac:dyDescent="0.2">
      <c r="R59956" s="1288"/>
    </row>
    <row r="59957" spans="18:18" s="2" customFormat="1" ht="12.75" x14ac:dyDescent="0.2">
      <c r="R59957" s="1288"/>
    </row>
    <row r="59958" spans="18:18" s="2" customFormat="1" ht="12.75" x14ac:dyDescent="0.2">
      <c r="R59958" s="1288"/>
    </row>
    <row r="59959" spans="18:18" s="2" customFormat="1" ht="12.75" x14ac:dyDescent="0.2">
      <c r="R59959" s="1288"/>
    </row>
    <row r="59960" spans="18:18" s="2" customFormat="1" ht="12.75" x14ac:dyDescent="0.2">
      <c r="R59960" s="1288"/>
    </row>
    <row r="59961" spans="18:18" s="2" customFormat="1" ht="12.75" x14ac:dyDescent="0.2">
      <c r="R59961" s="1288"/>
    </row>
    <row r="59962" spans="18:18" s="2" customFormat="1" ht="12.75" x14ac:dyDescent="0.2">
      <c r="R59962" s="1288"/>
    </row>
    <row r="59963" spans="18:18" s="2" customFormat="1" ht="12.75" x14ac:dyDescent="0.2">
      <c r="R59963" s="1288"/>
    </row>
    <row r="59964" spans="18:18" s="2" customFormat="1" ht="12.75" x14ac:dyDescent="0.2">
      <c r="R59964" s="1288"/>
    </row>
    <row r="59965" spans="18:18" s="2" customFormat="1" ht="12.75" x14ac:dyDescent="0.2">
      <c r="R59965" s="1288"/>
    </row>
    <row r="59966" spans="18:18" s="2" customFormat="1" ht="12.75" x14ac:dyDescent="0.2">
      <c r="R59966" s="1288"/>
    </row>
    <row r="59967" spans="18:18" s="2" customFormat="1" ht="12.75" x14ac:dyDescent="0.2">
      <c r="R59967" s="1288"/>
    </row>
    <row r="59968" spans="18:18" s="2" customFormat="1" ht="12.75" x14ac:dyDescent="0.2">
      <c r="R59968" s="1288"/>
    </row>
    <row r="59969" spans="18:18" s="2" customFormat="1" ht="12.75" x14ac:dyDescent="0.2">
      <c r="R59969" s="1288"/>
    </row>
    <row r="59970" spans="18:18" s="2" customFormat="1" ht="12.75" x14ac:dyDescent="0.2">
      <c r="R59970" s="1288"/>
    </row>
    <row r="59971" spans="18:18" s="2" customFormat="1" ht="12.75" x14ac:dyDescent="0.2">
      <c r="R59971" s="1288"/>
    </row>
    <row r="59972" spans="18:18" s="2" customFormat="1" ht="12.75" x14ac:dyDescent="0.2">
      <c r="R59972" s="1288"/>
    </row>
    <row r="59973" spans="18:18" s="2" customFormat="1" ht="12.75" x14ac:dyDescent="0.2">
      <c r="R59973" s="1288"/>
    </row>
    <row r="59974" spans="18:18" s="2" customFormat="1" ht="12.75" x14ac:dyDescent="0.2">
      <c r="R59974" s="1288"/>
    </row>
    <row r="59975" spans="18:18" s="2" customFormat="1" ht="12.75" x14ac:dyDescent="0.2">
      <c r="R59975" s="1288"/>
    </row>
    <row r="59976" spans="18:18" s="2" customFormat="1" ht="12.75" x14ac:dyDescent="0.2">
      <c r="R59976" s="1288"/>
    </row>
    <row r="59977" spans="18:18" s="2" customFormat="1" ht="12.75" x14ac:dyDescent="0.2">
      <c r="R59977" s="1288"/>
    </row>
    <row r="59978" spans="18:18" s="2" customFormat="1" ht="12.75" x14ac:dyDescent="0.2">
      <c r="R59978" s="1288"/>
    </row>
    <row r="59979" spans="18:18" s="2" customFormat="1" ht="12.75" x14ac:dyDescent="0.2">
      <c r="R59979" s="1288"/>
    </row>
    <row r="59980" spans="18:18" s="2" customFormat="1" ht="12.75" x14ac:dyDescent="0.2">
      <c r="R59980" s="1288"/>
    </row>
    <row r="59981" spans="18:18" s="2" customFormat="1" ht="12.75" x14ac:dyDescent="0.2">
      <c r="R59981" s="1288"/>
    </row>
    <row r="59982" spans="18:18" s="2" customFormat="1" ht="12.75" x14ac:dyDescent="0.2">
      <c r="R59982" s="1288"/>
    </row>
    <row r="59983" spans="18:18" s="2" customFormat="1" ht="12.75" x14ac:dyDescent="0.2">
      <c r="R59983" s="1288"/>
    </row>
    <row r="59984" spans="18:18" s="2" customFormat="1" ht="12.75" x14ac:dyDescent="0.2">
      <c r="R59984" s="1288"/>
    </row>
    <row r="59985" spans="18:18" s="2" customFormat="1" ht="12.75" x14ac:dyDescent="0.2">
      <c r="R59985" s="1288"/>
    </row>
    <row r="59986" spans="18:18" s="2" customFormat="1" ht="12.75" x14ac:dyDescent="0.2">
      <c r="R59986" s="1288"/>
    </row>
    <row r="59987" spans="18:18" s="2" customFormat="1" ht="12.75" x14ac:dyDescent="0.2">
      <c r="R59987" s="1288"/>
    </row>
    <row r="59988" spans="18:18" s="2" customFormat="1" ht="12.75" x14ac:dyDescent="0.2">
      <c r="R59988" s="1288"/>
    </row>
    <row r="59989" spans="18:18" s="2" customFormat="1" ht="12.75" x14ac:dyDescent="0.2">
      <c r="R59989" s="1288"/>
    </row>
    <row r="59990" spans="18:18" s="2" customFormat="1" ht="12.75" x14ac:dyDescent="0.2">
      <c r="R59990" s="1288"/>
    </row>
    <row r="59991" spans="18:18" s="2" customFormat="1" ht="12.75" x14ac:dyDescent="0.2">
      <c r="R59991" s="1288"/>
    </row>
    <row r="59992" spans="18:18" s="2" customFormat="1" ht="12.75" x14ac:dyDescent="0.2">
      <c r="R59992" s="1288"/>
    </row>
    <row r="59993" spans="18:18" s="2" customFormat="1" ht="12.75" x14ac:dyDescent="0.2">
      <c r="R59993" s="1288"/>
    </row>
    <row r="59994" spans="18:18" s="2" customFormat="1" ht="12.75" x14ac:dyDescent="0.2">
      <c r="R59994" s="1288"/>
    </row>
    <row r="59995" spans="18:18" s="2" customFormat="1" ht="12.75" x14ac:dyDescent="0.2">
      <c r="R59995" s="1288"/>
    </row>
    <row r="59996" spans="18:18" s="2" customFormat="1" ht="12.75" x14ac:dyDescent="0.2">
      <c r="R59996" s="1288"/>
    </row>
    <row r="59997" spans="18:18" s="2" customFormat="1" ht="12.75" x14ac:dyDescent="0.2">
      <c r="R59997" s="1288"/>
    </row>
    <row r="59998" spans="18:18" s="2" customFormat="1" ht="12.75" x14ac:dyDescent="0.2">
      <c r="R59998" s="1288"/>
    </row>
    <row r="59999" spans="18:18" s="2" customFormat="1" ht="12.75" x14ac:dyDescent="0.2">
      <c r="R59999" s="1288"/>
    </row>
    <row r="60000" spans="18:18" s="2" customFormat="1" ht="12.75" x14ac:dyDescent="0.2">
      <c r="R60000" s="1288"/>
    </row>
    <row r="60001" spans="18:18" s="2" customFormat="1" ht="12.75" x14ac:dyDescent="0.2">
      <c r="R60001" s="1288"/>
    </row>
    <row r="60002" spans="18:18" s="2" customFormat="1" ht="12.75" x14ac:dyDescent="0.2">
      <c r="R60002" s="1288"/>
    </row>
    <row r="60003" spans="18:18" s="2" customFormat="1" ht="12.75" x14ac:dyDescent="0.2">
      <c r="R60003" s="1288"/>
    </row>
    <row r="60004" spans="18:18" s="2" customFormat="1" ht="12.75" x14ac:dyDescent="0.2">
      <c r="R60004" s="1288"/>
    </row>
    <row r="60005" spans="18:18" s="2" customFormat="1" ht="12.75" x14ac:dyDescent="0.2">
      <c r="R60005" s="1288"/>
    </row>
    <row r="60006" spans="18:18" s="2" customFormat="1" ht="12.75" x14ac:dyDescent="0.2">
      <c r="R60006" s="1288"/>
    </row>
    <row r="60007" spans="18:18" s="2" customFormat="1" ht="12.75" x14ac:dyDescent="0.2">
      <c r="R60007" s="1288"/>
    </row>
    <row r="60008" spans="18:18" s="2" customFormat="1" ht="12.75" x14ac:dyDescent="0.2">
      <c r="R60008" s="1288"/>
    </row>
    <row r="60009" spans="18:18" s="2" customFormat="1" ht="12.75" x14ac:dyDescent="0.2">
      <c r="R60009" s="1288"/>
    </row>
    <row r="60010" spans="18:18" s="2" customFormat="1" ht="12.75" x14ac:dyDescent="0.2">
      <c r="R60010" s="1288"/>
    </row>
    <row r="60011" spans="18:18" s="2" customFormat="1" ht="12.75" x14ac:dyDescent="0.2">
      <c r="R60011" s="1288"/>
    </row>
    <row r="60012" spans="18:18" s="2" customFormat="1" ht="12.75" x14ac:dyDescent="0.2">
      <c r="R60012" s="1288"/>
    </row>
    <row r="60013" spans="18:18" s="2" customFormat="1" ht="12.75" x14ac:dyDescent="0.2">
      <c r="R60013" s="1288"/>
    </row>
    <row r="60014" spans="18:18" s="2" customFormat="1" ht="12.75" x14ac:dyDescent="0.2">
      <c r="R60014" s="1288"/>
    </row>
    <row r="60015" spans="18:18" s="2" customFormat="1" ht="12.75" x14ac:dyDescent="0.2">
      <c r="R60015" s="1288"/>
    </row>
    <row r="60016" spans="18:18" s="2" customFormat="1" ht="12.75" x14ac:dyDescent="0.2">
      <c r="R60016" s="1288"/>
    </row>
    <row r="60017" spans="18:18" s="2" customFormat="1" ht="12.75" x14ac:dyDescent="0.2">
      <c r="R60017" s="1288"/>
    </row>
    <row r="60018" spans="18:18" s="2" customFormat="1" ht="12.75" x14ac:dyDescent="0.2">
      <c r="R60018" s="1288"/>
    </row>
    <row r="60019" spans="18:18" s="2" customFormat="1" ht="12.75" x14ac:dyDescent="0.2">
      <c r="R60019" s="1288"/>
    </row>
    <row r="60020" spans="18:18" s="2" customFormat="1" ht="12.75" x14ac:dyDescent="0.2">
      <c r="R60020" s="1288"/>
    </row>
    <row r="60021" spans="18:18" s="2" customFormat="1" ht="12.75" x14ac:dyDescent="0.2">
      <c r="R60021" s="1288"/>
    </row>
    <row r="60022" spans="18:18" s="2" customFormat="1" ht="12.75" x14ac:dyDescent="0.2">
      <c r="R60022" s="1288"/>
    </row>
    <row r="60023" spans="18:18" s="2" customFormat="1" ht="12.75" x14ac:dyDescent="0.2">
      <c r="R60023" s="1288"/>
    </row>
    <row r="60024" spans="18:18" s="2" customFormat="1" ht="12.75" x14ac:dyDescent="0.2">
      <c r="R60024" s="1288"/>
    </row>
    <row r="60025" spans="18:18" s="2" customFormat="1" ht="12.75" x14ac:dyDescent="0.2">
      <c r="R60025" s="1288"/>
    </row>
    <row r="60026" spans="18:18" s="2" customFormat="1" ht="12.75" x14ac:dyDescent="0.2">
      <c r="R60026" s="1288"/>
    </row>
    <row r="60027" spans="18:18" s="2" customFormat="1" ht="12.75" x14ac:dyDescent="0.2">
      <c r="R60027" s="1288"/>
    </row>
    <row r="60028" spans="18:18" s="2" customFormat="1" ht="12.75" x14ac:dyDescent="0.2">
      <c r="R60028" s="1288"/>
    </row>
    <row r="60029" spans="18:18" s="2" customFormat="1" ht="12.75" x14ac:dyDescent="0.2">
      <c r="R60029" s="1288"/>
    </row>
    <row r="60030" spans="18:18" s="2" customFormat="1" ht="12.75" x14ac:dyDescent="0.2">
      <c r="R60030" s="1288"/>
    </row>
    <row r="60031" spans="18:18" s="2" customFormat="1" ht="12.75" x14ac:dyDescent="0.2">
      <c r="R60031" s="1288"/>
    </row>
    <row r="60032" spans="18:18" s="2" customFormat="1" ht="12.75" x14ac:dyDescent="0.2">
      <c r="R60032" s="1288"/>
    </row>
    <row r="60033" spans="18:18" s="2" customFormat="1" ht="12.75" x14ac:dyDescent="0.2">
      <c r="R60033" s="1288"/>
    </row>
    <row r="60034" spans="18:18" s="2" customFormat="1" ht="12.75" x14ac:dyDescent="0.2">
      <c r="R60034" s="1288"/>
    </row>
    <row r="60035" spans="18:18" s="2" customFormat="1" ht="12.75" x14ac:dyDescent="0.2">
      <c r="R60035" s="1288"/>
    </row>
    <row r="60036" spans="18:18" s="2" customFormat="1" ht="12.75" x14ac:dyDescent="0.2">
      <c r="R60036" s="1288"/>
    </row>
    <row r="60037" spans="18:18" s="2" customFormat="1" ht="12.75" x14ac:dyDescent="0.2">
      <c r="R60037" s="1288"/>
    </row>
    <row r="60038" spans="18:18" s="2" customFormat="1" ht="12.75" x14ac:dyDescent="0.2">
      <c r="R60038" s="1288"/>
    </row>
    <row r="60039" spans="18:18" s="2" customFormat="1" ht="12.75" x14ac:dyDescent="0.2">
      <c r="R60039" s="1288"/>
    </row>
    <row r="60040" spans="18:18" s="2" customFormat="1" ht="12.75" x14ac:dyDescent="0.2">
      <c r="R60040" s="1288"/>
    </row>
    <row r="60041" spans="18:18" s="2" customFormat="1" ht="12.75" x14ac:dyDescent="0.2">
      <c r="R60041" s="1288"/>
    </row>
    <row r="60042" spans="18:18" s="2" customFormat="1" ht="12.75" x14ac:dyDescent="0.2">
      <c r="R60042" s="1288"/>
    </row>
    <row r="60043" spans="18:18" s="2" customFormat="1" ht="12.75" x14ac:dyDescent="0.2">
      <c r="R60043" s="1288"/>
    </row>
    <row r="60044" spans="18:18" s="2" customFormat="1" ht="12.75" x14ac:dyDescent="0.2">
      <c r="R60044" s="1288"/>
    </row>
    <row r="60045" spans="18:18" s="2" customFormat="1" ht="12.75" x14ac:dyDescent="0.2">
      <c r="R60045" s="1288"/>
    </row>
    <row r="60046" spans="18:18" s="2" customFormat="1" ht="12.75" x14ac:dyDescent="0.2">
      <c r="R60046" s="1288"/>
    </row>
    <row r="60047" spans="18:18" s="2" customFormat="1" ht="12.75" x14ac:dyDescent="0.2">
      <c r="R60047" s="1288"/>
    </row>
    <row r="60048" spans="18:18" s="2" customFormat="1" ht="12.75" x14ac:dyDescent="0.2">
      <c r="R60048" s="1288"/>
    </row>
    <row r="60049" spans="18:18" s="2" customFormat="1" ht="12.75" x14ac:dyDescent="0.2">
      <c r="R60049" s="1288"/>
    </row>
    <row r="60050" spans="18:18" s="2" customFormat="1" ht="12.75" x14ac:dyDescent="0.2">
      <c r="R60050" s="1288"/>
    </row>
    <row r="60051" spans="18:18" s="2" customFormat="1" ht="12.75" x14ac:dyDescent="0.2">
      <c r="R60051" s="1288"/>
    </row>
    <row r="60052" spans="18:18" s="2" customFormat="1" ht="12.75" x14ac:dyDescent="0.2">
      <c r="R60052" s="1288"/>
    </row>
    <row r="60053" spans="18:18" s="2" customFormat="1" ht="12.75" x14ac:dyDescent="0.2">
      <c r="R60053" s="1288"/>
    </row>
    <row r="60054" spans="18:18" s="2" customFormat="1" ht="12.75" x14ac:dyDescent="0.2">
      <c r="R60054" s="1288"/>
    </row>
    <row r="60055" spans="18:18" s="2" customFormat="1" ht="12.75" x14ac:dyDescent="0.2">
      <c r="R60055" s="1288"/>
    </row>
    <row r="60056" spans="18:18" s="2" customFormat="1" ht="12.75" x14ac:dyDescent="0.2">
      <c r="R60056" s="1288"/>
    </row>
    <row r="60057" spans="18:18" s="2" customFormat="1" ht="12.75" x14ac:dyDescent="0.2">
      <c r="R60057" s="1288"/>
    </row>
    <row r="60058" spans="18:18" s="2" customFormat="1" ht="12.75" x14ac:dyDescent="0.2">
      <c r="R60058" s="1288"/>
    </row>
    <row r="60059" spans="18:18" s="2" customFormat="1" ht="12.75" x14ac:dyDescent="0.2">
      <c r="R60059" s="1288"/>
    </row>
    <row r="60060" spans="18:18" s="2" customFormat="1" ht="12.75" x14ac:dyDescent="0.2">
      <c r="R60060" s="1288"/>
    </row>
    <row r="60061" spans="18:18" s="2" customFormat="1" ht="12.75" x14ac:dyDescent="0.2">
      <c r="R60061" s="1288"/>
    </row>
    <row r="60062" spans="18:18" s="2" customFormat="1" ht="12.75" x14ac:dyDescent="0.2">
      <c r="R60062" s="1288"/>
    </row>
    <row r="60063" spans="18:18" s="2" customFormat="1" ht="12.75" x14ac:dyDescent="0.2">
      <c r="R60063" s="1288"/>
    </row>
    <row r="60064" spans="18:18" s="2" customFormat="1" ht="12.75" x14ac:dyDescent="0.2">
      <c r="R60064" s="1288"/>
    </row>
    <row r="60065" spans="18:18" s="2" customFormat="1" ht="12.75" x14ac:dyDescent="0.2">
      <c r="R60065" s="1288"/>
    </row>
    <row r="60066" spans="18:18" s="2" customFormat="1" ht="12.75" x14ac:dyDescent="0.2">
      <c r="R60066" s="1288"/>
    </row>
    <row r="60067" spans="18:18" s="2" customFormat="1" ht="12.75" x14ac:dyDescent="0.2">
      <c r="R60067" s="1288"/>
    </row>
    <row r="60068" spans="18:18" s="2" customFormat="1" ht="12.75" x14ac:dyDescent="0.2">
      <c r="R60068" s="1288"/>
    </row>
    <row r="60069" spans="18:18" s="2" customFormat="1" ht="12.75" x14ac:dyDescent="0.2">
      <c r="R60069" s="1288"/>
    </row>
    <row r="60070" spans="18:18" s="2" customFormat="1" ht="12.75" x14ac:dyDescent="0.2">
      <c r="R60070" s="1288"/>
    </row>
    <row r="60071" spans="18:18" s="2" customFormat="1" ht="12.75" x14ac:dyDescent="0.2">
      <c r="R60071" s="1288"/>
    </row>
    <row r="60072" spans="18:18" s="2" customFormat="1" ht="12.75" x14ac:dyDescent="0.2">
      <c r="R60072" s="1288"/>
    </row>
    <row r="60073" spans="18:18" s="2" customFormat="1" ht="12.75" x14ac:dyDescent="0.2">
      <c r="R60073" s="1288"/>
    </row>
    <row r="60074" spans="18:18" s="2" customFormat="1" ht="12.75" x14ac:dyDescent="0.2">
      <c r="R60074" s="1288"/>
    </row>
    <row r="60075" spans="18:18" s="2" customFormat="1" ht="12.75" x14ac:dyDescent="0.2">
      <c r="R60075" s="1288"/>
    </row>
    <row r="60076" spans="18:18" s="2" customFormat="1" ht="12.75" x14ac:dyDescent="0.2">
      <c r="R60076" s="1288"/>
    </row>
    <row r="60077" spans="18:18" s="2" customFormat="1" ht="12.75" x14ac:dyDescent="0.2">
      <c r="R60077" s="1288"/>
    </row>
    <row r="60078" spans="18:18" s="2" customFormat="1" ht="12.75" x14ac:dyDescent="0.2">
      <c r="R60078" s="1288"/>
    </row>
    <row r="60079" spans="18:18" s="2" customFormat="1" ht="12.75" x14ac:dyDescent="0.2">
      <c r="R60079" s="1288"/>
    </row>
    <row r="60080" spans="18:18" s="2" customFormat="1" ht="12.75" x14ac:dyDescent="0.2">
      <c r="R60080" s="1288"/>
    </row>
    <row r="60081" spans="18:18" s="2" customFormat="1" ht="12.75" x14ac:dyDescent="0.2">
      <c r="R60081" s="1288"/>
    </row>
    <row r="60082" spans="18:18" s="2" customFormat="1" ht="12.75" x14ac:dyDescent="0.2">
      <c r="R60082" s="1288"/>
    </row>
    <row r="60083" spans="18:18" s="2" customFormat="1" ht="12.75" x14ac:dyDescent="0.2">
      <c r="R60083" s="1288"/>
    </row>
    <row r="60084" spans="18:18" s="2" customFormat="1" ht="12.75" x14ac:dyDescent="0.2">
      <c r="R60084" s="1288"/>
    </row>
    <row r="60085" spans="18:18" s="2" customFormat="1" ht="12.75" x14ac:dyDescent="0.2">
      <c r="R60085" s="1288"/>
    </row>
    <row r="60086" spans="18:18" s="2" customFormat="1" ht="12.75" x14ac:dyDescent="0.2">
      <c r="R60086" s="1288"/>
    </row>
    <row r="60087" spans="18:18" s="2" customFormat="1" ht="12.75" x14ac:dyDescent="0.2">
      <c r="R60087" s="1288"/>
    </row>
    <row r="60088" spans="18:18" s="2" customFormat="1" ht="12.75" x14ac:dyDescent="0.2">
      <c r="R60088" s="1288"/>
    </row>
    <row r="60089" spans="18:18" s="2" customFormat="1" ht="12.75" x14ac:dyDescent="0.2">
      <c r="R60089" s="1288"/>
    </row>
    <row r="60090" spans="18:18" s="2" customFormat="1" ht="12.75" x14ac:dyDescent="0.2">
      <c r="R60090" s="1288"/>
    </row>
    <row r="60091" spans="18:18" s="2" customFormat="1" ht="12.75" x14ac:dyDescent="0.2">
      <c r="R60091" s="1288"/>
    </row>
    <row r="60092" spans="18:18" s="2" customFormat="1" ht="12.75" x14ac:dyDescent="0.2">
      <c r="R60092" s="1288"/>
    </row>
    <row r="60093" spans="18:18" s="2" customFormat="1" ht="12.75" x14ac:dyDescent="0.2">
      <c r="R60093" s="1288"/>
    </row>
    <row r="60094" spans="18:18" s="2" customFormat="1" ht="12.75" x14ac:dyDescent="0.2">
      <c r="R60094" s="1288"/>
    </row>
    <row r="60095" spans="18:18" s="2" customFormat="1" ht="12.75" x14ac:dyDescent="0.2">
      <c r="R60095" s="1288"/>
    </row>
    <row r="60096" spans="18:18" s="2" customFormat="1" ht="12.75" x14ac:dyDescent="0.2">
      <c r="R60096" s="1288"/>
    </row>
    <row r="60097" spans="18:18" s="2" customFormat="1" ht="12.75" x14ac:dyDescent="0.2">
      <c r="R60097" s="1288"/>
    </row>
    <row r="60098" spans="18:18" s="2" customFormat="1" ht="12.75" x14ac:dyDescent="0.2">
      <c r="R60098" s="1288"/>
    </row>
    <row r="60099" spans="18:18" s="2" customFormat="1" ht="12.75" x14ac:dyDescent="0.2">
      <c r="R60099" s="1288"/>
    </row>
    <row r="60100" spans="18:18" s="2" customFormat="1" ht="12.75" x14ac:dyDescent="0.2">
      <c r="R60100" s="1288"/>
    </row>
    <row r="60101" spans="18:18" s="2" customFormat="1" ht="12.75" x14ac:dyDescent="0.2">
      <c r="R60101" s="1288"/>
    </row>
    <row r="60102" spans="18:18" s="2" customFormat="1" ht="12.75" x14ac:dyDescent="0.2">
      <c r="R60102" s="1288"/>
    </row>
    <row r="60103" spans="18:18" s="2" customFormat="1" ht="12.75" x14ac:dyDescent="0.2">
      <c r="R60103" s="1288"/>
    </row>
    <row r="60104" spans="18:18" s="2" customFormat="1" ht="12.75" x14ac:dyDescent="0.2">
      <c r="R60104" s="1288"/>
    </row>
    <row r="60105" spans="18:18" s="2" customFormat="1" ht="12.75" x14ac:dyDescent="0.2">
      <c r="R60105" s="1288"/>
    </row>
    <row r="60106" spans="18:18" s="2" customFormat="1" ht="12.75" x14ac:dyDescent="0.2">
      <c r="R60106" s="1288"/>
    </row>
    <row r="60107" spans="18:18" s="2" customFormat="1" ht="12.75" x14ac:dyDescent="0.2">
      <c r="R60107" s="1288"/>
    </row>
    <row r="60108" spans="18:18" s="2" customFormat="1" ht="12.75" x14ac:dyDescent="0.2">
      <c r="R60108" s="1288"/>
    </row>
    <row r="60109" spans="18:18" s="2" customFormat="1" ht="12.75" x14ac:dyDescent="0.2">
      <c r="R60109" s="1288"/>
    </row>
    <row r="60110" spans="18:18" s="2" customFormat="1" ht="12.75" x14ac:dyDescent="0.2">
      <c r="R60110" s="1288"/>
    </row>
    <row r="60111" spans="18:18" s="2" customFormat="1" ht="12.75" x14ac:dyDescent="0.2">
      <c r="R60111" s="1288"/>
    </row>
    <row r="60112" spans="18:18" s="2" customFormat="1" ht="12.75" x14ac:dyDescent="0.2">
      <c r="R60112" s="1288"/>
    </row>
    <row r="60113" spans="18:18" s="2" customFormat="1" ht="12.75" x14ac:dyDescent="0.2">
      <c r="R60113" s="1288"/>
    </row>
    <row r="60114" spans="18:18" s="2" customFormat="1" ht="12.75" x14ac:dyDescent="0.2">
      <c r="R60114" s="1288"/>
    </row>
    <row r="60115" spans="18:18" s="2" customFormat="1" ht="12.75" x14ac:dyDescent="0.2">
      <c r="R60115" s="1288"/>
    </row>
    <row r="60116" spans="18:18" s="2" customFormat="1" ht="12.75" x14ac:dyDescent="0.2">
      <c r="R60116" s="1288"/>
    </row>
    <row r="60117" spans="18:18" s="2" customFormat="1" ht="12.75" x14ac:dyDescent="0.2">
      <c r="R60117" s="1288"/>
    </row>
    <row r="60118" spans="18:18" s="2" customFormat="1" ht="12.75" x14ac:dyDescent="0.2">
      <c r="R60118" s="1288"/>
    </row>
    <row r="60119" spans="18:18" s="2" customFormat="1" ht="12.75" x14ac:dyDescent="0.2">
      <c r="R60119" s="1288"/>
    </row>
    <row r="60120" spans="18:18" s="2" customFormat="1" ht="12.75" x14ac:dyDescent="0.2">
      <c r="R60120" s="1288"/>
    </row>
    <row r="60121" spans="18:18" s="2" customFormat="1" ht="12.75" x14ac:dyDescent="0.2">
      <c r="R60121" s="1288"/>
    </row>
    <row r="60122" spans="18:18" s="2" customFormat="1" ht="12.75" x14ac:dyDescent="0.2">
      <c r="R60122" s="1288"/>
    </row>
    <row r="60123" spans="18:18" s="2" customFormat="1" ht="12.75" x14ac:dyDescent="0.2">
      <c r="R60123" s="1288"/>
    </row>
    <row r="60124" spans="18:18" s="2" customFormat="1" ht="12.75" x14ac:dyDescent="0.2">
      <c r="R60124" s="1288"/>
    </row>
    <row r="60125" spans="18:18" s="2" customFormat="1" ht="12.75" x14ac:dyDescent="0.2">
      <c r="R60125" s="1288"/>
    </row>
    <row r="60126" spans="18:18" s="2" customFormat="1" ht="12.75" x14ac:dyDescent="0.2">
      <c r="R60126" s="1288"/>
    </row>
    <row r="60127" spans="18:18" s="2" customFormat="1" ht="12.75" x14ac:dyDescent="0.2">
      <c r="R60127" s="1288"/>
    </row>
    <row r="60128" spans="18:18" s="2" customFormat="1" ht="12.75" x14ac:dyDescent="0.2">
      <c r="R60128" s="1288"/>
    </row>
    <row r="60129" spans="18:18" s="2" customFormat="1" ht="12.75" x14ac:dyDescent="0.2">
      <c r="R60129" s="1288"/>
    </row>
    <row r="60130" spans="18:18" s="2" customFormat="1" ht="12.75" x14ac:dyDescent="0.2">
      <c r="R60130" s="1288"/>
    </row>
    <row r="60131" spans="18:18" s="2" customFormat="1" ht="12.75" x14ac:dyDescent="0.2">
      <c r="R60131" s="1288"/>
    </row>
    <row r="60132" spans="18:18" s="2" customFormat="1" ht="12.75" x14ac:dyDescent="0.2">
      <c r="R60132" s="1288"/>
    </row>
    <row r="60133" spans="18:18" s="2" customFormat="1" ht="12.75" x14ac:dyDescent="0.2">
      <c r="R60133" s="1288"/>
    </row>
    <row r="60134" spans="18:18" s="2" customFormat="1" ht="12.75" x14ac:dyDescent="0.2">
      <c r="R60134" s="1288"/>
    </row>
    <row r="60135" spans="18:18" s="2" customFormat="1" ht="12.75" x14ac:dyDescent="0.2">
      <c r="R60135" s="1288"/>
    </row>
    <row r="60136" spans="18:18" s="2" customFormat="1" ht="12.75" x14ac:dyDescent="0.2">
      <c r="R60136" s="1288"/>
    </row>
    <row r="60137" spans="18:18" s="2" customFormat="1" ht="12.75" x14ac:dyDescent="0.2">
      <c r="R60137" s="1288"/>
    </row>
    <row r="60138" spans="18:18" s="2" customFormat="1" ht="12.75" x14ac:dyDescent="0.2">
      <c r="R60138" s="1288"/>
    </row>
    <row r="60139" spans="18:18" s="2" customFormat="1" ht="12.75" x14ac:dyDescent="0.2">
      <c r="R60139" s="1288"/>
    </row>
    <row r="60140" spans="18:18" s="2" customFormat="1" ht="12.75" x14ac:dyDescent="0.2">
      <c r="R60140" s="1288"/>
    </row>
    <row r="60141" spans="18:18" s="2" customFormat="1" ht="12.75" x14ac:dyDescent="0.2">
      <c r="R60141" s="1288"/>
    </row>
    <row r="60142" spans="18:18" s="2" customFormat="1" ht="12.75" x14ac:dyDescent="0.2">
      <c r="R60142" s="1288"/>
    </row>
    <row r="60143" spans="18:18" s="2" customFormat="1" ht="12.75" x14ac:dyDescent="0.2">
      <c r="R60143" s="1288"/>
    </row>
    <row r="60144" spans="18:18" s="2" customFormat="1" ht="12.75" x14ac:dyDescent="0.2">
      <c r="R60144" s="1288"/>
    </row>
    <row r="60145" spans="18:18" s="2" customFormat="1" ht="12.75" x14ac:dyDescent="0.2">
      <c r="R60145" s="1288"/>
    </row>
    <row r="60146" spans="18:18" s="2" customFormat="1" ht="12.75" x14ac:dyDescent="0.2">
      <c r="R60146" s="1288"/>
    </row>
    <row r="60147" spans="18:18" s="2" customFormat="1" ht="12.75" x14ac:dyDescent="0.2">
      <c r="R60147" s="1288"/>
    </row>
    <row r="60148" spans="18:18" s="2" customFormat="1" ht="12.75" x14ac:dyDescent="0.2">
      <c r="R60148" s="1288"/>
    </row>
    <row r="60149" spans="18:18" s="2" customFormat="1" ht="12.75" x14ac:dyDescent="0.2">
      <c r="R60149" s="1288"/>
    </row>
    <row r="60150" spans="18:18" s="2" customFormat="1" ht="12.75" x14ac:dyDescent="0.2">
      <c r="R60150" s="1288"/>
    </row>
    <row r="60151" spans="18:18" s="2" customFormat="1" ht="12.75" x14ac:dyDescent="0.2">
      <c r="R60151" s="1288"/>
    </row>
    <row r="60152" spans="18:18" s="2" customFormat="1" ht="12.75" x14ac:dyDescent="0.2">
      <c r="R60152" s="1288"/>
    </row>
    <row r="60153" spans="18:18" s="2" customFormat="1" ht="12.75" x14ac:dyDescent="0.2">
      <c r="R60153" s="1288"/>
    </row>
    <row r="60154" spans="18:18" s="2" customFormat="1" ht="12.75" x14ac:dyDescent="0.2">
      <c r="R60154" s="1288"/>
    </row>
    <row r="60155" spans="18:18" s="2" customFormat="1" ht="12.75" x14ac:dyDescent="0.2">
      <c r="R60155" s="1288"/>
    </row>
    <row r="60156" spans="18:18" s="2" customFormat="1" ht="12.75" x14ac:dyDescent="0.2">
      <c r="R60156" s="1288"/>
    </row>
    <row r="60157" spans="18:18" s="2" customFormat="1" ht="12.75" x14ac:dyDescent="0.2">
      <c r="R60157" s="1288"/>
    </row>
    <row r="60158" spans="18:18" s="2" customFormat="1" ht="12.75" x14ac:dyDescent="0.2">
      <c r="R60158" s="1288"/>
    </row>
    <row r="60159" spans="18:18" s="2" customFormat="1" ht="12.75" x14ac:dyDescent="0.2">
      <c r="R60159" s="1288"/>
    </row>
    <row r="60160" spans="18:18" s="2" customFormat="1" ht="12.75" x14ac:dyDescent="0.2">
      <c r="R60160" s="1288"/>
    </row>
    <row r="60161" spans="18:18" s="2" customFormat="1" ht="12.75" x14ac:dyDescent="0.2">
      <c r="R60161" s="1288"/>
    </row>
    <row r="60162" spans="18:18" s="2" customFormat="1" ht="12.75" x14ac:dyDescent="0.2">
      <c r="R60162" s="1288"/>
    </row>
    <row r="60163" spans="18:18" s="2" customFormat="1" ht="12.75" x14ac:dyDescent="0.2">
      <c r="R60163" s="1288"/>
    </row>
    <row r="60164" spans="18:18" s="2" customFormat="1" ht="12.75" x14ac:dyDescent="0.2">
      <c r="R60164" s="1288"/>
    </row>
    <row r="60165" spans="18:18" s="2" customFormat="1" ht="12.75" x14ac:dyDescent="0.2">
      <c r="R60165" s="1288"/>
    </row>
    <row r="60166" spans="18:18" s="2" customFormat="1" ht="12.75" x14ac:dyDescent="0.2">
      <c r="R60166" s="1288"/>
    </row>
    <row r="60167" spans="18:18" s="2" customFormat="1" ht="12.75" x14ac:dyDescent="0.2">
      <c r="R60167" s="1288"/>
    </row>
    <row r="60168" spans="18:18" s="2" customFormat="1" ht="12.75" x14ac:dyDescent="0.2">
      <c r="R60168" s="1288"/>
    </row>
    <row r="60169" spans="18:18" s="2" customFormat="1" ht="12.75" x14ac:dyDescent="0.2">
      <c r="R60169" s="1288"/>
    </row>
    <row r="60170" spans="18:18" s="2" customFormat="1" ht="12.75" x14ac:dyDescent="0.2">
      <c r="R60170" s="1288"/>
    </row>
    <row r="60171" spans="18:18" s="2" customFormat="1" ht="12.75" x14ac:dyDescent="0.2">
      <c r="R60171" s="1288"/>
    </row>
    <row r="60172" spans="18:18" s="2" customFormat="1" ht="12.75" x14ac:dyDescent="0.2">
      <c r="R60172" s="1288"/>
    </row>
    <row r="60173" spans="18:18" s="2" customFormat="1" ht="12.75" x14ac:dyDescent="0.2">
      <c r="R60173" s="1288"/>
    </row>
    <row r="60174" spans="18:18" s="2" customFormat="1" ht="12.75" x14ac:dyDescent="0.2">
      <c r="R60174" s="1288"/>
    </row>
    <row r="60175" spans="18:18" s="2" customFormat="1" ht="12.75" x14ac:dyDescent="0.2">
      <c r="R60175" s="1288"/>
    </row>
    <row r="60176" spans="18:18" s="2" customFormat="1" ht="12.75" x14ac:dyDescent="0.2">
      <c r="R60176" s="1288"/>
    </row>
    <row r="60177" spans="18:18" s="2" customFormat="1" ht="12.75" x14ac:dyDescent="0.2">
      <c r="R60177" s="1288"/>
    </row>
    <row r="60178" spans="18:18" s="2" customFormat="1" ht="12.75" x14ac:dyDescent="0.2">
      <c r="R60178" s="1288"/>
    </row>
    <row r="60179" spans="18:18" s="2" customFormat="1" ht="12.75" x14ac:dyDescent="0.2">
      <c r="R60179" s="1288"/>
    </row>
    <row r="60180" spans="18:18" s="2" customFormat="1" ht="12.75" x14ac:dyDescent="0.2">
      <c r="R60180" s="1288"/>
    </row>
    <row r="60181" spans="18:18" s="2" customFormat="1" ht="12.75" x14ac:dyDescent="0.2">
      <c r="R60181" s="1288"/>
    </row>
    <row r="60182" spans="18:18" s="2" customFormat="1" ht="12.75" x14ac:dyDescent="0.2">
      <c r="R60182" s="1288"/>
    </row>
    <row r="60183" spans="18:18" s="2" customFormat="1" ht="12.75" x14ac:dyDescent="0.2">
      <c r="R60183" s="1288"/>
    </row>
    <row r="60184" spans="18:18" s="2" customFormat="1" ht="12.75" x14ac:dyDescent="0.2">
      <c r="R60184" s="1288"/>
    </row>
    <row r="60185" spans="18:18" s="2" customFormat="1" ht="12.75" x14ac:dyDescent="0.2">
      <c r="R60185" s="1288"/>
    </row>
    <row r="60186" spans="18:18" s="2" customFormat="1" ht="12.75" x14ac:dyDescent="0.2">
      <c r="R60186" s="1288"/>
    </row>
    <row r="60187" spans="18:18" s="2" customFormat="1" ht="12.75" x14ac:dyDescent="0.2">
      <c r="R60187" s="1288"/>
    </row>
    <row r="60188" spans="18:18" s="2" customFormat="1" ht="12.75" x14ac:dyDescent="0.2">
      <c r="R60188" s="1288"/>
    </row>
    <row r="60189" spans="18:18" s="2" customFormat="1" ht="12.75" x14ac:dyDescent="0.2">
      <c r="R60189" s="1288"/>
    </row>
    <row r="60190" spans="18:18" s="2" customFormat="1" ht="12.75" x14ac:dyDescent="0.2">
      <c r="R60190" s="1288"/>
    </row>
    <row r="60191" spans="18:18" s="2" customFormat="1" ht="12.75" x14ac:dyDescent="0.2">
      <c r="R60191" s="1288"/>
    </row>
    <row r="60192" spans="18:18" s="2" customFormat="1" ht="12.75" x14ac:dyDescent="0.2">
      <c r="R60192" s="1288"/>
    </row>
    <row r="60193" spans="18:18" s="2" customFormat="1" ht="12.75" x14ac:dyDescent="0.2">
      <c r="R60193" s="1288"/>
    </row>
    <row r="60194" spans="18:18" s="2" customFormat="1" ht="12.75" x14ac:dyDescent="0.2">
      <c r="R60194" s="1288"/>
    </row>
    <row r="60195" spans="18:18" s="2" customFormat="1" ht="12.75" x14ac:dyDescent="0.2">
      <c r="R60195" s="1288"/>
    </row>
    <row r="60196" spans="18:18" s="2" customFormat="1" ht="12.75" x14ac:dyDescent="0.2">
      <c r="R60196" s="1288"/>
    </row>
    <row r="60197" spans="18:18" s="2" customFormat="1" ht="12.75" x14ac:dyDescent="0.2">
      <c r="R60197" s="1288"/>
    </row>
    <row r="60198" spans="18:18" s="2" customFormat="1" ht="12.75" x14ac:dyDescent="0.2">
      <c r="R60198" s="1288"/>
    </row>
    <row r="60199" spans="18:18" s="2" customFormat="1" ht="12.75" x14ac:dyDescent="0.2">
      <c r="R60199" s="1288"/>
    </row>
    <row r="60200" spans="18:18" s="2" customFormat="1" ht="12.75" x14ac:dyDescent="0.2">
      <c r="R60200" s="1288"/>
    </row>
    <row r="60201" spans="18:18" s="2" customFormat="1" ht="12.75" x14ac:dyDescent="0.2">
      <c r="R60201" s="1288"/>
    </row>
    <row r="60202" spans="18:18" s="2" customFormat="1" ht="12.75" x14ac:dyDescent="0.2">
      <c r="R60202" s="1288"/>
    </row>
    <row r="60203" spans="18:18" s="2" customFormat="1" ht="12.75" x14ac:dyDescent="0.2">
      <c r="R60203" s="1288"/>
    </row>
    <row r="60204" spans="18:18" s="2" customFormat="1" ht="12.75" x14ac:dyDescent="0.2">
      <c r="R60204" s="1288"/>
    </row>
    <row r="60205" spans="18:18" s="2" customFormat="1" ht="12.75" x14ac:dyDescent="0.2">
      <c r="R60205" s="1288"/>
    </row>
    <row r="60206" spans="18:18" s="2" customFormat="1" ht="12.75" x14ac:dyDescent="0.2">
      <c r="R60206" s="1288"/>
    </row>
    <row r="60207" spans="18:18" s="2" customFormat="1" ht="12.75" x14ac:dyDescent="0.2">
      <c r="R60207" s="1288"/>
    </row>
    <row r="60208" spans="18:18" s="2" customFormat="1" ht="12.75" x14ac:dyDescent="0.2">
      <c r="R60208" s="1288"/>
    </row>
    <row r="60209" spans="18:18" s="2" customFormat="1" ht="12.75" x14ac:dyDescent="0.2">
      <c r="R60209" s="1288"/>
    </row>
    <row r="60210" spans="18:18" s="2" customFormat="1" ht="12.75" x14ac:dyDescent="0.2">
      <c r="R60210" s="1288"/>
    </row>
    <row r="60211" spans="18:18" s="2" customFormat="1" ht="12.75" x14ac:dyDescent="0.2">
      <c r="R60211" s="1288"/>
    </row>
    <row r="60212" spans="18:18" s="2" customFormat="1" ht="12.75" x14ac:dyDescent="0.2">
      <c r="R60212" s="1288"/>
    </row>
    <row r="60213" spans="18:18" s="2" customFormat="1" ht="12.75" x14ac:dyDescent="0.2">
      <c r="R60213" s="1288"/>
    </row>
    <row r="60214" spans="18:18" s="2" customFormat="1" ht="12.75" x14ac:dyDescent="0.2">
      <c r="R60214" s="1288"/>
    </row>
    <row r="60215" spans="18:18" s="2" customFormat="1" ht="12.75" x14ac:dyDescent="0.2">
      <c r="R60215" s="1288"/>
    </row>
    <row r="60216" spans="18:18" s="2" customFormat="1" ht="12.75" x14ac:dyDescent="0.2">
      <c r="R60216" s="1288"/>
    </row>
    <row r="60217" spans="18:18" s="2" customFormat="1" ht="12.75" x14ac:dyDescent="0.2">
      <c r="R60217" s="1288"/>
    </row>
    <row r="60218" spans="18:18" s="2" customFormat="1" ht="12.75" x14ac:dyDescent="0.2">
      <c r="R60218" s="1288"/>
    </row>
    <row r="60219" spans="18:18" s="2" customFormat="1" ht="12.75" x14ac:dyDescent="0.2">
      <c r="R60219" s="1288"/>
    </row>
    <row r="60220" spans="18:18" s="2" customFormat="1" ht="12.75" x14ac:dyDescent="0.2">
      <c r="R60220" s="1288"/>
    </row>
    <row r="60221" spans="18:18" s="2" customFormat="1" ht="12.75" x14ac:dyDescent="0.2">
      <c r="R60221" s="1288"/>
    </row>
    <row r="60222" spans="18:18" s="2" customFormat="1" ht="12.75" x14ac:dyDescent="0.2">
      <c r="R60222" s="1288"/>
    </row>
    <row r="60223" spans="18:18" s="2" customFormat="1" ht="12.75" x14ac:dyDescent="0.2">
      <c r="R60223" s="1288"/>
    </row>
    <row r="60224" spans="18:18" s="2" customFormat="1" ht="12.75" x14ac:dyDescent="0.2">
      <c r="R60224" s="1288"/>
    </row>
    <row r="60225" spans="18:18" s="2" customFormat="1" ht="12.75" x14ac:dyDescent="0.2">
      <c r="R60225" s="1288"/>
    </row>
    <row r="60226" spans="18:18" s="2" customFormat="1" ht="12.75" x14ac:dyDescent="0.2">
      <c r="R60226" s="1288"/>
    </row>
    <row r="60227" spans="18:18" s="2" customFormat="1" ht="12.75" x14ac:dyDescent="0.2">
      <c r="R60227" s="1288"/>
    </row>
    <row r="60228" spans="18:18" s="2" customFormat="1" ht="12.75" x14ac:dyDescent="0.2">
      <c r="R60228" s="1288"/>
    </row>
    <row r="60229" spans="18:18" s="2" customFormat="1" ht="12.75" x14ac:dyDescent="0.2">
      <c r="R60229" s="1288"/>
    </row>
    <row r="60230" spans="18:18" s="2" customFormat="1" ht="12.75" x14ac:dyDescent="0.2">
      <c r="R60230" s="1288"/>
    </row>
    <row r="60231" spans="18:18" s="2" customFormat="1" ht="12.75" x14ac:dyDescent="0.2">
      <c r="R60231" s="1288"/>
    </row>
    <row r="60232" spans="18:18" s="2" customFormat="1" ht="12.75" x14ac:dyDescent="0.2">
      <c r="R60232" s="1288"/>
    </row>
    <row r="60233" spans="18:18" s="2" customFormat="1" ht="12.75" x14ac:dyDescent="0.2">
      <c r="R60233" s="1288"/>
    </row>
    <row r="60234" spans="18:18" s="2" customFormat="1" ht="12.75" x14ac:dyDescent="0.2">
      <c r="R60234" s="1288"/>
    </row>
    <row r="60235" spans="18:18" s="2" customFormat="1" ht="12.75" x14ac:dyDescent="0.2">
      <c r="R60235" s="1288"/>
    </row>
    <row r="60236" spans="18:18" s="2" customFormat="1" ht="12.75" x14ac:dyDescent="0.2">
      <c r="R60236" s="1288"/>
    </row>
    <row r="60237" spans="18:18" s="2" customFormat="1" ht="12.75" x14ac:dyDescent="0.2">
      <c r="R60237" s="1288"/>
    </row>
    <row r="60238" spans="18:18" s="2" customFormat="1" ht="12.75" x14ac:dyDescent="0.2">
      <c r="R60238" s="1288"/>
    </row>
    <row r="60239" spans="18:18" s="2" customFormat="1" ht="12.75" x14ac:dyDescent="0.2">
      <c r="R60239" s="1288"/>
    </row>
    <row r="60240" spans="18:18" s="2" customFormat="1" ht="12.75" x14ac:dyDescent="0.2">
      <c r="R60240" s="1288"/>
    </row>
    <row r="60241" spans="18:18" s="2" customFormat="1" ht="12.75" x14ac:dyDescent="0.2">
      <c r="R60241" s="1288"/>
    </row>
    <row r="60242" spans="18:18" s="2" customFormat="1" ht="12.75" x14ac:dyDescent="0.2">
      <c r="R60242" s="1288"/>
    </row>
    <row r="60243" spans="18:18" s="2" customFormat="1" ht="12.75" x14ac:dyDescent="0.2">
      <c r="R60243" s="1288"/>
    </row>
    <row r="60244" spans="18:18" s="2" customFormat="1" ht="12.75" x14ac:dyDescent="0.2">
      <c r="R60244" s="1288"/>
    </row>
    <row r="60245" spans="18:18" s="2" customFormat="1" ht="12.75" x14ac:dyDescent="0.2">
      <c r="R60245" s="1288"/>
    </row>
    <row r="60246" spans="18:18" s="2" customFormat="1" ht="12.75" x14ac:dyDescent="0.2">
      <c r="R60246" s="1288"/>
    </row>
    <row r="60247" spans="18:18" s="2" customFormat="1" ht="12.75" x14ac:dyDescent="0.2">
      <c r="R60247" s="1288"/>
    </row>
    <row r="60248" spans="18:18" s="2" customFormat="1" ht="12.75" x14ac:dyDescent="0.2">
      <c r="R60248" s="1288"/>
    </row>
    <row r="60249" spans="18:18" s="2" customFormat="1" ht="12.75" x14ac:dyDescent="0.2">
      <c r="R60249" s="1288"/>
    </row>
    <row r="60250" spans="18:18" s="2" customFormat="1" ht="12.75" x14ac:dyDescent="0.2">
      <c r="R60250" s="1288"/>
    </row>
    <row r="60251" spans="18:18" s="2" customFormat="1" ht="12.75" x14ac:dyDescent="0.2">
      <c r="R60251" s="1288"/>
    </row>
    <row r="60252" spans="18:18" s="2" customFormat="1" ht="12.75" x14ac:dyDescent="0.2">
      <c r="R60252" s="1288"/>
    </row>
    <row r="60253" spans="18:18" s="2" customFormat="1" ht="12.75" x14ac:dyDescent="0.2">
      <c r="R60253" s="1288"/>
    </row>
    <row r="60254" spans="18:18" s="2" customFormat="1" ht="12.75" x14ac:dyDescent="0.2">
      <c r="R60254" s="1288"/>
    </row>
    <row r="60255" spans="18:18" s="2" customFormat="1" ht="12.75" x14ac:dyDescent="0.2">
      <c r="R60255" s="1288"/>
    </row>
    <row r="60256" spans="18:18" s="2" customFormat="1" ht="12.75" x14ac:dyDescent="0.2">
      <c r="R60256" s="1288"/>
    </row>
    <row r="60257" spans="18:18" s="2" customFormat="1" ht="12.75" x14ac:dyDescent="0.2">
      <c r="R60257" s="1288"/>
    </row>
    <row r="60258" spans="18:18" s="2" customFormat="1" ht="12.75" x14ac:dyDescent="0.2">
      <c r="R60258" s="1288"/>
    </row>
    <row r="60259" spans="18:18" s="2" customFormat="1" ht="12.75" x14ac:dyDescent="0.2">
      <c r="R60259" s="1288"/>
    </row>
    <row r="60260" spans="18:18" s="2" customFormat="1" ht="12.75" x14ac:dyDescent="0.2">
      <c r="R60260" s="1288"/>
    </row>
    <row r="60261" spans="18:18" s="2" customFormat="1" ht="12.75" x14ac:dyDescent="0.2">
      <c r="R60261" s="1288"/>
    </row>
    <row r="60262" spans="18:18" s="2" customFormat="1" ht="12.75" x14ac:dyDescent="0.2">
      <c r="R60262" s="1288"/>
    </row>
    <row r="60263" spans="18:18" s="2" customFormat="1" ht="12.75" x14ac:dyDescent="0.2">
      <c r="R60263" s="1288"/>
    </row>
    <row r="60264" spans="18:18" s="2" customFormat="1" ht="12.75" x14ac:dyDescent="0.2">
      <c r="R60264" s="1288"/>
    </row>
    <row r="60265" spans="18:18" s="2" customFormat="1" ht="12.75" x14ac:dyDescent="0.2">
      <c r="R60265" s="1288"/>
    </row>
    <row r="60266" spans="18:18" s="2" customFormat="1" ht="12.75" x14ac:dyDescent="0.2">
      <c r="R60266" s="1288"/>
    </row>
    <row r="60267" spans="18:18" s="2" customFormat="1" ht="12.75" x14ac:dyDescent="0.2">
      <c r="R60267" s="1288"/>
    </row>
    <row r="60268" spans="18:18" s="2" customFormat="1" ht="12.75" x14ac:dyDescent="0.2">
      <c r="R60268" s="1288"/>
    </row>
    <row r="60269" spans="18:18" s="2" customFormat="1" ht="12.75" x14ac:dyDescent="0.2">
      <c r="R60269" s="1288"/>
    </row>
    <row r="60270" spans="18:18" s="2" customFormat="1" ht="12.75" x14ac:dyDescent="0.2">
      <c r="R60270" s="1288"/>
    </row>
    <row r="60271" spans="18:18" s="2" customFormat="1" ht="12.75" x14ac:dyDescent="0.2">
      <c r="R60271" s="1288"/>
    </row>
    <row r="60272" spans="18:18" s="2" customFormat="1" ht="12.75" x14ac:dyDescent="0.2">
      <c r="R60272" s="1288"/>
    </row>
    <row r="60273" spans="18:18" s="2" customFormat="1" ht="12.75" x14ac:dyDescent="0.2">
      <c r="R60273" s="1288"/>
    </row>
    <row r="60274" spans="18:18" s="2" customFormat="1" ht="12.75" x14ac:dyDescent="0.2">
      <c r="R60274" s="1288"/>
    </row>
    <row r="60275" spans="18:18" s="2" customFormat="1" ht="12.75" x14ac:dyDescent="0.2">
      <c r="R60275" s="1288"/>
    </row>
    <row r="60276" spans="18:18" s="2" customFormat="1" ht="12.75" x14ac:dyDescent="0.2">
      <c r="R60276" s="1288"/>
    </row>
    <row r="60277" spans="18:18" s="2" customFormat="1" ht="12.75" x14ac:dyDescent="0.2">
      <c r="R60277" s="1288"/>
    </row>
    <row r="60278" spans="18:18" s="2" customFormat="1" ht="12.75" x14ac:dyDescent="0.2">
      <c r="R60278" s="1288"/>
    </row>
    <row r="60279" spans="18:18" s="2" customFormat="1" ht="12.75" x14ac:dyDescent="0.2">
      <c r="R60279" s="1288"/>
    </row>
    <row r="60280" spans="18:18" s="2" customFormat="1" ht="12.75" x14ac:dyDescent="0.2">
      <c r="R60280" s="1288"/>
    </row>
    <row r="60281" spans="18:18" s="2" customFormat="1" ht="12.75" x14ac:dyDescent="0.2">
      <c r="R60281" s="1288"/>
    </row>
    <row r="60282" spans="18:18" s="2" customFormat="1" ht="12.75" x14ac:dyDescent="0.2">
      <c r="R60282" s="1288"/>
    </row>
    <row r="60283" spans="18:18" s="2" customFormat="1" ht="12.75" x14ac:dyDescent="0.2">
      <c r="R60283" s="1288"/>
    </row>
    <row r="60284" spans="18:18" s="2" customFormat="1" ht="12.75" x14ac:dyDescent="0.2">
      <c r="R60284" s="1288"/>
    </row>
    <row r="60285" spans="18:18" s="2" customFormat="1" ht="12.75" x14ac:dyDescent="0.2">
      <c r="R60285" s="1288"/>
    </row>
    <row r="60286" spans="18:18" s="2" customFormat="1" ht="12.75" x14ac:dyDescent="0.2">
      <c r="R60286" s="1288"/>
    </row>
    <row r="60287" spans="18:18" s="2" customFormat="1" ht="12.75" x14ac:dyDescent="0.2">
      <c r="R60287" s="1288"/>
    </row>
    <row r="60288" spans="18:18" s="2" customFormat="1" ht="12.75" x14ac:dyDescent="0.2">
      <c r="R60288" s="1288"/>
    </row>
    <row r="60289" spans="18:18" s="2" customFormat="1" ht="12.75" x14ac:dyDescent="0.2">
      <c r="R60289" s="1288"/>
    </row>
    <row r="60290" spans="18:18" s="2" customFormat="1" ht="12.75" x14ac:dyDescent="0.2">
      <c r="R60290" s="1288"/>
    </row>
    <row r="60291" spans="18:18" s="2" customFormat="1" ht="12.75" x14ac:dyDescent="0.2">
      <c r="R60291" s="1288"/>
    </row>
    <row r="60292" spans="18:18" s="2" customFormat="1" ht="12.75" x14ac:dyDescent="0.2">
      <c r="R60292" s="1288"/>
    </row>
    <row r="60293" spans="18:18" s="2" customFormat="1" ht="12.75" x14ac:dyDescent="0.2">
      <c r="R60293" s="1288"/>
    </row>
    <row r="60294" spans="18:18" s="2" customFormat="1" ht="12.75" x14ac:dyDescent="0.2">
      <c r="R60294" s="1288"/>
    </row>
    <row r="60295" spans="18:18" s="2" customFormat="1" ht="12.75" x14ac:dyDescent="0.2">
      <c r="R60295" s="1288"/>
    </row>
    <row r="60296" spans="18:18" s="2" customFormat="1" ht="12.75" x14ac:dyDescent="0.2">
      <c r="R60296" s="1288"/>
    </row>
    <row r="60297" spans="18:18" s="2" customFormat="1" ht="12.75" x14ac:dyDescent="0.2">
      <c r="R60297" s="1288"/>
    </row>
    <row r="60298" spans="18:18" s="2" customFormat="1" ht="12.75" x14ac:dyDescent="0.2">
      <c r="R60298" s="1288"/>
    </row>
    <row r="60299" spans="18:18" s="2" customFormat="1" ht="12.75" x14ac:dyDescent="0.2">
      <c r="R60299" s="1288"/>
    </row>
    <row r="60300" spans="18:18" s="2" customFormat="1" ht="12.75" x14ac:dyDescent="0.2">
      <c r="R60300" s="1288"/>
    </row>
    <row r="60301" spans="18:18" s="2" customFormat="1" ht="12.75" x14ac:dyDescent="0.2">
      <c r="R60301" s="1288"/>
    </row>
    <row r="60302" spans="18:18" s="2" customFormat="1" ht="12.75" x14ac:dyDescent="0.2">
      <c r="R60302" s="1288"/>
    </row>
    <row r="60303" spans="18:18" s="2" customFormat="1" ht="12.75" x14ac:dyDescent="0.2">
      <c r="R60303" s="1288"/>
    </row>
    <row r="60304" spans="18:18" s="2" customFormat="1" ht="12.75" x14ac:dyDescent="0.2">
      <c r="R60304" s="1288"/>
    </row>
    <row r="60305" spans="18:18" s="2" customFormat="1" ht="12.75" x14ac:dyDescent="0.2">
      <c r="R60305" s="1288"/>
    </row>
    <row r="60306" spans="18:18" s="2" customFormat="1" ht="12.75" x14ac:dyDescent="0.2">
      <c r="R60306" s="1288"/>
    </row>
    <row r="60307" spans="18:18" s="2" customFormat="1" ht="12.75" x14ac:dyDescent="0.2">
      <c r="R60307" s="1288"/>
    </row>
    <row r="60308" spans="18:18" s="2" customFormat="1" ht="12.75" x14ac:dyDescent="0.2">
      <c r="R60308" s="1288"/>
    </row>
    <row r="60309" spans="18:18" s="2" customFormat="1" ht="12.75" x14ac:dyDescent="0.2">
      <c r="R60309" s="1288"/>
    </row>
    <row r="60310" spans="18:18" s="2" customFormat="1" ht="12.75" x14ac:dyDescent="0.2">
      <c r="R60310" s="1288"/>
    </row>
    <row r="60311" spans="18:18" s="2" customFormat="1" ht="12.75" x14ac:dyDescent="0.2">
      <c r="R60311" s="1288"/>
    </row>
    <row r="60312" spans="18:18" s="2" customFormat="1" ht="12.75" x14ac:dyDescent="0.2">
      <c r="R60312" s="1288"/>
    </row>
    <row r="60313" spans="18:18" s="2" customFormat="1" ht="12.75" x14ac:dyDescent="0.2">
      <c r="R60313" s="1288"/>
    </row>
    <row r="60314" spans="18:18" s="2" customFormat="1" ht="12.75" x14ac:dyDescent="0.2">
      <c r="R60314" s="1288"/>
    </row>
    <row r="60315" spans="18:18" s="2" customFormat="1" ht="12.75" x14ac:dyDescent="0.2">
      <c r="R60315" s="1288"/>
    </row>
    <row r="60316" spans="18:18" s="2" customFormat="1" ht="12.75" x14ac:dyDescent="0.2">
      <c r="R60316" s="1288"/>
    </row>
    <row r="60317" spans="18:18" s="2" customFormat="1" ht="12.75" x14ac:dyDescent="0.2">
      <c r="R60317" s="1288"/>
    </row>
    <row r="60318" spans="18:18" s="2" customFormat="1" ht="12.75" x14ac:dyDescent="0.2">
      <c r="R60318" s="1288"/>
    </row>
    <row r="60319" spans="18:18" s="2" customFormat="1" ht="12.75" x14ac:dyDescent="0.2">
      <c r="R60319" s="1288"/>
    </row>
    <row r="60320" spans="18:18" s="2" customFormat="1" ht="12.75" x14ac:dyDescent="0.2">
      <c r="R60320" s="1288"/>
    </row>
    <row r="60321" spans="18:18" s="2" customFormat="1" ht="12.75" x14ac:dyDescent="0.2">
      <c r="R60321" s="1288"/>
    </row>
    <row r="60322" spans="18:18" s="2" customFormat="1" ht="12.75" x14ac:dyDescent="0.2">
      <c r="R60322" s="1288"/>
    </row>
    <row r="60323" spans="18:18" s="2" customFormat="1" ht="12.75" x14ac:dyDescent="0.2">
      <c r="R60323" s="1288"/>
    </row>
    <row r="60324" spans="18:18" s="2" customFormat="1" ht="12.75" x14ac:dyDescent="0.2">
      <c r="R60324" s="1288"/>
    </row>
    <row r="60325" spans="18:18" s="2" customFormat="1" ht="12.75" x14ac:dyDescent="0.2">
      <c r="R60325" s="1288"/>
    </row>
    <row r="60326" spans="18:18" s="2" customFormat="1" ht="12.75" x14ac:dyDescent="0.2">
      <c r="R60326" s="1288"/>
    </row>
    <row r="60327" spans="18:18" s="2" customFormat="1" ht="12.75" x14ac:dyDescent="0.2">
      <c r="R60327" s="1288"/>
    </row>
    <row r="60328" spans="18:18" s="2" customFormat="1" ht="12.75" x14ac:dyDescent="0.2">
      <c r="R60328" s="1288"/>
    </row>
    <row r="60329" spans="18:18" s="2" customFormat="1" ht="12.75" x14ac:dyDescent="0.2">
      <c r="R60329" s="1288"/>
    </row>
    <row r="60330" spans="18:18" s="2" customFormat="1" ht="12.75" x14ac:dyDescent="0.2">
      <c r="R60330" s="1288"/>
    </row>
    <row r="60331" spans="18:18" s="2" customFormat="1" ht="12.75" x14ac:dyDescent="0.2">
      <c r="R60331" s="1288"/>
    </row>
    <row r="60332" spans="18:18" s="2" customFormat="1" ht="12.75" x14ac:dyDescent="0.2">
      <c r="R60332" s="1288"/>
    </row>
    <row r="60333" spans="18:18" s="2" customFormat="1" ht="12.75" x14ac:dyDescent="0.2">
      <c r="R60333" s="1288"/>
    </row>
    <row r="60334" spans="18:18" s="2" customFormat="1" ht="12.75" x14ac:dyDescent="0.2">
      <c r="R60334" s="1288"/>
    </row>
    <row r="60335" spans="18:18" s="2" customFormat="1" ht="12.75" x14ac:dyDescent="0.2">
      <c r="R60335" s="1288"/>
    </row>
    <row r="60336" spans="18:18" s="2" customFormat="1" ht="12.75" x14ac:dyDescent="0.2">
      <c r="R60336" s="1288"/>
    </row>
    <row r="60337" spans="18:18" s="2" customFormat="1" ht="12.75" x14ac:dyDescent="0.2">
      <c r="R60337" s="1288"/>
    </row>
    <row r="60338" spans="18:18" s="2" customFormat="1" ht="12.75" x14ac:dyDescent="0.2">
      <c r="R60338" s="1288"/>
    </row>
    <row r="60339" spans="18:18" s="2" customFormat="1" ht="12.75" x14ac:dyDescent="0.2">
      <c r="R60339" s="1288"/>
    </row>
    <row r="60340" spans="18:18" s="2" customFormat="1" ht="12.75" x14ac:dyDescent="0.2">
      <c r="R60340" s="1288"/>
    </row>
    <row r="60341" spans="18:18" s="2" customFormat="1" ht="12.75" x14ac:dyDescent="0.2">
      <c r="R60341" s="1288"/>
    </row>
    <row r="60342" spans="18:18" s="2" customFormat="1" ht="12.75" x14ac:dyDescent="0.2">
      <c r="R60342" s="1288"/>
    </row>
    <row r="60343" spans="18:18" s="2" customFormat="1" ht="12.75" x14ac:dyDescent="0.2">
      <c r="R60343" s="1288"/>
    </row>
    <row r="60344" spans="18:18" s="2" customFormat="1" ht="12.75" x14ac:dyDescent="0.2">
      <c r="R60344" s="1288"/>
    </row>
    <row r="60345" spans="18:18" s="2" customFormat="1" ht="12.75" x14ac:dyDescent="0.2">
      <c r="R60345" s="1288"/>
    </row>
    <row r="60346" spans="18:18" s="2" customFormat="1" ht="12.75" x14ac:dyDescent="0.2">
      <c r="R60346" s="1288"/>
    </row>
    <row r="60347" spans="18:18" s="2" customFormat="1" ht="12.75" x14ac:dyDescent="0.2">
      <c r="R60347" s="1288"/>
    </row>
    <row r="60348" spans="18:18" s="2" customFormat="1" ht="12.75" x14ac:dyDescent="0.2">
      <c r="R60348" s="1288"/>
    </row>
    <row r="60349" spans="18:18" s="2" customFormat="1" ht="12.75" x14ac:dyDescent="0.2">
      <c r="R60349" s="1288"/>
    </row>
    <row r="60350" spans="18:18" s="2" customFormat="1" ht="12.75" x14ac:dyDescent="0.2">
      <c r="R60350" s="1288"/>
    </row>
    <row r="60351" spans="18:18" s="2" customFormat="1" ht="12.75" x14ac:dyDescent="0.2">
      <c r="R60351" s="1288"/>
    </row>
    <row r="60352" spans="18:18" s="2" customFormat="1" ht="12.75" x14ac:dyDescent="0.2">
      <c r="R60352" s="1288"/>
    </row>
    <row r="60353" spans="18:18" s="2" customFormat="1" ht="12.75" x14ac:dyDescent="0.2">
      <c r="R60353" s="1288"/>
    </row>
    <row r="60354" spans="18:18" s="2" customFormat="1" ht="12.75" x14ac:dyDescent="0.2">
      <c r="R60354" s="1288"/>
    </row>
    <row r="60355" spans="18:18" s="2" customFormat="1" ht="12.75" x14ac:dyDescent="0.2">
      <c r="R60355" s="1288"/>
    </row>
    <row r="60356" spans="18:18" s="2" customFormat="1" ht="12.75" x14ac:dyDescent="0.2">
      <c r="R60356" s="1288"/>
    </row>
    <row r="60357" spans="18:18" s="2" customFormat="1" ht="12.75" x14ac:dyDescent="0.2">
      <c r="R60357" s="1288"/>
    </row>
    <row r="60358" spans="18:18" s="2" customFormat="1" ht="12.75" x14ac:dyDescent="0.2">
      <c r="R60358" s="1288"/>
    </row>
    <row r="60359" spans="18:18" s="2" customFormat="1" ht="12.75" x14ac:dyDescent="0.2">
      <c r="R60359" s="1288"/>
    </row>
    <row r="60360" spans="18:18" s="2" customFormat="1" ht="12.75" x14ac:dyDescent="0.2">
      <c r="R60360" s="1288"/>
    </row>
    <row r="60361" spans="18:18" s="2" customFormat="1" ht="12.75" x14ac:dyDescent="0.2">
      <c r="R60361" s="1288"/>
    </row>
    <row r="60362" spans="18:18" s="2" customFormat="1" ht="12.75" x14ac:dyDescent="0.2">
      <c r="R60362" s="1288"/>
    </row>
    <row r="60363" spans="18:18" s="2" customFormat="1" ht="12.75" x14ac:dyDescent="0.2">
      <c r="R60363" s="1288"/>
    </row>
    <row r="60364" spans="18:18" s="2" customFormat="1" ht="12.75" x14ac:dyDescent="0.2">
      <c r="R60364" s="1288"/>
    </row>
    <row r="60365" spans="18:18" s="2" customFormat="1" ht="12.75" x14ac:dyDescent="0.2">
      <c r="R60365" s="1288"/>
    </row>
    <row r="60366" spans="18:18" s="2" customFormat="1" ht="12.75" x14ac:dyDescent="0.2">
      <c r="R60366" s="1288"/>
    </row>
    <row r="60367" spans="18:18" s="2" customFormat="1" ht="12.75" x14ac:dyDescent="0.2">
      <c r="R60367" s="1288"/>
    </row>
    <row r="60368" spans="18:18" s="2" customFormat="1" ht="12.75" x14ac:dyDescent="0.2">
      <c r="R60368" s="1288"/>
    </row>
    <row r="60369" spans="18:18" s="2" customFormat="1" ht="12.75" x14ac:dyDescent="0.2">
      <c r="R60369" s="1288"/>
    </row>
    <row r="60370" spans="18:18" s="2" customFormat="1" ht="12.75" x14ac:dyDescent="0.2">
      <c r="R60370" s="1288"/>
    </row>
    <row r="60371" spans="18:18" s="2" customFormat="1" ht="12.75" x14ac:dyDescent="0.2">
      <c r="R60371" s="1288"/>
    </row>
    <row r="60372" spans="18:18" s="2" customFormat="1" ht="12.75" x14ac:dyDescent="0.2">
      <c r="R60372" s="1288"/>
    </row>
    <row r="60373" spans="18:18" s="2" customFormat="1" ht="12.75" x14ac:dyDescent="0.2">
      <c r="R60373" s="1288"/>
    </row>
    <row r="60374" spans="18:18" s="2" customFormat="1" ht="12.75" x14ac:dyDescent="0.2">
      <c r="R60374" s="1288"/>
    </row>
    <row r="60375" spans="18:18" s="2" customFormat="1" ht="12.75" x14ac:dyDescent="0.2">
      <c r="R60375" s="1288"/>
    </row>
    <row r="60376" spans="18:18" s="2" customFormat="1" ht="12.75" x14ac:dyDescent="0.2">
      <c r="R60376" s="1288"/>
    </row>
    <row r="60377" spans="18:18" s="2" customFormat="1" ht="12.75" x14ac:dyDescent="0.2">
      <c r="R60377" s="1288"/>
    </row>
    <row r="60378" spans="18:18" s="2" customFormat="1" ht="12.75" x14ac:dyDescent="0.2">
      <c r="R60378" s="1288"/>
    </row>
    <row r="60379" spans="18:18" s="2" customFormat="1" ht="12.75" x14ac:dyDescent="0.2">
      <c r="R60379" s="1288"/>
    </row>
    <row r="60380" spans="18:18" s="2" customFormat="1" ht="12.75" x14ac:dyDescent="0.2">
      <c r="R60380" s="1288"/>
    </row>
    <row r="60381" spans="18:18" s="2" customFormat="1" ht="12.75" x14ac:dyDescent="0.2">
      <c r="R60381" s="1288"/>
    </row>
    <row r="60382" spans="18:18" s="2" customFormat="1" ht="12.75" x14ac:dyDescent="0.2">
      <c r="R60382" s="1288"/>
    </row>
    <row r="60383" spans="18:18" s="2" customFormat="1" ht="12.75" x14ac:dyDescent="0.2">
      <c r="R60383" s="1288"/>
    </row>
    <row r="60384" spans="18:18" s="2" customFormat="1" ht="12.75" x14ac:dyDescent="0.2">
      <c r="R60384" s="1288"/>
    </row>
    <row r="60385" spans="18:18" s="2" customFormat="1" ht="12.75" x14ac:dyDescent="0.2">
      <c r="R60385" s="1288"/>
    </row>
    <row r="60386" spans="18:18" s="2" customFormat="1" ht="12.75" x14ac:dyDescent="0.2">
      <c r="R60386" s="1288"/>
    </row>
    <row r="60387" spans="18:18" s="2" customFormat="1" ht="12.75" x14ac:dyDescent="0.2">
      <c r="R60387" s="1288"/>
    </row>
    <row r="60388" spans="18:18" s="2" customFormat="1" ht="12.75" x14ac:dyDescent="0.2">
      <c r="R60388" s="1288"/>
    </row>
    <row r="60389" spans="18:18" s="2" customFormat="1" ht="12.75" x14ac:dyDescent="0.2">
      <c r="R60389" s="1288"/>
    </row>
    <row r="60390" spans="18:18" s="2" customFormat="1" ht="12.75" x14ac:dyDescent="0.2">
      <c r="R60390" s="1288"/>
    </row>
    <row r="60391" spans="18:18" s="2" customFormat="1" ht="12.75" x14ac:dyDescent="0.2">
      <c r="R60391" s="1288"/>
    </row>
    <row r="60392" spans="18:18" s="2" customFormat="1" ht="12.75" x14ac:dyDescent="0.2">
      <c r="R60392" s="1288"/>
    </row>
    <row r="60393" spans="18:18" s="2" customFormat="1" ht="12.75" x14ac:dyDescent="0.2">
      <c r="R60393" s="1288"/>
    </row>
    <row r="60394" spans="18:18" s="2" customFormat="1" ht="12.75" x14ac:dyDescent="0.2">
      <c r="R60394" s="1288"/>
    </row>
    <row r="60395" spans="18:18" s="2" customFormat="1" ht="12.75" x14ac:dyDescent="0.2">
      <c r="R60395" s="1288"/>
    </row>
    <row r="60396" spans="18:18" s="2" customFormat="1" ht="12.75" x14ac:dyDescent="0.2">
      <c r="R60396" s="1288"/>
    </row>
    <row r="60397" spans="18:18" s="2" customFormat="1" ht="12.75" x14ac:dyDescent="0.2">
      <c r="R60397" s="1288"/>
    </row>
    <row r="60398" spans="18:18" s="2" customFormat="1" ht="12.75" x14ac:dyDescent="0.2">
      <c r="R60398" s="1288"/>
    </row>
    <row r="60399" spans="18:18" s="2" customFormat="1" ht="12.75" x14ac:dyDescent="0.2">
      <c r="R60399" s="1288"/>
    </row>
    <row r="60400" spans="18:18" s="2" customFormat="1" ht="12.75" x14ac:dyDescent="0.2">
      <c r="R60400" s="1288"/>
    </row>
    <row r="60401" spans="18:18" s="2" customFormat="1" ht="12.75" x14ac:dyDescent="0.2">
      <c r="R60401" s="1288"/>
    </row>
    <row r="60402" spans="18:18" s="2" customFormat="1" ht="12.75" x14ac:dyDescent="0.2">
      <c r="R60402" s="1288"/>
    </row>
    <row r="60403" spans="18:18" s="2" customFormat="1" ht="12.75" x14ac:dyDescent="0.2">
      <c r="R60403" s="1288"/>
    </row>
    <row r="60404" spans="18:18" s="2" customFormat="1" ht="12.75" x14ac:dyDescent="0.2">
      <c r="R60404" s="1288"/>
    </row>
    <row r="60405" spans="18:18" s="2" customFormat="1" ht="12.75" x14ac:dyDescent="0.2">
      <c r="R60405" s="1288"/>
    </row>
    <row r="60406" spans="18:18" s="2" customFormat="1" ht="12.75" x14ac:dyDescent="0.2">
      <c r="R60406" s="1288"/>
    </row>
    <row r="60407" spans="18:18" s="2" customFormat="1" ht="12.75" x14ac:dyDescent="0.2">
      <c r="R60407" s="1288"/>
    </row>
    <row r="60408" spans="18:18" s="2" customFormat="1" ht="12.75" x14ac:dyDescent="0.2">
      <c r="R60408" s="1288"/>
    </row>
    <row r="60409" spans="18:18" s="2" customFormat="1" ht="12.75" x14ac:dyDescent="0.2">
      <c r="R60409" s="1288"/>
    </row>
    <row r="60410" spans="18:18" s="2" customFormat="1" ht="12.75" x14ac:dyDescent="0.2">
      <c r="R60410" s="1288"/>
    </row>
    <row r="60411" spans="18:18" s="2" customFormat="1" ht="12.75" x14ac:dyDescent="0.2">
      <c r="R60411" s="1288"/>
    </row>
    <row r="60412" spans="18:18" s="2" customFormat="1" ht="12.75" x14ac:dyDescent="0.2">
      <c r="R60412" s="1288"/>
    </row>
    <row r="60413" spans="18:18" s="2" customFormat="1" ht="12.75" x14ac:dyDescent="0.2">
      <c r="R60413" s="1288"/>
    </row>
    <row r="60414" spans="18:18" s="2" customFormat="1" ht="12.75" x14ac:dyDescent="0.2">
      <c r="R60414" s="1288"/>
    </row>
    <row r="60415" spans="18:18" s="2" customFormat="1" ht="12.75" x14ac:dyDescent="0.2">
      <c r="R60415" s="1288"/>
    </row>
    <row r="60416" spans="18:18" s="2" customFormat="1" ht="12.75" x14ac:dyDescent="0.2">
      <c r="R60416" s="1288"/>
    </row>
    <row r="60417" spans="18:18" s="2" customFormat="1" ht="12.75" x14ac:dyDescent="0.2">
      <c r="R60417" s="1288"/>
    </row>
    <row r="60418" spans="18:18" s="2" customFormat="1" ht="12.75" x14ac:dyDescent="0.2">
      <c r="R60418" s="1288"/>
    </row>
    <row r="60419" spans="18:18" s="2" customFormat="1" ht="12.75" x14ac:dyDescent="0.2">
      <c r="R60419" s="1288"/>
    </row>
    <row r="60420" spans="18:18" s="2" customFormat="1" ht="12.75" x14ac:dyDescent="0.2">
      <c r="R60420" s="1288"/>
    </row>
    <row r="60421" spans="18:18" s="2" customFormat="1" ht="12.75" x14ac:dyDescent="0.2">
      <c r="R60421" s="1288"/>
    </row>
    <row r="60422" spans="18:18" s="2" customFormat="1" ht="12.75" x14ac:dyDescent="0.2">
      <c r="R60422" s="1288"/>
    </row>
    <row r="60423" spans="18:18" s="2" customFormat="1" ht="12.75" x14ac:dyDescent="0.2">
      <c r="R60423" s="1288"/>
    </row>
    <row r="60424" spans="18:18" s="2" customFormat="1" ht="12.75" x14ac:dyDescent="0.2">
      <c r="R60424" s="1288"/>
    </row>
    <row r="60425" spans="18:18" s="2" customFormat="1" ht="12.75" x14ac:dyDescent="0.2">
      <c r="R60425" s="1288"/>
    </row>
    <row r="60426" spans="18:18" s="2" customFormat="1" ht="12.75" x14ac:dyDescent="0.2">
      <c r="R60426" s="1288"/>
    </row>
    <row r="60427" spans="18:18" s="2" customFormat="1" ht="12.75" x14ac:dyDescent="0.2">
      <c r="R60427" s="1288"/>
    </row>
    <row r="60428" spans="18:18" s="2" customFormat="1" ht="12.75" x14ac:dyDescent="0.2">
      <c r="R60428" s="1288"/>
    </row>
    <row r="60429" spans="18:18" s="2" customFormat="1" ht="12.75" x14ac:dyDescent="0.2">
      <c r="R60429" s="1288"/>
    </row>
    <row r="60430" spans="18:18" s="2" customFormat="1" ht="12.75" x14ac:dyDescent="0.2">
      <c r="R60430" s="1288"/>
    </row>
    <row r="60431" spans="18:18" s="2" customFormat="1" ht="12.75" x14ac:dyDescent="0.2">
      <c r="R60431" s="1288"/>
    </row>
    <row r="60432" spans="18:18" s="2" customFormat="1" ht="12.75" x14ac:dyDescent="0.2">
      <c r="R60432" s="1288"/>
    </row>
    <row r="60433" spans="18:18" s="2" customFormat="1" ht="12.75" x14ac:dyDescent="0.2">
      <c r="R60433" s="1288"/>
    </row>
    <row r="60434" spans="18:18" s="2" customFormat="1" ht="12.75" x14ac:dyDescent="0.2">
      <c r="R60434" s="1288"/>
    </row>
    <row r="60435" spans="18:18" s="2" customFormat="1" ht="12.75" x14ac:dyDescent="0.2">
      <c r="R60435" s="1288"/>
    </row>
    <row r="60436" spans="18:18" s="2" customFormat="1" ht="12.75" x14ac:dyDescent="0.2">
      <c r="R60436" s="1288"/>
    </row>
    <row r="60437" spans="18:18" s="2" customFormat="1" ht="12.75" x14ac:dyDescent="0.2">
      <c r="R60437" s="1288"/>
    </row>
    <row r="60438" spans="18:18" s="2" customFormat="1" ht="12.75" x14ac:dyDescent="0.2">
      <c r="R60438" s="1288"/>
    </row>
    <row r="60439" spans="18:18" s="2" customFormat="1" ht="12.75" x14ac:dyDescent="0.2">
      <c r="R60439" s="1288"/>
    </row>
    <row r="60440" spans="18:18" s="2" customFormat="1" ht="12.75" x14ac:dyDescent="0.2">
      <c r="R60440" s="1288"/>
    </row>
    <row r="60441" spans="18:18" s="2" customFormat="1" ht="12.75" x14ac:dyDescent="0.2">
      <c r="R60441" s="1288"/>
    </row>
    <row r="60442" spans="18:18" s="2" customFormat="1" ht="12.75" x14ac:dyDescent="0.2">
      <c r="R60442" s="1288"/>
    </row>
    <row r="60443" spans="18:18" s="2" customFormat="1" ht="12.75" x14ac:dyDescent="0.2">
      <c r="R60443" s="1288"/>
    </row>
    <row r="60444" spans="18:18" s="2" customFormat="1" ht="12.75" x14ac:dyDescent="0.2">
      <c r="R60444" s="1288"/>
    </row>
    <row r="60445" spans="18:18" s="2" customFormat="1" ht="12.75" x14ac:dyDescent="0.2">
      <c r="R60445" s="1288"/>
    </row>
    <row r="60446" spans="18:18" s="2" customFormat="1" ht="12.75" x14ac:dyDescent="0.2">
      <c r="R60446" s="1288"/>
    </row>
    <row r="60447" spans="18:18" s="2" customFormat="1" ht="12.75" x14ac:dyDescent="0.2">
      <c r="R60447" s="1288"/>
    </row>
    <row r="60448" spans="18:18" s="2" customFormat="1" ht="12.75" x14ac:dyDescent="0.2">
      <c r="R60448" s="1288"/>
    </row>
    <row r="60449" spans="18:18" s="2" customFormat="1" ht="12.75" x14ac:dyDescent="0.2">
      <c r="R60449" s="1288"/>
    </row>
    <row r="60450" spans="18:18" s="2" customFormat="1" ht="12.75" x14ac:dyDescent="0.2">
      <c r="R60450" s="1288"/>
    </row>
    <row r="60451" spans="18:18" s="2" customFormat="1" ht="12.75" x14ac:dyDescent="0.2">
      <c r="R60451" s="1288"/>
    </row>
    <row r="60452" spans="18:18" s="2" customFormat="1" ht="12.75" x14ac:dyDescent="0.2">
      <c r="R60452" s="1288"/>
    </row>
    <row r="60453" spans="18:18" s="2" customFormat="1" ht="12.75" x14ac:dyDescent="0.2">
      <c r="R60453" s="1288"/>
    </row>
    <row r="60454" spans="18:18" s="2" customFormat="1" ht="12.75" x14ac:dyDescent="0.2">
      <c r="R60454" s="1288"/>
    </row>
    <row r="60455" spans="18:18" s="2" customFormat="1" ht="12.75" x14ac:dyDescent="0.2">
      <c r="R60455" s="1288"/>
    </row>
    <row r="60456" spans="18:18" s="2" customFormat="1" ht="12.75" x14ac:dyDescent="0.2">
      <c r="R60456" s="1288"/>
    </row>
    <row r="60457" spans="18:18" s="2" customFormat="1" ht="12.75" x14ac:dyDescent="0.2">
      <c r="R60457" s="1288"/>
    </row>
    <row r="60458" spans="18:18" s="2" customFormat="1" ht="12.75" x14ac:dyDescent="0.2">
      <c r="R60458" s="1288"/>
    </row>
    <row r="60459" spans="18:18" s="2" customFormat="1" ht="12.75" x14ac:dyDescent="0.2">
      <c r="R60459" s="1288"/>
    </row>
    <row r="60460" spans="18:18" s="2" customFormat="1" ht="12.75" x14ac:dyDescent="0.2">
      <c r="R60460" s="1288"/>
    </row>
    <row r="60461" spans="18:18" s="2" customFormat="1" ht="12.75" x14ac:dyDescent="0.2">
      <c r="R60461" s="1288"/>
    </row>
    <row r="60462" spans="18:18" s="2" customFormat="1" ht="12.75" x14ac:dyDescent="0.2">
      <c r="R60462" s="1288"/>
    </row>
    <row r="60463" spans="18:18" s="2" customFormat="1" ht="12.75" x14ac:dyDescent="0.2">
      <c r="R60463" s="1288"/>
    </row>
    <row r="60464" spans="18:18" s="2" customFormat="1" ht="12.75" x14ac:dyDescent="0.2">
      <c r="R60464" s="1288"/>
    </row>
    <row r="60465" spans="18:18" s="2" customFormat="1" ht="12.75" x14ac:dyDescent="0.2">
      <c r="R60465" s="1288"/>
    </row>
    <row r="60466" spans="18:18" s="2" customFormat="1" ht="12.75" x14ac:dyDescent="0.2">
      <c r="R60466" s="1288"/>
    </row>
    <row r="60467" spans="18:18" s="2" customFormat="1" ht="12.75" x14ac:dyDescent="0.2">
      <c r="R60467" s="1288"/>
    </row>
    <row r="60468" spans="18:18" s="2" customFormat="1" ht="12.75" x14ac:dyDescent="0.2">
      <c r="R60468" s="1288"/>
    </row>
    <row r="60469" spans="18:18" s="2" customFormat="1" ht="12.75" x14ac:dyDescent="0.2">
      <c r="R60469" s="1288"/>
    </row>
    <row r="60470" spans="18:18" s="2" customFormat="1" ht="12.75" x14ac:dyDescent="0.2">
      <c r="R60470" s="1288"/>
    </row>
    <row r="60471" spans="18:18" s="2" customFormat="1" ht="12.75" x14ac:dyDescent="0.2">
      <c r="R60471" s="1288"/>
    </row>
    <row r="60472" spans="18:18" s="2" customFormat="1" ht="12.75" x14ac:dyDescent="0.2">
      <c r="R60472" s="1288"/>
    </row>
    <row r="60473" spans="18:18" s="2" customFormat="1" ht="12.75" x14ac:dyDescent="0.2">
      <c r="R60473" s="1288"/>
    </row>
    <row r="60474" spans="18:18" s="2" customFormat="1" ht="12.75" x14ac:dyDescent="0.2">
      <c r="R60474" s="1288"/>
    </row>
    <row r="60475" spans="18:18" s="2" customFormat="1" ht="12.75" x14ac:dyDescent="0.2">
      <c r="R60475" s="1288"/>
    </row>
    <row r="60476" spans="18:18" s="2" customFormat="1" ht="12.75" x14ac:dyDescent="0.2">
      <c r="R60476" s="1288"/>
    </row>
    <row r="60477" spans="18:18" s="2" customFormat="1" ht="12.75" x14ac:dyDescent="0.2">
      <c r="R60477" s="1288"/>
    </row>
    <row r="60478" spans="18:18" s="2" customFormat="1" ht="12.75" x14ac:dyDescent="0.2">
      <c r="R60478" s="1288"/>
    </row>
    <row r="60479" spans="18:18" s="2" customFormat="1" ht="12.75" x14ac:dyDescent="0.2">
      <c r="R60479" s="1288"/>
    </row>
    <row r="60480" spans="18:18" s="2" customFormat="1" ht="12.75" x14ac:dyDescent="0.2">
      <c r="R60480" s="1288"/>
    </row>
    <row r="60481" spans="18:18" s="2" customFormat="1" ht="12.75" x14ac:dyDescent="0.2">
      <c r="R60481" s="1288"/>
    </row>
    <row r="60482" spans="18:18" s="2" customFormat="1" ht="12.75" x14ac:dyDescent="0.2">
      <c r="R60482" s="1288"/>
    </row>
    <row r="60483" spans="18:18" s="2" customFormat="1" ht="12.75" x14ac:dyDescent="0.2">
      <c r="R60483" s="1288"/>
    </row>
    <row r="60484" spans="18:18" s="2" customFormat="1" ht="12.75" x14ac:dyDescent="0.2">
      <c r="R60484" s="1288"/>
    </row>
    <row r="60485" spans="18:18" s="2" customFormat="1" ht="12.75" x14ac:dyDescent="0.2">
      <c r="R60485" s="1288"/>
    </row>
    <row r="60486" spans="18:18" s="2" customFormat="1" ht="12.75" x14ac:dyDescent="0.2">
      <c r="R60486" s="1288"/>
    </row>
    <row r="60487" spans="18:18" s="2" customFormat="1" ht="12.75" x14ac:dyDescent="0.2">
      <c r="R60487" s="1288"/>
    </row>
    <row r="60488" spans="18:18" s="2" customFormat="1" ht="12.75" x14ac:dyDescent="0.2">
      <c r="R60488" s="1288"/>
    </row>
    <row r="60489" spans="18:18" s="2" customFormat="1" ht="12.75" x14ac:dyDescent="0.2">
      <c r="R60489" s="1288"/>
    </row>
    <row r="60490" spans="18:18" s="2" customFormat="1" ht="12.75" x14ac:dyDescent="0.2">
      <c r="R60490" s="1288"/>
    </row>
    <row r="60491" spans="18:18" s="2" customFormat="1" ht="12.75" x14ac:dyDescent="0.2">
      <c r="R60491" s="1288"/>
    </row>
    <row r="60492" spans="18:18" s="2" customFormat="1" ht="12.75" x14ac:dyDescent="0.2">
      <c r="R60492" s="1288"/>
    </row>
    <row r="60493" spans="18:18" s="2" customFormat="1" ht="12.75" x14ac:dyDescent="0.2">
      <c r="R60493" s="1288"/>
    </row>
    <row r="60494" spans="18:18" s="2" customFormat="1" ht="12.75" x14ac:dyDescent="0.2">
      <c r="R60494" s="1288"/>
    </row>
    <row r="60495" spans="18:18" s="2" customFormat="1" ht="12.75" x14ac:dyDescent="0.2">
      <c r="R60495" s="1288"/>
    </row>
    <row r="60496" spans="18:18" s="2" customFormat="1" ht="12.75" x14ac:dyDescent="0.2">
      <c r="R60496" s="1288"/>
    </row>
    <row r="60497" spans="18:18" s="2" customFormat="1" ht="12.75" x14ac:dyDescent="0.2">
      <c r="R60497" s="1288"/>
    </row>
    <row r="60498" spans="18:18" s="2" customFormat="1" ht="12.75" x14ac:dyDescent="0.2">
      <c r="R60498" s="1288"/>
    </row>
    <row r="60499" spans="18:18" s="2" customFormat="1" ht="12.75" x14ac:dyDescent="0.2">
      <c r="R60499" s="1288"/>
    </row>
    <row r="60500" spans="18:18" s="2" customFormat="1" ht="12.75" x14ac:dyDescent="0.2">
      <c r="R60500" s="1288"/>
    </row>
    <row r="60501" spans="18:18" s="2" customFormat="1" ht="12.75" x14ac:dyDescent="0.2">
      <c r="R60501" s="1288"/>
    </row>
    <row r="60502" spans="18:18" s="2" customFormat="1" ht="12.75" x14ac:dyDescent="0.2">
      <c r="R60502" s="1288"/>
    </row>
    <row r="60503" spans="18:18" s="2" customFormat="1" ht="12.75" x14ac:dyDescent="0.2">
      <c r="R60503" s="1288"/>
    </row>
    <row r="60504" spans="18:18" s="2" customFormat="1" ht="12.75" x14ac:dyDescent="0.2">
      <c r="R60504" s="1288"/>
    </row>
    <row r="60505" spans="18:18" s="2" customFormat="1" ht="12.75" x14ac:dyDescent="0.2">
      <c r="R60505" s="1288"/>
    </row>
    <row r="60506" spans="18:18" s="2" customFormat="1" ht="12.75" x14ac:dyDescent="0.2">
      <c r="R60506" s="1288"/>
    </row>
    <row r="60507" spans="18:18" s="2" customFormat="1" ht="12.75" x14ac:dyDescent="0.2">
      <c r="R60507" s="1288"/>
    </row>
    <row r="60508" spans="18:18" s="2" customFormat="1" ht="12.75" x14ac:dyDescent="0.2">
      <c r="R60508" s="1288"/>
    </row>
    <row r="60509" spans="18:18" s="2" customFormat="1" ht="12.75" x14ac:dyDescent="0.2">
      <c r="R60509" s="1288"/>
    </row>
    <row r="60510" spans="18:18" s="2" customFormat="1" ht="12.75" x14ac:dyDescent="0.2">
      <c r="R60510" s="1288"/>
    </row>
    <row r="60511" spans="18:18" s="2" customFormat="1" ht="12.75" x14ac:dyDescent="0.2">
      <c r="R60511" s="1288"/>
    </row>
    <row r="60512" spans="18:18" s="2" customFormat="1" ht="12.75" x14ac:dyDescent="0.2">
      <c r="R60512" s="1288"/>
    </row>
    <row r="60513" spans="18:18" s="2" customFormat="1" ht="12.75" x14ac:dyDescent="0.2">
      <c r="R60513" s="1288"/>
    </row>
    <row r="60514" spans="18:18" s="2" customFormat="1" ht="12.75" x14ac:dyDescent="0.2">
      <c r="R60514" s="1288"/>
    </row>
    <row r="60515" spans="18:18" s="2" customFormat="1" ht="12.75" x14ac:dyDescent="0.2">
      <c r="R60515" s="1288"/>
    </row>
    <row r="60516" spans="18:18" s="2" customFormat="1" ht="12.75" x14ac:dyDescent="0.2">
      <c r="R60516" s="1288"/>
    </row>
    <row r="60517" spans="18:18" s="2" customFormat="1" ht="12.75" x14ac:dyDescent="0.2">
      <c r="R60517" s="1288"/>
    </row>
    <row r="60518" spans="18:18" s="2" customFormat="1" ht="12.75" x14ac:dyDescent="0.2">
      <c r="R60518" s="1288"/>
    </row>
    <row r="60519" spans="18:18" s="2" customFormat="1" ht="12.75" x14ac:dyDescent="0.2">
      <c r="R60519" s="1288"/>
    </row>
    <row r="60520" spans="18:18" s="2" customFormat="1" ht="12.75" x14ac:dyDescent="0.2">
      <c r="R60520" s="1288"/>
    </row>
    <row r="60521" spans="18:18" s="2" customFormat="1" ht="12.75" x14ac:dyDescent="0.2">
      <c r="R60521" s="1288"/>
    </row>
    <row r="60522" spans="18:18" s="2" customFormat="1" ht="12.75" x14ac:dyDescent="0.2">
      <c r="R60522" s="1288"/>
    </row>
    <row r="60523" spans="18:18" s="2" customFormat="1" ht="12.75" x14ac:dyDescent="0.2">
      <c r="R60523" s="1288"/>
    </row>
    <row r="60524" spans="18:18" s="2" customFormat="1" ht="12.75" x14ac:dyDescent="0.2">
      <c r="R60524" s="1288"/>
    </row>
    <row r="60525" spans="18:18" s="2" customFormat="1" ht="12.75" x14ac:dyDescent="0.2">
      <c r="R60525" s="1288"/>
    </row>
    <row r="60526" spans="18:18" s="2" customFormat="1" ht="12.75" x14ac:dyDescent="0.2">
      <c r="R60526" s="1288"/>
    </row>
    <row r="60527" spans="18:18" s="2" customFormat="1" ht="12.75" x14ac:dyDescent="0.2">
      <c r="R60527" s="1288"/>
    </row>
    <row r="60528" spans="18:18" s="2" customFormat="1" ht="12.75" x14ac:dyDescent="0.2">
      <c r="R60528" s="1288"/>
    </row>
    <row r="60529" spans="18:18" s="2" customFormat="1" ht="12.75" x14ac:dyDescent="0.2">
      <c r="R60529" s="1288"/>
    </row>
    <row r="60530" spans="18:18" s="2" customFormat="1" ht="12.75" x14ac:dyDescent="0.2">
      <c r="R60530" s="1288"/>
    </row>
    <row r="60531" spans="18:18" s="2" customFormat="1" ht="12.75" x14ac:dyDescent="0.2">
      <c r="R60531" s="1288"/>
    </row>
    <row r="60532" spans="18:18" s="2" customFormat="1" ht="12.75" x14ac:dyDescent="0.2">
      <c r="R60532" s="1288"/>
    </row>
    <row r="60533" spans="18:18" s="2" customFormat="1" ht="12.75" x14ac:dyDescent="0.2">
      <c r="R60533" s="1288"/>
    </row>
    <row r="60534" spans="18:18" s="2" customFormat="1" ht="12.75" x14ac:dyDescent="0.2">
      <c r="R60534" s="1288"/>
    </row>
    <row r="60535" spans="18:18" s="2" customFormat="1" ht="12.75" x14ac:dyDescent="0.2">
      <c r="R60535" s="1288"/>
    </row>
    <row r="60536" spans="18:18" s="2" customFormat="1" ht="12.75" x14ac:dyDescent="0.2">
      <c r="R60536" s="1288"/>
    </row>
    <row r="60537" spans="18:18" s="2" customFormat="1" ht="12.75" x14ac:dyDescent="0.2">
      <c r="R60537" s="1288"/>
    </row>
    <row r="60538" spans="18:18" s="2" customFormat="1" ht="12.75" x14ac:dyDescent="0.2">
      <c r="R60538" s="1288"/>
    </row>
    <row r="60539" spans="18:18" s="2" customFormat="1" ht="12.75" x14ac:dyDescent="0.2">
      <c r="R60539" s="1288"/>
    </row>
    <row r="60540" spans="18:18" s="2" customFormat="1" ht="12.75" x14ac:dyDescent="0.2">
      <c r="R60540" s="1288"/>
    </row>
    <row r="60541" spans="18:18" s="2" customFormat="1" ht="12.75" x14ac:dyDescent="0.2">
      <c r="R60541" s="1288"/>
    </row>
    <row r="60542" spans="18:18" s="2" customFormat="1" ht="12.75" x14ac:dyDescent="0.2">
      <c r="R60542" s="1288"/>
    </row>
    <row r="60543" spans="18:18" s="2" customFormat="1" ht="12.75" x14ac:dyDescent="0.2">
      <c r="R60543" s="1288"/>
    </row>
    <row r="60544" spans="18:18" s="2" customFormat="1" ht="12.75" x14ac:dyDescent="0.2">
      <c r="R60544" s="1288"/>
    </row>
    <row r="60545" spans="18:18" s="2" customFormat="1" ht="12.75" x14ac:dyDescent="0.2">
      <c r="R60545" s="1288"/>
    </row>
    <row r="60546" spans="18:18" s="2" customFormat="1" ht="12.75" x14ac:dyDescent="0.2">
      <c r="R60546" s="1288"/>
    </row>
    <row r="60547" spans="18:18" s="2" customFormat="1" ht="12.75" x14ac:dyDescent="0.2">
      <c r="R60547" s="1288"/>
    </row>
    <row r="60548" spans="18:18" s="2" customFormat="1" ht="12.75" x14ac:dyDescent="0.2">
      <c r="R60548" s="1288"/>
    </row>
    <row r="60549" spans="18:18" s="2" customFormat="1" ht="12.75" x14ac:dyDescent="0.2">
      <c r="R60549" s="1288"/>
    </row>
    <row r="60550" spans="18:18" s="2" customFormat="1" ht="12.75" x14ac:dyDescent="0.2">
      <c r="R60550" s="1288"/>
    </row>
    <row r="60551" spans="18:18" s="2" customFormat="1" ht="12.75" x14ac:dyDescent="0.2">
      <c r="R60551" s="1288"/>
    </row>
    <row r="60552" spans="18:18" s="2" customFormat="1" ht="12.75" x14ac:dyDescent="0.2">
      <c r="R60552" s="1288"/>
    </row>
    <row r="60553" spans="18:18" s="2" customFormat="1" ht="12.75" x14ac:dyDescent="0.2">
      <c r="R60553" s="1288"/>
    </row>
    <row r="60554" spans="18:18" s="2" customFormat="1" ht="12.75" x14ac:dyDescent="0.2">
      <c r="R60554" s="1288"/>
    </row>
    <row r="60555" spans="18:18" s="2" customFormat="1" ht="12.75" x14ac:dyDescent="0.2">
      <c r="R60555" s="1288"/>
    </row>
    <row r="60556" spans="18:18" s="2" customFormat="1" ht="12.75" x14ac:dyDescent="0.2">
      <c r="R60556" s="1288"/>
    </row>
    <row r="60557" spans="18:18" s="2" customFormat="1" ht="12.75" x14ac:dyDescent="0.2">
      <c r="R60557" s="1288"/>
    </row>
    <row r="60558" spans="18:18" s="2" customFormat="1" ht="12.75" x14ac:dyDescent="0.2">
      <c r="R60558" s="1288"/>
    </row>
    <row r="60559" spans="18:18" s="2" customFormat="1" ht="12.75" x14ac:dyDescent="0.2">
      <c r="R60559" s="1288"/>
    </row>
    <row r="60560" spans="18:18" s="2" customFormat="1" ht="12.75" x14ac:dyDescent="0.2">
      <c r="R60560" s="1288"/>
    </row>
    <row r="60561" spans="18:18" s="2" customFormat="1" ht="12.75" x14ac:dyDescent="0.2">
      <c r="R60561" s="1288"/>
    </row>
    <row r="60562" spans="18:18" s="2" customFormat="1" ht="12.75" x14ac:dyDescent="0.2">
      <c r="R60562" s="1288"/>
    </row>
    <row r="60563" spans="18:18" s="2" customFormat="1" ht="12.75" x14ac:dyDescent="0.2">
      <c r="R60563" s="1288"/>
    </row>
    <row r="60564" spans="18:18" s="2" customFormat="1" ht="12.75" x14ac:dyDescent="0.2">
      <c r="R60564" s="1288"/>
    </row>
    <row r="60565" spans="18:18" s="2" customFormat="1" ht="12.75" x14ac:dyDescent="0.2">
      <c r="R60565" s="1288"/>
    </row>
    <row r="60566" spans="18:18" s="2" customFormat="1" ht="12.75" x14ac:dyDescent="0.2">
      <c r="R60566" s="1288"/>
    </row>
    <row r="60567" spans="18:18" s="2" customFormat="1" ht="12.75" x14ac:dyDescent="0.2">
      <c r="R60567" s="1288"/>
    </row>
    <row r="60568" spans="18:18" s="2" customFormat="1" ht="12.75" x14ac:dyDescent="0.2">
      <c r="R60568" s="1288"/>
    </row>
    <row r="60569" spans="18:18" s="2" customFormat="1" ht="12.75" x14ac:dyDescent="0.2">
      <c r="R60569" s="1288"/>
    </row>
    <row r="60570" spans="18:18" s="2" customFormat="1" ht="12.75" x14ac:dyDescent="0.2">
      <c r="R60570" s="1288"/>
    </row>
    <row r="60571" spans="18:18" s="2" customFormat="1" ht="12.75" x14ac:dyDescent="0.2">
      <c r="R60571" s="1288"/>
    </row>
    <row r="60572" spans="18:18" s="2" customFormat="1" ht="12.75" x14ac:dyDescent="0.2">
      <c r="R60572" s="1288"/>
    </row>
    <row r="60573" spans="18:18" s="2" customFormat="1" ht="12.75" x14ac:dyDescent="0.2">
      <c r="R60573" s="1288"/>
    </row>
    <row r="60574" spans="18:18" s="2" customFormat="1" ht="12.75" x14ac:dyDescent="0.2">
      <c r="R60574" s="1288"/>
    </row>
    <row r="60575" spans="18:18" s="2" customFormat="1" ht="12.75" x14ac:dyDescent="0.2">
      <c r="R60575" s="1288"/>
    </row>
    <row r="60576" spans="18:18" s="2" customFormat="1" ht="12.75" x14ac:dyDescent="0.2">
      <c r="R60576" s="1288"/>
    </row>
    <row r="60577" spans="18:18" s="2" customFormat="1" ht="12.75" x14ac:dyDescent="0.2">
      <c r="R60577" s="1288"/>
    </row>
    <row r="60578" spans="18:18" s="2" customFormat="1" ht="12.75" x14ac:dyDescent="0.2">
      <c r="R60578" s="1288"/>
    </row>
    <row r="60579" spans="18:18" s="2" customFormat="1" ht="12.75" x14ac:dyDescent="0.2">
      <c r="R60579" s="1288"/>
    </row>
    <row r="60580" spans="18:18" s="2" customFormat="1" ht="12.75" x14ac:dyDescent="0.2">
      <c r="R60580" s="1288"/>
    </row>
    <row r="60581" spans="18:18" s="2" customFormat="1" ht="12.75" x14ac:dyDescent="0.2">
      <c r="R60581" s="1288"/>
    </row>
    <row r="60582" spans="18:18" s="2" customFormat="1" ht="12.75" x14ac:dyDescent="0.2">
      <c r="R60582" s="1288"/>
    </row>
    <row r="60583" spans="18:18" s="2" customFormat="1" ht="12.75" x14ac:dyDescent="0.2">
      <c r="R60583" s="1288"/>
    </row>
    <row r="60584" spans="18:18" s="2" customFormat="1" ht="12.75" x14ac:dyDescent="0.2">
      <c r="R60584" s="1288"/>
    </row>
    <row r="60585" spans="18:18" s="2" customFormat="1" ht="12.75" x14ac:dyDescent="0.2">
      <c r="R60585" s="1288"/>
    </row>
    <row r="60586" spans="18:18" s="2" customFormat="1" ht="12.75" x14ac:dyDescent="0.2">
      <c r="R60586" s="1288"/>
    </row>
    <row r="60587" spans="18:18" s="2" customFormat="1" ht="12.75" x14ac:dyDescent="0.2">
      <c r="R60587" s="1288"/>
    </row>
    <row r="60588" spans="18:18" s="2" customFormat="1" ht="12.75" x14ac:dyDescent="0.2">
      <c r="R60588" s="1288"/>
    </row>
    <row r="60589" spans="18:18" s="2" customFormat="1" ht="12.75" x14ac:dyDescent="0.2">
      <c r="R60589" s="1288"/>
    </row>
    <row r="60590" spans="18:18" s="2" customFormat="1" ht="12.75" x14ac:dyDescent="0.2">
      <c r="R60590" s="1288"/>
    </row>
    <row r="60591" spans="18:18" s="2" customFormat="1" ht="12.75" x14ac:dyDescent="0.2">
      <c r="R60591" s="1288"/>
    </row>
    <row r="60592" spans="18:18" s="2" customFormat="1" ht="12.75" x14ac:dyDescent="0.2">
      <c r="R60592" s="1288"/>
    </row>
    <row r="60593" spans="18:18" s="2" customFormat="1" ht="12.75" x14ac:dyDescent="0.2">
      <c r="R60593" s="1288"/>
    </row>
    <row r="60594" spans="18:18" s="2" customFormat="1" ht="12.75" x14ac:dyDescent="0.2">
      <c r="R60594" s="1288"/>
    </row>
    <row r="60595" spans="18:18" s="2" customFormat="1" ht="12.75" x14ac:dyDescent="0.2">
      <c r="R60595" s="1288"/>
    </row>
    <row r="60596" spans="18:18" s="2" customFormat="1" ht="12.75" x14ac:dyDescent="0.2">
      <c r="R60596" s="1288"/>
    </row>
    <row r="60597" spans="18:18" s="2" customFormat="1" ht="12.75" x14ac:dyDescent="0.2">
      <c r="R60597" s="1288"/>
    </row>
    <row r="60598" spans="18:18" s="2" customFormat="1" ht="12.75" x14ac:dyDescent="0.2">
      <c r="R60598" s="1288"/>
    </row>
    <row r="60599" spans="18:18" s="2" customFormat="1" ht="12.75" x14ac:dyDescent="0.2">
      <c r="R60599" s="1288"/>
    </row>
    <row r="60600" spans="18:18" s="2" customFormat="1" ht="12.75" x14ac:dyDescent="0.2">
      <c r="R60600" s="1288"/>
    </row>
    <row r="60601" spans="18:18" s="2" customFormat="1" ht="12.75" x14ac:dyDescent="0.2">
      <c r="R60601" s="1288"/>
    </row>
    <row r="60602" spans="18:18" s="2" customFormat="1" ht="12.75" x14ac:dyDescent="0.2">
      <c r="R60602" s="1288"/>
    </row>
    <row r="60603" spans="18:18" s="2" customFormat="1" ht="12.75" x14ac:dyDescent="0.2">
      <c r="R60603" s="1288"/>
    </row>
    <row r="60604" spans="18:18" s="2" customFormat="1" ht="12.75" x14ac:dyDescent="0.2">
      <c r="R60604" s="1288"/>
    </row>
    <row r="60605" spans="18:18" s="2" customFormat="1" ht="12.75" x14ac:dyDescent="0.2">
      <c r="R60605" s="1288"/>
    </row>
    <row r="60606" spans="18:18" s="2" customFormat="1" ht="12.75" x14ac:dyDescent="0.2">
      <c r="R60606" s="1288"/>
    </row>
    <row r="60607" spans="18:18" s="2" customFormat="1" ht="12.75" x14ac:dyDescent="0.2">
      <c r="R60607" s="1288"/>
    </row>
    <row r="60608" spans="18:18" s="2" customFormat="1" ht="12.75" x14ac:dyDescent="0.2">
      <c r="R60608" s="1288"/>
    </row>
    <row r="60609" spans="18:18" s="2" customFormat="1" ht="12.75" x14ac:dyDescent="0.2">
      <c r="R60609" s="1288"/>
    </row>
    <row r="60610" spans="18:18" s="2" customFormat="1" ht="12.75" x14ac:dyDescent="0.2">
      <c r="R60610" s="1288"/>
    </row>
    <row r="60611" spans="18:18" s="2" customFormat="1" ht="12.75" x14ac:dyDescent="0.2">
      <c r="R60611" s="1288"/>
    </row>
    <row r="60612" spans="18:18" s="2" customFormat="1" ht="12.75" x14ac:dyDescent="0.2">
      <c r="R60612" s="1288"/>
    </row>
    <row r="60613" spans="18:18" s="2" customFormat="1" ht="12.75" x14ac:dyDescent="0.2">
      <c r="R60613" s="1288"/>
    </row>
    <row r="60614" spans="18:18" s="2" customFormat="1" ht="12.75" x14ac:dyDescent="0.2">
      <c r="R60614" s="1288"/>
    </row>
    <row r="60615" spans="18:18" s="2" customFormat="1" ht="12.75" x14ac:dyDescent="0.2">
      <c r="R60615" s="1288"/>
    </row>
    <row r="60616" spans="18:18" s="2" customFormat="1" ht="12.75" x14ac:dyDescent="0.2">
      <c r="R60616" s="1288"/>
    </row>
    <row r="60617" spans="18:18" s="2" customFormat="1" ht="12.75" x14ac:dyDescent="0.2">
      <c r="R60617" s="1288"/>
    </row>
    <row r="60618" spans="18:18" s="2" customFormat="1" ht="12.75" x14ac:dyDescent="0.2">
      <c r="R60618" s="1288"/>
    </row>
    <row r="60619" spans="18:18" s="2" customFormat="1" ht="12.75" x14ac:dyDescent="0.2">
      <c r="R60619" s="1288"/>
    </row>
    <row r="60620" spans="18:18" s="2" customFormat="1" ht="12.75" x14ac:dyDescent="0.2">
      <c r="R60620" s="1288"/>
    </row>
    <row r="60621" spans="18:18" s="2" customFormat="1" ht="12.75" x14ac:dyDescent="0.2">
      <c r="R60621" s="1288"/>
    </row>
    <row r="60622" spans="18:18" s="2" customFormat="1" ht="12.75" x14ac:dyDescent="0.2">
      <c r="R60622" s="1288"/>
    </row>
    <row r="60623" spans="18:18" s="2" customFormat="1" ht="12.75" x14ac:dyDescent="0.2">
      <c r="R60623" s="1288"/>
    </row>
    <row r="60624" spans="18:18" s="2" customFormat="1" ht="12.75" x14ac:dyDescent="0.2">
      <c r="R60624" s="1288"/>
    </row>
    <row r="60625" spans="18:18" s="2" customFormat="1" ht="12.75" x14ac:dyDescent="0.2">
      <c r="R60625" s="1288"/>
    </row>
    <row r="60626" spans="18:18" s="2" customFormat="1" ht="12.75" x14ac:dyDescent="0.2">
      <c r="R60626" s="1288"/>
    </row>
    <row r="60627" spans="18:18" s="2" customFormat="1" ht="12.75" x14ac:dyDescent="0.2">
      <c r="R60627" s="1288"/>
    </row>
    <row r="60628" spans="18:18" s="2" customFormat="1" ht="12.75" x14ac:dyDescent="0.2">
      <c r="R60628" s="1288"/>
    </row>
    <row r="60629" spans="18:18" s="2" customFormat="1" ht="12.75" x14ac:dyDescent="0.2">
      <c r="R60629" s="1288"/>
    </row>
    <row r="60630" spans="18:18" s="2" customFormat="1" ht="12.75" x14ac:dyDescent="0.2">
      <c r="R60630" s="1288"/>
    </row>
    <row r="60631" spans="18:18" s="2" customFormat="1" ht="12.75" x14ac:dyDescent="0.2">
      <c r="R60631" s="1288"/>
    </row>
    <row r="60632" spans="18:18" s="2" customFormat="1" ht="12.75" x14ac:dyDescent="0.2">
      <c r="R60632" s="1288"/>
    </row>
    <row r="60633" spans="18:18" s="2" customFormat="1" ht="12.75" x14ac:dyDescent="0.2">
      <c r="R60633" s="1288"/>
    </row>
    <row r="60634" spans="18:18" s="2" customFormat="1" ht="12.75" x14ac:dyDescent="0.2">
      <c r="R60634" s="1288"/>
    </row>
    <row r="60635" spans="18:18" s="2" customFormat="1" ht="12.75" x14ac:dyDescent="0.2">
      <c r="R60635" s="1288"/>
    </row>
    <row r="60636" spans="18:18" s="2" customFormat="1" ht="12.75" x14ac:dyDescent="0.2">
      <c r="R60636" s="1288"/>
    </row>
    <row r="60637" spans="18:18" s="2" customFormat="1" ht="12.75" x14ac:dyDescent="0.2">
      <c r="R60637" s="1288"/>
    </row>
    <row r="60638" spans="18:18" s="2" customFormat="1" ht="12.75" x14ac:dyDescent="0.2">
      <c r="R60638" s="1288"/>
    </row>
    <row r="60639" spans="18:18" s="2" customFormat="1" ht="12.75" x14ac:dyDescent="0.2">
      <c r="R60639" s="1288"/>
    </row>
    <row r="60640" spans="18:18" s="2" customFormat="1" ht="12.75" x14ac:dyDescent="0.2">
      <c r="R60640" s="1288"/>
    </row>
    <row r="60641" spans="18:18" s="2" customFormat="1" ht="12.75" x14ac:dyDescent="0.2">
      <c r="R60641" s="1288"/>
    </row>
    <row r="60642" spans="18:18" s="2" customFormat="1" ht="12.75" x14ac:dyDescent="0.2">
      <c r="R60642" s="1288"/>
    </row>
    <row r="60643" spans="18:18" s="2" customFormat="1" ht="12.75" x14ac:dyDescent="0.2">
      <c r="R60643" s="1288"/>
    </row>
    <row r="60644" spans="18:18" s="2" customFormat="1" ht="12.75" x14ac:dyDescent="0.2">
      <c r="R60644" s="1288"/>
    </row>
    <row r="60645" spans="18:18" s="2" customFormat="1" ht="12.75" x14ac:dyDescent="0.2">
      <c r="R60645" s="1288"/>
    </row>
    <row r="60646" spans="18:18" s="2" customFormat="1" ht="12.75" x14ac:dyDescent="0.2">
      <c r="R60646" s="1288"/>
    </row>
    <row r="60647" spans="18:18" s="2" customFormat="1" ht="12.75" x14ac:dyDescent="0.2">
      <c r="R60647" s="1288"/>
    </row>
    <row r="60648" spans="18:18" s="2" customFormat="1" ht="12.75" x14ac:dyDescent="0.2">
      <c r="R60648" s="1288"/>
    </row>
    <row r="60649" spans="18:18" s="2" customFormat="1" ht="12.75" x14ac:dyDescent="0.2">
      <c r="R60649" s="1288"/>
    </row>
    <row r="60650" spans="18:18" s="2" customFormat="1" ht="12.75" x14ac:dyDescent="0.2">
      <c r="R60650" s="1288"/>
    </row>
    <row r="60651" spans="18:18" s="2" customFormat="1" ht="12.75" x14ac:dyDescent="0.2">
      <c r="R60651" s="1288"/>
    </row>
    <row r="60652" spans="18:18" s="2" customFormat="1" ht="12.75" x14ac:dyDescent="0.2">
      <c r="R60652" s="1288"/>
    </row>
    <row r="60653" spans="18:18" s="2" customFormat="1" ht="12.75" x14ac:dyDescent="0.2">
      <c r="R60653" s="1288"/>
    </row>
    <row r="60654" spans="18:18" s="2" customFormat="1" ht="12.75" x14ac:dyDescent="0.2">
      <c r="R60654" s="1288"/>
    </row>
    <row r="60655" spans="18:18" s="2" customFormat="1" ht="12.75" x14ac:dyDescent="0.2">
      <c r="R60655" s="1288"/>
    </row>
    <row r="60656" spans="18:18" s="2" customFormat="1" ht="12.75" x14ac:dyDescent="0.2">
      <c r="R60656" s="1288"/>
    </row>
    <row r="60657" spans="18:18" s="2" customFormat="1" ht="12.75" x14ac:dyDescent="0.2">
      <c r="R60657" s="1288"/>
    </row>
    <row r="60658" spans="18:18" s="2" customFormat="1" ht="12.75" x14ac:dyDescent="0.2">
      <c r="R60658" s="1288"/>
    </row>
    <row r="60659" spans="18:18" s="2" customFormat="1" ht="12.75" x14ac:dyDescent="0.2">
      <c r="R60659" s="1288"/>
    </row>
    <row r="60660" spans="18:18" s="2" customFormat="1" ht="12.75" x14ac:dyDescent="0.2">
      <c r="R60660" s="1288"/>
    </row>
    <row r="60661" spans="18:18" s="2" customFormat="1" ht="12.75" x14ac:dyDescent="0.2">
      <c r="R60661" s="1288"/>
    </row>
    <row r="60662" spans="18:18" s="2" customFormat="1" ht="12.75" x14ac:dyDescent="0.2">
      <c r="R60662" s="1288"/>
    </row>
    <row r="60663" spans="18:18" s="2" customFormat="1" ht="12.75" x14ac:dyDescent="0.2">
      <c r="R60663" s="1288"/>
    </row>
    <row r="60664" spans="18:18" s="2" customFormat="1" ht="12.75" x14ac:dyDescent="0.2">
      <c r="R60664" s="1288"/>
    </row>
    <row r="60665" spans="18:18" s="2" customFormat="1" ht="12.75" x14ac:dyDescent="0.2">
      <c r="R60665" s="1288"/>
    </row>
    <row r="60666" spans="18:18" s="2" customFormat="1" ht="12.75" x14ac:dyDescent="0.2">
      <c r="R60666" s="1288"/>
    </row>
    <row r="60667" spans="18:18" s="2" customFormat="1" ht="12.75" x14ac:dyDescent="0.2">
      <c r="R60667" s="1288"/>
    </row>
    <row r="60668" spans="18:18" s="2" customFormat="1" ht="12.75" x14ac:dyDescent="0.2">
      <c r="R60668" s="1288"/>
    </row>
    <row r="60669" spans="18:18" s="2" customFormat="1" ht="12.75" x14ac:dyDescent="0.2">
      <c r="R60669" s="1288"/>
    </row>
    <row r="60670" spans="18:18" s="2" customFormat="1" ht="12.75" x14ac:dyDescent="0.2">
      <c r="R60670" s="1288"/>
    </row>
    <row r="60671" spans="18:18" s="2" customFormat="1" ht="12.75" x14ac:dyDescent="0.2">
      <c r="R60671" s="1288"/>
    </row>
    <row r="60672" spans="18:18" s="2" customFormat="1" ht="12.75" x14ac:dyDescent="0.2">
      <c r="R60672" s="1288"/>
    </row>
    <row r="60673" spans="18:18" s="2" customFormat="1" ht="12.75" x14ac:dyDescent="0.2">
      <c r="R60673" s="1288"/>
    </row>
    <row r="60674" spans="18:18" s="2" customFormat="1" ht="12.75" x14ac:dyDescent="0.2">
      <c r="R60674" s="1288"/>
    </row>
    <row r="60675" spans="18:18" s="2" customFormat="1" ht="12.75" x14ac:dyDescent="0.2">
      <c r="R60675" s="1288"/>
    </row>
    <row r="60676" spans="18:18" s="2" customFormat="1" ht="12.75" x14ac:dyDescent="0.2">
      <c r="R60676" s="1288"/>
    </row>
    <row r="60677" spans="18:18" s="2" customFormat="1" ht="12.75" x14ac:dyDescent="0.2">
      <c r="R60677" s="1288"/>
    </row>
    <row r="60678" spans="18:18" s="2" customFormat="1" ht="12.75" x14ac:dyDescent="0.2">
      <c r="R60678" s="1288"/>
    </row>
    <row r="60679" spans="18:18" s="2" customFormat="1" ht="12.75" x14ac:dyDescent="0.2">
      <c r="R60679" s="1288"/>
    </row>
    <row r="60680" spans="18:18" s="2" customFormat="1" ht="12.75" x14ac:dyDescent="0.2">
      <c r="R60680" s="1288"/>
    </row>
    <row r="60681" spans="18:18" s="2" customFormat="1" ht="12.75" x14ac:dyDescent="0.2">
      <c r="R60681" s="1288"/>
    </row>
    <row r="60682" spans="18:18" s="2" customFormat="1" ht="12.75" x14ac:dyDescent="0.2">
      <c r="R60682" s="1288"/>
    </row>
    <row r="60683" spans="18:18" s="2" customFormat="1" ht="12.75" x14ac:dyDescent="0.2">
      <c r="R60683" s="1288"/>
    </row>
    <row r="60684" spans="18:18" s="2" customFormat="1" ht="12.75" x14ac:dyDescent="0.2">
      <c r="R60684" s="1288"/>
    </row>
    <row r="60685" spans="18:18" s="2" customFormat="1" ht="12.75" x14ac:dyDescent="0.2">
      <c r="R60685" s="1288"/>
    </row>
    <row r="60686" spans="18:18" s="2" customFormat="1" ht="12.75" x14ac:dyDescent="0.2">
      <c r="R60686" s="1288"/>
    </row>
    <row r="60687" spans="18:18" s="2" customFormat="1" ht="12.75" x14ac:dyDescent="0.2">
      <c r="R60687" s="1288"/>
    </row>
    <row r="60688" spans="18:18" s="2" customFormat="1" ht="12.75" x14ac:dyDescent="0.2">
      <c r="R60688" s="1288"/>
    </row>
    <row r="60689" spans="18:18" s="2" customFormat="1" ht="12.75" x14ac:dyDescent="0.2">
      <c r="R60689" s="1288"/>
    </row>
    <row r="60690" spans="18:18" s="2" customFormat="1" ht="12.75" x14ac:dyDescent="0.2">
      <c r="R60690" s="1288"/>
    </row>
    <row r="60691" spans="18:18" s="2" customFormat="1" ht="12.75" x14ac:dyDescent="0.2">
      <c r="R60691" s="1288"/>
    </row>
    <row r="60692" spans="18:18" s="2" customFormat="1" ht="12.75" x14ac:dyDescent="0.2">
      <c r="R60692" s="1288"/>
    </row>
    <row r="60693" spans="18:18" s="2" customFormat="1" ht="12.75" x14ac:dyDescent="0.2">
      <c r="R60693" s="1288"/>
    </row>
    <row r="60694" spans="18:18" s="2" customFormat="1" ht="12.75" x14ac:dyDescent="0.2">
      <c r="R60694" s="1288"/>
    </row>
    <row r="60695" spans="18:18" s="2" customFormat="1" ht="12.75" x14ac:dyDescent="0.2">
      <c r="R60695" s="1288"/>
    </row>
    <row r="60696" spans="18:18" s="2" customFormat="1" ht="12.75" x14ac:dyDescent="0.2">
      <c r="R60696" s="1288"/>
    </row>
    <row r="60697" spans="18:18" s="2" customFormat="1" ht="12.75" x14ac:dyDescent="0.2">
      <c r="R60697" s="1288"/>
    </row>
    <row r="60698" spans="18:18" s="2" customFormat="1" ht="12.75" x14ac:dyDescent="0.2">
      <c r="R60698" s="1288"/>
    </row>
    <row r="60699" spans="18:18" s="2" customFormat="1" ht="12.75" x14ac:dyDescent="0.2">
      <c r="R60699" s="1288"/>
    </row>
    <row r="60700" spans="18:18" s="2" customFormat="1" ht="12.75" x14ac:dyDescent="0.2">
      <c r="R60700" s="1288"/>
    </row>
    <row r="60701" spans="18:18" s="2" customFormat="1" ht="12.75" x14ac:dyDescent="0.2">
      <c r="R60701" s="1288"/>
    </row>
    <row r="60702" spans="18:18" s="2" customFormat="1" ht="12.75" x14ac:dyDescent="0.2">
      <c r="R60702" s="1288"/>
    </row>
    <row r="60703" spans="18:18" s="2" customFormat="1" ht="12.75" x14ac:dyDescent="0.2">
      <c r="R60703" s="1288"/>
    </row>
    <row r="60704" spans="18:18" s="2" customFormat="1" ht="12.75" x14ac:dyDescent="0.2">
      <c r="R60704" s="1288"/>
    </row>
    <row r="60705" spans="18:18" s="2" customFormat="1" ht="12.75" x14ac:dyDescent="0.2">
      <c r="R60705" s="1288"/>
    </row>
    <row r="60706" spans="18:18" s="2" customFormat="1" ht="12.75" x14ac:dyDescent="0.2">
      <c r="R60706" s="1288"/>
    </row>
    <row r="60707" spans="18:18" s="2" customFormat="1" ht="12.75" x14ac:dyDescent="0.2">
      <c r="R60707" s="1288"/>
    </row>
    <row r="60708" spans="18:18" s="2" customFormat="1" ht="12.75" x14ac:dyDescent="0.2">
      <c r="R60708" s="1288"/>
    </row>
    <row r="60709" spans="18:18" s="2" customFormat="1" ht="12.75" x14ac:dyDescent="0.2">
      <c r="R60709" s="1288"/>
    </row>
    <row r="60710" spans="18:18" s="2" customFormat="1" ht="12.75" x14ac:dyDescent="0.2">
      <c r="R60710" s="1288"/>
    </row>
    <row r="60711" spans="18:18" s="2" customFormat="1" ht="12.75" x14ac:dyDescent="0.2">
      <c r="R60711" s="1288"/>
    </row>
    <row r="60712" spans="18:18" s="2" customFormat="1" ht="12.75" x14ac:dyDescent="0.2">
      <c r="R60712" s="1288"/>
    </row>
    <row r="60713" spans="18:18" s="2" customFormat="1" ht="12.75" x14ac:dyDescent="0.2">
      <c r="R60713" s="1288"/>
    </row>
    <row r="60714" spans="18:18" s="2" customFormat="1" ht="12.75" x14ac:dyDescent="0.2">
      <c r="R60714" s="1288"/>
    </row>
    <row r="60715" spans="18:18" s="2" customFormat="1" ht="12.75" x14ac:dyDescent="0.2">
      <c r="R60715" s="1288"/>
    </row>
    <row r="60716" spans="18:18" s="2" customFormat="1" ht="12.75" x14ac:dyDescent="0.2">
      <c r="R60716" s="1288"/>
    </row>
    <row r="60717" spans="18:18" s="2" customFormat="1" ht="12.75" x14ac:dyDescent="0.2">
      <c r="R60717" s="1288"/>
    </row>
    <row r="60718" spans="18:18" s="2" customFormat="1" ht="12.75" x14ac:dyDescent="0.2">
      <c r="R60718" s="1288"/>
    </row>
    <row r="60719" spans="18:18" s="2" customFormat="1" ht="12.75" x14ac:dyDescent="0.2">
      <c r="R60719" s="1288"/>
    </row>
    <row r="60720" spans="18:18" s="2" customFormat="1" ht="12.75" x14ac:dyDescent="0.2">
      <c r="R60720" s="1288"/>
    </row>
    <row r="60721" spans="18:18" s="2" customFormat="1" ht="12.75" x14ac:dyDescent="0.2">
      <c r="R60721" s="1288"/>
    </row>
    <row r="60722" spans="18:18" s="2" customFormat="1" ht="12.75" x14ac:dyDescent="0.2">
      <c r="R60722" s="1288"/>
    </row>
    <row r="60723" spans="18:18" s="2" customFormat="1" ht="12.75" x14ac:dyDescent="0.2">
      <c r="R60723" s="1288"/>
    </row>
    <row r="60724" spans="18:18" s="2" customFormat="1" ht="12.75" x14ac:dyDescent="0.2">
      <c r="R60724" s="1288"/>
    </row>
    <row r="60725" spans="18:18" s="2" customFormat="1" ht="12.75" x14ac:dyDescent="0.2">
      <c r="R60725" s="1288"/>
    </row>
    <row r="60726" spans="18:18" s="2" customFormat="1" ht="12.75" x14ac:dyDescent="0.2">
      <c r="R60726" s="1288"/>
    </row>
    <row r="60727" spans="18:18" s="2" customFormat="1" ht="12.75" x14ac:dyDescent="0.2">
      <c r="R60727" s="1288"/>
    </row>
    <row r="60728" spans="18:18" s="2" customFormat="1" ht="12.75" x14ac:dyDescent="0.2">
      <c r="R60728" s="1288"/>
    </row>
    <row r="60729" spans="18:18" s="2" customFormat="1" ht="12.75" x14ac:dyDescent="0.2">
      <c r="R60729" s="1288"/>
    </row>
    <row r="60730" spans="18:18" s="2" customFormat="1" ht="12.75" x14ac:dyDescent="0.2">
      <c r="R60730" s="1288"/>
    </row>
    <row r="60731" spans="18:18" s="2" customFormat="1" ht="12.75" x14ac:dyDescent="0.2">
      <c r="R60731" s="1288"/>
    </row>
    <row r="60732" spans="18:18" s="2" customFormat="1" ht="12.75" x14ac:dyDescent="0.2">
      <c r="R60732" s="1288"/>
    </row>
    <row r="60733" spans="18:18" s="2" customFormat="1" ht="12.75" x14ac:dyDescent="0.2">
      <c r="R60733" s="1288"/>
    </row>
    <row r="60734" spans="18:18" s="2" customFormat="1" ht="12.75" x14ac:dyDescent="0.2">
      <c r="R60734" s="1288"/>
    </row>
    <row r="60735" spans="18:18" s="2" customFormat="1" ht="12.75" x14ac:dyDescent="0.2">
      <c r="R60735" s="1288"/>
    </row>
    <row r="60736" spans="18:18" s="2" customFormat="1" ht="12.75" x14ac:dyDescent="0.2">
      <c r="R60736" s="1288"/>
    </row>
    <row r="60737" spans="18:18" s="2" customFormat="1" ht="12.75" x14ac:dyDescent="0.2">
      <c r="R60737" s="1288"/>
    </row>
    <row r="60738" spans="18:18" s="2" customFormat="1" ht="12.75" x14ac:dyDescent="0.2">
      <c r="R60738" s="1288"/>
    </row>
    <row r="60739" spans="18:18" s="2" customFormat="1" ht="12.75" x14ac:dyDescent="0.2">
      <c r="R60739" s="1288"/>
    </row>
    <row r="60740" spans="18:18" s="2" customFormat="1" ht="12.75" x14ac:dyDescent="0.2">
      <c r="R60740" s="1288"/>
    </row>
    <row r="60741" spans="18:18" s="2" customFormat="1" ht="12.75" x14ac:dyDescent="0.2">
      <c r="R60741" s="1288"/>
    </row>
    <row r="60742" spans="18:18" s="2" customFormat="1" ht="12.75" x14ac:dyDescent="0.2">
      <c r="R60742" s="1288"/>
    </row>
    <row r="60743" spans="18:18" s="2" customFormat="1" ht="12.75" x14ac:dyDescent="0.2">
      <c r="R60743" s="1288"/>
    </row>
    <row r="60744" spans="18:18" s="2" customFormat="1" ht="12.75" x14ac:dyDescent="0.2">
      <c r="R60744" s="1288"/>
    </row>
    <row r="60745" spans="18:18" s="2" customFormat="1" ht="12.75" x14ac:dyDescent="0.2">
      <c r="R60745" s="1288"/>
    </row>
    <row r="60746" spans="18:18" s="2" customFormat="1" ht="12.75" x14ac:dyDescent="0.2">
      <c r="R60746" s="1288"/>
    </row>
    <row r="60747" spans="18:18" s="2" customFormat="1" ht="12.75" x14ac:dyDescent="0.2">
      <c r="R60747" s="1288"/>
    </row>
    <row r="60748" spans="18:18" s="2" customFormat="1" ht="12.75" x14ac:dyDescent="0.2">
      <c r="R60748" s="1288"/>
    </row>
    <row r="60749" spans="18:18" s="2" customFormat="1" ht="12.75" x14ac:dyDescent="0.2">
      <c r="R60749" s="1288"/>
    </row>
    <row r="60750" spans="18:18" s="2" customFormat="1" ht="12.75" x14ac:dyDescent="0.2">
      <c r="R60750" s="1288"/>
    </row>
    <row r="60751" spans="18:18" s="2" customFormat="1" ht="12.75" x14ac:dyDescent="0.2">
      <c r="R60751" s="1288"/>
    </row>
    <row r="60752" spans="18:18" s="2" customFormat="1" ht="12.75" x14ac:dyDescent="0.2">
      <c r="R60752" s="1288"/>
    </row>
    <row r="60753" spans="18:18" s="2" customFormat="1" ht="12.75" x14ac:dyDescent="0.2">
      <c r="R60753" s="1288"/>
    </row>
    <row r="60754" spans="18:18" s="2" customFormat="1" ht="12.75" x14ac:dyDescent="0.2">
      <c r="R60754" s="1288"/>
    </row>
    <row r="60755" spans="18:18" s="2" customFormat="1" ht="12.75" x14ac:dyDescent="0.2">
      <c r="R60755" s="1288"/>
    </row>
    <row r="60756" spans="18:18" s="2" customFormat="1" ht="12.75" x14ac:dyDescent="0.2">
      <c r="R60756" s="1288"/>
    </row>
    <row r="60757" spans="18:18" s="2" customFormat="1" ht="12.75" x14ac:dyDescent="0.2">
      <c r="R60757" s="1288"/>
    </row>
    <row r="60758" spans="18:18" s="2" customFormat="1" ht="12.75" x14ac:dyDescent="0.2">
      <c r="R60758" s="1288"/>
    </row>
    <row r="60759" spans="18:18" s="2" customFormat="1" ht="12.75" x14ac:dyDescent="0.2">
      <c r="R60759" s="1288"/>
    </row>
    <row r="60760" spans="18:18" s="2" customFormat="1" ht="12.75" x14ac:dyDescent="0.2">
      <c r="R60760" s="1288"/>
    </row>
    <row r="60761" spans="18:18" s="2" customFormat="1" ht="12.75" x14ac:dyDescent="0.2">
      <c r="R60761" s="1288"/>
    </row>
    <row r="60762" spans="18:18" s="2" customFormat="1" ht="12.75" x14ac:dyDescent="0.2">
      <c r="R60762" s="1288"/>
    </row>
    <row r="60763" spans="18:18" s="2" customFormat="1" ht="12.75" x14ac:dyDescent="0.2">
      <c r="R60763" s="1288"/>
    </row>
    <row r="60764" spans="18:18" s="2" customFormat="1" ht="12.75" x14ac:dyDescent="0.2">
      <c r="R60764" s="1288"/>
    </row>
    <row r="60765" spans="18:18" s="2" customFormat="1" ht="12.75" x14ac:dyDescent="0.2">
      <c r="R60765" s="1288"/>
    </row>
    <row r="60766" spans="18:18" s="2" customFormat="1" ht="12.75" x14ac:dyDescent="0.2">
      <c r="R60766" s="1288"/>
    </row>
    <row r="60767" spans="18:18" s="2" customFormat="1" ht="12.75" x14ac:dyDescent="0.2">
      <c r="R60767" s="1288"/>
    </row>
    <row r="60768" spans="18:18" s="2" customFormat="1" ht="12.75" x14ac:dyDescent="0.2">
      <c r="R60768" s="1288"/>
    </row>
    <row r="60769" spans="18:18" s="2" customFormat="1" ht="12.75" x14ac:dyDescent="0.2">
      <c r="R60769" s="1288"/>
    </row>
    <row r="60770" spans="18:18" s="2" customFormat="1" ht="12.75" x14ac:dyDescent="0.2">
      <c r="R60770" s="1288"/>
    </row>
    <row r="60771" spans="18:18" s="2" customFormat="1" ht="12.75" x14ac:dyDescent="0.2">
      <c r="R60771" s="1288"/>
    </row>
    <row r="60772" spans="18:18" s="2" customFormat="1" ht="12.75" x14ac:dyDescent="0.2">
      <c r="R60772" s="1288"/>
    </row>
    <row r="60773" spans="18:18" s="2" customFormat="1" ht="12.75" x14ac:dyDescent="0.2">
      <c r="R60773" s="1288"/>
    </row>
    <row r="60774" spans="18:18" s="2" customFormat="1" ht="12.75" x14ac:dyDescent="0.2">
      <c r="R60774" s="1288"/>
    </row>
    <row r="60775" spans="18:18" s="2" customFormat="1" ht="12.75" x14ac:dyDescent="0.2">
      <c r="R60775" s="1288"/>
    </row>
    <row r="60776" spans="18:18" s="2" customFormat="1" ht="12.75" x14ac:dyDescent="0.2">
      <c r="R60776" s="1288"/>
    </row>
    <row r="60777" spans="18:18" s="2" customFormat="1" ht="12.75" x14ac:dyDescent="0.2">
      <c r="R60777" s="1288"/>
    </row>
    <row r="60778" spans="18:18" s="2" customFormat="1" ht="12.75" x14ac:dyDescent="0.2">
      <c r="R60778" s="1288"/>
    </row>
    <row r="60779" spans="18:18" s="2" customFormat="1" ht="12.75" x14ac:dyDescent="0.2">
      <c r="R60779" s="1288"/>
    </row>
    <row r="60780" spans="18:18" s="2" customFormat="1" ht="12.75" x14ac:dyDescent="0.2">
      <c r="R60780" s="1288"/>
    </row>
    <row r="60781" spans="18:18" s="2" customFormat="1" ht="12.75" x14ac:dyDescent="0.2">
      <c r="R60781" s="1288"/>
    </row>
    <row r="60782" spans="18:18" s="2" customFormat="1" ht="12.75" x14ac:dyDescent="0.2">
      <c r="R60782" s="1288"/>
    </row>
    <row r="60783" spans="18:18" s="2" customFormat="1" ht="12.75" x14ac:dyDescent="0.2">
      <c r="R60783" s="1288"/>
    </row>
    <row r="60784" spans="18:18" s="2" customFormat="1" ht="12.75" x14ac:dyDescent="0.2">
      <c r="R60784" s="1288"/>
    </row>
    <row r="60785" spans="18:18" s="2" customFormat="1" ht="12.75" x14ac:dyDescent="0.2">
      <c r="R60785" s="1288"/>
    </row>
    <row r="60786" spans="18:18" s="2" customFormat="1" ht="12.75" x14ac:dyDescent="0.2">
      <c r="R60786" s="1288"/>
    </row>
    <row r="60787" spans="18:18" s="2" customFormat="1" ht="12.75" x14ac:dyDescent="0.2">
      <c r="R60787" s="1288"/>
    </row>
    <row r="60788" spans="18:18" s="2" customFormat="1" ht="12.75" x14ac:dyDescent="0.2">
      <c r="R60788" s="1288"/>
    </row>
    <row r="60789" spans="18:18" s="2" customFormat="1" ht="12.75" x14ac:dyDescent="0.2">
      <c r="R60789" s="1288"/>
    </row>
    <row r="60790" spans="18:18" s="2" customFormat="1" ht="12.75" x14ac:dyDescent="0.2">
      <c r="R60790" s="1288"/>
    </row>
    <row r="60791" spans="18:18" s="2" customFormat="1" ht="12.75" x14ac:dyDescent="0.2">
      <c r="R60791" s="1288"/>
    </row>
    <row r="60792" spans="18:18" s="2" customFormat="1" ht="12.75" x14ac:dyDescent="0.2">
      <c r="R60792" s="1288"/>
    </row>
    <row r="60793" spans="18:18" s="2" customFormat="1" ht="12.75" x14ac:dyDescent="0.2">
      <c r="R60793" s="1288"/>
    </row>
    <row r="60794" spans="18:18" s="2" customFormat="1" ht="12.75" x14ac:dyDescent="0.2">
      <c r="R60794" s="1288"/>
    </row>
    <row r="60795" spans="18:18" s="2" customFormat="1" ht="12.75" x14ac:dyDescent="0.2">
      <c r="R60795" s="1288"/>
    </row>
    <row r="60796" spans="18:18" s="2" customFormat="1" ht="12.75" x14ac:dyDescent="0.2">
      <c r="R60796" s="1288"/>
    </row>
    <row r="60797" spans="18:18" s="2" customFormat="1" ht="12.75" x14ac:dyDescent="0.2">
      <c r="R60797" s="1288"/>
    </row>
    <row r="60798" spans="18:18" s="2" customFormat="1" ht="12.75" x14ac:dyDescent="0.2">
      <c r="R60798" s="1288"/>
    </row>
    <row r="60799" spans="18:18" s="2" customFormat="1" ht="12.75" x14ac:dyDescent="0.2">
      <c r="R60799" s="1288"/>
    </row>
    <row r="60800" spans="18:18" s="2" customFormat="1" ht="12.75" x14ac:dyDescent="0.2">
      <c r="R60800" s="1288"/>
    </row>
    <row r="60801" spans="18:18" s="2" customFormat="1" ht="12.75" x14ac:dyDescent="0.2">
      <c r="R60801" s="1288"/>
    </row>
    <row r="60802" spans="18:18" s="2" customFormat="1" ht="12.75" x14ac:dyDescent="0.2">
      <c r="R60802" s="1288"/>
    </row>
    <row r="60803" spans="18:18" s="2" customFormat="1" ht="12.75" x14ac:dyDescent="0.2">
      <c r="R60803" s="1288"/>
    </row>
    <row r="60804" spans="18:18" s="2" customFormat="1" ht="12.75" x14ac:dyDescent="0.2">
      <c r="R60804" s="1288"/>
    </row>
    <row r="60805" spans="18:18" s="2" customFormat="1" ht="12.75" x14ac:dyDescent="0.2">
      <c r="R60805" s="1288"/>
    </row>
    <row r="60806" spans="18:18" s="2" customFormat="1" ht="12.75" x14ac:dyDescent="0.2">
      <c r="R60806" s="1288"/>
    </row>
    <row r="60807" spans="18:18" s="2" customFormat="1" ht="12.75" x14ac:dyDescent="0.2">
      <c r="R60807" s="1288"/>
    </row>
    <row r="60808" spans="18:18" s="2" customFormat="1" ht="12.75" x14ac:dyDescent="0.2">
      <c r="R60808" s="1288"/>
    </row>
    <row r="60809" spans="18:18" s="2" customFormat="1" ht="12.75" x14ac:dyDescent="0.2">
      <c r="R60809" s="1288"/>
    </row>
    <row r="60810" spans="18:18" s="2" customFormat="1" ht="12.75" x14ac:dyDescent="0.2">
      <c r="R60810" s="1288"/>
    </row>
    <row r="60811" spans="18:18" s="2" customFormat="1" ht="12.75" x14ac:dyDescent="0.2">
      <c r="R60811" s="1288"/>
    </row>
    <row r="60812" spans="18:18" s="2" customFormat="1" ht="12.75" x14ac:dyDescent="0.2">
      <c r="R60812" s="1288"/>
    </row>
    <row r="60813" spans="18:18" s="2" customFormat="1" ht="12.75" x14ac:dyDescent="0.2">
      <c r="R60813" s="1288"/>
    </row>
    <row r="60814" spans="18:18" s="2" customFormat="1" ht="12.75" x14ac:dyDescent="0.2">
      <c r="R60814" s="1288"/>
    </row>
    <row r="60815" spans="18:18" s="2" customFormat="1" ht="12.75" x14ac:dyDescent="0.2">
      <c r="R60815" s="1288"/>
    </row>
    <row r="60816" spans="18:18" s="2" customFormat="1" ht="12.75" x14ac:dyDescent="0.2">
      <c r="R60816" s="1288"/>
    </row>
    <row r="60817" spans="18:18" s="2" customFormat="1" ht="12.75" x14ac:dyDescent="0.2">
      <c r="R60817" s="1288"/>
    </row>
    <row r="60818" spans="18:18" s="2" customFormat="1" ht="12.75" x14ac:dyDescent="0.2">
      <c r="R60818" s="1288"/>
    </row>
    <row r="60819" spans="18:18" s="2" customFormat="1" ht="12.75" x14ac:dyDescent="0.2">
      <c r="R60819" s="1288"/>
    </row>
    <row r="60820" spans="18:18" s="2" customFormat="1" ht="12.75" x14ac:dyDescent="0.2">
      <c r="R60820" s="1288"/>
    </row>
    <row r="60821" spans="18:18" s="2" customFormat="1" ht="12.75" x14ac:dyDescent="0.2">
      <c r="R60821" s="1288"/>
    </row>
    <row r="60822" spans="18:18" s="2" customFormat="1" ht="12.75" x14ac:dyDescent="0.2">
      <c r="R60822" s="1288"/>
    </row>
    <row r="60823" spans="18:18" s="2" customFormat="1" ht="12.75" x14ac:dyDescent="0.2">
      <c r="R60823" s="1288"/>
    </row>
    <row r="60824" spans="18:18" s="2" customFormat="1" ht="12.75" x14ac:dyDescent="0.2">
      <c r="R60824" s="1288"/>
    </row>
    <row r="60825" spans="18:18" s="2" customFormat="1" ht="12.75" x14ac:dyDescent="0.2">
      <c r="R60825" s="1288"/>
    </row>
    <row r="60826" spans="18:18" s="2" customFormat="1" ht="12.75" x14ac:dyDescent="0.2">
      <c r="R60826" s="1288"/>
    </row>
    <row r="60827" spans="18:18" s="2" customFormat="1" ht="12.75" x14ac:dyDescent="0.2">
      <c r="R60827" s="1288"/>
    </row>
    <row r="60828" spans="18:18" s="2" customFormat="1" ht="12.75" x14ac:dyDescent="0.2">
      <c r="R60828" s="1288"/>
    </row>
    <row r="60829" spans="18:18" s="2" customFormat="1" ht="12.75" x14ac:dyDescent="0.2">
      <c r="R60829" s="1288"/>
    </row>
    <row r="60830" spans="18:18" s="2" customFormat="1" ht="12.75" x14ac:dyDescent="0.2">
      <c r="R60830" s="1288"/>
    </row>
    <row r="60831" spans="18:18" s="2" customFormat="1" ht="12.75" x14ac:dyDescent="0.2">
      <c r="R60831" s="1288"/>
    </row>
    <row r="60832" spans="18:18" s="2" customFormat="1" ht="12.75" x14ac:dyDescent="0.2">
      <c r="R60832" s="1288"/>
    </row>
    <row r="60833" spans="18:18" s="2" customFormat="1" ht="12.75" x14ac:dyDescent="0.2">
      <c r="R60833" s="1288"/>
    </row>
    <row r="60834" spans="18:18" s="2" customFormat="1" ht="12.75" x14ac:dyDescent="0.2">
      <c r="R60834" s="1288"/>
    </row>
    <row r="60835" spans="18:18" s="2" customFormat="1" ht="12.75" x14ac:dyDescent="0.2">
      <c r="R60835" s="1288"/>
    </row>
    <row r="60836" spans="18:18" s="2" customFormat="1" ht="12.75" x14ac:dyDescent="0.2">
      <c r="R60836" s="1288"/>
    </row>
    <row r="60837" spans="18:18" s="2" customFormat="1" ht="12.75" x14ac:dyDescent="0.2">
      <c r="R60837" s="1288"/>
    </row>
    <row r="60838" spans="18:18" s="2" customFormat="1" ht="12.75" x14ac:dyDescent="0.2">
      <c r="R60838" s="1288"/>
    </row>
    <row r="60839" spans="18:18" s="2" customFormat="1" ht="12.75" x14ac:dyDescent="0.2">
      <c r="R60839" s="1288"/>
    </row>
    <row r="60840" spans="18:18" s="2" customFormat="1" ht="12.75" x14ac:dyDescent="0.2">
      <c r="R60840" s="1288"/>
    </row>
    <row r="60841" spans="18:18" s="2" customFormat="1" ht="12.75" x14ac:dyDescent="0.2">
      <c r="R60841" s="1288"/>
    </row>
    <row r="60842" spans="18:18" s="2" customFormat="1" ht="12.75" x14ac:dyDescent="0.2">
      <c r="R60842" s="1288"/>
    </row>
    <row r="60843" spans="18:18" s="2" customFormat="1" ht="12.75" x14ac:dyDescent="0.2">
      <c r="R60843" s="1288"/>
    </row>
    <row r="60844" spans="18:18" s="2" customFormat="1" ht="12.75" x14ac:dyDescent="0.2">
      <c r="R60844" s="1288"/>
    </row>
    <row r="60845" spans="18:18" s="2" customFormat="1" ht="12.75" x14ac:dyDescent="0.2">
      <c r="R60845" s="1288"/>
    </row>
    <row r="60846" spans="18:18" s="2" customFormat="1" ht="12.75" x14ac:dyDescent="0.2">
      <c r="R60846" s="1288"/>
    </row>
    <row r="60847" spans="18:18" s="2" customFormat="1" ht="12.75" x14ac:dyDescent="0.2">
      <c r="R60847" s="1288"/>
    </row>
    <row r="60848" spans="18:18" s="2" customFormat="1" ht="12.75" x14ac:dyDescent="0.2">
      <c r="R60848" s="1288"/>
    </row>
    <row r="60849" spans="18:18" s="2" customFormat="1" ht="12.75" x14ac:dyDescent="0.2">
      <c r="R60849" s="1288"/>
    </row>
    <row r="60850" spans="18:18" s="2" customFormat="1" ht="12.75" x14ac:dyDescent="0.2">
      <c r="R60850" s="1288"/>
    </row>
    <row r="60851" spans="18:18" s="2" customFormat="1" ht="12.75" x14ac:dyDescent="0.2">
      <c r="R60851" s="1288"/>
    </row>
    <row r="60852" spans="18:18" s="2" customFormat="1" ht="12.75" x14ac:dyDescent="0.2">
      <c r="R60852" s="1288"/>
    </row>
    <row r="60853" spans="18:18" s="2" customFormat="1" ht="12.75" x14ac:dyDescent="0.2">
      <c r="R60853" s="1288"/>
    </row>
    <row r="60854" spans="18:18" s="2" customFormat="1" ht="12.75" x14ac:dyDescent="0.2">
      <c r="R60854" s="1288"/>
    </row>
    <row r="60855" spans="18:18" s="2" customFormat="1" ht="12.75" x14ac:dyDescent="0.2">
      <c r="R60855" s="1288"/>
    </row>
    <row r="60856" spans="18:18" s="2" customFormat="1" ht="12.75" x14ac:dyDescent="0.2">
      <c r="R60856" s="1288"/>
    </row>
    <row r="60857" spans="18:18" s="2" customFormat="1" ht="12.75" x14ac:dyDescent="0.2">
      <c r="R60857" s="1288"/>
    </row>
    <row r="60858" spans="18:18" s="2" customFormat="1" ht="12.75" x14ac:dyDescent="0.2">
      <c r="R60858" s="1288"/>
    </row>
    <row r="60859" spans="18:18" s="2" customFormat="1" ht="12.75" x14ac:dyDescent="0.2">
      <c r="R60859" s="1288"/>
    </row>
    <row r="60860" spans="18:18" s="2" customFormat="1" ht="12.75" x14ac:dyDescent="0.2">
      <c r="R60860" s="1288"/>
    </row>
    <row r="60861" spans="18:18" s="2" customFormat="1" ht="12.75" x14ac:dyDescent="0.2">
      <c r="R60861" s="1288"/>
    </row>
    <row r="60862" spans="18:18" s="2" customFormat="1" ht="12.75" x14ac:dyDescent="0.2">
      <c r="R60862" s="1288"/>
    </row>
    <row r="60863" spans="18:18" s="2" customFormat="1" ht="12.75" x14ac:dyDescent="0.2">
      <c r="R60863" s="1288"/>
    </row>
    <row r="60864" spans="18:18" s="2" customFormat="1" ht="12.75" x14ac:dyDescent="0.2">
      <c r="R60864" s="1288"/>
    </row>
    <row r="60865" spans="18:18" s="2" customFormat="1" ht="12.75" x14ac:dyDescent="0.2">
      <c r="R60865" s="1288"/>
    </row>
    <row r="60866" spans="18:18" s="2" customFormat="1" ht="12.75" x14ac:dyDescent="0.2">
      <c r="R60866" s="1288"/>
    </row>
    <row r="60867" spans="18:18" s="2" customFormat="1" ht="12.75" x14ac:dyDescent="0.2">
      <c r="R60867" s="1288"/>
    </row>
    <row r="60868" spans="18:18" s="2" customFormat="1" ht="12.75" x14ac:dyDescent="0.2">
      <c r="R60868" s="1288"/>
    </row>
    <row r="60869" spans="18:18" s="2" customFormat="1" ht="12.75" x14ac:dyDescent="0.2">
      <c r="R60869" s="1288"/>
    </row>
    <row r="60870" spans="18:18" s="2" customFormat="1" ht="12.75" x14ac:dyDescent="0.2">
      <c r="R60870" s="1288"/>
    </row>
    <row r="60871" spans="18:18" s="2" customFormat="1" ht="12.75" x14ac:dyDescent="0.2">
      <c r="R60871" s="1288"/>
    </row>
    <row r="60872" spans="18:18" s="2" customFormat="1" ht="12.75" x14ac:dyDescent="0.2">
      <c r="R60872" s="1288"/>
    </row>
    <row r="60873" spans="18:18" s="2" customFormat="1" ht="12.75" x14ac:dyDescent="0.2">
      <c r="R60873" s="1288"/>
    </row>
    <row r="60874" spans="18:18" s="2" customFormat="1" ht="12.75" x14ac:dyDescent="0.2">
      <c r="R60874" s="1288"/>
    </row>
    <row r="60875" spans="18:18" s="2" customFormat="1" ht="12.75" x14ac:dyDescent="0.2">
      <c r="R60875" s="1288"/>
    </row>
    <row r="60876" spans="18:18" s="2" customFormat="1" ht="12.75" x14ac:dyDescent="0.2">
      <c r="R60876" s="1288"/>
    </row>
    <row r="60877" spans="18:18" s="2" customFormat="1" ht="12.75" x14ac:dyDescent="0.2">
      <c r="R60877" s="1288"/>
    </row>
    <row r="60878" spans="18:18" s="2" customFormat="1" ht="12.75" x14ac:dyDescent="0.2">
      <c r="R60878" s="1288"/>
    </row>
    <row r="60879" spans="18:18" s="2" customFormat="1" ht="12.75" x14ac:dyDescent="0.2">
      <c r="R60879" s="1288"/>
    </row>
    <row r="60880" spans="18:18" s="2" customFormat="1" ht="12.75" x14ac:dyDescent="0.2">
      <c r="R60880" s="1288"/>
    </row>
    <row r="60881" spans="18:18" s="2" customFormat="1" ht="12.75" x14ac:dyDescent="0.2">
      <c r="R60881" s="1288"/>
    </row>
    <row r="60882" spans="18:18" s="2" customFormat="1" ht="12.75" x14ac:dyDescent="0.2">
      <c r="R60882" s="1288"/>
    </row>
    <row r="60883" spans="18:18" s="2" customFormat="1" ht="12.75" x14ac:dyDescent="0.2">
      <c r="R60883" s="1288"/>
    </row>
    <row r="60884" spans="18:18" s="2" customFormat="1" ht="12.75" x14ac:dyDescent="0.2">
      <c r="R60884" s="1288"/>
    </row>
    <row r="60885" spans="18:18" s="2" customFormat="1" ht="12.75" x14ac:dyDescent="0.2">
      <c r="R60885" s="1288"/>
    </row>
    <row r="60886" spans="18:18" s="2" customFormat="1" ht="12.75" x14ac:dyDescent="0.2">
      <c r="R60886" s="1288"/>
    </row>
    <row r="60887" spans="18:18" s="2" customFormat="1" ht="12.75" x14ac:dyDescent="0.2">
      <c r="R60887" s="1288"/>
    </row>
    <row r="60888" spans="18:18" s="2" customFormat="1" ht="12.75" x14ac:dyDescent="0.2">
      <c r="R60888" s="1288"/>
    </row>
    <row r="60889" spans="18:18" s="2" customFormat="1" ht="12.75" x14ac:dyDescent="0.2">
      <c r="R60889" s="1288"/>
    </row>
    <row r="60890" spans="18:18" s="2" customFormat="1" ht="12.75" x14ac:dyDescent="0.2">
      <c r="R60890" s="1288"/>
    </row>
    <row r="60891" spans="18:18" s="2" customFormat="1" ht="12.75" x14ac:dyDescent="0.2">
      <c r="R60891" s="1288"/>
    </row>
    <row r="60892" spans="18:18" s="2" customFormat="1" ht="12.75" x14ac:dyDescent="0.2">
      <c r="R60892" s="1288"/>
    </row>
    <row r="60893" spans="18:18" s="2" customFormat="1" ht="12.75" x14ac:dyDescent="0.2">
      <c r="R60893" s="1288"/>
    </row>
    <row r="60894" spans="18:18" s="2" customFormat="1" ht="12.75" x14ac:dyDescent="0.2">
      <c r="R60894" s="1288"/>
    </row>
    <row r="60895" spans="18:18" s="2" customFormat="1" ht="12.75" x14ac:dyDescent="0.2">
      <c r="R60895" s="1288"/>
    </row>
    <row r="60896" spans="18:18" s="2" customFormat="1" ht="12.75" x14ac:dyDescent="0.2">
      <c r="R60896" s="1288"/>
    </row>
    <row r="60897" spans="18:18" s="2" customFormat="1" ht="12.75" x14ac:dyDescent="0.2">
      <c r="R60897" s="1288"/>
    </row>
    <row r="60898" spans="18:18" s="2" customFormat="1" ht="12.75" x14ac:dyDescent="0.2">
      <c r="R60898" s="1288"/>
    </row>
    <row r="60899" spans="18:18" s="2" customFormat="1" ht="12.75" x14ac:dyDescent="0.2">
      <c r="R60899" s="1288"/>
    </row>
    <row r="60900" spans="18:18" s="2" customFormat="1" ht="12.75" x14ac:dyDescent="0.2">
      <c r="R60900" s="1288"/>
    </row>
    <row r="60901" spans="18:18" s="2" customFormat="1" ht="12.75" x14ac:dyDescent="0.2">
      <c r="R60901" s="1288"/>
    </row>
    <row r="60902" spans="18:18" s="2" customFormat="1" ht="12.75" x14ac:dyDescent="0.2">
      <c r="R60902" s="1288"/>
    </row>
    <row r="60903" spans="18:18" s="2" customFormat="1" ht="12.75" x14ac:dyDescent="0.2">
      <c r="R60903" s="1288"/>
    </row>
    <row r="60904" spans="18:18" s="2" customFormat="1" ht="12.75" x14ac:dyDescent="0.2">
      <c r="R60904" s="1288"/>
    </row>
    <row r="60905" spans="18:18" s="2" customFormat="1" ht="12.75" x14ac:dyDescent="0.2">
      <c r="R60905" s="1288"/>
    </row>
    <row r="60906" spans="18:18" s="2" customFormat="1" ht="12.75" x14ac:dyDescent="0.2">
      <c r="R60906" s="1288"/>
    </row>
    <row r="60907" spans="18:18" s="2" customFormat="1" ht="12.75" x14ac:dyDescent="0.2">
      <c r="R60907" s="1288"/>
    </row>
    <row r="60908" spans="18:18" s="2" customFormat="1" ht="12.75" x14ac:dyDescent="0.2">
      <c r="R60908" s="1288"/>
    </row>
    <row r="60909" spans="18:18" s="2" customFormat="1" ht="12.75" x14ac:dyDescent="0.2">
      <c r="R60909" s="1288"/>
    </row>
    <row r="60910" spans="18:18" s="2" customFormat="1" ht="12.75" x14ac:dyDescent="0.2">
      <c r="R60910" s="1288"/>
    </row>
    <row r="60911" spans="18:18" s="2" customFormat="1" ht="12.75" x14ac:dyDescent="0.2">
      <c r="R60911" s="1288"/>
    </row>
    <row r="60912" spans="18:18" s="2" customFormat="1" ht="12.75" x14ac:dyDescent="0.2">
      <c r="R60912" s="1288"/>
    </row>
    <row r="60913" spans="18:18" s="2" customFormat="1" ht="12.75" x14ac:dyDescent="0.2">
      <c r="R60913" s="1288"/>
    </row>
    <row r="60914" spans="18:18" s="2" customFormat="1" ht="12.75" x14ac:dyDescent="0.2">
      <c r="R60914" s="1288"/>
    </row>
    <row r="60915" spans="18:18" s="2" customFormat="1" ht="12.75" x14ac:dyDescent="0.2">
      <c r="R60915" s="1288"/>
    </row>
    <row r="60916" spans="18:18" s="2" customFormat="1" ht="12.75" x14ac:dyDescent="0.2">
      <c r="R60916" s="1288"/>
    </row>
    <row r="60917" spans="18:18" s="2" customFormat="1" ht="12.75" x14ac:dyDescent="0.2">
      <c r="R60917" s="1288"/>
    </row>
    <row r="60918" spans="18:18" s="2" customFormat="1" ht="12.75" x14ac:dyDescent="0.2">
      <c r="R60918" s="1288"/>
    </row>
    <row r="60919" spans="18:18" s="2" customFormat="1" ht="12.75" x14ac:dyDescent="0.2">
      <c r="R60919" s="1288"/>
    </row>
    <row r="60920" spans="18:18" s="2" customFormat="1" ht="12.75" x14ac:dyDescent="0.2">
      <c r="R60920" s="1288"/>
    </row>
    <row r="60921" spans="18:18" s="2" customFormat="1" ht="12.75" x14ac:dyDescent="0.2">
      <c r="R60921" s="1288"/>
    </row>
    <row r="60922" spans="18:18" s="2" customFormat="1" ht="12.75" x14ac:dyDescent="0.2">
      <c r="R60922" s="1288"/>
    </row>
    <row r="60923" spans="18:18" s="2" customFormat="1" ht="12.75" x14ac:dyDescent="0.2">
      <c r="R60923" s="1288"/>
    </row>
    <row r="60924" spans="18:18" s="2" customFormat="1" ht="12.75" x14ac:dyDescent="0.2">
      <c r="R60924" s="1288"/>
    </row>
    <row r="60925" spans="18:18" s="2" customFormat="1" ht="12.75" x14ac:dyDescent="0.2">
      <c r="R60925" s="1288"/>
    </row>
    <row r="60926" spans="18:18" s="2" customFormat="1" ht="12.75" x14ac:dyDescent="0.2">
      <c r="R60926" s="1288"/>
    </row>
    <row r="60927" spans="18:18" s="2" customFormat="1" ht="12.75" x14ac:dyDescent="0.2">
      <c r="R60927" s="1288"/>
    </row>
    <row r="60928" spans="18:18" s="2" customFormat="1" ht="12.75" x14ac:dyDescent="0.2">
      <c r="R60928" s="1288"/>
    </row>
    <row r="60929" spans="18:18" s="2" customFormat="1" ht="12.75" x14ac:dyDescent="0.2">
      <c r="R60929" s="1288"/>
    </row>
    <row r="60930" spans="18:18" s="2" customFormat="1" ht="12.75" x14ac:dyDescent="0.2">
      <c r="R60930" s="1288"/>
    </row>
    <row r="60931" spans="18:18" s="2" customFormat="1" ht="12.75" x14ac:dyDescent="0.2">
      <c r="R60931" s="1288"/>
    </row>
    <row r="60932" spans="18:18" s="2" customFormat="1" ht="12.75" x14ac:dyDescent="0.2">
      <c r="R60932" s="1288"/>
    </row>
    <row r="60933" spans="18:18" s="2" customFormat="1" ht="12.75" x14ac:dyDescent="0.2">
      <c r="R60933" s="1288"/>
    </row>
    <row r="60934" spans="18:18" s="2" customFormat="1" ht="12.75" x14ac:dyDescent="0.2">
      <c r="R60934" s="1288"/>
    </row>
    <row r="60935" spans="18:18" s="2" customFormat="1" ht="12.75" x14ac:dyDescent="0.2">
      <c r="R60935" s="1288"/>
    </row>
    <row r="60936" spans="18:18" s="2" customFormat="1" ht="12.75" x14ac:dyDescent="0.2">
      <c r="R60936" s="1288"/>
    </row>
    <row r="60937" spans="18:18" s="2" customFormat="1" ht="12.75" x14ac:dyDescent="0.2">
      <c r="R60937" s="1288"/>
    </row>
    <row r="60938" spans="18:18" s="2" customFormat="1" ht="12.75" x14ac:dyDescent="0.2">
      <c r="R60938" s="1288"/>
    </row>
    <row r="60939" spans="18:18" s="2" customFormat="1" ht="12.75" x14ac:dyDescent="0.2">
      <c r="R60939" s="1288"/>
    </row>
    <row r="60940" spans="18:18" s="2" customFormat="1" ht="12.75" x14ac:dyDescent="0.2">
      <c r="R60940" s="1288"/>
    </row>
    <row r="60941" spans="18:18" s="2" customFormat="1" ht="12.75" x14ac:dyDescent="0.2">
      <c r="R60941" s="1288"/>
    </row>
    <row r="60942" spans="18:18" s="2" customFormat="1" ht="12.75" x14ac:dyDescent="0.2">
      <c r="R60942" s="1288"/>
    </row>
    <row r="60943" spans="18:18" s="2" customFormat="1" ht="12.75" x14ac:dyDescent="0.2">
      <c r="R60943" s="1288"/>
    </row>
    <row r="60944" spans="18:18" s="2" customFormat="1" ht="12.75" x14ac:dyDescent="0.2">
      <c r="R60944" s="1288"/>
    </row>
    <row r="60945" spans="18:18" s="2" customFormat="1" ht="12.75" x14ac:dyDescent="0.2">
      <c r="R60945" s="1288"/>
    </row>
    <row r="60946" spans="18:18" s="2" customFormat="1" ht="12.75" x14ac:dyDescent="0.2">
      <c r="R60946" s="1288"/>
    </row>
    <row r="60947" spans="18:18" s="2" customFormat="1" ht="12.75" x14ac:dyDescent="0.2">
      <c r="R60947" s="1288"/>
    </row>
    <row r="60948" spans="18:18" s="2" customFormat="1" ht="12.75" x14ac:dyDescent="0.2">
      <c r="R60948" s="1288"/>
    </row>
    <row r="60949" spans="18:18" s="2" customFormat="1" ht="12.75" x14ac:dyDescent="0.2">
      <c r="R60949" s="1288"/>
    </row>
    <row r="60950" spans="18:18" s="2" customFormat="1" ht="12.75" x14ac:dyDescent="0.2">
      <c r="R60950" s="1288"/>
    </row>
    <row r="60951" spans="18:18" s="2" customFormat="1" ht="12.75" x14ac:dyDescent="0.2">
      <c r="R60951" s="1288"/>
    </row>
    <row r="60952" spans="18:18" s="2" customFormat="1" ht="12.75" x14ac:dyDescent="0.2">
      <c r="R60952" s="1288"/>
    </row>
    <row r="60953" spans="18:18" s="2" customFormat="1" ht="12.75" x14ac:dyDescent="0.2">
      <c r="R60953" s="1288"/>
    </row>
    <row r="60954" spans="18:18" s="2" customFormat="1" ht="12.75" x14ac:dyDescent="0.2">
      <c r="R60954" s="1288"/>
    </row>
    <row r="60955" spans="18:18" s="2" customFormat="1" ht="12.75" x14ac:dyDescent="0.2">
      <c r="R60955" s="1288"/>
    </row>
    <row r="60956" spans="18:18" s="2" customFormat="1" ht="12.75" x14ac:dyDescent="0.2">
      <c r="R60956" s="1288"/>
    </row>
    <row r="60957" spans="18:18" s="2" customFormat="1" ht="12.75" x14ac:dyDescent="0.2">
      <c r="R60957" s="1288"/>
    </row>
    <row r="60958" spans="18:18" s="2" customFormat="1" ht="12.75" x14ac:dyDescent="0.2">
      <c r="R60958" s="1288"/>
    </row>
    <row r="60959" spans="18:18" s="2" customFormat="1" ht="12.75" x14ac:dyDescent="0.2">
      <c r="R60959" s="1288"/>
    </row>
    <row r="60960" spans="18:18" s="2" customFormat="1" ht="12.75" x14ac:dyDescent="0.2">
      <c r="R60960" s="1288"/>
    </row>
    <row r="60961" spans="18:18" s="2" customFormat="1" ht="12.75" x14ac:dyDescent="0.2">
      <c r="R60961" s="1288"/>
    </row>
    <row r="60962" spans="18:18" s="2" customFormat="1" ht="12.75" x14ac:dyDescent="0.2">
      <c r="R60962" s="1288"/>
    </row>
    <row r="60963" spans="18:18" s="2" customFormat="1" ht="12.75" x14ac:dyDescent="0.2">
      <c r="R60963" s="1288"/>
    </row>
    <row r="60964" spans="18:18" s="2" customFormat="1" ht="12.75" x14ac:dyDescent="0.2">
      <c r="R60964" s="1288"/>
    </row>
    <row r="60965" spans="18:18" s="2" customFormat="1" ht="12.75" x14ac:dyDescent="0.2">
      <c r="R60965" s="1288"/>
    </row>
    <row r="60966" spans="18:18" s="2" customFormat="1" ht="12.75" x14ac:dyDescent="0.2">
      <c r="R60966" s="1288"/>
    </row>
    <row r="60967" spans="18:18" s="2" customFormat="1" ht="12.75" x14ac:dyDescent="0.2">
      <c r="R60967" s="1288"/>
    </row>
    <row r="60968" spans="18:18" s="2" customFormat="1" ht="12.75" x14ac:dyDescent="0.2">
      <c r="R60968" s="1288"/>
    </row>
    <row r="60969" spans="18:18" s="2" customFormat="1" ht="12.75" x14ac:dyDescent="0.2">
      <c r="R60969" s="1288"/>
    </row>
    <row r="60970" spans="18:18" s="2" customFormat="1" ht="12.75" x14ac:dyDescent="0.2">
      <c r="R60970" s="1288"/>
    </row>
    <row r="60971" spans="18:18" s="2" customFormat="1" ht="12.75" x14ac:dyDescent="0.2">
      <c r="R60971" s="1288"/>
    </row>
    <row r="60972" spans="18:18" s="2" customFormat="1" ht="12.75" x14ac:dyDescent="0.2">
      <c r="R60972" s="1288"/>
    </row>
    <row r="60973" spans="18:18" s="2" customFormat="1" ht="12.75" x14ac:dyDescent="0.2">
      <c r="R60973" s="1288"/>
    </row>
    <row r="60974" spans="18:18" s="2" customFormat="1" ht="12.75" x14ac:dyDescent="0.2">
      <c r="R60974" s="1288"/>
    </row>
    <row r="60975" spans="18:18" s="2" customFormat="1" ht="12.75" x14ac:dyDescent="0.2">
      <c r="R60975" s="1288"/>
    </row>
    <row r="60976" spans="18:18" s="2" customFormat="1" ht="12.75" x14ac:dyDescent="0.2">
      <c r="R60976" s="1288"/>
    </row>
    <row r="60977" spans="18:18" s="2" customFormat="1" ht="12.75" x14ac:dyDescent="0.2">
      <c r="R60977" s="1288"/>
    </row>
    <row r="60978" spans="18:18" s="2" customFormat="1" ht="12.75" x14ac:dyDescent="0.2">
      <c r="R60978" s="1288"/>
    </row>
    <row r="60979" spans="18:18" s="2" customFormat="1" ht="12.75" x14ac:dyDescent="0.2">
      <c r="R60979" s="1288"/>
    </row>
    <row r="60980" spans="18:18" s="2" customFormat="1" ht="12.75" x14ac:dyDescent="0.2">
      <c r="R60980" s="1288"/>
    </row>
    <row r="60981" spans="18:18" s="2" customFormat="1" ht="12.75" x14ac:dyDescent="0.2">
      <c r="R60981" s="1288"/>
    </row>
    <row r="60982" spans="18:18" s="2" customFormat="1" ht="12.75" x14ac:dyDescent="0.2">
      <c r="R60982" s="1288"/>
    </row>
    <row r="60983" spans="18:18" s="2" customFormat="1" ht="12.75" x14ac:dyDescent="0.2">
      <c r="R60983" s="1288"/>
    </row>
    <row r="60984" spans="18:18" s="2" customFormat="1" ht="12.75" x14ac:dyDescent="0.2">
      <c r="R60984" s="1288"/>
    </row>
    <row r="60985" spans="18:18" s="2" customFormat="1" ht="12.75" x14ac:dyDescent="0.2">
      <c r="R60985" s="1288"/>
    </row>
    <row r="60986" spans="18:18" s="2" customFormat="1" ht="12.75" x14ac:dyDescent="0.2">
      <c r="R60986" s="1288"/>
    </row>
    <row r="60987" spans="18:18" s="2" customFormat="1" ht="12.75" x14ac:dyDescent="0.2">
      <c r="R60987" s="1288"/>
    </row>
    <row r="60988" spans="18:18" s="2" customFormat="1" ht="12.75" x14ac:dyDescent="0.2">
      <c r="R60988" s="1288"/>
    </row>
    <row r="60989" spans="18:18" s="2" customFormat="1" ht="12.75" x14ac:dyDescent="0.2">
      <c r="R60989" s="1288"/>
    </row>
    <row r="60990" spans="18:18" s="2" customFormat="1" ht="12.75" x14ac:dyDescent="0.2">
      <c r="R60990" s="1288"/>
    </row>
    <row r="60991" spans="18:18" s="2" customFormat="1" ht="12.75" x14ac:dyDescent="0.2">
      <c r="R60991" s="1288"/>
    </row>
    <row r="60992" spans="18:18" s="2" customFormat="1" ht="12.75" x14ac:dyDescent="0.2">
      <c r="R60992" s="1288"/>
    </row>
    <row r="60993" spans="18:18" s="2" customFormat="1" ht="12.75" x14ac:dyDescent="0.2">
      <c r="R60993" s="1288"/>
    </row>
    <row r="60994" spans="18:18" s="2" customFormat="1" ht="12.75" x14ac:dyDescent="0.2">
      <c r="R60994" s="1288"/>
    </row>
    <row r="60995" spans="18:18" s="2" customFormat="1" ht="12.75" x14ac:dyDescent="0.2">
      <c r="R60995" s="1288"/>
    </row>
    <row r="60996" spans="18:18" s="2" customFormat="1" ht="12.75" x14ac:dyDescent="0.2">
      <c r="R60996" s="1288"/>
    </row>
    <row r="60997" spans="18:18" s="2" customFormat="1" ht="12.75" x14ac:dyDescent="0.2">
      <c r="R60997" s="1288"/>
    </row>
    <row r="60998" spans="18:18" s="2" customFormat="1" ht="12.75" x14ac:dyDescent="0.2">
      <c r="R60998" s="1288"/>
    </row>
    <row r="60999" spans="18:18" s="2" customFormat="1" ht="12.75" x14ac:dyDescent="0.2">
      <c r="R60999" s="1288"/>
    </row>
    <row r="61000" spans="18:18" s="2" customFormat="1" ht="12.75" x14ac:dyDescent="0.2">
      <c r="R61000" s="1288"/>
    </row>
    <row r="61001" spans="18:18" s="2" customFormat="1" ht="12.75" x14ac:dyDescent="0.2">
      <c r="R61001" s="1288"/>
    </row>
    <row r="61002" spans="18:18" s="2" customFormat="1" ht="12.75" x14ac:dyDescent="0.2">
      <c r="R61002" s="1288"/>
    </row>
    <row r="61003" spans="18:18" s="2" customFormat="1" ht="12.75" x14ac:dyDescent="0.2">
      <c r="R61003" s="1288"/>
    </row>
    <row r="61004" spans="18:18" s="2" customFormat="1" ht="12.75" x14ac:dyDescent="0.2">
      <c r="R61004" s="1288"/>
    </row>
    <row r="61005" spans="18:18" s="2" customFormat="1" ht="12.75" x14ac:dyDescent="0.2">
      <c r="R61005" s="1288"/>
    </row>
    <row r="61006" spans="18:18" s="2" customFormat="1" ht="12.75" x14ac:dyDescent="0.2">
      <c r="R61006" s="1288"/>
    </row>
    <row r="61007" spans="18:18" s="2" customFormat="1" ht="12.75" x14ac:dyDescent="0.2">
      <c r="R61007" s="1288"/>
    </row>
    <row r="61008" spans="18:18" s="2" customFormat="1" ht="12.75" x14ac:dyDescent="0.2">
      <c r="R61008" s="1288"/>
    </row>
    <row r="61009" spans="18:18" s="2" customFormat="1" ht="12.75" x14ac:dyDescent="0.2">
      <c r="R61009" s="1288"/>
    </row>
    <row r="61010" spans="18:18" s="2" customFormat="1" ht="12.75" x14ac:dyDescent="0.2">
      <c r="R61010" s="1288"/>
    </row>
    <row r="61011" spans="18:18" s="2" customFormat="1" ht="12.75" x14ac:dyDescent="0.2">
      <c r="R61011" s="1288"/>
    </row>
    <row r="61012" spans="18:18" s="2" customFormat="1" ht="12.75" x14ac:dyDescent="0.2">
      <c r="R61012" s="1288"/>
    </row>
    <row r="61013" spans="18:18" s="2" customFormat="1" ht="12.75" x14ac:dyDescent="0.2">
      <c r="R61013" s="1288"/>
    </row>
    <row r="61014" spans="18:18" s="2" customFormat="1" ht="12.75" x14ac:dyDescent="0.2">
      <c r="R61014" s="1288"/>
    </row>
    <row r="61015" spans="18:18" s="2" customFormat="1" ht="12.75" x14ac:dyDescent="0.2">
      <c r="R61015" s="1288"/>
    </row>
    <row r="61016" spans="18:18" s="2" customFormat="1" ht="12.75" x14ac:dyDescent="0.2">
      <c r="R61016" s="1288"/>
    </row>
    <row r="61017" spans="18:18" s="2" customFormat="1" ht="12.75" x14ac:dyDescent="0.2">
      <c r="R61017" s="1288"/>
    </row>
    <row r="61018" spans="18:18" s="2" customFormat="1" ht="12.75" x14ac:dyDescent="0.2">
      <c r="R61018" s="1288"/>
    </row>
    <row r="61019" spans="18:18" s="2" customFormat="1" ht="12.75" x14ac:dyDescent="0.2">
      <c r="R61019" s="1288"/>
    </row>
    <row r="61020" spans="18:18" s="2" customFormat="1" ht="12.75" x14ac:dyDescent="0.2">
      <c r="R61020" s="1288"/>
    </row>
    <row r="61021" spans="18:18" s="2" customFormat="1" ht="12.75" x14ac:dyDescent="0.2">
      <c r="R61021" s="1288"/>
    </row>
    <row r="61022" spans="18:18" s="2" customFormat="1" ht="12.75" x14ac:dyDescent="0.2">
      <c r="R61022" s="1288"/>
    </row>
    <row r="61023" spans="18:18" s="2" customFormat="1" ht="12.75" x14ac:dyDescent="0.2">
      <c r="R61023" s="1288"/>
    </row>
    <row r="61024" spans="18:18" s="2" customFormat="1" ht="12.75" x14ac:dyDescent="0.2">
      <c r="R61024" s="1288"/>
    </row>
    <row r="61025" spans="18:18" s="2" customFormat="1" ht="12.75" x14ac:dyDescent="0.2">
      <c r="R61025" s="1288"/>
    </row>
    <row r="61026" spans="18:18" s="2" customFormat="1" ht="12.75" x14ac:dyDescent="0.2">
      <c r="R61026" s="1288"/>
    </row>
    <row r="61027" spans="18:18" s="2" customFormat="1" ht="12.75" x14ac:dyDescent="0.2">
      <c r="R61027" s="1288"/>
    </row>
    <row r="61028" spans="18:18" s="2" customFormat="1" ht="12.75" x14ac:dyDescent="0.2">
      <c r="R61028" s="1288"/>
    </row>
    <row r="61029" spans="18:18" s="2" customFormat="1" ht="12.75" x14ac:dyDescent="0.2">
      <c r="R61029" s="1288"/>
    </row>
    <row r="61030" spans="18:18" s="2" customFormat="1" ht="12.75" x14ac:dyDescent="0.2">
      <c r="R61030" s="1288"/>
    </row>
    <row r="61031" spans="18:18" s="2" customFormat="1" ht="12.75" x14ac:dyDescent="0.2">
      <c r="R61031" s="1288"/>
    </row>
    <row r="61032" spans="18:18" s="2" customFormat="1" ht="12.75" x14ac:dyDescent="0.2">
      <c r="R61032" s="1288"/>
    </row>
    <row r="61033" spans="18:18" s="2" customFormat="1" ht="12.75" x14ac:dyDescent="0.2">
      <c r="R61033" s="1288"/>
    </row>
    <row r="61034" spans="18:18" s="2" customFormat="1" ht="12.75" x14ac:dyDescent="0.2">
      <c r="R61034" s="1288"/>
    </row>
    <row r="61035" spans="18:18" s="2" customFormat="1" ht="12.75" x14ac:dyDescent="0.2">
      <c r="R61035" s="1288"/>
    </row>
    <row r="61036" spans="18:18" s="2" customFormat="1" ht="12.75" x14ac:dyDescent="0.2">
      <c r="R61036" s="1288"/>
    </row>
    <row r="61037" spans="18:18" s="2" customFormat="1" ht="12.75" x14ac:dyDescent="0.2">
      <c r="R61037" s="1288"/>
    </row>
    <row r="61038" spans="18:18" s="2" customFormat="1" ht="12.75" x14ac:dyDescent="0.2">
      <c r="R61038" s="1288"/>
    </row>
    <row r="61039" spans="18:18" s="2" customFormat="1" ht="12.75" x14ac:dyDescent="0.2">
      <c r="R61039" s="1288"/>
    </row>
    <row r="61040" spans="18:18" s="2" customFormat="1" ht="12.75" x14ac:dyDescent="0.2">
      <c r="R61040" s="1288"/>
    </row>
    <row r="61041" spans="18:18" s="2" customFormat="1" ht="12.75" x14ac:dyDescent="0.2">
      <c r="R61041" s="1288"/>
    </row>
    <row r="61042" spans="18:18" s="2" customFormat="1" ht="12.75" x14ac:dyDescent="0.2">
      <c r="R61042" s="1288"/>
    </row>
    <row r="61043" spans="18:18" s="2" customFormat="1" ht="12.75" x14ac:dyDescent="0.2">
      <c r="R61043" s="1288"/>
    </row>
    <row r="61044" spans="18:18" s="2" customFormat="1" ht="12.75" x14ac:dyDescent="0.2">
      <c r="R61044" s="1288"/>
    </row>
    <row r="61045" spans="18:18" s="2" customFormat="1" ht="12.75" x14ac:dyDescent="0.2">
      <c r="R61045" s="1288"/>
    </row>
    <row r="61046" spans="18:18" s="2" customFormat="1" ht="12.75" x14ac:dyDescent="0.2">
      <c r="R61046" s="1288"/>
    </row>
    <row r="61047" spans="18:18" s="2" customFormat="1" ht="12.75" x14ac:dyDescent="0.2">
      <c r="R61047" s="1288"/>
    </row>
    <row r="61048" spans="18:18" s="2" customFormat="1" ht="12.75" x14ac:dyDescent="0.2">
      <c r="R61048" s="1288"/>
    </row>
    <row r="61049" spans="18:18" s="2" customFormat="1" ht="12.75" x14ac:dyDescent="0.2">
      <c r="R61049" s="1288"/>
    </row>
    <row r="61050" spans="18:18" s="2" customFormat="1" ht="12.75" x14ac:dyDescent="0.2">
      <c r="R61050" s="1288"/>
    </row>
    <row r="61051" spans="18:18" s="2" customFormat="1" ht="12.75" x14ac:dyDescent="0.2">
      <c r="R61051" s="1288"/>
    </row>
    <row r="61052" spans="18:18" s="2" customFormat="1" ht="12.75" x14ac:dyDescent="0.2">
      <c r="R61052" s="1288"/>
    </row>
    <row r="61053" spans="18:18" s="2" customFormat="1" ht="12.75" x14ac:dyDescent="0.2">
      <c r="R61053" s="1288"/>
    </row>
    <row r="61054" spans="18:18" s="2" customFormat="1" ht="12.75" x14ac:dyDescent="0.2">
      <c r="R61054" s="1288"/>
    </row>
    <row r="61055" spans="18:18" s="2" customFormat="1" ht="12.75" x14ac:dyDescent="0.2">
      <c r="R61055" s="1288"/>
    </row>
    <row r="61056" spans="18:18" s="2" customFormat="1" ht="12.75" x14ac:dyDescent="0.2">
      <c r="R61056" s="1288"/>
    </row>
    <row r="61057" spans="18:18" s="2" customFormat="1" ht="12.75" x14ac:dyDescent="0.2">
      <c r="R61057" s="1288"/>
    </row>
    <row r="61058" spans="18:18" s="2" customFormat="1" ht="12.75" x14ac:dyDescent="0.2">
      <c r="R61058" s="1288"/>
    </row>
    <row r="61059" spans="18:18" s="2" customFormat="1" ht="12.75" x14ac:dyDescent="0.2">
      <c r="R61059" s="1288"/>
    </row>
    <row r="61060" spans="18:18" s="2" customFormat="1" ht="12.75" x14ac:dyDescent="0.2">
      <c r="R61060" s="1288"/>
    </row>
    <row r="61061" spans="18:18" s="2" customFormat="1" ht="12.75" x14ac:dyDescent="0.2">
      <c r="R61061" s="1288"/>
    </row>
    <row r="61062" spans="18:18" s="2" customFormat="1" ht="12.75" x14ac:dyDescent="0.2">
      <c r="R61062" s="1288"/>
    </row>
    <row r="61063" spans="18:18" s="2" customFormat="1" ht="12.75" x14ac:dyDescent="0.2">
      <c r="R61063" s="1288"/>
    </row>
    <row r="61064" spans="18:18" s="2" customFormat="1" ht="12.75" x14ac:dyDescent="0.2">
      <c r="R61064" s="1288"/>
    </row>
    <row r="61065" spans="18:18" s="2" customFormat="1" ht="12.75" x14ac:dyDescent="0.2">
      <c r="R61065" s="1288"/>
    </row>
    <row r="61066" spans="18:18" s="2" customFormat="1" ht="12.75" x14ac:dyDescent="0.2">
      <c r="R61066" s="1288"/>
    </row>
    <row r="61067" spans="18:18" s="2" customFormat="1" ht="12.75" x14ac:dyDescent="0.2">
      <c r="R61067" s="1288"/>
    </row>
    <row r="61068" spans="18:18" s="2" customFormat="1" ht="12.75" x14ac:dyDescent="0.2">
      <c r="R61068" s="1288"/>
    </row>
    <row r="61069" spans="18:18" s="2" customFormat="1" ht="12.75" x14ac:dyDescent="0.2">
      <c r="R61069" s="1288"/>
    </row>
    <row r="61070" spans="18:18" s="2" customFormat="1" ht="12.75" x14ac:dyDescent="0.2">
      <c r="R61070" s="1288"/>
    </row>
    <row r="61071" spans="18:18" s="2" customFormat="1" ht="12.75" x14ac:dyDescent="0.2">
      <c r="R61071" s="1288"/>
    </row>
    <row r="61072" spans="18:18" s="2" customFormat="1" ht="12.75" x14ac:dyDescent="0.2">
      <c r="R61072" s="1288"/>
    </row>
    <row r="61073" spans="18:18" s="2" customFormat="1" ht="12.75" x14ac:dyDescent="0.2">
      <c r="R61073" s="1288"/>
    </row>
    <row r="61074" spans="18:18" s="2" customFormat="1" ht="12.75" x14ac:dyDescent="0.2">
      <c r="R61074" s="1288"/>
    </row>
    <row r="61075" spans="18:18" s="2" customFormat="1" ht="12.75" x14ac:dyDescent="0.2">
      <c r="R61075" s="1288"/>
    </row>
    <row r="61076" spans="18:18" s="2" customFormat="1" ht="12.75" x14ac:dyDescent="0.2">
      <c r="R61076" s="1288"/>
    </row>
    <row r="61077" spans="18:18" s="2" customFormat="1" ht="12.75" x14ac:dyDescent="0.2">
      <c r="R61077" s="1288"/>
    </row>
    <row r="61078" spans="18:18" s="2" customFormat="1" ht="12.75" x14ac:dyDescent="0.2">
      <c r="R61078" s="1288"/>
    </row>
    <row r="61079" spans="18:18" s="2" customFormat="1" ht="12.75" x14ac:dyDescent="0.2">
      <c r="R61079" s="1288"/>
    </row>
    <row r="61080" spans="18:18" s="2" customFormat="1" ht="12.75" x14ac:dyDescent="0.2">
      <c r="R61080" s="1288"/>
    </row>
    <row r="61081" spans="18:18" s="2" customFormat="1" ht="12.75" x14ac:dyDescent="0.2">
      <c r="R61081" s="1288"/>
    </row>
    <row r="61082" spans="18:18" s="2" customFormat="1" ht="12.75" x14ac:dyDescent="0.2">
      <c r="R61082" s="1288"/>
    </row>
    <row r="61083" spans="18:18" s="2" customFormat="1" ht="12.75" x14ac:dyDescent="0.2">
      <c r="R61083" s="1288"/>
    </row>
    <row r="61084" spans="18:18" s="2" customFormat="1" ht="12.75" x14ac:dyDescent="0.2">
      <c r="R61084" s="1288"/>
    </row>
    <row r="61085" spans="18:18" s="2" customFormat="1" ht="12.75" x14ac:dyDescent="0.2">
      <c r="R61085" s="1288"/>
    </row>
    <row r="61086" spans="18:18" s="2" customFormat="1" ht="12.75" x14ac:dyDescent="0.2">
      <c r="R61086" s="1288"/>
    </row>
    <row r="61087" spans="18:18" s="2" customFormat="1" ht="12.75" x14ac:dyDescent="0.2">
      <c r="R61087" s="1288"/>
    </row>
    <row r="61088" spans="18:18" s="2" customFormat="1" ht="12.75" x14ac:dyDescent="0.2">
      <c r="R61088" s="1288"/>
    </row>
    <row r="61089" spans="18:18" s="2" customFormat="1" ht="12.75" x14ac:dyDescent="0.2">
      <c r="R61089" s="1288"/>
    </row>
    <row r="61090" spans="18:18" s="2" customFormat="1" ht="12.75" x14ac:dyDescent="0.2">
      <c r="R61090" s="1288"/>
    </row>
    <row r="61091" spans="18:18" s="2" customFormat="1" ht="12.75" x14ac:dyDescent="0.2">
      <c r="R61091" s="1288"/>
    </row>
    <row r="61092" spans="18:18" s="2" customFormat="1" ht="12.75" x14ac:dyDescent="0.2">
      <c r="R61092" s="1288"/>
    </row>
    <row r="61093" spans="18:18" s="2" customFormat="1" ht="12.75" x14ac:dyDescent="0.2">
      <c r="R61093" s="1288"/>
    </row>
    <row r="61094" spans="18:18" s="2" customFormat="1" ht="12.75" x14ac:dyDescent="0.2">
      <c r="R61094" s="1288"/>
    </row>
    <row r="61095" spans="18:18" s="2" customFormat="1" ht="12.75" x14ac:dyDescent="0.2">
      <c r="R61095" s="1288"/>
    </row>
    <row r="61096" spans="18:18" s="2" customFormat="1" ht="12.75" x14ac:dyDescent="0.2">
      <c r="R61096" s="1288"/>
    </row>
    <row r="61097" spans="18:18" s="2" customFormat="1" ht="12.75" x14ac:dyDescent="0.2">
      <c r="R61097" s="1288"/>
    </row>
    <row r="61098" spans="18:18" s="2" customFormat="1" ht="12.75" x14ac:dyDescent="0.2">
      <c r="R61098" s="1288"/>
    </row>
    <row r="61099" spans="18:18" s="2" customFormat="1" ht="12.75" x14ac:dyDescent="0.2">
      <c r="R61099" s="1288"/>
    </row>
    <row r="61100" spans="18:18" s="2" customFormat="1" ht="12.75" x14ac:dyDescent="0.2">
      <c r="R61100" s="1288"/>
    </row>
    <row r="61101" spans="18:18" s="2" customFormat="1" ht="12.75" x14ac:dyDescent="0.2">
      <c r="R61101" s="1288"/>
    </row>
    <row r="61102" spans="18:18" s="2" customFormat="1" ht="12.75" x14ac:dyDescent="0.2">
      <c r="R61102" s="1288"/>
    </row>
    <row r="61103" spans="18:18" s="2" customFormat="1" ht="12.75" x14ac:dyDescent="0.2">
      <c r="R61103" s="1288"/>
    </row>
    <row r="61104" spans="18:18" s="2" customFormat="1" ht="12.75" x14ac:dyDescent="0.2">
      <c r="R61104" s="1288"/>
    </row>
    <row r="61105" spans="18:18" s="2" customFormat="1" ht="12.75" x14ac:dyDescent="0.2">
      <c r="R61105" s="1288"/>
    </row>
    <row r="61106" spans="18:18" s="2" customFormat="1" ht="12.75" x14ac:dyDescent="0.2">
      <c r="R61106" s="1288"/>
    </row>
    <row r="61107" spans="18:18" s="2" customFormat="1" ht="12.75" x14ac:dyDescent="0.2">
      <c r="R61107" s="1288"/>
    </row>
    <row r="61108" spans="18:18" s="2" customFormat="1" ht="12.75" x14ac:dyDescent="0.2">
      <c r="R61108" s="1288"/>
    </row>
    <row r="61109" spans="18:18" s="2" customFormat="1" ht="12.75" x14ac:dyDescent="0.2">
      <c r="R61109" s="1288"/>
    </row>
    <row r="61110" spans="18:18" s="2" customFormat="1" ht="12.75" x14ac:dyDescent="0.2">
      <c r="R61110" s="1288"/>
    </row>
    <row r="61111" spans="18:18" s="2" customFormat="1" ht="12.75" x14ac:dyDescent="0.2">
      <c r="R61111" s="1288"/>
    </row>
    <row r="61112" spans="18:18" s="2" customFormat="1" ht="12.75" x14ac:dyDescent="0.2">
      <c r="R61112" s="1288"/>
    </row>
    <row r="61113" spans="18:18" s="2" customFormat="1" ht="12.75" x14ac:dyDescent="0.2">
      <c r="R61113" s="1288"/>
    </row>
    <row r="61114" spans="18:18" s="2" customFormat="1" ht="12.75" x14ac:dyDescent="0.2">
      <c r="R61114" s="1288"/>
    </row>
    <row r="61115" spans="18:18" s="2" customFormat="1" ht="12.75" x14ac:dyDescent="0.2">
      <c r="R61115" s="1288"/>
    </row>
    <row r="61116" spans="18:18" s="2" customFormat="1" ht="12.75" x14ac:dyDescent="0.2">
      <c r="R61116" s="1288"/>
    </row>
    <row r="61117" spans="18:18" s="2" customFormat="1" ht="12.75" x14ac:dyDescent="0.2">
      <c r="R61117" s="1288"/>
    </row>
    <row r="61118" spans="18:18" s="2" customFormat="1" ht="12.75" x14ac:dyDescent="0.2">
      <c r="R61118" s="1288"/>
    </row>
    <row r="61119" spans="18:18" s="2" customFormat="1" ht="12.75" x14ac:dyDescent="0.2">
      <c r="R61119" s="1288"/>
    </row>
    <row r="61120" spans="18:18" s="2" customFormat="1" ht="12.75" x14ac:dyDescent="0.2">
      <c r="R61120" s="1288"/>
    </row>
    <row r="61121" spans="18:18" s="2" customFormat="1" ht="12.75" x14ac:dyDescent="0.2">
      <c r="R61121" s="1288"/>
    </row>
    <row r="61122" spans="18:18" s="2" customFormat="1" ht="12.75" x14ac:dyDescent="0.2">
      <c r="R61122" s="1288"/>
    </row>
    <row r="61123" spans="18:18" s="2" customFormat="1" ht="12.75" x14ac:dyDescent="0.2">
      <c r="R61123" s="1288"/>
    </row>
    <row r="61124" spans="18:18" s="2" customFormat="1" ht="12.75" x14ac:dyDescent="0.2">
      <c r="R61124" s="1288"/>
    </row>
    <row r="61125" spans="18:18" s="2" customFormat="1" ht="12.75" x14ac:dyDescent="0.2">
      <c r="R61125" s="1288"/>
    </row>
    <row r="61126" spans="18:18" s="2" customFormat="1" ht="12.75" x14ac:dyDescent="0.2">
      <c r="R61126" s="1288"/>
    </row>
    <row r="61127" spans="18:18" s="2" customFormat="1" ht="12.75" x14ac:dyDescent="0.2">
      <c r="R61127" s="1288"/>
    </row>
    <row r="61128" spans="18:18" s="2" customFormat="1" ht="12.75" x14ac:dyDescent="0.2">
      <c r="R61128" s="1288"/>
    </row>
    <row r="61129" spans="18:18" s="2" customFormat="1" ht="12.75" x14ac:dyDescent="0.2">
      <c r="R61129" s="1288"/>
    </row>
    <row r="61130" spans="18:18" s="2" customFormat="1" ht="12.75" x14ac:dyDescent="0.2">
      <c r="R61130" s="1288"/>
    </row>
    <row r="61131" spans="18:18" s="2" customFormat="1" ht="12.75" x14ac:dyDescent="0.2">
      <c r="R61131" s="1288"/>
    </row>
    <row r="61132" spans="18:18" s="2" customFormat="1" ht="12.75" x14ac:dyDescent="0.2">
      <c r="R61132" s="1288"/>
    </row>
    <row r="61133" spans="18:18" s="2" customFormat="1" ht="12.75" x14ac:dyDescent="0.2">
      <c r="R61133" s="1288"/>
    </row>
    <row r="61134" spans="18:18" s="2" customFormat="1" ht="12.75" x14ac:dyDescent="0.2">
      <c r="R61134" s="1288"/>
    </row>
    <row r="61135" spans="18:18" s="2" customFormat="1" ht="12.75" x14ac:dyDescent="0.2">
      <c r="R61135" s="1288"/>
    </row>
    <row r="61136" spans="18:18" s="2" customFormat="1" ht="12.75" x14ac:dyDescent="0.2">
      <c r="R61136" s="1288"/>
    </row>
    <row r="61137" spans="18:18" s="2" customFormat="1" ht="12.75" x14ac:dyDescent="0.2">
      <c r="R61137" s="1288"/>
    </row>
    <row r="61138" spans="18:18" s="2" customFormat="1" ht="12.75" x14ac:dyDescent="0.2">
      <c r="R61138" s="1288"/>
    </row>
    <row r="61139" spans="18:18" s="2" customFormat="1" ht="12.75" x14ac:dyDescent="0.2">
      <c r="R61139" s="1288"/>
    </row>
    <row r="61140" spans="18:18" s="2" customFormat="1" ht="12.75" x14ac:dyDescent="0.2">
      <c r="R61140" s="1288"/>
    </row>
    <row r="61141" spans="18:18" s="2" customFormat="1" ht="12.75" x14ac:dyDescent="0.2">
      <c r="R61141" s="1288"/>
    </row>
    <row r="61142" spans="18:18" s="2" customFormat="1" ht="12.75" x14ac:dyDescent="0.2">
      <c r="R61142" s="1288"/>
    </row>
    <row r="61143" spans="18:18" s="2" customFormat="1" ht="12.75" x14ac:dyDescent="0.2">
      <c r="R61143" s="1288"/>
    </row>
    <row r="61144" spans="18:18" s="2" customFormat="1" ht="12.75" x14ac:dyDescent="0.2">
      <c r="R61144" s="1288"/>
    </row>
    <row r="61145" spans="18:18" s="2" customFormat="1" ht="12.75" x14ac:dyDescent="0.2">
      <c r="R61145" s="1288"/>
    </row>
    <row r="61146" spans="18:18" s="2" customFormat="1" ht="12.75" x14ac:dyDescent="0.2">
      <c r="R61146" s="1288"/>
    </row>
    <row r="61147" spans="18:18" s="2" customFormat="1" ht="12.75" x14ac:dyDescent="0.2">
      <c r="R61147" s="1288"/>
    </row>
    <row r="61148" spans="18:18" s="2" customFormat="1" ht="12.75" x14ac:dyDescent="0.2">
      <c r="R61148" s="1288"/>
    </row>
    <row r="61149" spans="18:18" s="2" customFormat="1" ht="12.75" x14ac:dyDescent="0.2">
      <c r="R61149" s="1288"/>
    </row>
    <row r="61150" spans="18:18" s="2" customFormat="1" ht="12.75" x14ac:dyDescent="0.2">
      <c r="R61150" s="1288"/>
    </row>
    <row r="61151" spans="18:18" s="2" customFormat="1" ht="12.75" x14ac:dyDescent="0.2">
      <c r="R61151" s="1288"/>
    </row>
    <row r="61152" spans="18:18" s="2" customFormat="1" ht="12.75" x14ac:dyDescent="0.2">
      <c r="R61152" s="1288"/>
    </row>
    <row r="61153" spans="18:18" s="2" customFormat="1" ht="12.75" x14ac:dyDescent="0.2">
      <c r="R61153" s="1288"/>
    </row>
    <row r="61154" spans="18:18" s="2" customFormat="1" ht="12.75" x14ac:dyDescent="0.2">
      <c r="R61154" s="1288"/>
    </row>
    <row r="61155" spans="18:18" s="2" customFormat="1" ht="12.75" x14ac:dyDescent="0.2">
      <c r="R61155" s="1288"/>
    </row>
    <row r="61156" spans="18:18" s="2" customFormat="1" ht="12.75" x14ac:dyDescent="0.2">
      <c r="R61156" s="1288"/>
    </row>
    <row r="61157" spans="18:18" s="2" customFormat="1" ht="12.75" x14ac:dyDescent="0.2">
      <c r="R61157" s="1288"/>
    </row>
    <row r="61158" spans="18:18" s="2" customFormat="1" ht="12.75" x14ac:dyDescent="0.2">
      <c r="R61158" s="1288"/>
    </row>
    <row r="61159" spans="18:18" s="2" customFormat="1" ht="12.75" x14ac:dyDescent="0.2">
      <c r="R61159" s="1288"/>
    </row>
    <row r="61160" spans="18:18" s="2" customFormat="1" ht="12.75" x14ac:dyDescent="0.2">
      <c r="R61160" s="1288"/>
    </row>
    <row r="61161" spans="18:18" s="2" customFormat="1" ht="12.75" x14ac:dyDescent="0.2">
      <c r="R61161" s="1288"/>
    </row>
    <row r="61162" spans="18:18" s="2" customFormat="1" ht="12.75" x14ac:dyDescent="0.2">
      <c r="R61162" s="1288"/>
    </row>
    <row r="61163" spans="18:18" s="2" customFormat="1" ht="12.75" x14ac:dyDescent="0.2">
      <c r="R61163" s="1288"/>
    </row>
    <row r="61164" spans="18:18" s="2" customFormat="1" ht="12.75" x14ac:dyDescent="0.2">
      <c r="R61164" s="1288"/>
    </row>
    <row r="61165" spans="18:18" s="2" customFormat="1" ht="12.75" x14ac:dyDescent="0.2">
      <c r="R61165" s="1288"/>
    </row>
    <row r="61166" spans="18:18" s="2" customFormat="1" ht="12.75" x14ac:dyDescent="0.2">
      <c r="R61166" s="1288"/>
    </row>
    <row r="61167" spans="18:18" s="2" customFormat="1" ht="12.75" x14ac:dyDescent="0.2">
      <c r="R61167" s="1288"/>
    </row>
    <row r="61168" spans="18:18" s="2" customFormat="1" ht="12.75" x14ac:dyDescent="0.2">
      <c r="R61168" s="1288"/>
    </row>
    <row r="61169" spans="18:18" s="2" customFormat="1" ht="12.75" x14ac:dyDescent="0.2">
      <c r="R61169" s="1288"/>
    </row>
    <row r="61170" spans="18:18" s="2" customFormat="1" ht="12.75" x14ac:dyDescent="0.2">
      <c r="R61170" s="1288"/>
    </row>
    <row r="61171" spans="18:18" s="2" customFormat="1" ht="12.75" x14ac:dyDescent="0.2">
      <c r="R61171" s="1288"/>
    </row>
    <row r="61172" spans="18:18" s="2" customFormat="1" ht="12.75" x14ac:dyDescent="0.2">
      <c r="R61172" s="1288"/>
    </row>
    <row r="61173" spans="18:18" s="2" customFormat="1" ht="12.75" x14ac:dyDescent="0.2">
      <c r="R61173" s="1288"/>
    </row>
    <row r="61174" spans="18:18" s="2" customFormat="1" ht="12.75" x14ac:dyDescent="0.2">
      <c r="R61174" s="1288"/>
    </row>
    <row r="61175" spans="18:18" s="2" customFormat="1" ht="12.75" x14ac:dyDescent="0.2">
      <c r="R61175" s="1288"/>
    </row>
    <row r="61176" spans="18:18" s="2" customFormat="1" ht="12.75" x14ac:dyDescent="0.2">
      <c r="R61176" s="1288"/>
    </row>
    <row r="61177" spans="18:18" s="2" customFormat="1" ht="12.75" x14ac:dyDescent="0.2">
      <c r="R61177" s="1288"/>
    </row>
    <row r="61178" spans="18:18" s="2" customFormat="1" ht="12.75" x14ac:dyDescent="0.2">
      <c r="R61178" s="1288"/>
    </row>
    <row r="61179" spans="18:18" s="2" customFormat="1" ht="12.75" x14ac:dyDescent="0.2">
      <c r="R61179" s="1288"/>
    </row>
    <row r="61180" spans="18:18" s="2" customFormat="1" ht="12.75" x14ac:dyDescent="0.2">
      <c r="R61180" s="1288"/>
    </row>
    <row r="61181" spans="18:18" s="2" customFormat="1" ht="12.75" x14ac:dyDescent="0.2">
      <c r="R61181" s="1288"/>
    </row>
    <row r="61182" spans="18:18" s="2" customFormat="1" ht="12.75" x14ac:dyDescent="0.2">
      <c r="R61182" s="1288"/>
    </row>
    <row r="61183" spans="18:18" s="2" customFormat="1" ht="12.75" x14ac:dyDescent="0.2">
      <c r="R61183" s="1288"/>
    </row>
    <row r="61184" spans="18:18" s="2" customFormat="1" ht="12.75" x14ac:dyDescent="0.2">
      <c r="R61184" s="1288"/>
    </row>
    <row r="61185" spans="18:18" s="2" customFormat="1" ht="12.75" x14ac:dyDescent="0.2">
      <c r="R61185" s="1288"/>
    </row>
    <row r="61186" spans="18:18" s="2" customFormat="1" ht="12.75" x14ac:dyDescent="0.2">
      <c r="R61186" s="1288"/>
    </row>
    <row r="61187" spans="18:18" s="2" customFormat="1" ht="12.75" x14ac:dyDescent="0.2">
      <c r="R61187" s="1288"/>
    </row>
    <row r="61188" spans="18:18" s="2" customFormat="1" ht="12.75" x14ac:dyDescent="0.2">
      <c r="R61188" s="1288"/>
    </row>
    <row r="61189" spans="18:18" s="2" customFormat="1" ht="12.75" x14ac:dyDescent="0.2">
      <c r="R61189" s="1288"/>
    </row>
    <row r="61190" spans="18:18" s="2" customFormat="1" ht="12.75" x14ac:dyDescent="0.2">
      <c r="R61190" s="1288"/>
    </row>
    <row r="61191" spans="18:18" s="2" customFormat="1" ht="12.75" x14ac:dyDescent="0.2">
      <c r="R61191" s="1288"/>
    </row>
    <row r="61192" spans="18:18" s="2" customFormat="1" ht="12.75" x14ac:dyDescent="0.2">
      <c r="R61192" s="1288"/>
    </row>
    <row r="61193" spans="18:18" s="2" customFormat="1" ht="12.75" x14ac:dyDescent="0.2">
      <c r="R61193" s="1288"/>
    </row>
    <row r="61194" spans="18:18" s="2" customFormat="1" ht="12.75" x14ac:dyDescent="0.2">
      <c r="R61194" s="1288"/>
    </row>
    <row r="61195" spans="18:18" s="2" customFormat="1" ht="12.75" x14ac:dyDescent="0.2">
      <c r="R61195" s="1288"/>
    </row>
    <row r="61196" spans="18:18" s="2" customFormat="1" ht="12.75" x14ac:dyDescent="0.2">
      <c r="R61196" s="1288"/>
    </row>
    <row r="61197" spans="18:18" s="2" customFormat="1" ht="12.75" x14ac:dyDescent="0.2">
      <c r="R61197" s="1288"/>
    </row>
    <row r="61198" spans="18:18" s="2" customFormat="1" ht="12.75" x14ac:dyDescent="0.2">
      <c r="R61198" s="1288"/>
    </row>
    <row r="61199" spans="18:18" s="2" customFormat="1" ht="12.75" x14ac:dyDescent="0.2">
      <c r="R61199" s="1288"/>
    </row>
    <row r="61200" spans="18:18" s="2" customFormat="1" ht="12.75" x14ac:dyDescent="0.2">
      <c r="R61200" s="1288"/>
    </row>
    <row r="61201" spans="18:18" s="2" customFormat="1" ht="12.75" x14ac:dyDescent="0.2">
      <c r="R61201" s="1288"/>
    </row>
    <row r="61202" spans="18:18" s="2" customFormat="1" ht="12.75" x14ac:dyDescent="0.2">
      <c r="R61202" s="1288"/>
    </row>
    <row r="61203" spans="18:18" s="2" customFormat="1" ht="12.75" x14ac:dyDescent="0.2">
      <c r="R61203" s="1288"/>
    </row>
    <row r="61204" spans="18:18" s="2" customFormat="1" ht="12.75" x14ac:dyDescent="0.2">
      <c r="R61204" s="1288"/>
    </row>
    <row r="61205" spans="18:18" s="2" customFormat="1" ht="12.75" x14ac:dyDescent="0.2">
      <c r="R61205" s="1288"/>
    </row>
    <row r="61206" spans="18:18" s="2" customFormat="1" ht="12.75" x14ac:dyDescent="0.2">
      <c r="R61206" s="1288"/>
    </row>
    <row r="61207" spans="18:18" s="2" customFormat="1" ht="12.75" x14ac:dyDescent="0.2">
      <c r="R61207" s="1288"/>
    </row>
    <row r="61208" spans="18:18" s="2" customFormat="1" ht="12.75" x14ac:dyDescent="0.2">
      <c r="R61208" s="1288"/>
    </row>
    <row r="61209" spans="18:18" s="2" customFormat="1" ht="12.75" x14ac:dyDescent="0.2">
      <c r="R61209" s="1288"/>
    </row>
    <row r="61210" spans="18:18" s="2" customFormat="1" ht="12.75" x14ac:dyDescent="0.2">
      <c r="R61210" s="1288"/>
    </row>
    <row r="61211" spans="18:18" s="2" customFormat="1" ht="12.75" x14ac:dyDescent="0.2">
      <c r="R61211" s="1288"/>
    </row>
    <row r="61212" spans="18:18" s="2" customFormat="1" ht="12.75" x14ac:dyDescent="0.2">
      <c r="R61212" s="1288"/>
    </row>
    <row r="61213" spans="18:18" s="2" customFormat="1" ht="12.75" x14ac:dyDescent="0.2">
      <c r="R61213" s="1288"/>
    </row>
    <row r="61214" spans="18:18" s="2" customFormat="1" ht="12.75" x14ac:dyDescent="0.2">
      <c r="R61214" s="1288"/>
    </row>
    <row r="61215" spans="18:18" s="2" customFormat="1" ht="12.75" x14ac:dyDescent="0.2">
      <c r="R61215" s="1288"/>
    </row>
    <row r="61216" spans="18:18" s="2" customFormat="1" ht="12.75" x14ac:dyDescent="0.2">
      <c r="R61216" s="1288"/>
    </row>
    <row r="61217" spans="18:18" s="2" customFormat="1" ht="12.75" x14ac:dyDescent="0.2">
      <c r="R61217" s="1288"/>
    </row>
    <row r="61218" spans="18:18" s="2" customFormat="1" ht="12.75" x14ac:dyDescent="0.2">
      <c r="R61218" s="1288"/>
    </row>
    <row r="61219" spans="18:18" s="2" customFormat="1" ht="12.75" x14ac:dyDescent="0.2">
      <c r="R61219" s="1288"/>
    </row>
    <row r="61220" spans="18:18" s="2" customFormat="1" ht="12.75" x14ac:dyDescent="0.2">
      <c r="R61220" s="1288"/>
    </row>
    <row r="61221" spans="18:18" s="2" customFormat="1" ht="12.75" x14ac:dyDescent="0.2">
      <c r="R61221" s="1288"/>
    </row>
    <row r="61222" spans="18:18" s="2" customFormat="1" ht="12.75" x14ac:dyDescent="0.2">
      <c r="R61222" s="1288"/>
    </row>
    <row r="61223" spans="18:18" s="2" customFormat="1" ht="12.75" x14ac:dyDescent="0.2">
      <c r="R61223" s="1288"/>
    </row>
    <row r="61224" spans="18:18" s="2" customFormat="1" ht="12.75" x14ac:dyDescent="0.2">
      <c r="R61224" s="1288"/>
    </row>
    <row r="61225" spans="18:18" s="2" customFormat="1" ht="12.75" x14ac:dyDescent="0.2">
      <c r="R61225" s="1288"/>
    </row>
    <row r="61226" spans="18:18" s="2" customFormat="1" ht="12.75" x14ac:dyDescent="0.2">
      <c r="R61226" s="1288"/>
    </row>
    <row r="61227" spans="18:18" s="2" customFormat="1" ht="12.75" x14ac:dyDescent="0.2">
      <c r="R61227" s="1288"/>
    </row>
    <row r="61228" spans="18:18" s="2" customFormat="1" ht="12.75" x14ac:dyDescent="0.2">
      <c r="R61228" s="1288"/>
    </row>
    <row r="61229" spans="18:18" s="2" customFormat="1" ht="12.75" x14ac:dyDescent="0.2">
      <c r="R61229" s="1288"/>
    </row>
    <row r="61230" spans="18:18" s="2" customFormat="1" ht="12.75" x14ac:dyDescent="0.2">
      <c r="R61230" s="1288"/>
    </row>
    <row r="61231" spans="18:18" s="2" customFormat="1" ht="12.75" x14ac:dyDescent="0.2">
      <c r="R61231" s="1288"/>
    </row>
    <row r="61232" spans="18:18" s="2" customFormat="1" ht="12.75" x14ac:dyDescent="0.2">
      <c r="R61232" s="1288"/>
    </row>
    <row r="61233" spans="18:18" s="2" customFormat="1" ht="12.75" x14ac:dyDescent="0.2">
      <c r="R61233" s="1288"/>
    </row>
    <row r="61234" spans="18:18" s="2" customFormat="1" ht="12.75" x14ac:dyDescent="0.2">
      <c r="R61234" s="1288"/>
    </row>
    <row r="61235" spans="18:18" s="2" customFormat="1" ht="12.75" x14ac:dyDescent="0.2">
      <c r="R61235" s="1288"/>
    </row>
    <row r="61236" spans="18:18" s="2" customFormat="1" ht="12.75" x14ac:dyDescent="0.2">
      <c r="R61236" s="1288"/>
    </row>
    <row r="61237" spans="18:18" s="2" customFormat="1" ht="12.75" x14ac:dyDescent="0.2">
      <c r="R61237" s="1288"/>
    </row>
    <row r="61238" spans="18:18" s="2" customFormat="1" ht="12.75" x14ac:dyDescent="0.2">
      <c r="R61238" s="1288"/>
    </row>
    <row r="61239" spans="18:18" s="2" customFormat="1" ht="12.75" x14ac:dyDescent="0.2">
      <c r="R61239" s="1288"/>
    </row>
    <row r="61240" spans="18:18" s="2" customFormat="1" ht="12.75" x14ac:dyDescent="0.2">
      <c r="R61240" s="1288"/>
    </row>
    <row r="61241" spans="18:18" s="2" customFormat="1" ht="12.75" x14ac:dyDescent="0.2">
      <c r="R61241" s="1288"/>
    </row>
    <row r="61242" spans="18:18" s="2" customFormat="1" ht="12.75" x14ac:dyDescent="0.2">
      <c r="R61242" s="1288"/>
    </row>
    <row r="61243" spans="18:18" s="2" customFormat="1" ht="12.75" x14ac:dyDescent="0.2">
      <c r="R61243" s="1288"/>
    </row>
    <row r="61244" spans="18:18" s="2" customFormat="1" ht="12.75" x14ac:dyDescent="0.2">
      <c r="R61244" s="1288"/>
    </row>
    <row r="61245" spans="18:18" s="2" customFormat="1" ht="12.75" x14ac:dyDescent="0.2">
      <c r="R61245" s="1288"/>
    </row>
    <row r="61246" spans="18:18" s="2" customFormat="1" ht="12.75" x14ac:dyDescent="0.2">
      <c r="R61246" s="1288"/>
    </row>
    <row r="61247" spans="18:18" s="2" customFormat="1" ht="12.75" x14ac:dyDescent="0.2">
      <c r="R61247" s="1288"/>
    </row>
    <row r="61248" spans="18:18" s="2" customFormat="1" ht="12.75" x14ac:dyDescent="0.2">
      <c r="R61248" s="1288"/>
    </row>
    <row r="61249" spans="18:18" s="2" customFormat="1" ht="12.75" x14ac:dyDescent="0.2">
      <c r="R61249" s="1288"/>
    </row>
    <row r="61250" spans="18:18" s="2" customFormat="1" ht="12.75" x14ac:dyDescent="0.2">
      <c r="R61250" s="1288"/>
    </row>
    <row r="61251" spans="18:18" s="2" customFormat="1" ht="12.75" x14ac:dyDescent="0.2">
      <c r="R61251" s="1288"/>
    </row>
    <row r="61252" spans="18:18" s="2" customFormat="1" ht="12.75" x14ac:dyDescent="0.2">
      <c r="R61252" s="1288"/>
    </row>
    <row r="61253" spans="18:18" s="2" customFormat="1" ht="12.75" x14ac:dyDescent="0.2">
      <c r="R61253" s="1288"/>
    </row>
    <row r="61254" spans="18:18" s="2" customFormat="1" ht="12.75" x14ac:dyDescent="0.2">
      <c r="R61254" s="1288"/>
    </row>
    <row r="61255" spans="18:18" s="2" customFormat="1" ht="12.75" x14ac:dyDescent="0.2">
      <c r="R61255" s="1288"/>
    </row>
    <row r="61256" spans="18:18" s="2" customFormat="1" ht="12.75" x14ac:dyDescent="0.2">
      <c r="R61256" s="1288"/>
    </row>
    <row r="61257" spans="18:18" s="2" customFormat="1" ht="12.75" x14ac:dyDescent="0.2">
      <c r="R61257" s="1288"/>
    </row>
    <row r="61258" spans="18:18" s="2" customFormat="1" ht="12.75" x14ac:dyDescent="0.2">
      <c r="R61258" s="1288"/>
    </row>
    <row r="61259" spans="18:18" s="2" customFormat="1" ht="12.75" x14ac:dyDescent="0.2">
      <c r="R61259" s="1288"/>
    </row>
    <row r="61260" spans="18:18" s="2" customFormat="1" ht="12.75" x14ac:dyDescent="0.2">
      <c r="R61260" s="1288"/>
    </row>
    <row r="61261" spans="18:18" s="2" customFormat="1" ht="12.75" x14ac:dyDescent="0.2">
      <c r="R61261" s="1288"/>
    </row>
    <row r="61262" spans="18:18" s="2" customFormat="1" ht="12.75" x14ac:dyDescent="0.2">
      <c r="R61262" s="1288"/>
    </row>
    <row r="61263" spans="18:18" s="2" customFormat="1" ht="12.75" x14ac:dyDescent="0.2">
      <c r="R61263" s="1288"/>
    </row>
    <row r="61264" spans="18:18" s="2" customFormat="1" ht="12.75" x14ac:dyDescent="0.2">
      <c r="R61264" s="1288"/>
    </row>
    <row r="61265" spans="18:18" s="2" customFormat="1" ht="12.75" x14ac:dyDescent="0.2">
      <c r="R61265" s="1288"/>
    </row>
    <row r="61266" spans="18:18" s="2" customFormat="1" ht="12.75" x14ac:dyDescent="0.2">
      <c r="R61266" s="1288"/>
    </row>
    <row r="61267" spans="18:18" s="2" customFormat="1" ht="12.75" x14ac:dyDescent="0.2">
      <c r="R61267" s="1288"/>
    </row>
    <row r="61268" spans="18:18" s="2" customFormat="1" ht="12.75" x14ac:dyDescent="0.2">
      <c r="R61268" s="1288"/>
    </row>
    <row r="61269" spans="18:18" s="2" customFormat="1" ht="12.75" x14ac:dyDescent="0.2">
      <c r="R61269" s="1288"/>
    </row>
    <row r="61270" spans="18:18" s="2" customFormat="1" ht="12.75" x14ac:dyDescent="0.2">
      <c r="R61270" s="1288"/>
    </row>
    <row r="61271" spans="18:18" s="2" customFormat="1" ht="12.75" x14ac:dyDescent="0.2">
      <c r="R61271" s="1288"/>
    </row>
    <row r="61272" spans="18:18" s="2" customFormat="1" ht="12.75" x14ac:dyDescent="0.2">
      <c r="R61272" s="1288"/>
    </row>
    <row r="61273" spans="18:18" s="2" customFormat="1" ht="12.75" x14ac:dyDescent="0.2">
      <c r="R61273" s="1288"/>
    </row>
    <row r="61274" spans="18:18" s="2" customFormat="1" ht="12.75" x14ac:dyDescent="0.2">
      <c r="R61274" s="1288"/>
    </row>
    <row r="61275" spans="18:18" s="2" customFormat="1" ht="12.75" x14ac:dyDescent="0.2">
      <c r="R61275" s="1288"/>
    </row>
    <row r="61276" spans="18:18" s="2" customFormat="1" ht="12.75" x14ac:dyDescent="0.2">
      <c r="R61276" s="1288"/>
    </row>
    <row r="61277" spans="18:18" s="2" customFormat="1" ht="12.75" x14ac:dyDescent="0.2">
      <c r="R61277" s="1288"/>
    </row>
    <row r="61278" spans="18:18" s="2" customFormat="1" ht="12.75" x14ac:dyDescent="0.2">
      <c r="R61278" s="1288"/>
    </row>
    <row r="61279" spans="18:18" s="2" customFormat="1" ht="12.75" x14ac:dyDescent="0.2">
      <c r="R61279" s="1288"/>
    </row>
    <row r="61280" spans="18:18" s="2" customFormat="1" ht="12.75" x14ac:dyDescent="0.2">
      <c r="R61280" s="1288"/>
    </row>
    <row r="61281" spans="18:18" s="2" customFormat="1" ht="12.75" x14ac:dyDescent="0.2">
      <c r="R61281" s="1288"/>
    </row>
    <row r="61282" spans="18:18" s="2" customFormat="1" ht="12.75" x14ac:dyDescent="0.2">
      <c r="R61282" s="1288"/>
    </row>
    <row r="61283" spans="18:18" s="2" customFormat="1" ht="12.75" x14ac:dyDescent="0.2">
      <c r="R61283" s="1288"/>
    </row>
    <row r="61284" spans="18:18" s="2" customFormat="1" ht="12.75" x14ac:dyDescent="0.2">
      <c r="R61284" s="1288"/>
    </row>
    <row r="61285" spans="18:18" s="2" customFormat="1" ht="12.75" x14ac:dyDescent="0.2">
      <c r="R61285" s="1288"/>
    </row>
    <row r="61286" spans="18:18" s="2" customFormat="1" ht="12.75" x14ac:dyDescent="0.2">
      <c r="R61286" s="1288"/>
    </row>
    <row r="61287" spans="18:18" s="2" customFormat="1" ht="12.75" x14ac:dyDescent="0.2">
      <c r="R61287" s="1288"/>
    </row>
    <row r="61288" spans="18:18" s="2" customFormat="1" ht="12.75" x14ac:dyDescent="0.2">
      <c r="R61288" s="1288"/>
    </row>
    <row r="61289" spans="18:18" s="2" customFormat="1" ht="12.75" x14ac:dyDescent="0.2">
      <c r="R61289" s="1288"/>
    </row>
    <row r="61290" spans="18:18" s="2" customFormat="1" ht="12.75" x14ac:dyDescent="0.2">
      <c r="R61290" s="1288"/>
    </row>
    <row r="61291" spans="18:18" s="2" customFormat="1" ht="12.75" x14ac:dyDescent="0.2">
      <c r="R61291" s="1288"/>
    </row>
    <row r="61292" spans="18:18" s="2" customFormat="1" ht="12.75" x14ac:dyDescent="0.2">
      <c r="R61292" s="1288"/>
    </row>
    <row r="61293" spans="18:18" s="2" customFormat="1" ht="12.75" x14ac:dyDescent="0.2">
      <c r="R61293" s="1288"/>
    </row>
    <row r="61294" spans="18:18" s="2" customFormat="1" ht="12.75" x14ac:dyDescent="0.2">
      <c r="R61294" s="1288"/>
    </row>
    <row r="61295" spans="18:18" s="2" customFormat="1" ht="12.75" x14ac:dyDescent="0.2">
      <c r="R61295" s="1288"/>
    </row>
    <row r="61296" spans="18:18" s="2" customFormat="1" ht="12.75" x14ac:dyDescent="0.2">
      <c r="R61296" s="1288"/>
    </row>
    <row r="61297" spans="18:18" s="2" customFormat="1" ht="12.75" x14ac:dyDescent="0.2">
      <c r="R61297" s="1288"/>
    </row>
    <row r="61298" spans="18:18" s="2" customFormat="1" ht="12.75" x14ac:dyDescent="0.2">
      <c r="R61298" s="1288"/>
    </row>
    <row r="61299" spans="18:18" s="2" customFormat="1" ht="12.75" x14ac:dyDescent="0.2">
      <c r="R61299" s="1288"/>
    </row>
    <row r="61300" spans="18:18" s="2" customFormat="1" ht="12.75" x14ac:dyDescent="0.2">
      <c r="R61300" s="1288"/>
    </row>
    <row r="61301" spans="18:18" s="2" customFormat="1" ht="12.75" x14ac:dyDescent="0.2">
      <c r="R61301" s="1288"/>
    </row>
    <row r="61302" spans="18:18" s="2" customFormat="1" ht="12.75" x14ac:dyDescent="0.2">
      <c r="R61302" s="1288"/>
    </row>
    <row r="61303" spans="18:18" s="2" customFormat="1" ht="12.75" x14ac:dyDescent="0.2">
      <c r="R61303" s="1288"/>
    </row>
    <row r="61304" spans="18:18" s="2" customFormat="1" ht="12.75" x14ac:dyDescent="0.2">
      <c r="R61304" s="1288"/>
    </row>
    <row r="61305" spans="18:18" s="2" customFormat="1" ht="12.75" x14ac:dyDescent="0.2">
      <c r="R61305" s="1288"/>
    </row>
    <row r="61306" spans="18:18" s="2" customFormat="1" ht="12.75" x14ac:dyDescent="0.2">
      <c r="R61306" s="1288"/>
    </row>
    <row r="61307" spans="18:18" s="2" customFormat="1" ht="12.75" x14ac:dyDescent="0.2">
      <c r="R61307" s="1288"/>
    </row>
    <row r="61308" spans="18:18" s="2" customFormat="1" ht="12.75" x14ac:dyDescent="0.2">
      <c r="R61308" s="1288"/>
    </row>
    <row r="61309" spans="18:18" s="2" customFormat="1" ht="12.75" x14ac:dyDescent="0.2">
      <c r="R61309" s="1288"/>
    </row>
    <row r="61310" spans="18:18" s="2" customFormat="1" ht="12.75" x14ac:dyDescent="0.2">
      <c r="R61310" s="1288"/>
    </row>
    <row r="61311" spans="18:18" s="2" customFormat="1" ht="12.75" x14ac:dyDescent="0.2">
      <c r="R61311" s="1288"/>
    </row>
    <row r="61312" spans="18:18" s="2" customFormat="1" ht="12.75" x14ac:dyDescent="0.2">
      <c r="R61312" s="1288"/>
    </row>
    <row r="61313" spans="18:18" s="2" customFormat="1" ht="12.75" x14ac:dyDescent="0.2">
      <c r="R61313" s="1288"/>
    </row>
    <row r="61314" spans="18:18" s="2" customFormat="1" ht="12.75" x14ac:dyDescent="0.2">
      <c r="R61314" s="1288"/>
    </row>
    <row r="61315" spans="18:18" s="2" customFormat="1" ht="12.75" x14ac:dyDescent="0.2">
      <c r="R61315" s="1288"/>
    </row>
    <row r="61316" spans="18:18" s="2" customFormat="1" ht="12.75" x14ac:dyDescent="0.2">
      <c r="R61316" s="1288"/>
    </row>
    <row r="61317" spans="18:18" s="2" customFormat="1" ht="12.75" x14ac:dyDescent="0.2">
      <c r="R61317" s="1288"/>
    </row>
    <row r="61318" spans="18:18" s="2" customFormat="1" ht="12.75" x14ac:dyDescent="0.2">
      <c r="R61318" s="1288"/>
    </row>
    <row r="61319" spans="18:18" s="2" customFormat="1" ht="12.75" x14ac:dyDescent="0.2">
      <c r="R61319" s="1288"/>
    </row>
    <row r="61320" spans="18:18" s="2" customFormat="1" ht="12.75" x14ac:dyDescent="0.2">
      <c r="R61320" s="1288"/>
    </row>
    <row r="61321" spans="18:18" s="2" customFormat="1" ht="12.75" x14ac:dyDescent="0.2">
      <c r="R61321" s="1288"/>
    </row>
    <row r="61322" spans="18:18" s="2" customFormat="1" ht="12.75" x14ac:dyDescent="0.2">
      <c r="R61322" s="1288"/>
    </row>
    <row r="61323" spans="18:18" s="2" customFormat="1" ht="12.75" x14ac:dyDescent="0.2">
      <c r="R61323" s="1288"/>
    </row>
    <row r="61324" spans="18:18" s="2" customFormat="1" ht="12.75" x14ac:dyDescent="0.2">
      <c r="R61324" s="1288"/>
    </row>
    <row r="61325" spans="18:18" s="2" customFormat="1" ht="12.75" x14ac:dyDescent="0.2">
      <c r="R61325" s="1288"/>
    </row>
    <row r="61326" spans="18:18" s="2" customFormat="1" ht="12.75" x14ac:dyDescent="0.2">
      <c r="R61326" s="1288"/>
    </row>
    <row r="61327" spans="18:18" s="2" customFormat="1" ht="12.75" x14ac:dyDescent="0.2">
      <c r="R61327" s="1288"/>
    </row>
    <row r="61328" spans="18:18" s="2" customFormat="1" ht="12.75" x14ac:dyDescent="0.2">
      <c r="R61328" s="1288"/>
    </row>
    <row r="61329" spans="18:18" s="2" customFormat="1" ht="12.75" x14ac:dyDescent="0.2">
      <c r="R61329" s="1288"/>
    </row>
    <row r="61330" spans="18:18" s="2" customFormat="1" ht="12.75" x14ac:dyDescent="0.2">
      <c r="R61330" s="1288"/>
    </row>
    <row r="61331" spans="18:18" s="2" customFormat="1" ht="12.75" x14ac:dyDescent="0.2">
      <c r="R61331" s="1288"/>
    </row>
    <row r="61332" spans="18:18" s="2" customFormat="1" ht="12.75" x14ac:dyDescent="0.2">
      <c r="R61332" s="1288"/>
    </row>
    <row r="61333" spans="18:18" s="2" customFormat="1" ht="12.75" x14ac:dyDescent="0.2">
      <c r="R61333" s="1288"/>
    </row>
    <row r="61334" spans="18:18" s="2" customFormat="1" ht="12.75" x14ac:dyDescent="0.2">
      <c r="R61334" s="1288"/>
    </row>
    <row r="61335" spans="18:18" s="2" customFormat="1" ht="12.75" x14ac:dyDescent="0.2">
      <c r="R61335" s="1288"/>
    </row>
    <row r="61336" spans="18:18" s="2" customFormat="1" ht="12.75" x14ac:dyDescent="0.2">
      <c r="R61336" s="1288"/>
    </row>
    <row r="61337" spans="18:18" s="2" customFormat="1" ht="12.75" x14ac:dyDescent="0.2">
      <c r="R61337" s="1288"/>
    </row>
    <row r="61338" spans="18:18" s="2" customFormat="1" ht="12.75" x14ac:dyDescent="0.2">
      <c r="R61338" s="1288"/>
    </row>
    <row r="61339" spans="18:18" s="2" customFormat="1" ht="12.75" x14ac:dyDescent="0.2">
      <c r="R61339" s="1288"/>
    </row>
    <row r="61340" spans="18:18" s="2" customFormat="1" ht="12.75" x14ac:dyDescent="0.2">
      <c r="R61340" s="1288"/>
    </row>
    <row r="61341" spans="18:18" s="2" customFormat="1" ht="12.75" x14ac:dyDescent="0.2">
      <c r="R61341" s="1288"/>
    </row>
    <row r="61342" spans="18:18" s="2" customFormat="1" ht="12.75" x14ac:dyDescent="0.2">
      <c r="R61342" s="1288"/>
    </row>
    <row r="61343" spans="18:18" s="2" customFormat="1" ht="12.75" x14ac:dyDescent="0.2">
      <c r="R61343" s="1288"/>
    </row>
    <row r="61344" spans="18:18" s="2" customFormat="1" ht="12.75" x14ac:dyDescent="0.2">
      <c r="R61344" s="1288"/>
    </row>
    <row r="61345" spans="18:18" s="2" customFormat="1" ht="12.75" x14ac:dyDescent="0.2">
      <c r="R61345" s="1288"/>
    </row>
    <row r="61346" spans="18:18" s="2" customFormat="1" ht="12.75" x14ac:dyDescent="0.2">
      <c r="R61346" s="1288"/>
    </row>
    <row r="61347" spans="18:18" s="2" customFormat="1" ht="12.75" x14ac:dyDescent="0.2">
      <c r="R61347" s="1288"/>
    </row>
    <row r="61348" spans="18:18" s="2" customFormat="1" ht="12.75" x14ac:dyDescent="0.2">
      <c r="R61348" s="1288"/>
    </row>
    <row r="61349" spans="18:18" s="2" customFormat="1" ht="12.75" x14ac:dyDescent="0.2">
      <c r="R61349" s="1288"/>
    </row>
    <row r="61350" spans="18:18" s="2" customFormat="1" ht="12.75" x14ac:dyDescent="0.2">
      <c r="R61350" s="1288"/>
    </row>
    <row r="61351" spans="18:18" s="2" customFormat="1" ht="12.75" x14ac:dyDescent="0.2">
      <c r="R61351" s="1288"/>
    </row>
    <row r="61352" spans="18:18" s="2" customFormat="1" ht="12.75" x14ac:dyDescent="0.2">
      <c r="R61352" s="1288"/>
    </row>
    <row r="61353" spans="18:18" s="2" customFormat="1" ht="12.75" x14ac:dyDescent="0.2">
      <c r="R61353" s="1288"/>
    </row>
    <row r="61354" spans="18:18" s="2" customFormat="1" ht="12.75" x14ac:dyDescent="0.2">
      <c r="R61354" s="1288"/>
    </row>
    <row r="61355" spans="18:18" s="2" customFormat="1" ht="12.75" x14ac:dyDescent="0.2">
      <c r="R61355" s="1288"/>
    </row>
    <row r="61356" spans="18:18" s="2" customFormat="1" ht="12.75" x14ac:dyDescent="0.2">
      <c r="R61356" s="1288"/>
    </row>
    <row r="61357" spans="18:18" s="2" customFormat="1" ht="12.75" x14ac:dyDescent="0.2">
      <c r="R61357" s="1288"/>
    </row>
    <row r="61358" spans="18:18" s="2" customFormat="1" ht="12.75" x14ac:dyDescent="0.2">
      <c r="R61358" s="1288"/>
    </row>
    <row r="61359" spans="18:18" s="2" customFormat="1" ht="12.75" x14ac:dyDescent="0.2">
      <c r="R61359" s="1288"/>
    </row>
    <row r="61360" spans="18:18" s="2" customFormat="1" ht="12.75" x14ac:dyDescent="0.2">
      <c r="R61360" s="1288"/>
    </row>
    <row r="61361" spans="18:18" s="2" customFormat="1" ht="12.75" x14ac:dyDescent="0.2">
      <c r="R61361" s="1288"/>
    </row>
    <row r="61362" spans="18:18" s="2" customFormat="1" ht="12.75" x14ac:dyDescent="0.2">
      <c r="R61362" s="1288"/>
    </row>
    <row r="61363" spans="18:18" s="2" customFormat="1" ht="12.75" x14ac:dyDescent="0.2">
      <c r="R61363" s="1288"/>
    </row>
    <row r="61364" spans="18:18" s="2" customFormat="1" ht="12.75" x14ac:dyDescent="0.2">
      <c r="R61364" s="1288"/>
    </row>
    <row r="61365" spans="18:18" s="2" customFormat="1" ht="12.75" x14ac:dyDescent="0.2">
      <c r="R61365" s="1288"/>
    </row>
    <row r="61366" spans="18:18" s="2" customFormat="1" ht="12.75" x14ac:dyDescent="0.2">
      <c r="R61366" s="1288"/>
    </row>
    <row r="61367" spans="18:18" s="2" customFormat="1" ht="12.75" x14ac:dyDescent="0.2">
      <c r="R61367" s="1288"/>
    </row>
    <row r="61368" spans="18:18" s="2" customFormat="1" ht="12.75" x14ac:dyDescent="0.2">
      <c r="R61368" s="1288"/>
    </row>
    <row r="61369" spans="18:18" s="2" customFormat="1" ht="12.75" x14ac:dyDescent="0.2">
      <c r="R61369" s="1288"/>
    </row>
    <row r="61370" spans="18:18" s="2" customFormat="1" ht="12.75" x14ac:dyDescent="0.2">
      <c r="R61370" s="1288"/>
    </row>
    <row r="61371" spans="18:18" s="2" customFormat="1" ht="12.75" x14ac:dyDescent="0.2">
      <c r="R61371" s="1288"/>
    </row>
    <row r="61372" spans="18:18" s="2" customFormat="1" ht="12.75" x14ac:dyDescent="0.2">
      <c r="R61372" s="1288"/>
    </row>
    <row r="61373" spans="18:18" s="2" customFormat="1" ht="12.75" x14ac:dyDescent="0.2">
      <c r="R61373" s="1288"/>
    </row>
    <row r="61374" spans="18:18" s="2" customFormat="1" ht="12.75" x14ac:dyDescent="0.2">
      <c r="R61374" s="1288"/>
    </row>
    <row r="61375" spans="18:18" s="2" customFormat="1" ht="12.75" x14ac:dyDescent="0.2">
      <c r="R61375" s="1288"/>
    </row>
    <row r="61376" spans="18:18" s="2" customFormat="1" ht="12.75" x14ac:dyDescent="0.2">
      <c r="R61376" s="1288"/>
    </row>
    <row r="61377" spans="18:18" s="2" customFormat="1" ht="12.75" x14ac:dyDescent="0.2">
      <c r="R61377" s="1288"/>
    </row>
    <row r="61378" spans="18:18" s="2" customFormat="1" ht="12.75" x14ac:dyDescent="0.2">
      <c r="R61378" s="1288"/>
    </row>
    <row r="61379" spans="18:18" s="2" customFormat="1" ht="12.75" x14ac:dyDescent="0.2">
      <c r="R61379" s="1288"/>
    </row>
    <row r="61380" spans="18:18" s="2" customFormat="1" ht="12.75" x14ac:dyDescent="0.2">
      <c r="R61380" s="1288"/>
    </row>
    <row r="61381" spans="18:18" s="2" customFormat="1" ht="12.75" x14ac:dyDescent="0.2">
      <c r="R61381" s="1288"/>
    </row>
    <row r="61382" spans="18:18" s="2" customFormat="1" ht="12.75" x14ac:dyDescent="0.2">
      <c r="R61382" s="1288"/>
    </row>
    <row r="61383" spans="18:18" s="2" customFormat="1" ht="12.75" x14ac:dyDescent="0.2">
      <c r="R61383" s="1288"/>
    </row>
    <row r="61384" spans="18:18" s="2" customFormat="1" ht="12.75" x14ac:dyDescent="0.2">
      <c r="R61384" s="1288"/>
    </row>
    <row r="61385" spans="18:18" s="2" customFormat="1" ht="12.75" x14ac:dyDescent="0.2">
      <c r="R61385" s="1288"/>
    </row>
    <row r="61386" spans="18:18" s="2" customFormat="1" ht="12.75" x14ac:dyDescent="0.2">
      <c r="R61386" s="1288"/>
    </row>
    <row r="61387" spans="18:18" s="2" customFormat="1" ht="12.75" x14ac:dyDescent="0.2">
      <c r="R61387" s="1288"/>
    </row>
    <row r="61388" spans="18:18" s="2" customFormat="1" ht="12.75" x14ac:dyDescent="0.2">
      <c r="R61388" s="1288"/>
    </row>
    <row r="61389" spans="18:18" s="2" customFormat="1" ht="12.75" x14ac:dyDescent="0.2">
      <c r="R61389" s="1288"/>
    </row>
    <row r="61390" spans="18:18" s="2" customFormat="1" ht="12.75" x14ac:dyDescent="0.2">
      <c r="R61390" s="1288"/>
    </row>
    <row r="61391" spans="18:18" s="2" customFormat="1" ht="12.75" x14ac:dyDescent="0.2">
      <c r="R61391" s="1288"/>
    </row>
    <row r="61392" spans="18:18" s="2" customFormat="1" ht="12.75" x14ac:dyDescent="0.2">
      <c r="R61392" s="1288"/>
    </row>
    <row r="61393" spans="18:18" s="2" customFormat="1" ht="12.75" x14ac:dyDescent="0.2">
      <c r="R61393" s="1288"/>
    </row>
    <row r="61394" spans="18:18" s="2" customFormat="1" ht="12.75" x14ac:dyDescent="0.2">
      <c r="R61394" s="1288"/>
    </row>
    <row r="61395" spans="18:18" s="2" customFormat="1" ht="12.75" x14ac:dyDescent="0.2">
      <c r="R61395" s="1288"/>
    </row>
    <row r="61396" spans="18:18" s="2" customFormat="1" ht="12.75" x14ac:dyDescent="0.2">
      <c r="R61396" s="1288"/>
    </row>
    <row r="61397" spans="18:18" s="2" customFormat="1" ht="12.75" x14ac:dyDescent="0.2">
      <c r="R61397" s="1288"/>
    </row>
    <row r="61398" spans="18:18" s="2" customFormat="1" ht="12.75" x14ac:dyDescent="0.2">
      <c r="R61398" s="1288"/>
    </row>
    <row r="61399" spans="18:18" s="2" customFormat="1" ht="12.75" x14ac:dyDescent="0.2">
      <c r="R61399" s="1288"/>
    </row>
    <row r="61400" spans="18:18" s="2" customFormat="1" ht="12.75" x14ac:dyDescent="0.2">
      <c r="R61400" s="1288"/>
    </row>
    <row r="61401" spans="18:18" s="2" customFormat="1" ht="12.75" x14ac:dyDescent="0.2">
      <c r="R61401" s="1288"/>
    </row>
    <row r="61402" spans="18:18" s="2" customFormat="1" ht="12.75" x14ac:dyDescent="0.2">
      <c r="R61402" s="1288"/>
    </row>
    <row r="61403" spans="18:18" s="2" customFormat="1" ht="12.75" x14ac:dyDescent="0.2">
      <c r="R61403" s="1288"/>
    </row>
    <row r="61404" spans="18:18" s="2" customFormat="1" ht="12.75" x14ac:dyDescent="0.2">
      <c r="R61404" s="1288"/>
    </row>
    <row r="61405" spans="18:18" s="2" customFormat="1" ht="12.75" x14ac:dyDescent="0.2">
      <c r="R61405" s="1288"/>
    </row>
    <row r="61406" spans="18:18" s="2" customFormat="1" ht="12.75" x14ac:dyDescent="0.2">
      <c r="R61406" s="1288"/>
    </row>
    <row r="61407" spans="18:18" s="2" customFormat="1" ht="12.75" x14ac:dyDescent="0.2">
      <c r="R61407" s="1288"/>
    </row>
    <row r="61408" spans="18:18" s="2" customFormat="1" ht="12.75" x14ac:dyDescent="0.2">
      <c r="R61408" s="1288"/>
    </row>
    <row r="61409" spans="18:18" s="2" customFormat="1" ht="12.75" x14ac:dyDescent="0.2">
      <c r="R61409" s="1288"/>
    </row>
    <row r="61410" spans="18:18" s="2" customFormat="1" ht="12.75" x14ac:dyDescent="0.2">
      <c r="R61410" s="1288"/>
    </row>
    <row r="61411" spans="18:18" s="2" customFormat="1" ht="12.75" x14ac:dyDescent="0.2">
      <c r="R61411" s="1288"/>
    </row>
    <row r="61412" spans="18:18" s="2" customFormat="1" ht="12.75" x14ac:dyDescent="0.2">
      <c r="R61412" s="1288"/>
    </row>
    <row r="61413" spans="18:18" s="2" customFormat="1" ht="12.75" x14ac:dyDescent="0.2">
      <c r="R61413" s="1288"/>
    </row>
    <row r="61414" spans="18:18" s="2" customFormat="1" ht="12.75" x14ac:dyDescent="0.2">
      <c r="R61414" s="1288"/>
    </row>
    <row r="61415" spans="18:18" s="2" customFormat="1" ht="12.75" x14ac:dyDescent="0.2">
      <c r="R61415" s="1288"/>
    </row>
    <row r="61416" spans="18:18" s="2" customFormat="1" ht="12.75" x14ac:dyDescent="0.2">
      <c r="R61416" s="1288"/>
    </row>
    <row r="61417" spans="18:18" s="2" customFormat="1" ht="12.75" x14ac:dyDescent="0.2">
      <c r="R61417" s="1288"/>
    </row>
    <row r="61418" spans="18:18" s="2" customFormat="1" ht="12.75" x14ac:dyDescent="0.2">
      <c r="R61418" s="1288"/>
    </row>
    <row r="61419" spans="18:18" s="2" customFormat="1" ht="12.75" x14ac:dyDescent="0.2">
      <c r="R61419" s="1288"/>
    </row>
    <row r="61420" spans="18:18" s="2" customFormat="1" ht="12.75" x14ac:dyDescent="0.2">
      <c r="R61420" s="1288"/>
    </row>
    <row r="61421" spans="18:18" s="2" customFormat="1" ht="12.75" x14ac:dyDescent="0.2">
      <c r="R61421" s="1288"/>
    </row>
    <row r="61422" spans="18:18" s="2" customFormat="1" ht="12.75" x14ac:dyDescent="0.2">
      <c r="R61422" s="1288"/>
    </row>
    <row r="61423" spans="18:18" s="2" customFormat="1" ht="12.75" x14ac:dyDescent="0.2">
      <c r="R61423" s="1288"/>
    </row>
    <row r="61424" spans="18:18" s="2" customFormat="1" ht="12.75" x14ac:dyDescent="0.2">
      <c r="R61424" s="1288"/>
    </row>
    <row r="61425" spans="18:18" s="2" customFormat="1" ht="12.75" x14ac:dyDescent="0.2">
      <c r="R61425" s="1288"/>
    </row>
    <row r="61426" spans="18:18" s="2" customFormat="1" ht="12.75" x14ac:dyDescent="0.2">
      <c r="R61426" s="1288"/>
    </row>
    <row r="61427" spans="18:18" s="2" customFormat="1" ht="12.75" x14ac:dyDescent="0.2">
      <c r="R61427" s="1288"/>
    </row>
    <row r="61428" spans="18:18" s="2" customFormat="1" ht="12.75" x14ac:dyDescent="0.2">
      <c r="R61428" s="1288"/>
    </row>
    <row r="61429" spans="18:18" s="2" customFormat="1" ht="12.75" x14ac:dyDescent="0.2">
      <c r="R61429" s="1288"/>
    </row>
    <row r="61430" spans="18:18" s="2" customFormat="1" ht="12.75" x14ac:dyDescent="0.2">
      <c r="R61430" s="1288"/>
    </row>
    <row r="61431" spans="18:18" s="2" customFormat="1" ht="12.75" x14ac:dyDescent="0.2">
      <c r="R61431" s="1288"/>
    </row>
    <row r="61432" spans="18:18" s="2" customFormat="1" ht="12.75" x14ac:dyDescent="0.2">
      <c r="R61432" s="1288"/>
    </row>
    <row r="61433" spans="18:18" s="2" customFormat="1" ht="12.75" x14ac:dyDescent="0.2">
      <c r="R61433" s="1288"/>
    </row>
    <row r="61434" spans="18:18" s="2" customFormat="1" ht="12.75" x14ac:dyDescent="0.2">
      <c r="R61434" s="1288"/>
    </row>
    <row r="61435" spans="18:18" s="2" customFormat="1" ht="12.75" x14ac:dyDescent="0.2">
      <c r="R61435" s="1288"/>
    </row>
    <row r="61436" spans="18:18" s="2" customFormat="1" ht="12.75" x14ac:dyDescent="0.2">
      <c r="R61436" s="1288"/>
    </row>
    <row r="61437" spans="18:18" s="2" customFormat="1" ht="12.75" x14ac:dyDescent="0.2">
      <c r="R61437" s="1288"/>
    </row>
    <row r="61438" spans="18:18" s="2" customFormat="1" ht="12.75" x14ac:dyDescent="0.2">
      <c r="R61438" s="1288"/>
    </row>
    <row r="61439" spans="18:18" s="2" customFormat="1" ht="12.75" x14ac:dyDescent="0.2">
      <c r="R61439" s="1288"/>
    </row>
    <row r="61440" spans="18:18" s="2" customFormat="1" ht="12.75" x14ac:dyDescent="0.2">
      <c r="R61440" s="1288"/>
    </row>
    <row r="61441" spans="18:18" s="2" customFormat="1" ht="12.75" x14ac:dyDescent="0.2">
      <c r="R61441" s="1288"/>
    </row>
    <row r="61442" spans="18:18" s="2" customFormat="1" ht="12.75" x14ac:dyDescent="0.2">
      <c r="R61442" s="1288"/>
    </row>
    <row r="61443" spans="18:18" s="2" customFormat="1" ht="12.75" x14ac:dyDescent="0.2">
      <c r="R61443" s="1288"/>
    </row>
    <row r="61444" spans="18:18" s="2" customFormat="1" ht="12.75" x14ac:dyDescent="0.2">
      <c r="R61444" s="1288"/>
    </row>
    <row r="61445" spans="18:18" s="2" customFormat="1" ht="12.75" x14ac:dyDescent="0.2">
      <c r="R61445" s="1288"/>
    </row>
    <row r="61446" spans="18:18" s="2" customFormat="1" ht="12.75" x14ac:dyDescent="0.2">
      <c r="R61446" s="1288"/>
    </row>
    <row r="61447" spans="18:18" s="2" customFormat="1" ht="12.75" x14ac:dyDescent="0.2">
      <c r="R61447" s="1288"/>
    </row>
    <row r="61448" spans="18:18" s="2" customFormat="1" ht="12.75" x14ac:dyDescent="0.2">
      <c r="R61448" s="1288"/>
    </row>
    <row r="61449" spans="18:18" s="2" customFormat="1" ht="12.75" x14ac:dyDescent="0.2">
      <c r="R61449" s="1288"/>
    </row>
    <row r="61450" spans="18:18" s="2" customFormat="1" ht="12.75" x14ac:dyDescent="0.2">
      <c r="R61450" s="1288"/>
    </row>
    <row r="61451" spans="18:18" s="2" customFormat="1" ht="12.75" x14ac:dyDescent="0.2">
      <c r="R61451" s="1288"/>
    </row>
    <row r="61452" spans="18:18" s="2" customFormat="1" ht="12.75" x14ac:dyDescent="0.2">
      <c r="R61452" s="1288"/>
    </row>
    <row r="61453" spans="18:18" s="2" customFormat="1" ht="12.75" x14ac:dyDescent="0.2">
      <c r="R61453" s="1288"/>
    </row>
    <row r="61454" spans="18:18" s="2" customFormat="1" ht="12.75" x14ac:dyDescent="0.2">
      <c r="R61454" s="1288"/>
    </row>
    <row r="61455" spans="18:18" s="2" customFormat="1" ht="12.75" x14ac:dyDescent="0.2">
      <c r="R61455" s="1288"/>
    </row>
    <row r="61456" spans="18:18" s="2" customFormat="1" ht="12.75" x14ac:dyDescent="0.2">
      <c r="R61456" s="1288"/>
    </row>
    <row r="61457" spans="18:18" s="2" customFormat="1" ht="12.75" x14ac:dyDescent="0.2">
      <c r="R61457" s="1288"/>
    </row>
    <row r="61458" spans="18:18" s="2" customFormat="1" ht="12.75" x14ac:dyDescent="0.2">
      <c r="R61458" s="1288"/>
    </row>
    <row r="61459" spans="18:18" s="2" customFormat="1" ht="12.75" x14ac:dyDescent="0.2">
      <c r="R61459" s="1288"/>
    </row>
    <row r="61460" spans="18:18" s="2" customFormat="1" ht="12.75" x14ac:dyDescent="0.2">
      <c r="R61460" s="1288"/>
    </row>
    <row r="61461" spans="18:18" s="2" customFormat="1" ht="12.75" x14ac:dyDescent="0.2">
      <c r="R61461" s="1288"/>
    </row>
    <row r="61462" spans="18:18" s="2" customFormat="1" ht="12.75" x14ac:dyDescent="0.2">
      <c r="R61462" s="1288"/>
    </row>
    <row r="61463" spans="18:18" s="2" customFormat="1" ht="12.75" x14ac:dyDescent="0.2">
      <c r="R61463" s="1288"/>
    </row>
    <row r="61464" spans="18:18" s="2" customFormat="1" ht="12.75" x14ac:dyDescent="0.2">
      <c r="R61464" s="1288"/>
    </row>
    <row r="61465" spans="18:18" s="2" customFormat="1" ht="12.75" x14ac:dyDescent="0.2">
      <c r="R61465" s="1288"/>
    </row>
    <row r="61466" spans="18:18" s="2" customFormat="1" ht="12.75" x14ac:dyDescent="0.2">
      <c r="R61466" s="1288"/>
    </row>
    <row r="61467" spans="18:18" s="2" customFormat="1" ht="12.75" x14ac:dyDescent="0.2">
      <c r="R61467" s="1288"/>
    </row>
    <row r="61468" spans="18:18" s="2" customFormat="1" ht="12.75" x14ac:dyDescent="0.2">
      <c r="R61468" s="1288"/>
    </row>
    <row r="61469" spans="18:18" s="2" customFormat="1" ht="12.75" x14ac:dyDescent="0.2">
      <c r="R61469" s="1288"/>
    </row>
    <row r="61470" spans="18:18" s="2" customFormat="1" ht="12.75" x14ac:dyDescent="0.2">
      <c r="R61470" s="1288"/>
    </row>
    <row r="61471" spans="18:18" s="2" customFormat="1" ht="12.75" x14ac:dyDescent="0.2">
      <c r="R61471" s="1288"/>
    </row>
    <row r="61472" spans="18:18" s="2" customFormat="1" ht="12.75" x14ac:dyDescent="0.2">
      <c r="R61472" s="1288"/>
    </row>
    <row r="61473" spans="18:18" s="2" customFormat="1" ht="12.75" x14ac:dyDescent="0.2">
      <c r="R61473" s="1288"/>
    </row>
    <row r="61474" spans="18:18" s="2" customFormat="1" ht="12.75" x14ac:dyDescent="0.2">
      <c r="R61474" s="1288"/>
    </row>
    <row r="61475" spans="18:18" s="2" customFormat="1" ht="12.75" x14ac:dyDescent="0.2">
      <c r="R61475" s="1288"/>
    </row>
    <row r="61476" spans="18:18" s="2" customFormat="1" ht="12.75" x14ac:dyDescent="0.2">
      <c r="R61476" s="1288"/>
    </row>
    <row r="61477" spans="18:18" s="2" customFormat="1" ht="12.75" x14ac:dyDescent="0.2">
      <c r="R61477" s="1288"/>
    </row>
    <row r="61478" spans="18:18" s="2" customFormat="1" ht="12.75" x14ac:dyDescent="0.2">
      <c r="R61478" s="1288"/>
    </row>
    <row r="61479" spans="18:18" s="2" customFormat="1" ht="12.75" x14ac:dyDescent="0.2">
      <c r="R61479" s="1288"/>
    </row>
    <row r="61480" spans="18:18" s="2" customFormat="1" ht="12.75" x14ac:dyDescent="0.2">
      <c r="R61480" s="1288"/>
    </row>
    <row r="61481" spans="18:18" s="2" customFormat="1" ht="12.75" x14ac:dyDescent="0.2">
      <c r="R61481" s="1288"/>
    </row>
    <row r="61482" spans="18:18" s="2" customFormat="1" ht="12.75" x14ac:dyDescent="0.2">
      <c r="R61482" s="1288"/>
    </row>
    <row r="61483" spans="18:18" s="2" customFormat="1" ht="12.75" x14ac:dyDescent="0.2">
      <c r="R61483" s="1288"/>
    </row>
    <row r="61484" spans="18:18" s="2" customFormat="1" ht="12.75" x14ac:dyDescent="0.2">
      <c r="R61484" s="1288"/>
    </row>
    <row r="61485" spans="18:18" s="2" customFormat="1" ht="12.75" x14ac:dyDescent="0.2">
      <c r="R61485" s="1288"/>
    </row>
    <row r="61486" spans="18:18" s="2" customFormat="1" ht="12.75" x14ac:dyDescent="0.2">
      <c r="R61486" s="1288"/>
    </row>
    <row r="61487" spans="18:18" s="2" customFormat="1" ht="12.75" x14ac:dyDescent="0.2">
      <c r="R61487" s="1288"/>
    </row>
    <row r="61488" spans="18:18" s="2" customFormat="1" ht="12.75" x14ac:dyDescent="0.2">
      <c r="R61488" s="1288"/>
    </row>
    <row r="61489" spans="18:18" s="2" customFormat="1" ht="12.75" x14ac:dyDescent="0.2">
      <c r="R61489" s="1288"/>
    </row>
    <row r="61490" spans="18:18" s="2" customFormat="1" ht="12.75" x14ac:dyDescent="0.2">
      <c r="R61490" s="1288"/>
    </row>
    <row r="61491" spans="18:18" s="2" customFormat="1" ht="12.75" x14ac:dyDescent="0.2">
      <c r="R61491" s="1288"/>
    </row>
    <row r="61492" spans="18:18" s="2" customFormat="1" ht="12.75" x14ac:dyDescent="0.2">
      <c r="R61492" s="1288"/>
    </row>
    <row r="61493" spans="18:18" s="2" customFormat="1" ht="12.75" x14ac:dyDescent="0.2">
      <c r="R61493" s="1288"/>
    </row>
    <row r="61494" spans="18:18" s="2" customFormat="1" ht="12.75" x14ac:dyDescent="0.2">
      <c r="R61494" s="1288"/>
    </row>
    <row r="61495" spans="18:18" s="2" customFormat="1" ht="12.75" x14ac:dyDescent="0.2">
      <c r="R61495" s="1288"/>
    </row>
    <row r="61496" spans="18:18" s="2" customFormat="1" ht="12.75" x14ac:dyDescent="0.2">
      <c r="R61496" s="1288"/>
    </row>
    <row r="61497" spans="18:18" s="2" customFormat="1" ht="12.75" x14ac:dyDescent="0.2">
      <c r="R61497" s="1288"/>
    </row>
    <row r="61498" spans="18:18" s="2" customFormat="1" ht="12.75" x14ac:dyDescent="0.2">
      <c r="R61498" s="1288"/>
    </row>
    <row r="61499" spans="18:18" s="2" customFormat="1" ht="12.75" x14ac:dyDescent="0.2">
      <c r="R61499" s="1288"/>
    </row>
    <row r="61500" spans="18:18" s="2" customFormat="1" ht="12.75" x14ac:dyDescent="0.2">
      <c r="R61500" s="1288"/>
    </row>
    <row r="61501" spans="18:18" s="2" customFormat="1" ht="12.75" x14ac:dyDescent="0.2">
      <c r="R61501" s="1288"/>
    </row>
    <row r="61502" spans="18:18" s="2" customFormat="1" ht="12.75" x14ac:dyDescent="0.2">
      <c r="R61502" s="1288"/>
    </row>
    <row r="61503" spans="18:18" s="2" customFormat="1" ht="12.75" x14ac:dyDescent="0.2">
      <c r="R61503" s="1288"/>
    </row>
    <row r="61504" spans="18:18" s="2" customFormat="1" ht="12.75" x14ac:dyDescent="0.2">
      <c r="R61504" s="1288"/>
    </row>
    <row r="61505" spans="18:18" s="2" customFormat="1" ht="12.75" x14ac:dyDescent="0.2">
      <c r="R61505" s="1288"/>
    </row>
    <row r="61506" spans="18:18" s="2" customFormat="1" ht="12.75" x14ac:dyDescent="0.2">
      <c r="R61506" s="1288"/>
    </row>
    <row r="61507" spans="18:18" s="2" customFormat="1" ht="12.75" x14ac:dyDescent="0.2">
      <c r="R61507" s="1288"/>
    </row>
    <row r="61508" spans="18:18" s="2" customFormat="1" ht="12.75" x14ac:dyDescent="0.2">
      <c r="R61508" s="1288"/>
    </row>
    <row r="61509" spans="18:18" s="2" customFormat="1" ht="12.75" x14ac:dyDescent="0.2">
      <c r="R61509" s="1288"/>
    </row>
    <row r="61510" spans="18:18" s="2" customFormat="1" ht="12.75" x14ac:dyDescent="0.2">
      <c r="R61510" s="1288"/>
    </row>
    <row r="61511" spans="18:18" s="2" customFormat="1" ht="12.75" x14ac:dyDescent="0.2">
      <c r="R61511" s="1288"/>
    </row>
    <row r="61512" spans="18:18" s="2" customFormat="1" ht="12.75" x14ac:dyDescent="0.2">
      <c r="R61512" s="1288"/>
    </row>
    <row r="61513" spans="18:18" s="2" customFormat="1" ht="12.75" x14ac:dyDescent="0.2">
      <c r="R61513" s="1288"/>
    </row>
    <row r="61514" spans="18:18" s="2" customFormat="1" ht="12.75" x14ac:dyDescent="0.2">
      <c r="R61514" s="1288"/>
    </row>
    <row r="61515" spans="18:18" s="2" customFormat="1" ht="12.75" x14ac:dyDescent="0.2">
      <c r="R61515" s="1288"/>
    </row>
    <row r="61516" spans="18:18" s="2" customFormat="1" ht="12.75" x14ac:dyDescent="0.2">
      <c r="R61516" s="1288"/>
    </row>
    <row r="61517" spans="18:18" s="2" customFormat="1" ht="12.75" x14ac:dyDescent="0.2">
      <c r="R61517" s="1288"/>
    </row>
    <row r="61518" spans="18:18" s="2" customFormat="1" ht="12.75" x14ac:dyDescent="0.2">
      <c r="R61518" s="1288"/>
    </row>
    <row r="61519" spans="18:18" s="2" customFormat="1" ht="12.75" x14ac:dyDescent="0.2">
      <c r="R61519" s="1288"/>
    </row>
    <row r="61520" spans="18:18" s="2" customFormat="1" ht="12.75" x14ac:dyDescent="0.2">
      <c r="R61520" s="1288"/>
    </row>
    <row r="61521" spans="18:18" s="2" customFormat="1" ht="12.75" x14ac:dyDescent="0.2">
      <c r="R61521" s="1288"/>
    </row>
    <row r="61522" spans="18:18" s="2" customFormat="1" ht="12.75" x14ac:dyDescent="0.2">
      <c r="R61522" s="1288"/>
    </row>
    <row r="61523" spans="18:18" s="2" customFormat="1" ht="12.75" x14ac:dyDescent="0.2">
      <c r="R61523" s="1288"/>
    </row>
    <row r="61524" spans="18:18" s="2" customFormat="1" ht="12.75" x14ac:dyDescent="0.2">
      <c r="R61524" s="1288"/>
    </row>
    <row r="61525" spans="18:18" s="2" customFormat="1" ht="12.75" x14ac:dyDescent="0.2">
      <c r="R61525" s="1288"/>
    </row>
    <row r="61526" spans="18:18" s="2" customFormat="1" ht="12.75" x14ac:dyDescent="0.2">
      <c r="R61526" s="1288"/>
    </row>
    <row r="61527" spans="18:18" s="2" customFormat="1" ht="12.75" x14ac:dyDescent="0.2">
      <c r="R61527" s="1288"/>
    </row>
    <row r="61528" spans="18:18" s="2" customFormat="1" ht="12.75" x14ac:dyDescent="0.2">
      <c r="R61528" s="1288"/>
    </row>
    <row r="61529" spans="18:18" s="2" customFormat="1" ht="12.75" x14ac:dyDescent="0.2">
      <c r="R61529" s="1288"/>
    </row>
    <row r="61530" spans="18:18" s="2" customFormat="1" ht="12.75" x14ac:dyDescent="0.2">
      <c r="R61530" s="1288"/>
    </row>
    <row r="61531" spans="18:18" s="2" customFormat="1" ht="12.75" x14ac:dyDescent="0.2">
      <c r="R61531" s="1288"/>
    </row>
    <row r="61532" spans="18:18" s="2" customFormat="1" ht="12.75" x14ac:dyDescent="0.2">
      <c r="R61532" s="1288"/>
    </row>
    <row r="61533" spans="18:18" s="2" customFormat="1" ht="12.75" x14ac:dyDescent="0.2">
      <c r="R61533" s="1288"/>
    </row>
    <row r="61534" spans="18:18" s="2" customFormat="1" ht="12.75" x14ac:dyDescent="0.2">
      <c r="R61534" s="1288"/>
    </row>
    <row r="61535" spans="18:18" s="2" customFormat="1" ht="12.75" x14ac:dyDescent="0.2">
      <c r="R61535" s="1288"/>
    </row>
    <row r="61536" spans="18:18" s="2" customFormat="1" ht="12.75" x14ac:dyDescent="0.2">
      <c r="R61536" s="1288"/>
    </row>
    <row r="61537" spans="18:18" s="2" customFormat="1" ht="12.75" x14ac:dyDescent="0.2">
      <c r="R61537" s="1288"/>
    </row>
    <row r="61538" spans="18:18" s="2" customFormat="1" ht="12.75" x14ac:dyDescent="0.2">
      <c r="R61538" s="1288"/>
    </row>
    <row r="61539" spans="18:18" s="2" customFormat="1" ht="12.75" x14ac:dyDescent="0.2">
      <c r="R61539" s="1288"/>
    </row>
    <row r="61540" spans="18:18" s="2" customFormat="1" ht="12.75" x14ac:dyDescent="0.2">
      <c r="R61540" s="1288"/>
    </row>
    <row r="61541" spans="18:18" s="2" customFormat="1" ht="12.75" x14ac:dyDescent="0.2">
      <c r="R61541" s="1288"/>
    </row>
    <row r="61542" spans="18:18" s="2" customFormat="1" ht="12.75" x14ac:dyDescent="0.2">
      <c r="R61542" s="1288"/>
    </row>
    <row r="61543" spans="18:18" s="2" customFormat="1" ht="12.75" x14ac:dyDescent="0.2">
      <c r="R61543" s="1288"/>
    </row>
    <row r="61544" spans="18:18" s="2" customFormat="1" ht="12.75" x14ac:dyDescent="0.2">
      <c r="R61544" s="1288"/>
    </row>
    <row r="61545" spans="18:18" s="2" customFormat="1" ht="12.75" x14ac:dyDescent="0.2">
      <c r="R61545" s="1288"/>
    </row>
    <row r="61546" spans="18:18" s="2" customFormat="1" ht="12.75" x14ac:dyDescent="0.2">
      <c r="R61546" s="1288"/>
    </row>
    <row r="61547" spans="18:18" s="2" customFormat="1" ht="12.75" x14ac:dyDescent="0.2">
      <c r="R61547" s="1288"/>
    </row>
    <row r="61548" spans="18:18" s="2" customFormat="1" ht="12.75" x14ac:dyDescent="0.2">
      <c r="R61548" s="1288"/>
    </row>
    <row r="61549" spans="18:18" s="2" customFormat="1" ht="12.75" x14ac:dyDescent="0.2">
      <c r="R61549" s="1288"/>
    </row>
    <row r="61550" spans="18:18" s="2" customFormat="1" ht="12.75" x14ac:dyDescent="0.2">
      <c r="R61550" s="1288"/>
    </row>
    <row r="61551" spans="18:18" s="2" customFormat="1" ht="12.75" x14ac:dyDescent="0.2">
      <c r="R61551" s="1288"/>
    </row>
    <row r="61552" spans="18:18" s="2" customFormat="1" ht="12.75" x14ac:dyDescent="0.2">
      <c r="R61552" s="1288"/>
    </row>
    <row r="61553" spans="18:18" s="2" customFormat="1" ht="12.75" x14ac:dyDescent="0.2">
      <c r="R61553" s="1288"/>
    </row>
    <row r="61554" spans="18:18" s="2" customFormat="1" ht="12.75" x14ac:dyDescent="0.2">
      <c r="R61554" s="1288"/>
    </row>
    <row r="61555" spans="18:18" s="2" customFormat="1" ht="12.75" x14ac:dyDescent="0.2">
      <c r="R61555" s="1288"/>
    </row>
    <row r="61556" spans="18:18" s="2" customFormat="1" ht="12.75" x14ac:dyDescent="0.2">
      <c r="R61556" s="1288"/>
    </row>
    <row r="61557" spans="18:18" s="2" customFormat="1" ht="12.75" x14ac:dyDescent="0.2">
      <c r="R61557" s="1288"/>
    </row>
    <row r="61558" spans="18:18" s="2" customFormat="1" ht="12.75" x14ac:dyDescent="0.2">
      <c r="R61558" s="1288"/>
    </row>
    <row r="61559" spans="18:18" s="2" customFormat="1" ht="12.75" x14ac:dyDescent="0.2">
      <c r="R61559" s="1288"/>
    </row>
    <row r="61560" spans="18:18" s="2" customFormat="1" ht="12.75" x14ac:dyDescent="0.2">
      <c r="R61560" s="1288"/>
    </row>
    <row r="61561" spans="18:18" s="2" customFormat="1" ht="12.75" x14ac:dyDescent="0.2">
      <c r="R61561" s="1288"/>
    </row>
    <row r="61562" spans="18:18" s="2" customFormat="1" ht="12.75" x14ac:dyDescent="0.2">
      <c r="R61562" s="1288"/>
    </row>
    <row r="61563" spans="18:18" s="2" customFormat="1" ht="12.75" x14ac:dyDescent="0.2">
      <c r="R61563" s="1288"/>
    </row>
    <row r="61564" spans="18:18" s="2" customFormat="1" ht="12.75" x14ac:dyDescent="0.2">
      <c r="R61564" s="1288"/>
    </row>
    <row r="61565" spans="18:18" s="2" customFormat="1" ht="12.75" x14ac:dyDescent="0.2">
      <c r="R61565" s="1288"/>
    </row>
    <row r="61566" spans="18:18" s="2" customFormat="1" ht="12.75" x14ac:dyDescent="0.2">
      <c r="R61566" s="1288"/>
    </row>
    <row r="61567" spans="18:18" s="2" customFormat="1" ht="12.75" x14ac:dyDescent="0.2">
      <c r="R61567" s="1288"/>
    </row>
    <row r="61568" spans="18:18" s="2" customFormat="1" ht="12.75" x14ac:dyDescent="0.2">
      <c r="R61568" s="1288"/>
    </row>
    <row r="61569" spans="18:18" s="2" customFormat="1" ht="12.75" x14ac:dyDescent="0.2">
      <c r="R61569" s="1288"/>
    </row>
    <row r="61570" spans="18:18" s="2" customFormat="1" ht="12.75" x14ac:dyDescent="0.2">
      <c r="R61570" s="1288"/>
    </row>
    <row r="61571" spans="18:18" s="2" customFormat="1" ht="12.75" x14ac:dyDescent="0.2">
      <c r="R61571" s="1288"/>
    </row>
    <row r="61572" spans="18:18" s="2" customFormat="1" ht="12.75" x14ac:dyDescent="0.2">
      <c r="R61572" s="1288"/>
    </row>
    <row r="61573" spans="18:18" s="2" customFormat="1" ht="12.75" x14ac:dyDescent="0.2">
      <c r="R61573" s="1288"/>
    </row>
    <row r="61574" spans="18:18" s="2" customFormat="1" ht="12.75" x14ac:dyDescent="0.2">
      <c r="R61574" s="1288"/>
    </row>
    <row r="61575" spans="18:18" s="2" customFormat="1" ht="12.75" x14ac:dyDescent="0.2">
      <c r="R61575" s="1288"/>
    </row>
    <row r="61576" spans="18:18" s="2" customFormat="1" ht="12.75" x14ac:dyDescent="0.2">
      <c r="R61576" s="1288"/>
    </row>
    <row r="61577" spans="18:18" s="2" customFormat="1" ht="12.75" x14ac:dyDescent="0.2">
      <c r="R61577" s="1288"/>
    </row>
    <row r="61578" spans="18:18" s="2" customFormat="1" ht="12.75" x14ac:dyDescent="0.2">
      <c r="R61578" s="1288"/>
    </row>
    <row r="61579" spans="18:18" s="2" customFormat="1" ht="12.75" x14ac:dyDescent="0.2">
      <c r="R61579" s="1288"/>
    </row>
    <row r="61580" spans="18:18" s="2" customFormat="1" ht="12.75" x14ac:dyDescent="0.2">
      <c r="R61580" s="1288"/>
    </row>
    <row r="61581" spans="18:18" s="2" customFormat="1" ht="12.75" x14ac:dyDescent="0.2">
      <c r="R61581" s="1288"/>
    </row>
    <row r="61582" spans="18:18" s="2" customFormat="1" ht="12.75" x14ac:dyDescent="0.2">
      <c r="R61582" s="1288"/>
    </row>
    <row r="61583" spans="18:18" s="2" customFormat="1" ht="12.75" x14ac:dyDescent="0.2">
      <c r="R61583" s="1288"/>
    </row>
    <row r="61584" spans="18:18" s="2" customFormat="1" ht="12.75" x14ac:dyDescent="0.2">
      <c r="R61584" s="1288"/>
    </row>
    <row r="61585" spans="18:18" s="2" customFormat="1" ht="12.75" x14ac:dyDescent="0.2">
      <c r="R61585" s="1288"/>
    </row>
    <row r="61586" spans="18:18" s="2" customFormat="1" ht="12.75" x14ac:dyDescent="0.2">
      <c r="R61586" s="1288"/>
    </row>
    <row r="61587" spans="18:18" s="2" customFormat="1" ht="12.75" x14ac:dyDescent="0.2">
      <c r="R61587" s="1288"/>
    </row>
    <row r="61588" spans="18:18" s="2" customFormat="1" ht="12.75" x14ac:dyDescent="0.2">
      <c r="R61588" s="1288"/>
    </row>
    <row r="61589" spans="18:18" s="2" customFormat="1" ht="12.75" x14ac:dyDescent="0.2">
      <c r="R61589" s="1288"/>
    </row>
    <row r="61590" spans="18:18" s="2" customFormat="1" ht="12.75" x14ac:dyDescent="0.2">
      <c r="R61590" s="1288"/>
    </row>
    <row r="61591" spans="18:18" s="2" customFormat="1" ht="12.75" x14ac:dyDescent="0.2">
      <c r="R61591" s="1288"/>
    </row>
    <row r="61592" spans="18:18" s="2" customFormat="1" ht="12.75" x14ac:dyDescent="0.2">
      <c r="R61592" s="1288"/>
    </row>
    <row r="61593" spans="18:18" s="2" customFormat="1" ht="12.75" x14ac:dyDescent="0.2">
      <c r="R61593" s="1288"/>
    </row>
    <row r="61594" spans="18:18" s="2" customFormat="1" ht="12.75" x14ac:dyDescent="0.2">
      <c r="R61594" s="1288"/>
    </row>
    <row r="61595" spans="18:18" s="2" customFormat="1" ht="12.75" x14ac:dyDescent="0.2">
      <c r="R61595" s="1288"/>
    </row>
    <row r="61596" spans="18:18" s="2" customFormat="1" ht="12.75" x14ac:dyDescent="0.2">
      <c r="R61596" s="1288"/>
    </row>
    <row r="61597" spans="18:18" s="2" customFormat="1" ht="12.75" x14ac:dyDescent="0.2">
      <c r="R61597" s="1288"/>
    </row>
    <row r="61598" spans="18:18" s="2" customFormat="1" ht="12.75" x14ac:dyDescent="0.2">
      <c r="R61598" s="1288"/>
    </row>
    <row r="61599" spans="18:18" s="2" customFormat="1" ht="12.75" x14ac:dyDescent="0.2">
      <c r="R61599" s="1288"/>
    </row>
    <row r="61600" spans="18:18" s="2" customFormat="1" ht="12.75" x14ac:dyDescent="0.2">
      <c r="R61600" s="1288"/>
    </row>
    <row r="61601" spans="18:18" s="2" customFormat="1" ht="12.75" x14ac:dyDescent="0.2">
      <c r="R61601" s="1288"/>
    </row>
    <row r="61602" spans="18:18" s="2" customFormat="1" ht="12.75" x14ac:dyDescent="0.2">
      <c r="R61602" s="1288"/>
    </row>
    <row r="61603" spans="18:18" s="2" customFormat="1" ht="12.75" x14ac:dyDescent="0.2">
      <c r="R61603" s="1288"/>
    </row>
    <row r="61604" spans="18:18" s="2" customFormat="1" ht="12.75" x14ac:dyDescent="0.2">
      <c r="R61604" s="1288"/>
    </row>
    <row r="61605" spans="18:18" s="2" customFormat="1" ht="12.75" x14ac:dyDescent="0.2">
      <c r="R61605" s="1288"/>
    </row>
    <row r="61606" spans="18:18" s="2" customFormat="1" ht="12.75" x14ac:dyDescent="0.2">
      <c r="R61606" s="1288"/>
    </row>
    <row r="61607" spans="18:18" s="2" customFormat="1" ht="12.75" x14ac:dyDescent="0.2">
      <c r="R61607" s="1288"/>
    </row>
    <row r="61608" spans="18:18" s="2" customFormat="1" ht="12.75" x14ac:dyDescent="0.2">
      <c r="R61608" s="1288"/>
    </row>
    <row r="61609" spans="18:18" s="2" customFormat="1" ht="12.75" x14ac:dyDescent="0.2">
      <c r="R61609" s="1288"/>
    </row>
    <row r="61610" spans="18:18" s="2" customFormat="1" ht="12.75" x14ac:dyDescent="0.2">
      <c r="R61610" s="1288"/>
    </row>
    <row r="61611" spans="18:18" s="2" customFormat="1" ht="12.75" x14ac:dyDescent="0.2">
      <c r="R61611" s="1288"/>
    </row>
    <row r="61612" spans="18:18" s="2" customFormat="1" ht="12.75" x14ac:dyDescent="0.2">
      <c r="R61612" s="1288"/>
    </row>
    <row r="61613" spans="18:18" s="2" customFormat="1" ht="12.75" x14ac:dyDescent="0.2">
      <c r="R61613" s="1288"/>
    </row>
    <row r="61614" spans="18:18" s="2" customFormat="1" ht="12.75" x14ac:dyDescent="0.2">
      <c r="R61614" s="1288"/>
    </row>
    <row r="61615" spans="18:18" s="2" customFormat="1" ht="12.75" x14ac:dyDescent="0.2">
      <c r="R61615" s="1288"/>
    </row>
    <row r="61616" spans="18:18" s="2" customFormat="1" ht="12.75" x14ac:dyDescent="0.2">
      <c r="R61616" s="1288"/>
    </row>
    <row r="61617" spans="18:18" s="2" customFormat="1" ht="12.75" x14ac:dyDescent="0.2">
      <c r="R61617" s="1288"/>
    </row>
    <row r="61618" spans="18:18" s="2" customFormat="1" ht="12.75" x14ac:dyDescent="0.2">
      <c r="R61618" s="1288"/>
    </row>
    <row r="61619" spans="18:18" s="2" customFormat="1" ht="12.75" x14ac:dyDescent="0.2">
      <c r="R61619" s="1288"/>
    </row>
    <row r="61620" spans="18:18" s="2" customFormat="1" ht="12.75" x14ac:dyDescent="0.2">
      <c r="R61620" s="1288"/>
    </row>
    <row r="61621" spans="18:18" s="2" customFormat="1" ht="12.75" x14ac:dyDescent="0.2">
      <c r="R61621" s="1288"/>
    </row>
    <row r="61622" spans="18:18" s="2" customFormat="1" ht="12.75" x14ac:dyDescent="0.2">
      <c r="R61622" s="1288"/>
    </row>
    <row r="61623" spans="18:18" s="2" customFormat="1" ht="12.75" x14ac:dyDescent="0.2">
      <c r="R61623" s="1288"/>
    </row>
    <row r="61624" spans="18:18" s="2" customFormat="1" ht="12.75" x14ac:dyDescent="0.2">
      <c r="R61624" s="1288"/>
    </row>
    <row r="61625" spans="18:18" s="2" customFormat="1" ht="12.75" x14ac:dyDescent="0.2">
      <c r="R61625" s="1288"/>
    </row>
    <row r="61626" spans="18:18" s="2" customFormat="1" ht="12.75" x14ac:dyDescent="0.2">
      <c r="R61626" s="1288"/>
    </row>
    <row r="61627" spans="18:18" s="2" customFormat="1" ht="12.75" x14ac:dyDescent="0.2">
      <c r="R61627" s="1288"/>
    </row>
    <row r="61628" spans="18:18" s="2" customFormat="1" ht="12.75" x14ac:dyDescent="0.2">
      <c r="R61628" s="1288"/>
    </row>
    <row r="61629" spans="18:18" s="2" customFormat="1" ht="12.75" x14ac:dyDescent="0.2">
      <c r="R61629" s="1288"/>
    </row>
    <row r="61630" spans="18:18" s="2" customFormat="1" ht="12.75" x14ac:dyDescent="0.2">
      <c r="R61630" s="1288"/>
    </row>
    <row r="61631" spans="18:18" s="2" customFormat="1" ht="12.75" x14ac:dyDescent="0.2">
      <c r="R61631" s="1288"/>
    </row>
    <row r="61632" spans="18:18" s="2" customFormat="1" ht="12.75" x14ac:dyDescent="0.2">
      <c r="R61632" s="1288"/>
    </row>
    <row r="61633" spans="18:18" s="2" customFormat="1" ht="12.75" x14ac:dyDescent="0.2">
      <c r="R61633" s="1288"/>
    </row>
    <row r="61634" spans="18:18" s="2" customFormat="1" ht="12.75" x14ac:dyDescent="0.2">
      <c r="R61634" s="1288"/>
    </row>
    <row r="61635" spans="18:18" s="2" customFormat="1" ht="12.75" x14ac:dyDescent="0.2">
      <c r="R61635" s="1288"/>
    </row>
    <row r="61636" spans="18:18" s="2" customFormat="1" ht="12.75" x14ac:dyDescent="0.2">
      <c r="R61636" s="1288"/>
    </row>
    <row r="61637" spans="18:18" s="2" customFormat="1" ht="12.75" x14ac:dyDescent="0.2">
      <c r="R61637" s="1288"/>
    </row>
    <row r="61638" spans="18:18" s="2" customFormat="1" ht="12.75" x14ac:dyDescent="0.2">
      <c r="R61638" s="1288"/>
    </row>
    <row r="61639" spans="18:18" s="2" customFormat="1" ht="12.75" x14ac:dyDescent="0.2">
      <c r="R61639" s="1288"/>
    </row>
    <row r="61640" spans="18:18" s="2" customFormat="1" ht="12.75" x14ac:dyDescent="0.2">
      <c r="R61640" s="1288"/>
    </row>
    <row r="61641" spans="18:18" s="2" customFormat="1" ht="12.75" x14ac:dyDescent="0.2">
      <c r="R61641" s="1288"/>
    </row>
    <row r="61642" spans="18:18" s="2" customFormat="1" ht="12.75" x14ac:dyDescent="0.2">
      <c r="R61642" s="1288"/>
    </row>
    <row r="61643" spans="18:18" s="2" customFormat="1" ht="12.75" x14ac:dyDescent="0.2">
      <c r="R61643" s="1288"/>
    </row>
    <row r="61644" spans="18:18" s="2" customFormat="1" ht="12.75" x14ac:dyDescent="0.2">
      <c r="R61644" s="1288"/>
    </row>
    <row r="61645" spans="18:18" s="2" customFormat="1" ht="12.75" x14ac:dyDescent="0.2">
      <c r="R61645" s="1288"/>
    </row>
    <row r="61646" spans="18:18" s="2" customFormat="1" ht="12.75" x14ac:dyDescent="0.2">
      <c r="R61646" s="1288"/>
    </row>
    <row r="61647" spans="18:18" s="2" customFormat="1" ht="12.75" x14ac:dyDescent="0.2">
      <c r="R61647" s="1288"/>
    </row>
    <row r="61648" spans="18:18" s="2" customFormat="1" ht="12.75" x14ac:dyDescent="0.2">
      <c r="R61648" s="1288"/>
    </row>
    <row r="61649" spans="18:18" s="2" customFormat="1" ht="12.75" x14ac:dyDescent="0.2">
      <c r="R61649" s="1288"/>
    </row>
    <row r="61650" spans="18:18" s="2" customFormat="1" ht="12.75" x14ac:dyDescent="0.2">
      <c r="R61650" s="1288"/>
    </row>
    <row r="61651" spans="18:18" s="2" customFormat="1" ht="12.75" x14ac:dyDescent="0.2">
      <c r="R61651" s="1288"/>
    </row>
    <row r="61652" spans="18:18" s="2" customFormat="1" ht="12.75" x14ac:dyDescent="0.2">
      <c r="R61652" s="1288"/>
    </row>
    <row r="61653" spans="18:18" s="2" customFormat="1" ht="12.75" x14ac:dyDescent="0.2">
      <c r="R61653" s="1288"/>
    </row>
    <row r="61654" spans="18:18" s="2" customFormat="1" ht="12.75" x14ac:dyDescent="0.2">
      <c r="R61654" s="1288"/>
    </row>
    <row r="61655" spans="18:18" s="2" customFormat="1" ht="12.75" x14ac:dyDescent="0.2">
      <c r="R61655" s="1288"/>
    </row>
    <row r="61656" spans="18:18" s="2" customFormat="1" ht="12.75" x14ac:dyDescent="0.2">
      <c r="R61656" s="1288"/>
    </row>
    <row r="61657" spans="18:18" s="2" customFormat="1" ht="12.75" x14ac:dyDescent="0.2">
      <c r="R61657" s="1288"/>
    </row>
    <row r="61658" spans="18:18" s="2" customFormat="1" ht="12.75" x14ac:dyDescent="0.2">
      <c r="R61658" s="1288"/>
    </row>
    <row r="61659" spans="18:18" s="2" customFormat="1" ht="12.75" x14ac:dyDescent="0.2">
      <c r="R61659" s="1288"/>
    </row>
    <row r="61660" spans="18:18" s="2" customFormat="1" ht="12.75" x14ac:dyDescent="0.2">
      <c r="R61660" s="1288"/>
    </row>
    <row r="61661" spans="18:18" s="2" customFormat="1" ht="12.75" x14ac:dyDescent="0.2">
      <c r="R61661" s="1288"/>
    </row>
    <row r="61662" spans="18:18" s="2" customFormat="1" ht="12.75" x14ac:dyDescent="0.2">
      <c r="R61662" s="1288"/>
    </row>
    <row r="61663" spans="18:18" s="2" customFormat="1" ht="12.75" x14ac:dyDescent="0.2">
      <c r="R61663" s="1288"/>
    </row>
    <row r="61664" spans="18:18" s="2" customFormat="1" ht="12.75" x14ac:dyDescent="0.2">
      <c r="R61664" s="1288"/>
    </row>
    <row r="61665" spans="18:18" s="2" customFormat="1" ht="12.75" x14ac:dyDescent="0.2">
      <c r="R61665" s="1288"/>
    </row>
    <row r="61666" spans="18:18" s="2" customFormat="1" ht="12.75" x14ac:dyDescent="0.2">
      <c r="R61666" s="1288"/>
    </row>
    <row r="61667" spans="18:18" s="2" customFormat="1" ht="12.75" x14ac:dyDescent="0.2">
      <c r="R61667" s="1288"/>
    </row>
    <row r="61668" spans="18:18" s="2" customFormat="1" ht="12.75" x14ac:dyDescent="0.2">
      <c r="R61668" s="1288"/>
    </row>
    <row r="61669" spans="18:18" s="2" customFormat="1" ht="12.75" x14ac:dyDescent="0.2">
      <c r="R61669" s="1288"/>
    </row>
    <row r="61670" spans="18:18" s="2" customFormat="1" ht="12.75" x14ac:dyDescent="0.2">
      <c r="R61670" s="1288"/>
    </row>
    <row r="61671" spans="18:18" s="2" customFormat="1" ht="12.75" x14ac:dyDescent="0.2">
      <c r="R61671" s="1288"/>
    </row>
    <row r="61672" spans="18:18" s="2" customFormat="1" ht="12.75" x14ac:dyDescent="0.2">
      <c r="R61672" s="1288"/>
    </row>
    <row r="61673" spans="18:18" s="2" customFormat="1" ht="12.75" x14ac:dyDescent="0.2">
      <c r="R61673" s="1288"/>
    </row>
    <row r="61674" spans="18:18" s="2" customFormat="1" ht="12.75" x14ac:dyDescent="0.2">
      <c r="R61674" s="1288"/>
    </row>
    <row r="61675" spans="18:18" s="2" customFormat="1" ht="12.75" x14ac:dyDescent="0.2">
      <c r="R61675" s="1288"/>
    </row>
    <row r="61676" spans="18:18" s="2" customFormat="1" ht="12.75" x14ac:dyDescent="0.2">
      <c r="R61676" s="1288"/>
    </row>
    <row r="61677" spans="18:18" s="2" customFormat="1" ht="12.75" x14ac:dyDescent="0.2">
      <c r="R61677" s="1288"/>
    </row>
    <row r="61678" spans="18:18" s="2" customFormat="1" ht="12.75" x14ac:dyDescent="0.2">
      <c r="R61678" s="1288"/>
    </row>
    <row r="61679" spans="18:18" s="2" customFormat="1" ht="12.75" x14ac:dyDescent="0.2">
      <c r="R61679" s="1288"/>
    </row>
    <row r="61680" spans="18:18" s="2" customFormat="1" ht="12.75" x14ac:dyDescent="0.2">
      <c r="R61680" s="1288"/>
    </row>
    <row r="61681" spans="18:18" s="2" customFormat="1" ht="12.75" x14ac:dyDescent="0.2">
      <c r="R61681" s="1288"/>
    </row>
    <row r="61682" spans="18:18" s="2" customFormat="1" ht="12.75" x14ac:dyDescent="0.2">
      <c r="R61682" s="1288"/>
    </row>
    <row r="61683" spans="18:18" s="2" customFormat="1" ht="12.75" x14ac:dyDescent="0.2">
      <c r="R61683" s="1288"/>
    </row>
    <row r="61684" spans="18:18" s="2" customFormat="1" ht="12.75" x14ac:dyDescent="0.2">
      <c r="R61684" s="1288"/>
    </row>
    <row r="61685" spans="18:18" s="2" customFormat="1" ht="12.75" x14ac:dyDescent="0.2">
      <c r="R61685" s="1288"/>
    </row>
    <row r="61686" spans="18:18" s="2" customFormat="1" ht="12.75" x14ac:dyDescent="0.2">
      <c r="R61686" s="1288"/>
    </row>
    <row r="61687" spans="18:18" s="2" customFormat="1" ht="12.75" x14ac:dyDescent="0.2">
      <c r="R61687" s="1288"/>
    </row>
    <row r="61688" spans="18:18" s="2" customFormat="1" ht="12.75" x14ac:dyDescent="0.2">
      <c r="R61688" s="1288"/>
    </row>
    <row r="61689" spans="18:18" s="2" customFormat="1" ht="12.75" x14ac:dyDescent="0.2">
      <c r="R61689" s="1288"/>
    </row>
    <row r="61690" spans="18:18" s="2" customFormat="1" ht="12.75" x14ac:dyDescent="0.2">
      <c r="R61690" s="1288"/>
    </row>
    <row r="61691" spans="18:18" s="2" customFormat="1" ht="12.75" x14ac:dyDescent="0.2">
      <c r="R61691" s="1288"/>
    </row>
    <row r="61692" spans="18:18" s="2" customFormat="1" ht="12.75" x14ac:dyDescent="0.2">
      <c r="R61692" s="1288"/>
    </row>
    <row r="61693" spans="18:18" s="2" customFormat="1" ht="12.75" x14ac:dyDescent="0.2">
      <c r="R61693" s="1288"/>
    </row>
    <row r="61694" spans="18:18" s="2" customFormat="1" ht="12.75" x14ac:dyDescent="0.2">
      <c r="R61694" s="1288"/>
    </row>
    <row r="61695" spans="18:18" s="2" customFormat="1" ht="12.75" x14ac:dyDescent="0.2">
      <c r="R61695" s="1288"/>
    </row>
    <row r="61696" spans="18:18" s="2" customFormat="1" ht="12.75" x14ac:dyDescent="0.2">
      <c r="R61696" s="1288"/>
    </row>
    <row r="61697" spans="18:18" s="2" customFormat="1" ht="12.75" x14ac:dyDescent="0.2">
      <c r="R61697" s="1288"/>
    </row>
    <row r="61698" spans="18:18" s="2" customFormat="1" ht="12.75" x14ac:dyDescent="0.2">
      <c r="R61698" s="1288"/>
    </row>
    <row r="61699" spans="18:18" s="2" customFormat="1" ht="12.75" x14ac:dyDescent="0.2">
      <c r="R61699" s="1288"/>
    </row>
    <row r="61700" spans="18:18" s="2" customFormat="1" ht="12.75" x14ac:dyDescent="0.2">
      <c r="R61700" s="1288"/>
    </row>
    <row r="61701" spans="18:18" s="2" customFormat="1" ht="12.75" x14ac:dyDescent="0.2">
      <c r="R61701" s="1288"/>
    </row>
    <row r="61702" spans="18:18" s="2" customFormat="1" ht="12.75" x14ac:dyDescent="0.2">
      <c r="R61702" s="1288"/>
    </row>
    <row r="61703" spans="18:18" s="2" customFormat="1" ht="12.75" x14ac:dyDescent="0.2">
      <c r="R61703" s="1288"/>
    </row>
    <row r="61704" spans="18:18" s="2" customFormat="1" ht="12.75" x14ac:dyDescent="0.2">
      <c r="R61704" s="1288"/>
    </row>
    <row r="61705" spans="18:18" s="2" customFormat="1" ht="12.75" x14ac:dyDescent="0.2">
      <c r="R61705" s="1288"/>
    </row>
    <row r="61706" spans="18:18" s="2" customFormat="1" ht="12.75" x14ac:dyDescent="0.2">
      <c r="R61706" s="1288"/>
    </row>
    <row r="61707" spans="18:18" s="2" customFormat="1" ht="12.75" x14ac:dyDescent="0.2">
      <c r="R61707" s="1288"/>
    </row>
    <row r="61708" spans="18:18" s="2" customFormat="1" ht="12.75" x14ac:dyDescent="0.2">
      <c r="R61708" s="1288"/>
    </row>
    <row r="61709" spans="18:18" s="2" customFormat="1" ht="12.75" x14ac:dyDescent="0.2">
      <c r="R61709" s="1288"/>
    </row>
    <row r="61710" spans="18:18" s="2" customFormat="1" ht="12.75" x14ac:dyDescent="0.2">
      <c r="R61710" s="1288"/>
    </row>
    <row r="61711" spans="18:18" s="2" customFormat="1" ht="12.75" x14ac:dyDescent="0.2">
      <c r="R61711" s="1288"/>
    </row>
    <row r="61712" spans="18:18" s="2" customFormat="1" ht="12.75" x14ac:dyDescent="0.2">
      <c r="R61712" s="1288"/>
    </row>
    <row r="61713" spans="18:18" s="2" customFormat="1" ht="12.75" x14ac:dyDescent="0.2">
      <c r="R61713" s="1288"/>
    </row>
    <row r="61714" spans="18:18" s="2" customFormat="1" ht="12.75" x14ac:dyDescent="0.2">
      <c r="R61714" s="1288"/>
    </row>
    <row r="61715" spans="18:18" s="2" customFormat="1" ht="12.75" x14ac:dyDescent="0.2">
      <c r="R61715" s="1288"/>
    </row>
    <row r="61716" spans="18:18" s="2" customFormat="1" ht="12.75" x14ac:dyDescent="0.2">
      <c r="R61716" s="1288"/>
    </row>
    <row r="61717" spans="18:18" s="2" customFormat="1" ht="12.75" x14ac:dyDescent="0.2">
      <c r="R61717" s="1288"/>
    </row>
    <row r="61718" spans="18:18" s="2" customFormat="1" ht="12.75" x14ac:dyDescent="0.2">
      <c r="R61718" s="1288"/>
    </row>
    <row r="61719" spans="18:18" s="2" customFormat="1" ht="12.75" x14ac:dyDescent="0.2">
      <c r="R61719" s="1288"/>
    </row>
    <row r="61720" spans="18:18" s="2" customFormat="1" ht="12.75" x14ac:dyDescent="0.2">
      <c r="R61720" s="1288"/>
    </row>
    <row r="61721" spans="18:18" s="2" customFormat="1" ht="12.75" x14ac:dyDescent="0.2">
      <c r="R61721" s="1288"/>
    </row>
    <row r="61722" spans="18:18" s="2" customFormat="1" ht="12.75" x14ac:dyDescent="0.2">
      <c r="R61722" s="1288"/>
    </row>
    <row r="61723" spans="18:18" s="2" customFormat="1" ht="12.75" x14ac:dyDescent="0.2">
      <c r="R61723" s="1288"/>
    </row>
    <row r="61724" spans="18:18" s="2" customFormat="1" ht="12.75" x14ac:dyDescent="0.2">
      <c r="R61724" s="1288"/>
    </row>
    <row r="61725" spans="18:18" s="2" customFormat="1" ht="12.75" x14ac:dyDescent="0.2">
      <c r="R61725" s="1288"/>
    </row>
    <row r="61726" spans="18:18" s="2" customFormat="1" ht="12.75" x14ac:dyDescent="0.2">
      <c r="R61726" s="1288"/>
    </row>
    <row r="61727" spans="18:18" s="2" customFormat="1" ht="12.75" x14ac:dyDescent="0.2">
      <c r="R61727" s="1288"/>
    </row>
    <row r="61728" spans="18:18" s="2" customFormat="1" ht="12.75" x14ac:dyDescent="0.2">
      <c r="R61728" s="1288"/>
    </row>
    <row r="61729" spans="18:18" s="2" customFormat="1" ht="12.75" x14ac:dyDescent="0.2">
      <c r="R61729" s="1288"/>
    </row>
    <row r="61730" spans="18:18" s="2" customFormat="1" ht="12.75" x14ac:dyDescent="0.2">
      <c r="R61730" s="1288"/>
    </row>
    <row r="61731" spans="18:18" s="2" customFormat="1" ht="12.75" x14ac:dyDescent="0.2">
      <c r="R61731" s="1288"/>
    </row>
    <row r="61732" spans="18:18" s="2" customFormat="1" ht="12.75" x14ac:dyDescent="0.2">
      <c r="R61732" s="1288"/>
    </row>
    <row r="61733" spans="18:18" s="2" customFormat="1" ht="12.75" x14ac:dyDescent="0.2">
      <c r="R61733" s="1288"/>
    </row>
    <row r="61734" spans="18:18" s="2" customFormat="1" ht="12.75" x14ac:dyDescent="0.2">
      <c r="R61734" s="1288"/>
    </row>
    <row r="61735" spans="18:18" s="2" customFormat="1" ht="12.75" x14ac:dyDescent="0.2">
      <c r="R61735" s="1288"/>
    </row>
    <row r="61736" spans="18:18" s="2" customFormat="1" ht="12.75" x14ac:dyDescent="0.2">
      <c r="R61736" s="1288"/>
    </row>
    <row r="61737" spans="18:18" s="2" customFormat="1" ht="12.75" x14ac:dyDescent="0.2">
      <c r="R61737" s="1288"/>
    </row>
    <row r="61738" spans="18:18" s="2" customFormat="1" ht="12.75" x14ac:dyDescent="0.2">
      <c r="R61738" s="1288"/>
    </row>
    <row r="61739" spans="18:18" s="2" customFormat="1" ht="12.75" x14ac:dyDescent="0.2">
      <c r="R61739" s="1288"/>
    </row>
    <row r="61740" spans="18:18" s="2" customFormat="1" ht="12.75" x14ac:dyDescent="0.2">
      <c r="R61740" s="1288"/>
    </row>
    <row r="61741" spans="18:18" s="2" customFormat="1" ht="12.75" x14ac:dyDescent="0.2">
      <c r="R61741" s="1288"/>
    </row>
    <row r="61742" spans="18:18" s="2" customFormat="1" ht="12.75" x14ac:dyDescent="0.2">
      <c r="R61742" s="1288"/>
    </row>
    <row r="61743" spans="18:18" s="2" customFormat="1" ht="12.75" x14ac:dyDescent="0.2">
      <c r="R61743" s="1288"/>
    </row>
    <row r="61744" spans="18:18" s="2" customFormat="1" ht="12.75" x14ac:dyDescent="0.2">
      <c r="R61744" s="1288"/>
    </row>
    <row r="61745" spans="18:18" s="2" customFormat="1" ht="12.75" x14ac:dyDescent="0.2">
      <c r="R61745" s="1288"/>
    </row>
    <row r="61746" spans="18:18" s="2" customFormat="1" ht="12.75" x14ac:dyDescent="0.2">
      <c r="R61746" s="1288"/>
    </row>
    <row r="61747" spans="18:18" s="2" customFormat="1" ht="12.75" x14ac:dyDescent="0.2">
      <c r="R61747" s="1288"/>
    </row>
    <row r="61748" spans="18:18" s="2" customFormat="1" ht="12.75" x14ac:dyDescent="0.2">
      <c r="R61748" s="1288"/>
    </row>
    <row r="61749" spans="18:18" s="2" customFormat="1" ht="12.75" x14ac:dyDescent="0.2">
      <c r="R61749" s="1288"/>
    </row>
    <row r="61750" spans="18:18" s="2" customFormat="1" ht="12.75" x14ac:dyDescent="0.2">
      <c r="R61750" s="1288"/>
    </row>
    <row r="61751" spans="18:18" s="2" customFormat="1" ht="12.75" x14ac:dyDescent="0.2">
      <c r="R61751" s="1288"/>
    </row>
    <row r="61752" spans="18:18" s="2" customFormat="1" ht="12.75" x14ac:dyDescent="0.2">
      <c r="R61752" s="1288"/>
    </row>
    <row r="61753" spans="18:18" s="2" customFormat="1" ht="12.75" x14ac:dyDescent="0.2">
      <c r="R61753" s="1288"/>
    </row>
    <row r="61754" spans="18:18" s="2" customFormat="1" ht="12.75" x14ac:dyDescent="0.2">
      <c r="R61754" s="1288"/>
    </row>
    <row r="61755" spans="18:18" s="2" customFormat="1" ht="12.75" x14ac:dyDescent="0.2">
      <c r="R61755" s="1288"/>
    </row>
    <row r="61756" spans="18:18" s="2" customFormat="1" ht="12.75" x14ac:dyDescent="0.2">
      <c r="R61756" s="1288"/>
    </row>
    <row r="61757" spans="18:18" s="2" customFormat="1" ht="12.75" x14ac:dyDescent="0.2">
      <c r="R61757" s="1288"/>
    </row>
    <row r="61758" spans="18:18" s="2" customFormat="1" ht="12.75" x14ac:dyDescent="0.2">
      <c r="R61758" s="1288"/>
    </row>
    <row r="61759" spans="18:18" s="2" customFormat="1" ht="12.75" x14ac:dyDescent="0.2">
      <c r="R61759" s="1288"/>
    </row>
    <row r="61760" spans="18:18" s="2" customFormat="1" ht="12.75" x14ac:dyDescent="0.2">
      <c r="R61760" s="1288"/>
    </row>
    <row r="61761" spans="18:18" s="2" customFormat="1" ht="12.75" x14ac:dyDescent="0.2">
      <c r="R61761" s="1288"/>
    </row>
    <row r="61762" spans="18:18" s="2" customFormat="1" ht="12.75" x14ac:dyDescent="0.2">
      <c r="R61762" s="1288"/>
    </row>
    <row r="61763" spans="18:18" s="2" customFormat="1" ht="12.75" x14ac:dyDescent="0.2">
      <c r="R61763" s="1288"/>
    </row>
    <row r="61764" spans="18:18" s="2" customFormat="1" ht="12.75" x14ac:dyDescent="0.2">
      <c r="R61764" s="1288"/>
    </row>
    <row r="61765" spans="18:18" s="2" customFormat="1" ht="12.75" x14ac:dyDescent="0.2">
      <c r="R61765" s="1288"/>
    </row>
    <row r="61766" spans="18:18" s="2" customFormat="1" ht="12.75" x14ac:dyDescent="0.2">
      <c r="R61766" s="1288"/>
    </row>
    <row r="61767" spans="18:18" s="2" customFormat="1" ht="12.75" x14ac:dyDescent="0.2">
      <c r="R61767" s="1288"/>
    </row>
    <row r="61768" spans="18:18" s="2" customFormat="1" ht="12.75" x14ac:dyDescent="0.2">
      <c r="R61768" s="1288"/>
    </row>
    <row r="61769" spans="18:18" s="2" customFormat="1" ht="12.75" x14ac:dyDescent="0.2">
      <c r="R61769" s="1288"/>
    </row>
    <row r="61770" spans="18:18" s="2" customFormat="1" ht="12.75" x14ac:dyDescent="0.2">
      <c r="R61770" s="1288"/>
    </row>
    <row r="61771" spans="18:18" s="2" customFormat="1" ht="12.75" x14ac:dyDescent="0.2">
      <c r="R61771" s="1288"/>
    </row>
    <row r="61772" spans="18:18" s="2" customFormat="1" ht="12.75" x14ac:dyDescent="0.2">
      <c r="R61772" s="1288"/>
    </row>
    <row r="61773" spans="18:18" s="2" customFormat="1" ht="12.75" x14ac:dyDescent="0.2">
      <c r="R61773" s="1288"/>
    </row>
    <row r="61774" spans="18:18" s="2" customFormat="1" ht="12.75" x14ac:dyDescent="0.2">
      <c r="R61774" s="1288"/>
    </row>
    <row r="61775" spans="18:18" s="2" customFormat="1" ht="12.75" x14ac:dyDescent="0.2">
      <c r="R61775" s="1288"/>
    </row>
    <row r="61776" spans="18:18" s="2" customFormat="1" ht="12.75" x14ac:dyDescent="0.2">
      <c r="R61776" s="1288"/>
    </row>
    <row r="61777" spans="18:18" s="2" customFormat="1" ht="12.75" x14ac:dyDescent="0.2">
      <c r="R61777" s="1288"/>
    </row>
    <row r="61778" spans="18:18" s="2" customFormat="1" ht="12.75" x14ac:dyDescent="0.2">
      <c r="R61778" s="1288"/>
    </row>
    <row r="61779" spans="18:18" s="2" customFormat="1" ht="12.75" x14ac:dyDescent="0.2">
      <c r="R61779" s="1288"/>
    </row>
    <row r="61780" spans="18:18" s="2" customFormat="1" ht="12.75" x14ac:dyDescent="0.2">
      <c r="R61780" s="1288"/>
    </row>
    <row r="61781" spans="18:18" s="2" customFormat="1" ht="12.75" x14ac:dyDescent="0.2">
      <c r="R61781" s="1288"/>
    </row>
    <row r="61782" spans="18:18" s="2" customFormat="1" ht="12.75" x14ac:dyDescent="0.2">
      <c r="R61782" s="1288"/>
    </row>
    <row r="61783" spans="18:18" s="2" customFormat="1" ht="12.75" x14ac:dyDescent="0.2">
      <c r="R61783" s="1288"/>
    </row>
    <row r="61784" spans="18:18" s="2" customFormat="1" ht="12.75" x14ac:dyDescent="0.2">
      <c r="R61784" s="1288"/>
    </row>
    <row r="61785" spans="18:18" s="2" customFormat="1" ht="12.75" x14ac:dyDescent="0.2">
      <c r="R61785" s="1288"/>
    </row>
    <row r="61786" spans="18:18" s="2" customFormat="1" ht="12.75" x14ac:dyDescent="0.2">
      <c r="R61786" s="1288"/>
    </row>
    <row r="61787" spans="18:18" s="2" customFormat="1" ht="12.75" x14ac:dyDescent="0.2">
      <c r="R61787" s="1288"/>
    </row>
    <row r="61788" spans="18:18" s="2" customFormat="1" ht="12.75" x14ac:dyDescent="0.2">
      <c r="R61788" s="1288"/>
    </row>
    <row r="61789" spans="18:18" s="2" customFormat="1" ht="12.75" x14ac:dyDescent="0.2">
      <c r="R61789" s="1288"/>
    </row>
    <row r="61790" spans="18:18" s="2" customFormat="1" ht="12.75" x14ac:dyDescent="0.2">
      <c r="R61790" s="1288"/>
    </row>
    <row r="61791" spans="18:18" s="2" customFormat="1" ht="12.75" x14ac:dyDescent="0.2">
      <c r="R61791" s="1288"/>
    </row>
    <row r="61792" spans="18:18" s="2" customFormat="1" ht="12.75" x14ac:dyDescent="0.2">
      <c r="R61792" s="1288"/>
    </row>
    <row r="61793" spans="18:18" s="2" customFormat="1" ht="12.75" x14ac:dyDescent="0.2">
      <c r="R61793" s="1288"/>
    </row>
    <row r="61794" spans="18:18" s="2" customFormat="1" ht="12.75" x14ac:dyDescent="0.2">
      <c r="R61794" s="1288"/>
    </row>
    <row r="61795" spans="18:18" s="2" customFormat="1" ht="12.75" x14ac:dyDescent="0.2">
      <c r="R61795" s="1288"/>
    </row>
    <row r="61796" spans="18:18" s="2" customFormat="1" ht="12.75" x14ac:dyDescent="0.2">
      <c r="R61796" s="1288"/>
    </row>
    <row r="61797" spans="18:18" s="2" customFormat="1" ht="12.75" x14ac:dyDescent="0.2">
      <c r="R61797" s="1288"/>
    </row>
    <row r="61798" spans="18:18" s="2" customFormat="1" ht="12.75" x14ac:dyDescent="0.2">
      <c r="R61798" s="1288"/>
    </row>
    <row r="61799" spans="18:18" s="2" customFormat="1" ht="12.75" x14ac:dyDescent="0.2">
      <c r="R61799" s="1288"/>
    </row>
    <row r="61800" spans="18:18" s="2" customFormat="1" ht="12.75" x14ac:dyDescent="0.2">
      <c r="R61800" s="1288"/>
    </row>
    <row r="61801" spans="18:18" s="2" customFormat="1" ht="12.75" x14ac:dyDescent="0.2">
      <c r="R61801" s="1288"/>
    </row>
    <row r="61802" spans="18:18" s="2" customFormat="1" ht="12.75" x14ac:dyDescent="0.2">
      <c r="R61802" s="1288"/>
    </row>
    <row r="61803" spans="18:18" s="2" customFormat="1" ht="12.75" x14ac:dyDescent="0.2">
      <c r="R61803" s="1288"/>
    </row>
    <row r="61804" spans="18:18" s="2" customFormat="1" ht="12.75" x14ac:dyDescent="0.2">
      <c r="R61804" s="1288"/>
    </row>
    <row r="61805" spans="18:18" s="2" customFormat="1" ht="12.75" x14ac:dyDescent="0.2">
      <c r="R61805" s="1288"/>
    </row>
    <row r="61806" spans="18:18" s="2" customFormat="1" ht="12.75" x14ac:dyDescent="0.2">
      <c r="R61806" s="1288"/>
    </row>
    <row r="61807" spans="18:18" s="2" customFormat="1" ht="12.75" x14ac:dyDescent="0.2">
      <c r="R61807" s="1288"/>
    </row>
    <row r="61808" spans="18:18" s="2" customFormat="1" ht="12.75" x14ac:dyDescent="0.2">
      <c r="R61808" s="1288"/>
    </row>
    <row r="61809" spans="18:18" s="2" customFormat="1" ht="12.75" x14ac:dyDescent="0.2">
      <c r="R61809" s="1288"/>
    </row>
    <row r="61810" spans="18:18" s="2" customFormat="1" ht="12.75" x14ac:dyDescent="0.2">
      <c r="R61810" s="1288"/>
    </row>
    <row r="61811" spans="18:18" s="2" customFormat="1" ht="12.75" x14ac:dyDescent="0.2">
      <c r="R61811" s="1288"/>
    </row>
    <row r="61812" spans="18:18" s="2" customFormat="1" ht="12.75" x14ac:dyDescent="0.2">
      <c r="R61812" s="1288"/>
    </row>
    <row r="61813" spans="18:18" s="2" customFormat="1" ht="12.75" x14ac:dyDescent="0.2">
      <c r="R61813" s="1288"/>
    </row>
    <row r="61814" spans="18:18" s="2" customFormat="1" ht="12.75" x14ac:dyDescent="0.2">
      <c r="R61814" s="1288"/>
    </row>
    <row r="61815" spans="18:18" s="2" customFormat="1" ht="12.75" x14ac:dyDescent="0.2">
      <c r="R61815" s="1288"/>
    </row>
    <row r="61816" spans="18:18" s="2" customFormat="1" ht="12.75" x14ac:dyDescent="0.2">
      <c r="R61816" s="1288"/>
    </row>
    <row r="61817" spans="18:18" s="2" customFormat="1" ht="12.75" x14ac:dyDescent="0.2">
      <c r="R61817" s="1288"/>
    </row>
    <row r="61818" spans="18:18" s="2" customFormat="1" ht="12.75" x14ac:dyDescent="0.2">
      <c r="R61818" s="1288"/>
    </row>
    <row r="61819" spans="18:18" s="2" customFormat="1" ht="12.75" x14ac:dyDescent="0.2">
      <c r="R61819" s="1288"/>
    </row>
    <row r="61820" spans="18:18" s="2" customFormat="1" ht="12.75" x14ac:dyDescent="0.2">
      <c r="R61820" s="1288"/>
    </row>
    <row r="61821" spans="18:18" s="2" customFormat="1" ht="12.75" x14ac:dyDescent="0.2">
      <c r="R61821" s="1288"/>
    </row>
    <row r="61822" spans="18:18" s="2" customFormat="1" ht="12.75" x14ac:dyDescent="0.2">
      <c r="R61822" s="1288"/>
    </row>
    <row r="61823" spans="18:18" s="2" customFormat="1" ht="12.75" x14ac:dyDescent="0.2">
      <c r="R61823" s="1288"/>
    </row>
    <row r="61824" spans="18:18" s="2" customFormat="1" ht="12.75" x14ac:dyDescent="0.2">
      <c r="R61824" s="1288"/>
    </row>
    <row r="61825" spans="18:18" s="2" customFormat="1" ht="12.75" x14ac:dyDescent="0.2">
      <c r="R61825" s="1288"/>
    </row>
    <row r="61826" spans="18:18" s="2" customFormat="1" ht="12.75" x14ac:dyDescent="0.2">
      <c r="R61826" s="1288"/>
    </row>
    <row r="61827" spans="18:18" s="2" customFormat="1" ht="12.75" x14ac:dyDescent="0.2">
      <c r="R61827" s="1288"/>
    </row>
    <row r="61828" spans="18:18" s="2" customFormat="1" ht="12.75" x14ac:dyDescent="0.2">
      <c r="R61828" s="1288"/>
    </row>
    <row r="61829" spans="18:18" s="2" customFormat="1" ht="12.75" x14ac:dyDescent="0.2">
      <c r="R61829" s="1288"/>
    </row>
    <row r="61830" spans="18:18" s="2" customFormat="1" ht="12.75" x14ac:dyDescent="0.2">
      <c r="R61830" s="1288"/>
    </row>
    <row r="61831" spans="18:18" s="2" customFormat="1" ht="12.75" x14ac:dyDescent="0.2">
      <c r="R61831" s="1288"/>
    </row>
    <row r="61832" spans="18:18" s="2" customFormat="1" ht="12.75" x14ac:dyDescent="0.2">
      <c r="R61832" s="1288"/>
    </row>
    <row r="61833" spans="18:18" s="2" customFormat="1" ht="12.75" x14ac:dyDescent="0.2">
      <c r="R61833" s="1288"/>
    </row>
    <row r="61834" spans="18:18" s="2" customFormat="1" ht="12.75" x14ac:dyDescent="0.2">
      <c r="R61834" s="1288"/>
    </row>
    <row r="61835" spans="18:18" s="2" customFormat="1" ht="12.75" x14ac:dyDescent="0.2">
      <c r="R61835" s="1288"/>
    </row>
    <row r="61836" spans="18:18" s="2" customFormat="1" ht="12.75" x14ac:dyDescent="0.2">
      <c r="R61836" s="1288"/>
    </row>
    <row r="61837" spans="18:18" s="2" customFormat="1" ht="12.75" x14ac:dyDescent="0.2">
      <c r="R61837" s="1288"/>
    </row>
    <row r="61838" spans="18:18" s="2" customFormat="1" ht="12.75" x14ac:dyDescent="0.2">
      <c r="R61838" s="1288"/>
    </row>
    <row r="61839" spans="18:18" s="2" customFormat="1" ht="12.75" x14ac:dyDescent="0.2">
      <c r="R61839" s="1288"/>
    </row>
    <row r="61840" spans="18:18" s="2" customFormat="1" ht="12.75" x14ac:dyDescent="0.2">
      <c r="R61840" s="1288"/>
    </row>
    <row r="61841" spans="18:18" s="2" customFormat="1" ht="12.75" x14ac:dyDescent="0.2">
      <c r="R61841" s="1288"/>
    </row>
    <row r="61842" spans="18:18" s="2" customFormat="1" ht="12.75" x14ac:dyDescent="0.2">
      <c r="R61842" s="1288"/>
    </row>
    <row r="61843" spans="18:18" s="2" customFormat="1" ht="12.75" x14ac:dyDescent="0.2">
      <c r="R61843" s="1288"/>
    </row>
    <row r="61844" spans="18:18" s="2" customFormat="1" ht="12.75" x14ac:dyDescent="0.2">
      <c r="R61844" s="1288"/>
    </row>
    <row r="61845" spans="18:18" s="2" customFormat="1" ht="12.75" x14ac:dyDescent="0.2">
      <c r="R61845" s="1288"/>
    </row>
    <row r="61846" spans="18:18" s="2" customFormat="1" ht="12.75" x14ac:dyDescent="0.2">
      <c r="R61846" s="1288"/>
    </row>
    <row r="61847" spans="18:18" s="2" customFormat="1" ht="12.75" x14ac:dyDescent="0.2">
      <c r="R61847" s="1288"/>
    </row>
    <row r="61848" spans="18:18" s="2" customFormat="1" ht="12.75" x14ac:dyDescent="0.2">
      <c r="R61848" s="1288"/>
    </row>
    <row r="61849" spans="18:18" s="2" customFormat="1" ht="12.75" x14ac:dyDescent="0.2">
      <c r="R61849" s="1288"/>
    </row>
    <row r="61850" spans="18:18" s="2" customFormat="1" ht="12.75" x14ac:dyDescent="0.2">
      <c r="R61850" s="1288"/>
    </row>
    <row r="61851" spans="18:18" s="2" customFormat="1" ht="12.75" x14ac:dyDescent="0.2">
      <c r="R61851" s="1288"/>
    </row>
    <row r="61852" spans="18:18" s="2" customFormat="1" ht="12.75" x14ac:dyDescent="0.2">
      <c r="R61852" s="1288"/>
    </row>
    <row r="61853" spans="18:18" s="2" customFormat="1" ht="12.75" x14ac:dyDescent="0.2">
      <c r="R61853" s="1288"/>
    </row>
    <row r="61854" spans="18:18" s="2" customFormat="1" ht="12.75" x14ac:dyDescent="0.2">
      <c r="R61854" s="1288"/>
    </row>
    <row r="61855" spans="18:18" s="2" customFormat="1" ht="12.75" x14ac:dyDescent="0.2">
      <c r="R61855" s="1288"/>
    </row>
    <row r="61856" spans="18:18" s="2" customFormat="1" ht="12.75" x14ac:dyDescent="0.2">
      <c r="R61856" s="1288"/>
    </row>
    <row r="61857" spans="18:18" s="2" customFormat="1" ht="12.75" x14ac:dyDescent="0.2">
      <c r="R61857" s="1288"/>
    </row>
    <row r="61858" spans="18:18" s="2" customFormat="1" ht="12.75" x14ac:dyDescent="0.2">
      <c r="R61858" s="1288"/>
    </row>
    <row r="61859" spans="18:18" s="2" customFormat="1" ht="12.75" x14ac:dyDescent="0.2">
      <c r="R61859" s="1288"/>
    </row>
    <row r="61860" spans="18:18" s="2" customFormat="1" ht="12.75" x14ac:dyDescent="0.2">
      <c r="R61860" s="1288"/>
    </row>
    <row r="61861" spans="18:18" s="2" customFormat="1" ht="12.75" x14ac:dyDescent="0.2">
      <c r="R61861" s="1288"/>
    </row>
    <row r="61862" spans="18:18" s="2" customFormat="1" ht="12.75" x14ac:dyDescent="0.2">
      <c r="R61862" s="1288"/>
    </row>
    <row r="61863" spans="18:18" s="2" customFormat="1" ht="12.75" x14ac:dyDescent="0.2">
      <c r="R61863" s="1288"/>
    </row>
    <row r="61864" spans="18:18" s="2" customFormat="1" ht="12.75" x14ac:dyDescent="0.2">
      <c r="R61864" s="1288"/>
    </row>
    <row r="61865" spans="18:18" s="2" customFormat="1" ht="12.75" x14ac:dyDescent="0.2">
      <c r="R61865" s="1288"/>
    </row>
    <row r="61866" spans="18:18" s="2" customFormat="1" ht="12.75" x14ac:dyDescent="0.2">
      <c r="R61866" s="1288"/>
    </row>
    <row r="61867" spans="18:18" s="2" customFormat="1" ht="12.75" x14ac:dyDescent="0.2">
      <c r="R61867" s="1288"/>
    </row>
    <row r="61868" spans="18:18" s="2" customFormat="1" ht="12.75" x14ac:dyDescent="0.2">
      <c r="R61868" s="1288"/>
    </row>
    <row r="61869" spans="18:18" s="2" customFormat="1" ht="12.75" x14ac:dyDescent="0.2">
      <c r="R61869" s="1288"/>
    </row>
    <row r="61870" spans="18:18" s="2" customFormat="1" ht="12.75" x14ac:dyDescent="0.2">
      <c r="R61870" s="1288"/>
    </row>
    <row r="61871" spans="18:18" s="2" customFormat="1" ht="12.75" x14ac:dyDescent="0.2">
      <c r="R61871" s="1288"/>
    </row>
    <row r="61872" spans="18:18" s="2" customFormat="1" ht="12.75" x14ac:dyDescent="0.2">
      <c r="R61872" s="1288"/>
    </row>
    <row r="61873" spans="18:18" s="2" customFormat="1" ht="12.75" x14ac:dyDescent="0.2">
      <c r="R61873" s="1288"/>
    </row>
    <row r="61874" spans="18:18" s="2" customFormat="1" ht="12.75" x14ac:dyDescent="0.2">
      <c r="R61874" s="1288"/>
    </row>
    <row r="61875" spans="18:18" s="2" customFormat="1" ht="12.75" x14ac:dyDescent="0.2">
      <c r="R61875" s="1288"/>
    </row>
    <row r="61876" spans="18:18" s="2" customFormat="1" ht="12.75" x14ac:dyDescent="0.2">
      <c r="R61876" s="1288"/>
    </row>
    <row r="61877" spans="18:18" s="2" customFormat="1" ht="12.75" x14ac:dyDescent="0.2">
      <c r="R61877" s="1288"/>
    </row>
    <row r="61878" spans="18:18" s="2" customFormat="1" ht="12.75" x14ac:dyDescent="0.2">
      <c r="R61878" s="1288"/>
    </row>
    <row r="61879" spans="18:18" s="2" customFormat="1" ht="12.75" x14ac:dyDescent="0.2">
      <c r="R61879" s="1288"/>
    </row>
    <row r="61880" spans="18:18" s="2" customFormat="1" ht="12.75" x14ac:dyDescent="0.2">
      <c r="R61880" s="1288"/>
    </row>
    <row r="61881" spans="18:18" s="2" customFormat="1" ht="12.75" x14ac:dyDescent="0.2">
      <c r="R61881" s="1288"/>
    </row>
    <row r="61882" spans="18:18" s="2" customFormat="1" ht="12.75" x14ac:dyDescent="0.2">
      <c r="R61882" s="1288"/>
    </row>
    <row r="61883" spans="18:18" s="2" customFormat="1" ht="12.75" x14ac:dyDescent="0.2">
      <c r="R61883" s="1288"/>
    </row>
    <row r="61884" spans="18:18" s="2" customFormat="1" ht="12.75" x14ac:dyDescent="0.2">
      <c r="R61884" s="1288"/>
    </row>
    <row r="61885" spans="18:18" s="2" customFormat="1" ht="12.75" x14ac:dyDescent="0.2">
      <c r="R61885" s="1288"/>
    </row>
    <row r="61886" spans="18:18" s="2" customFormat="1" ht="12.75" x14ac:dyDescent="0.2">
      <c r="R61886" s="1288"/>
    </row>
    <row r="61887" spans="18:18" s="2" customFormat="1" ht="12.75" x14ac:dyDescent="0.2">
      <c r="R61887" s="1288"/>
    </row>
    <row r="61888" spans="18:18" s="2" customFormat="1" ht="12.75" x14ac:dyDescent="0.2">
      <c r="R61888" s="1288"/>
    </row>
    <row r="61889" spans="18:18" s="2" customFormat="1" ht="12.75" x14ac:dyDescent="0.2">
      <c r="R61889" s="1288"/>
    </row>
    <row r="61890" spans="18:18" s="2" customFormat="1" ht="12.75" x14ac:dyDescent="0.2">
      <c r="R61890" s="1288"/>
    </row>
    <row r="61891" spans="18:18" s="2" customFormat="1" ht="12.75" x14ac:dyDescent="0.2">
      <c r="R61891" s="1288"/>
    </row>
    <row r="61892" spans="18:18" s="2" customFormat="1" ht="12.75" x14ac:dyDescent="0.2">
      <c r="R61892" s="1288"/>
    </row>
    <row r="61893" spans="18:18" s="2" customFormat="1" ht="12.75" x14ac:dyDescent="0.2">
      <c r="R61893" s="1288"/>
    </row>
    <row r="61894" spans="18:18" s="2" customFormat="1" ht="12.75" x14ac:dyDescent="0.2">
      <c r="R61894" s="1288"/>
    </row>
    <row r="61895" spans="18:18" s="2" customFormat="1" ht="12.75" x14ac:dyDescent="0.2">
      <c r="R61895" s="1288"/>
    </row>
    <row r="61896" spans="18:18" s="2" customFormat="1" ht="12.75" x14ac:dyDescent="0.2">
      <c r="R61896" s="1288"/>
    </row>
    <row r="61897" spans="18:18" s="2" customFormat="1" ht="12.75" x14ac:dyDescent="0.2">
      <c r="R61897" s="1288"/>
    </row>
    <row r="61898" spans="18:18" s="2" customFormat="1" ht="12.75" x14ac:dyDescent="0.2">
      <c r="R61898" s="1288"/>
    </row>
    <row r="61899" spans="18:18" s="2" customFormat="1" ht="12.75" x14ac:dyDescent="0.2">
      <c r="R61899" s="1288"/>
    </row>
    <row r="61900" spans="18:18" s="2" customFormat="1" ht="12.75" x14ac:dyDescent="0.2">
      <c r="R61900" s="1288"/>
    </row>
    <row r="61901" spans="18:18" s="2" customFormat="1" ht="12.75" x14ac:dyDescent="0.2">
      <c r="R61901" s="1288"/>
    </row>
    <row r="61902" spans="18:18" s="2" customFormat="1" ht="12.75" x14ac:dyDescent="0.2">
      <c r="R61902" s="1288"/>
    </row>
    <row r="61903" spans="18:18" s="2" customFormat="1" ht="12.75" x14ac:dyDescent="0.2">
      <c r="R61903" s="1288"/>
    </row>
    <row r="61904" spans="18:18" s="2" customFormat="1" ht="12.75" x14ac:dyDescent="0.2">
      <c r="R61904" s="1288"/>
    </row>
    <row r="61905" spans="18:18" s="2" customFormat="1" ht="12.75" x14ac:dyDescent="0.2">
      <c r="R61905" s="1288"/>
    </row>
    <row r="61906" spans="18:18" s="2" customFormat="1" ht="12.75" x14ac:dyDescent="0.2">
      <c r="R61906" s="1288"/>
    </row>
    <row r="61907" spans="18:18" s="2" customFormat="1" ht="12.75" x14ac:dyDescent="0.2">
      <c r="R61907" s="1288"/>
    </row>
    <row r="61908" spans="18:18" s="2" customFormat="1" ht="12.75" x14ac:dyDescent="0.2">
      <c r="R61908" s="1288"/>
    </row>
    <row r="61909" spans="18:18" s="2" customFormat="1" ht="12.75" x14ac:dyDescent="0.2">
      <c r="R61909" s="1288"/>
    </row>
    <row r="61910" spans="18:18" s="2" customFormat="1" ht="12.75" x14ac:dyDescent="0.2">
      <c r="R61910" s="1288"/>
    </row>
    <row r="61911" spans="18:18" s="2" customFormat="1" ht="12.75" x14ac:dyDescent="0.2">
      <c r="R61911" s="1288"/>
    </row>
    <row r="61912" spans="18:18" s="2" customFormat="1" ht="12.75" x14ac:dyDescent="0.2">
      <c r="R61912" s="1288"/>
    </row>
    <row r="61913" spans="18:18" s="2" customFormat="1" ht="12.75" x14ac:dyDescent="0.2">
      <c r="R61913" s="1288"/>
    </row>
    <row r="61914" spans="18:18" s="2" customFormat="1" ht="12.75" x14ac:dyDescent="0.2">
      <c r="R61914" s="1288"/>
    </row>
    <row r="61915" spans="18:18" s="2" customFormat="1" ht="12.75" x14ac:dyDescent="0.2">
      <c r="R61915" s="1288"/>
    </row>
    <row r="61916" spans="18:18" s="2" customFormat="1" ht="12.75" x14ac:dyDescent="0.2">
      <c r="R61916" s="1288"/>
    </row>
    <row r="61917" spans="18:18" s="2" customFormat="1" ht="12.75" x14ac:dyDescent="0.2">
      <c r="R61917" s="1288"/>
    </row>
    <row r="61918" spans="18:18" s="2" customFormat="1" ht="12.75" x14ac:dyDescent="0.2">
      <c r="R61918" s="1288"/>
    </row>
    <row r="61919" spans="18:18" s="2" customFormat="1" ht="12.75" x14ac:dyDescent="0.2">
      <c r="R61919" s="1288"/>
    </row>
    <row r="61920" spans="18:18" s="2" customFormat="1" ht="12.75" x14ac:dyDescent="0.2">
      <c r="R61920" s="1288"/>
    </row>
    <row r="61921" spans="18:18" s="2" customFormat="1" ht="12.75" x14ac:dyDescent="0.2">
      <c r="R61921" s="1288"/>
    </row>
    <row r="61922" spans="18:18" s="2" customFormat="1" ht="12.75" x14ac:dyDescent="0.2">
      <c r="R61922" s="1288"/>
    </row>
    <row r="61923" spans="18:18" s="2" customFormat="1" ht="12.75" x14ac:dyDescent="0.2">
      <c r="R61923" s="1288"/>
    </row>
    <row r="61924" spans="18:18" s="2" customFormat="1" ht="12.75" x14ac:dyDescent="0.2">
      <c r="R61924" s="1288"/>
    </row>
    <row r="61925" spans="18:18" s="2" customFormat="1" ht="12.75" x14ac:dyDescent="0.2">
      <c r="R61925" s="1288"/>
    </row>
    <row r="61926" spans="18:18" s="2" customFormat="1" ht="12.75" x14ac:dyDescent="0.2">
      <c r="R61926" s="1288"/>
    </row>
    <row r="61927" spans="18:18" s="2" customFormat="1" ht="12.75" x14ac:dyDescent="0.2">
      <c r="R61927" s="1288"/>
    </row>
    <row r="61928" spans="18:18" s="2" customFormat="1" ht="12.75" x14ac:dyDescent="0.2">
      <c r="R61928" s="1288"/>
    </row>
    <row r="61929" spans="18:18" s="2" customFormat="1" ht="12.75" x14ac:dyDescent="0.2">
      <c r="R61929" s="1288"/>
    </row>
    <row r="61930" spans="18:18" s="2" customFormat="1" ht="12.75" x14ac:dyDescent="0.2">
      <c r="R61930" s="1288"/>
    </row>
    <row r="61931" spans="18:18" s="2" customFormat="1" ht="12.75" x14ac:dyDescent="0.2">
      <c r="R61931" s="1288"/>
    </row>
    <row r="61932" spans="18:18" s="2" customFormat="1" ht="12.75" x14ac:dyDescent="0.2">
      <c r="R61932" s="1288"/>
    </row>
    <row r="61933" spans="18:18" s="2" customFormat="1" ht="12.75" x14ac:dyDescent="0.2">
      <c r="R61933" s="1288"/>
    </row>
    <row r="61934" spans="18:18" s="2" customFormat="1" ht="12.75" x14ac:dyDescent="0.2">
      <c r="R61934" s="1288"/>
    </row>
    <row r="61935" spans="18:18" s="2" customFormat="1" ht="12.75" x14ac:dyDescent="0.2">
      <c r="R61935" s="1288"/>
    </row>
    <row r="61936" spans="18:18" s="2" customFormat="1" ht="12.75" x14ac:dyDescent="0.2">
      <c r="R61936" s="1288"/>
    </row>
    <row r="61937" spans="18:18" s="2" customFormat="1" ht="12.75" x14ac:dyDescent="0.2">
      <c r="R61937" s="1288"/>
    </row>
    <row r="61938" spans="18:18" s="2" customFormat="1" ht="12.75" x14ac:dyDescent="0.2">
      <c r="R61938" s="1288"/>
    </row>
    <row r="61939" spans="18:18" s="2" customFormat="1" ht="12.75" x14ac:dyDescent="0.2">
      <c r="R61939" s="1288"/>
    </row>
    <row r="61940" spans="18:18" s="2" customFormat="1" ht="12.75" x14ac:dyDescent="0.2">
      <c r="R61940" s="1288"/>
    </row>
    <row r="61941" spans="18:18" s="2" customFormat="1" ht="12.75" x14ac:dyDescent="0.2">
      <c r="R61941" s="1288"/>
    </row>
    <row r="61942" spans="18:18" s="2" customFormat="1" ht="12.75" x14ac:dyDescent="0.2">
      <c r="R61942" s="1288"/>
    </row>
    <row r="61943" spans="18:18" s="2" customFormat="1" ht="12.75" x14ac:dyDescent="0.2">
      <c r="R61943" s="1288"/>
    </row>
    <row r="61944" spans="18:18" s="2" customFormat="1" ht="12.75" x14ac:dyDescent="0.2">
      <c r="R61944" s="1288"/>
    </row>
    <row r="61945" spans="18:18" s="2" customFormat="1" ht="12.75" x14ac:dyDescent="0.2">
      <c r="R61945" s="1288"/>
    </row>
    <row r="61946" spans="18:18" s="2" customFormat="1" ht="12.75" x14ac:dyDescent="0.2">
      <c r="R61946" s="1288"/>
    </row>
    <row r="61947" spans="18:18" s="2" customFormat="1" ht="12.75" x14ac:dyDescent="0.2">
      <c r="R61947" s="1288"/>
    </row>
    <row r="61948" spans="18:18" s="2" customFormat="1" ht="12.75" x14ac:dyDescent="0.2">
      <c r="R61948" s="1288"/>
    </row>
    <row r="61949" spans="18:18" s="2" customFormat="1" ht="12.75" x14ac:dyDescent="0.2">
      <c r="R61949" s="1288"/>
    </row>
    <row r="61950" spans="18:18" s="2" customFormat="1" ht="12.75" x14ac:dyDescent="0.2">
      <c r="R61950" s="1288"/>
    </row>
    <row r="61951" spans="18:18" s="2" customFormat="1" ht="12.75" x14ac:dyDescent="0.2">
      <c r="R61951" s="1288"/>
    </row>
    <row r="61952" spans="18:18" s="2" customFormat="1" ht="12.75" x14ac:dyDescent="0.2">
      <c r="R61952" s="1288"/>
    </row>
    <row r="61953" spans="18:18" s="2" customFormat="1" ht="12.75" x14ac:dyDescent="0.2">
      <c r="R61953" s="1288"/>
    </row>
    <row r="61954" spans="18:18" s="2" customFormat="1" ht="12.75" x14ac:dyDescent="0.2">
      <c r="R61954" s="1288"/>
    </row>
    <row r="61955" spans="18:18" s="2" customFormat="1" ht="12.75" x14ac:dyDescent="0.2">
      <c r="R61955" s="1288"/>
    </row>
    <row r="61956" spans="18:18" s="2" customFormat="1" ht="12.75" x14ac:dyDescent="0.2">
      <c r="R61956" s="1288"/>
    </row>
    <row r="61957" spans="18:18" s="2" customFormat="1" ht="12.75" x14ac:dyDescent="0.2">
      <c r="R61957" s="1288"/>
    </row>
    <row r="61958" spans="18:18" s="2" customFormat="1" ht="12.75" x14ac:dyDescent="0.2">
      <c r="R61958" s="1288"/>
    </row>
    <row r="61959" spans="18:18" s="2" customFormat="1" ht="12.75" x14ac:dyDescent="0.2">
      <c r="R61959" s="1288"/>
    </row>
    <row r="61960" spans="18:18" s="2" customFormat="1" ht="12.75" x14ac:dyDescent="0.2">
      <c r="R61960" s="1288"/>
    </row>
    <row r="61961" spans="18:18" s="2" customFormat="1" ht="12.75" x14ac:dyDescent="0.2">
      <c r="R61961" s="1288"/>
    </row>
    <row r="61962" spans="18:18" s="2" customFormat="1" ht="12.75" x14ac:dyDescent="0.2">
      <c r="R61962" s="1288"/>
    </row>
    <row r="61963" spans="18:18" s="2" customFormat="1" ht="12.75" x14ac:dyDescent="0.2">
      <c r="R61963" s="1288"/>
    </row>
    <row r="61964" spans="18:18" s="2" customFormat="1" ht="12.75" x14ac:dyDescent="0.2">
      <c r="R61964" s="1288"/>
    </row>
    <row r="61965" spans="18:18" s="2" customFormat="1" ht="12.75" x14ac:dyDescent="0.2">
      <c r="R61965" s="1288"/>
    </row>
    <row r="61966" spans="18:18" s="2" customFormat="1" ht="12.75" x14ac:dyDescent="0.2">
      <c r="R61966" s="1288"/>
    </row>
    <row r="61967" spans="18:18" s="2" customFormat="1" ht="12.75" x14ac:dyDescent="0.2">
      <c r="R61967" s="1288"/>
    </row>
    <row r="61968" spans="18:18" s="2" customFormat="1" ht="12.75" x14ac:dyDescent="0.2">
      <c r="R61968" s="1288"/>
    </row>
    <row r="61969" spans="18:18" s="2" customFormat="1" ht="12.75" x14ac:dyDescent="0.2">
      <c r="R61969" s="1288"/>
    </row>
    <row r="61970" spans="18:18" s="2" customFormat="1" ht="12.75" x14ac:dyDescent="0.2">
      <c r="R61970" s="1288"/>
    </row>
    <row r="61971" spans="18:18" s="2" customFormat="1" ht="12.75" x14ac:dyDescent="0.2">
      <c r="R61971" s="1288"/>
    </row>
    <row r="61972" spans="18:18" s="2" customFormat="1" ht="12.75" x14ac:dyDescent="0.2">
      <c r="R61972" s="1288"/>
    </row>
    <row r="61973" spans="18:18" s="2" customFormat="1" ht="12.75" x14ac:dyDescent="0.2">
      <c r="R61973" s="1288"/>
    </row>
    <row r="61974" spans="18:18" s="2" customFormat="1" ht="12.75" x14ac:dyDescent="0.2">
      <c r="R61974" s="1288"/>
    </row>
    <row r="61975" spans="18:18" s="2" customFormat="1" ht="12.75" x14ac:dyDescent="0.2">
      <c r="R61975" s="1288"/>
    </row>
    <row r="61976" spans="18:18" s="2" customFormat="1" ht="12.75" x14ac:dyDescent="0.2">
      <c r="R61976" s="1288"/>
    </row>
    <row r="61977" spans="18:18" s="2" customFormat="1" ht="12.75" x14ac:dyDescent="0.2">
      <c r="R61977" s="1288"/>
    </row>
    <row r="61978" spans="18:18" s="2" customFormat="1" ht="12.75" x14ac:dyDescent="0.2">
      <c r="R61978" s="1288"/>
    </row>
    <row r="61979" spans="18:18" s="2" customFormat="1" ht="12.75" x14ac:dyDescent="0.2">
      <c r="R61979" s="1288"/>
    </row>
    <row r="61980" spans="18:18" s="2" customFormat="1" ht="12.75" x14ac:dyDescent="0.2">
      <c r="R61980" s="1288"/>
    </row>
    <row r="61981" spans="18:18" s="2" customFormat="1" ht="12.75" x14ac:dyDescent="0.2">
      <c r="R61981" s="1288"/>
    </row>
    <row r="61982" spans="18:18" s="2" customFormat="1" ht="12.75" x14ac:dyDescent="0.2">
      <c r="R61982" s="1288"/>
    </row>
    <row r="61983" spans="18:18" s="2" customFormat="1" ht="12.75" x14ac:dyDescent="0.2">
      <c r="R61983" s="1288"/>
    </row>
    <row r="61984" spans="18:18" s="2" customFormat="1" ht="12.75" x14ac:dyDescent="0.2">
      <c r="R61984" s="1288"/>
    </row>
    <row r="61985" spans="18:18" s="2" customFormat="1" ht="12.75" x14ac:dyDescent="0.2">
      <c r="R61985" s="1288"/>
    </row>
    <row r="61986" spans="18:18" s="2" customFormat="1" ht="12.75" x14ac:dyDescent="0.2">
      <c r="R61986" s="1288"/>
    </row>
    <row r="61987" spans="18:18" s="2" customFormat="1" ht="12.75" x14ac:dyDescent="0.2">
      <c r="R61987" s="1288"/>
    </row>
    <row r="61988" spans="18:18" s="2" customFormat="1" ht="12.75" x14ac:dyDescent="0.2">
      <c r="R61988" s="1288"/>
    </row>
    <row r="61989" spans="18:18" s="2" customFormat="1" ht="12.75" x14ac:dyDescent="0.2">
      <c r="R61989" s="1288"/>
    </row>
    <row r="61990" spans="18:18" s="2" customFormat="1" ht="12.75" x14ac:dyDescent="0.2">
      <c r="R61990" s="1288"/>
    </row>
    <row r="61991" spans="18:18" s="2" customFormat="1" ht="12.75" x14ac:dyDescent="0.2">
      <c r="R61991" s="1288"/>
    </row>
    <row r="61992" spans="18:18" s="2" customFormat="1" ht="12.75" x14ac:dyDescent="0.2">
      <c r="R61992" s="1288"/>
    </row>
    <row r="61993" spans="18:18" s="2" customFormat="1" ht="12.75" x14ac:dyDescent="0.2">
      <c r="R61993" s="1288"/>
    </row>
    <row r="61994" spans="18:18" s="2" customFormat="1" ht="12.75" x14ac:dyDescent="0.2">
      <c r="R61994" s="1288"/>
    </row>
    <row r="61995" spans="18:18" s="2" customFormat="1" ht="12.75" x14ac:dyDescent="0.2">
      <c r="R61995" s="1288"/>
    </row>
    <row r="61996" spans="18:18" s="2" customFormat="1" ht="12.75" x14ac:dyDescent="0.2">
      <c r="R61996" s="1288"/>
    </row>
    <row r="61997" spans="18:18" s="2" customFormat="1" ht="12.75" x14ac:dyDescent="0.2">
      <c r="R61997" s="1288"/>
    </row>
    <row r="61998" spans="18:18" s="2" customFormat="1" ht="12.75" x14ac:dyDescent="0.2">
      <c r="R61998" s="1288"/>
    </row>
    <row r="61999" spans="18:18" s="2" customFormat="1" ht="12.75" x14ac:dyDescent="0.2">
      <c r="R61999" s="1288"/>
    </row>
    <row r="62000" spans="18:18" s="2" customFormat="1" ht="12.75" x14ac:dyDescent="0.2">
      <c r="R62000" s="1288"/>
    </row>
    <row r="62001" spans="18:18" s="2" customFormat="1" ht="12.75" x14ac:dyDescent="0.2">
      <c r="R62001" s="1288"/>
    </row>
    <row r="62002" spans="18:18" s="2" customFormat="1" ht="12.75" x14ac:dyDescent="0.2">
      <c r="R62002" s="1288"/>
    </row>
    <row r="62003" spans="18:18" s="2" customFormat="1" ht="12.75" x14ac:dyDescent="0.2">
      <c r="R62003" s="1288"/>
    </row>
    <row r="62004" spans="18:18" s="2" customFormat="1" ht="12.75" x14ac:dyDescent="0.2">
      <c r="R62004" s="1288"/>
    </row>
    <row r="62005" spans="18:18" s="2" customFormat="1" ht="12.75" x14ac:dyDescent="0.2">
      <c r="R62005" s="1288"/>
    </row>
    <row r="62006" spans="18:18" s="2" customFormat="1" ht="12.75" x14ac:dyDescent="0.2">
      <c r="R62006" s="1288"/>
    </row>
    <row r="62007" spans="18:18" s="2" customFormat="1" ht="12.75" x14ac:dyDescent="0.2">
      <c r="R62007" s="1288"/>
    </row>
    <row r="62008" spans="18:18" s="2" customFormat="1" ht="12.75" x14ac:dyDescent="0.2">
      <c r="R62008" s="1288"/>
    </row>
    <row r="62009" spans="18:18" s="2" customFormat="1" ht="12.75" x14ac:dyDescent="0.2">
      <c r="R62009" s="1288"/>
    </row>
    <row r="62010" spans="18:18" s="2" customFormat="1" ht="12.75" x14ac:dyDescent="0.2">
      <c r="R62010" s="1288"/>
    </row>
    <row r="62011" spans="18:18" s="2" customFormat="1" ht="12.75" x14ac:dyDescent="0.2">
      <c r="R62011" s="1288"/>
    </row>
    <row r="62012" spans="18:18" s="2" customFormat="1" ht="12.75" x14ac:dyDescent="0.2">
      <c r="R62012" s="1288"/>
    </row>
    <row r="62013" spans="18:18" s="2" customFormat="1" ht="12.75" x14ac:dyDescent="0.2">
      <c r="R62013" s="1288"/>
    </row>
    <row r="62014" spans="18:18" s="2" customFormat="1" ht="12.75" x14ac:dyDescent="0.2">
      <c r="R62014" s="1288"/>
    </row>
    <row r="62015" spans="18:18" s="2" customFormat="1" ht="12.75" x14ac:dyDescent="0.2">
      <c r="R62015" s="1288"/>
    </row>
    <row r="62016" spans="18:18" s="2" customFormat="1" ht="12.75" x14ac:dyDescent="0.2">
      <c r="R62016" s="1288"/>
    </row>
    <row r="62017" spans="18:18" s="2" customFormat="1" ht="12.75" x14ac:dyDescent="0.2">
      <c r="R62017" s="1288"/>
    </row>
    <row r="62018" spans="18:18" s="2" customFormat="1" ht="12.75" x14ac:dyDescent="0.2">
      <c r="R62018" s="1288"/>
    </row>
    <row r="62019" spans="18:18" s="2" customFormat="1" ht="12.75" x14ac:dyDescent="0.2">
      <c r="R62019" s="1288"/>
    </row>
    <row r="62020" spans="18:18" s="2" customFormat="1" ht="12.75" x14ac:dyDescent="0.2">
      <c r="R62020" s="1288"/>
    </row>
    <row r="62021" spans="18:18" s="2" customFormat="1" ht="12.75" x14ac:dyDescent="0.2">
      <c r="R62021" s="1288"/>
    </row>
    <row r="62022" spans="18:18" s="2" customFormat="1" ht="12.75" x14ac:dyDescent="0.2">
      <c r="R62022" s="1288"/>
    </row>
    <row r="62023" spans="18:18" s="2" customFormat="1" ht="12.75" x14ac:dyDescent="0.2">
      <c r="R62023" s="1288"/>
    </row>
    <row r="62024" spans="18:18" s="2" customFormat="1" ht="12.75" x14ac:dyDescent="0.2">
      <c r="R62024" s="1288"/>
    </row>
    <row r="62025" spans="18:18" s="2" customFormat="1" ht="12.75" x14ac:dyDescent="0.2">
      <c r="R62025" s="1288"/>
    </row>
    <row r="62026" spans="18:18" s="2" customFormat="1" ht="12.75" x14ac:dyDescent="0.2">
      <c r="R62026" s="1288"/>
    </row>
    <row r="62027" spans="18:18" s="2" customFormat="1" ht="12.75" x14ac:dyDescent="0.2">
      <c r="R62027" s="1288"/>
    </row>
    <row r="62028" spans="18:18" s="2" customFormat="1" ht="12.75" x14ac:dyDescent="0.2">
      <c r="R62028" s="1288"/>
    </row>
    <row r="62029" spans="18:18" s="2" customFormat="1" ht="12.75" x14ac:dyDescent="0.2">
      <c r="R62029" s="1288"/>
    </row>
    <row r="62030" spans="18:18" s="2" customFormat="1" ht="12.75" x14ac:dyDescent="0.2">
      <c r="R62030" s="1288"/>
    </row>
    <row r="62031" spans="18:18" s="2" customFormat="1" ht="12.75" x14ac:dyDescent="0.2">
      <c r="R62031" s="1288"/>
    </row>
    <row r="62032" spans="18:18" s="2" customFormat="1" ht="12.75" x14ac:dyDescent="0.2">
      <c r="R62032" s="1288"/>
    </row>
    <row r="62033" spans="18:18" s="2" customFormat="1" ht="12.75" x14ac:dyDescent="0.2">
      <c r="R62033" s="1288"/>
    </row>
    <row r="62034" spans="18:18" s="2" customFormat="1" ht="12.75" x14ac:dyDescent="0.2">
      <c r="R62034" s="1288"/>
    </row>
    <row r="62035" spans="18:18" s="2" customFormat="1" ht="12.75" x14ac:dyDescent="0.2">
      <c r="R62035" s="1288"/>
    </row>
    <row r="62036" spans="18:18" s="2" customFormat="1" ht="12.75" x14ac:dyDescent="0.2">
      <c r="R62036" s="1288"/>
    </row>
    <row r="62037" spans="18:18" s="2" customFormat="1" ht="12.75" x14ac:dyDescent="0.2">
      <c r="R62037" s="1288"/>
    </row>
    <row r="62038" spans="18:18" s="2" customFormat="1" ht="12.75" x14ac:dyDescent="0.2">
      <c r="R62038" s="1288"/>
    </row>
    <row r="62039" spans="18:18" s="2" customFormat="1" ht="12.75" x14ac:dyDescent="0.2">
      <c r="R62039" s="1288"/>
    </row>
    <row r="62040" spans="18:18" s="2" customFormat="1" ht="12.75" x14ac:dyDescent="0.2">
      <c r="R62040" s="1288"/>
    </row>
    <row r="62041" spans="18:18" s="2" customFormat="1" ht="12.75" x14ac:dyDescent="0.2">
      <c r="R62041" s="1288"/>
    </row>
    <row r="62042" spans="18:18" s="2" customFormat="1" ht="12.75" x14ac:dyDescent="0.2">
      <c r="R62042" s="1288"/>
    </row>
    <row r="62043" spans="18:18" s="2" customFormat="1" ht="12.75" x14ac:dyDescent="0.2">
      <c r="R62043" s="1288"/>
    </row>
    <row r="62044" spans="18:18" s="2" customFormat="1" ht="12.75" x14ac:dyDescent="0.2">
      <c r="R62044" s="1288"/>
    </row>
    <row r="62045" spans="18:18" s="2" customFormat="1" ht="12.75" x14ac:dyDescent="0.2">
      <c r="R62045" s="1288"/>
    </row>
    <row r="62046" spans="18:18" s="2" customFormat="1" ht="12.75" x14ac:dyDescent="0.2">
      <c r="R62046" s="1288"/>
    </row>
    <row r="62047" spans="18:18" s="2" customFormat="1" ht="12.75" x14ac:dyDescent="0.2">
      <c r="R62047" s="1288"/>
    </row>
    <row r="62048" spans="18:18" s="2" customFormat="1" ht="12.75" x14ac:dyDescent="0.2">
      <c r="R62048" s="1288"/>
    </row>
    <row r="62049" spans="18:18" s="2" customFormat="1" ht="12.75" x14ac:dyDescent="0.2">
      <c r="R62049" s="1288"/>
    </row>
    <row r="62050" spans="18:18" s="2" customFormat="1" ht="12.75" x14ac:dyDescent="0.2">
      <c r="R62050" s="1288"/>
    </row>
    <row r="62051" spans="18:18" s="2" customFormat="1" ht="12.75" x14ac:dyDescent="0.2">
      <c r="R62051" s="1288"/>
    </row>
    <row r="62052" spans="18:18" s="2" customFormat="1" ht="12.75" x14ac:dyDescent="0.2">
      <c r="R62052" s="1288"/>
    </row>
    <row r="62053" spans="18:18" s="2" customFormat="1" ht="12.75" x14ac:dyDescent="0.2">
      <c r="R62053" s="1288"/>
    </row>
    <row r="62054" spans="18:18" s="2" customFormat="1" ht="12.75" x14ac:dyDescent="0.2">
      <c r="R62054" s="1288"/>
    </row>
    <row r="62055" spans="18:18" s="2" customFormat="1" ht="12.75" x14ac:dyDescent="0.2">
      <c r="R62055" s="1288"/>
    </row>
    <row r="62056" spans="18:18" s="2" customFormat="1" ht="12.75" x14ac:dyDescent="0.2">
      <c r="R62056" s="1288"/>
    </row>
    <row r="62057" spans="18:18" s="2" customFormat="1" ht="12.75" x14ac:dyDescent="0.2">
      <c r="R62057" s="1288"/>
    </row>
    <row r="62058" spans="18:18" s="2" customFormat="1" ht="12.75" x14ac:dyDescent="0.2">
      <c r="R62058" s="1288"/>
    </row>
    <row r="62059" spans="18:18" s="2" customFormat="1" ht="12.75" x14ac:dyDescent="0.2">
      <c r="R62059" s="1288"/>
    </row>
    <row r="62060" spans="18:18" s="2" customFormat="1" ht="12.75" x14ac:dyDescent="0.2">
      <c r="R62060" s="1288"/>
    </row>
    <row r="62061" spans="18:18" s="2" customFormat="1" ht="12.75" x14ac:dyDescent="0.2">
      <c r="R62061" s="1288"/>
    </row>
    <row r="62062" spans="18:18" s="2" customFormat="1" ht="12.75" x14ac:dyDescent="0.2">
      <c r="R62062" s="1288"/>
    </row>
    <row r="62063" spans="18:18" s="2" customFormat="1" ht="12.75" x14ac:dyDescent="0.2">
      <c r="R62063" s="1288"/>
    </row>
    <row r="62064" spans="18:18" s="2" customFormat="1" ht="12.75" x14ac:dyDescent="0.2">
      <c r="R62064" s="1288"/>
    </row>
    <row r="62065" spans="18:18" s="2" customFormat="1" ht="12.75" x14ac:dyDescent="0.2">
      <c r="R62065" s="1288"/>
    </row>
    <row r="62066" spans="18:18" s="2" customFormat="1" ht="12.75" x14ac:dyDescent="0.2">
      <c r="R62066" s="1288"/>
    </row>
    <row r="62067" spans="18:18" s="2" customFormat="1" ht="12.75" x14ac:dyDescent="0.2">
      <c r="R62067" s="1288"/>
    </row>
    <row r="62068" spans="18:18" s="2" customFormat="1" ht="12.75" x14ac:dyDescent="0.2">
      <c r="R62068" s="1288"/>
    </row>
    <row r="62069" spans="18:18" s="2" customFormat="1" ht="12.75" x14ac:dyDescent="0.2">
      <c r="R62069" s="1288"/>
    </row>
    <row r="62070" spans="18:18" s="2" customFormat="1" ht="12.75" x14ac:dyDescent="0.2">
      <c r="R62070" s="1288"/>
    </row>
    <row r="62071" spans="18:18" s="2" customFormat="1" ht="12.75" x14ac:dyDescent="0.2">
      <c r="R62071" s="1288"/>
    </row>
    <row r="62072" spans="18:18" s="2" customFormat="1" ht="12.75" x14ac:dyDescent="0.2">
      <c r="R62072" s="1288"/>
    </row>
    <row r="62073" spans="18:18" s="2" customFormat="1" ht="12.75" x14ac:dyDescent="0.2">
      <c r="R62073" s="1288"/>
    </row>
    <row r="62074" spans="18:18" s="2" customFormat="1" ht="12.75" x14ac:dyDescent="0.2">
      <c r="R62074" s="1288"/>
    </row>
    <row r="62075" spans="18:18" s="2" customFormat="1" ht="12.75" x14ac:dyDescent="0.2">
      <c r="R62075" s="1288"/>
    </row>
    <row r="62076" spans="18:18" s="2" customFormat="1" ht="12.75" x14ac:dyDescent="0.2">
      <c r="R62076" s="1288"/>
    </row>
    <row r="62077" spans="18:18" s="2" customFormat="1" ht="12.75" x14ac:dyDescent="0.2">
      <c r="R62077" s="1288"/>
    </row>
    <row r="62078" spans="18:18" s="2" customFormat="1" ht="12.75" x14ac:dyDescent="0.2">
      <c r="R62078" s="1288"/>
    </row>
    <row r="62079" spans="18:18" s="2" customFormat="1" ht="12.75" x14ac:dyDescent="0.2">
      <c r="R62079" s="1288"/>
    </row>
    <row r="62080" spans="18:18" s="2" customFormat="1" ht="12.75" x14ac:dyDescent="0.2">
      <c r="R62080" s="1288"/>
    </row>
    <row r="62081" spans="18:18" s="2" customFormat="1" ht="12.75" x14ac:dyDescent="0.2">
      <c r="R62081" s="1288"/>
    </row>
    <row r="62082" spans="18:18" s="2" customFormat="1" ht="12.75" x14ac:dyDescent="0.2">
      <c r="R62082" s="1288"/>
    </row>
    <row r="62083" spans="18:18" s="2" customFormat="1" ht="12.75" x14ac:dyDescent="0.2">
      <c r="R62083" s="1288"/>
    </row>
    <row r="62084" spans="18:18" s="2" customFormat="1" ht="12.75" x14ac:dyDescent="0.2">
      <c r="R62084" s="1288"/>
    </row>
    <row r="62085" spans="18:18" s="2" customFormat="1" ht="12.75" x14ac:dyDescent="0.2">
      <c r="R62085" s="1288"/>
    </row>
    <row r="62086" spans="18:18" s="2" customFormat="1" ht="12.75" x14ac:dyDescent="0.2">
      <c r="R62086" s="1288"/>
    </row>
    <row r="62087" spans="18:18" s="2" customFormat="1" ht="12.75" x14ac:dyDescent="0.2">
      <c r="R62087" s="1288"/>
    </row>
    <row r="62088" spans="18:18" s="2" customFormat="1" ht="12.75" x14ac:dyDescent="0.2">
      <c r="R62088" s="1288"/>
    </row>
    <row r="62089" spans="18:18" s="2" customFormat="1" ht="12.75" x14ac:dyDescent="0.2">
      <c r="R62089" s="1288"/>
    </row>
    <row r="62090" spans="18:18" s="2" customFormat="1" ht="12.75" x14ac:dyDescent="0.2">
      <c r="R62090" s="1288"/>
    </row>
    <row r="62091" spans="18:18" s="2" customFormat="1" ht="12.75" x14ac:dyDescent="0.2">
      <c r="R62091" s="1288"/>
    </row>
    <row r="62092" spans="18:18" s="2" customFormat="1" ht="12.75" x14ac:dyDescent="0.2">
      <c r="R62092" s="1288"/>
    </row>
    <row r="62093" spans="18:18" s="2" customFormat="1" ht="12.75" x14ac:dyDescent="0.2">
      <c r="R62093" s="1288"/>
    </row>
    <row r="62094" spans="18:18" s="2" customFormat="1" ht="12.75" x14ac:dyDescent="0.2">
      <c r="R62094" s="1288"/>
    </row>
    <row r="62095" spans="18:18" s="2" customFormat="1" ht="12.75" x14ac:dyDescent="0.2">
      <c r="R62095" s="1288"/>
    </row>
    <row r="62096" spans="18:18" s="2" customFormat="1" ht="12.75" x14ac:dyDescent="0.2">
      <c r="R62096" s="1288"/>
    </row>
    <row r="62097" spans="18:18" s="2" customFormat="1" ht="12.75" x14ac:dyDescent="0.2">
      <c r="R62097" s="1288"/>
    </row>
    <row r="62098" spans="18:18" s="2" customFormat="1" ht="12.75" x14ac:dyDescent="0.2">
      <c r="R62098" s="1288"/>
    </row>
    <row r="62099" spans="18:18" s="2" customFormat="1" ht="12.75" x14ac:dyDescent="0.2">
      <c r="R62099" s="1288"/>
    </row>
    <row r="62100" spans="18:18" s="2" customFormat="1" ht="12.75" x14ac:dyDescent="0.2">
      <c r="R62100" s="1288"/>
    </row>
    <row r="62101" spans="18:18" s="2" customFormat="1" ht="12.75" x14ac:dyDescent="0.2">
      <c r="R62101" s="1288"/>
    </row>
    <row r="62102" spans="18:18" s="2" customFormat="1" ht="12.75" x14ac:dyDescent="0.2">
      <c r="R62102" s="1288"/>
    </row>
    <row r="62103" spans="18:18" s="2" customFormat="1" ht="12.75" x14ac:dyDescent="0.2">
      <c r="R62103" s="1288"/>
    </row>
    <row r="62104" spans="18:18" s="2" customFormat="1" ht="12.75" x14ac:dyDescent="0.2">
      <c r="R62104" s="1288"/>
    </row>
    <row r="62105" spans="18:18" s="2" customFormat="1" ht="12.75" x14ac:dyDescent="0.2">
      <c r="R62105" s="1288"/>
    </row>
    <row r="62106" spans="18:18" s="2" customFormat="1" ht="12.75" x14ac:dyDescent="0.2">
      <c r="R62106" s="1288"/>
    </row>
    <row r="62107" spans="18:18" s="2" customFormat="1" ht="12.75" x14ac:dyDescent="0.2">
      <c r="R62107" s="1288"/>
    </row>
    <row r="62108" spans="18:18" s="2" customFormat="1" ht="12.75" x14ac:dyDescent="0.2">
      <c r="R62108" s="1288"/>
    </row>
    <row r="62109" spans="18:18" s="2" customFormat="1" ht="12.75" x14ac:dyDescent="0.2">
      <c r="R62109" s="1288"/>
    </row>
    <row r="62110" spans="18:18" s="2" customFormat="1" ht="12.75" x14ac:dyDescent="0.2">
      <c r="R62110" s="1288"/>
    </row>
    <row r="62111" spans="18:18" s="2" customFormat="1" ht="12.75" x14ac:dyDescent="0.2">
      <c r="R62111" s="1288"/>
    </row>
    <row r="62112" spans="18:18" s="2" customFormat="1" ht="12.75" x14ac:dyDescent="0.2">
      <c r="R62112" s="1288"/>
    </row>
    <row r="62113" spans="18:18" s="2" customFormat="1" ht="12.75" x14ac:dyDescent="0.2">
      <c r="R62113" s="1288"/>
    </row>
    <row r="62114" spans="18:18" s="2" customFormat="1" ht="12.75" x14ac:dyDescent="0.2">
      <c r="R62114" s="1288"/>
    </row>
    <row r="62115" spans="18:18" s="2" customFormat="1" ht="12.75" x14ac:dyDescent="0.2">
      <c r="R62115" s="1288"/>
    </row>
    <row r="62116" spans="18:18" s="2" customFormat="1" ht="12.75" x14ac:dyDescent="0.2">
      <c r="R62116" s="1288"/>
    </row>
    <row r="62117" spans="18:18" s="2" customFormat="1" ht="12.75" x14ac:dyDescent="0.2">
      <c r="R62117" s="1288"/>
    </row>
    <row r="62118" spans="18:18" s="2" customFormat="1" ht="12.75" x14ac:dyDescent="0.2">
      <c r="R62118" s="1288"/>
    </row>
    <row r="62119" spans="18:18" s="2" customFormat="1" ht="12.75" x14ac:dyDescent="0.2">
      <c r="R62119" s="1288"/>
    </row>
    <row r="62120" spans="18:18" s="2" customFormat="1" ht="12.75" x14ac:dyDescent="0.2">
      <c r="R62120" s="1288"/>
    </row>
    <row r="62121" spans="18:18" s="2" customFormat="1" ht="12.75" x14ac:dyDescent="0.2">
      <c r="R62121" s="1288"/>
    </row>
    <row r="62122" spans="18:18" s="2" customFormat="1" ht="12.75" x14ac:dyDescent="0.2">
      <c r="R62122" s="1288"/>
    </row>
    <row r="62123" spans="18:18" s="2" customFormat="1" ht="12.75" x14ac:dyDescent="0.2">
      <c r="R62123" s="1288"/>
    </row>
    <row r="62124" spans="18:18" s="2" customFormat="1" ht="12.75" x14ac:dyDescent="0.2">
      <c r="R62124" s="1288"/>
    </row>
    <row r="62125" spans="18:18" s="2" customFormat="1" ht="12.75" x14ac:dyDescent="0.2">
      <c r="R62125" s="1288"/>
    </row>
    <row r="62126" spans="18:18" s="2" customFormat="1" ht="12.75" x14ac:dyDescent="0.2">
      <c r="R62126" s="1288"/>
    </row>
    <row r="62127" spans="18:18" s="2" customFormat="1" ht="12.75" x14ac:dyDescent="0.2">
      <c r="R62127" s="1288"/>
    </row>
    <row r="62128" spans="18:18" s="2" customFormat="1" ht="12.75" x14ac:dyDescent="0.2">
      <c r="R62128" s="1288"/>
    </row>
    <row r="62129" spans="18:18" s="2" customFormat="1" ht="12.75" x14ac:dyDescent="0.2">
      <c r="R62129" s="1288"/>
    </row>
    <row r="62130" spans="18:18" s="2" customFormat="1" ht="12.75" x14ac:dyDescent="0.2">
      <c r="R62130" s="1288"/>
    </row>
    <row r="62131" spans="18:18" s="2" customFormat="1" ht="12.75" x14ac:dyDescent="0.2">
      <c r="R62131" s="1288"/>
    </row>
    <row r="62132" spans="18:18" s="2" customFormat="1" ht="12.75" x14ac:dyDescent="0.2">
      <c r="R62132" s="1288"/>
    </row>
    <row r="62133" spans="18:18" s="2" customFormat="1" ht="12.75" x14ac:dyDescent="0.2">
      <c r="R62133" s="1288"/>
    </row>
    <row r="62134" spans="18:18" s="2" customFormat="1" ht="12.75" x14ac:dyDescent="0.2">
      <c r="R62134" s="1288"/>
    </row>
    <row r="62135" spans="18:18" s="2" customFormat="1" ht="12.75" x14ac:dyDescent="0.2">
      <c r="R62135" s="1288"/>
    </row>
    <row r="62136" spans="18:18" s="2" customFormat="1" ht="12.75" x14ac:dyDescent="0.2">
      <c r="R62136" s="1288"/>
    </row>
    <row r="62137" spans="18:18" s="2" customFormat="1" ht="12.75" x14ac:dyDescent="0.2">
      <c r="R62137" s="1288"/>
    </row>
    <row r="62138" spans="18:18" s="2" customFormat="1" ht="12.75" x14ac:dyDescent="0.2">
      <c r="R62138" s="1288"/>
    </row>
    <row r="62139" spans="18:18" s="2" customFormat="1" ht="12.75" x14ac:dyDescent="0.2">
      <c r="R62139" s="1288"/>
    </row>
    <row r="62140" spans="18:18" s="2" customFormat="1" ht="12.75" x14ac:dyDescent="0.2">
      <c r="R62140" s="1288"/>
    </row>
    <row r="62141" spans="18:18" s="2" customFormat="1" ht="12.75" x14ac:dyDescent="0.2">
      <c r="R62141" s="1288"/>
    </row>
    <row r="62142" spans="18:18" s="2" customFormat="1" ht="12.75" x14ac:dyDescent="0.2">
      <c r="R62142" s="1288"/>
    </row>
    <row r="62143" spans="18:18" s="2" customFormat="1" ht="12.75" x14ac:dyDescent="0.2">
      <c r="R62143" s="1288"/>
    </row>
    <row r="62144" spans="18:18" s="2" customFormat="1" ht="12.75" x14ac:dyDescent="0.2">
      <c r="R62144" s="1288"/>
    </row>
    <row r="62145" spans="18:18" s="2" customFormat="1" ht="12.75" x14ac:dyDescent="0.2">
      <c r="R62145" s="1288"/>
    </row>
    <row r="62146" spans="18:18" s="2" customFormat="1" ht="12.75" x14ac:dyDescent="0.2">
      <c r="R62146" s="1288"/>
    </row>
    <row r="62147" spans="18:18" s="2" customFormat="1" ht="12.75" x14ac:dyDescent="0.2">
      <c r="R62147" s="1288"/>
    </row>
    <row r="62148" spans="18:18" s="2" customFormat="1" ht="12.75" x14ac:dyDescent="0.2">
      <c r="R62148" s="1288"/>
    </row>
    <row r="62149" spans="18:18" s="2" customFormat="1" ht="12.75" x14ac:dyDescent="0.2">
      <c r="R62149" s="1288"/>
    </row>
    <row r="62150" spans="18:18" s="2" customFormat="1" ht="12.75" x14ac:dyDescent="0.2">
      <c r="R62150" s="1288"/>
    </row>
    <row r="62151" spans="18:18" s="2" customFormat="1" ht="12.75" x14ac:dyDescent="0.2">
      <c r="R62151" s="1288"/>
    </row>
    <row r="62152" spans="18:18" s="2" customFormat="1" ht="12.75" x14ac:dyDescent="0.2">
      <c r="R62152" s="1288"/>
    </row>
    <row r="62153" spans="18:18" s="2" customFormat="1" ht="12.75" x14ac:dyDescent="0.2">
      <c r="R62153" s="1288"/>
    </row>
    <row r="62154" spans="18:18" s="2" customFormat="1" ht="12.75" x14ac:dyDescent="0.2">
      <c r="R62154" s="1288"/>
    </row>
    <row r="62155" spans="18:18" s="2" customFormat="1" ht="12.75" x14ac:dyDescent="0.2">
      <c r="R62155" s="1288"/>
    </row>
    <row r="62156" spans="18:18" s="2" customFormat="1" ht="12.75" x14ac:dyDescent="0.2">
      <c r="R62156" s="1288"/>
    </row>
    <row r="62157" spans="18:18" s="2" customFormat="1" ht="12.75" x14ac:dyDescent="0.2">
      <c r="R62157" s="1288"/>
    </row>
    <row r="62158" spans="18:18" s="2" customFormat="1" ht="12.75" x14ac:dyDescent="0.2">
      <c r="R62158" s="1288"/>
    </row>
    <row r="62159" spans="18:18" s="2" customFormat="1" ht="12.75" x14ac:dyDescent="0.2">
      <c r="R62159" s="1288"/>
    </row>
    <row r="62160" spans="18:18" s="2" customFormat="1" ht="12.75" x14ac:dyDescent="0.2">
      <c r="R62160" s="1288"/>
    </row>
    <row r="62161" spans="18:18" s="2" customFormat="1" ht="12.75" x14ac:dyDescent="0.2">
      <c r="R62161" s="1288"/>
    </row>
    <row r="62162" spans="18:18" s="2" customFormat="1" ht="12.75" x14ac:dyDescent="0.2">
      <c r="R62162" s="1288"/>
    </row>
    <row r="62163" spans="18:18" s="2" customFormat="1" ht="12.75" x14ac:dyDescent="0.2">
      <c r="R62163" s="1288"/>
    </row>
    <row r="62164" spans="18:18" s="2" customFormat="1" ht="12.75" x14ac:dyDescent="0.2">
      <c r="R62164" s="1288"/>
    </row>
    <row r="62165" spans="18:18" s="2" customFormat="1" ht="12.75" x14ac:dyDescent="0.2">
      <c r="R62165" s="1288"/>
    </row>
    <row r="62166" spans="18:18" s="2" customFormat="1" ht="12.75" x14ac:dyDescent="0.2">
      <c r="R62166" s="1288"/>
    </row>
    <row r="62167" spans="18:18" s="2" customFormat="1" ht="12.75" x14ac:dyDescent="0.2">
      <c r="R62167" s="1288"/>
    </row>
    <row r="62168" spans="18:18" s="2" customFormat="1" ht="12.75" x14ac:dyDescent="0.2">
      <c r="R62168" s="1288"/>
    </row>
    <row r="62169" spans="18:18" s="2" customFormat="1" ht="12.75" x14ac:dyDescent="0.2">
      <c r="R62169" s="1288"/>
    </row>
    <row r="62170" spans="18:18" s="2" customFormat="1" ht="12.75" x14ac:dyDescent="0.2">
      <c r="R62170" s="1288"/>
    </row>
    <row r="62171" spans="18:18" s="2" customFormat="1" ht="12.75" x14ac:dyDescent="0.2">
      <c r="R62171" s="1288"/>
    </row>
    <row r="62172" spans="18:18" s="2" customFormat="1" ht="12.75" x14ac:dyDescent="0.2">
      <c r="R62172" s="1288"/>
    </row>
    <row r="62173" spans="18:18" s="2" customFormat="1" ht="12.75" x14ac:dyDescent="0.2">
      <c r="R62173" s="1288"/>
    </row>
    <row r="62174" spans="18:18" s="2" customFormat="1" ht="12.75" x14ac:dyDescent="0.2">
      <c r="R62174" s="1288"/>
    </row>
    <row r="62175" spans="18:18" s="2" customFormat="1" ht="12.75" x14ac:dyDescent="0.2">
      <c r="R62175" s="1288"/>
    </row>
    <row r="62176" spans="18:18" s="2" customFormat="1" ht="12.75" x14ac:dyDescent="0.2">
      <c r="R62176" s="1288"/>
    </row>
    <row r="62177" spans="18:18" s="2" customFormat="1" ht="12.75" x14ac:dyDescent="0.2">
      <c r="R62177" s="1288"/>
    </row>
    <row r="62178" spans="18:18" s="2" customFormat="1" ht="12.75" x14ac:dyDescent="0.2">
      <c r="R62178" s="1288"/>
    </row>
    <row r="62179" spans="18:18" s="2" customFormat="1" ht="12.75" x14ac:dyDescent="0.2">
      <c r="R62179" s="1288"/>
    </row>
    <row r="62180" spans="18:18" s="2" customFormat="1" ht="12.75" x14ac:dyDescent="0.2">
      <c r="R62180" s="1288"/>
    </row>
    <row r="62181" spans="18:18" s="2" customFormat="1" ht="12.75" x14ac:dyDescent="0.2">
      <c r="R62181" s="1288"/>
    </row>
    <row r="62182" spans="18:18" s="2" customFormat="1" ht="12.75" x14ac:dyDescent="0.2">
      <c r="R62182" s="1288"/>
    </row>
    <row r="62183" spans="18:18" s="2" customFormat="1" ht="12.75" x14ac:dyDescent="0.2">
      <c r="R62183" s="1288"/>
    </row>
    <row r="62184" spans="18:18" s="2" customFormat="1" ht="12.75" x14ac:dyDescent="0.2">
      <c r="R62184" s="1288"/>
    </row>
    <row r="62185" spans="18:18" s="2" customFormat="1" ht="12.75" x14ac:dyDescent="0.2">
      <c r="R62185" s="1288"/>
    </row>
    <row r="62186" spans="18:18" s="2" customFormat="1" ht="12.75" x14ac:dyDescent="0.2">
      <c r="R62186" s="1288"/>
    </row>
    <row r="62187" spans="18:18" s="2" customFormat="1" ht="12.75" x14ac:dyDescent="0.2">
      <c r="R62187" s="1288"/>
    </row>
    <row r="62188" spans="18:18" s="2" customFormat="1" ht="12.75" x14ac:dyDescent="0.2">
      <c r="R62188" s="1288"/>
    </row>
    <row r="62189" spans="18:18" s="2" customFormat="1" ht="12.75" x14ac:dyDescent="0.2">
      <c r="R62189" s="1288"/>
    </row>
    <row r="62190" spans="18:18" s="2" customFormat="1" ht="12.75" x14ac:dyDescent="0.2">
      <c r="R62190" s="1288"/>
    </row>
    <row r="62191" spans="18:18" s="2" customFormat="1" ht="12.75" x14ac:dyDescent="0.2">
      <c r="R62191" s="1288"/>
    </row>
    <row r="62192" spans="18:18" s="2" customFormat="1" ht="12.75" x14ac:dyDescent="0.2">
      <c r="R62192" s="1288"/>
    </row>
    <row r="62193" spans="18:18" s="2" customFormat="1" ht="12.75" x14ac:dyDescent="0.2">
      <c r="R62193" s="1288"/>
    </row>
    <row r="62194" spans="18:18" s="2" customFormat="1" ht="12.75" x14ac:dyDescent="0.2">
      <c r="R62194" s="1288"/>
    </row>
    <row r="62195" spans="18:18" s="2" customFormat="1" ht="12.75" x14ac:dyDescent="0.2">
      <c r="R62195" s="1288"/>
    </row>
    <row r="62196" spans="18:18" s="2" customFormat="1" ht="12.75" x14ac:dyDescent="0.2">
      <c r="R62196" s="1288"/>
    </row>
    <row r="62197" spans="18:18" s="2" customFormat="1" ht="12.75" x14ac:dyDescent="0.2">
      <c r="R62197" s="1288"/>
    </row>
    <row r="62198" spans="18:18" s="2" customFormat="1" ht="12.75" x14ac:dyDescent="0.2">
      <c r="R62198" s="1288"/>
    </row>
    <row r="62199" spans="18:18" s="2" customFormat="1" ht="12.75" x14ac:dyDescent="0.2">
      <c r="R62199" s="1288"/>
    </row>
    <row r="62200" spans="18:18" s="2" customFormat="1" ht="12.75" x14ac:dyDescent="0.2">
      <c r="R62200" s="1288"/>
    </row>
    <row r="62201" spans="18:18" s="2" customFormat="1" ht="12.75" x14ac:dyDescent="0.2">
      <c r="R62201" s="1288"/>
    </row>
    <row r="62202" spans="18:18" s="2" customFormat="1" ht="12.75" x14ac:dyDescent="0.2">
      <c r="R62202" s="1288"/>
    </row>
    <row r="62203" spans="18:18" s="2" customFormat="1" ht="12.75" x14ac:dyDescent="0.2">
      <c r="R62203" s="1288"/>
    </row>
    <row r="62204" spans="18:18" s="2" customFormat="1" ht="12.75" x14ac:dyDescent="0.2">
      <c r="R62204" s="1288"/>
    </row>
    <row r="62205" spans="18:18" s="2" customFormat="1" ht="12.75" x14ac:dyDescent="0.2">
      <c r="R62205" s="1288"/>
    </row>
    <row r="62206" spans="18:18" s="2" customFormat="1" ht="12.75" x14ac:dyDescent="0.2">
      <c r="R62206" s="1288"/>
    </row>
    <row r="62207" spans="18:18" s="2" customFormat="1" ht="12.75" x14ac:dyDescent="0.2">
      <c r="R62207" s="1288"/>
    </row>
    <row r="62208" spans="18:18" s="2" customFormat="1" ht="12.75" x14ac:dyDescent="0.2">
      <c r="R62208" s="1288"/>
    </row>
    <row r="62209" spans="18:18" s="2" customFormat="1" ht="12.75" x14ac:dyDescent="0.2">
      <c r="R62209" s="1288"/>
    </row>
    <row r="62210" spans="18:18" s="2" customFormat="1" ht="12.75" x14ac:dyDescent="0.2">
      <c r="R62210" s="1288"/>
    </row>
    <row r="62211" spans="18:18" s="2" customFormat="1" ht="12.75" x14ac:dyDescent="0.2">
      <c r="R62211" s="1288"/>
    </row>
    <row r="62212" spans="18:18" s="2" customFormat="1" ht="12.75" x14ac:dyDescent="0.2">
      <c r="R62212" s="1288"/>
    </row>
    <row r="62213" spans="18:18" s="2" customFormat="1" ht="12.75" x14ac:dyDescent="0.2">
      <c r="R62213" s="1288"/>
    </row>
    <row r="62214" spans="18:18" s="2" customFormat="1" ht="12.75" x14ac:dyDescent="0.2">
      <c r="R62214" s="1288"/>
    </row>
    <row r="62215" spans="18:18" s="2" customFormat="1" ht="12.75" x14ac:dyDescent="0.2">
      <c r="R62215" s="1288"/>
    </row>
    <row r="62216" spans="18:18" s="2" customFormat="1" ht="12.75" x14ac:dyDescent="0.2">
      <c r="R62216" s="1288"/>
    </row>
    <row r="62217" spans="18:18" s="2" customFormat="1" ht="12.75" x14ac:dyDescent="0.2">
      <c r="R62217" s="1288"/>
    </row>
    <row r="62218" spans="18:18" s="2" customFormat="1" ht="12.75" x14ac:dyDescent="0.2">
      <c r="R62218" s="1288"/>
    </row>
    <row r="62219" spans="18:18" s="2" customFormat="1" ht="12.75" x14ac:dyDescent="0.2">
      <c r="R62219" s="1288"/>
    </row>
    <row r="62220" spans="18:18" s="2" customFormat="1" ht="12.75" x14ac:dyDescent="0.2">
      <c r="R62220" s="1288"/>
    </row>
    <row r="62221" spans="18:18" s="2" customFormat="1" ht="12.75" x14ac:dyDescent="0.2">
      <c r="R62221" s="1288"/>
    </row>
    <row r="62222" spans="18:18" s="2" customFormat="1" ht="12.75" x14ac:dyDescent="0.2">
      <c r="R62222" s="1288"/>
    </row>
    <row r="62223" spans="18:18" s="2" customFormat="1" ht="12.75" x14ac:dyDescent="0.2">
      <c r="R62223" s="1288"/>
    </row>
    <row r="62224" spans="18:18" s="2" customFormat="1" ht="12.75" x14ac:dyDescent="0.2">
      <c r="R62224" s="1288"/>
    </row>
    <row r="62225" spans="18:18" s="2" customFormat="1" ht="12.75" x14ac:dyDescent="0.2">
      <c r="R62225" s="1288"/>
    </row>
    <row r="62226" spans="18:18" s="2" customFormat="1" ht="12.75" x14ac:dyDescent="0.2">
      <c r="R62226" s="1288"/>
    </row>
    <row r="62227" spans="18:18" s="2" customFormat="1" ht="12.75" x14ac:dyDescent="0.2">
      <c r="R62227" s="1288"/>
    </row>
    <row r="62228" spans="18:18" s="2" customFormat="1" ht="12.75" x14ac:dyDescent="0.2">
      <c r="R62228" s="1288"/>
    </row>
    <row r="62229" spans="18:18" s="2" customFormat="1" ht="12.75" x14ac:dyDescent="0.2">
      <c r="R62229" s="1288"/>
    </row>
    <row r="62230" spans="18:18" s="2" customFormat="1" ht="12.75" x14ac:dyDescent="0.2">
      <c r="R62230" s="1288"/>
    </row>
    <row r="62231" spans="18:18" s="2" customFormat="1" ht="12.75" x14ac:dyDescent="0.2">
      <c r="R62231" s="1288"/>
    </row>
    <row r="62232" spans="18:18" s="2" customFormat="1" ht="12.75" x14ac:dyDescent="0.2">
      <c r="R62232" s="1288"/>
    </row>
    <row r="62233" spans="18:18" s="2" customFormat="1" ht="12.75" x14ac:dyDescent="0.2">
      <c r="R62233" s="1288"/>
    </row>
    <row r="62234" spans="18:18" s="2" customFormat="1" ht="12.75" x14ac:dyDescent="0.2">
      <c r="R62234" s="1288"/>
    </row>
    <row r="62235" spans="18:18" s="2" customFormat="1" ht="12.75" x14ac:dyDescent="0.2">
      <c r="R62235" s="1288"/>
    </row>
    <row r="62236" spans="18:18" s="2" customFormat="1" ht="12.75" x14ac:dyDescent="0.2">
      <c r="R62236" s="1288"/>
    </row>
    <row r="62237" spans="18:18" s="2" customFormat="1" ht="12.75" x14ac:dyDescent="0.2">
      <c r="R62237" s="1288"/>
    </row>
    <row r="62238" spans="18:18" s="2" customFormat="1" ht="12.75" x14ac:dyDescent="0.2">
      <c r="R62238" s="1288"/>
    </row>
    <row r="62239" spans="18:18" s="2" customFormat="1" ht="12.75" x14ac:dyDescent="0.2">
      <c r="R62239" s="1288"/>
    </row>
    <row r="62240" spans="18:18" s="2" customFormat="1" ht="12.75" x14ac:dyDescent="0.2">
      <c r="R62240" s="1288"/>
    </row>
    <row r="62241" spans="18:18" s="2" customFormat="1" ht="12.75" x14ac:dyDescent="0.2">
      <c r="R62241" s="1288"/>
    </row>
    <row r="62242" spans="18:18" s="2" customFormat="1" ht="12.75" x14ac:dyDescent="0.2">
      <c r="R62242" s="1288"/>
    </row>
    <row r="62243" spans="18:18" s="2" customFormat="1" ht="12.75" x14ac:dyDescent="0.2">
      <c r="R62243" s="1288"/>
    </row>
    <row r="62244" spans="18:18" s="2" customFormat="1" ht="12.75" x14ac:dyDescent="0.2">
      <c r="R62244" s="1288"/>
    </row>
    <row r="62245" spans="18:18" s="2" customFormat="1" ht="12.75" x14ac:dyDescent="0.2">
      <c r="R62245" s="1288"/>
    </row>
    <row r="62246" spans="18:18" s="2" customFormat="1" ht="12.75" x14ac:dyDescent="0.2">
      <c r="R62246" s="1288"/>
    </row>
    <row r="62247" spans="18:18" s="2" customFormat="1" ht="12.75" x14ac:dyDescent="0.2">
      <c r="R62247" s="1288"/>
    </row>
    <row r="62248" spans="18:18" s="2" customFormat="1" ht="12.75" x14ac:dyDescent="0.2">
      <c r="R62248" s="1288"/>
    </row>
    <row r="62249" spans="18:18" s="2" customFormat="1" ht="12.75" x14ac:dyDescent="0.2">
      <c r="R62249" s="1288"/>
    </row>
    <row r="62250" spans="18:18" s="2" customFormat="1" ht="12.75" x14ac:dyDescent="0.2">
      <c r="R62250" s="1288"/>
    </row>
    <row r="62251" spans="18:18" s="2" customFormat="1" ht="12.75" x14ac:dyDescent="0.2">
      <c r="R62251" s="1288"/>
    </row>
    <row r="62252" spans="18:18" s="2" customFormat="1" ht="12.75" x14ac:dyDescent="0.2">
      <c r="R62252" s="1288"/>
    </row>
    <row r="62253" spans="18:18" s="2" customFormat="1" ht="12.75" x14ac:dyDescent="0.2">
      <c r="R62253" s="1288"/>
    </row>
    <row r="62254" spans="18:18" s="2" customFormat="1" ht="12.75" x14ac:dyDescent="0.2">
      <c r="R62254" s="1288"/>
    </row>
    <row r="62255" spans="18:18" s="2" customFormat="1" ht="12.75" x14ac:dyDescent="0.2">
      <c r="R62255" s="1288"/>
    </row>
    <row r="62256" spans="18:18" s="2" customFormat="1" ht="12.75" x14ac:dyDescent="0.2">
      <c r="R62256" s="1288"/>
    </row>
    <row r="62257" spans="18:18" s="2" customFormat="1" ht="12.75" x14ac:dyDescent="0.2">
      <c r="R62257" s="1288"/>
    </row>
    <row r="62258" spans="18:18" s="2" customFormat="1" ht="12.75" x14ac:dyDescent="0.2">
      <c r="R62258" s="1288"/>
    </row>
    <row r="62259" spans="18:18" s="2" customFormat="1" ht="12.75" x14ac:dyDescent="0.2">
      <c r="R62259" s="1288"/>
    </row>
    <row r="62260" spans="18:18" s="2" customFormat="1" ht="12.75" x14ac:dyDescent="0.2">
      <c r="R62260" s="1288"/>
    </row>
    <row r="62261" spans="18:18" s="2" customFormat="1" ht="12.75" x14ac:dyDescent="0.2">
      <c r="R62261" s="1288"/>
    </row>
    <row r="62262" spans="18:18" s="2" customFormat="1" ht="12.75" x14ac:dyDescent="0.2">
      <c r="R62262" s="1288"/>
    </row>
    <row r="62263" spans="18:18" s="2" customFormat="1" ht="12.75" x14ac:dyDescent="0.2">
      <c r="R62263" s="1288"/>
    </row>
    <row r="62264" spans="18:18" s="2" customFormat="1" ht="12.75" x14ac:dyDescent="0.2">
      <c r="R62264" s="1288"/>
    </row>
    <row r="62265" spans="18:18" s="2" customFormat="1" ht="12.75" x14ac:dyDescent="0.2">
      <c r="R62265" s="1288"/>
    </row>
    <row r="62266" spans="18:18" s="2" customFormat="1" ht="12.75" x14ac:dyDescent="0.2">
      <c r="R62266" s="1288"/>
    </row>
    <row r="62267" spans="18:18" s="2" customFormat="1" ht="12.75" x14ac:dyDescent="0.2">
      <c r="R62267" s="1288"/>
    </row>
    <row r="62268" spans="18:18" s="2" customFormat="1" ht="12.75" x14ac:dyDescent="0.2">
      <c r="R62268" s="1288"/>
    </row>
    <row r="62269" spans="18:18" s="2" customFormat="1" ht="12.75" x14ac:dyDescent="0.2">
      <c r="R62269" s="1288"/>
    </row>
    <row r="62270" spans="18:18" s="2" customFormat="1" ht="12.75" x14ac:dyDescent="0.2">
      <c r="R62270" s="1288"/>
    </row>
    <row r="62271" spans="18:18" s="2" customFormat="1" ht="12.75" x14ac:dyDescent="0.2">
      <c r="R62271" s="1288"/>
    </row>
    <row r="62272" spans="18:18" s="2" customFormat="1" ht="12.75" x14ac:dyDescent="0.2">
      <c r="R62272" s="1288"/>
    </row>
    <row r="62273" spans="18:18" s="2" customFormat="1" ht="12.75" x14ac:dyDescent="0.2">
      <c r="R62273" s="1288"/>
    </row>
    <row r="62274" spans="18:18" s="2" customFormat="1" ht="12.75" x14ac:dyDescent="0.2">
      <c r="R62274" s="1288"/>
    </row>
    <row r="62275" spans="18:18" s="2" customFormat="1" ht="12.75" x14ac:dyDescent="0.2">
      <c r="R62275" s="1288"/>
    </row>
    <row r="62276" spans="18:18" s="2" customFormat="1" ht="12.75" x14ac:dyDescent="0.2">
      <c r="R62276" s="1288"/>
    </row>
    <row r="62277" spans="18:18" s="2" customFormat="1" ht="12.75" x14ac:dyDescent="0.2">
      <c r="R62277" s="1288"/>
    </row>
    <row r="62278" spans="18:18" s="2" customFormat="1" ht="12.75" x14ac:dyDescent="0.2">
      <c r="R62278" s="1288"/>
    </row>
    <row r="62279" spans="18:18" s="2" customFormat="1" ht="12.75" x14ac:dyDescent="0.2">
      <c r="R62279" s="1288"/>
    </row>
    <row r="62280" spans="18:18" s="2" customFormat="1" ht="12.75" x14ac:dyDescent="0.2">
      <c r="R62280" s="1288"/>
    </row>
    <row r="62281" spans="18:18" s="2" customFormat="1" ht="12.75" x14ac:dyDescent="0.2">
      <c r="R62281" s="1288"/>
    </row>
    <row r="62282" spans="18:18" s="2" customFormat="1" ht="12.75" x14ac:dyDescent="0.2">
      <c r="R62282" s="1288"/>
    </row>
    <row r="62283" spans="18:18" s="2" customFormat="1" ht="12.75" x14ac:dyDescent="0.2">
      <c r="R62283" s="1288"/>
    </row>
    <row r="62284" spans="18:18" s="2" customFormat="1" ht="12.75" x14ac:dyDescent="0.2">
      <c r="R62284" s="1288"/>
    </row>
    <row r="62285" spans="18:18" s="2" customFormat="1" ht="12.75" x14ac:dyDescent="0.2">
      <c r="R62285" s="1288"/>
    </row>
    <row r="62286" spans="18:18" s="2" customFormat="1" ht="12.75" x14ac:dyDescent="0.2">
      <c r="R62286" s="1288"/>
    </row>
    <row r="62287" spans="18:18" s="2" customFormat="1" ht="12.75" x14ac:dyDescent="0.2">
      <c r="R62287" s="1288"/>
    </row>
    <row r="62288" spans="18:18" s="2" customFormat="1" ht="12.75" x14ac:dyDescent="0.2">
      <c r="R62288" s="1288"/>
    </row>
    <row r="62289" spans="18:18" s="2" customFormat="1" ht="12.75" x14ac:dyDescent="0.2">
      <c r="R62289" s="1288"/>
    </row>
    <row r="62290" spans="18:18" s="2" customFormat="1" ht="12.75" x14ac:dyDescent="0.2">
      <c r="R62290" s="1288"/>
    </row>
    <row r="62291" spans="18:18" s="2" customFormat="1" ht="12.75" x14ac:dyDescent="0.2">
      <c r="R62291" s="1288"/>
    </row>
    <row r="62292" spans="18:18" s="2" customFormat="1" ht="12.75" x14ac:dyDescent="0.2">
      <c r="R62292" s="1288"/>
    </row>
    <row r="62293" spans="18:18" s="2" customFormat="1" ht="12.75" x14ac:dyDescent="0.2">
      <c r="R62293" s="1288"/>
    </row>
    <row r="62294" spans="18:18" s="2" customFormat="1" ht="12.75" x14ac:dyDescent="0.2">
      <c r="R62294" s="1288"/>
    </row>
    <row r="62295" spans="18:18" s="2" customFormat="1" ht="12.75" x14ac:dyDescent="0.2">
      <c r="R62295" s="1288"/>
    </row>
    <row r="62296" spans="18:18" s="2" customFormat="1" ht="12.75" x14ac:dyDescent="0.2">
      <c r="R62296" s="1288"/>
    </row>
    <row r="62297" spans="18:18" s="2" customFormat="1" ht="12.75" x14ac:dyDescent="0.2">
      <c r="R62297" s="1288"/>
    </row>
    <row r="62298" spans="18:18" s="2" customFormat="1" ht="12.75" x14ac:dyDescent="0.2">
      <c r="R62298" s="1288"/>
    </row>
    <row r="62299" spans="18:18" s="2" customFormat="1" ht="12.75" x14ac:dyDescent="0.2">
      <c r="R62299" s="1288"/>
    </row>
    <row r="62300" spans="18:18" s="2" customFormat="1" ht="12.75" x14ac:dyDescent="0.2">
      <c r="R62300" s="1288"/>
    </row>
    <row r="62301" spans="18:18" s="2" customFormat="1" ht="12.75" x14ac:dyDescent="0.2">
      <c r="R62301" s="1288"/>
    </row>
    <row r="62302" spans="18:18" s="2" customFormat="1" ht="12.75" x14ac:dyDescent="0.2">
      <c r="R62302" s="1288"/>
    </row>
    <row r="62303" spans="18:18" s="2" customFormat="1" ht="12.75" x14ac:dyDescent="0.2">
      <c r="R62303" s="1288"/>
    </row>
    <row r="62304" spans="18:18" s="2" customFormat="1" ht="12.75" x14ac:dyDescent="0.2">
      <c r="R62304" s="1288"/>
    </row>
    <row r="62305" spans="18:18" s="2" customFormat="1" ht="12.75" x14ac:dyDescent="0.2">
      <c r="R62305" s="1288"/>
    </row>
    <row r="62306" spans="18:18" s="2" customFormat="1" ht="12.75" x14ac:dyDescent="0.2">
      <c r="R62306" s="1288"/>
    </row>
    <row r="62307" spans="18:18" s="2" customFormat="1" ht="12.75" x14ac:dyDescent="0.2">
      <c r="R62307" s="1288"/>
    </row>
    <row r="62308" spans="18:18" s="2" customFormat="1" ht="12.75" x14ac:dyDescent="0.2">
      <c r="R62308" s="1288"/>
    </row>
    <row r="62309" spans="18:18" s="2" customFormat="1" ht="12.75" x14ac:dyDescent="0.2">
      <c r="R62309" s="1288"/>
    </row>
    <row r="62310" spans="18:18" s="2" customFormat="1" ht="12.75" x14ac:dyDescent="0.2">
      <c r="R62310" s="1288"/>
    </row>
    <row r="62311" spans="18:18" s="2" customFormat="1" ht="12.75" x14ac:dyDescent="0.2">
      <c r="R62311" s="1288"/>
    </row>
    <row r="62312" spans="18:18" s="2" customFormat="1" ht="12.75" x14ac:dyDescent="0.2">
      <c r="R62312" s="1288"/>
    </row>
    <row r="62313" spans="18:18" s="2" customFormat="1" ht="12.75" x14ac:dyDescent="0.2">
      <c r="R62313" s="1288"/>
    </row>
    <row r="62314" spans="18:18" s="2" customFormat="1" ht="12.75" x14ac:dyDescent="0.2">
      <c r="R62314" s="1288"/>
    </row>
    <row r="62315" spans="18:18" s="2" customFormat="1" ht="12.75" x14ac:dyDescent="0.2">
      <c r="R62315" s="1288"/>
    </row>
    <row r="62316" spans="18:18" s="2" customFormat="1" ht="12.75" x14ac:dyDescent="0.2">
      <c r="R62316" s="1288"/>
    </row>
    <row r="62317" spans="18:18" s="2" customFormat="1" ht="12.75" x14ac:dyDescent="0.2">
      <c r="R62317" s="1288"/>
    </row>
    <row r="62318" spans="18:18" s="2" customFormat="1" ht="12.75" x14ac:dyDescent="0.2">
      <c r="R62318" s="1288"/>
    </row>
    <row r="62319" spans="18:18" s="2" customFormat="1" ht="12.75" x14ac:dyDescent="0.2">
      <c r="R62319" s="1288"/>
    </row>
    <row r="62320" spans="18:18" s="2" customFormat="1" ht="12.75" x14ac:dyDescent="0.2">
      <c r="R62320" s="1288"/>
    </row>
    <row r="62321" spans="18:18" s="2" customFormat="1" ht="12.75" x14ac:dyDescent="0.2">
      <c r="R62321" s="1288"/>
    </row>
    <row r="62322" spans="18:18" s="2" customFormat="1" ht="12.75" x14ac:dyDescent="0.2">
      <c r="R62322" s="1288"/>
    </row>
    <row r="62323" spans="18:18" s="2" customFormat="1" ht="12.75" x14ac:dyDescent="0.2">
      <c r="R62323" s="1288"/>
    </row>
    <row r="62324" spans="18:18" s="2" customFormat="1" ht="12.75" x14ac:dyDescent="0.2">
      <c r="R62324" s="1288"/>
    </row>
    <row r="62325" spans="18:18" s="2" customFormat="1" ht="12.75" x14ac:dyDescent="0.2">
      <c r="R62325" s="1288"/>
    </row>
    <row r="62326" spans="18:18" s="2" customFormat="1" ht="12.75" x14ac:dyDescent="0.2">
      <c r="R62326" s="1288"/>
    </row>
    <row r="62327" spans="18:18" s="2" customFormat="1" ht="12.75" x14ac:dyDescent="0.2">
      <c r="R62327" s="1288"/>
    </row>
    <row r="62328" spans="18:18" s="2" customFormat="1" ht="12.75" x14ac:dyDescent="0.2">
      <c r="R62328" s="1288"/>
    </row>
    <row r="62329" spans="18:18" s="2" customFormat="1" ht="12.75" x14ac:dyDescent="0.2">
      <c r="R62329" s="1288"/>
    </row>
    <row r="62330" spans="18:18" s="2" customFormat="1" ht="12.75" x14ac:dyDescent="0.2">
      <c r="R62330" s="1288"/>
    </row>
    <row r="62331" spans="18:18" s="2" customFormat="1" ht="12.75" x14ac:dyDescent="0.2">
      <c r="R62331" s="1288"/>
    </row>
    <row r="62332" spans="18:18" s="2" customFormat="1" ht="12.75" x14ac:dyDescent="0.2">
      <c r="R62332" s="1288"/>
    </row>
    <row r="62333" spans="18:18" s="2" customFormat="1" ht="12.75" x14ac:dyDescent="0.2">
      <c r="R62333" s="1288"/>
    </row>
    <row r="62334" spans="18:18" s="2" customFormat="1" ht="12.75" x14ac:dyDescent="0.2">
      <c r="R62334" s="1288"/>
    </row>
    <row r="62335" spans="18:18" s="2" customFormat="1" ht="12.75" x14ac:dyDescent="0.2">
      <c r="R62335" s="1288"/>
    </row>
    <row r="62336" spans="18:18" s="2" customFormat="1" ht="12.75" x14ac:dyDescent="0.2">
      <c r="R62336" s="1288"/>
    </row>
    <row r="62337" spans="18:18" s="2" customFormat="1" ht="12.75" x14ac:dyDescent="0.2">
      <c r="R62337" s="1288"/>
    </row>
    <row r="62338" spans="18:18" s="2" customFormat="1" ht="12.75" x14ac:dyDescent="0.2">
      <c r="R62338" s="1288"/>
    </row>
    <row r="62339" spans="18:18" s="2" customFormat="1" ht="12.75" x14ac:dyDescent="0.2">
      <c r="R62339" s="1288"/>
    </row>
    <row r="62340" spans="18:18" s="2" customFormat="1" ht="12.75" x14ac:dyDescent="0.2">
      <c r="R62340" s="1288"/>
    </row>
    <row r="62341" spans="18:18" s="2" customFormat="1" ht="12.75" x14ac:dyDescent="0.2">
      <c r="R62341" s="1288"/>
    </row>
    <row r="62342" spans="18:18" s="2" customFormat="1" ht="12.75" x14ac:dyDescent="0.2">
      <c r="R62342" s="1288"/>
    </row>
    <row r="62343" spans="18:18" s="2" customFormat="1" ht="12.75" x14ac:dyDescent="0.2">
      <c r="R62343" s="1288"/>
    </row>
    <row r="62344" spans="18:18" s="2" customFormat="1" ht="12.75" x14ac:dyDescent="0.2">
      <c r="R62344" s="1288"/>
    </row>
    <row r="62345" spans="18:18" s="2" customFormat="1" ht="12.75" x14ac:dyDescent="0.2">
      <c r="R62345" s="1288"/>
    </row>
    <row r="62346" spans="18:18" s="2" customFormat="1" ht="12.75" x14ac:dyDescent="0.2">
      <c r="R62346" s="1288"/>
    </row>
    <row r="62347" spans="18:18" s="2" customFormat="1" ht="12.75" x14ac:dyDescent="0.2">
      <c r="R62347" s="1288"/>
    </row>
    <row r="62348" spans="18:18" s="2" customFormat="1" ht="12.75" x14ac:dyDescent="0.2">
      <c r="R62348" s="1288"/>
    </row>
    <row r="62349" spans="18:18" s="2" customFormat="1" ht="12.75" x14ac:dyDescent="0.2">
      <c r="R62349" s="1288"/>
    </row>
    <row r="62350" spans="18:18" s="2" customFormat="1" ht="12.75" x14ac:dyDescent="0.2">
      <c r="R62350" s="1288"/>
    </row>
    <row r="62351" spans="18:18" s="2" customFormat="1" ht="12.75" x14ac:dyDescent="0.2">
      <c r="R62351" s="1288"/>
    </row>
    <row r="62352" spans="18:18" s="2" customFormat="1" ht="12.75" x14ac:dyDescent="0.2">
      <c r="R62352" s="1288"/>
    </row>
    <row r="62353" spans="18:18" s="2" customFormat="1" ht="12.75" x14ac:dyDescent="0.2">
      <c r="R62353" s="1288"/>
    </row>
    <row r="62354" spans="18:18" s="2" customFormat="1" ht="12.75" x14ac:dyDescent="0.2">
      <c r="R62354" s="1288"/>
    </row>
    <row r="62355" spans="18:18" s="2" customFormat="1" ht="12.75" x14ac:dyDescent="0.2">
      <c r="R62355" s="1288"/>
    </row>
    <row r="62356" spans="18:18" s="2" customFormat="1" ht="12.75" x14ac:dyDescent="0.2">
      <c r="R62356" s="1288"/>
    </row>
    <row r="62357" spans="18:18" s="2" customFormat="1" ht="12.75" x14ac:dyDescent="0.2">
      <c r="R62357" s="1288"/>
    </row>
    <row r="62358" spans="18:18" s="2" customFormat="1" ht="12.75" x14ac:dyDescent="0.2">
      <c r="R62358" s="1288"/>
    </row>
    <row r="62359" spans="18:18" s="2" customFormat="1" ht="12.75" x14ac:dyDescent="0.2">
      <c r="R62359" s="1288"/>
    </row>
    <row r="62360" spans="18:18" s="2" customFormat="1" ht="12.75" x14ac:dyDescent="0.2">
      <c r="R62360" s="1288"/>
    </row>
    <row r="62361" spans="18:18" s="2" customFormat="1" ht="12.75" x14ac:dyDescent="0.2">
      <c r="R62361" s="1288"/>
    </row>
    <row r="62362" spans="18:18" s="2" customFormat="1" ht="12.75" x14ac:dyDescent="0.2">
      <c r="R62362" s="1288"/>
    </row>
    <row r="62363" spans="18:18" s="2" customFormat="1" ht="12.75" x14ac:dyDescent="0.2">
      <c r="R62363" s="1288"/>
    </row>
    <row r="62364" spans="18:18" s="2" customFormat="1" ht="12.75" x14ac:dyDescent="0.2">
      <c r="R62364" s="1288"/>
    </row>
    <row r="62365" spans="18:18" s="2" customFormat="1" ht="12.75" x14ac:dyDescent="0.2">
      <c r="R62365" s="1288"/>
    </row>
    <row r="62366" spans="18:18" s="2" customFormat="1" ht="12.75" x14ac:dyDescent="0.2">
      <c r="R62366" s="1288"/>
    </row>
    <row r="62367" spans="18:18" s="2" customFormat="1" ht="12.75" x14ac:dyDescent="0.2">
      <c r="R62367" s="1288"/>
    </row>
    <row r="62368" spans="18:18" s="2" customFormat="1" ht="12.75" x14ac:dyDescent="0.2">
      <c r="R62368" s="1288"/>
    </row>
    <row r="62369" spans="18:18" s="2" customFormat="1" ht="12.75" x14ac:dyDescent="0.2">
      <c r="R62369" s="1288"/>
    </row>
    <row r="62370" spans="18:18" s="2" customFormat="1" ht="12.75" x14ac:dyDescent="0.2">
      <c r="R62370" s="1288"/>
    </row>
    <row r="62371" spans="18:18" s="2" customFormat="1" ht="12.75" x14ac:dyDescent="0.2">
      <c r="R62371" s="1288"/>
    </row>
    <row r="62372" spans="18:18" s="2" customFormat="1" ht="12.75" x14ac:dyDescent="0.2">
      <c r="R62372" s="1288"/>
    </row>
    <row r="62373" spans="18:18" s="2" customFormat="1" ht="12.75" x14ac:dyDescent="0.2">
      <c r="R62373" s="1288"/>
    </row>
    <row r="62374" spans="18:18" s="2" customFormat="1" ht="12.75" x14ac:dyDescent="0.2">
      <c r="R62374" s="1288"/>
    </row>
    <row r="62375" spans="18:18" s="2" customFormat="1" ht="12.75" x14ac:dyDescent="0.2">
      <c r="R62375" s="1288"/>
    </row>
    <row r="62376" spans="18:18" s="2" customFormat="1" ht="12.75" x14ac:dyDescent="0.2">
      <c r="R62376" s="1288"/>
    </row>
    <row r="62377" spans="18:18" s="2" customFormat="1" ht="12.75" x14ac:dyDescent="0.2">
      <c r="R62377" s="1288"/>
    </row>
    <row r="62378" spans="18:18" s="2" customFormat="1" ht="12.75" x14ac:dyDescent="0.2">
      <c r="R62378" s="1288"/>
    </row>
    <row r="62379" spans="18:18" s="2" customFormat="1" ht="12.75" x14ac:dyDescent="0.2">
      <c r="R62379" s="1288"/>
    </row>
    <row r="62380" spans="18:18" s="2" customFormat="1" ht="12.75" x14ac:dyDescent="0.2">
      <c r="R62380" s="1288"/>
    </row>
    <row r="62381" spans="18:18" s="2" customFormat="1" ht="12.75" x14ac:dyDescent="0.2">
      <c r="R62381" s="1288"/>
    </row>
    <row r="62382" spans="18:18" s="2" customFormat="1" ht="12.75" x14ac:dyDescent="0.2">
      <c r="R62382" s="1288"/>
    </row>
    <row r="62383" spans="18:18" s="2" customFormat="1" ht="12.75" x14ac:dyDescent="0.2">
      <c r="R62383" s="1288"/>
    </row>
    <row r="62384" spans="18:18" s="2" customFormat="1" ht="12.75" x14ac:dyDescent="0.2">
      <c r="R62384" s="1288"/>
    </row>
    <row r="62385" spans="18:18" s="2" customFormat="1" ht="12.75" x14ac:dyDescent="0.2">
      <c r="R62385" s="1288"/>
    </row>
    <row r="62386" spans="18:18" s="2" customFormat="1" ht="12.75" x14ac:dyDescent="0.2">
      <c r="R62386" s="1288"/>
    </row>
    <row r="62387" spans="18:18" s="2" customFormat="1" ht="12.75" x14ac:dyDescent="0.2">
      <c r="R62387" s="1288"/>
    </row>
    <row r="62388" spans="18:18" s="2" customFormat="1" ht="12.75" x14ac:dyDescent="0.2">
      <c r="R62388" s="1288"/>
    </row>
    <row r="62389" spans="18:18" s="2" customFormat="1" ht="12.75" x14ac:dyDescent="0.2">
      <c r="R62389" s="1288"/>
    </row>
    <row r="62390" spans="18:18" s="2" customFormat="1" ht="12.75" x14ac:dyDescent="0.2">
      <c r="R62390" s="1288"/>
    </row>
    <row r="62391" spans="18:18" s="2" customFormat="1" ht="12.75" x14ac:dyDescent="0.2">
      <c r="R62391" s="1288"/>
    </row>
    <row r="62392" spans="18:18" s="2" customFormat="1" ht="12.75" x14ac:dyDescent="0.2">
      <c r="R62392" s="1288"/>
    </row>
    <row r="62393" spans="18:18" s="2" customFormat="1" ht="12.75" x14ac:dyDescent="0.2">
      <c r="R62393" s="1288"/>
    </row>
    <row r="62394" spans="18:18" s="2" customFormat="1" ht="12.75" x14ac:dyDescent="0.2">
      <c r="R62394" s="1288"/>
    </row>
    <row r="62395" spans="18:18" s="2" customFormat="1" ht="12.75" x14ac:dyDescent="0.2">
      <c r="R62395" s="1288"/>
    </row>
    <row r="62396" spans="18:18" s="2" customFormat="1" ht="12.75" x14ac:dyDescent="0.2">
      <c r="R62396" s="1288"/>
    </row>
    <row r="62397" spans="18:18" s="2" customFormat="1" ht="12.75" x14ac:dyDescent="0.2">
      <c r="R62397" s="1288"/>
    </row>
    <row r="62398" spans="18:18" s="2" customFormat="1" ht="12.75" x14ac:dyDescent="0.2">
      <c r="R62398" s="1288"/>
    </row>
    <row r="62399" spans="18:18" s="2" customFormat="1" ht="12.75" x14ac:dyDescent="0.2">
      <c r="R62399" s="1288"/>
    </row>
    <row r="62400" spans="18:18" s="2" customFormat="1" ht="12.75" x14ac:dyDescent="0.2">
      <c r="R62400" s="1288"/>
    </row>
    <row r="62401" spans="18:18" s="2" customFormat="1" ht="12.75" x14ac:dyDescent="0.2">
      <c r="R62401" s="1288"/>
    </row>
    <row r="62402" spans="18:18" s="2" customFormat="1" ht="12.75" x14ac:dyDescent="0.2">
      <c r="R62402" s="1288"/>
    </row>
    <row r="62403" spans="18:18" s="2" customFormat="1" ht="12.75" x14ac:dyDescent="0.2">
      <c r="R62403" s="1288"/>
    </row>
    <row r="62404" spans="18:18" s="2" customFormat="1" ht="12.75" x14ac:dyDescent="0.2">
      <c r="R62404" s="1288"/>
    </row>
    <row r="62405" spans="18:18" s="2" customFormat="1" ht="12.75" x14ac:dyDescent="0.2">
      <c r="R62405" s="1288"/>
    </row>
    <row r="62406" spans="18:18" s="2" customFormat="1" ht="12.75" x14ac:dyDescent="0.2">
      <c r="R62406" s="1288"/>
    </row>
    <row r="62407" spans="18:18" s="2" customFormat="1" ht="12.75" x14ac:dyDescent="0.2">
      <c r="R62407" s="1288"/>
    </row>
    <row r="62408" spans="18:18" s="2" customFormat="1" ht="12.75" x14ac:dyDescent="0.2">
      <c r="R62408" s="1288"/>
    </row>
    <row r="62409" spans="18:18" s="2" customFormat="1" ht="12.75" x14ac:dyDescent="0.2">
      <c r="R62409" s="1288"/>
    </row>
    <row r="62410" spans="18:18" s="2" customFormat="1" ht="12.75" x14ac:dyDescent="0.2">
      <c r="R62410" s="1288"/>
    </row>
    <row r="62411" spans="18:18" s="2" customFormat="1" ht="12.75" x14ac:dyDescent="0.2">
      <c r="R62411" s="1288"/>
    </row>
    <row r="62412" spans="18:18" s="2" customFormat="1" ht="12.75" x14ac:dyDescent="0.2">
      <c r="R62412" s="1288"/>
    </row>
    <row r="62413" spans="18:18" s="2" customFormat="1" ht="12.75" x14ac:dyDescent="0.2">
      <c r="R62413" s="1288"/>
    </row>
    <row r="62414" spans="18:18" s="2" customFormat="1" ht="12.75" x14ac:dyDescent="0.2">
      <c r="R62414" s="1288"/>
    </row>
    <row r="62415" spans="18:18" s="2" customFormat="1" ht="12.75" x14ac:dyDescent="0.2">
      <c r="R62415" s="1288"/>
    </row>
    <row r="62416" spans="18:18" s="2" customFormat="1" ht="12.75" x14ac:dyDescent="0.2">
      <c r="R62416" s="1288"/>
    </row>
    <row r="62417" spans="18:18" s="2" customFormat="1" ht="12.75" x14ac:dyDescent="0.2">
      <c r="R62417" s="1288"/>
    </row>
    <row r="62418" spans="18:18" s="2" customFormat="1" ht="12.75" x14ac:dyDescent="0.2">
      <c r="R62418" s="1288"/>
    </row>
    <row r="62419" spans="18:18" s="2" customFormat="1" ht="12.75" x14ac:dyDescent="0.2">
      <c r="R62419" s="1288"/>
    </row>
    <row r="62420" spans="18:18" s="2" customFormat="1" ht="12.75" x14ac:dyDescent="0.2">
      <c r="R62420" s="1288"/>
    </row>
    <row r="62421" spans="18:18" s="2" customFormat="1" ht="12.75" x14ac:dyDescent="0.2">
      <c r="R62421" s="1288"/>
    </row>
    <row r="62422" spans="18:18" s="2" customFormat="1" ht="12.75" x14ac:dyDescent="0.2">
      <c r="R62422" s="1288"/>
    </row>
    <row r="62423" spans="18:18" s="2" customFormat="1" ht="12.75" x14ac:dyDescent="0.2">
      <c r="R62423" s="1288"/>
    </row>
    <row r="62424" spans="18:18" s="2" customFormat="1" ht="12.75" x14ac:dyDescent="0.2">
      <c r="R62424" s="1288"/>
    </row>
    <row r="62425" spans="18:18" s="2" customFormat="1" ht="12.75" x14ac:dyDescent="0.2">
      <c r="R62425" s="1288"/>
    </row>
    <row r="62426" spans="18:18" s="2" customFormat="1" ht="12.75" x14ac:dyDescent="0.2">
      <c r="R62426" s="1288"/>
    </row>
    <row r="62427" spans="18:18" s="2" customFormat="1" ht="12.75" x14ac:dyDescent="0.2">
      <c r="R62427" s="1288"/>
    </row>
    <row r="62428" spans="18:18" s="2" customFormat="1" ht="12.75" x14ac:dyDescent="0.2">
      <c r="R62428" s="1288"/>
    </row>
    <row r="62429" spans="18:18" s="2" customFormat="1" ht="12.75" x14ac:dyDescent="0.2">
      <c r="R62429" s="1288"/>
    </row>
    <row r="62430" spans="18:18" s="2" customFormat="1" ht="12.75" x14ac:dyDescent="0.2">
      <c r="R62430" s="1288"/>
    </row>
    <row r="62431" spans="18:18" s="2" customFormat="1" ht="12.75" x14ac:dyDescent="0.2">
      <c r="R62431" s="1288"/>
    </row>
    <row r="62432" spans="18:18" s="2" customFormat="1" ht="12.75" x14ac:dyDescent="0.2">
      <c r="R62432" s="1288"/>
    </row>
    <row r="62433" spans="18:18" s="2" customFormat="1" ht="12.75" x14ac:dyDescent="0.2">
      <c r="R62433" s="1288"/>
    </row>
    <row r="62434" spans="18:18" s="2" customFormat="1" ht="12.75" x14ac:dyDescent="0.2">
      <c r="R62434" s="1288"/>
    </row>
    <row r="62435" spans="18:18" s="2" customFormat="1" ht="12.75" x14ac:dyDescent="0.2">
      <c r="R62435" s="1288"/>
    </row>
    <row r="62436" spans="18:18" s="2" customFormat="1" ht="12.75" x14ac:dyDescent="0.2">
      <c r="R62436" s="1288"/>
    </row>
    <row r="62437" spans="18:18" s="2" customFormat="1" ht="12.75" x14ac:dyDescent="0.2">
      <c r="R62437" s="1288"/>
    </row>
    <row r="62438" spans="18:18" s="2" customFormat="1" ht="12.75" x14ac:dyDescent="0.2">
      <c r="R62438" s="1288"/>
    </row>
    <row r="62439" spans="18:18" s="2" customFormat="1" ht="12.75" x14ac:dyDescent="0.2">
      <c r="R62439" s="1288"/>
    </row>
    <row r="62440" spans="18:18" s="2" customFormat="1" ht="12.75" x14ac:dyDescent="0.2">
      <c r="R62440" s="1288"/>
    </row>
    <row r="62441" spans="18:18" s="2" customFormat="1" ht="12.75" x14ac:dyDescent="0.2">
      <c r="R62441" s="1288"/>
    </row>
    <row r="62442" spans="18:18" s="2" customFormat="1" ht="12.75" x14ac:dyDescent="0.2">
      <c r="R62442" s="1288"/>
    </row>
    <row r="62443" spans="18:18" s="2" customFormat="1" ht="12.75" x14ac:dyDescent="0.2">
      <c r="R62443" s="1288"/>
    </row>
    <row r="62444" spans="18:18" s="2" customFormat="1" ht="12.75" x14ac:dyDescent="0.2">
      <c r="R62444" s="1288"/>
    </row>
    <row r="62445" spans="18:18" s="2" customFormat="1" ht="12.75" x14ac:dyDescent="0.2">
      <c r="R62445" s="1288"/>
    </row>
    <row r="62446" spans="18:18" s="2" customFormat="1" ht="12.75" x14ac:dyDescent="0.2">
      <c r="R62446" s="1288"/>
    </row>
    <row r="62447" spans="18:18" s="2" customFormat="1" ht="12.75" x14ac:dyDescent="0.2">
      <c r="R62447" s="1288"/>
    </row>
    <row r="62448" spans="18:18" s="2" customFormat="1" ht="12.75" x14ac:dyDescent="0.2">
      <c r="R62448" s="1288"/>
    </row>
    <row r="62449" spans="18:18" s="2" customFormat="1" ht="12.75" x14ac:dyDescent="0.2">
      <c r="R62449" s="1288"/>
    </row>
    <row r="62450" spans="18:18" s="2" customFormat="1" ht="12.75" x14ac:dyDescent="0.2">
      <c r="R62450" s="1288"/>
    </row>
    <row r="62451" spans="18:18" s="2" customFormat="1" ht="12.75" x14ac:dyDescent="0.2">
      <c r="R62451" s="1288"/>
    </row>
    <row r="62452" spans="18:18" s="2" customFormat="1" ht="12.75" x14ac:dyDescent="0.2">
      <c r="R62452" s="1288"/>
    </row>
    <row r="62453" spans="18:18" s="2" customFormat="1" ht="12.75" x14ac:dyDescent="0.2">
      <c r="R62453" s="1288"/>
    </row>
    <row r="62454" spans="18:18" s="2" customFormat="1" ht="12.75" x14ac:dyDescent="0.2">
      <c r="R62454" s="1288"/>
    </row>
    <row r="62455" spans="18:18" s="2" customFormat="1" ht="12.75" x14ac:dyDescent="0.2">
      <c r="R62455" s="1288"/>
    </row>
    <row r="62456" spans="18:18" s="2" customFormat="1" ht="12.75" x14ac:dyDescent="0.2">
      <c r="R62456" s="1288"/>
    </row>
    <row r="62457" spans="18:18" s="2" customFormat="1" ht="12.75" x14ac:dyDescent="0.2">
      <c r="R62457" s="1288"/>
    </row>
    <row r="62458" spans="18:18" s="2" customFormat="1" ht="12.75" x14ac:dyDescent="0.2">
      <c r="R62458" s="1288"/>
    </row>
    <row r="62459" spans="18:18" s="2" customFormat="1" ht="12.75" x14ac:dyDescent="0.2">
      <c r="R62459" s="1288"/>
    </row>
    <row r="62460" spans="18:18" s="2" customFormat="1" ht="12.75" x14ac:dyDescent="0.2">
      <c r="R62460" s="1288"/>
    </row>
    <row r="62461" spans="18:18" s="2" customFormat="1" ht="12.75" x14ac:dyDescent="0.2">
      <c r="R62461" s="1288"/>
    </row>
    <row r="62462" spans="18:18" s="2" customFormat="1" ht="12.75" x14ac:dyDescent="0.2">
      <c r="R62462" s="1288"/>
    </row>
    <row r="62463" spans="18:18" s="2" customFormat="1" ht="12.75" x14ac:dyDescent="0.2">
      <c r="R62463" s="1288"/>
    </row>
    <row r="62464" spans="18:18" s="2" customFormat="1" ht="12.75" x14ac:dyDescent="0.2">
      <c r="R62464" s="1288"/>
    </row>
    <row r="62465" spans="18:18" s="2" customFormat="1" ht="12.75" x14ac:dyDescent="0.2">
      <c r="R62465" s="1288"/>
    </row>
    <row r="62466" spans="18:18" s="2" customFormat="1" ht="12.75" x14ac:dyDescent="0.2">
      <c r="R62466" s="1288"/>
    </row>
    <row r="62467" spans="18:18" s="2" customFormat="1" ht="12.75" x14ac:dyDescent="0.2">
      <c r="R62467" s="1288"/>
    </row>
    <row r="62468" spans="18:18" s="2" customFormat="1" ht="12.75" x14ac:dyDescent="0.2">
      <c r="R62468" s="1288"/>
    </row>
    <row r="62469" spans="18:18" s="2" customFormat="1" ht="12.75" x14ac:dyDescent="0.2">
      <c r="R62469" s="1288"/>
    </row>
    <row r="62470" spans="18:18" s="2" customFormat="1" ht="12.75" x14ac:dyDescent="0.2">
      <c r="R62470" s="1288"/>
    </row>
    <row r="62471" spans="18:18" s="2" customFormat="1" ht="12.75" x14ac:dyDescent="0.2">
      <c r="R62471" s="1288"/>
    </row>
    <row r="62472" spans="18:18" s="2" customFormat="1" ht="12.75" x14ac:dyDescent="0.2">
      <c r="R62472" s="1288"/>
    </row>
    <row r="62473" spans="18:18" s="2" customFormat="1" ht="12.75" x14ac:dyDescent="0.2">
      <c r="R62473" s="1288"/>
    </row>
    <row r="62474" spans="18:18" s="2" customFormat="1" ht="12.75" x14ac:dyDescent="0.2">
      <c r="R62474" s="1288"/>
    </row>
    <row r="62475" spans="18:18" s="2" customFormat="1" ht="12.75" x14ac:dyDescent="0.2">
      <c r="R62475" s="1288"/>
    </row>
    <row r="62476" spans="18:18" s="2" customFormat="1" ht="12.75" x14ac:dyDescent="0.2">
      <c r="R62476" s="1288"/>
    </row>
    <row r="62477" spans="18:18" s="2" customFormat="1" ht="12.75" x14ac:dyDescent="0.2">
      <c r="R62477" s="1288"/>
    </row>
    <row r="62478" spans="18:18" s="2" customFormat="1" ht="12.75" x14ac:dyDescent="0.2">
      <c r="R62478" s="1288"/>
    </row>
    <row r="62479" spans="18:18" s="2" customFormat="1" ht="12.75" x14ac:dyDescent="0.2">
      <c r="R62479" s="1288"/>
    </row>
    <row r="62480" spans="18:18" s="2" customFormat="1" ht="12.75" x14ac:dyDescent="0.2">
      <c r="R62480" s="1288"/>
    </row>
    <row r="62481" spans="18:18" s="2" customFormat="1" ht="12.75" x14ac:dyDescent="0.2">
      <c r="R62481" s="1288"/>
    </row>
    <row r="62482" spans="18:18" s="2" customFormat="1" ht="12.75" x14ac:dyDescent="0.2">
      <c r="R62482" s="1288"/>
    </row>
    <row r="62483" spans="18:18" s="2" customFormat="1" ht="12.75" x14ac:dyDescent="0.2">
      <c r="R62483" s="1288"/>
    </row>
    <row r="62484" spans="18:18" s="2" customFormat="1" ht="12.75" x14ac:dyDescent="0.2">
      <c r="R62484" s="1288"/>
    </row>
    <row r="62485" spans="18:18" s="2" customFormat="1" ht="12.75" x14ac:dyDescent="0.2">
      <c r="R62485" s="1288"/>
    </row>
    <row r="62486" spans="18:18" s="2" customFormat="1" ht="12.75" x14ac:dyDescent="0.2">
      <c r="R62486" s="1288"/>
    </row>
    <row r="62487" spans="18:18" s="2" customFormat="1" ht="12.75" x14ac:dyDescent="0.2">
      <c r="R62487" s="1288"/>
    </row>
    <row r="62488" spans="18:18" s="2" customFormat="1" ht="12.75" x14ac:dyDescent="0.2">
      <c r="R62488" s="1288"/>
    </row>
    <row r="62489" spans="18:18" s="2" customFormat="1" ht="12.75" x14ac:dyDescent="0.2">
      <c r="R62489" s="1288"/>
    </row>
    <row r="62490" spans="18:18" s="2" customFormat="1" ht="12.75" x14ac:dyDescent="0.2">
      <c r="R62490" s="1288"/>
    </row>
    <row r="62491" spans="18:18" s="2" customFormat="1" ht="12.75" x14ac:dyDescent="0.2">
      <c r="R62491" s="1288"/>
    </row>
    <row r="62492" spans="18:18" s="2" customFormat="1" ht="12.75" x14ac:dyDescent="0.2">
      <c r="R62492" s="1288"/>
    </row>
    <row r="62493" spans="18:18" s="2" customFormat="1" ht="12.75" x14ac:dyDescent="0.2">
      <c r="R62493" s="1288"/>
    </row>
    <row r="62494" spans="18:18" s="2" customFormat="1" ht="12.75" x14ac:dyDescent="0.2">
      <c r="R62494" s="1288"/>
    </row>
    <row r="62495" spans="18:18" s="2" customFormat="1" ht="12.75" x14ac:dyDescent="0.2">
      <c r="R62495" s="1288"/>
    </row>
    <row r="62496" spans="18:18" s="2" customFormat="1" ht="12.75" x14ac:dyDescent="0.2">
      <c r="R62496" s="1288"/>
    </row>
    <row r="62497" spans="18:18" s="2" customFormat="1" ht="12.75" x14ac:dyDescent="0.2">
      <c r="R62497" s="1288"/>
    </row>
    <row r="62498" spans="18:18" s="2" customFormat="1" ht="12.75" x14ac:dyDescent="0.2">
      <c r="R62498" s="1288"/>
    </row>
    <row r="62499" spans="18:18" s="2" customFormat="1" ht="12.75" x14ac:dyDescent="0.2">
      <c r="R62499" s="1288"/>
    </row>
    <row r="62500" spans="18:18" s="2" customFormat="1" ht="12.75" x14ac:dyDescent="0.2">
      <c r="R62500" s="1288"/>
    </row>
    <row r="62501" spans="18:18" s="2" customFormat="1" ht="12.75" x14ac:dyDescent="0.2">
      <c r="R62501" s="1288"/>
    </row>
    <row r="62502" spans="18:18" s="2" customFormat="1" ht="12.75" x14ac:dyDescent="0.2">
      <c r="R62502" s="1288"/>
    </row>
    <row r="62503" spans="18:18" s="2" customFormat="1" ht="12.75" x14ac:dyDescent="0.2">
      <c r="R62503" s="1288"/>
    </row>
    <row r="62504" spans="18:18" s="2" customFormat="1" ht="12.75" x14ac:dyDescent="0.2">
      <c r="R62504" s="1288"/>
    </row>
    <row r="62505" spans="18:18" s="2" customFormat="1" ht="12.75" x14ac:dyDescent="0.2">
      <c r="R62505" s="1288"/>
    </row>
    <row r="62506" spans="18:18" s="2" customFormat="1" ht="12.75" x14ac:dyDescent="0.2">
      <c r="R62506" s="1288"/>
    </row>
    <row r="62507" spans="18:18" s="2" customFormat="1" ht="12.75" x14ac:dyDescent="0.2">
      <c r="R62507" s="1288"/>
    </row>
    <row r="62508" spans="18:18" s="2" customFormat="1" ht="12.75" x14ac:dyDescent="0.2">
      <c r="R62508" s="1288"/>
    </row>
    <row r="62509" spans="18:18" s="2" customFormat="1" ht="12.75" x14ac:dyDescent="0.2">
      <c r="R62509" s="1288"/>
    </row>
    <row r="62510" spans="18:18" s="2" customFormat="1" ht="12.75" x14ac:dyDescent="0.2">
      <c r="R62510" s="1288"/>
    </row>
    <row r="62511" spans="18:18" s="2" customFormat="1" ht="12.75" x14ac:dyDescent="0.2">
      <c r="R62511" s="1288"/>
    </row>
    <row r="62512" spans="18:18" s="2" customFormat="1" ht="12.75" x14ac:dyDescent="0.2">
      <c r="R62512" s="1288"/>
    </row>
    <row r="62513" spans="18:18" s="2" customFormat="1" ht="12.75" x14ac:dyDescent="0.2">
      <c r="R62513" s="1288"/>
    </row>
    <row r="62514" spans="18:18" s="2" customFormat="1" ht="12.75" x14ac:dyDescent="0.2">
      <c r="R62514" s="1288"/>
    </row>
    <row r="62515" spans="18:18" s="2" customFormat="1" ht="12.75" x14ac:dyDescent="0.2">
      <c r="R62515" s="1288"/>
    </row>
    <row r="62516" spans="18:18" s="2" customFormat="1" ht="12.75" x14ac:dyDescent="0.2">
      <c r="R62516" s="1288"/>
    </row>
    <row r="62517" spans="18:18" s="2" customFormat="1" ht="12.75" x14ac:dyDescent="0.2">
      <c r="R62517" s="1288"/>
    </row>
    <row r="62518" spans="18:18" s="2" customFormat="1" ht="12.75" x14ac:dyDescent="0.2">
      <c r="R62518" s="1288"/>
    </row>
    <row r="62519" spans="18:18" s="2" customFormat="1" ht="12.75" x14ac:dyDescent="0.2">
      <c r="R62519" s="1288"/>
    </row>
    <row r="62520" spans="18:18" s="2" customFormat="1" ht="12.75" x14ac:dyDescent="0.2">
      <c r="R62520" s="1288"/>
    </row>
    <row r="62521" spans="18:18" s="2" customFormat="1" ht="12.75" x14ac:dyDescent="0.2">
      <c r="R62521" s="1288"/>
    </row>
    <row r="62522" spans="18:18" s="2" customFormat="1" ht="12.75" x14ac:dyDescent="0.2">
      <c r="R62522" s="1288"/>
    </row>
    <row r="62523" spans="18:18" s="2" customFormat="1" ht="12.75" x14ac:dyDescent="0.2">
      <c r="R62523" s="1288"/>
    </row>
    <row r="62524" spans="18:18" s="2" customFormat="1" ht="12.75" x14ac:dyDescent="0.2">
      <c r="R62524" s="1288"/>
    </row>
    <row r="62525" spans="18:18" s="2" customFormat="1" ht="12.75" x14ac:dyDescent="0.2">
      <c r="R62525" s="1288"/>
    </row>
    <row r="62526" spans="18:18" s="2" customFormat="1" ht="12.75" x14ac:dyDescent="0.2">
      <c r="R62526" s="1288"/>
    </row>
    <row r="62527" spans="18:18" s="2" customFormat="1" ht="12.75" x14ac:dyDescent="0.2">
      <c r="R62527" s="1288"/>
    </row>
    <row r="62528" spans="18:18" s="2" customFormat="1" ht="12.75" x14ac:dyDescent="0.2">
      <c r="R62528" s="1288"/>
    </row>
    <row r="62529" spans="18:18" s="2" customFormat="1" ht="12.75" x14ac:dyDescent="0.2">
      <c r="R62529" s="1288"/>
    </row>
    <row r="62530" spans="18:18" s="2" customFormat="1" ht="12.75" x14ac:dyDescent="0.2">
      <c r="R62530" s="1288"/>
    </row>
    <row r="62531" spans="18:18" s="2" customFormat="1" ht="12.75" x14ac:dyDescent="0.2">
      <c r="R62531" s="1288"/>
    </row>
    <row r="62532" spans="18:18" s="2" customFormat="1" ht="12.75" x14ac:dyDescent="0.2">
      <c r="R62532" s="1288"/>
    </row>
    <row r="62533" spans="18:18" s="2" customFormat="1" ht="12.75" x14ac:dyDescent="0.2">
      <c r="R62533" s="1288"/>
    </row>
    <row r="62534" spans="18:18" s="2" customFormat="1" ht="12.75" x14ac:dyDescent="0.2">
      <c r="R62534" s="1288"/>
    </row>
    <row r="62535" spans="18:18" s="2" customFormat="1" ht="12.75" x14ac:dyDescent="0.2">
      <c r="R62535" s="1288"/>
    </row>
    <row r="62536" spans="18:18" s="2" customFormat="1" ht="12.75" x14ac:dyDescent="0.2">
      <c r="R62536" s="1288"/>
    </row>
    <row r="62537" spans="18:18" s="2" customFormat="1" ht="12.75" x14ac:dyDescent="0.2">
      <c r="R62537" s="1288"/>
    </row>
    <row r="62538" spans="18:18" s="2" customFormat="1" ht="12.75" x14ac:dyDescent="0.2">
      <c r="R62538" s="1288"/>
    </row>
    <row r="62539" spans="18:18" s="2" customFormat="1" ht="12.75" x14ac:dyDescent="0.2">
      <c r="R62539" s="1288"/>
    </row>
    <row r="62540" spans="18:18" s="2" customFormat="1" ht="12.75" x14ac:dyDescent="0.2">
      <c r="R62540" s="1288"/>
    </row>
    <row r="62541" spans="18:18" s="2" customFormat="1" ht="12.75" x14ac:dyDescent="0.2">
      <c r="R62541" s="1288"/>
    </row>
    <row r="62542" spans="18:18" s="2" customFormat="1" ht="12.75" x14ac:dyDescent="0.2">
      <c r="R62542" s="1288"/>
    </row>
    <row r="62543" spans="18:18" s="2" customFormat="1" ht="12.75" x14ac:dyDescent="0.2">
      <c r="R62543" s="1288"/>
    </row>
    <row r="62544" spans="18:18" s="2" customFormat="1" ht="12.75" x14ac:dyDescent="0.2">
      <c r="R62544" s="1288"/>
    </row>
    <row r="62545" spans="18:18" s="2" customFormat="1" ht="12.75" x14ac:dyDescent="0.2">
      <c r="R62545" s="1288"/>
    </row>
    <row r="62546" spans="18:18" s="2" customFormat="1" ht="12.75" x14ac:dyDescent="0.2">
      <c r="R62546" s="1288"/>
    </row>
    <row r="62547" spans="18:18" s="2" customFormat="1" ht="12.75" x14ac:dyDescent="0.2">
      <c r="R62547" s="1288"/>
    </row>
    <row r="62548" spans="18:18" s="2" customFormat="1" ht="12.75" x14ac:dyDescent="0.2">
      <c r="R62548" s="1288"/>
    </row>
    <row r="62549" spans="18:18" s="2" customFormat="1" ht="12.75" x14ac:dyDescent="0.2">
      <c r="R62549" s="1288"/>
    </row>
    <row r="62550" spans="18:18" s="2" customFormat="1" ht="12.75" x14ac:dyDescent="0.2">
      <c r="R62550" s="1288"/>
    </row>
    <row r="62551" spans="18:18" s="2" customFormat="1" ht="12.75" x14ac:dyDescent="0.2">
      <c r="R62551" s="1288"/>
    </row>
    <row r="62552" spans="18:18" s="2" customFormat="1" ht="12.75" x14ac:dyDescent="0.2">
      <c r="R62552" s="1288"/>
    </row>
    <row r="62553" spans="18:18" s="2" customFormat="1" ht="12.75" x14ac:dyDescent="0.2">
      <c r="R62553" s="1288"/>
    </row>
    <row r="62554" spans="18:18" s="2" customFormat="1" ht="12.75" x14ac:dyDescent="0.2">
      <c r="R62554" s="1288"/>
    </row>
    <row r="62555" spans="18:18" s="2" customFormat="1" ht="12.75" x14ac:dyDescent="0.2">
      <c r="R62555" s="1288"/>
    </row>
    <row r="62556" spans="18:18" s="2" customFormat="1" ht="12.75" x14ac:dyDescent="0.2">
      <c r="R62556" s="1288"/>
    </row>
    <row r="62557" spans="18:18" s="2" customFormat="1" ht="12.75" x14ac:dyDescent="0.2">
      <c r="R62557" s="1288"/>
    </row>
    <row r="62558" spans="18:18" s="2" customFormat="1" ht="12.75" x14ac:dyDescent="0.2">
      <c r="R62558" s="1288"/>
    </row>
    <row r="62559" spans="18:18" s="2" customFormat="1" ht="12.75" x14ac:dyDescent="0.2">
      <c r="R62559" s="1288"/>
    </row>
    <row r="62560" spans="18:18" s="2" customFormat="1" ht="12.75" x14ac:dyDescent="0.2">
      <c r="R62560" s="1288"/>
    </row>
    <row r="62561" spans="18:18" s="2" customFormat="1" ht="12.75" x14ac:dyDescent="0.2">
      <c r="R62561" s="1288"/>
    </row>
    <row r="62562" spans="18:18" s="2" customFormat="1" ht="12.75" x14ac:dyDescent="0.2">
      <c r="R62562" s="1288"/>
    </row>
    <row r="62563" spans="18:18" s="2" customFormat="1" ht="12.75" x14ac:dyDescent="0.2">
      <c r="R62563" s="1288"/>
    </row>
    <row r="62564" spans="18:18" s="2" customFormat="1" ht="12.75" x14ac:dyDescent="0.2">
      <c r="R62564" s="1288"/>
    </row>
    <row r="62565" spans="18:18" s="2" customFormat="1" ht="12.75" x14ac:dyDescent="0.2">
      <c r="R62565" s="1288"/>
    </row>
    <row r="62566" spans="18:18" s="2" customFormat="1" ht="12.75" x14ac:dyDescent="0.2">
      <c r="R62566" s="1288"/>
    </row>
    <row r="62567" spans="18:18" s="2" customFormat="1" ht="12.75" x14ac:dyDescent="0.2">
      <c r="R62567" s="1288"/>
    </row>
    <row r="62568" spans="18:18" s="2" customFormat="1" ht="12.75" x14ac:dyDescent="0.2">
      <c r="R62568" s="1288"/>
    </row>
    <row r="62569" spans="18:18" s="2" customFormat="1" ht="12.75" x14ac:dyDescent="0.2">
      <c r="R62569" s="1288"/>
    </row>
    <row r="62570" spans="18:18" s="2" customFormat="1" ht="12.75" x14ac:dyDescent="0.2">
      <c r="R62570" s="1288"/>
    </row>
    <row r="62571" spans="18:18" s="2" customFormat="1" ht="12.75" x14ac:dyDescent="0.2">
      <c r="R62571" s="1288"/>
    </row>
    <row r="62572" spans="18:18" s="2" customFormat="1" ht="12.75" x14ac:dyDescent="0.2">
      <c r="R62572" s="1288"/>
    </row>
    <row r="62573" spans="18:18" s="2" customFormat="1" ht="12.75" x14ac:dyDescent="0.2">
      <c r="R62573" s="1288"/>
    </row>
    <row r="62574" spans="18:18" s="2" customFormat="1" ht="12.75" x14ac:dyDescent="0.2">
      <c r="R62574" s="1288"/>
    </row>
    <row r="62575" spans="18:18" s="2" customFormat="1" ht="12.75" x14ac:dyDescent="0.2">
      <c r="R62575" s="1288"/>
    </row>
    <row r="62576" spans="18:18" s="2" customFormat="1" ht="12.75" x14ac:dyDescent="0.2">
      <c r="R62576" s="1288"/>
    </row>
    <row r="62577" spans="18:18" s="2" customFormat="1" ht="12.75" x14ac:dyDescent="0.2">
      <c r="R62577" s="1288"/>
    </row>
    <row r="62578" spans="18:18" s="2" customFormat="1" ht="12.75" x14ac:dyDescent="0.2">
      <c r="R62578" s="1288"/>
    </row>
    <row r="62579" spans="18:18" s="2" customFormat="1" ht="12.75" x14ac:dyDescent="0.2">
      <c r="R62579" s="1288"/>
    </row>
    <row r="62580" spans="18:18" s="2" customFormat="1" ht="12.75" x14ac:dyDescent="0.2">
      <c r="R62580" s="1288"/>
    </row>
    <row r="62581" spans="18:18" s="2" customFormat="1" ht="12.75" x14ac:dyDescent="0.2">
      <c r="R62581" s="1288"/>
    </row>
    <row r="62582" spans="18:18" s="2" customFormat="1" ht="12.75" x14ac:dyDescent="0.2">
      <c r="R62582" s="1288"/>
    </row>
    <row r="62583" spans="18:18" s="2" customFormat="1" ht="12.75" x14ac:dyDescent="0.2">
      <c r="R62583" s="1288"/>
    </row>
    <row r="62584" spans="18:18" s="2" customFormat="1" ht="12.75" x14ac:dyDescent="0.2">
      <c r="R62584" s="1288"/>
    </row>
    <row r="62585" spans="18:18" s="2" customFormat="1" ht="12.75" x14ac:dyDescent="0.2">
      <c r="R62585" s="1288"/>
    </row>
    <row r="62586" spans="18:18" s="2" customFormat="1" ht="12.75" x14ac:dyDescent="0.2">
      <c r="R62586" s="1288"/>
    </row>
    <row r="62587" spans="18:18" s="2" customFormat="1" ht="12.75" x14ac:dyDescent="0.2">
      <c r="R62587" s="1288"/>
    </row>
    <row r="62588" spans="18:18" s="2" customFormat="1" ht="12.75" x14ac:dyDescent="0.2">
      <c r="R62588" s="1288"/>
    </row>
    <row r="62589" spans="18:18" s="2" customFormat="1" ht="12.75" x14ac:dyDescent="0.2">
      <c r="R62589" s="1288"/>
    </row>
    <row r="62590" spans="18:18" s="2" customFormat="1" ht="12.75" x14ac:dyDescent="0.2">
      <c r="R62590" s="1288"/>
    </row>
    <row r="62591" spans="18:18" s="2" customFormat="1" ht="12.75" x14ac:dyDescent="0.2">
      <c r="R62591" s="1288"/>
    </row>
    <row r="62592" spans="18:18" s="2" customFormat="1" ht="12.75" x14ac:dyDescent="0.2">
      <c r="R62592" s="1288"/>
    </row>
    <row r="62593" spans="18:18" s="2" customFormat="1" ht="12.75" x14ac:dyDescent="0.2">
      <c r="R62593" s="1288"/>
    </row>
    <row r="62594" spans="18:18" s="2" customFormat="1" ht="12.75" x14ac:dyDescent="0.2">
      <c r="R62594" s="1288"/>
    </row>
    <row r="62595" spans="18:18" s="2" customFormat="1" ht="12.75" x14ac:dyDescent="0.2">
      <c r="R62595" s="1288"/>
    </row>
    <row r="62596" spans="18:18" s="2" customFormat="1" ht="12.75" x14ac:dyDescent="0.2">
      <c r="R62596" s="1288"/>
    </row>
    <row r="62597" spans="18:18" s="2" customFormat="1" ht="12.75" x14ac:dyDescent="0.2">
      <c r="R62597" s="1288"/>
    </row>
    <row r="62598" spans="18:18" s="2" customFormat="1" ht="12.75" x14ac:dyDescent="0.2">
      <c r="R62598" s="1288"/>
    </row>
    <row r="62599" spans="18:18" s="2" customFormat="1" ht="12.75" x14ac:dyDescent="0.2">
      <c r="R62599" s="1288"/>
    </row>
    <row r="62600" spans="18:18" s="2" customFormat="1" ht="12.75" x14ac:dyDescent="0.2">
      <c r="R62600" s="1288"/>
    </row>
    <row r="62601" spans="18:18" s="2" customFormat="1" ht="12.75" x14ac:dyDescent="0.2">
      <c r="R62601" s="1288"/>
    </row>
    <row r="62602" spans="18:18" s="2" customFormat="1" ht="12.75" x14ac:dyDescent="0.2">
      <c r="R62602" s="1288"/>
    </row>
    <row r="62603" spans="18:18" s="2" customFormat="1" ht="12.75" x14ac:dyDescent="0.2">
      <c r="R62603" s="1288"/>
    </row>
    <row r="62604" spans="18:18" s="2" customFormat="1" ht="12.75" x14ac:dyDescent="0.2">
      <c r="R62604" s="1288"/>
    </row>
    <row r="62605" spans="18:18" s="2" customFormat="1" ht="12.75" x14ac:dyDescent="0.2">
      <c r="R62605" s="1288"/>
    </row>
    <row r="62606" spans="18:18" s="2" customFormat="1" ht="12.75" x14ac:dyDescent="0.2">
      <c r="R62606" s="1288"/>
    </row>
    <row r="62607" spans="18:18" s="2" customFormat="1" ht="12.75" x14ac:dyDescent="0.2">
      <c r="R62607" s="1288"/>
    </row>
    <row r="62608" spans="18:18" s="2" customFormat="1" ht="12.75" x14ac:dyDescent="0.2">
      <c r="R62608" s="1288"/>
    </row>
    <row r="62609" spans="18:18" s="2" customFormat="1" ht="12.75" x14ac:dyDescent="0.2">
      <c r="R62609" s="1288"/>
    </row>
    <row r="62610" spans="18:18" s="2" customFormat="1" ht="12.75" x14ac:dyDescent="0.2">
      <c r="R62610" s="1288"/>
    </row>
    <row r="62611" spans="18:18" s="2" customFormat="1" ht="12.75" x14ac:dyDescent="0.2">
      <c r="R62611" s="1288"/>
    </row>
    <row r="62612" spans="18:18" s="2" customFormat="1" ht="12.75" x14ac:dyDescent="0.2">
      <c r="R62612" s="1288"/>
    </row>
    <row r="62613" spans="18:18" s="2" customFormat="1" ht="12.75" x14ac:dyDescent="0.2">
      <c r="R62613" s="1288"/>
    </row>
    <row r="62614" spans="18:18" s="2" customFormat="1" ht="12.75" x14ac:dyDescent="0.2">
      <c r="R62614" s="1288"/>
    </row>
    <row r="62615" spans="18:18" s="2" customFormat="1" ht="12.75" x14ac:dyDescent="0.2">
      <c r="R62615" s="1288"/>
    </row>
    <row r="62616" spans="18:18" s="2" customFormat="1" ht="12.75" x14ac:dyDescent="0.2">
      <c r="R62616" s="1288"/>
    </row>
    <row r="62617" spans="18:18" s="2" customFormat="1" ht="12.75" x14ac:dyDescent="0.2">
      <c r="R62617" s="1288"/>
    </row>
    <row r="62618" spans="18:18" s="2" customFormat="1" ht="12.75" x14ac:dyDescent="0.2">
      <c r="R62618" s="1288"/>
    </row>
    <row r="62619" spans="18:18" s="2" customFormat="1" ht="12.75" x14ac:dyDescent="0.2">
      <c r="R62619" s="1288"/>
    </row>
    <row r="62620" spans="18:18" s="2" customFormat="1" ht="12.75" x14ac:dyDescent="0.2">
      <c r="R62620" s="1288"/>
    </row>
    <row r="62621" spans="18:18" s="2" customFormat="1" ht="12.75" x14ac:dyDescent="0.2">
      <c r="R62621" s="1288"/>
    </row>
    <row r="62622" spans="18:18" s="2" customFormat="1" ht="12.75" x14ac:dyDescent="0.2">
      <c r="R62622" s="1288"/>
    </row>
    <row r="62623" spans="18:18" s="2" customFormat="1" ht="12.75" x14ac:dyDescent="0.2">
      <c r="R62623" s="1288"/>
    </row>
    <row r="62624" spans="18:18" s="2" customFormat="1" ht="12.75" x14ac:dyDescent="0.2">
      <c r="R62624" s="1288"/>
    </row>
    <row r="62625" spans="18:18" s="2" customFormat="1" ht="12.75" x14ac:dyDescent="0.2">
      <c r="R62625" s="1288"/>
    </row>
    <row r="62626" spans="18:18" s="2" customFormat="1" ht="12.75" x14ac:dyDescent="0.2">
      <c r="R62626" s="1288"/>
    </row>
    <row r="62627" spans="18:18" s="2" customFormat="1" ht="12.75" x14ac:dyDescent="0.2">
      <c r="R62627" s="1288"/>
    </row>
    <row r="62628" spans="18:18" s="2" customFormat="1" ht="12.75" x14ac:dyDescent="0.2">
      <c r="R62628" s="1288"/>
    </row>
    <row r="62629" spans="18:18" s="2" customFormat="1" ht="12.75" x14ac:dyDescent="0.2">
      <c r="R62629" s="1288"/>
    </row>
    <row r="62630" spans="18:18" s="2" customFormat="1" ht="12.75" x14ac:dyDescent="0.2">
      <c r="R62630" s="1288"/>
    </row>
    <row r="62631" spans="18:18" s="2" customFormat="1" ht="12.75" x14ac:dyDescent="0.2">
      <c r="R62631" s="1288"/>
    </row>
    <row r="62632" spans="18:18" s="2" customFormat="1" ht="12.75" x14ac:dyDescent="0.2">
      <c r="R62632" s="1288"/>
    </row>
    <row r="62633" spans="18:18" s="2" customFormat="1" ht="12.75" x14ac:dyDescent="0.2">
      <c r="R62633" s="1288"/>
    </row>
    <row r="62634" spans="18:18" s="2" customFormat="1" ht="12.75" x14ac:dyDescent="0.2">
      <c r="R62634" s="1288"/>
    </row>
    <row r="62635" spans="18:18" s="2" customFormat="1" ht="12.75" x14ac:dyDescent="0.2">
      <c r="R62635" s="1288"/>
    </row>
    <row r="62636" spans="18:18" s="2" customFormat="1" ht="12.75" x14ac:dyDescent="0.2">
      <c r="R62636" s="1288"/>
    </row>
    <row r="62637" spans="18:18" s="2" customFormat="1" ht="12.75" x14ac:dyDescent="0.2">
      <c r="R62637" s="1288"/>
    </row>
    <row r="62638" spans="18:18" s="2" customFormat="1" ht="12.75" x14ac:dyDescent="0.2">
      <c r="R62638" s="1288"/>
    </row>
    <row r="62639" spans="18:18" s="2" customFormat="1" ht="12.75" x14ac:dyDescent="0.2">
      <c r="R62639" s="1288"/>
    </row>
    <row r="62640" spans="18:18" s="2" customFormat="1" ht="12.75" x14ac:dyDescent="0.2">
      <c r="R62640" s="1288"/>
    </row>
    <row r="62641" spans="18:18" s="2" customFormat="1" ht="12.75" x14ac:dyDescent="0.2">
      <c r="R62641" s="1288"/>
    </row>
    <row r="62642" spans="18:18" s="2" customFormat="1" ht="12.75" x14ac:dyDescent="0.2">
      <c r="R62642" s="1288"/>
    </row>
    <row r="62643" spans="18:18" s="2" customFormat="1" ht="12.75" x14ac:dyDescent="0.2">
      <c r="R62643" s="1288"/>
    </row>
    <row r="62644" spans="18:18" s="2" customFormat="1" ht="12.75" x14ac:dyDescent="0.2">
      <c r="R62644" s="1288"/>
    </row>
    <row r="62645" spans="18:18" s="2" customFormat="1" ht="12.75" x14ac:dyDescent="0.2">
      <c r="R62645" s="1288"/>
    </row>
    <row r="62646" spans="18:18" s="2" customFormat="1" ht="12.75" x14ac:dyDescent="0.2">
      <c r="R62646" s="1288"/>
    </row>
    <row r="62647" spans="18:18" s="2" customFormat="1" ht="12.75" x14ac:dyDescent="0.2">
      <c r="R62647" s="1288"/>
    </row>
    <row r="62648" spans="18:18" s="2" customFormat="1" ht="12.75" x14ac:dyDescent="0.2">
      <c r="R62648" s="1288"/>
    </row>
    <row r="62649" spans="18:18" s="2" customFormat="1" ht="12.75" x14ac:dyDescent="0.2">
      <c r="R62649" s="1288"/>
    </row>
    <row r="62650" spans="18:18" s="2" customFormat="1" ht="12.75" x14ac:dyDescent="0.2">
      <c r="R62650" s="1288"/>
    </row>
    <row r="62651" spans="18:18" s="2" customFormat="1" ht="12.75" x14ac:dyDescent="0.2">
      <c r="R62651" s="1288"/>
    </row>
    <row r="62652" spans="18:18" s="2" customFormat="1" ht="12.75" x14ac:dyDescent="0.2">
      <c r="R62652" s="1288"/>
    </row>
    <row r="62653" spans="18:18" s="2" customFormat="1" ht="12.75" x14ac:dyDescent="0.2">
      <c r="R62653" s="1288"/>
    </row>
    <row r="62654" spans="18:18" s="2" customFormat="1" ht="12.75" x14ac:dyDescent="0.2">
      <c r="R62654" s="1288"/>
    </row>
    <row r="62655" spans="18:18" s="2" customFormat="1" ht="12.75" x14ac:dyDescent="0.2">
      <c r="R62655" s="1288"/>
    </row>
    <row r="62656" spans="18:18" s="2" customFormat="1" ht="12.75" x14ac:dyDescent="0.2">
      <c r="R62656" s="1288"/>
    </row>
    <row r="62657" spans="18:18" s="2" customFormat="1" ht="12.75" x14ac:dyDescent="0.2">
      <c r="R62657" s="1288"/>
    </row>
    <row r="62658" spans="18:18" s="2" customFormat="1" ht="12.75" x14ac:dyDescent="0.2">
      <c r="R62658" s="1288"/>
    </row>
    <row r="62659" spans="18:18" s="2" customFormat="1" ht="12.75" x14ac:dyDescent="0.2">
      <c r="R62659" s="1288"/>
    </row>
    <row r="62660" spans="18:18" s="2" customFormat="1" ht="12.75" x14ac:dyDescent="0.2">
      <c r="R62660" s="1288"/>
    </row>
    <row r="62661" spans="18:18" s="2" customFormat="1" ht="12.75" x14ac:dyDescent="0.2">
      <c r="R62661" s="1288"/>
    </row>
    <row r="62662" spans="18:18" s="2" customFormat="1" ht="12.75" x14ac:dyDescent="0.2">
      <c r="R62662" s="1288"/>
    </row>
    <row r="62663" spans="18:18" s="2" customFormat="1" ht="12.75" x14ac:dyDescent="0.2">
      <c r="R62663" s="1288"/>
    </row>
    <row r="62664" spans="18:18" s="2" customFormat="1" ht="12.75" x14ac:dyDescent="0.2">
      <c r="R62664" s="1288"/>
    </row>
    <row r="62665" spans="18:18" s="2" customFormat="1" ht="12.75" x14ac:dyDescent="0.2">
      <c r="R62665" s="1288"/>
    </row>
    <row r="62666" spans="18:18" s="2" customFormat="1" ht="12.75" x14ac:dyDescent="0.2">
      <c r="R62666" s="1288"/>
    </row>
    <row r="62667" spans="18:18" s="2" customFormat="1" ht="12.75" x14ac:dyDescent="0.2">
      <c r="R62667" s="1288"/>
    </row>
    <row r="62668" spans="18:18" s="2" customFormat="1" ht="12.75" x14ac:dyDescent="0.2">
      <c r="R62668" s="1288"/>
    </row>
    <row r="62669" spans="18:18" s="2" customFormat="1" ht="12.75" x14ac:dyDescent="0.2">
      <c r="R62669" s="1288"/>
    </row>
    <row r="62670" spans="18:18" s="2" customFormat="1" ht="12.75" x14ac:dyDescent="0.2">
      <c r="R62670" s="1288"/>
    </row>
    <row r="62671" spans="18:18" s="2" customFormat="1" ht="12.75" x14ac:dyDescent="0.2">
      <c r="R62671" s="1288"/>
    </row>
    <row r="62672" spans="18:18" s="2" customFormat="1" ht="12.75" x14ac:dyDescent="0.2">
      <c r="R62672" s="1288"/>
    </row>
    <row r="62673" spans="18:18" s="2" customFormat="1" ht="12.75" x14ac:dyDescent="0.2">
      <c r="R62673" s="1288"/>
    </row>
    <row r="62674" spans="18:18" s="2" customFormat="1" ht="12.75" x14ac:dyDescent="0.2">
      <c r="R62674" s="1288"/>
    </row>
    <row r="62675" spans="18:18" s="2" customFormat="1" ht="12.75" x14ac:dyDescent="0.2">
      <c r="R62675" s="1288"/>
    </row>
    <row r="62676" spans="18:18" s="2" customFormat="1" ht="12.75" x14ac:dyDescent="0.2">
      <c r="R62676" s="1288"/>
    </row>
    <row r="62677" spans="18:18" s="2" customFormat="1" ht="12.75" x14ac:dyDescent="0.2">
      <c r="R62677" s="1288"/>
    </row>
    <row r="62678" spans="18:18" s="2" customFormat="1" ht="12.75" x14ac:dyDescent="0.2">
      <c r="R62678" s="1288"/>
    </row>
    <row r="62679" spans="18:18" s="2" customFormat="1" ht="12.75" x14ac:dyDescent="0.2">
      <c r="R62679" s="1288"/>
    </row>
    <row r="62680" spans="18:18" s="2" customFormat="1" ht="12.75" x14ac:dyDescent="0.2">
      <c r="R62680" s="1288"/>
    </row>
    <row r="62681" spans="18:18" s="2" customFormat="1" ht="12.75" x14ac:dyDescent="0.2">
      <c r="R62681" s="1288"/>
    </row>
    <row r="62682" spans="18:18" s="2" customFormat="1" ht="12.75" x14ac:dyDescent="0.2">
      <c r="R62682" s="1288"/>
    </row>
    <row r="62683" spans="18:18" s="2" customFormat="1" ht="12.75" x14ac:dyDescent="0.2">
      <c r="R62683" s="1288"/>
    </row>
    <row r="62684" spans="18:18" s="2" customFormat="1" ht="12.75" x14ac:dyDescent="0.2">
      <c r="R62684" s="1288"/>
    </row>
    <row r="62685" spans="18:18" s="2" customFormat="1" ht="12.75" x14ac:dyDescent="0.2">
      <c r="R62685" s="1288"/>
    </row>
    <row r="62686" spans="18:18" s="2" customFormat="1" ht="12.75" x14ac:dyDescent="0.2">
      <c r="R62686" s="1288"/>
    </row>
    <row r="62687" spans="18:18" s="2" customFormat="1" ht="12.75" x14ac:dyDescent="0.2">
      <c r="R62687" s="1288"/>
    </row>
    <row r="62688" spans="18:18" s="2" customFormat="1" ht="12.75" x14ac:dyDescent="0.2">
      <c r="R62688" s="1288"/>
    </row>
    <row r="62689" spans="18:18" s="2" customFormat="1" ht="12.75" x14ac:dyDescent="0.2">
      <c r="R62689" s="1288"/>
    </row>
    <row r="62690" spans="18:18" s="2" customFormat="1" ht="12.75" x14ac:dyDescent="0.2">
      <c r="R62690" s="1288"/>
    </row>
    <row r="62691" spans="18:18" s="2" customFormat="1" ht="12.75" x14ac:dyDescent="0.2">
      <c r="R62691" s="1288"/>
    </row>
    <row r="62692" spans="18:18" s="2" customFormat="1" ht="12.75" x14ac:dyDescent="0.2">
      <c r="R62692" s="1288"/>
    </row>
    <row r="62693" spans="18:18" s="2" customFormat="1" ht="12.75" x14ac:dyDescent="0.2">
      <c r="R62693" s="1288"/>
    </row>
    <row r="62694" spans="18:18" s="2" customFormat="1" ht="12.75" x14ac:dyDescent="0.2">
      <c r="R62694" s="1288"/>
    </row>
    <row r="62695" spans="18:18" s="2" customFormat="1" ht="12.75" x14ac:dyDescent="0.2">
      <c r="R62695" s="1288"/>
    </row>
    <row r="62696" spans="18:18" s="2" customFormat="1" ht="12.75" x14ac:dyDescent="0.2">
      <c r="R62696" s="1288"/>
    </row>
    <row r="62697" spans="18:18" s="2" customFormat="1" ht="12.75" x14ac:dyDescent="0.2">
      <c r="R62697" s="1288"/>
    </row>
    <row r="62698" spans="18:18" s="2" customFormat="1" ht="12.75" x14ac:dyDescent="0.2">
      <c r="R62698" s="1288"/>
    </row>
    <row r="62699" spans="18:18" s="2" customFormat="1" ht="12.75" x14ac:dyDescent="0.2">
      <c r="R62699" s="1288"/>
    </row>
    <row r="62700" spans="18:18" s="2" customFormat="1" ht="12.75" x14ac:dyDescent="0.2">
      <c r="R62700" s="1288"/>
    </row>
    <row r="62701" spans="18:18" s="2" customFormat="1" ht="12.75" x14ac:dyDescent="0.2">
      <c r="R62701" s="1288"/>
    </row>
    <row r="62702" spans="18:18" s="2" customFormat="1" ht="12.75" x14ac:dyDescent="0.2">
      <c r="R62702" s="1288"/>
    </row>
    <row r="62703" spans="18:18" s="2" customFormat="1" ht="12.75" x14ac:dyDescent="0.2">
      <c r="R62703" s="1288"/>
    </row>
    <row r="62704" spans="18:18" s="2" customFormat="1" ht="12.75" x14ac:dyDescent="0.2">
      <c r="R62704" s="1288"/>
    </row>
    <row r="62705" spans="18:18" s="2" customFormat="1" ht="12.75" x14ac:dyDescent="0.2">
      <c r="R62705" s="1288"/>
    </row>
    <row r="62706" spans="18:18" s="2" customFormat="1" ht="12.75" x14ac:dyDescent="0.2">
      <c r="R62706" s="1288"/>
    </row>
    <row r="62707" spans="18:18" s="2" customFormat="1" ht="12.75" x14ac:dyDescent="0.2">
      <c r="R62707" s="1288"/>
    </row>
    <row r="62708" spans="18:18" s="2" customFormat="1" ht="12.75" x14ac:dyDescent="0.2">
      <c r="R62708" s="1288"/>
    </row>
    <row r="62709" spans="18:18" s="2" customFormat="1" ht="12.75" x14ac:dyDescent="0.2">
      <c r="R62709" s="1288"/>
    </row>
    <row r="62710" spans="18:18" s="2" customFormat="1" ht="12.75" x14ac:dyDescent="0.2">
      <c r="R62710" s="1288"/>
    </row>
    <row r="62711" spans="18:18" s="2" customFormat="1" ht="12.75" x14ac:dyDescent="0.2">
      <c r="R62711" s="1288"/>
    </row>
    <row r="62712" spans="18:18" s="2" customFormat="1" ht="12.75" x14ac:dyDescent="0.2">
      <c r="R62712" s="1288"/>
    </row>
    <row r="62713" spans="18:18" s="2" customFormat="1" ht="12.75" x14ac:dyDescent="0.2">
      <c r="R62713" s="1288"/>
    </row>
    <row r="62714" spans="18:18" s="2" customFormat="1" ht="12.75" x14ac:dyDescent="0.2">
      <c r="R62714" s="1288"/>
    </row>
    <row r="62715" spans="18:18" s="2" customFormat="1" ht="12.75" x14ac:dyDescent="0.2">
      <c r="R62715" s="1288"/>
    </row>
    <row r="62716" spans="18:18" s="2" customFormat="1" ht="12.75" x14ac:dyDescent="0.2">
      <c r="R62716" s="1288"/>
    </row>
    <row r="62717" spans="18:18" s="2" customFormat="1" ht="12.75" x14ac:dyDescent="0.2">
      <c r="R62717" s="1288"/>
    </row>
    <row r="62718" spans="18:18" s="2" customFormat="1" ht="12.75" x14ac:dyDescent="0.2">
      <c r="R62718" s="1288"/>
    </row>
    <row r="62719" spans="18:18" s="2" customFormat="1" ht="12.75" x14ac:dyDescent="0.2">
      <c r="R62719" s="1288"/>
    </row>
    <row r="62720" spans="18:18" s="2" customFormat="1" ht="12.75" x14ac:dyDescent="0.2">
      <c r="R62720" s="1288"/>
    </row>
    <row r="62721" spans="18:18" s="2" customFormat="1" ht="12.75" x14ac:dyDescent="0.2">
      <c r="R62721" s="1288"/>
    </row>
    <row r="62722" spans="18:18" s="2" customFormat="1" ht="12.75" x14ac:dyDescent="0.2">
      <c r="R62722" s="1288"/>
    </row>
    <row r="62723" spans="18:18" s="2" customFormat="1" ht="12.75" x14ac:dyDescent="0.2">
      <c r="R62723" s="1288"/>
    </row>
    <row r="62724" spans="18:18" s="2" customFormat="1" ht="12.75" x14ac:dyDescent="0.2">
      <c r="R62724" s="1288"/>
    </row>
    <row r="62725" spans="18:18" s="2" customFormat="1" ht="12.75" x14ac:dyDescent="0.2">
      <c r="R62725" s="1288"/>
    </row>
    <row r="62726" spans="18:18" s="2" customFormat="1" ht="12.75" x14ac:dyDescent="0.2">
      <c r="R62726" s="1288"/>
    </row>
    <row r="62727" spans="18:18" s="2" customFormat="1" ht="12.75" x14ac:dyDescent="0.2">
      <c r="R62727" s="1288"/>
    </row>
    <row r="62728" spans="18:18" s="2" customFormat="1" ht="12.75" x14ac:dyDescent="0.2">
      <c r="R62728" s="1288"/>
    </row>
    <row r="62729" spans="18:18" s="2" customFormat="1" ht="12.75" x14ac:dyDescent="0.2">
      <c r="R62729" s="1288"/>
    </row>
    <row r="62730" spans="18:18" s="2" customFormat="1" ht="12.75" x14ac:dyDescent="0.2">
      <c r="R62730" s="1288"/>
    </row>
    <row r="62731" spans="18:18" s="2" customFormat="1" ht="12.75" x14ac:dyDescent="0.2">
      <c r="R62731" s="1288"/>
    </row>
    <row r="62732" spans="18:18" s="2" customFormat="1" ht="12.75" x14ac:dyDescent="0.2">
      <c r="R62732" s="1288"/>
    </row>
    <row r="62733" spans="18:18" s="2" customFormat="1" ht="12.75" x14ac:dyDescent="0.2">
      <c r="R62733" s="1288"/>
    </row>
    <row r="62734" spans="18:18" s="2" customFormat="1" ht="12.75" x14ac:dyDescent="0.2">
      <c r="R62734" s="1288"/>
    </row>
    <row r="62735" spans="18:18" s="2" customFormat="1" ht="12.75" x14ac:dyDescent="0.2">
      <c r="R62735" s="1288"/>
    </row>
    <row r="62736" spans="18:18" s="2" customFormat="1" ht="12.75" x14ac:dyDescent="0.2">
      <c r="R62736" s="1288"/>
    </row>
    <row r="62737" spans="18:18" s="2" customFormat="1" ht="12.75" x14ac:dyDescent="0.2">
      <c r="R62737" s="1288"/>
    </row>
    <row r="62738" spans="18:18" s="2" customFormat="1" ht="12.75" x14ac:dyDescent="0.2">
      <c r="R62738" s="1288"/>
    </row>
    <row r="62739" spans="18:18" s="2" customFormat="1" ht="12.75" x14ac:dyDescent="0.2">
      <c r="R62739" s="1288"/>
    </row>
    <row r="62740" spans="18:18" s="2" customFormat="1" ht="12.75" x14ac:dyDescent="0.2">
      <c r="R62740" s="1288"/>
    </row>
    <row r="62741" spans="18:18" s="2" customFormat="1" ht="12.75" x14ac:dyDescent="0.2">
      <c r="R62741" s="1288"/>
    </row>
    <row r="62742" spans="18:18" s="2" customFormat="1" ht="12.75" x14ac:dyDescent="0.2">
      <c r="R62742" s="1288"/>
    </row>
    <row r="62743" spans="18:18" s="2" customFormat="1" ht="12.75" x14ac:dyDescent="0.2">
      <c r="R62743" s="1288"/>
    </row>
    <row r="62744" spans="18:18" s="2" customFormat="1" ht="12.75" x14ac:dyDescent="0.2">
      <c r="R62744" s="1288"/>
    </row>
    <row r="62745" spans="18:18" s="2" customFormat="1" ht="12.75" x14ac:dyDescent="0.2">
      <c r="R62745" s="1288"/>
    </row>
    <row r="62746" spans="18:18" s="2" customFormat="1" ht="12.75" x14ac:dyDescent="0.2">
      <c r="R62746" s="1288"/>
    </row>
    <row r="62747" spans="18:18" s="2" customFormat="1" ht="12.75" x14ac:dyDescent="0.2">
      <c r="R62747" s="1288"/>
    </row>
    <row r="62748" spans="18:18" s="2" customFormat="1" ht="12.75" x14ac:dyDescent="0.2">
      <c r="R62748" s="1288"/>
    </row>
    <row r="62749" spans="18:18" s="2" customFormat="1" ht="12.75" x14ac:dyDescent="0.2">
      <c r="R62749" s="1288"/>
    </row>
    <row r="62750" spans="18:18" s="2" customFormat="1" ht="12.75" x14ac:dyDescent="0.2">
      <c r="R62750" s="1288"/>
    </row>
    <row r="62751" spans="18:18" s="2" customFormat="1" ht="12.75" x14ac:dyDescent="0.2">
      <c r="R62751" s="1288"/>
    </row>
    <row r="62752" spans="18:18" s="2" customFormat="1" ht="12.75" x14ac:dyDescent="0.2">
      <c r="R62752" s="1288"/>
    </row>
    <row r="62753" spans="18:18" s="2" customFormat="1" ht="12.75" x14ac:dyDescent="0.2">
      <c r="R62753" s="1288"/>
    </row>
    <row r="62754" spans="18:18" s="2" customFormat="1" ht="12.75" x14ac:dyDescent="0.2">
      <c r="R62754" s="1288"/>
    </row>
    <row r="62755" spans="18:18" s="2" customFormat="1" ht="12.75" x14ac:dyDescent="0.2">
      <c r="R62755" s="1288"/>
    </row>
    <row r="62756" spans="18:18" s="2" customFormat="1" ht="12.75" x14ac:dyDescent="0.2">
      <c r="R62756" s="1288"/>
    </row>
    <row r="62757" spans="18:18" s="2" customFormat="1" ht="12.75" x14ac:dyDescent="0.2">
      <c r="R62757" s="1288"/>
    </row>
    <row r="62758" spans="18:18" s="2" customFormat="1" ht="12.75" x14ac:dyDescent="0.2">
      <c r="R62758" s="1288"/>
    </row>
    <row r="62759" spans="18:18" s="2" customFormat="1" ht="12.75" x14ac:dyDescent="0.2">
      <c r="R62759" s="1288"/>
    </row>
    <row r="62760" spans="18:18" s="2" customFormat="1" ht="12.75" x14ac:dyDescent="0.2">
      <c r="R62760" s="1288"/>
    </row>
    <row r="62761" spans="18:18" s="2" customFormat="1" ht="12.75" x14ac:dyDescent="0.2">
      <c r="R62761" s="1288"/>
    </row>
    <row r="62762" spans="18:18" s="2" customFormat="1" ht="12.75" x14ac:dyDescent="0.2">
      <c r="R62762" s="1288"/>
    </row>
    <row r="62763" spans="18:18" s="2" customFormat="1" ht="12.75" x14ac:dyDescent="0.2">
      <c r="R62763" s="1288"/>
    </row>
    <row r="62764" spans="18:18" s="2" customFormat="1" ht="12.75" x14ac:dyDescent="0.2">
      <c r="R62764" s="1288"/>
    </row>
    <row r="62765" spans="18:18" s="2" customFormat="1" ht="12.75" x14ac:dyDescent="0.2">
      <c r="R62765" s="1288"/>
    </row>
    <row r="62766" spans="18:18" s="2" customFormat="1" ht="12.75" x14ac:dyDescent="0.2">
      <c r="R62766" s="1288"/>
    </row>
    <row r="62767" spans="18:18" s="2" customFormat="1" ht="12.75" x14ac:dyDescent="0.2">
      <c r="R62767" s="1288"/>
    </row>
    <row r="62768" spans="18:18" s="2" customFormat="1" ht="12.75" x14ac:dyDescent="0.2">
      <c r="R62768" s="1288"/>
    </row>
    <row r="62769" spans="18:18" s="2" customFormat="1" ht="12.75" x14ac:dyDescent="0.2">
      <c r="R62769" s="1288"/>
    </row>
    <row r="62770" spans="18:18" s="2" customFormat="1" ht="12.75" x14ac:dyDescent="0.2">
      <c r="R62770" s="1288"/>
    </row>
    <row r="62771" spans="18:18" s="2" customFormat="1" ht="12.75" x14ac:dyDescent="0.2">
      <c r="R62771" s="1288"/>
    </row>
    <row r="62772" spans="18:18" s="2" customFormat="1" ht="12.75" x14ac:dyDescent="0.2">
      <c r="R62772" s="1288"/>
    </row>
    <row r="62773" spans="18:18" s="2" customFormat="1" ht="12.75" x14ac:dyDescent="0.2">
      <c r="R62773" s="1288"/>
    </row>
    <row r="62774" spans="18:18" s="2" customFormat="1" ht="12.75" x14ac:dyDescent="0.2">
      <c r="R62774" s="1288"/>
    </row>
    <row r="62775" spans="18:18" s="2" customFormat="1" ht="12.75" x14ac:dyDescent="0.2">
      <c r="R62775" s="1288"/>
    </row>
    <row r="62776" spans="18:18" s="2" customFormat="1" ht="12.75" x14ac:dyDescent="0.2">
      <c r="R62776" s="1288"/>
    </row>
    <row r="62777" spans="18:18" s="2" customFormat="1" ht="12.75" x14ac:dyDescent="0.2">
      <c r="R62777" s="1288"/>
    </row>
    <row r="62778" spans="18:18" s="2" customFormat="1" ht="12.75" x14ac:dyDescent="0.2">
      <c r="R62778" s="1288"/>
    </row>
    <row r="62779" spans="18:18" s="2" customFormat="1" ht="12.75" x14ac:dyDescent="0.2">
      <c r="R62779" s="1288"/>
    </row>
    <row r="62780" spans="18:18" s="2" customFormat="1" ht="12.75" x14ac:dyDescent="0.2">
      <c r="R62780" s="1288"/>
    </row>
    <row r="62781" spans="18:18" s="2" customFormat="1" ht="12.75" x14ac:dyDescent="0.2">
      <c r="R62781" s="1288"/>
    </row>
    <row r="62782" spans="18:18" s="2" customFormat="1" ht="12.75" x14ac:dyDescent="0.2">
      <c r="R62782" s="1288"/>
    </row>
    <row r="62783" spans="18:18" s="2" customFormat="1" ht="12.75" x14ac:dyDescent="0.2">
      <c r="R62783" s="1288"/>
    </row>
    <row r="62784" spans="18:18" s="2" customFormat="1" ht="12.75" x14ac:dyDescent="0.2">
      <c r="R62784" s="1288"/>
    </row>
    <row r="62785" spans="18:18" s="2" customFormat="1" ht="12.75" x14ac:dyDescent="0.2">
      <c r="R62785" s="1288"/>
    </row>
    <row r="62786" spans="18:18" s="2" customFormat="1" ht="12.75" x14ac:dyDescent="0.2">
      <c r="R62786" s="1288"/>
    </row>
    <row r="62787" spans="18:18" s="2" customFormat="1" ht="12.75" x14ac:dyDescent="0.2">
      <c r="R62787" s="1288"/>
    </row>
    <row r="62788" spans="18:18" s="2" customFormat="1" ht="12.75" x14ac:dyDescent="0.2">
      <c r="R62788" s="1288"/>
    </row>
    <row r="62789" spans="18:18" s="2" customFormat="1" ht="12.75" x14ac:dyDescent="0.2">
      <c r="R62789" s="1288"/>
    </row>
    <row r="62790" spans="18:18" s="2" customFormat="1" ht="12.75" x14ac:dyDescent="0.2">
      <c r="R62790" s="1288"/>
    </row>
    <row r="62791" spans="18:18" s="2" customFormat="1" ht="12.75" x14ac:dyDescent="0.2">
      <c r="R62791" s="1288"/>
    </row>
    <row r="62792" spans="18:18" s="2" customFormat="1" ht="12.75" x14ac:dyDescent="0.2">
      <c r="R62792" s="1288"/>
    </row>
    <row r="62793" spans="18:18" s="2" customFormat="1" ht="12.75" x14ac:dyDescent="0.2">
      <c r="R62793" s="1288"/>
    </row>
    <row r="62794" spans="18:18" s="2" customFormat="1" ht="12.75" x14ac:dyDescent="0.2">
      <c r="R62794" s="1288"/>
    </row>
    <row r="62795" spans="18:18" s="2" customFormat="1" ht="12.75" x14ac:dyDescent="0.2">
      <c r="R62795" s="1288"/>
    </row>
    <row r="62796" spans="18:18" s="2" customFormat="1" ht="12.75" x14ac:dyDescent="0.2">
      <c r="R62796" s="1288"/>
    </row>
    <row r="62797" spans="18:18" s="2" customFormat="1" ht="12.75" x14ac:dyDescent="0.2">
      <c r="R62797" s="1288"/>
    </row>
    <row r="62798" spans="18:18" s="2" customFormat="1" ht="12.75" x14ac:dyDescent="0.2">
      <c r="R62798" s="1288"/>
    </row>
    <row r="62799" spans="18:18" s="2" customFormat="1" ht="12.75" x14ac:dyDescent="0.2">
      <c r="R62799" s="1288"/>
    </row>
    <row r="62800" spans="18:18" s="2" customFormat="1" ht="12.75" x14ac:dyDescent="0.2">
      <c r="R62800" s="1288"/>
    </row>
    <row r="62801" spans="18:18" s="2" customFormat="1" ht="12.75" x14ac:dyDescent="0.2">
      <c r="R62801" s="1288"/>
    </row>
    <row r="62802" spans="18:18" s="2" customFormat="1" ht="12.75" x14ac:dyDescent="0.2">
      <c r="R62802" s="1288"/>
    </row>
    <row r="62803" spans="18:18" s="2" customFormat="1" ht="12.75" x14ac:dyDescent="0.2">
      <c r="R62803" s="1288"/>
    </row>
    <row r="62804" spans="18:18" s="2" customFormat="1" ht="12.75" x14ac:dyDescent="0.2">
      <c r="R62804" s="1288"/>
    </row>
    <row r="62805" spans="18:18" s="2" customFormat="1" ht="12.75" x14ac:dyDescent="0.2">
      <c r="R62805" s="1288"/>
    </row>
    <row r="62806" spans="18:18" s="2" customFormat="1" ht="12.75" x14ac:dyDescent="0.2">
      <c r="R62806" s="1288"/>
    </row>
    <row r="62807" spans="18:18" s="2" customFormat="1" ht="12.75" x14ac:dyDescent="0.2">
      <c r="R62807" s="1288"/>
    </row>
    <row r="62808" spans="18:18" s="2" customFormat="1" ht="12.75" x14ac:dyDescent="0.2">
      <c r="R62808" s="1288"/>
    </row>
    <row r="62809" spans="18:18" s="2" customFormat="1" ht="12.75" x14ac:dyDescent="0.2">
      <c r="R62809" s="1288"/>
    </row>
    <row r="62810" spans="18:18" s="2" customFormat="1" ht="12.75" x14ac:dyDescent="0.2">
      <c r="R62810" s="1288"/>
    </row>
    <row r="62811" spans="18:18" s="2" customFormat="1" ht="12.75" x14ac:dyDescent="0.2">
      <c r="R62811" s="1288"/>
    </row>
    <row r="62812" spans="18:18" s="2" customFormat="1" ht="12.75" x14ac:dyDescent="0.2">
      <c r="R62812" s="1288"/>
    </row>
    <row r="62813" spans="18:18" s="2" customFormat="1" ht="12.75" x14ac:dyDescent="0.2">
      <c r="R62813" s="1288"/>
    </row>
    <row r="62814" spans="18:18" s="2" customFormat="1" ht="12.75" x14ac:dyDescent="0.2">
      <c r="R62814" s="1288"/>
    </row>
    <row r="62815" spans="18:18" s="2" customFormat="1" ht="12.75" x14ac:dyDescent="0.2">
      <c r="R62815" s="1288"/>
    </row>
    <row r="62816" spans="18:18" s="2" customFormat="1" ht="12.75" x14ac:dyDescent="0.2">
      <c r="R62816" s="1288"/>
    </row>
    <row r="62817" spans="18:18" s="2" customFormat="1" ht="12.75" x14ac:dyDescent="0.2">
      <c r="R62817" s="1288"/>
    </row>
    <row r="62818" spans="18:18" s="2" customFormat="1" ht="12.75" x14ac:dyDescent="0.2">
      <c r="R62818" s="1288"/>
    </row>
    <row r="62819" spans="18:18" s="2" customFormat="1" ht="12.75" x14ac:dyDescent="0.2">
      <c r="R62819" s="1288"/>
    </row>
    <row r="62820" spans="18:18" s="2" customFormat="1" ht="12.75" x14ac:dyDescent="0.2">
      <c r="R62820" s="1288"/>
    </row>
    <row r="62821" spans="18:18" s="2" customFormat="1" ht="12.75" x14ac:dyDescent="0.2">
      <c r="R62821" s="1288"/>
    </row>
    <row r="62822" spans="18:18" s="2" customFormat="1" ht="12.75" x14ac:dyDescent="0.2">
      <c r="R62822" s="1288"/>
    </row>
    <row r="62823" spans="18:18" s="2" customFormat="1" ht="12.75" x14ac:dyDescent="0.2">
      <c r="R62823" s="1288"/>
    </row>
    <row r="62824" spans="18:18" s="2" customFormat="1" ht="12.75" x14ac:dyDescent="0.2">
      <c r="R62824" s="1288"/>
    </row>
    <row r="62825" spans="18:18" s="2" customFormat="1" ht="12.75" x14ac:dyDescent="0.2">
      <c r="R62825" s="1288"/>
    </row>
    <row r="62826" spans="18:18" s="2" customFormat="1" ht="12.75" x14ac:dyDescent="0.2">
      <c r="R62826" s="1288"/>
    </row>
    <row r="62827" spans="18:18" s="2" customFormat="1" ht="12.75" x14ac:dyDescent="0.2">
      <c r="R62827" s="1288"/>
    </row>
    <row r="62828" spans="18:18" s="2" customFormat="1" ht="12.75" x14ac:dyDescent="0.2">
      <c r="R62828" s="1288"/>
    </row>
    <row r="62829" spans="18:18" s="2" customFormat="1" ht="12.75" x14ac:dyDescent="0.2">
      <c r="R62829" s="1288"/>
    </row>
    <row r="62830" spans="18:18" s="2" customFormat="1" ht="12.75" x14ac:dyDescent="0.2">
      <c r="R62830" s="1288"/>
    </row>
    <row r="62831" spans="18:18" s="2" customFormat="1" ht="12.75" x14ac:dyDescent="0.2">
      <c r="R62831" s="1288"/>
    </row>
    <row r="62832" spans="18:18" s="2" customFormat="1" ht="12.75" x14ac:dyDescent="0.2">
      <c r="R62832" s="1288"/>
    </row>
    <row r="62833" spans="18:18" s="2" customFormat="1" ht="12.75" x14ac:dyDescent="0.2">
      <c r="R62833" s="1288"/>
    </row>
    <row r="62834" spans="18:18" s="2" customFormat="1" ht="12.75" x14ac:dyDescent="0.2">
      <c r="R62834" s="1288"/>
    </row>
    <row r="62835" spans="18:18" s="2" customFormat="1" ht="12.75" x14ac:dyDescent="0.2">
      <c r="R62835" s="1288"/>
    </row>
    <row r="62836" spans="18:18" s="2" customFormat="1" ht="12.75" x14ac:dyDescent="0.2">
      <c r="R62836" s="1288"/>
    </row>
    <row r="62837" spans="18:18" s="2" customFormat="1" ht="12.75" x14ac:dyDescent="0.2">
      <c r="R62837" s="1288"/>
    </row>
    <row r="62838" spans="18:18" s="2" customFormat="1" ht="12.75" x14ac:dyDescent="0.2">
      <c r="R62838" s="1288"/>
    </row>
    <row r="62839" spans="18:18" s="2" customFormat="1" ht="12.75" x14ac:dyDescent="0.2">
      <c r="R62839" s="1288"/>
    </row>
    <row r="62840" spans="18:18" s="2" customFormat="1" ht="12.75" x14ac:dyDescent="0.2">
      <c r="R62840" s="1288"/>
    </row>
    <row r="62841" spans="18:18" s="2" customFormat="1" ht="12.75" x14ac:dyDescent="0.2">
      <c r="R62841" s="1288"/>
    </row>
    <row r="62842" spans="18:18" s="2" customFormat="1" ht="12.75" x14ac:dyDescent="0.2">
      <c r="R62842" s="1288"/>
    </row>
    <row r="62843" spans="18:18" s="2" customFormat="1" ht="12.75" x14ac:dyDescent="0.2">
      <c r="R62843" s="1288"/>
    </row>
    <row r="62844" spans="18:18" s="2" customFormat="1" ht="12.75" x14ac:dyDescent="0.2">
      <c r="R62844" s="1288"/>
    </row>
    <row r="62845" spans="18:18" s="2" customFormat="1" ht="12.75" x14ac:dyDescent="0.2">
      <c r="R62845" s="1288"/>
    </row>
    <row r="62846" spans="18:18" s="2" customFormat="1" ht="12.75" x14ac:dyDescent="0.2">
      <c r="R62846" s="1288"/>
    </row>
    <row r="62847" spans="18:18" s="2" customFormat="1" ht="12.75" x14ac:dyDescent="0.2">
      <c r="R62847" s="1288"/>
    </row>
    <row r="62848" spans="18:18" s="2" customFormat="1" ht="12.75" x14ac:dyDescent="0.2">
      <c r="R62848" s="1288"/>
    </row>
    <row r="62849" spans="18:18" s="2" customFormat="1" ht="12.75" x14ac:dyDescent="0.2">
      <c r="R62849" s="1288"/>
    </row>
    <row r="62850" spans="18:18" s="2" customFormat="1" ht="12.75" x14ac:dyDescent="0.2">
      <c r="R62850" s="1288"/>
    </row>
    <row r="62851" spans="18:18" s="2" customFormat="1" ht="12.75" x14ac:dyDescent="0.2">
      <c r="R62851" s="1288"/>
    </row>
    <row r="62852" spans="18:18" s="2" customFormat="1" ht="12.75" x14ac:dyDescent="0.2">
      <c r="R62852" s="1288"/>
    </row>
    <row r="62853" spans="18:18" s="2" customFormat="1" ht="12.75" x14ac:dyDescent="0.2">
      <c r="R62853" s="1288"/>
    </row>
    <row r="62854" spans="18:18" s="2" customFormat="1" ht="12.75" x14ac:dyDescent="0.2">
      <c r="R62854" s="1288"/>
    </row>
    <row r="62855" spans="18:18" s="2" customFormat="1" ht="12.75" x14ac:dyDescent="0.2">
      <c r="R62855" s="1288"/>
    </row>
    <row r="62856" spans="18:18" s="2" customFormat="1" ht="12.75" x14ac:dyDescent="0.2">
      <c r="R62856" s="1288"/>
    </row>
    <row r="62857" spans="18:18" s="2" customFormat="1" ht="12.75" x14ac:dyDescent="0.2">
      <c r="R62857" s="1288"/>
    </row>
    <row r="62858" spans="18:18" s="2" customFormat="1" ht="12.75" x14ac:dyDescent="0.2">
      <c r="R62858" s="1288"/>
    </row>
    <row r="62859" spans="18:18" s="2" customFormat="1" ht="12.75" x14ac:dyDescent="0.2">
      <c r="R62859" s="1288"/>
    </row>
    <row r="62860" spans="18:18" s="2" customFormat="1" ht="12.75" x14ac:dyDescent="0.2">
      <c r="R62860" s="1288"/>
    </row>
    <row r="62861" spans="18:18" s="2" customFormat="1" ht="12.75" x14ac:dyDescent="0.2">
      <c r="R62861" s="1288"/>
    </row>
    <row r="62862" spans="18:18" s="2" customFormat="1" ht="12.75" x14ac:dyDescent="0.2">
      <c r="R62862" s="1288"/>
    </row>
    <row r="62863" spans="18:18" s="2" customFormat="1" ht="12.75" x14ac:dyDescent="0.2">
      <c r="R62863" s="1288"/>
    </row>
    <row r="62864" spans="18:18" s="2" customFormat="1" ht="12.75" x14ac:dyDescent="0.2">
      <c r="R62864" s="1288"/>
    </row>
    <row r="62865" spans="18:18" s="2" customFormat="1" ht="12.75" x14ac:dyDescent="0.2">
      <c r="R62865" s="1288"/>
    </row>
    <row r="62866" spans="18:18" s="2" customFormat="1" ht="12.75" x14ac:dyDescent="0.2">
      <c r="R62866" s="1288"/>
    </row>
    <row r="62867" spans="18:18" s="2" customFormat="1" ht="12.75" x14ac:dyDescent="0.2">
      <c r="R62867" s="1288"/>
    </row>
    <row r="62868" spans="18:18" s="2" customFormat="1" ht="12.75" x14ac:dyDescent="0.2">
      <c r="R62868" s="1288"/>
    </row>
    <row r="62869" spans="18:18" s="2" customFormat="1" ht="12.75" x14ac:dyDescent="0.2">
      <c r="R62869" s="1288"/>
    </row>
    <row r="62870" spans="18:18" s="2" customFormat="1" ht="12.75" x14ac:dyDescent="0.2">
      <c r="R62870" s="1288"/>
    </row>
    <row r="62871" spans="18:18" s="2" customFormat="1" ht="12.75" x14ac:dyDescent="0.2">
      <c r="R62871" s="1288"/>
    </row>
    <row r="62872" spans="18:18" s="2" customFormat="1" ht="12.75" x14ac:dyDescent="0.2">
      <c r="R62872" s="1288"/>
    </row>
    <row r="62873" spans="18:18" s="2" customFormat="1" ht="12.75" x14ac:dyDescent="0.2">
      <c r="R62873" s="1288"/>
    </row>
    <row r="62874" spans="18:18" s="2" customFormat="1" ht="12.75" x14ac:dyDescent="0.2">
      <c r="R62874" s="1288"/>
    </row>
    <row r="62875" spans="18:18" s="2" customFormat="1" ht="12.75" x14ac:dyDescent="0.2">
      <c r="R62875" s="1288"/>
    </row>
    <row r="62876" spans="18:18" s="2" customFormat="1" ht="12.75" x14ac:dyDescent="0.2">
      <c r="R62876" s="1288"/>
    </row>
    <row r="62877" spans="18:18" s="2" customFormat="1" ht="12.75" x14ac:dyDescent="0.2">
      <c r="R62877" s="1288"/>
    </row>
    <row r="62878" spans="18:18" s="2" customFormat="1" ht="12.75" x14ac:dyDescent="0.2">
      <c r="R62878" s="1288"/>
    </row>
    <row r="62879" spans="18:18" s="2" customFormat="1" ht="12.75" x14ac:dyDescent="0.2">
      <c r="R62879" s="1288"/>
    </row>
    <row r="62880" spans="18:18" s="2" customFormat="1" ht="12.75" x14ac:dyDescent="0.2">
      <c r="R62880" s="1288"/>
    </row>
    <row r="62881" spans="18:18" s="2" customFormat="1" ht="12.75" x14ac:dyDescent="0.2">
      <c r="R62881" s="1288"/>
    </row>
    <row r="62882" spans="18:18" s="2" customFormat="1" ht="12.75" x14ac:dyDescent="0.2">
      <c r="R62882" s="1288"/>
    </row>
    <row r="62883" spans="18:18" s="2" customFormat="1" ht="12.75" x14ac:dyDescent="0.2">
      <c r="R62883" s="1288"/>
    </row>
    <row r="62884" spans="18:18" s="2" customFormat="1" ht="12.75" x14ac:dyDescent="0.2">
      <c r="R62884" s="1288"/>
    </row>
    <row r="62885" spans="18:18" s="2" customFormat="1" ht="12.75" x14ac:dyDescent="0.2">
      <c r="R62885" s="1288"/>
    </row>
    <row r="62886" spans="18:18" s="2" customFormat="1" ht="12.75" x14ac:dyDescent="0.2">
      <c r="R62886" s="1288"/>
    </row>
    <row r="62887" spans="18:18" s="2" customFormat="1" ht="12.75" x14ac:dyDescent="0.2">
      <c r="R62887" s="1288"/>
    </row>
    <row r="62888" spans="18:18" s="2" customFormat="1" ht="12.75" x14ac:dyDescent="0.2">
      <c r="R62888" s="1288"/>
    </row>
    <row r="62889" spans="18:18" s="2" customFormat="1" ht="12.75" x14ac:dyDescent="0.2">
      <c r="R62889" s="1288"/>
    </row>
    <row r="62890" spans="18:18" s="2" customFormat="1" ht="12.75" x14ac:dyDescent="0.2">
      <c r="R62890" s="1288"/>
    </row>
    <row r="62891" spans="18:18" s="2" customFormat="1" ht="12.75" x14ac:dyDescent="0.2">
      <c r="R62891" s="1288"/>
    </row>
    <row r="62892" spans="18:18" s="2" customFormat="1" ht="12.75" x14ac:dyDescent="0.2">
      <c r="R62892" s="1288"/>
    </row>
    <row r="62893" spans="18:18" s="2" customFormat="1" ht="12.75" x14ac:dyDescent="0.2">
      <c r="R62893" s="1288"/>
    </row>
    <row r="62894" spans="18:18" s="2" customFormat="1" ht="12.75" x14ac:dyDescent="0.2">
      <c r="R62894" s="1288"/>
    </row>
    <row r="62895" spans="18:18" s="2" customFormat="1" ht="12.75" x14ac:dyDescent="0.2">
      <c r="R62895" s="1288"/>
    </row>
    <row r="62896" spans="18:18" s="2" customFormat="1" ht="12.75" x14ac:dyDescent="0.2">
      <c r="R62896" s="1288"/>
    </row>
    <row r="62897" spans="18:18" s="2" customFormat="1" ht="12.75" x14ac:dyDescent="0.2">
      <c r="R62897" s="1288"/>
    </row>
    <row r="62898" spans="18:18" s="2" customFormat="1" ht="12.75" x14ac:dyDescent="0.2">
      <c r="R62898" s="1288"/>
    </row>
    <row r="62899" spans="18:18" s="2" customFormat="1" ht="12.75" x14ac:dyDescent="0.2">
      <c r="R62899" s="1288"/>
    </row>
    <row r="62900" spans="18:18" s="2" customFormat="1" ht="12.75" x14ac:dyDescent="0.2">
      <c r="R62900" s="1288"/>
    </row>
    <row r="62901" spans="18:18" s="2" customFormat="1" ht="12.75" x14ac:dyDescent="0.2">
      <c r="R62901" s="1288"/>
    </row>
    <row r="62902" spans="18:18" s="2" customFormat="1" ht="12.75" x14ac:dyDescent="0.2">
      <c r="R62902" s="1288"/>
    </row>
    <row r="62903" spans="18:18" s="2" customFormat="1" ht="12.75" x14ac:dyDescent="0.2">
      <c r="R62903" s="1288"/>
    </row>
    <row r="62904" spans="18:18" s="2" customFormat="1" ht="12.75" x14ac:dyDescent="0.2">
      <c r="R62904" s="1288"/>
    </row>
    <row r="62905" spans="18:18" s="2" customFormat="1" ht="12.75" x14ac:dyDescent="0.2">
      <c r="R62905" s="1288"/>
    </row>
    <row r="62906" spans="18:18" s="2" customFormat="1" ht="12.75" x14ac:dyDescent="0.2">
      <c r="R62906" s="1288"/>
    </row>
    <row r="62907" spans="18:18" s="2" customFormat="1" ht="12.75" x14ac:dyDescent="0.2">
      <c r="R62907" s="1288"/>
    </row>
    <row r="62908" spans="18:18" s="2" customFormat="1" ht="12.75" x14ac:dyDescent="0.2">
      <c r="R62908" s="1288"/>
    </row>
    <row r="62909" spans="18:18" s="2" customFormat="1" ht="12.75" x14ac:dyDescent="0.2">
      <c r="R62909" s="1288"/>
    </row>
    <row r="62910" spans="18:18" s="2" customFormat="1" ht="12.75" x14ac:dyDescent="0.2">
      <c r="R62910" s="1288"/>
    </row>
    <row r="62911" spans="18:18" s="2" customFormat="1" ht="12.75" x14ac:dyDescent="0.2">
      <c r="R62911" s="1288"/>
    </row>
    <row r="62912" spans="18:18" s="2" customFormat="1" ht="12.75" x14ac:dyDescent="0.2">
      <c r="R62912" s="1288"/>
    </row>
    <row r="62913" spans="18:18" s="2" customFormat="1" ht="12.75" x14ac:dyDescent="0.2">
      <c r="R62913" s="1288"/>
    </row>
    <row r="62914" spans="18:18" s="2" customFormat="1" ht="12.75" x14ac:dyDescent="0.2">
      <c r="R62914" s="1288"/>
    </row>
    <row r="62915" spans="18:18" s="2" customFormat="1" ht="12.75" x14ac:dyDescent="0.2">
      <c r="R62915" s="1288"/>
    </row>
    <row r="62916" spans="18:18" s="2" customFormat="1" ht="12.75" x14ac:dyDescent="0.2">
      <c r="R62916" s="1288"/>
    </row>
    <row r="62917" spans="18:18" s="2" customFormat="1" ht="12.75" x14ac:dyDescent="0.2">
      <c r="R62917" s="1288"/>
    </row>
    <row r="62918" spans="18:18" s="2" customFormat="1" ht="12.75" x14ac:dyDescent="0.2">
      <c r="R62918" s="1288"/>
    </row>
    <row r="62919" spans="18:18" s="2" customFormat="1" ht="12.75" x14ac:dyDescent="0.2">
      <c r="R62919" s="1288"/>
    </row>
    <row r="62920" spans="18:18" s="2" customFormat="1" ht="12.75" x14ac:dyDescent="0.2">
      <c r="R62920" s="1288"/>
    </row>
    <row r="62921" spans="18:18" s="2" customFormat="1" ht="12.75" x14ac:dyDescent="0.2">
      <c r="R62921" s="1288"/>
    </row>
    <row r="62922" spans="18:18" s="2" customFormat="1" ht="12.75" x14ac:dyDescent="0.2">
      <c r="R62922" s="1288"/>
    </row>
    <row r="62923" spans="18:18" s="2" customFormat="1" ht="12.75" x14ac:dyDescent="0.2">
      <c r="R62923" s="1288"/>
    </row>
    <row r="62924" spans="18:18" s="2" customFormat="1" ht="12.75" x14ac:dyDescent="0.2">
      <c r="R62924" s="1288"/>
    </row>
    <row r="62925" spans="18:18" s="2" customFormat="1" ht="12.75" x14ac:dyDescent="0.2">
      <c r="R62925" s="1288"/>
    </row>
    <row r="62926" spans="18:18" s="2" customFormat="1" ht="12.75" x14ac:dyDescent="0.2">
      <c r="R62926" s="1288"/>
    </row>
    <row r="62927" spans="18:18" s="2" customFormat="1" ht="12.75" x14ac:dyDescent="0.2">
      <c r="R62927" s="1288"/>
    </row>
    <row r="62928" spans="18:18" s="2" customFormat="1" ht="12.75" x14ac:dyDescent="0.2">
      <c r="R62928" s="1288"/>
    </row>
    <row r="62929" spans="18:18" s="2" customFormat="1" ht="12.75" x14ac:dyDescent="0.2">
      <c r="R62929" s="1288"/>
    </row>
    <row r="62930" spans="18:18" s="2" customFormat="1" ht="12.75" x14ac:dyDescent="0.2">
      <c r="R62930" s="1288"/>
    </row>
    <row r="62931" spans="18:18" s="2" customFormat="1" ht="12.75" x14ac:dyDescent="0.2">
      <c r="R62931" s="1288"/>
    </row>
    <row r="62932" spans="18:18" s="2" customFormat="1" ht="12.75" x14ac:dyDescent="0.2">
      <c r="R62932" s="1288"/>
    </row>
    <row r="62933" spans="18:18" s="2" customFormat="1" ht="12.75" x14ac:dyDescent="0.2">
      <c r="R62933" s="1288"/>
    </row>
    <row r="62934" spans="18:18" s="2" customFormat="1" ht="12.75" x14ac:dyDescent="0.2">
      <c r="R62934" s="1288"/>
    </row>
    <row r="62935" spans="18:18" s="2" customFormat="1" ht="12.75" x14ac:dyDescent="0.2">
      <c r="R62935" s="1288"/>
    </row>
    <row r="62936" spans="18:18" s="2" customFormat="1" ht="12.75" x14ac:dyDescent="0.2">
      <c r="R62936" s="1288"/>
    </row>
    <row r="62937" spans="18:18" s="2" customFormat="1" ht="12.75" x14ac:dyDescent="0.2">
      <c r="R62937" s="1288"/>
    </row>
    <row r="62938" spans="18:18" s="2" customFormat="1" ht="12.75" x14ac:dyDescent="0.2">
      <c r="R62938" s="1288"/>
    </row>
    <row r="62939" spans="18:18" s="2" customFormat="1" ht="12.75" x14ac:dyDescent="0.2">
      <c r="R62939" s="1288"/>
    </row>
    <row r="62940" spans="18:18" s="2" customFormat="1" ht="12.75" x14ac:dyDescent="0.2">
      <c r="R62940" s="1288"/>
    </row>
    <row r="62941" spans="18:18" s="2" customFormat="1" ht="12.75" x14ac:dyDescent="0.2">
      <c r="R62941" s="1288"/>
    </row>
    <row r="62942" spans="18:18" s="2" customFormat="1" ht="12.75" x14ac:dyDescent="0.2">
      <c r="R62942" s="1288"/>
    </row>
    <row r="62943" spans="18:18" s="2" customFormat="1" ht="12.75" x14ac:dyDescent="0.2">
      <c r="R62943" s="1288"/>
    </row>
    <row r="62944" spans="18:18" s="2" customFormat="1" ht="12.75" x14ac:dyDescent="0.2">
      <c r="R62944" s="1288"/>
    </row>
    <row r="62945" spans="18:18" s="2" customFormat="1" ht="12.75" x14ac:dyDescent="0.2">
      <c r="R62945" s="1288"/>
    </row>
    <row r="62946" spans="18:18" s="2" customFormat="1" ht="12.75" x14ac:dyDescent="0.2">
      <c r="R62946" s="1288"/>
    </row>
    <row r="62947" spans="18:18" s="2" customFormat="1" ht="12.75" x14ac:dyDescent="0.2">
      <c r="R62947" s="1288"/>
    </row>
    <row r="62948" spans="18:18" s="2" customFormat="1" ht="12.75" x14ac:dyDescent="0.2">
      <c r="R62948" s="1288"/>
    </row>
    <row r="62949" spans="18:18" s="2" customFormat="1" ht="12.75" x14ac:dyDescent="0.2">
      <c r="R62949" s="1288"/>
    </row>
    <row r="62950" spans="18:18" s="2" customFormat="1" ht="12.75" x14ac:dyDescent="0.2">
      <c r="R62950" s="1288"/>
    </row>
    <row r="62951" spans="18:18" s="2" customFormat="1" ht="12.75" x14ac:dyDescent="0.2">
      <c r="R62951" s="1288"/>
    </row>
    <row r="62952" spans="18:18" s="2" customFormat="1" ht="12.75" x14ac:dyDescent="0.2">
      <c r="R62952" s="1288"/>
    </row>
    <row r="62953" spans="18:18" s="2" customFormat="1" ht="12.75" x14ac:dyDescent="0.2">
      <c r="R62953" s="1288"/>
    </row>
    <row r="62954" spans="18:18" s="2" customFormat="1" ht="12.75" x14ac:dyDescent="0.2">
      <c r="R62954" s="1288"/>
    </row>
    <row r="62955" spans="18:18" s="2" customFormat="1" ht="12.75" x14ac:dyDescent="0.2">
      <c r="R62955" s="1288"/>
    </row>
    <row r="62956" spans="18:18" s="2" customFormat="1" ht="12.75" x14ac:dyDescent="0.2">
      <c r="R62956" s="1288"/>
    </row>
    <row r="62957" spans="18:18" s="2" customFormat="1" ht="12.75" x14ac:dyDescent="0.2">
      <c r="R62957" s="1288"/>
    </row>
    <row r="62958" spans="18:18" s="2" customFormat="1" ht="12.75" x14ac:dyDescent="0.2">
      <c r="R62958" s="1288"/>
    </row>
    <row r="62959" spans="18:18" s="2" customFormat="1" ht="12.75" x14ac:dyDescent="0.2">
      <c r="R62959" s="1288"/>
    </row>
    <row r="62960" spans="18:18" s="2" customFormat="1" ht="12.75" x14ac:dyDescent="0.2">
      <c r="R62960" s="1288"/>
    </row>
    <row r="62961" spans="18:18" s="2" customFormat="1" ht="12.75" x14ac:dyDescent="0.2">
      <c r="R62961" s="1288"/>
    </row>
    <row r="62962" spans="18:18" s="2" customFormat="1" ht="12.75" x14ac:dyDescent="0.2">
      <c r="R62962" s="1288"/>
    </row>
    <row r="62963" spans="18:18" s="2" customFormat="1" ht="12.75" x14ac:dyDescent="0.2">
      <c r="R62963" s="1288"/>
    </row>
    <row r="62964" spans="18:18" s="2" customFormat="1" ht="12.75" x14ac:dyDescent="0.2">
      <c r="R62964" s="1288"/>
    </row>
    <row r="62965" spans="18:18" s="2" customFormat="1" ht="12.75" x14ac:dyDescent="0.2">
      <c r="R62965" s="1288"/>
    </row>
    <row r="62966" spans="18:18" s="2" customFormat="1" ht="12.75" x14ac:dyDescent="0.2">
      <c r="R62966" s="1288"/>
    </row>
    <row r="62967" spans="18:18" s="2" customFormat="1" ht="12.75" x14ac:dyDescent="0.2">
      <c r="R62967" s="1288"/>
    </row>
    <row r="62968" spans="18:18" s="2" customFormat="1" ht="12.75" x14ac:dyDescent="0.2">
      <c r="R62968" s="1288"/>
    </row>
    <row r="62969" spans="18:18" s="2" customFormat="1" ht="12.75" x14ac:dyDescent="0.2">
      <c r="R62969" s="1288"/>
    </row>
    <row r="62970" spans="18:18" s="2" customFormat="1" ht="12.75" x14ac:dyDescent="0.2">
      <c r="R62970" s="1288"/>
    </row>
    <row r="62971" spans="18:18" s="2" customFormat="1" ht="12.75" x14ac:dyDescent="0.2">
      <c r="R62971" s="1288"/>
    </row>
    <row r="62972" spans="18:18" s="2" customFormat="1" ht="12.75" x14ac:dyDescent="0.2">
      <c r="R62972" s="1288"/>
    </row>
    <row r="62973" spans="18:18" s="2" customFormat="1" ht="12.75" x14ac:dyDescent="0.2">
      <c r="R62973" s="1288"/>
    </row>
    <row r="62974" spans="18:18" s="2" customFormat="1" ht="12.75" x14ac:dyDescent="0.2">
      <c r="R62974" s="1288"/>
    </row>
    <row r="62975" spans="18:18" s="2" customFormat="1" ht="12.75" x14ac:dyDescent="0.2">
      <c r="R62975" s="1288"/>
    </row>
    <row r="62976" spans="18:18" s="2" customFormat="1" ht="12.75" x14ac:dyDescent="0.2">
      <c r="R62976" s="1288"/>
    </row>
    <row r="62977" spans="18:18" s="2" customFormat="1" ht="12.75" x14ac:dyDescent="0.2">
      <c r="R62977" s="1288"/>
    </row>
    <row r="62978" spans="18:18" s="2" customFormat="1" ht="12.75" x14ac:dyDescent="0.2">
      <c r="R62978" s="1288"/>
    </row>
    <row r="62979" spans="18:18" s="2" customFormat="1" ht="12.75" x14ac:dyDescent="0.2">
      <c r="R62979" s="1288"/>
    </row>
    <row r="62980" spans="18:18" s="2" customFormat="1" ht="12.75" x14ac:dyDescent="0.2">
      <c r="R62980" s="1288"/>
    </row>
    <row r="62981" spans="18:18" s="2" customFormat="1" ht="12.75" x14ac:dyDescent="0.2">
      <c r="R62981" s="1288"/>
    </row>
    <row r="62982" spans="18:18" s="2" customFormat="1" ht="12.75" x14ac:dyDescent="0.2">
      <c r="R62982" s="1288"/>
    </row>
    <row r="62983" spans="18:18" s="2" customFormat="1" ht="12.75" x14ac:dyDescent="0.2">
      <c r="R62983" s="1288"/>
    </row>
    <row r="62984" spans="18:18" s="2" customFormat="1" ht="12.75" x14ac:dyDescent="0.2">
      <c r="R62984" s="1288"/>
    </row>
    <row r="62985" spans="18:18" s="2" customFormat="1" ht="12.75" x14ac:dyDescent="0.2">
      <c r="R62985" s="1288"/>
    </row>
    <row r="62986" spans="18:18" s="2" customFormat="1" ht="12.75" x14ac:dyDescent="0.2">
      <c r="R62986" s="1288"/>
    </row>
    <row r="62987" spans="18:18" s="2" customFormat="1" ht="12.75" x14ac:dyDescent="0.2">
      <c r="R62987" s="1288"/>
    </row>
    <row r="62988" spans="18:18" s="2" customFormat="1" ht="12.75" x14ac:dyDescent="0.2">
      <c r="R62988" s="1288"/>
    </row>
    <row r="62989" spans="18:18" s="2" customFormat="1" ht="12.75" x14ac:dyDescent="0.2">
      <c r="R62989" s="1288"/>
    </row>
    <row r="62990" spans="18:18" s="2" customFormat="1" ht="12.75" x14ac:dyDescent="0.2">
      <c r="R62990" s="1288"/>
    </row>
    <row r="62991" spans="18:18" s="2" customFormat="1" ht="12.75" x14ac:dyDescent="0.2">
      <c r="R62991" s="1288"/>
    </row>
    <row r="62992" spans="18:18" s="2" customFormat="1" ht="12.75" x14ac:dyDescent="0.2">
      <c r="R62992" s="1288"/>
    </row>
    <row r="62993" spans="18:18" s="2" customFormat="1" ht="12.75" x14ac:dyDescent="0.2">
      <c r="R62993" s="1288"/>
    </row>
    <row r="62994" spans="18:18" s="2" customFormat="1" ht="12.75" x14ac:dyDescent="0.2">
      <c r="R62994" s="1288"/>
    </row>
    <row r="62995" spans="18:18" s="2" customFormat="1" ht="12.75" x14ac:dyDescent="0.2">
      <c r="R62995" s="1288"/>
    </row>
    <row r="62996" spans="18:18" s="2" customFormat="1" ht="12.75" x14ac:dyDescent="0.2">
      <c r="R62996" s="1288"/>
    </row>
    <row r="62997" spans="18:18" s="2" customFormat="1" ht="12.75" x14ac:dyDescent="0.2">
      <c r="R62997" s="1288"/>
    </row>
    <row r="62998" spans="18:18" s="2" customFormat="1" ht="12.75" x14ac:dyDescent="0.2">
      <c r="R62998" s="1288"/>
    </row>
    <row r="62999" spans="18:18" s="2" customFormat="1" ht="12.75" x14ac:dyDescent="0.2">
      <c r="R62999" s="1288"/>
    </row>
    <row r="63000" spans="18:18" s="2" customFormat="1" ht="12.75" x14ac:dyDescent="0.2">
      <c r="R63000" s="1288"/>
    </row>
    <row r="63001" spans="18:18" s="2" customFormat="1" ht="12.75" x14ac:dyDescent="0.2">
      <c r="R63001" s="1288"/>
    </row>
    <row r="63002" spans="18:18" s="2" customFormat="1" ht="12.75" x14ac:dyDescent="0.2">
      <c r="R63002" s="1288"/>
    </row>
    <row r="63003" spans="18:18" s="2" customFormat="1" ht="12.75" x14ac:dyDescent="0.2">
      <c r="R63003" s="1288"/>
    </row>
    <row r="63004" spans="18:18" s="2" customFormat="1" ht="12.75" x14ac:dyDescent="0.2">
      <c r="R63004" s="1288"/>
    </row>
    <row r="63005" spans="18:18" s="2" customFormat="1" ht="12.75" x14ac:dyDescent="0.2">
      <c r="R63005" s="1288"/>
    </row>
    <row r="63006" spans="18:18" s="2" customFormat="1" ht="12.75" x14ac:dyDescent="0.2">
      <c r="R63006" s="1288"/>
    </row>
    <row r="63007" spans="18:18" s="2" customFormat="1" ht="12.75" x14ac:dyDescent="0.2">
      <c r="R63007" s="1288"/>
    </row>
    <row r="63008" spans="18:18" s="2" customFormat="1" ht="12.75" x14ac:dyDescent="0.2">
      <c r="R63008" s="1288"/>
    </row>
    <row r="63009" spans="18:18" s="2" customFormat="1" ht="12.75" x14ac:dyDescent="0.2">
      <c r="R63009" s="1288"/>
    </row>
    <row r="63010" spans="18:18" s="2" customFormat="1" ht="12.75" x14ac:dyDescent="0.2">
      <c r="R63010" s="1288"/>
    </row>
    <row r="63011" spans="18:18" s="2" customFormat="1" ht="12.75" x14ac:dyDescent="0.2">
      <c r="R63011" s="1288"/>
    </row>
    <row r="63012" spans="18:18" s="2" customFormat="1" ht="12.75" x14ac:dyDescent="0.2">
      <c r="R63012" s="1288"/>
    </row>
    <row r="63013" spans="18:18" s="2" customFormat="1" ht="12.75" x14ac:dyDescent="0.2">
      <c r="R63013" s="1288"/>
    </row>
    <row r="63014" spans="18:18" s="2" customFormat="1" ht="12.75" x14ac:dyDescent="0.2">
      <c r="R63014" s="1288"/>
    </row>
    <row r="63015" spans="18:18" s="2" customFormat="1" ht="12.75" x14ac:dyDescent="0.2">
      <c r="R63015" s="1288"/>
    </row>
    <row r="63016" spans="18:18" s="2" customFormat="1" ht="12.75" x14ac:dyDescent="0.2">
      <c r="R63016" s="1288"/>
    </row>
    <row r="63017" spans="18:18" s="2" customFormat="1" ht="12.75" x14ac:dyDescent="0.2">
      <c r="R63017" s="1288"/>
    </row>
    <row r="63018" spans="18:18" s="2" customFormat="1" ht="12.75" x14ac:dyDescent="0.2">
      <c r="R63018" s="1288"/>
    </row>
    <row r="63019" spans="18:18" s="2" customFormat="1" ht="12.75" x14ac:dyDescent="0.2">
      <c r="R63019" s="1288"/>
    </row>
    <row r="63020" spans="18:18" s="2" customFormat="1" ht="12.75" x14ac:dyDescent="0.2">
      <c r="R63020" s="1288"/>
    </row>
    <row r="63021" spans="18:18" s="2" customFormat="1" ht="12.75" x14ac:dyDescent="0.2">
      <c r="R63021" s="1288"/>
    </row>
    <row r="63022" spans="18:18" s="2" customFormat="1" ht="12.75" x14ac:dyDescent="0.2">
      <c r="R63022" s="1288"/>
    </row>
    <row r="63023" spans="18:18" s="2" customFormat="1" ht="12.75" x14ac:dyDescent="0.2">
      <c r="R63023" s="1288"/>
    </row>
    <row r="63024" spans="18:18" s="2" customFormat="1" ht="12.75" x14ac:dyDescent="0.2">
      <c r="R63024" s="1288"/>
    </row>
    <row r="63025" spans="18:18" s="2" customFormat="1" ht="12.75" x14ac:dyDescent="0.2">
      <c r="R63025" s="1288"/>
    </row>
    <row r="63026" spans="18:18" s="2" customFormat="1" ht="12.75" x14ac:dyDescent="0.2">
      <c r="R63026" s="1288"/>
    </row>
    <row r="63027" spans="18:18" s="2" customFormat="1" ht="12.75" x14ac:dyDescent="0.2">
      <c r="R63027" s="1288"/>
    </row>
    <row r="63028" spans="18:18" s="2" customFormat="1" ht="12.75" x14ac:dyDescent="0.2">
      <c r="R63028" s="1288"/>
    </row>
    <row r="63029" spans="18:18" s="2" customFormat="1" ht="12.75" x14ac:dyDescent="0.2">
      <c r="R63029" s="1288"/>
    </row>
    <row r="63030" spans="18:18" s="2" customFormat="1" ht="12.75" x14ac:dyDescent="0.2">
      <c r="R63030" s="1288"/>
    </row>
    <row r="63031" spans="18:18" s="2" customFormat="1" ht="12.75" x14ac:dyDescent="0.2">
      <c r="R63031" s="1288"/>
    </row>
    <row r="63032" spans="18:18" s="2" customFormat="1" ht="12.75" x14ac:dyDescent="0.2">
      <c r="R63032" s="1288"/>
    </row>
    <row r="63033" spans="18:18" s="2" customFormat="1" ht="12.75" x14ac:dyDescent="0.2">
      <c r="R63033" s="1288"/>
    </row>
    <row r="63034" spans="18:18" s="2" customFormat="1" ht="12.75" x14ac:dyDescent="0.2">
      <c r="R63034" s="1288"/>
    </row>
    <row r="63035" spans="18:18" s="2" customFormat="1" ht="12.75" x14ac:dyDescent="0.2">
      <c r="R63035" s="1288"/>
    </row>
    <row r="63036" spans="18:18" s="2" customFormat="1" ht="12.75" x14ac:dyDescent="0.2">
      <c r="R63036" s="1288"/>
    </row>
    <row r="63037" spans="18:18" s="2" customFormat="1" ht="12.75" x14ac:dyDescent="0.2">
      <c r="R63037" s="1288"/>
    </row>
    <row r="63038" spans="18:18" s="2" customFormat="1" ht="12.75" x14ac:dyDescent="0.2">
      <c r="R63038" s="1288"/>
    </row>
    <row r="63039" spans="18:18" s="2" customFormat="1" ht="12.75" x14ac:dyDescent="0.2">
      <c r="R63039" s="1288"/>
    </row>
    <row r="63040" spans="18:18" s="2" customFormat="1" ht="12.75" x14ac:dyDescent="0.2">
      <c r="R63040" s="1288"/>
    </row>
    <row r="63041" spans="18:18" s="2" customFormat="1" ht="12.75" x14ac:dyDescent="0.2">
      <c r="R63041" s="1288"/>
    </row>
    <row r="63042" spans="18:18" s="2" customFormat="1" ht="12.75" x14ac:dyDescent="0.2">
      <c r="R63042" s="1288"/>
    </row>
    <row r="63043" spans="18:18" s="2" customFormat="1" ht="12.75" x14ac:dyDescent="0.2">
      <c r="R63043" s="1288"/>
    </row>
    <row r="63044" spans="18:18" s="2" customFormat="1" ht="12.75" x14ac:dyDescent="0.2">
      <c r="R63044" s="1288"/>
    </row>
    <row r="63045" spans="18:18" s="2" customFormat="1" ht="12.75" x14ac:dyDescent="0.2">
      <c r="R63045" s="1288"/>
    </row>
    <row r="63046" spans="18:18" s="2" customFormat="1" ht="12.75" x14ac:dyDescent="0.2">
      <c r="R63046" s="1288"/>
    </row>
    <row r="63047" spans="18:18" s="2" customFormat="1" ht="12.75" x14ac:dyDescent="0.2">
      <c r="R63047" s="1288"/>
    </row>
    <row r="63048" spans="18:18" s="2" customFormat="1" ht="12.75" x14ac:dyDescent="0.2">
      <c r="R63048" s="1288"/>
    </row>
    <row r="63049" spans="18:18" s="2" customFormat="1" ht="12.75" x14ac:dyDescent="0.2">
      <c r="R63049" s="1288"/>
    </row>
    <row r="63050" spans="18:18" s="2" customFormat="1" ht="12.75" x14ac:dyDescent="0.2">
      <c r="R63050" s="1288"/>
    </row>
    <row r="63051" spans="18:18" s="2" customFormat="1" ht="12.75" x14ac:dyDescent="0.2">
      <c r="R63051" s="1288"/>
    </row>
    <row r="63052" spans="18:18" s="2" customFormat="1" ht="12.75" x14ac:dyDescent="0.2">
      <c r="R63052" s="1288"/>
    </row>
    <row r="63053" spans="18:18" s="2" customFormat="1" ht="12.75" x14ac:dyDescent="0.2">
      <c r="R63053" s="1288"/>
    </row>
    <row r="63054" spans="18:18" s="2" customFormat="1" ht="12.75" x14ac:dyDescent="0.2">
      <c r="R63054" s="1288"/>
    </row>
    <row r="63055" spans="18:18" s="2" customFormat="1" ht="12.75" x14ac:dyDescent="0.2">
      <c r="R63055" s="1288"/>
    </row>
    <row r="63056" spans="18:18" s="2" customFormat="1" ht="12.75" x14ac:dyDescent="0.2">
      <c r="R63056" s="1288"/>
    </row>
    <row r="63057" spans="18:18" s="2" customFormat="1" ht="12.75" x14ac:dyDescent="0.2">
      <c r="R63057" s="1288"/>
    </row>
    <row r="63058" spans="18:18" s="2" customFormat="1" ht="12.75" x14ac:dyDescent="0.2">
      <c r="R63058" s="1288"/>
    </row>
    <row r="63059" spans="18:18" s="2" customFormat="1" ht="12.75" x14ac:dyDescent="0.2">
      <c r="R63059" s="1288"/>
    </row>
    <row r="63060" spans="18:18" s="2" customFormat="1" ht="12.75" x14ac:dyDescent="0.2">
      <c r="R63060" s="1288"/>
    </row>
    <row r="63061" spans="18:18" s="2" customFormat="1" ht="12.75" x14ac:dyDescent="0.2">
      <c r="R63061" s="1288"/>
    </row>
    <row r="63062" spans="18:18" s="2" customFormat="1" ht="12.75" x14ac:dyDescent="0.2">
      <c r="R63062" s="1288"/>
    </row>
    <row r="63063" spans="18:18" s="2" customFormat="1" ht="12.75" x14ac:dyDescent="0.2">
      <c r="R63063" s="1288"/>
    </row>
    <row r="63064" spans="18:18" s="2" customFormat="1" ht="12.75" x14ac:dyDescent="0.2">
      <c r="R63064" s="1288"/>
    </row>
    <row r="63065" spans="18:18" s="2" customFormat="1" ht="12.75" x14ac:dyDescent="0.2">
      <c r="R63065" s="1288"/>
    </row>
    <row r="63066" spans="18:18" s="2" customFormat="1" ht="12.75" x14ac:dyDescent="0.2">
      <c r="R63066" s="1288"/>
    </row>
    <row r="63067" spans="18:18" s="2" customFormat="1" ht="12.75" x14ac:dyDescent="0.2">
      <c r="R63067" s="1288"/>
    </row>
    <row r="63068" spans="18:18" s="2" customFormat="1" ht="12.75" x14ac:dyDescent="0.2">
      <c r="R63068" s="1288"/>
    </row>
    <row r="63069" spans="18:18" s="2" customFormat="1" ht="12.75" x14ac:dyDescent="0.2">
      <c r="R63069" s="1288"/>
    </row>
    <row r="63070" spans="18:18" s="2" customFormat="1" ht="12.75" x14ac:dyDescent="0.2">
      <c r="R63070" s="1288"/>
    </row>
    <row r="63071" spans="18:18" s="2" customFormat="1" ht="12.75" x14ac:dyDescent="0.2">
      <c r="R63071" s="1288"/>
    </row>
    <row r="63072" spans="18:18" s="2" customFormat="1" ht="12.75" x14ac:dyDescent="0.2">
      <c r="R63072" s="1288"/>
    </row>
    <row r="63073" spans="18:18" s="2" customFormat="1" ht="12.75" x14ac:dyDescent="0.2">
      <c r="R63073" s="1288"/>
    </row>
    <row r="63074" spans="18:18" s="2" customFormat="1" ht="12.75" x14ac:dyDescent="0.2">
      <c r="R63074" s="1288"/>
    </row>
    <row r="63075" spans="18:18" s="2" customFormat="1" ht="12.75" x14ac:dyDescent="0.2">
      <c r="R63075" s="1288"/>
    </row>
    <row r="63076" spans="18:18" s="2" customFormat="1" ht="12.75" x14ac:dyDescent="0.2">
      <c r="R63076" s="1288"/>
    </row>
    <row r="63077" spans="18:18" s="2" customFormat="1" ht="12.75" x14ac:dyDescent="0.2">
      <c r="R63077" s="1288"/>
    </row>
    <row r="63078" spans="18:18" s="2" customFormat="1" ht="12.75" x14ac:dyDescent="0.2">
      <c r="R63078" s="1288"/>
    </row>
    <row r="63079" spans="18:18" s="2" customFormat="1" ht="12.75" x14ac:dyDescent="0.2">
      <c r="R63079" s="1288"/>
    </row>
    <row r="63080" spans="18:18" s="2" customFormat="1" ht="12.75" x14ac:dyDescent="0.2">
      <c r="R63080" s="1288"/>
    </row>
    <row r="63081" spans="18:18" s="2" customFormat="1" ht="12.75" x14ac:dyDescent="0.2">
      <c r="R63081" s="1288"/>
    </row>
    <row r="63082" spans="18:18" s="2" customFormat="1" ht="12.75" x14ac:dyDescent="0.2">
      <c r="R63082" s="1288"/>
    </row>
    <row r="63083" spans="18:18" s="2" customFormat="1" ht="12.75" x14ac:dyDescent="0.2">
      <c r="R63083" s="1288"/>
    </row>
    <row r="63084" spans="18:18" s="2" customFormat="1" ht="12.75" x14ac:dyDescent="0.2">
      <c r="R63084" s="1288"/>
    </row>
    <row r="63085" spans="18:18" s="2" customFormat="1" ht="12.75" x14ac:dyDescent="0.2">
      <c r="R63085" s="1288"/>
    </row>
    <row r="63086" spans="18:18" s="2" customFormat="1" ht="12.75" x14ac:dyDescent="0.2">
      <c r="R63086" s="1288"/>
    </row>
    <row r="63087" spans="18:18" s="2" customFormat="1" ht="12.75" x14ac:dyDescent="0.2">
      <c r="R63087" s="1288"/>
    </row>
    <row r="63088" spans="18:18" s="2" customFormat="1" ht="12.75" x14ac:dyDescent="0.2">
      <c r="R63088" s="1288"/>
    </row>
    <row r="63089" spans="18:18" s="2" customFormat="1" ht="12.75" x14ac:dyDescent="0.2">
      <c r="R63089" s="1288"/>
    </row>
    <row r="63090" spans="18:18" s="2" customFormat="1" ht="12.75" x14ac:dyDescent="0.2">
      <c r="R63090" s="1288"/>
    </row>
    <row r="63091" spans="18:18" s="2" customFormat="1" ht="12.75" x14ac:dyDescent="0.2">
      <c r="R63091" s="1288"/>
    </row>
    <row r="63092" spans="18:18" s="2" customFormat="1" ht="12.75" x14ac:dyDescent="0.2">
      <c r="R63092" s="1288"/>
    </row>
    <row r="63093" spans="18:18" s="2" customFormat="1" ht="12.75" x14ac:dyDescent="0.2">
      <c r="R63093" s="1288"/>
    </row>
    <row r="63094" spans="18:18" s="2" customFormat="1" ht="12.75" x14ac:dyDescent="0.2">
      <c r="R63094" s="1288"/>
    </row>
    <row r="63095" spans="18:18" s="2" customFormat="1" ht="12.75" x14ac:dyDescent="0.2">
      <c r="R63095" s="1288"/>
    </row>
    <row r="63096" spans="18:18" s="2" customFormat="1" ht="12.75" x14ac:dyDescent="0.2">
      <c r="R63096" s="1288"/>
    </row>
    <row r="63097" spans="18:18" s="2" customFormat="1" ht="12.75" x14ac:dyDescent="0.2">
      <c r="R63097" s="1288"/>
    </row>
    <row r="63098" spans="18:18" s="2" customFormat="1" ht="12.75" x14ac:dyDescent="0.2">
      <c r="R63098" s="1288"/>
    </row>
    <row r="63099" spans="18:18" s="2" customFormat="1" ht="12.75" x14ac:dyDescent="0.2">
      <c r="R63099" s="1288"/>
    </row>
    <row r="63100" spans="18:18" s="2" customFormat="1" ht="12.75" x14ac:dyDescent="0.2">
      <c r="R63100" s="1288"/>
    </row>
    <row r="63101" spans="18:18" s="2" customFormat="1" ht="12.75" x14ac:dyDescent="0.2">
      <c r="R63101" s="1288"/>
    </row>
    <row r="63102" spans="18:18" s="2" customFormat="1" ht="12.75" x14ac:dyDescent="0.2">
      <c r="R63102" s="1288"/>
    </row>
    <row r="63103" spans="18:18" s="2" customFormat="1" ht="12.75" x14ac:dyDescent="0.2">
      <c r="R63103" s="1288"/>
    </row>
    <row r="63104" spans="18:18" s="2" customFormat="1" ht="12.75" x14ac:dyDescent="0.2">
      <c r="R63104" s="1288"/>
    </row>
    <row r="63105" spans="18:18" s="2" customFormat="1" ht="12.75" x14ac:dyDescent="0.2">
      <c r="R63105" s="1288"/>
    </row>
    <row r="63106" spans="18:18" s="2" customFormat="1" ht="12.75" x14ac:dyDescent="0.2">
      <c r="R63106" s="1288"/>
    </row>
    <row r="63107" spans="18:18" s="2" customFormat="1" ht="12.75" x14ac:dyDescent="0.2">
      <c r="R63107" s="1288"/>
    </row>
    <row r="63108" spans="18:18" s="2" customFormat="1" ht="12.75" x14ac:dyDescent="0.2">
      <c r="R63108" s="1288"/>
    </row>
    <row r="63109" spans="18:18" s="2" customFormat="1" ht="12.75" x14ac:dyDescent="0.2">
      <c r="R63109" s="1288"/>
    </row>
    <row r="63110" spans="18:18" s="2" customFormat="1" ht="12.75" x14ac:dyDescent="0.2">
      <c r="R63110" s="1288"/>
    </row>
    <row r="63111" spans="18:18" s="2" customFormat="1" ht="12.75" x14ac:dyDescent="0.2">
      <c r="R63111" s="1288"/>
    </row>
    <row r="63112" spans="18:18" s="2" customFormat="1" ht="12.75" x14ac:dyDescent="0.2">
      <c r="R63112" s="1288"/>
    </row>
    <row r="63113" spans="18:18" s="2" customFormat="1" ht="12.75" x14ac:dyDescent="0.2">
      <c r="R63113" s="1288"/>
    </row>
    <row r="63114" spans="18:18" s="2" customFormat="1" ht="12.75" x14ac:dyDescent="0.2">
      <c r="R63114" s="1288"/>
    </row>
    <row r="63115" spans="18:18" s="2" customFormat="1" ht="12.75" x14ac:dyDescent="0.2">
      <c r="R63115" s="1288"/>
    </row>
    <row r="63116" spans="18:18" s="2" customFormat="1" ht="12.75" x14ac:dyDescent="0.2">
      <c r="R63116" s="1288"/>
    </row>
    <row r="63117" spans="18:18" s="2" customFormat="1" ht="12.75" x14ac:dyDescent="0.2">
      <c r="R63117" s="1288"/>
    </row>
    <row r="63118" spans="18:18" s="2" customFormat="1" ht="12.75" x14ac:dyDescent="0.2">
      <c r="R63118" s="1288"/>
    </row>
    <row r="63119" spans="18:18" s="2" customFormat="1" ht="12.75" x14ac:dyDescent="0.2">
      <c r="R63119" s="1288"/>
    </row>
    <row r="63120" spans="18:18" s="2" customFormat="1" ht="12.75" x14ac:dyDescent="0.2">
      <c r="R63120" s="1288"/>
    </row>
    <row r="63121" spans="18:18" s="2" customFormat="1" ht="12.75" x14ac:dyDescent="0.2">
      <c r="R63121" s="1288"/>
    </row>
    <row r="63122" spans="18:18" s="2" customFormat="1" ht="12.75" x14ac:dyDescent="0.2">
      <c r="R63122" s="1288"/>
    </row>
    <row r="63123" spans="18:18" s="2" customFormat="1" ht="12.75" x14ac:dyDescent="0.2">
      <c r="R63123" s="1288"/>
    </row>
    <row r="63124" spans="18:18" s="2" customFormat="1" ht="12.75" x14ac:dyDescent="0.2">
      <c r="R63124" s="1288"/>
    </row>
    <row r="63125" spans="18:18" s="2" customFormat="1" ht="12.75" x14ac:dyDescent="0.2">
      <c r="R63125" s="1288"/>
    </row>
    <row r="63126" spans="18:18" s="2" customFormat="1" ht="12.75" x14ac:dyDescent="0.2">
      <c r="R63126" s="1288"/>
    </row>
    <row r="63127" spans="18:18" s="2" customFormat="1" ht="12.75" x14ac:dyDescent="0.2">
      <c r="R63127" s="1288"/>
    </row>
    <row r="63128" spans="18:18" s="2" customFormat="1" ht="12.75" x14ac:dyDescent="0.2">
      <c r="R63128" s="1288"/>
    </row>
    <row r="63129" spans="18:18" s="2" customFormat="1" ht="12.75" x14ac:dyDescent="0.2">
      <c r="R63129" s="1288"/>
    </row>
    <row r="63130" spans="18:18" s="2" customFormat="1" ht="12.75" x14ac:dyDescent="0.2">
      <c r="R63130" s="1288"/>
    </row>
    <row r="63131" spans="18:18" s="2" customFormat="1" ht="12.75" x14ac:dyDescent="0.2">
      <c r="R63131" s="1288"/>
    </row>
    <row r="63132" spans="18:18" s="2" customFormat="1" ht="12.75" x14ac:dyDescent="0.2">
      <c r="R63132" s="1288"/>
    </row>
    <row r="63133" spans="18:18" s="2" customFormat="1" ht="12.75" x14ac:dyDescent="0.2">
      <c r="R63133" s="1288"/>
    </row>
    <row r="63134" spans="18:18" s="2" customFormat="1" ht="12.75" x14ac:dyDescent="0.2">
      <c r="R63134" s="1288"/>
    </row>
    <row r="63135" spans="18:18" s="2" customFormat="1" ht="12.75" x14ac:dyDescent="0.2">
      <c r="R63135" s="1288"/>
    </row>
    <row r="63136" spans="18:18" s="2" customFormat="1" ht="12.75" x14ac:dyDescent="0.2">
      <c r="R63136" s="1288"/>
    </row>
    <row r="63137" spans="18:18" s="2" customFormat="1" ht="12.75" x14ac:dyDescent="0.2">
      <c r="R63137" s="1288"/>
    </row>
    <row r="63138" spans="18:18" s="2" customFormat="1" ht="12.75" x14ac:dyDescent="0.2">
      <c r="R63138" s="1288"/>
    </row>
    <row r="63139" spans="18:18" s="2" customFormat="1" ht="12.75" x14ac:dyDescent="0.2">
      <c r="R63139" s="1288"/>
    </row>
    <row r="63140" spans="18:18" s="2" customFormat="1" ht="12.75" x14ac:dyDescent="0.2">
      <c r="R63140" s="1288"/>
    </row>
    <row r="63141" spans="18:18" s="2" customFormat="1" ht="12.75" x14ac:dyDescent="0.2">
      <c r="R63141" s="1288"/>
    </row>
    <row r="63142" spans="18:18" s="2" customFormat="1" ht="12.75" x14ac:dyDescent="0.2">
      <c r="R63142" s="1288"/>
    </row>
    <row r="63143" spans="18:18" s="2" customFormat="1" ht="12.75" x14ac:dyDescent="0.2">
      <c r="R63143" s="1288"/>
    </row>
    <row r="63144" spans="18:18" s="2" customFormat="1" ht="12.75" x14ac:dyDescent="0.2">
      <c r="R63144" s="1288"/>
    </row>
    <row r="63145" spans="18:18" s="2" customFormat="1" ht="12.75" x14ac:dyDescent="0.2">
      <c r="R63145" s="1288"/>
    </row>
    <row r="63146" spans="18:18" s="2" customFormat="1" ht="12.75" x14ac:dyDescent="0.2">
      <c r="R63146" s="1288"/>
    </row>
    <row r="63147" spans="18:18" s="2" customFormat="1" ht="12.75" x14ac:dyDescent="0.2">
      <c r="R63147" s="1288"/>
    </row>
    <row r="63148" spans="18:18" s="2" customFormat="1" ht="12.75" x14ac:dyDescent="0.2">
      <c r="R63148" s="1288"/>
    </row>
    <row r="63149" spans="18:18" s="2" customFormat="1" ht="12.75" x14ac:dyDescent="0.2">
      <c r="R63149" s="1288"/>
    </row>
    <row r="63150" spans="18:18" s="2" customFormat="1" ht="12.75" x14ac:dyDescent="0.2">
      <c r="R63150" s="1288"/>
    </row>
    <row r="63151" spans="18:18" s="2" customFormat="1" ht="12.75" x14ac:dyDescent="0.2">
      <c r="R63151" s="1288"/>
    </row>
    <row r="63152" spans="18:18" s="2" customFormat="1" ht="12.75" x14ac:dyDescent="0.2">
      <c r="R63152" s="1288"/>
    </row>
    <row r="63153" spans="18:18" s="2" customFormat="1" ht="12.75" x14ac:dyDescent="0.2">
      <c r="R63153" s="1288"/>
    </row>
    <row r="63154" spans="18:18" s="2" customFormat="1" ht="12.75" x14ac:dyDescent="0.2">
      <c r="R63154" s="1288"/>
    </row>
    <row r="63155" spans="18:18" s="2" customFormat="1" ht="12.75" x14ac:dyDescent="0.2">
      <c r="R63155" s="1288"/>
    </row>
    <row r="63156" spans="18:18" s="2" customFormat="1" ht="12.75" x14ac:dyDescent="0.2">
      <c r="R63156" s="1288"/>
    </row>
    <row r="63157" spans="18:18" s="2" customFormat="1" ht="12.75" x14ac:dyDescent="0.2">
      <c r="R63157" s="1288"/>
    </row>
    <row r="63158" spans="18:18" s="2" customFormat="1" ht="12.75" x14ac:dyDescent="0.2">
      <c r="R63158" s="1288"/>
    </row>
    <row r="63159" spans="18:18" s="2" customFormat="1" ht="12.75" x14ac:dyDescent="0.2">
      <c r="R63159" s="1288"/>
    </row>
    <row r="63160" spans="18:18" s="2" customFormat="1" ht="12.75" x14ac:dyDescent="0.2">
      <c r="R63160" s="1288"/>
    </row>
    <row r="63161" spans="18:18" s="2" customFormat="1" ht="12.75" x14ac:dyDescent="0.2">
      <c r="R63161" s="1288"/>
    </row>
    <row r="63162" spans="18:18" s="2" customFormat="1" ht="12.75" x14ac:dyDescent="0.2">
      <c r="R63162" s="1288"/>
    </row>
    <row r="63163" spans="18:18" s="2" customFormat="1" ht="12.75" x14ac:dyDescent="0.2">
      <c r="R63163" s="1288"/>
    </row>
    <row r="63164" spans="18:18" s="2" customFormat="1" ht="12.75" x14ac:dyDescent="0.2">
      <c r="R63164" s="1288"/>
    </row>
    <row r="63165" spans="18:18" s="2" customFormat="1" ht="12.75" x14ac:dyDescent="0.2">
      <c r="R63165" s="1288"/>
    </row>
    <row r="63166" spans="18:18" s="2" customFormat="1" ht="12.75" x14ac:dyDescent="0.2">
      <c r="R63166" s="1288"/>
    </row>
    <row r="63167" spans="18:18" s="2" customFormat="1" ht="12.75" x14ac:dyDescent="0.2">
      <c r="R63167" s="1288"/>
    </row>
    <row r="63168" spans="18:18" s="2" customFormat="1" ht="12.75" x14ac:dyDescent="0.2">
      <c r="R63168" s="1288"/>
    </row>
    <row r="63169" spans="18:18" s="2" customFormat="1" ht="12.75" x14ac:dyDescent="0.2">
      <c r="R63169" s="1288"/>
    </row>
    <row r="63170" spans="18:18" s="2" customFormat="1" ht="12.75" x14ac:dyDescent="0.2">
      <c r="R63170" s="1288"/>
    </row>
    <row r="63171" spans="18:18" s="2" customFormat="1" ht="12.75" x14ac:dyDescent="0.2">
      <c r="R63171" s="1288"/>
    </row>
    <row r="63172" spans="18:18" s="2" customFormat="1" ht="12.75" x14ac:dyDescent="0.2">
      <c r="R63172" s="1288"/>
    </row>
    <row r="63173" spans="18:18" s="2" customFormat="1" ht="12.75" x14ac:dyDescent="0.2">
      <c r="R63173" s="1288"/>
    </row>
    <row r="63174" spans="18:18" s="2" customFormat="1" ht="12.75" x14ac:dyDescent="0.2">
      <c r="R63174" s="1288"/>
    </row>
    <row r="63175" spans="18:18" s="2" customFormat="1" ht="12.75" x14ac:dyDescent="0.2">
      <c r="R63175" s="1288"/>
    </row>
    <row r="63176" spans="18:18" s="2" customFormat="1" ht="12.75" x14ac:dyDescent="0.2">
      <c r="R63176" s="1288"/>
    </row>
    <row r="63177" spans="18:18" s="2" customFormat="1" ht="12.75" x14ac:dyDescent="0.2">
      <c r="R63177" s="1288"/>
    </row>
    <row r="63178" spans="18:18" s="2" customFormat="1" ht="12.75" x14ac:dyDescent="0.2">
      <c r="R63178" s="1288"/>
    </row>
    <row r="63179" spans="18:18" s="2" customFormat="1" ht="12.75" x14ac:dyDescent="0.2">
      <c r="R63179" s="1288"/>
    </row>
    <row r="63180" spans="18:18" s="2" customFormat="1" ht="12.75" x14ac:dyDescent="0.2">
      <c r="R63180" s="1288"/>
    </row>
    <row r="63181" spans="18:18" s="2" customFormat="1" ht="12.75" x14ac:dyDescent="0.2">
      <c r="R63181" s="1288"/>
    </row>
    <row r="63182" spans="18:18" s="2" customFormat="1" ht="12.75" x14ac:dyDescent="0.2">
      <c r="R63182" s="1288"/>
    </row>
    <row r="63183" spans="18:18" s="2" customFormat="1" ht="12.75" x14ac:dyDescent="0.2">
      <c r="R63183" s="1288"/>
    </row>
    <row r="63184" spans="18:18" s="2" customFormat="1" ht="12.75" x14ac:dyDescent="0.2">
      <c r="R63184" s="1288"/>
    </row>
    <row r="63185" spans="18:18" s="2" customFormat="1" ht="12.75" x14ac:dyDescent="0.2">
      <c r="R63185" s="1288"/>
    </row>
    <row r="63186" spans="18:18" s="2" customFormat="1" ht="12.75" x14ac:dyDescent="0.2">
      <c r="R63186" s="1288"/>
    </row>
    <row r="63187" spans="18:18" s="2" customFormat="1" ht="12.75" x14ac:dyDescent="0.2">
      <c r="R63187" s="1288"/>
    </row>
    <row r="63188" spans="18:18" s="2" customFormat="1" ht="12.75" x14ac:dyDescent="0.2">
      <c r="R63188" s="1288"/>
    </row>
    <row r="63189" spans="18:18" s="2" customFormat="1" ht="12.75" x14ac:dyDescent="0.2">
      <c r="R63189" s="1288"/>
    </row>
    <row r="63190" spans="18:18" s="2" customFormat="1" ht="12.75" x14ac:dyDescent="0.2">
      <c r="R63190" s="1288"/>
    </row>
    <row r="63191" spans="18:18" s="2" customFormat="1" ht="12.75" x14ac:dyDescent="0.2">
      <c r="R63191" s="1288"/>
    </row>
    <row r="63192" spans="18:18" s="2" customFormat="1" ht="12.75" x14ac:dyDescent="0.2">
      <c r="R63192" s="1288"/>
    </row>
    <row r="63193" spans="18:18" s="2" customFormat="1" ht="12.75" x14ac:dyDescent="0.2">
      <c r="R63193" s="1288"/>
    </row>
    <row r="63194" spans="18:18" s="2" customFormat="1" ht="12.75" x14ac:dyDescent="0.2">
      <c r="R63194" s="1288"/>
    </row>
    <row r="63195" spans="18:18" s="2" customFormat="1" ht="12.75" x14ac:dyDescent="0.2">
      <c r="R63195" s="1288"/>
    </row>
    <row r="63196" spans="18:18" s="2" customFormat="1" ht="12.75" x14ac:dyDescent="0.2">
      <c r="R63196" s="1288"/>
    </row>
    <row r="63197" spans="18:18" s="2" customFormat="1" ht="12.75" x14ac:dyDescent="0.2">
      <c r="R63197" s="1288"/>
    </row>
    <row r="63198" spans="18:18" s="2" customFormat="1" ht="12.75" x14ac:dyDescent="0.2">
      <c r="R63198" s="1288"/>
    </row>
    <row r="63199" spans="18:18" s="2" customFormat="1" ht="12.75" x14ac:dyDescent="0.2">
      <c r="R63199" s="1288"/>
    </row>
    <row r="63200" spans="18:18" s="2" customFormat="1" ht="12.75" x14ac:dyDescent="0.2">
      <c r="R63200" s="1288"/>
    </row>
    <row r="63201" spans="18:18" s="2" customFormat="1" ht="12.75" x14ac:dyDescent="0.2">
      <c r="R63201" s="1288"/>
    </row>
    <row r="63202" spans="18:18" s="2" customFormat="1" ht="12.75" x14ac:dyDescent="0.2">
      <c r="R63202" s="1288"/>
    </row>
    <row r="63203" spans="18:18" s="2" customFormat="1" ht="12.75" x14ac:dyDescent="0.2">
      <c r="R63203" s="1288"/>
    </row>
    <row r="63204" spans="18:18" s="2" customFormat="1" ht="12.75" x14ac:dyDescent="0.2">
      <c r="R63204" s="1288"/>
    </row>
    <row r="63205" spans="18:18" s="2" customFormat="1" ht="12.75" x14ac:dyDescent="0.2">
      <c r="R63205" s="1288"/>
    </row>
    <row r="63206" spans="18:18" s="2" customFormat="1" ht="12.75" x14ac:dyDescent="0.2">
      <c r="R63206" s="1288"/>
    </row>
    <row r="63207" spans="18:18" s="2" customFormat="1" ht="12.75" x14ac:dyDescent="0.2">
      <c r="R63207" s="1288"/>
    </row>
    <row r="63208" spans="18:18" s="2" customFormat="1" ht="12.75" x14ac:dyDescent="0.2">
      <c r="R63208" s="1288"/>
    </row>
    <row r="63209" spans="18:18" s="2" customFormat="1" ht="12.75" x14ac:dyDescent="0.2">
      <c r="R63209" s="1288"/>
    </row>
    <row r="63210" spans="18:18" s="2" customFormat="1" ht="12.75" x14ac:dyDescent="0.2">
      <c r="R63210" s="1288"/>
    </row>
    <row r="63211" spans="18:18" s="2" customFormat="1" ht="12.75" x14ac:dyDescent="0.2">
      <c r="R63211" s="1288"/>
    </row>
    <row r="63212" spans="18:18" s="2" customFormat="1" ht="12.75" x14ac:dyDescent="0.2">
      <c r="R63212" s="1288"/>
    </row>
    <row r="63213" spans="18:18" s="2" customFormat="1" ht="12.75" x14ac:dyDescent="0.2">
      <c r="R63213" s="1288"/>
    </row>
    <row r="63214" spans="18:18" s="2" customFormat="1" ht="12.75" x14ac:dyDescent="0.2">
      <c r="R63214" s="1288"/>
    </row>
    <row r="63215" spans="18:18" s="2" customFormat="1" ht="12.75" x14ac:dyDescent="0.2">
      <c r="R63215" s="1288"/>
    </row>
    <row r="63216" spans="18:18" s="2" customFormat="1" ht="12.75" x14ac:dyDescent="0.2">
      <c r="R63216" s="1288"/>
    </row>
    <row r="63217" spans="18:18" s="2" customFormat="1" ht="12.75" x14ac:dyDescent="0.2">
      <c r="R63217" s="1288"/>
    </row>
    <row r="63218" spans="18:18" s="2" customFormat="1" ht="12.75" x14ac:dyDescent="0.2">
      <c r="R63218" s="1288"/>
    </row>
    <row r="63219" spans="18:18" s="2" customFormat="1" ht="12.75" x14ac:dyDescent="0.2">
      <c r="R63219" s="1288"/>
    </row>
    <row r="63220" spans="18:18" s="2" customFormat="1" ht="12.75" x14ac:dyDescent="0.2">
      <c r="R63220" s="1288"/>
    </row>
    <row r="63221" spans="18:18" s="2" customFormat="1" ht="12.75" x14ac:dyDescent="0.2">
      <c r="R63221" s="1288"/>
    </row>
    <row r="63222" spans="18:18" s="2" customFormat="1" ht="12.75" x14ac:dyDescent="0.2">
      <c r="R63222" s="1288"/>
    </row>
    <row r="63223" spans="18:18" s="2" customFormat="1" ht="12.75" x14ac:dyDescent="0.2">
      <c r="R63223" s="1288"/>
    </row>
    <row r="63224" spans="18:18" s="2" customFormat="1" ht="12.75" x14ac:dyDescent="0.2">
      <c r="R63224" s="1288"/>
    </row>
    <row r="63225" spans="18:18" s="2" customFormat="1" ht="12.75" x14ac:dyDescent="0.2">
      <c r="R63225" s="1288"/>
    </row>
    <row r="63226" spans="18:18" s="2" customFormat="1" ht="12.75" x14ac:dyDescent="0.2">
      <c r="R63226" s="1288"/>
    </row>
    <row r="63227" spans="18:18" s="2" customFormat="1" ht="12.75" x14ac:dyDescent="0.2">
      <c r="R63227" s="1288"/>
    </row>
    <row r="63228" spans="18:18" s="2" customFormat="1" ht="12.75" x14ac:dyDescent="0.2">
      <c r="R63228" s="1288"/>
    </row>
    <row r="63229" spans="18:18" s="2" customFormat="1" ht="12.75" x14ac:dyDescent="0.2">
      <c r="R63229" s="1288"/>
    </row>
    <row r="63230" spans="18:18" s="2" customFormat="1" ht="12.75" x14ac:dyDescent="0.2">
      <c r="R63230" s="1288"/>
    </row>
    <row r="63231" spans="18:18" s="2" customFormat="1" ht="12.75" x14ac:dyDescent="0.2">
      <c r="R63231" s="1288"/>
    </row>
    <row r="63232" spans="18:18" s="2" customFormat="1" ht="12.75" x14ac:dyDescent="0.2">
      <c r="R63232" s="1288"/>
    </row>
    <row r="63233" spans="18:18" s="2" customFormat="1" ht="12.75" x14ac:dyDescent="0.2">
      <c r="R63233" s="1288"/>
    </row>
    <row r="63234" spans="18:18" s="2" customFormat="1" ht="12.75" x14ac:dyDescent="0.2">
      <c r="R63234" s="1288"/>
    </row>
    <row r="63235" spans="18:18" s="2" customFormat="1" ht="12.75" x14ac:dyDescent="0.2">
      <c r="R63235" s="1288"/>
    </row>
    <row r="63236" spans="18:18" s="2" customFormat="1" ht="12.75" x14ac:dyDescent="0.2">
      <c r="R63236" s="1288"/>
    </row>
    <row r="63237" spans="18:18" s="2" customFormat="1" ht="12.75" x14ac:dyDescent="0.2">
      <c r="R63237" s="1288"/>
    </row>
    <row r="63238" spans="18:18" s="2" customFormat="1" ht="12.75" x14ac:dyDescent="0.2">
      <c r="R63238" s="1288"/>
    </row>
    <row r="63239" spans="18:18" s="2" customFormat="1" ht="12.75" x14ac:dyDescent="0.2">
      <c r="R63239" s="1288"/>
    </row>
    <row r="63240" spans="18:18" s="2" customFormat="1" ht="12.75" x14ac:dyDescent="0.2">
      <c r="R63240" s="1288"/>
    </row>
    <row r="63241" spans="18:18" s="2" customFormat="1" ht="12.75" x14ac:dyDescent="0.2">
      <c r="R63241" s="1288"/>
    </row>
    <row r="63242" spans="18:18" s="2" customFormat="1" ht="12.75" x14ac:dyDescent="0.2">
      <c r="R63242" s="1288"/>
    </row>
    <row r="63243" spans="18:18" s="2" customFormat="1" ht="12.75" x14ac:dyDescent="0.2">
      <c r="R63243" s="1288"/>
    </row>
    <row r="63244" spans="18:18" s="2" customFormat="1" ht="12.75" x14ac:dyDescent="0.2">
      <c r="R63244" s="1288"/>
    </row>
    <row r="63245" spans="18:18" s="2" customFormat="1" ht="12.75" x14ac:dyDescent="0.2">
      <c r="R63245" s="1288"/>
    </row>
    <row r="63246" spans="18:18" s="2" customFormat="1" ht="12.75" x14ac:dyDescent="0.2">
      <c r="R63246" s="1288"/>
    </row>
    <row r="63247" spans="18:18" s="2" customFormat="1" ht="12.75" x14ac:dyDescent="0.2">
      <c r="R63247" s="1288"/>
    </row>
    <row r="63248" spans="18:18" s="2" customFormat="1" ht="12.75" x14ac:dyDescent="0.2">
      <c r="R63248" s="1288"/>
    </row>
    <row r="63249" spans="18:18" s="2" customFormat="1" ht="12.75" x14ac:dyDescent="0.2">
      <c r="R63249" s="1288"/>
    </row>
    <row r="63250" spans="18:18" s="2" customFormat="1" ht="12.75" x14ac:dyDescent="0.2">
      <c r="R63250" s="1288"/>
    </row>
    <row r="63251" spans="18:18" s="2" customFormat="1" ht="12.75" x14ac:dyDescent="0.2">
      <c r="R63251" s="1288"/>
    </row>
    <row r="63252" spans="18:18" s="2" customFormat="1" ht="12.75" x14ac:dyDescent="0.2">
      <c r="R63252" s="1288"/>
    </row>
    <row r="63253" spans="18:18" s="2" customFormat="1" ht="12.75" x14ac:dyDescent="0.2">
      <c r="R63253" s="1288"/>
    </row>
    <row r="63254" spans="18:18" s="2" customFormat="1" ht="12.75" x14ac:dyDescent="0.2">
      <c r="R63254" s="1288"/>
    </row>
    <row r="63255" spans="18:18" s="2" customFormat="1" ht="12.75" x14ac:dyDescent="0.2">
      <c r="R63255" s="1288"/>
    </row>
    <row r="63256" spans="18:18" s="2" customFormat="1" ht="12.75" x14ac:dyDescent="0.2">
      <c r="R63256" s="1288"/>
    </row>
    <row r="63257" spans="18:18" s="2" customFormat="1" ht="12.75" x14ac:dyDescent="0.2">
      <c r="R63257" s="1288"/>
    </row>
    <row r="63258" spans="18:18" s="2" customFormat="1" ht="12.75" x14ac:dyDescent="0.2">
      <c r="R63258" s="1288"/>
    </row>
    <row r="63259" spans="18:18" s="2" customFormat="1" ht="12.75" x14ac:dyDescent="0.2">
      <c r="R63259" s="1288"/>
    </row>
    <row r="63260" spans="18:18" s="2" customFormat="1" ht="12.75" x14ac:dyDescent="0.2">
      <c r="R63260" s="1288"/>
    </row>
    <row r="63261" spans="18:18" s="2" customFormat="1" ht="12.75" x14ac:dyDescent="0.2">
      <c r="R63261" s="1288"/>
    </row>
    <row r="63262" spans="18:18" s="2" customFormat="1" ht="12.75" x14ac:dyDescent="0.2">
      <c r="R63262" s="1288"/>
    </row>
    <row r="63263" spans="18:18" s="2" customFormat="1" ht="12.75" x14ac:dyDescent="0.2">
      <c r="R63263" s="1288"/>
    </row>
    <row r="63264" spans="18:18" s="2" customFormat="1" ht="12.75" x14ac:dyDescent="0.2">
      <c r="R63264" s="1288"/>
    </row>
    <row r="63265" spans="18:18" s="2" customFormat="1" ht="12.75" x14ac:dyDescent="0.2">
      <c r="R63265" s="1288"/>
    </row>
    <row r="63266" spans="18:18" s="2" customFormat="1" ht="12.75" x14ac:dyDescent="0.2">
      <c r="R63266" s="1288"/>
    </row>
    <row r="63267" spans="18:18" s="2" customFormat="1" ht="12.75" x14ac:dyDescent="0.2">
      <c r="R63267" s="1288"/>
    </row>
    <row r="63268" spans="18:18" s="2" customFormat="1" ht="12.75" x14ac:dyDescent="0.2">
      <c r="R63268" s="1288"/>
    </row>
    <row r="63269" spans="18:18" s="2" customFormat="1" ht="12.75" x14ac:dyDescent="0.2">
      <c r="R63269" s="1288"/>
    </row>
    <row r="63270" spans="18:18" s="2" customFormat="1" ht="12.75" x14ac:dyDescent="0.2">
      <c r="R63270" s="1288"/>
    </row>
    <row r="63271" spans="18:18" s="2" customFormat="1" ht="12.75" x14ac:dyDescent="0.2">
      <c r="R63271" s="1288"/>
    </row>
    <row r="63272" spans="18:18" s="2" customFormat="1" ht="12.75" x14ac:dyDescent="0.2">
      <c r="R63272" s="1288"/>
    </row>
    <row r="63273" spans="18:18" s="2" customFormat="1" ht="12.75" x14ac:dyDescent="0.2">
      <c r="R63273" s="1288"/>
    </row>
    <row r="63274" spans="18:18" s="2" customFormat="1" ht="12.75" x14ac:dyDescent="0.2">
      <c r="R63274" s="1288"/>
    </row>
    <row r="63275" spans="18:18" s="2" customFormat="1" ht="12.75" x14ac:dyDescent="0.2">
      <c r="R63275" s="1288"/>
    </row>
    <row r="63276" spans="18:18" s="2" customFormat="1" ht="12.75" x14ac:dyDescent="0.2">
      <c r="R63276" s="1288"/>
    </row>
    <row r="63277" spans="18:18" s="2" customFormat="1" ht="12.75" x14ac:dyDescent="0.2">
      <c r="R63277" s="1288"/>
    </row>
    <row r="63278" spans="18:18" s="2" customFormat="1" ht="12.75" x14ac:dyDescent="0.2">
      <c r="R63278" s="1288"/>
    </row>
    <row r="63279" spans="18:18" s="2" customFormat="1" ht="12.75" x14ac:dyDescent="0.2">
      <c r="R63279" s="1288"/>
    </row>
    <row r="63280" spans="18:18" s="2" customFormat="1" ht="12.75" x14ac:dyDescent="0.2">
      <c r="R63280" s="1288"/>
    </row>
    <row r="63281" spans="18:18" s="2" customFormat="1" ht="12.75" x14ac:dyDescent="0.2">
      <c r="R63281" s="1288"/>
    </row>
    <row r="63282" spans="18:18" s="2" customFormat="1" ht="12.75" x14ac:dyDescent="0.2">
      <c r="R63282" s="1288"/>
    </row>
    <row r="63283" spans="18:18" s="2" customFormat="1" ht="12.75" x14ac:dyDescent="0.2">
      <c r="R63283" s="1288"/>
    </row>
    <row r="63284" spans="18:18" s="2" customFormat="1" ht="12.75" x14ac:dyDescent="0.2">
      <c r="R63284" s="1288"/>
    </row>
    <row r="63285" spans="18:18" s="2" customFormat="1" ht="12.75" x14ac:dyDescent="0.2">
      <c r="R63285" s="1288"/>
    </row>
    <row r="63286" spans="18:18" s="2" customFormat="1" ht="12.75" x14ac:dyDescent="0.2">
      <c r="R63286" s="1288"/>
    </row>
    <row r="63287" spans="18:18" s="2" customFormat="1" ht="12.75" x14ac:dyDescent="0.2">
      <c r="R63287" s="1288"/>
    </row>
    <row r="63288" spans="18:18" s="2" customFormat="1" ht="12.75" x14ac:dyDescent="0.2">
      <c r="R63288" s="1288"/>
    </row>
    <row r="63289" spans="18:18" s="2" customFormat="1" ht="12.75" x14ac:dyDescent="0.2">
      <c r="R63289" s="1288"/>
    </row>
    <row r="63290" spans="18:18" s="2" customFormat="1" ht="12.75" x14ac:dyDescent="0.2">
      <c r="R63290" s="1288"/>
    </row>
    <row r="63291" spans="18:18" s="2" customFormat="1" ht="12.75" x14ac:dyDescent="0.2">
      <c r="R63291" s="1288"/>
    </row>
    <row r="63292" spans="18:18" s="2" customFormat="1" ht="12.75" x14ac:dyDescent="0.2">
      <c r="R63292" s="1288"/>
    </row>
    <row r="63293" spans="18:18" s="2" customFormat="1" ht="12.75" x14ac:dyDescent="0.2">
      <c r="R63293" s="1288"/>
    </row>
    <row r="63294" spans="18:18" s="2" customFormat="1" ht="12.75" x14ac:dyDescent="0.2">
      <c r="R63294" s="1288"/>
    </row>
    <row r="63295" spans="18:18" s="2" customFormat="1" ht="12.75" x14ac:dyDescent="0.2">
      <c r="R63295" s="1288"/>
    </row>
    <row r="63296" spans="18:18" s="2" customFormat="1" ht="12.75" x14ac:dyDescent="0.2">
      <c r="R63296" s="1288"/>
    </row>
    <row r="63297" spans="18:18" s="2" customFormat="1" ht="12.75" x14ac:dyDescent="0.2">
      <c r="R63297" s="1288"/>
    </row>
    <row r="63298" spans="18:18" s="2" customFormat="1" ht="12.75" x14ac:dyDescent="0.2">
      <c r="R63298" s="1288"/>
    </row>
    <row r="63299" spans="18:18" s="2" customFormat="1" ht="12.75" x14ac:dyDescent="0.2">
      <c r="R63299" s="1288"/>
    </row>
    <row r="63300" spans="18:18" s="2" customFormat="1" ht="12.75" x14ac:dyDescent="0.2">
      <c r="R63300" s="1288"/>
    </row>
    <row r="63301" spans="18:18" s="2" customFormat="1" ht="12.75" x14ac:dyDescent="0.2">
      <c r="R63301" s="1288"/>
    </row>
    <row r="63302" spans="18:18" s="2" customFormat="1" ht="12.75" x14ac:dyDescent="0.2">
      <c r="R63302" s="1288"/>
    </row>
    <row r="63303" spans="18:18" s="2" customFormat="1" ht="12.75" x14ac:dyDescent="0.2">
      <c r="R63303" s="1288"/>
    </row>
    <row r="63304" spans="18:18" s="2" customFormat="1" ht="12.75" x14ac:dyDescent="0.2">
      <c r="R63304" s="1288"/>
    </row>
    <row r="63305" spans="18:18" s="2" customFormat="1" ht="12.75" x14ac:dyDescent="0.2">
      <c r="R63305" s="1288"/>
    </row>
    <row r="63306" spans="18:18" s="2" customFormat="1" ht="12.75" x14ac:dyDescent="0.2">
      <c r="R63306" s="1288"/>
    </row>
    <row r="63307" spans="18:18" s="2" customFormat="1" ht="12.75" x14ac:dyDescent="0.2">
      <c r="R63307" s="1288"/>
    </row>
    <row r="63308" spans="18:18" s="2" customFormat="1" ht="12.75" x14ac:dyDescent="0.2">
      <c r="R63308" s="1288"/>
    </row>
    <row r="63309" spans="18:18" s="2" customFormat="1" ht="12.75" x14ac:dyDescent="0.2">
      <c r="R63309" s="1288"/>
    </row>
    <row r="63310" spans="18:18" s="2" customFormat="1" ht="12.75" x14ac:dyDescent="0.2">
      <c r="R63310" s="1288"/>
    </row>
    <row r="63311" spans="18:18" s="2" customFormat="1" ht="12.75" x14ac:dyDescent="0.2">
      <c r="R63311" s="1288"/>
    </row>
    <row r="63312" spans="18:18" s="2" customFormat="1" ht="12.75" x14ac:dyDescent="0.2">
      <c r="R63312" s="1288"/>
    </row>
    <row r="63313" spans="18:18" s="2" customFormat="1" ht="12.75" x14ac:dyDescent="0.2">
      <c r="R63313" s="1288"/>
    </row>
    <row r="63314" spans="18:18" s="2" customFormat="1" ht="12.75" x14ac:dyDescent="0.2">
      <c r="R63314" s="1288"/>
    </row>
    <row r="63315" spans="18:18" s="2" customFormat="1" ht="12.75" x14ac:dyDescent="0.2">
      <c r="R63315" s="1288"/>
    </row>
    <row r="63316" spans="18:18" s="2" customFormat="1" ht="12.75" x14ac:dyDescent="0.2">
      <c r="R63316" s="1288"/>
    </row>
    <row r="63317" spans="18:18" s="2" customFormat="1" ht="12.75" x14ac:dyDescent="0.2">
      <c r="R63317" s="1288"/>
    </row>
    <row r="63318" spans="18:18" s="2" customFormat="1" ht="12.75" x14ac:dyDescent="0.2">
      <c r="R63318" s="1288"/>
    </row>
    <row r="63319" spans="18:18" s="2" customFormat="1" ht="12.75" x14ac:dyDescent="0.2">
      <c r="R63319" s="1288"/>
    </row>
    <row r="63320" spans="18:18" s="2" customFormat="1" ht="12.75" x14ac:dyDescent="0.2">
      <c r="R63320" s="1288"/>
    </row>
    <row r="63321" spans="18:18" s="2" customFormat="1" ht="12.75" x14ac:dyDescent="0.2">
      <c r="R63321" s="1288"/>
    </row>
    <row r="63322" spans="18:18" s="2" customFormat="1" ht="12.75" x14ac:dyDescent="0.2">
      <c r="R63322" s="1288"/>
    </row>
    <row r="63323" spans="18:18" s="2" customFormat="1" ht="12.75" x14ac:dyDescent="0.2">
      <c r="R63323" s="1288"/>
    </row>
    <row r="63324" spans="18:18" s="2" customFormat="1" ht="12.75" x14ac:dyDescent="0.2">
      <c r="R63324" s="1288"/>
    </row>
    <row r="63325" spans="18:18" s="2" customFormat="1" ht="12.75" x14ac:dyDescent="0.2">
      <c r="R63325" s="1288"/>
    </row>
    <row r="63326" spans="18:18" s="2" customFormat="1" ht="12.75" x14ac:dyDescent="0.2">
      <c r="R63326" s="1288"/>
    </row>
    <row r="63327" spans="18:18" s="2" customFormat="1" ht="12.75" x14ac:dyDescent="0.2">
      <c r="R63327" s="1288"/>
    </row>
    <row r="63328" spans="18:18" s="2" customFormat="1" ht="12.75" x14ac:dyDescent="0.2">
      <c r="R63328" s="1288"/>
    </row>
    <row r="63329" spans="18:18" s="2" customFormat="1" ht="12.75" x14ac:dyDescent="0.2">
      <c r="R63329" s="1288"/>
    </row>
    <row r="63330" spans="18:18" s="2" customFormat="1" ht="12.75" x14ac:dyDescent="0.2">
      <c r="R63330" s="1288"/>
    </row>
    <row r="63331" spans="18:18" s="2" customFormat="1" ht="12.75" x14ac:dyDescent="0.2">
      <c r="R63331" s="1288"/>
    </row>
    <row r="63332" spans="18:18" s="2" customFormat="1" ht="12.75" x14ac:dyDescent="0.2">
      <c r="R63332" s="1288"/>
    </row>
    <row r="63333" spans="18:18" s="2" customFormat="1" ht="12.75" x14ac:dyDescent="0.2">
      <c r="R63333" s="1288"/>
    </row>
    <row r="63334" spans="18:18" s="2" customFormat="1" ht="12.75" x14ac:dyDescent="0.2">
      <c r="R63334" s="1288"/>
    </row>
    <row r="63335" spans="18:18" s="2" customFormat="1" ht="12.75" x14ac:dyDescent="0.2">
      <c r="R63335" s="1288"/>
    </row>
    <row r="63336" spans="18:18" s="2" customFormat="1" ht="12.75" x14ac:dyDescent="0.2">
      <c r="R63336" s="1288"/>
    </row>
    <row r="63337" spans="18:18" s="2" customFormat="1" ht="12.75" x14ac:dyDescent="0.2">
      <c r="R63337" s="1288"/>
    </row>
    <row r="63338" spans="18:18" s="2" customFormat="1" ht="12.75" x14ac:dyDescent="0.2">
      <c r="R63338" s="1288"/>
    </row>
    <row r="63339" spans="18:18" s="2" customFormat="1" ht="12.75" x14ac:dyDescent="0.2">
      <c r="R63339" s="1288"/>
    </row>
    <row r="63340" spans="18:18" s="2" customFormat="1" ht="12.75" x14ac:dyDescent="0.2">
      <c r="R63340" s="1288"/>
    </row>
    <row r="63341" spans="18:18" s="2" customFormat="1" ht="12.75" x14ac:dyDescent="0.2">
      <c r="R63341" s="1288"/>
    </row>
    <row r="63342" spans="18:18" s="2" customFormat="1" ht="12.75" x14ac:dyDescent="0.2">
      <c r="R63342" s="1288"/>
    </row>
    <row r="63343" spans="18:18" s="2" customFormat="1" ht="12.75" x14ac:dyDescent="0.2">
      <c r="R63343" s="1288"/>
    </row>
    <row r="63344" spans="18:18" s="2" customFormat="1" ht="12.75" x14ac:dyDescent="0.2">
      <c r="R63344" s="1288"/>
    </row>
    <row r="63345" spans="18:18" s="2" customFormat="1" ht="12.75" x14ac:dyDescent="0.2">
      <c r="R63345" s="1288"/>
    </row>
    <row r="63346" spans="18:18" s="2" customFormat="1" ht="12.75" x14ac:dyDescent="0.2">
      <c r="R63346" s="1288"/>
    </row>
    <row r="63347" spans="18:18" s="2" customFormat="1" ht="12.75" x14ac:dyDescent="0.2">
      <c r="R63347" s="1288"/>
    </row>
    <row r="63348" spans="18:18" s="2" customFormat="1" ht="12.75" x14ac:dyDescent="0.2">
      <c r="R63348" s="1288"/>
    </row>
    <row r="63349" spans="18:18" s="2" customFormat="1" ht="12.75" x14ac:dyDescent="0.2">
      <c r="R63349" s="1288"/>
    </row>
    <row r="63350" spans="18:18" s="2" customFormat="1" ht="12.75" x14ac:dyDescent="0.2">
      <c r="R63350" s="1288"/>
    </row>
    <row r="63351" spans="18:18" s="2" customFormat="1" ht="12.75" x14ac:dyDescent="0.2">
      <c r="R63351" s="1288"/>
    </row>
    <row r="63352" spans="18:18" s="2" customFormat="1" ht="12.75" x14ac:dyDescent="0.2">
      <c r="R63352" s="1288"/>
    </row>
    <row r="63353" spans="18:18" s="2" customFormat="1" ht="12.75" x14ac:dyDescent="0.2">
      <c r="R63353" s="1288"/>
    </row>
    <row r="63354" spans="18:18" s="2" customFormat="1" ht="12.75" x14ac:dyDescent="0.2">
      <c r="R63354" s="1288"/>
    </row>
    <row r="63355" spans="18:18" s="2" customFormat="1" ht="12.75" x14ac:dyDescent="0.2">
      <c r="R63355" s="1288"/>
    </row>
    <row r="63356" spans="18:18" s="2" customFormat="1" ht="12.75" x14ac:dyDescent="0.2">
      <c r="R63356" s="1288"/>
    </row>
    <row r="63357" spans="18:18" s="2" customFormat="1" ht="12.75" x14ac:dyDescent="0.2">
      <c r="R63357" s="1288"/>
    </row>
    <row r="63358" spans="18:18" s="2" customFormat="1" ht="12.75" x14ac:dyDescent="0.2">
      <c r="R63358" s="1288"/>
    </row>
    <row r="63359" spans="18:18" s="2" customFormat="1" ht="12.75" x14ac:dyDescent="0.2">
      <c r="R63359" s="1288"/>
    </row>
    <row r="63360" spans="18:18" s="2" customFormat="1" ht="12.75" x14ac:dyDescent="0.2">
      <c r="R63360" s="1288"/>
    </row>
    <row r="63361" spans="18:18" s="2" customFormat="1" ht="12.75" x14ac:dyDescent="0.2">
      <c r="R63361" s="1288"/>
    </row>
    <row r="63362" spans="18:18" s="2" customFormat="1" ht="12.75" x14ac:dyDescent="0.2">
      <c r="R63362" s="1288"/>
    </row>
    <row r="63363" spans="18:18" s="2" customFormat="1" ht="12.75" x14ac:dyDescent="0.2">
      <c r="R63363" s="1288"/>
    </row>
    <row r="63364" spans="18:18" s="2" customFormat="1" ht="12.75" x14ac:dyDescent="0.2">
      <c r="R63364" s="1288"/>
    </row>
    <row r="63365" spans="18:18" s="2" customFormat="1" ht="12.75" x14ac:dyDescent="0.2">
      <c r="R63365" s="1288"/>
    </row>
    <row r="63366" spans="18:18" s="2" customFormat="1" ht="12.75" x14ac:dyDescent="0.2">
      <c r="R63366" s="1288"/>
    </row>
    <row r="63367" spans="18:18" s="2" customFormat="1" ht="12.75" x14ac:dyDescent="0.2">
      <c r="R63367" s="1288"/>
    </row>
    <row r="63368" spans="18:18" s="2" customFormat="1" ht="12.75" x14ac:dyDescent="0.2">
      <c r="R63368" s="1288"/>
    </row>
    <row r="63369" spans="18:18" s="2" customFormat="1" ht="12.75" x14ac:dyDescent="0.2">
      <c r="R63369" s="1288"/>
    </row>
    <row r="63370" spans="18:18" s="2" customFormat="1" ht="12.75" x14ac:dyDescent="0.2">
      <c r="R63370" s="1288"/>
    </row>
    <row r="63371" spans="18:18" s="2" customFormat="1" ht="12.75" x14ac:dyDescent="0.2">
      <c r="R63371" s="1288"/>
    </row>
    <row r="63372" spans="18:18" s="2" customFormat="1" ht="12.75" x14ac:dyDescent="0.2">
      <c r="R63372" s="1288"/>
    </row>
    <row r="63373" spans="18:18" s="2" customFormat="1" ht="12.75" x14ac:dyDescent="0.2">
      <c r="R63373" s="1288"/>
    </row>
    <row r="63374" spans="18:18" s="2" customFormat="1" ht="12.75" x14ac:dyDescent="0.2">
      <c r="R63374" s="1288"/>
    </row>
    <row r="63375" spans="18:18" s="2" customFormat="1" ht="12.75" x14ac:dyDescent="0.2">
      <c r="R63375" s="1288"/>
    </row>
    <row r="63376" spans="18:18" s="2" customFormat="1" ht="12.75" x14ac:dyDescent="0.2">
      <c r="R63376" s="1288"/>
    </row>
    <row r="63377" spans="18:18" s="2" customFormat="1" ht="12.75" x14ac:dyDescent="0.2">
      <c r="R63377" s="1288"/>
    </row>
    <row r="63378" spans="18:18" s="2" customFormat="1" ht="12.75" x14ac:dyDescent="0.2">
      <c r="R63378" s="1288"/>
    </row>
    <row r="63379" spans="18:18" s="2" customFormat="1" ht="12.75" x14ac:dyDescent="0.2">
      <c r="R63379" s="1288"/>
    </row>
    <row r="63380" spans="18:18" s="2" customFormat="1" ht="12.75" x14ac:dyDescent="0.2">
      <c r="R63380" s="1288"/>
    </row>
    <row r="63381" spans="18:18" s="2" customFormat="1" ht="12.75" x14ac:dyDescent="0.2">
      <c r="R63381" s="1288"/>
    </row>
    <row r="63382" spans="18:18" s="2" customFormat="1" ht="12.75" x14ac:dyDescent="0.2">
      <c r="R63382" s="1288"/>
    </row>
    <row r="63383" spans="18:18" s="2" customFormat="1" ht="12.75" x14ac:dyDescent="0.2">
      <c r="R63383" s="1288"/>
    </row>
    <row r="63384" spans="18:18" s="2" customFormat="1" ht="12.75" x14ac:dyDescent="0.2">
      <c r="R63384" s="1288"/>
    </row>
    <row r="63385" spans="18:18" s="2" customFormat="1" ht="12.75" x14ac:dyDescent="0.2">
      <c r="R63385" s="1288"/>
    </row>
    <row r="63386" spans="18:18" s="2" customFormat="1" ht="12.75" x14ac:dyDescent="0.2">
      <c r="R63386" s="1288"/>
    </row>
    <row r="63387" spans="18:18" s="2" customFormat="1" ht="12.75" x14ac:dyDescent="0.2">
      <c r="R63387" s="1288"/>
    </row>
    <row r="63388" spans="18:18" s="2" customFormat="1" ht="12.75" x14ac:dyDescent="0.2">
      <c r="R63388" s="1288"/>
    </row>
    <row r="63389" spans="18:18" s="2" customFormat="1" ht="12.75" x14ac:dyDescent="0.2">
      <c r="R63389" s="1288"/>
    </row>
    <row r="63390" spans="18:18" s="2" customFormat="1" ht="12.75" x14ac:dyDescent="0.2">
      <c r="R63390" s="1288"/>
    </row>
    <row r="63391" spans="18:18" s="2" customFormat="1" ht="12.75" x14ac:dyDescent="0.2">
      <c r="R63391" s="1288"/>
    </row>
    <row r="63392" spans="18:18" s="2" customFormat="1" ht="12.75" x14ac:dyDescent="0.2">
      <c r="R63392" s="1288"/>
    </row>
    <row r="63393" spans="18:18" s="2" customFormat="1" ht="12.75" x14ac:dyDescent="0.2">
      <c r="R63393" s="1288"/>
    </row>
    <row r="63394" spans="18:18" s="2" customFormat="1" ht="12.75" x14ac:dyDescent="0.2">
      <c r="R63394" s="1288"/>
    </row>
    <row r="63395" spans="18:18" s="2" customFormat="1" ht="12.75" x14ac:dyDescent="0.2">
      <c r="R63395" s="1288"/>
    </row>
    <row r="63396" spans="18:18" s="2" customFormat="1" ht="12.75" x14ac:dyDescent="0.2">
      <c r="R63396" s="1288"/>
    </row>
    <row r="63397" spans="18:18" s="2" customFormat="1" ht="12.75" x14ac:dyDescent="0.2">
      <c r="R63397" s="1288"/>
    </row>
    <row r="63398" spans="18:18" s="2" customFormat="1" ht="12.75" x14ac:dyDescent="0.2">
      <c r="R63398" s="1288"/>
    </row>
    <row r="63399" spans="18:18" s="2" customFormat="1" ht="12.75" x14ac:dyDescent="0.2">
      <c r="R63399" s="1288"/>
    </row>
    <row r="63400" spans="18:18" s="2" customFormat="1" ht="12.75" x14ac:dyDescent="0.2">
      <c r="R63400" s="1288"/>
    </row>
    <row r="63401" spans="18:18" s="2" customFormat="1" ht="12.75" x14ac:dyDescent="0.2">
      <c r="R63401" s="1288"/>
    </row>
    <row r="63402" spans="18:18" s="2" customFormat="1" ht="12.75" x14ac:dyDescent="0.2">
      <c r="R63402" s="1288"/>
    </row>
    <row r="63403" spans="18:18" s="2" customFormat="1" ht="12.75" x14ac:dyDescent="0.2">
      <c r="R63403" s="1288"/>
    </row>
    <row r="63404" spans="18:18" s="2" customFormat="1" ht="12.75" x14ac:dyDescent="0.2">
      <c r="R63404" s="1288"/>
    </row>
    <row r="63405" spans="18:18" s="2" customFormat="1" ht="12.75" x14ac:dyDescent="0.2">
      <c r="R63405" s="1288"/>
    </row>
    <row r="63406" spans="18:18" s="2" customFormat="1" ht="12.75" x14ac:dyDescent="0.2">
      <c r="R63406" s="1288"/>
    </row>
    <row r="63407" spans="18:18" s="2" customFormat="1" ht="12.75" x14ac:dyDescent="0.2">
      <c r="R63407" s="1288"/>
    </row>
    <row r="63408" spans="18:18" s="2" customFormat="1" ht="12.75" x14ac:dyDescent="0.2">
      <c r="R63408" s="1288"/>
    </row>
    <row r="63409" spans="18:18" s="2" customFormat="1" ht="12.75" x14ac:dyDescent="0.2">
      <c r="R63409" s="1288"/>
    </row>
    <row r="63410" spans="18:18" s="2" customFormat="1" ht="12.75" x14ac:dyDescent="0.2">
      <c r="R63410" s="1288"/>
    </row>
    <row r="63411" spans="18:18" s="2" customFormat="1" ht="12.75" x14ac:dyDescent="0.2">
      <c r="R63411" s="1288"/>
    </row>
    <row r="63412" spans="18:18" s="2" customFormat="1" ht="12.75" x14ac:dyDescent="0.2">
      <c r="R63412" s="1288"/>
    </row>
    <row r="63413" spans="18:18" s="2" customFormat="1" ht="12.75" x14ac:dyDescent="0.2">
      <c r="R63413" s="1288"/>
    </row>
    <row r="63414" spans="18:18" s="2" customFormat="1" ht="12.75" x14ac:dyDescent="0.2">
      <c r="R63414" s="1288"/>
    </row>
    <row r="63415" spans="18:18" s="2" customFormat="1" ht="12.75" x14ac:dyDescent="0.2">
      <c r="R63415" s="1288"/>
    </row>
    <row r="63416" spans="18:18" s="2" customFormat="1" ht="12.75" x14ac:dyDescent="0.2">
      <c r="R63416" s="1288"/>
    </row>
    <row r="63417" spans="18:18" s="2" customFormat="1" ht="12.75" x14ac:dyDescent="0.2">
      <c r="R63417" s="1288"/>
    </row>
    <row r="63418" spans="18:18" s="2" customFormat="1" ht="12.75" x14ac:dyDescent="0.2">
      <c r="R63418" s="1288"/>
    </row>
    <row r="63419" spans="18:18" s="2" customFormat="1" ht="12.75" x14ac:dyDescent="0.2">
      <c r="R63419" s="1288"/>
    </row>
    <row r="63420" spans="18:18" s="2" customFormat="1" ht="12.75" x14ac:dyDescent="0.2">
      <c r="R63420" s="1288"/>
    </row>
    <row r="63421" spans="18:18" s="2" customFormat="1" ht="12.75" x14ac:dyDescent="0.2">
      <c r="R63421" s="1288"/>
    </row>
    <row r="63422" spans="18:18" s="2" customFormat="1" ht="12.75" x14ac:dyDescent="0.2">
      <c r="R63422" s="1288"/>
    </row>
    <row r="63423" spans="18:18" s="2" customFormat="1" ht="12.75" x14ac:dyDescent="0.2">
      <c r="R63423" s="1288"/>
    </row>
    <row r="63424" spans="18:18" s="2" customFormat="1" ht="12.75" x14ac:dyDescent="0.2">
      <c r="R63424" s="1288"/>
    </row>
    <row r="63425" spans="18:18" s="2" customFormat="1" ht="12.75" x14ac:dyDescent="0.2">
      <c r="R63425" s="1288"/>
    </row>
    <row r="63426" spans="18:18" s="2" customFormat="1" ht="12.75" x14ac:dyDescent="0.2">
      <c r="R63426" s="1288"/>
    </row>
    <row r="63427" spans="18:18" s="2" customFormat="1" ht="12.75" x14ac:dyDescent="0.2">
      <c r="R63427" s="1288"/>
    </row>
    <row r="63428" spans="18:18" s="2" customFormat="1" ht="12.75" x14ac:dyDescent="0.2">
      <c r="R63428" s="1288"/>
    </row>
    <row r="63429" spans="18:18" s="2" customFormat="1" ht="12.75" x14ac:dyDescent="0.2">
      <c r="R63429" s="1288"/>
    </row>
    <row r="63430" spans="18:18" s="2" customFormat="1" ht="12.75" x14ac:dyDescent="0.2">
      <c r="R63430" s="1288"/>
    </row>
    <row r="63431" spans="18:18" s="2" customFormat="1" ht="12.75" x14ac:dyDescent="0.2">
      <c r="R63431" s="1288"/>
    </row>
    <row r="63432" spans="18:18" s="2" customFormat="1" ht="12.75" x14ac:dyDescent="0.2">
      <c r="R63432" s="1288"/>
    </row>
    <row r="63433" spans="18:18" s="2" customFormat="1" ht="12.75" x14ac:dyDescent="0.2">
      <c r="R63433" s="1288"/>
    </row>
    <row r="63434" spans="18:18" s="2" customFormat="1" ht="12.75" x14ac:dyDescent="0.2">
      <c r="R63434" s="1288"/>
    </row>
    <row r="63435" spans="18:18" s="2" customFormat="1" ht="12.75" x14ac:dyDescent="0.2">
      <c r="R63435" s="1288"/>
    </row>
    <row r="63436" spans="18:18" s="2" customFormat="1" ht="12.75" x14ac:dyDescent="0.2">
      <c r="R63436" s="1288"/>
    </row>
    <row r="63437" spans="18:18" s="2" customFormat="1" ht="12.75" x14ac:dyDescent="0.2">
      <c r="R63437" s="1288"/>
    </row>
  </sheetData>
  <autoFilter ref="A1:AH506" xr:uid="{00000000-0001-0000-0200-000000000000}">
    <filterColumn colId="0">
      <filters>
        <filter val="200999"/>
      </filters>
    </filterColumn>
    <filterColumn colId="9">
      <filters>
        <filter val="BDT ATY du  21/07/2024 à 2.90% 1 an"/>
        <filter val="BDT DU 01/02/2022 10 ANS 2.40% ATYP 14/06/2022"/>
        <filter val="BDT DU 01/03/2010 15 ANS à 4.20%"/>
        <filter val="BDT du 02/01/2006 20ans à 5.95% 100000"/>
        <filter val="BDT DU 02/01/2012 15 ANS 4.40%"/>
        <filter val="BDT du 02/04/18 ATYP 16/08/18 à 3.95% 20 ANS"/>
        <filter val="BDT DU 02/05/2016 20 ANS à 3.55% ATYP"/>
        <filter val="BDT DU 02/06/2014 11 ANS 4.55%"/>
        <filter val="BDT du 03/03/2025 a 2.39% 26 SEM"/>
        <filter val="BDT du 03/05/2010 sur 20 ans à 4.40%"/>
        <filter val="BDT du 03/10/2005 20A à 5.95% 100000"/>
        <filter val="BDT du 04/02/19 ATYP 18/06/19 à 3.35%  10 ans"/>
        <filter val="BDT du 04/11/2024 a 2.58% 26 SEM"/>
        <filter val="BDT du 04/12/2006 30ans à 4,5% 100000"/>
        <filter val="BDT DU 05/02/2018 à 3.30% 10 ANS"/>
        <filter val="BDT DU 05/04/2021 à 2.85% 20 ANS"/>
        <filter val="BDT du 05/06/2006 20ans à 5.15% 100000"/>
        <filter val="BDT DU 05/08/2015 15 ANS à 4%"/>
        <filter val="BDT DU 05/09/2016 à 3.20% 10 ANS"/>
        <filter val="BDT DU 06/01/2014 15 ANS 5.60"/>
        <filter val="BDT DU 06/01/2025 à 6.65% 2 ans"/>
        <filter val="BDT DU 06/07/2015 20 ANS à 4.40%"/>
        <filter val="BDT DU 060814 15 ANS 5.45% ATYP 14/04/2014"/>
        <filter val="BDT DU 07/10/14 30ANS 5.70%"/>
        <filter val="BDT du 08/04/2024 à 3.25% 2 ans"/>
        <filter val="BDT du 10/06/2025 a 1.78% 13 SEM"/>
        <filter val="BDT du 10/06/2025 a 1.88% 13 SEM"/>
        <filter val="BDT du 13/02/2023 à 3.37% 2 ans REVIS"/>
        <filter val="BDT DU 14/02/2020 30ANS 4%"/>
        <filter val="BDT DU 14/02/2022 5 ANS 2.10% ATYP 18/10/2022"/>
        <filter val="BDT du 14/02/2026 a 3.80% 30 ANS ATYP 08/07/2025"/>
        <filter val="BDT DU 14/04/2020 5 ANS à 2.5%"/>
        <filter val="BDT du 14/05/2025 a 2.90% 10 ANS ATYP 05/05/2025"/>
        <filter val="BDT DU 14/06/2021 5 ANS à 2.00%"/>
        <filter val="BDT du 14/07/2021 ATYP 18/01/2021 à 3.45% 15 ans"/>
        <filter val="BDT du 14/07/2023 à 3.80% 2 ans ATYP 27/02/2023"/>
        <filter val="BDT du 14/08/13 ATYP 18/03/13 à 5.25% 15 ans"/>
        <filter val="BDT DU 14/08/2025 à 4% 20 ans"/>
        <filter val="BDT du 14/09/2024  2 ans  à 3.25%  ATYP 27/05/2024"/>
        <filter val="BDT du 15/01/2018 ATYP jouiss 18/07/2018 à 3.70% 15 ans"/>
        <filter val="BDT du 15/02/2025  30ans à 4.90%  ATYP 04/06/2024"/>
        <filter val="BDT du 15/04/19 ATYP 17/07/19 à 3.50% 15ANS"/>
        <filter val="BDT du 15/04/2025  5 ans à 3.30%  ATYP 15/07/2024"/>
        <filter val="BDT DU 15/06/2016 à 3.50% 10 ANS"/>
        <filter val="BDT du 15/08/2024 à 4.60% 20 ans ATYP 02/01/2024"/>
        <filter val="BDT du 15/09/2023 à 3.90% 2 ans ATYP 25/04/2023"/>
        <filter val="BDT du 15/10/2024 à 3.50%  5 ANS ATYP 15/01/2024"/>
        <filter val="BDT du 15/11/2021 à 2% 5 ANS"/>
        <filter val="BDT DU 16/01/2023 5 ANS 3.90%"/>
        <filter val="BDT du 16/01/2023 atp  a 4.20%  10 ans"/>
        <filter val="BDT du 16/02/2024 à 3.45% 2 ans  ATYP  10/07/2023"/>
        <filter val="BDT DU 16/04/2020 3.35%"/>
        <filter val="BDT du 16/05/2016 15 ans à 3.2%"/>
        <filter val="BDT du 16/07/2020 à 3% ATYP 20/01/2020 15 ans"/>
        <filter val="BDT DU 16/07/2025 à 3.65% 15 ans ATYP 18/09/2024"/>
        <filter val="BDT du 16/08/2025 a 2.25% 2 ANS ATYP 04/08/2025"/>
        <filter val="BDT du 16/11/2024 à 2.85%  2 ANS"/>
        <filter val="BDT DU 17/06/2020 10 ANS 2.7%"/>
        <filter val="BDT du 17/08/2023 à 4.75%  20 ans ATYP 16/01/2023"/>
        <filter val="BDT du 17/08/2025 a 2.10% 52 SEM"/>
        <filter val="BDT du 18/05/2024 à 3.35%  2 ANS ATYP 11/12/2023"/>
        <filter val="BDT DU 18/06/2025 à 3.55% 10 ANS"/>
        <filter val="BDT du 18/07/2024 à 4.25%  15 ANS ATYP 15/01/2024"/>
        <filter val="BDT du 18/08/2023 à 3.90% 2 ans ATYP 25/04/2023"/>
        <filter val="BDT DU 18/09/2024 à 4% 10ANS ATYP 02/01/2024"/>
        <filter val="BDT du 18/112022  2.5%  2 ANS ATYP 07/11/2022"/>
        <filter val="BDT du 19/01/2025 à 2.70%  52 SEM"/>
        <filter val="BDT du 19/02/15 à 5.65% ATYP 04/08/14 20 ANS"/>
        <filter val="BDT DU 19/02/2016 30 ANS à 4.85%"/>
        <filter val="BDT DU 19/04/2025 à 4.50%  30 ans ATYP 30/09/2024"/>
        <filter val="BDT du 19/11/2023 à 3.30% 1 an ATYP 07/08/2023"/>
        <filter val="BDT du 20/01/2024 à 3.25%  1 an ATYP 09/10/2023"/>
        <filter val="BDT du 20/02/2021 ATYP 04/01/2021 à 3.45% 30 ans"/>
        <filter val="BDT DU 20/03/2023 à 4.90% 15 ans"/>
        <filter val="BDT DU 20/03/2023 à 5.5 30 ans"/>
        <filter val="BDT DU 20/05/2023 à 3.50% ATYP 20/02/2023  1 AN"/>
        <filter val="BDT du 20/09/2025 a 2.2% 2ANS ATYP 23/06/2025"/>
        <filter val="BDT du 20/10/2020 à 2.40% 5 ANS ATYP 15/06/2020"/>
        <filter val="BDT DU 20/4/2026 ATY 18/1/2021"/>
        <filter val="BDT du 21/08/2025 a 3.40% 20 ANS ATYP 02/06/2025"/>
        <filter val="BDT DU 22/05/2023 à 3.90% 2 ANS"/>
        <filter val="BDT du 23/01/2023 atp  a 3.70%  2 ans"/>
        <filter val="BDT du 23/06/2025 a 1.39% 13 SEM"/>
        <filter val="BDT du 23/06/2025 a 1.50 % 13 SEM"/>
        <filter val="BDT du 23/06/2025 a 1.60% 13 SEM"/>
        <filter val="BDT du 24/02/2025 a 2.65% 2 ans"/>
        <filter val="BDT du 24/03/2025 a 2.20% 13 SEM"/>
        <filter val="BDT DU 27/06/2023 à 4.30% 10 ans"/>
        <filter val="BDT du 27/06/2023 ATYP 14/03/2024 à 4.75 % 15 ans"/>
        <filter val="BDT du 28/02/2005 20A à 6% 100000"/>
        <filter val="BDT du 28/11/2022 a 2.90% REV 5 ans"/>
        <filter val="BDT du 29/09/2025 a 2.25% 2 ans ATYP 17/01/1026"/>
        <filter val="BDT DU 31/03/2014 à 5.85% 20 ans"/>
      </filters>
    </filterColumn>
  </autoFilter>
  <dataConsolidate/>
  <phoneticPr fontId="0" type="noConversion"/>
  <pageMargins left="0.78740157499999996" right="0.78740157499999996" top="0.984251969" bottom="0.984251969" header="0.4921259845" footer="0.4921259845"/>
  <pageSetup paperSize="9" scale="13" fitToHeight="4"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9">
    <tabColor theme="6" tint="-0.249977111117893"/>
  </sheetPr>
  <dimension ref="A1:AD12504"/>
  <sheetViews>
    <sheetView showGridLines="0" zoomScale="115" zoomScaleNormal="115" zoomScaleSheetLayoutView="130" workbookViewId="0">
      <selection activeCell="D26" sqref="D26"/>
    </sheetView>
  </sheetViews>
  <sheetFormatPr baseColWidth="10" defaultRowHeight="12.75" x14ac:dyDescent="0.2"/>
  <cols>
    <col min="1" max="1" width="11.140625" style="990" customWidth="1"/>
    <col min="2" max="2" width="11.140625" style="51" customWidth="1"/>
    <col min="3" max="3" width="15.5703125" customWidth="1"/>
    <col min="4" max="4" width="16.140625" style="990" customWidth="1"/>
    <col min="5" max="5" width="11.42578125" style="51" customWidth="1"/>
    <col min="6" max="6" width="28" customWidth="1"/>
    <col min="7" max="7" width="16.85546875" customWidth="1"/>
    <col min="8" max="8" width="34.28515625" customWidth="1"/>
    <col min="9" max="9" width="31.5703125" customWidth="1"/>
    <col min="10" max="10" width="32.7109375" customWidth="1"/>
    <col min="11" max="11" width="15.28515625" bestFit="1" customWidth="1"/>
    <col min="12" max="12" width="16.5703125" style="49" bestFit="1" customWidth="1"/>
    <col min="13" max="13" width="15.5703125" style="49" bestFit="1" customWidth="1"/>
    <col min="14" max="14" width="13.85546875" style="251" bestFit="1" customWidth="1"/>
    <col min="16" max="16" width="10.28515625" customWidth="1"/>
    <col min="17" max="17" width="10.28515625" style="49" customWidth="1"/>
    <col min="18" max="18" width="14.140625" customWidth="1"/>
    <col min="19" max="19" width="12.85546875" customWidth="1"/>
    <col min="21" max="23" width="12" bestFit="1" customWidth="1"/>
    <col min="24" max="24" width="15.28515625" bestFit="1" customWidth="1"/>
  </cols>
  <sheetData>
    <row r="1" spans="1:30" ht="16.5" thickBot="1" x14ac:dyDescent="0.3">
      <c r="A1" s="991" t="s">
        <v>3013</v>
      </c>
      <c r="B1" s="992" t="s">
        <v>3014</v>
      </c>
      <c r="C1" s="424"/>
      <c r="D1" s="991" t="s">
        <v>3015</v>
      </c>
      <c r="E1" s="992" t="s">
        <v>3016</v>
      </c>
      <c r="F1" s="1069">
        <v>46107</v>
      </c>
      <c r="G1" s="908" t="s">
        <v>921</v>
      </c>
      <c r="H1" s="908" t="s">
        <v>922</v>
      </c>
      <c r="I1" s="1180" t="s">
        <v>3102</v>
      </c>
      <c r="J1" s="52"/>
      <c r="L1" s="49" t="s">
        <v>165</v>
      </c>
      <c r="O1" s="8"/>
    </row>
    <row r="2" spans="1:30" ht="13.5" thickBot="1" x14ac:dyDescent="0.25">
      <c r="A2" s="993">
        <f>IF(DATA!A2="","",DATA!A2)</f>
        <v>1</v>
      </c>
      <c r="B2" s="995">
        <f>IF(DATA!B2="","",DATA!B2)</f>
        <v>2.2700000000000001E-2</v>
      </c>
      <c r="C2" s="1213"/>
      <c r="D2" s="993">
        <f>+G2</f>
        <v>326</v>
      </c>
      <c r="E2" s="1189">
        <f>ROUND(I2,10)</f>
        <v>2.4974686400000001E-2</v>
      </c>
      <c r="F2" s="1085" t="str">
        <f>TEXT(F1,"jjjj")</f>
        <v>jeudi</v>
      </c>
      <c r="G2" s="1084">
        <f>+MAX(A2:A48)</f>
        <v>326</v>
      </c>
      <c r="H2" s="909">
        <f>+VLOOKUP(G2,A2:B48,2,FALSE)</f>
        <v>2.46E-2</v>
      </c>
      <c r="I2" s="1188">
        <f>(1+H2*G2/360)^((F1+D2-ajouter(F1+D2,-1))/G2)-1</f>
        <v>2.4974686420831338E-2</v>
      </c>
      <c r="J2" s="1179"/>
      <c r="K2" s="1086">
        <v>1</v>
      </c>
      <c r="L2" s="983">
        <f>ROUND(IF(K2&gt;365,interpoler(_mat2,taux2,K2),IF(K2&lt;='Courbe des taux'!$G$2,interpoler(_mat1,taux1,K2),((1+interpoler(_mat2,taux2,K2))^(K2/base)-1)*360/(K2))),4)</f>
        <v>2.2700000000000001E-2</v>
      </c>
      <c r="M2" s="980">
        <f t="shared" ref="M2:M33" si="0">ROUND(IF(K2&gt;364,interpoler(_mat2,taux2,K2),interpoler(_mat1,taux1,K2)),6)</f>
        <v>2.2700000000000001E-2</v>
      </c>
      <c r="N2" s="251">
        <f>+L2-M2</f>
        <v>0</v>
      </c>
      <c r="O2" s="8"/>
      <c r="P2" s="1640" t="s">
        <v>2425</v>
      </c>
      <c r="Q2" s="1640"/>
      <c r="R2" s="1640"/>
      <c r="S2" s="1640"/>
      <c r="T2" s="1640"/>
      <c r="AA2" s="8"/>
      <c r="AB2" s="8"/>
      <c r="AC2" s="1"/>
      <c r="AD2" s="58"/>
    </row>
    <row r="3" spans="1:30" ht="14.25" customHeight="1" x14ac:dyDescent="0.2">
      <c r="A3" s="993">
        <f>IF(DATA!A3="","",DATA!A3)</f>
        <v>53</v>
      </c>
      <c r="B3" s="995">
        <f>IF(DATA!B3="","",DATA!B3)</f>
        <v>2.2700000000000001E-2</v>
      </c>
      <c r="C3" s="243"/>
      <c r="D3" s="993">
        <f>IF(DATA!D2="","",DATA!D2)</f>
        <v>543</v>
      </c>
      <c r="E3" s="995">
        <f>IF(DATA!E2="","",DATA!E2)</f>
        <v>2.5899999999999999E-2</v>
      </c>
      <c r="G3" s="908" t="s">
        <v>724</v>
      </c>
      <c r="H3" s="908" t="s">
        <v>725</v>
      </c>
      <c r="I3" s="908" t="s">
        <v>604</v>
      </c>
      <c r="J3" s="779"/>
      <c r="K3" s="1087">
        <v>50</v>
      </c>
      <c r="L3" s="984">
        <f>ROUND(IF(K3&gt;365,interpoler(_mat2,taux2,K3),IF(K3&lt;='Courbe des taux'!$G$2,interpoler(_mat1,taux1,K3),((1+interpoler(_mat2,taux2,K3))^(K3/base)-1)*360/(K3))),4)</f>
        <v>2.2700000000000001E-2</v>
      </c>
      <c r="M3" s="981">
        <f t="shared" si="0"/>
        <v>2.2700000000000001E-2</v>
      </c>
      <c r="N3" s="251">
        <f t="shared" ref="N3:N63" si="1">+L3-M3</f>
        <v>0</v>
      </c>
      <c r="O3" s="8"/>
      <c r="P3" s="1640"/>
      <c r="Q3" s="1640"/>
      <c r="R3" s="1640"/>
      <c r="S3" s="1640"/>
      <c r="T3" s="1640"/>
      <c r="X3" s="711" t="str">
        <f>IF(CIH!D6=366,"ATTENTION: VERIFIER 366 (Monétaire) DANS LA COURBE","-------------------")</f>
        <v>-------------------</v>
      </c>
      <c r="Y3" s="49"/>
      <c r="Z3" s="96"/>
      <c r="AA3" s="244"/>
      <c r="AB3" s="8"/>
      <c r="AC3" s="1"/>
      <c r="AD3" s="58"/>
    </row>
    <row r="4" spans="1:30" x14ac:dyDescent="0.2">
      <c r="A4" s="993">
        <f>IF(DATA!A4="","",DATA!A4)</f>
        <v>144</v>
      </c>
      <c r="B4" s="995">
        <f>IF(DATA!B4="","",DATA!B4)</f>
        <v>2.3399999999999997E-2</v>
      </c>
      <c r="C4" s="243"/>
      <c r="D4" s="993">
        <f>IF(DATA!D3="","",DATA!D3)</f>
        <v>1481</v>
      </c>
      <c r="E4" s="995">
        <f>IF(DATA!E3="","",DATA!E3)</f>
        <v>2.98E-2</v>
      </c>
      <c r="G4" s="908">
        <f>+MAX(D2:D48)</f>
        <v>10616</v>
      </c>
      <c r="H4" s="910">
        <f>+VLOOKUP(G4,D2:E48,2,FALSE)</f>
        <v>4.0800000000000003E-2</v>
      </c>
      <c r="I4" s="1096">
        <v>365</v>
      </c>
      <c r="K4" s="1087">
        <v>100</v>
      </c>
      <c r="L4" s="984">
        <f>ROUND(IF(K4&gt;365,interpoler(_mat2,taux2,K4),IF(K4&lt;='Courbe des taux'!$G$2,interpoler(_mat1,taux1,K4),((1+interpoler(_mat2,taux2,K4))^(K4/base)-1)*360/(K4))),4)</f>
        <v>2.3099999999999999E-2</v>
      </c>
      <c r="M4" s="981">
        <f t="shared" si="0"/>
        <v>2.3061999999999999E-2</v>
      </c>
      <c r="N4" s="251">
        <f t="shared" si="1"/>
        <v>3.7999999999999839E-5</v>
      </c>
      <c r="P4" s="640" t="s">
        <v>2474</v>
      </c>
      <c r="Q4" s="695">
        <f>INDEX(D2:D45,RANK(LOOKUP(Q5,D2:E45),D2:E45,1)-1,1)</f>
        <v>7081</v>
      </c>
      <c r="R4" s="643" t="s">
        <v>2476</v>
      </c>
      <c r="S4" s="645">
        <f>VLOOKUP(Q4,D2:E45,2,0)</f>
        <v>3.6499999999999998E-2</v>
      </c>
      <c r="T4" s="628"/>
      <c r="X4" s="689" t="s">
        <v>2538</v>
      </c>
      <c r="Y4" s="58"/>
      <c r="Z4" s="52"/>
      <c r="AB4" s="8"/>
      <c r="AC4" s="1"/>
      <c r="AD4" s="58"/>
    </row>
    <row r="5" spans="1:30" x14ac:dyDescent="0.2">
      <c r="A5" s="993">
        <f>IF(DATA!A5="","",DATA!A5)</f>
        <v>326</v>
      </c>
      <c r="B5" s="995">
        <f>IF(DATA!B5="","",DATA!B5)</f>
        <v>2.46E-2</v>
      </c>
      <c r="C5" s="243"/>
      <c r="D5" s="993">
        <f>IF(DATA!D4="","",DATA!D4)</f>
        <v>1845</v>
      </c>
      <c r="E5" s="995">
        <f>IF(DATA!E4="","",DATA!E4)</f>
        <v>3.0800000000000001E-2</v>
      </c>
      <c r="G5" s="243"/>
      <c r="H5" s="1180" t="s">
        <v>3102</v>
      </c>
      <c r="I5" s="1094"/>
      <c r="J5" s="962"/>
      <c r="K5" s="1087">
        <v>150</v>
      </c>
      <c r="L5" s="984">
        <f>ROUND(IF(K5&gt;365,interpoler(_mat2,taux2,K5),IF(K5&lt;='Courbe des taux'!$G$2,interpoler(_mat1,taux1,K5),((1+interpoler(_mat2,taux2,K5))^(K5/base)-1)*360/(K5))),4)</f>
        <v>2.3400000000000001E-2</v>
      </c>
      <c r="M5" s="981">
        <f t="shared" si="0"/>
        <v>2.3439999999999999E-2</v>
      </c>
      <c r="N5" s="251">
        <f t="shared" si="1"/>
        <v>-3.999999999999837E-5</v>
      </c>
      <c r="P5" s="641" t="s">
        <v>2475</v>
      </c>
      <c r="Q5" s="646">
        <f>MAX(D2:D45)</f>
        <v>10616</v>
      </c>
      <c r="R5" s="644" t="s">
        <v>2477</v>
      </c>
      <c r="S5" s="630">
        <f>VLOOKUP(Q5,D2:E45,2,0)</f>
        <v>4.0800000000000003E-2</v>
      </c>
      <c r="T5" s="631"/>
      <c r="AA5" s="8"/>
      <c r="AB5" s="8"/>
      <c r="AC5" s="1"/>
      <c r="AD5" s="58"/>
    </row>
    <row r="6" spans="1:30" ht="13.5" thickBot="1" x14ac:dyDescent="0.25">
      <c r="A6" s="993"/>
      <c r="B6" s="995"/>
      <c r="C6" s="52"/>
      <c r="D6" s="993">
        <f>IF(DATA!D5="","",DATA!D5)</f>
        <v>3371</v>
      </c>
      <c r="E6" s="995">
        <f>IF(DATA!E5="","",DATA!E5)</f>
        <v>3.2799999999999996E-2</v>
      </c>
      <c r="F6" s="8"/>
      <c r="G6" s="908">
        <f>D3</f>
        <v>543</v>
      </c>
      <c r="H6" s="909">
        <f>((1+E3)^(G6/I6)-1)*360/G6</f>
        <v>2.5705825533268625E-2</v>
      </c>
      <c r="I6" s="1095">
        <v>365</v>
      </c>
      <c r="J6" s="1097" t="s">
        <v>2888</v>
      </c>
      <c r="K6" s="1087">
        <v>200</v>
      </c>
      <c r="L6" s="986">
        <f>ROUND(IF(K6&gt;365,interpoler(_mat2,taux2,K6),IF(K6&lt;='Courbe des taux'!$G$2,interpoler(_mat1,taux1,K6),((1+interpoler(_mat2,taux2,K6))^(K6/base)-1)*360/(K6))),4)</f>
        <v>2.3800000000000002E-2</v>
      </c>
      <c r="M6" s="987">
        <f t="shared" si="0"/>
        <v>2.3768999999999998E-2</v>
      </c>
      <c r="N6" s="251">
        <f>+L6-M6</f>
        <v>3.1000000000003247E-5</v>
      </c>
      <c r="P6" s="642" t="s">
        <v>461</v>
      </c>
      <c r="Q6" s="710">
        <f>CIH!D104</f>
        <v>10958</v>
      </c>
      <c r="R6" s="633" t="s">
        <v>2478</v>
      </c>
      <c r="S6" s="709">
        <f>extrapoler(Q4,Q5,S4,S5,Q6)</f>
        <v>4.1216011315417259E-2</v>
      </c>
      <c r="T6" s="631"/>
      <c r="AA6" s="8"/>
      <c r="AB6" s="8"/>
      <c r="AC6" s="1"/>
      <c r="AD6" s="58"/>
    </row>
    <row r="7" spans="1:30" x14ac:dyDescent="0.2">
      <c r="A7" s="993"/>
      <c r="B7" s="995"/>
      <c r="C7" s="571"/>
      <c r="D7" s="993">
        <f>IF(DATA!D6="","",DATA!D6)</f>
        <v>4862</v>
      </c>
      <c r="E7" s="995">
        <f>IF(DATA!E6="","",DATA!E6)</f>
        <v>3.5099999999999999E-2</v>
      </c>
      <c r="F7" s="8"/>
      <c r="H7" s="1179"/>
      <c r="K7" s="1088">
        <v>91</v>
      </c>
      <c r="L7" s="983">
        <f>ROUND(IF(K7&gt;365,interpoler(_mat2,taux2,K7),IF(K7&lt;='Courbe des taux'!$G$2,interpoler(_mat1,taux1,K7),((1+interpoler(_mat2,taux2,K7))^(K7/base)-1)*360/(K7))),4)</f>
        <v>2.3E-2</v>
      </c>
      <c r="M7" s="980">
        <f t="shared" si="0"/>
        <v>2.2991999999999999E-2</v>
      </c>
      <c r="N7" s="251">
        <f>+L7-M7</f>
        <v>8.0000000000010618E-6</v>
      </c>
      <c r="P7" s="632"/>
      <c r="Q7" s="629"/>
      <c r="R7" s="633"/>
      <c r="S7" s="630"/>
      <c r="T7" s="631"/>
      <c r="AA7" s="8"/>
      <c r="AB7" s="8"/>
      <c r="AC7" s="1"/>
      <c r="AD7" s="58"/>
    </row>
    <row r="8" spans="1:30" x14ac:dyDescent="0.2">
      <c r="A8" s="993"/>
      <c r="B8" s="995"/>
      <c r="D8" s="993">
        <f>IF(DATA!D7="","",DATA!D7)</f>
        <v>7081</v>
      </c>
      <c r="E8" s="995">
        <f>IF(DATA!E7="","",DATA!E7)</f>
        <v>3.6499999999999998E-2</v>
      </c>
      <c r="F8" s="8"/>
      <c r="G8" s="1072"/>
      <c r="H8" s="1070"/>
      <c r="I8" s="1093" t="s">
        <v>3017</v>
      </c>
      <c r="K8" s="1089">
        <v>182</v>
      </c>
      <c r="L8" s="984">
        <f>ROUND(IF(K8&gt;365,interpoler(_mat2,taux2,K8),IF(K8&lt;='Courbe des taux'!$G$2,interpoler(_mat1,taux1,K8),((1+interpoler(_mat2,taux2,K8))^(K8/base)-1)*360/(K8))),4)</f>
        <v>2.3699999999999999E-2</v>
      </c>
      <c r="M8" s="981">
        <f t="shared" si="0"/>
        <v>2.3650999999999998E-2</v>
      </c>
      <c r="N8" s="251">
        <f t="shared" si="1"/>
        <v>4.9000000000000432E-5</v>
      </c>
      <c r="P8" s="634"/>
      <c r="Q8" s="629"/>
      <c r="R8" s="633"/>
      <c r="S8" s="630"/>
      <c r="T8" s="631"/>
      <c r="AC8" s="1"/>
      <c r="AD8" s="58"/>
    </row>
    <row r="9" spans="1:30" x14ac:dyDescent="0.2">
      <c r="A9" s="993"/>
      <c r="B9" s="995"/>
      <c r="C9" s="1171"/>
      <c r="D9" s="993">
        <f>IF(DATA!D8="","",DATA!D8)</f>
        <v>10616</v>
      </c>
      <c r="E9" s="995">
        <f>IF(DATA!E8="","",DATA!E8)</f>
        <v>4.0800000000000003E-2</v>
      </c>
      <c r="F9" s="8"/>
      <c r="G9" s="908">
        <v>91</v>
      </c>
      <c r="H9" s="1071">
        <f>ROUND(interpoler(_mat1,taux1,G9),5)</f>
        <v>2.299E-2</v>
      </c>
      <c r="I9" s="1072" t="s">
        <v>541</v>
      </c>
      <c r="K9" s="1090">
        <v>365</v>
      </c>
      <c r="L9" s="984">
        <f>ROUND(IF(K9&gt;365,interpoler(_mat2,taux2,K9),IF(K9&lt;='Courbe des taux'!$G$2,interpoler(_mat1,taux1,K9),((1+interpoler(_mat2,taux2,K9))^(K9/base)-1)*360/(K9))),4)</f>
        <v>2.4799999999999999E-2</v>
      </c>
      <c r="M9" s="981">
        <f t="shared" si="0"/>
        <v>2.5141E-2</v>
      </c>
      <c r="N9" s="251">
        <f t="shared" si="1"/>
        <v>-3.4100000000000102E-4</v>
      </c>
      <c r="P9" s="635"/>
      <c r="Q9" s="636"/>
      <c r="R9" s="637"/>
      <c r="S9" s="638"/>
      <c r="T9" s="639"/>
      <c r="AC9" s="1"/>
      <c r="AD9" s="58"/>
    </row>
    <row r="10" spans="1:30" x14ac:dyDescent="0.2">
      <c r="A10" s="993"/>
      <c r="B10" s="995"/>
      <c r="C10" s="49"/>
      <c r="D10" s="993"/>
      <c r="E10" s="995"/>
      <c r="G10" s="908">
        <v>182</v>
      </c>
      <c r="H10" s="1071">
        <f>ROUND(interpoler(_mat1,taux1,G10),5)</f>
        <v>2.3650000000000001E-2</v>
      </c>
      <c r="I10" s="1072" t="s">
        <v>459</v>
      </c>
      <c r="K10" s="1089">
        <v>730</v>
      </c>
      <c r="L10" s="984">
        <f>ROUND(IF(K10&gt;365,interpoler(_mat2,taux2,K10),IF(K10&lt;='Courbe des taux'!$G$2,interpoler(_mat1,taux1,K10),((1+interpoler(_mat2,taux2,K10))^(K10/base)-1)*360/(K10))),4)</f>
        <v>2.6700000000000002E-2</v>
      </c>
      <c r="M10" s="981">
        <f t="shared" si="0"/>
        <v>2.6678E-2</v>
      </c>
      <c r="N10" s="251">
        <f t="shared" si="1"/>
        <v>2.2000000000001185E-5</v>
      </c>
      <c r="P10" s="616"/>
      <c r="Q10" s="623"/>
      <c r="R10" s="96"/>
      <c r="T10" s="8"/>
      <c r="AC10" s="1"/>
      <c r="AD10" s="58"/>
    </row>
    <row r="11" spans="1:30" x14ac:dyDescent="0.2">
      <c r="A11" s="993"/>
      <c r="B11" s="995"/>
      <c r="C11" s="52"/>
      <c r="D11" s="993"/>
      <c r="E11" s="995"/>
      <c r="F11" s="8"/>
      <c r="G11" s="908">
        <v>365</v>
      </c>
      <c r="H11" s="1071">
        <f>ROUND(interpoler(_mat1,taux1,G11),5)</f>
        <v>2.4799999999999999E-2</v>
      </c>
      <c r="I11" s="1072" t="s">
        <v>2014</v>
      </c>
      <c r="J11" s="49"/>
      <c r="K11" s="1089">
        <v>1825</v>
      </c>
      <c r="L11" s="984">
        <f>ROUND(IF(K11&gt;365,interpoler(_mat2,taux2,K11),IF(K11&lt;='Courbe des taux'!$G$2,interpoler(_mat1,taux1,K11),((1+interpoler(_mat2,taux2,K11))^(K11/base)-1)*360/(K11))),4)</f>
        <v>3.0700000000000002E-2</v>
      </c>
      <c r="M11" s="981">
        <f t="shared" si="0"/>
        <v>3.0745000000000001E-2</v>
      </c>
      <c r="N11" s="251">
        <f t="shared" si="1"/>
        <v>-4.4999999999999901E-5</v>
      </c>
      <c r="P11" s="52"/>
      <c r="Q11" s="58"/>
      <c r="R11" s="96"/>
      <c r="T11" s="8"/>
      <c r="AC11" s="1"/>
      <c r="AD11" s="58"/>
    </row>
    <row r="12" spans="1:30" x14ac:dyDescent="0.2">
      <c r="A12" s="993"/>
      <c r="B12" s="996"/>
      <c r="C12" s="243"/>
      <c r="D12" s="993"/>
      <c r="E12" s="995"/>
      <c r="F12" s="8"/>
      <c r="G12" s="908">
        <v>730</v>
      </c>
      <c r="H12" s="1071">
        <f t="shared" ref="H12:H17" si="2">ROUND(interpoler(_mat2,taux2,G12),5)</f>
        <v>2.6679999999999999E-2</v>
      </c>
      <c r="I12" s="1072" t="s">
        <v>2015</v>
      </c>
      <c r="J12" s="49"/>
      <c r="K12" s="1089">
        <v>3650</v>
      </c>
      <c r="L12" s="984">
        <f>ROUND(IF(K12&gt;365,interpoler(_mat2,taux2,K12),IF(K12&lt;='Courbe des taux'!$G$2,interpoler(_mat1,taux1,K12),((1+interpoler(_mat2,taux2,K12))^(K12/base)-1)*360/(K12))),4)</f>
        <v>3.32E-2</v>
      </c>
      <c r="M12" s="981">
        <f t="shared" si="0"/>
        <v>3.3230000000000003E-2</v>
      </c>
      <c r="N12" s="251">
        <f t="shared" si="1"/>
        <v>-3.0000000000002247E-5</v>
      </c>
      <c r="P12" s="96"/>
      <c r="Q12" s="58"/>
      <c r="R12" s="96"/>
      <c r="T12" s="8"/>
      <c r="AA12" s="8"/>
      <c r="AC12" s="1"/>
      <c r="AD12" s="58"/>
    </row>
    <row r="13" spans="1:30" x14ac:dyDescent="0.2">
      <c r="A13" s="993"/>
      <c r="B13" s="996"/>
      <c r="D13" s="993"/>
      <c r="E13" s="995"/>
      <c r="F13" s="8"/>
      <c r="G13" s="908">
        <v>1827</v>
      </c>
      <c r="H13" s="1071">
        <f t="shared" si="2"/>
        <v>3.075E-2</v>
      </c>
      <c r="I13" s="1072" t="s">
        <v>1279</v>
      </c>
      <c r="K13" s="1089">
        <v>5475</v>
      </c>
      <c r="L13" s="984">
        <f>ROUND(IF(K13&gt;365,interpoler(_mat2,taux2,K13),IF(K13&lt;='Courbe des taux'!$G$2,interpoler(_mat1,taux1,K13),((1+interpoler(_mat2,taux2,K13))^(K13/base)-1)*360/(K13))),4)</f>
        <v>3.5499999999999997E-2</v>
      </c>
      <c r="M13" s="981">
        <f t="shared" si="0"/>
        <v>3.5486999999999998E-2</v>
      </c>
      <c r="N13" s="251">
        <f t="shared" si="1"/>
        <v>1.2999999999999123E-5</v>
      </c>
      <c r="T13" s="52"/>
      <c r="AC13" s="1"/>
      <c r="AD13" s="58"/>
    </row>
    <row r="14" spans="1:30" ht="13.5" thickBot="1" x14ac:dyDescent="0.25">
      <c r="A14" s="993"/>
      <c r="B14" s="996"/>
      <c r="D14" s="993"/>
      <c r="E14" s="995"/>
      <c r="F14" s="8"/>
      <c r="G14" s="908">
        <v>3650</v>
      </c>
      <c r="H14" s="1071">
        <f t="shared" si="2"/>
        <v>3.3230000000000003E-2</v>
      </c>
      <c r="I14" s="1072" t="s">
        <v>1474</v>
      </c>
      <c r="K14" s="1091">
        <v>7123</v>
      </c>
      <c r="L14" s="985">
        <f>ROUND(IF(K14&gt;365,interpoler(_mat2,taux2,K14),IF(K14&lt;='Courbe des taux'!$G$2,interpoler(_mat1,taux1,K14),((1+interpoler(_mat2,taux2,K14))^(K14/base)-1)*360/(K14))),4)</f>
        <v>3.6600000000000001E-2</v>
      </c>
      <c r="M14" s="982">
        <f t="shared" si="0"/>
        <v>3.6551E-2</v>
      </c>
      <c r="N14" s="251">
        <f t="shared" si="1"/>
        <v>4.9000000000000432E-5</v>
      </c>
      <c r="AC14" s="1"/>
      <c r="AD14" s="58"/>
    </row>
    <row r="15" spans="1:30" x14ac:dyDescent="0.2">
      <c r="A15" s="993"/>
      <c r="B15" s="996"/>
      <c r="D15" s="993"/>
      <c r="E15" s="995"/>
      <c r="F15" s="8"/>
      <c r="G15" s="908">
        <v>5475</v>
      </c>
      <c r="H15" s="1071">
        <f t="shared" si="2"/>
        <v>3.5490000000000001E-2</v>
      </c>
      <c r="I15" s="1072" t="s">
        <v>1475</v>
      </c>
      <c r="K15" s="1087">
        <v>1300</v>
      </c>
      <c r="L15" s="988">
        <f>ROUND(IF(K15&gt;365,interpoler(_mat2,taux2,K15),IF(K15&lt;='Courbe des taux'!$G$2,interpoler(_mat1,taux1,K15),((1+interpoler(_mat2,taux2,K15))^(K15/base)-1)*360/(K15))),4)</f>
        <v>2.9000000000000001E-2</v>
      </c>
      <c r="M15" s="989">
        <f t="shared" si="0"/>
        <v>2.9047E-2</v>
      </c>
      <c r="N15" s="251">
        <f t="shared" si="1"/>
        <v>-4.6999999999998432E-5</v>
      </c>
      <c r="P15" s="96"/>
      <c r="Q15" s="58"/>
      <c r="R15" s="52"/>
      <c r="S15" s="49"/>
      <c r="AA15" s="454"/>
      <c r="AC15" s="1"/>
      <c r="AD15" s="58"/>
    </row>
    <row r="16" spans="1:30" x14ac:dyDescent="0.2">
      <c r="A16" s="993"/>
      <c r="B16" s="996"/>
      <c r="D16" s="993"/>
      <c r="E16" s="995"/>
      <c r="F16" s="251"/>
      <c r="G16" s="908">
        <f>365*20</f>
        <v>7300</v>
      </c>
      <c r="H16" s="1071">
        <f t="shared" si="2"/>
        <v>3.6769999999999997E-2</v>
      </c>
      <c r="I16" s="1072" t="s">
        <v>1278</v>
      </c>
      <c r="K16" s="1087">
        <v>1400</v>
      </c>
      <c r="L16" s="984">
        <f>ROUND(IF(K16&gt;365,interpoler(_mat2,taux2,K16),IF(K16&lt;='Courbe des taux'!$G$2,interpoler(_mat1,taux1,K16),((1+interpoler(_mat2,taux2,K16))^(K16/base)-1)*360/(K16))),4)</f>
        <v>2.9499999999999998E-2</v>
      </c>
      <c r="M16" s="981">
        <f t="shared" si="0"/>
        <v>2.9463E-2</v>
      </c>
      <c r="N16" s="251">
        <f t="shared" si="1"/>
        <v>3.6999999999998839E-5</v>
      </c>
      <c r="P16" s="49"/>
      <c r="Q16" s="58"/>
      <c r="R16" s="52"/>
      <c r="S16" s="49"/>
      <c r="AC16" s="1"/>
      <c r="AD16" s="58"/>
    </row>
    <row r="17" spans="1:19" x14ac:dyDescent="0.2">
      <c r="A17" s="993"/>
      <c r="B17" s="995"/>
      <c r="D17" s="993"/>
      <c r="E17" s="995"/>
      <c r="F17" s="8"/>
      <c r="G17" s="908">
        <f>365*30</f>
        <v>10950</v>
      </c>
      <c r="H17" s="1071">
        <f t="shared" si="2"/>
        <v>4.1209999999999997E-2</v>
      </c>
      <c r="I17" s="1072" t="s">
        <v>461</v>
      </c>
      <c r="K17" s="1087">
        <v>1500</v>
      </c>
      <c r="L17" s="984">
        <f>ROUND(IF(K17&gt;365,interpoler(_mat2,taux2,K17),IF(K17&lt;='Courbe des taux'!$G$2,interpoler(_mat1,taux1,K17),((1+interpoler(_mat2,taux2,K17))^(K17/base)-1)*360/(K17))),4)</f>
        <v>2.9899999999999999E-2</v>
      </c>
      <c r="M17" s="981">
        <f t="shared" si="0"/>
        <v>2.9852E-2</v>
      </c>
      <c r="N17" s="251">
        <f t="shared" si="1"/>
        <v>4.7999999999999432E-5</v>
      </c>
      <c r="P17" s="251"/>
      <c r="Q17" s="58"/>
      <c r="R17" s="52"/>
      <c r="S17" s="49"/>
    </row>
    <row r="18" spans="1:19" x14ac:dyDescent="0.2">
      <c r="A18" s="993"/>
      <c r="B18" s="995"/>
      <c r="D18" s="993"/>
      <c r="E18" s="995"/>
      <c r="F18" s="251"/>
      <c r="G18" s="251"/>
      <c r="H18" s="251"/>
      <c r="I18" s="251"/>
      <c r="J18" s="251"/>
      <c r="K18" s="1087">
        <v>1600</v>
      </c>
      <c r="L18" s="984">
        <f>ROUND(IF(K18&gt;365,interpoler(_mat2,taux2,K18),IF(K18&lt;='Courbe des taux'!$G$2,interpoler(_mat1,taux1,K18),((1+interpoler(_mat2,taux2,K18))^(K18/base)-1)*360/(K18))),4)</f>
        <v>3.0099999999999998E-2</v>
      </c>
      <c r="M18" s="981">
        <f t="shared" si="0"/>
        <v>3.0127000000000001E-2</v>
      </c>
      <c r="N18" s="251">
        <f t="shared" si="1"/>
        <v>-2.7000000000002716E-5</v>
      </c>
      <c r="P18" s="52"/>
      <c r="Q18" s="58"/>
      <c r="R18" s="96"/>
      <c r="S18" s="49"/>
    </row>
    <row r="19" spans="1:19" x14ac:dyDescent="0.2">
      <c r="A19" s="993"/>
      <c r="B19" s="995"/>
      <c r="D19" s="993"/>
      <c r="E19" s="995"/>
      <c r="F19" s="251"/>
      <c r="G19" s="251"/>
      <c r="H19" s="251"/>
      <c r="I19" s="251"/>
      <c r="J19" s="251"/>
      <c r="K19" s="1087">
        <v>1700</v>
      </c>
      <c r="L19" s="984">
        <f>ROUND(IF(K19&gt;365,interpoler(_mat2,taux2,K19),IF(K19&lt;='Courbe des taux'!$G$2,interpoler(_mat1,taux1,K19),((1+interpoler(_mat2,taux2,K19))^(K19/base)-1)*360/(K19))),4)</f>
        <v>3.04E-2</v>
      </c>
      <c r="M19" s="981">
        <f t="shared" si="0"/>
        <v>3.0401999999999998E-2</v>
      </c>
      <c r="N19" s="251">
        <f t="shared" si="1"/>
        <v>-1.9999999999985307E-6</v>
      </c>
      <c r="P19" s="52"/>
      <c r="Q19" s="58"/>
      <c r="R19" s="712"/>
      <c r="S19" s="49"/>
    </row>
    <row r="20" spans="1:19" x14ac:dyDescent="0.2">
      <c r="A20" s="993"/>
      <c r="B20" s="995"/>
      <c r="D20" s="993"/>
      <c r="E20" s="995"/>
      <c r="F20" s="251"/>
      <c r="G20" s="251"/>
      <c r="H20" s="251"/>
      <c r="I20" s="251"/>
      <c r="J20" s="251"/>
      <c r="K20" s="1087">
        <v>1800</v>
      </c>
      <c r="L20" s="984">
        <f>ROUND(IF(K20&gt;365,interpoler(_mat2,taux2,K20),IF(K20&lt;='Courbe des taux'!$G$2,interpoler(_mat1,taux1,K20),((1+interpoler(_mat2,taux2,K20))^(K20/base)-1)*360/(K20))),4)</f>
        <v>3.0700000000000002E-2</v>
      </c>
      <c r="M20" s="981">
        <f>ROUND(IF(K20&gt;364,interpoler(_mat2,taux2,K20),interpoler(_mat1,taux1,K20)),6)</f>
        <v>3.0675999999999998E-2</v>
      </c>
      <c r="N20" s="251">
        <f t="shared" si="1"/>
        <v>2.4000000000003185E-5</v>
      </c>
      <c r="P20" s="96"/>
      <c r="Q20" s="58"/>
      <c r="R20" s="52"/>
      <c r="S20" s="49"/>
    </row>
    <row r="21" spans="1:19" x14ac:dyDescent="0.2">
      <c r="A21" s="993"/>
      <c r="B21" s="995"/>
      <c r="D21" s="993"/>
      <c r="E21" s="995"/>
      <c r="F21" s="251"/>
      <c r="G21" s="251"/>
      <c r="H21" s="251"/>
      <c r="I21" s="251"/>
      <c r="J21" s="251"/>
      <c r="K21" s="1087">
        <v>1900</v>
      </c>
      <c r="L21" s="984">
        <f>ROUND(IF(K21&gt;365,interpoler(_mat2,taux2,K21),IF(K21&lt;='Courbe des taux'!$G$2,interpoler(_mat1,taux1,K21),((1+interpoler(_mat2,taux2,K21))^(K21/base)-1)*360/(K21))),4)</f>
        <v>3.09E-2</v>
      </c>
      <c r="M21" s="981">
        <f t="shared" si="0"/>
        <v>3.0872E-2</v>
      </c>
      <c r="N21" s="251">
        <f t="shared" si="1"/>
        <v>2.8000000000000247E-5</v>
      </c>
      <c r="P21" s="58"/>
      <c r="Q21" s="58"/>
      <c r="R21" s="52"/>
      <c r="S21" s="49"/>
    </row>
    <row r="22" spans="1:19" x14ac:dyDescent="0.2">
      <c r="A22" s="993"/>
      <c r="B22" s="995"/>
      <c r="D22" s="993"/>
      <c r="E22" s="995"/>
      <c r="F22" s="251"/>
      <c r="G22" s="251"/>
      <c r="H22" s="251"/>
      <c r="I22" s="251"/>
      <c r="J22" s="251"/>
      <c r="K22" s="1087">
        <v>2000</v>
      </c>
      <c r="L22" s="984">
        <f>ROUND(IF(K22&gt;365,interpoler(_mat2,taux2,K22),IF(K22&lt;='Courbe des taux'!$G$2,interpoler(_mat1,taux1,K22),((1+interpoler(_mat2,taux2,K22))^(K22/base)-1)*360/(K22))),4)</f>
        <v>3.1E-2</v>
      </c>
      <c r="M22" s="981">
        <f t="shared" si="0"/>
        <v>3.1002999999999999E-2</v>
      </c>
      <c r="N22" s="251">
        <f t="shared" si="1"/>
        <v>-2.9999999999995308E-6</v>
      </c>
      <c r="P22" s="49"/>
      <c r="Q22" s="58"/>
      <c r="R22" s="96"/>
      <c r="S22" s="49"/>
    </row>
    <row r="23" spans="1:19" x14ac:dyDescent="0.2">
      <c r="A23" s="993"/>
      <c r="B23" s="995"/>
      <c r="D23" s="993"/>
      <c r="E23" s="995"/>
      <c r="F23" s="251"/>
      <c r="G23" s="251"/>
      <c r="H23" s="251"/>
      <c r="I23" s="251"/>
      <c r="J23" s="251"/>
      <c r="K23" s="1087">
        <v>2100</v>
      </c>
      <c r="L23" s="984">
        <f>ROUND(IF(K23&gt;365,interpoler(_mat2,taux2,K23),IF(K23&lt;='Courbe des taux'!$G$2,interpoler(_mat1,taux1,K23),((1+interpoler(_mat2,taux2,K23))^(K23/base)-1)*360/(K23))),4)</f>
        <v>3.1099999999999999E-2</v>
      </c>
      <c r="M23" s="981">
        <f t="shared" si="0"/>
        <v>3.1133999999999998E-2</v>
      </c>
      <c r="N23" s="251">
        <f t="shared" si="1"/>
        <v>-3.3999999999999309E-5</v>
      </c>
      <c r="P23" s="52"/>
      <c r="Q23" s="58"/>
      <c r="R23" s="96"/>
      <c r="S23" s="49"/>
    </row>
    <row r="24" spans="1:19" x14ac:dyDescent="0.2">
      <c r="A24" s="993"/>
      <c r="B24" s="995"/>
      <c r="D24" s="993"/>
      <c r="E24" s="995"/>
      <c r="F24" s="251"/>
      <c r="G24" s="251"/>
      <c r="H24" s="251"/>
      <c r="I24" s="251"/>
      <c r="J24" s="251"/>
      <c r="K24" s="1087">
        <v>2200</v>
      </c>
      <c r="L24" s="984">
        <f>ROUND(IF(K24&gt;365,interpoler(_mat2,taux2,K24),IF(K24&lt;='Courbe des taux'!$G$2,interpoler(_mat1,taux1,K24),((1+interpoler(_mat2,taux2,K24))^(K24/base)-1)*360/(K24))),4)</f>
        <v>3.1300000000000001E-2</v>
      </c>
      <c r="M24" s="981">
        <f t="shared" si="0"/>
        <v>3.1265000000000001E-2</v>
      </c>
      <c r="N24" s="251">
        <f t="shared" si="1"/>
        <v>3.5000000000000309E-5</v>
      </c>
      <c r="P24" s="96"/>
      <c r="Q24" s="58"/>
      <c r="R24" s="58"/>
      <c r="S24" s="49"/>
    </row>
    <row r="25" spans="1:19" x14ac:dyDescent="0.2">
      <c r="A25" s="993"/>
      <c r="B25" s="995"/>
      <c r="D25" s="993"/>
      <c r="E25" s="995"/>
      <c r="F25" s="251"/>
      <c r="G25" s="251"/>
      <c r="H25" s="251"/>
      <c r="I25" s="251"/>
      <c r="J25" s="251"/>
      <c r="K25" s="1087">
        <v>2300</v>
      </c>
      <c r="L25" s="984">
        <f>ROUND(IF(K25&gt;365,interpoler(_mat2,taux2,K25),IF(K25&lt;='Courbe des taux'!$G$2,interpoler(_mat1,taux1,K25),((1+interpoler(_mat2,taux2,K25))^(K25/base)-1)*360/(K25))),4)</f>
        <v>3.1399999999999997E-2</v>
      </c>
      <c r="M25" s="981">
        <f t="shared" si="0"/>
        <v>3.1396E-2</v>
      </c>
      <c r="N25" s="251">
        <f t="shared" si="1"/>
        <v>3.9999999999970615E-6</v>
      </c>
      <c r="P25" s="58"/>
      <c r="Q25" s="58"/>
      <c r="R25" s="58"/>
      <c r="S25" s="49"/>
    </row>
    <row r="26" spans="1:19" x14ac:dyDescent="0.2">
      <c r="A26" s="993"/>
      <c r="B26" s="995"/>
      <c r="D26" s="993"/>
      <c r="E26" s="995"/>
      <c r="F26" s="251"/>
      <c r="G26" s="251"/>
      <c r="H26" s="251"/>
      <c r="I26" s="251"/>
      <c r="J26" s="251"/>
      <c r="K26" s="1087">
        <v>2400</v>
      </c>
      <c r="L26" s="984">
        <f>ROUND(IF(K26&gt;365,interpoler(_mat2,taux2,K26),IF(K26&lt;='Courbe des taux'!$G$2,interpoler(_mat1,taux1,K26),((1+interpoler(_mat2,taux2,K26))^(K26/base)-1)*360/(K26))),4)</f>
        <v>3.15E-2</v>
      </c>
      <c r="M26" s="981">
        <f t="shared" si="0"/>
        <v>3.1526999999999999E-2</v>
      </c>
      <c r="N26" s="251">
        <f t="shared" si="1"/>
        <v>-2.6999999999999247E-5</v>
      </c>
      <c r="O26" s="58"/>
      <c r="P26" s="58"/>
      <c r="Q26" s="58"/>
      <c r="R26" s="58"/>
      <c r="S26" s="49"/>
    </row>
    <row r="27" spans="1:19" x14ac:dyDescent="0.2">
      <c r="A27" s="993"/>
      <c r="B27" s="995"/>
      <c r="D27" s="993"/>
      <c r="E27" s="995"/>
      <c r="F27" s="251"/>
      <c r="G27" s="251"/>
      <c r="H27" s="251"/>
      <c r="I27" s="251"/>
      <c r="J27" s="251"/>
      <c r="K27" s="1087">
        <v>2500</v>
      </c>
      <c r="L27" s="984">
        <f>ROUND(IF(K27&gt;365,interpoler(_mat2,taux2,K27),IF(K27&lt;='Courbe des taux'!$G$2,interpoler(_mat1,taux1,K27),((1+interpoler(_mat2,taux2,K27))^(K27/base)-1)*360/(K27))),4)</f>
        <v>3.1699999999999999E-2</v>
      </c>
      <c r="M27" s="981">
        <f t="shared" si="0"/>
        <v>3.1657999999999999E-2</v>
      </c>
      <c r="N27" s="251">
        <f t="shared" si="1"/>
        <v>4.200000000000037E-5</v>
      </c>
      <c r="O27" s="58"/>
      <c r="P27" s="96"/>
      <c r="Q27" s="96"/>
      <c r="R27" s="8"/>
      <c r="S27" s="49"/>
    </row>
    <row r="28" spans="1:19" x14ac:dyDescent="0.2">
      <c r="A28" s="993"/>
      <c r="B28" s="995"/>
      <c r="D28" s="993"/>
      <c r="E28" s="995"/>
      <c r="F28" s="251"/>
      <c r="G28" s="251"/>
      <c r="H28" s="251"/>
      <c r="I28" s="251"/>
      <c r="J28" s="251"/>
      <c r="K28" s="1087">
        <v>2600</v>
      </c>
      <c r="L28" s="984">
        <f>ROUND(IF(K28&gt;365,interpoler(_mat2,taux2,K28),IF(K28&lt;='Courbe des taux'!$G$2,interpoler(_mat1,taux1,K28),((1+interpoler(_mat2,taux2,K28))^(K28/base)-1)*360/(K28))),4)</f>
        <v>3.1800000000000002E-2</v>
      </c>
      <c r="M28" s="981">
        <f t="shared" si="0"/>
        <v>3.1789999999999999E-2</v>
      </c>
      <c r="N28" s="251">
        <f t="shared" si="1"/>
        <v>1.0000000000003062E-5</v>
      </c>
      <c r="O28" s="58"/>
      <c r="P28" s="58"/>
      <c r="R28" s="49"/>
      <c r="S28" s="49"/>
    </row>
    <row r="29" spans="1:19" x14ac:dyDescent="0.2">
      <c r="A29" s="993"/>
      <c r="B29" s="995"/>
      <c r="D29" s="993"/>
      <c r="E29" s="995"/>
      <c r="F29" s="251"/>
      <c r="G29" s="251"/>
      <c r="H29" s="251"/>
      <c r="I29" s="251"/>
      <c r="J29" s="251"/>
      <c r="K29" s="1087">
        <v>2700</v>
      </c>
      <c r="L29" s="984">
        <f>ROUND(IF(K29&gt;365,interpoler(_mat2,taux2,K29),IF(K29&lt;='Courbe des taux'!$G$2,interpoler(_mat1,taux1,K29),((1+interpoler(_mat2,taux2,K29))^(K29/base)-1)*360/(K29))),4)</f>
        <v>3.1899999999999998E-2</v>
      </c>
      <c r="M29" s="981">
        <f t="shared" si="0"/>
        <v>3.1920999999999998E-2</v>
      </c>
      <c r="N29" s="251">
        <f t="shared" si="1"/>
        <v>-2.1000000000000185E-5</v>
      </c>
      <c r="O29" s="8"/>
      <c r="P29" s="8"/>
      <c r="Q29" s="58"/>
      <c r="R29" s="58"/>
      <c r="S29" s="49"/>
    </row>
    <row r="30" spans="1:19" ht="5.25" customHeight="1" x14ac:dyDescent="0.2">
      <c r="A30" s="993"/>
      <c r="B30" s="995"/>
      <c r="D30" s="993"/>
      <c r="E30" s="995"/>
      <c r="F30" s="251"/>
      <c r="G30" s="251"/>
      <c r="H30" s="251"/>
      <c r="I30" s="251"/>
      <c r="J30" s="251"/>
      <c r="K30" s="1087">
        <v>2800</v>
      </c>
      <c r="L30" s="984">
        <f>ROUND(IF(K30&gt;365,interpoler(_mat2,taux2,K30),IF(K30&lt;='Courbe des taux'!$G$2,interpoler(_mat1,taux1,K30),((1+interpoler(_mat2,taux2,K30))^(K30/base)-1)*360/(K30))),4)</f>
        <v>3.2099999999999997E-2</v>
      </c>
      <c r="M30" s="981">
        <f t="shared" si="0"/>
        <v>3.2051999999999997E-2</v>
      </c>
      <c r="N30" s="251">
        <f t="shared" si="1"/>
        <v>4.7999999999999432E-5</v>
      </c>
      <c r="O30" s="8"/>
      <c r="P30" s="8"/>
      <c r="Q30" s="58"/>
      <c r="R30" s="58"/>
      <c r="S30" s="49"/>
    </row>
    <row r="31" spans="1:19" x14ac:dyDescent="0.2">
      <c r="A31" s="993"/>
      <c r="B31" s="995"/>
      <c r="D31" s="993"/>
      <c r="E31" s="995"/>
      <c r="F31" s="251"/>
      <c r="G31" s="251"/>
      <c r="H31" s="251"/>
      <c r="I31" s="251"/>
      <c r="J31" s="251"/>
      <c r="K31" s="1087">
        <v>2900</v>
      </c>
      <c r="L31" s="984">
        <f>ROUND(IF(K31&gt;365,interpoler(_mat2,taux2,K31),IF(K31&lt;='Courbe des taux'!$G$2,interpoler(_mat1,taux1,K31),((1+interpoler(_mat2,taux2,K31))^(K31/base)-1)*360/(K31))),4)</f>
        <v>3.2199999999999999E-2</v>
      </c>
      <c r="M31" s="981">
        <f t="shared" si="0"/>
        <v>3.2183000000000003E-2</v>
      </c>
      <c r="N31" s="251">
        <f t="shared" si="1"/>
        <v>1.6999999999996185E-5</v>
      </c>
      <c r="O31" s="8"/>
      <c r="P31" s="52"/>
      <c r="Q31" s="52"/>
      <c r="R31" s="52"/>
      <c r="S31" s="49"/>
    </row>
    <row r="32" spans="1:19" x14ac:dyDescent="0.2">
      <c r="A32" s="993"/>
      <c r="B32" s="995"/>
      <c r="D32" s="993"/>
      <c r="E32" s="995"/>
      <c r="F32" s="251"/>
      <c r="G32" s="251"/>
      <c r="H32" s="251"/>
      <c r="I32" s="251"/>
      <c r="J32" s="251"/>
      <c r="K32" s="1087">
        <v>3000</v>
      </c>
      <c r="L32" s="984">
        <f>ROUND(IF(K32&gt;365,interpoler(_mat2,taux2,K32),IF(K32&lt;='Courbe des taux'!$G$2,interpoler(_mat1,taux1,K32),((1+interpoler(_mat2,taux2,K32))^(K32/base)-1)*360/(K32))),4)</f>
        <v>3.2300000000000002E-2</v>
      </c>
      <c r="M32" s="981">
        <f t="shared" si="0"/>
        <v>3.2314000000000002E-2</v>
      </c>
      <c r="N32" s="251">
        <f t="shared" si="1"/>
        <v>-1.4000000000000123E-5</v>
      </c>
      <c r="O32" s="8"/>
      <c r="P32" s="49"/>
      <c r="Q32" s="616"/>
      <c r="R32" s="616"/>
    </row>
    <row r="33" spans="1:19" x14ac:dyDescent="0.2">
      <c r="A33" s="993"/>
      <c r="B33" s="995"/>
      <c r="D33" s="993"/>
      <c r="E33" s="995"/>
      <c r="F33" s="251"/>
      <c r="G33" s="251"/>
      <c r="H33" s="251"/>
      <c r="I33" s="251"/>
      <c r="J33" s="251"/>
      <c r="K33" s="1087">
        <v>3100</v>
      </c>
      <c r="L33" s="984">
        <f>ROUND(IF(K33&gt;365,interpoler(_mat2,taux2,K33),IF(K33&lt;='Courbe des taux'!$G$2,interpoler(_mat1,taux1,K33),((1+interpoler(_mat2,taux2,K33))^(K33/base)-1)*360/(K33))),4)</f>
        <v>3.2399999999999998E-2</v>
      </c>
      <c r="M33" s="981">
        <f t="shared" si="0"/>
        <v>3.2445000000000002E-2</v>
      </c>
      <c r="N33" s="251">
        <f t="shared" si="1"/>
        <v>-4.5000000000003371E-5</v>
      </c>
      <c r="O33" s="8"/>
      <c r="P33" s="52"/>
      <c r="Q33" s="616"/>
      <c r="R33" s="616"/>
    </row>
    <row r="34" spans="1:19" x14ac:dyDescent="0.2">
      <c r="A34" s="993"/>
      <c r="B34" s="995"/>
      <c r="D34" s="993"/>
      <c r="E34" s="995"/>
      <c r="F34" s="678"/>
      <c r="G34" s="1273"/>
      <c r="H34" s="49"/>
      <c r="I34" s="1260"/>
      <c r="K34" s="1087">
        <v>3200</v>
      </c>
      <c r="L34" s="984">
        <f>ROUND(IF(K34&gt;365,interpoler(_mat2,taux2,K34),IF(K34&lt;='Courbe des taux'!$G$2,interpoler(_mat1,taux1,K34),((1+interpoler(_mat2,taux2,K34))^(K34/base)-1)*360/(K34))),4)</f>
        <v>3.2599999999999997E-2</v>
      </c>
      <c r="M34" s="981">
        <f t="shared" ref="M34:M63" si="3">ROUND(IF(K34&gt;364,interpoler(_mat2,taux2,K34),interpoler(_mat1,taux1,K34)),6)</f>
        <v>3.2576000000000001E-2</v>
      </c>
      <c r="N34" s="251">
        <f t="shared" si="1"/>
        <v>2.3999999999996247E-5</v>
      </c>
      <c r="O34" s="8"/>
      <c r="P34" s="871"/>
      <c r="Q34" s="52"/>
      <c r="R34" s="52"/>
    </row>
    <row r="35" spans="1:19" x14ac:dyDescent="0.2">
      <c r="A35" s="993"/>
      <c r="B35" s="995"/>
      <c r="D35" s="993"/>
      <c r="E35" s="995"/>
      <c r="F35" s="678"/>
      <c r="G35" s="1274"/>
      <c r="H35" s="49"/>
      <c r="I35" s="454"/>
      <c r="J35" s="851"/>
      <c r="K35" s="1087">
        <v>3300</v>
      </c>
      <c r="L35" s="984">
        <f>ROUND(IF(K35&gt;365,interpoler(_mat2,taux2,K35),IF(K35&lt;='Courbe des taux'!$G$2,interpoler(_mat1,taux1,K35),((1+interpoler(_mat2,taux2,K35))^(K35/base)-1)*360/(K35))),4)</f>
        <v>3.27E-2</v>
      </c>
      <c r="M35" s="981">
        <f t="shared" si="3"/>
        <v>3.2707E-2</v>
      </c>
      <c r="N35" s="251">
        <f t="shared" si="1"/>
        <v>-7.0000000000000617E-6</v>
      </c>
      <c r="O35" s="8"/>
      <c r="P35" s="96"/>
      <c r="Q35" s="96"/>
      <c r="R35" s="96"/>
      <c r="S35" s="49"/>
    </row>
    <row r="36" spans="1:19" x14ac:dyDescent="0.2">
      <c r="A36" s="993"/>
      <c r="B36" s="995"/>
      <c r="D36" s="993"/>
      <c r="E36" s="995"/>
      <c r="F36" s="96"/>
      <c r="G36" s="1272"/>
      <c r="H36" s="251"/>
      <c r="I36" s="96"/>
      <c r="J36" s="96"/>
      <c r="K36" s="1087">
        <v>3400</v>
      </c>
      <c r="L36" s="984">
        <f>ROUND(IF(K36&gt;365,interpoler(_mat2,taux2,K36),IF(K36&lt;='Courbe des taux'!$G$2,interpoler(_mat1,taux1,K36),((1+interpoler(_mat2,taux2,K36))^(K36/base)-1)*360/(K36))),4)</f>
        <v>3.2800000000000003E-2</v>
      </c>
      <c r="M36" s="981">
        <f t="shared" si="3"/>
        <v>3.2844999999999999E-2</v>
      </c>
      <c r="N36" s="251">
        <f t="shared" si="1"/>
        <v>-4.4999999999996432E-5</v>
      </c>
      <c r="O36" s="8"/>
      <c r="P36" s="8"/>
      <c r="Q36" s="96"/>
      <c r="R36" s="96"/>
    </row>
    <row r="37" spans="1:19" x14ac:dyDescent="0.2">
      <c r="A37" s="993"/>
      <c r="B37" s="995"/>
      <c r="D37" s="993"/>
      <c r="E37" s="995"/>
      <c r="G37" s="159"/>
      <c r="H37" s="49"/>
      <c r="I37" s="58"/>
      <c r="J37" s="58"/>
      <c r="K37" s="1087">
        <v>3500</v>
      </c>
      <c r="L37" s="984">
        <f>ROUND(IF(K37&gt;365,interpoler(_mat2,taux2,K37),IF(K37&lt;='Courbe des taux'!$G$2,interpoler(_mat1,taux1,K37),((1+interpoler(_mat2,taux2,K37))^(K37/base)-1)*360/(K37))),4)</f>
        <v>3.3000000000000002E-2</v>
      </c>
      <c r="M37" s="981">
        <f t="shared" si="3"/>
        <v>3.2999000000000001E-2</v>
      </c>
      <c r="N37" s="251">
        <f t="shared" si="1"/>
        <v>1.0000000000010001E-6</v>
      </c>
      <c r="P37" s="58"/>
      <c r="Q37" s="96"/>
      <c r="R37" s="96"/>
    </row>
    <row r="38" spans="1:19" x14ac:dyDescent="0.2">
      <c r="A38" s="993"/>
      <c r="B38" s="995"/>
      <c r="D38" s="993"/>
      <c r="E38" s="995"/>
      <c r="F38" s="159"/>
      <c r="G38" s="52"/>
      <c r="H38" s="251"/>
      <c r="I38" s="58"/>
      <c r="J38" s="58"/>
      <c r="K38" s="1087">
        <v>3600</v>
      </c>
      <c r="L38" s="984">
        <f>ROUND(IF(K38&gt;365,interpoler(_mat2,taux2,K38),IF(K38&lt;='Courbe des taux'!$G$2,interpoler(_mat1,taux1,K38),((1+interpoler(_mat2,taux2,K38))^(K38/base)-1)*360/(K38))),4)</f>
        <v>3.32E-2</v>
      </c>
      <c r="M38" s="981">
        <f t="shared" si="3"/>
        <v>3.3153000000000002E-2</v>
      </c>
      <c r="N38" s="251">
        <f t="shared" si="1"/>
        <v>4.6999999999998432E-5</v>
      </c>
      <c r="P38" s="251"/>
      <c r="Q38" s="96"/>
      <c r="R38" s="96"/>
    </row>
    <row r="39" spans="1:19" x14ac:dyDescent="0.2">
      <c r="A39" s="993"/>
      <c r="B39" s="995"/>
      <c r="D39" s="993"/>
      <c r="E39" s="995"/>
      <c r="G39" s="159"/>
      <c r="H39" s="725"/>
      <c r="I39" s="58"/>
      <c r="J39" s="58"/>
      <c r="K39" s="1087">
        <v>3700</v>
      </c>
      <c r="L39" s="984">
        <f>ROUND(IF(K39&gt;365,interpoler(_mat2,taux2,K39),IF(K39&lt;='Courbe des taux'!$G$2,interpoler(_mat1,taux1,K39),((1+interpoler(_mat2,taux2,K39))^(K39/base)-1)*360/(K39))),4)</f>
        <v>3.3300000000000003E-2</v>
      </c>
      <c r="M39" s="981">
        <f t="shared" si="3"/>
        <v>3.3307999999999997E-2</v>
      </c>
      <c r="N39" s="251">
        <f t="shared" si="1"/>
        <v>-7.9999999999941229E-6</v>
      </c>
      <c r="P39" s="13"/>
      <c r="Q39" s="571"/>
    </row>
    <row r="40" spans="1:19" x14ac:dyDescent="0.2">
      <c r="A40" s="993"/>
      <c r="B40" s="995"/>
      <c r="D40" s="993"/>
      <c r="E40" s="995"/>
      <c r="G40" s="159"/>
      <c r="H40" s="725"/>
      <c r="I40" s="58"/>
      <c r="J40" s="58"/>
      <c r="K40" s="1087">
        <v>3800</v>
      </c>
      <c r="L40" s="984">
        <f>ROUND(IF(K40&gt;365,interpoler(_mat2,taux2,K40),IF(K40&lt;='Courbe des taux'!$G$2,interpoler(_mat1,taux1,K40),((1+interpoler(_mat2,taux2,K40))^(K40/base)-1)*360/(K40))),4)</f>
        <v>3.3500000000000002E-2</v>
      </c>
      <c r="M40" s="981">
        <f t="shared" si="3"/>
        <v>3.3461999999999999E-2</v>
      </c>
      <c r="N40" s="251">
        <f t="shared" si="1"/>
        <v>3.8000000000003309E-5</v>
      </c>
      <c r="P40" s="159"/>
      <c r="Q40" s="571"/>
    </row>
    <row r="41" spans="1:19" x14ac:dyDescent="0.2">
      <c r="A41" s="993"/>
      <c r="B41" s="995"/>
      <c r="D41" s="993"/>
      <c r="E41" s="995"/>
      <c r="G41" s="8"/>
      <c r="H41" s="725"/>
      <c r="I41" s="58"/>
      <c r="J41" s="58"/>
      <c r="K41" s="1087">
        <v>3900</v>
      </c>
      <c r="L41" s="984">
        <f>ROUND(IF(K41&gt;365,interpoler(_mat2,taux2,K41),IF(K41&lt;='Courbe des taux'!$G$2,interpoler(_mat1,taux1,K41),((1+interpoler(_mat2,taux2,K41))^(K41/base)-1)*360/(K41))),4)</f>
        <v>3.3599999999999998E-2</v>
      </c>
      <c r="M41" s="981">
        <f t="shared" si="3"/>
        <v>3.3616E-2</v>
      </c>
      <c r="N41" s="251">
        <f t="shared" si="1"/>
        <v>-1.6000000000002124E-5</v>
      </c>
      <c r="Q41" s="571"/>
    </row>
    <row r="42" spans="1:19" x14ac:dyDescent="0.2">
      <c r="A42" s="993"/>
      <c r="B42" s="995"/>
      <c r="D42" s="993"/>
      <c r="E42" s="995"/>
      <c r="G42" s="29"/>
      <c r="H42" s="725"/>
      <c r="I42" s="58"/>
      <c r="J42" s="58"/>
      <c r="K42" s="1087">
        <v>4000</v>
      </c>
      <c r="L42" s="984">
        <f>ROUND(IF(K42&gt;365,interpoler(_mat2,taux2,K42),IF(K42&lt;='Courbe des taux'!$G$2,interpoler(_mat1,taux1,K42),((1+interpoler(_mat2,taux2,K42))^(K42/base)-1)*360/(K42))),4)</f>
        <v>3.3799999999999997E-2</v>
      </c>
      <c r="M42" s="981">
        <f t="shared" si="3"/>
        <v>3.3770000000000001E-2</v>
      </c>
      <c r="N42" s="251">
        <f t="shared" si="1"/>
        <v>2.9999999999995308E-5</v>
      </c>
    </row>
    <row r="43" spans="1:19" x14ac:dyDescent="0.2">
      <c r="A43" s="993"/>
      <c r="B43" s="995"/>
      <c r="D43" s="993"/>
      <c r="E43" s="995"/>
      <c r="G43" s="29"/>
      <c r="H43" s="725"/>
      <c r="I43" s="58"/>
      <c r="J43" s="58"/>
      <c r="K43" s="1087">
        <v>4100</v>
      </c>
      <c r="L43" s="984">
        <f>ROUND(IF(K43&gt;365,interpoler(_mat2,taux2,K43),IF(K43&lt;='Courbe des taux'!$G$2,interpoler(_mat1,taux1,K43),((1+interpoler(_mat2,taux2,K43))^(K43/base)-1)*360/(K43))),4)</f>
        <v>3.39E-2</v>
      </c>
      <c r="M43" s="981">
        <f t="shared" si="3"/>
        <v>3.3924999999999997E-2</v>
      </c>
      <c r="N43" s="251">
        <f t="shared" si="1"/>
        <v>-2.4999999999997247E-5</v>
      </c>
    </row>
    <row r="44" spans="1:19" x14ac:dyDescent="0.2">
      <c r="A44" s="993"/>
      <c r="B44" s="995"/>
      <c r="D44" s="993"/>
      <c r="E44" s="995"/>
      <c r="G44" s="29"/>
      <c r="H44" s="725"/>
      <c r="I44" s="102"/>
      <c r="J44" s="96"/>
      <c r="K44" s="1087">
        <v>4200</v>
      </c>
      <c r="L44" s="984">
        <f>ROUND(IF(K44&gt;365,interpoler(_mat2,taux2,K44),IF(K44&lt;='Courbe des taux'!$G$2,interpoler(_mat1,taux1,K44),((1+interpoler(_mat2,taux2,K44))^(K44/base)-1)*360/(K44))),4)</f>
        <v>3.4099999999999998E-2</v>
      </c>
      <c r="M44" s="981">
        <f t="shared" si="3"/>
        <v>3.4078999999999998E-2</v>
      </c>
      <c r="N44" s="251">
        <f t="shared" si="1"/>
        <v>2.1000000000000185E-5</v>
      </c>
    </row>
    <row r="45" spans="1:19" x14ac:dyDescent="0.2">
      <c r="A45" s="993"/>
      <c r="B45" s="995"/>
      <c r="D45" s="993"/>
      <c r="E45" s="995"/>
      <c r="G45" s="29"/>
      <c r="H45" s="725"/>
      <c r="J45" s="13"/>
      <c r="K45" s="1087">
        <v>4300</v>
      </c>
      <c r="L45" s="984">
        <f>ROUND(IF(K45&gt;365,interpoler(_mat2,taux2,K45),IF(K45&lt;='Courbe des taux'!$G$2,interpoler(_mat1,taux1,K45),((1+interpoler(_mat2,taux2,K45))^(K45/base)-1)*360/(K45))),4)</f>
        <v>3.4200000000000001E-2</v>
      </c>
      <c r="M45" s="981">
        <f t="shared" si="3"/>
        <v>3.4233E-2</v>
      </c>
      <c r="N45" s="251">
        <f t="shared" si="1"/>
        <v>-3.2999999999998308E-5</v>
      </c>
    </row>
    <row r="46" spans="1:19" x14ac:dyDescent="0.2">
      <c r="A46" s="993"/>
      <c r="B46" s="995"/>
      <c r="D46" s="993"/>
      <c r="E46" s="995"/>
      <c r="G46" s="29"/>
      <c r="H46" s="725"/>
      <c r="J46" s="49"/>
      <c r="K46" s="1087">
        <v>4400</v>
      </c>
      <c r="L46" s="984">
        <f>ROUND(IF(K46&gt;365,interpoler(_mat2,taux2,K46),IF(K46&lt;='Courbe des taux'!$G$2,interpoler(_mat1,taux1,K46),((1+interpoler(_mat2,taux2,K46))^(K46/base)-1)*360/(K46))),4)</f>
        <v>3.44E-2</v>
      </c>
      <c r="M46" s="981">
        <f t="shared" si="3"/>
        <v>3.4387000000000001E-2</v>
      </c>
      <c r="N46" s="251">
        <f t="shared" si="1"/>
        <v>1.2999999999999123E-5</v>
      </c>
    </row>
    <row r="47" spans="1:19" x14ac:dyDescent="0.2">
      <c r="A47" s="993"/>
      <c r="B47" s="995"/>
      <c r="D47" s="993"/>
      <c r="E47" s="995"/>
      <c r="G47" s="29"/>
      <c r="H47" s="725"/>
      <c r="I47" s="96"/>
      <c r="J47" s="280"/>
      <c r="K47" s="1087">
        <v>4500</v>
      </c>
      <c r="L47" s="984">
        <f>ROUND(IF(K47&gt;365,interpoler(_mat2,taux2,K47),IF(K47&lt;='Courbe des taux'!$G$2,interpoler(_mat1,taux1,K47),((1+interpoler(_mat2,taux2,K47))^(K47/base)-1)*360/(K47))),4)</f>
        <v>3.4500000000000003E-2</v>
      </c>
      <c r="M47" s="981">
        <f t="shared" si="3"/>
        <v>3.4542000000000003E-2</v>
      </c>
      <c r="N47" s="251">
        <f t="shared" si="1"/>
        <v>-4.200000000000037E-5</v>
      </c>
    </row>
    <row r="48" spans="1:19" x14ac:dyDescent="0.2">
      <c r="A48" s="993"/>
      <c r="B48" s="995"/>
      <c r="D48" s="993"/>
      <c r="E48" s="995"/>
      <c r="G48" s="29"/>
      <c r="H48" s="725"/>
      <c r="I48" s="96"/>
      <c r="J48" s="96"/>
      <c r="K48" s="1087">
        <v>4600</v>
      </c>
      <c r="L48" s="984">
        <f>ROUND(IF(K48&gt;365,interpoler(_mat2,taux2,K48),IF(K48&lt;='Courbe des taux'!$G$2,interpoler(_mat1,taux1,K48),((1+interpoler(_mat2,taux2,K48))^(K48/base)-1)*360/(K48))),4)</f>
        <v>3.4700000000000002E-2</v>
      </c>
      <c r="M48" s="981">
        <f t="shared" si="3"/>
        <v>3.4695999999999998E-2</v>
      </c>
      <c r="N48" s="251">
        <f t="shared" si="1"/>
        <v>4.0000000000040004E-6</v>
      </c>
      <c r="Q48" s="52"/>
    </row>
    <row r="49" spans="1:14" x14ac:dyDescent="0.2">
      <c r="A49" s="993">
        <f>+G2</f>
        <v>326</v>
      </c>
      <c r="B49" s="995">
        <f>+H2</f>
        <v>2.46E-2</v>
      </c>
      <c r="C49" s="49"/>
      <c r="D49" s="993">
        <f>+G4</f>
        <v>10616</v>
      </c>
      <c r="E49" s="995">
        <f>+H4</f>
        <v>4.0800000000000003E-2</v>
      </c>
      <c r="G49" s="29"/>
      <c r="H49" s="725"/>
      <c r="J49" s="96"/>
      <c r="K49" s="1087">
        <v>4700</v>
      </c>
      <c r="L49" s="984">
        <f>ROUND(IF(K49&gt;365,interpoler(_mat2,taux2,K49),IF(K49&lt;='Courbe des taux'!$G$2,interpoler(_mat1,taux1,K49),((1+interpoler(_mat2,taux2,K49))^(K49/base)-1)*360/(K49))),4)</f>
        <v>3.49E-2</v>
      </c>
      <c r="M49" s="981">
        <f t="shared" si="3"/>
        <v>3.4849999999999999E-2</v>
      </c>
      <c r="N49" s="251">
        <f t="shared" si="1"/>
        <v>5.0000000000001432E-5</v>
      </c>
    </row>
    <row r="50" spans="1:14" ht="13.5" thickBot="1" x14ac:dyDescent="0.25">
      <c r="A50" s="994">
        <f>G6</f>
        <v>543</v>
      </c>
      <c r="B50" s="1177">
        <f>ROUND(H6,10)</f>
        <v>2.5705825500000001E-2</v>
      </c>
      <c r="C50" s="322"/>
      <c r="D50" s="994">
        <f>CIH!D104</f>
        <v>10958</v>
      </c>
      <c r="E50" s="997">
        <f>S6</f>
        <v>4.1216011315417259E-2</v>
      </c>
      <c r="F50" s="323"/>
      <c r="G50" s="29"/>
      <c r="H50" s="725"/>
      <c r="K50" s="1087">
        <v>4800</v>
      </c>
      <c r="L50" s="984">
        <f>ROUND(IF(K50&gt;365,interpoler(_mat2,taux2,K50),IF(K50&lt;='Courbe des taux'!$G$2,interpoler(_mat1,taux1,K50),((1+interpoler(_mat2,taux2,K50))^(K50/base)-1)*360/(K50))),4)</f>
        <v>3.5000000000000003E-2</v>
      </c>
      <c r="M50" s="981">
        <f t="shared" si="3"/>
        <v>3.5004E-2</v>
      </c>
      <c r="N50" s="251">
        <f t="shared" si="1"/>
        <v>-3.9999999999970615E-6</v>
      </c>
    </row>
    <row r="51" spans="1:14" x14ac:dyDescent="0.2">
      <c r="A51" s="51"/>
      <c r="B51" s="1050"/>
      <c r="D51" s="1044"/>
      <c r="H51" s="448"/>
      <c r="K51" s="1087">
        <v>4900</v>
      </c>
      <c r="L51" s="984">
        <f>ROUND(IF(K51&gt;365,interpoler(_mat2,taux2,K51),IF(K51&lt;='Courbe des taux'!$G$2,interpoler(_mat1,taux1,K51),((1+interpoler(_mat2,taux2,K51))^(K51/base)-1)*360/(K51))),4)</f>
        <v>3.5099999999999999E-2</v>
      </c>
      <c r="M51" s="981">
        <f t="shared" si="3"/>
        <v>3.5124000000000002E-2</v>
      </c>
      <c r="N51" s="251">
        <f t="shared" si="1"/>
        <v>-2.4000000000003185E-5</v>
      </c>
    </row>
    <row r="52" spans="1:14" x14ac:dyDescent="0.2">
      <c r="A52" s="51"/>
      <c r="B52" s="1050"/>
      <c r="C52" s="1171"/>
      <c r="D52" s="51"/>
      <c r="G52" cm="1">
        <f t="array" ref="G52">interpoler(_mat1,taux1,365)</f>
        <v>2.4798742831797234E-2</v>
      </c>
      <c r="H52" s="448"/>
      <c r="K52" s="1087">
        <v>5000</v>
      </c>
      <c r="L52" s="984">
        <f>ROUND(IF(K52&gt;365,interpoler(_mat2,taux2,K52),IF(K52&lt;='Courbe des taux'!$G$2,interpoler(_mat1,taux1,K52),((1+interpoler(_mat2,taux2,K52))^(K52/base)-1)*360/(K52))),4)</f>
        <v>3.5200000000000002E-2</v>
      </c>
      <c r="M52" s="981">
        <f t="shared" si="3"/>
        <v>3.5187000000000003E-2</v>
      </c>
      <c r="N52" s="251">
        <f t="shared" si="1"/>
        <v>1.2999999999999123E-5</v>
      </c>
    </row>
    <row r="53" spans="1:14" x14ac:dyDescent="0.2">
      <c r="A53" s="51"/>
      <c r="B53" s="1178"/>
      <c r="C53" s="52"/>
      <c r="D53" s="51"/>
      <c r="H53" s="448"/>
      <c r="K53" s="1087">
        <v>5100</v>
      </c>
      <c r="L53" s="984">
        <f>ROUND(IF(K53&gt;365,interpoler(_mat2,taux2,K53),IF(K53&lt;='Courbe des taux'!$G$2,interpoler(_mat1,taux1,K53),((1+interpoler(_mat2,taux2,K53))^(K53/base)-1)*360/(K53))),4)</f>
        <v>3.5299999999999998E-2</v>
      </c>
      <c r="M53" s="981">
        <f t="shared" si="3"/>
        <v>3.5249999999999997E-2</v>
      </c>
      <c r="N53" s="251">
        <f t="shared" si="1"/>
        <v>5.0000000000001432E-5</v>
      </c>
    </row>
    <row r="54" spans="1:14" x14ac:dyDescent="0.2">
      <c r="A54" s="51"/>
      <c r="B54" s="1178"/>
      <c r="D54" s="51"/>
      <c r="H54" s="448"/>
      <c r="K54" s="1087">
        <v>5200</v>
      </c>
      <c r="L54" s="984">
        <f>ROUND(IF(K54&gt;365,interpoler(_mat2,taux2,K54),IF(K54&lt;='Courbe des taux'!$G$2,interpoler(_mat1,taux1,K54),((1+interpoler(_mat2,taux2,K54))^(K54/base)-1)*360/(K54))),4)</f>
        <v>3.5299999999999998E-2</v>
      </c>
      <c r="M54" s="981">
        <f t="shared" si="3"/>
        <v>3.5312999999999997E-2</v>
      </c>
      <c r="N54" s="251">
        <f t="shared" si="1"/>
        <v>-1.2999999999999123E-5</v>
      </c>
    </row>
    <row r="55" spans="1:14" x14ac:dyDescent="0.2">
      <c r="A55" s="51"/>
      <c r="D55" s="51"/>
      <c r="H55" s="448"/>
      <c r="K55" s="1087">
        <v>5300</v>
      </c>
      <c r="L55" s="984">
        <f>ROUND(IF(K55&gt;365,interpoler(_mat2,taux2,K55),IF(K55&lt;='Courbe des taux'!$G$2,interpoler(_mat1,taux1,K55),((1+interpoler(_mat2,taux2,K55))^(K55/base)-1)*360/(K55))),4)</f>
        <v>3.5400000000000001E-2</v>
      </c>
      <c r="M55" s="981">
        <f t="shared" si="3"/>
        <v>3.5375999999999998E-2</v>
      </c>
      <c r="N55" s="251">
        <f t="shared" si="1"/>
        <v>2.4000000000003185E-5</v>
      </c>
    </row>
    <row r="56" spans="1:14" x14ac:dyDescent="0.2">
      <c r="A56" s="51"/>
      <c r="C56" s="52"/>
      <c r="D56" s="51"/>
      <c r="H56" s="448"/>
      <c r="K56" s="1087">
        <v>5400</v>
      </c>
      <c r="L56" s="984">
        <f>ROUND(IF(K56&gt;365,interpoler(_mat2,taux2,K56),IF(K56&lt;='Courbe des taux'!$G$2,interpoler(_mat1,taux1,K56),((1+interpoler(_mat2,taux2,K56))^(K56/base)-1)*360/(K56))),4)</f>
        <v>3.5400000000000001E-2</v>
      </c>
      <c r="M56" s="981">
        <f t="shared" si="3"/>
        <v>3.5438999999999998E-2</v>
      </c>
      <c r="N56" s="251">
        <f t="shared" si="1"/>
        <v>-3.899999999999737E-5</v>
      </c>
    </row>
    <row r="57" spans="1:14" x14ac:dyDescent="0.2">
      <c r="A57" s="51"/>
      <c r="C57" s="52"/>
      <c r="D57" s="51"/>
      <c r="H57" s="448"/>
      <c r="K57" s="1087">
        <v>5500</v>
      </c>
      <c r="L57" s="984">
        <f>ROUND(IF(K57&gt;365,interpoler(_mat2,taux2,K57),IF(K57&lt;='Courbe des taux'!$G$2,interpoler(_mat1,taux1,K57),((1+interpoler(_mat2,taux2,K57))^(K57/base)-1)*360/(K57))),4)</f>
        <v>3.5499999999999997E-2</v>
      </c>
      <c r="M57" s="981">
        <f t="shared" si="3"/>
        <v>3.5503E-2</v>
      </c>
      <c r="N57" s="251">
        <f t="shared" si="1"/>
        <v>-3.0000000000030003E-6</v>
      </c>
    </row>
    <row r="58" spans="1:14" x14ac:dyDescent="0.2">
      <c r="A58" s="51"/>
      <c r="C58" s="243"/>
      <c r="D58" s="51"/>
      <c r="K58" s="1087">
        <v>5600</v>
      </c>
      <c r="L58" s="984">
        <f>ROUND(IF(K58&gt;365,interpoler(_mat2,taux2,K58),IF(K58&lt;='Courbe des taux'!$G$2,interpoler(_mat1,taux1,K58),((1+interpoler(_mat2,taux2,K58))^(K58/base)-1)*360/(K58))),4)</f>
        <v>3.56E-2</v>
      </c>
      <c r="M58" s="981">
        <f t="shared" si="3"/>
        <v>3.5566E-2</v>
      </c>
      <c r="N58" s="251">
        <f t="shared" si="1"/>
        <v>3.3999999999999309E-5</v>
      </c>
    </row>
    <row r="59" spans="1:14" x14ac:dyDescent="0.2">
      <c r="A59" s="51"/>
      <c r="C59" s="322"/>
      <c r="D59" s="51"/>
      <c r="K59" s="1087">
        <v>5700</v>
      </c>
      <c r="L59" s="984">
        <f>ROUND(IF(K59&gt;365,interpoler(_mat2,taux2,K59),IF(K59&lt;='Courbe des taux'!$G$2,interpoler(_mat1,taux1,K59),((1+interpoler(_mat2,taux2,K59))^(K59/base)-1)*360/(K59))),4)</f>
        <v>3.56E-2</v>
      </c>
      <c r="M59" s="981">
        <f t="shared" si="3"/>
        <v>3.5629000000000001E-2</v>
      </c>
      <c r="N59" s="251">
        <f t="shared" si="1"/>
        <v>-2.9000000000001247E-5</v>
      </c>
    </row>
    <row r="60" spans="1:14" x14ac:dyDescent="0.2">
      <c r="A60" s="51"/>
      <c r="B60"/>
      <c r="C60" s="8"/>
      <c r="D60" s="51"/>
      <c r="E60"/>
      <c r="K60" s="1087">
        <v>5800</v>
      </c>
      <c r="L60" s="984">
        <f>ROUND(IF(K60&gt;365,interpoler(_mat2,taux2,K60),IF(K60&lt;='Courbe des taux'!$G$2,interpoler(_mat1,taux1,K60),((1+interpoler(_mat2,taux2,K60))^(K60/base)-1)*360/(K60))),4)</f>
        <v>3.5700000000000003E-2</v>
      </c>
      <c r="M60" s="981">
        <f t="shared" si="3"/>
        <v>3.5692000000000002E-2</v>
      </c>
      <c r="N60" s="251">
        <f t="shared" si="1"/>
        <v>8.0000000000010618E-6</v>
      </c>
    </row>
    <row r="61" spans="1:14" x14ac:dyDescent="0.2">
      <c r="A61" s="51"/>
      <c r="B61"/>
      <c r="C61" s="51"/>
      <c r="D61" s="51"/>
      <c r="E61"/>
      <c r="G61" s="1"/>
      <c r="K61" s="1087">
        <v>5900</v>
      </c>
      <c r="L61" s="984">
        <f>ROUND(IF(K61&gt;365,interpoler(_mat2,taux2,K61),IF(K61&lt;='Courbe des taux'!$G$2,interpoler(_mat1,taux1,K61),((1+interpoler(_mat2,taux2,K61))^(K61/base)-1)*360/(K61))),4)</f>
        <v>3.5799999999999998E-2</v>
      </c>
      <c r="M61" s="981">
        <f t="shared" si="3"/>
        <v>3.5755000000000002E-2</v>
      </c>
      <c r="N61" s="251">
        <f t="shared" si="1"/>
        <v>4.4999999999996432E-5</v>
      </c>
    </row>
    <row r="62" spans="1:14" x14ac:dyDescent="0.2">
      <c r="A62" s="51"/>
      <c r="B62"/>
      <c r="C62" s="51"/>
      <c r="D62" s="51"/>
      <c r="E62"/>
      <c r="F62" s="251"/>
      <c r="G62" s="1"/>
      <c r="J62" s="96"/>
      <c r="K62" s="1087">
        <v>6000</v>
      </c>
      <c r="L62" s="984">
        <f>ROUND(IF(K62&gt;365,interpoler(_mat2,taux2,K62),IF(K62&lt;='Courbe des taux'!$G$2,interpoler(_mat1,taux1,K62),((1+interpoler(_mat2,taux2,K62))^(K62/base)-1)*360/(K62))),4)</f>
        <v>3.5799999999999998E-2</v>
      </c>
      <c r="M62" s="981">
        <f t="shared" si="3"/>
        <v>3.5818000000000003E-2</v>
      </c>
      <c r="N62" s="251">
        <f t="shared" si="1"/>
        <v>-1.8000000000004124E-5</v>
      </c>
    </row>
    <row r="63" spans="1:14" ht="13.5" thickBot="1" x14ac:dyDescent="0.25">
      <c r="A63" s="51"/>
      <c r="B63"/>
      <c r="C63" s="51"/>
      <c r="D63" s="51"/>
      <c r="E63"/>
      <c r="F63" s="251"/>
      <c r="G63" s="1"/>
      <c r="J63" s="96"/>
      <c r="K63" s="1092">
        <v>7300</v>
      </c>
      <c r="L63" s="985">
        <f>ROUND(IF(K63&gt;365,interpoler(_mat2,taux2,K63),IF(K63&lt;='Courbe des taux'!$G$2,interpoler(_mat1,taux1,K63),((1+interpoler(_mat2,taux2,K63))^(K63/base)-1)*360/(K63))),4)</f>
        <v>3.6799999999999999E-2</v>
      </c>
      <c r="M63" s="982">
        <f t="shared" si="3"/>
        <v>3.6766E-2</v>
      </c>
      <c r="N63" s="251">
        <f t="shared" si="1"/>
        <v>3.3999999999999309E-5</v>
      </c>
    </row>
    <row r="64" spans="1:14" x14ac:dyDescent="0.2">
      <c r="A64" s="51"/>
      <c r="B64"/>
      <c r="C64" s="51"/>
      <c r="D64" s="51"/>
      <c r="E64"/>
      <c r="F64" s="251"/>
      <c r="G64" s="1"/>
      <c r="J64" s="96"/>
    </row>
    <row r="65" spans="1:16" x14ac:dyDescent="0.2">
      <c r="A65" s="51"/>
      <c r="B65"/>
      <c r="C65" s="51"/>
      <c r="D65" s="51"/>
      <c r="E65"/>
      <c r="F65" s="251"/>
      <c r="G65" s="1"/>
    </row>
    <row r="66" spans="1:16" x14ac:dyDescent="0.2">
      <c r="A66" s="51"/>
      <c r="B66"/>
      <c r="C66" s="51"/>
      <c r="D66" s="51"/>
      <c r="E66"/>
      <c r="F66" s="251"/>
      <c r="G66" s="1"/>
      <c r="I66" s="49"/>
      <c r="J66" s="49"/>
      <c r="K66" s="49"/>
      <c r="O66" s="49"/>
      <c r="P66" s="49"/>
    </row>
    <row r="67" spans="1:16" x14ac:dyDescent="0.2">
      <c r="A67" s="51"/>
      <c r="B67"/>
      <c r="C67" s="51"/>
      <c r="D67" s="51"/>
      <c r="E67"/>
      <c r="F67" s="251"/>
      <c r="G67" s="1"/>
      <c r="I67" s="49"/>
      <c r="J67" s="49"/>
      <c r="K67" s="49"/>
      <c r="O67" s="49"/>
      <c r="P67" s="49"/>
    </row>
    <row r="68" spans="1:16" x14ac:dyDescent="0.2">
      <c r="A68" s="51"/>
      <c r="B68"/>
      <c r="C68" s="51"/>
      <c r="D68" s="51"/>
      <c r="E68"/>
      <c r="F68" s="251"/>
      <c r="G68" s="1"/>
      <c r="H68" s="251"/>
      <c r="I68" s="49"/>
      <c r="J68" s="49"/>
      <c r="K68" s="49"/>
      <c r="O68" s="49"/>
      <c r="P68" s="49"/>
    </row>
    <row r="69" spans="1:16" x14ac:dyDescent="0.2">
      <c r="A69" s="51"/>
      <c r="B69"/>
      <c r="C69" s="51"/>
      <c r="D69" s="51"/>
      <c r="E69"/>
      <c r="F69" s="251"/>
      <c r="G69" s="1"/>
      <c r="H69" s="251"/>
      <c r="I69" s="49"/>
      <c r="J69" s="49"/>
      <c r="K69" s="49"/>
      <c r="O69" s="49"/>
      <c r="P69" s="49"/>
    </row>
    <row r="70" spans="1:16" x14ac:dyDescent="0.2">
      <c r="A70" s="51"/>
      <c r="B70"/>
      <c r="C70" s="51"/>
      <c r="D70" s="51"/>
      <c r="E70"/>
      <c r="F70" s="251"/>
      <c r="G70" s="1"/>
      <c r="H70" s="251"/>
      <c r="I70" s="49"/>
      <c r="J70" s="49"/>
      <c r="K70" s="49"/>
      <c r="O70" s="49"/>
      <c r="P70" s="49"/>
    </row>
    <row r="71" spans="1:16" x14ac:dyDescent="0.2">
      <c r="A71" s="51"/>
      <c r="B71"/>
      <c r="C71" s="51"/>
      <c r="D71" s="51"/>
      <c r="E71"/>
      <c r="F71" s="251"/>
      <c r="G71" s="1"/>
      <c r="H71" s="251"/>
      <c r="I71" s="49"/>
      <c r="J71" s="49"/>
      <c r="K71" s="49"/>
      <c r="O71" s="49"/>
      <c r="P71" s="49"/>
    </row>
    <row r="72" spans="1:16" x14ac:dyDescent="0.2">
      <c r="A72" s="51"/>
      <c r="B72"/>
      <c r="C72" s="51"/>
      <c r="D72" s="51"/>
      <c r="E72"/>
      <c r="F72" s="251"/>
      <c r="G72" s="1"/>
      <c r="H72" s="251"/>
      <c r="I72" s="49"/>
      <c r="J72" s="49"/>
      <c r="K72" s="49"/>
      <c r="O72" s="49"/>
      <c r="P72" s="49"/>
    </row>
    <row r="73" spans="1:16" x14ac:dyDescent="0.2">
      <c r="A73" s="51"/>
      <c r="B73"/>
      <c r="C73" s="51"/>
      <c r="D73" s="51"/>
      <c r="E73"/>
      <c r="F73" s="251"/>
      <c r="G73" s="1"/>
      <c r="H73" s="251"/>
      <c r="I73" s="49"/>
      <c r="J73" s="49"/>
      <c r="K73" s="49"/>
      <c r="O73" s="49"/>
      <c r="P73" s="49"/>
    </row>
    <row r="74" spans="1:16" x14ac:dyDescent="0.2">
      <c r="A74" s="51"/>
      <c r="B74"/>
      <c r="C74" s="51"/>
      <c r="D74" s="51"/>
      <c r="E74"/>
      <c r="F74" s="251"/>
      <c r="G74" s="1"/>
      <c r="H74" s="251"/>
      <c r="I74" s="49"/>
      <c r="J74" s="49"/>
      <c r="K74" s="49"/>
      <c r="O74" s="49"/>
      <c r="P74" s="49"/>
    </row>
    <row r="75" spans="1:16" x14ac:dyDescent="0.2">
      <c r="A75" s="51"/>
      <c r="B75"/>
      <c r="C75" s="51"/>
      <c r="D75" s="51"/>
      <c r="E75"/>
      <c r="F75" s="251"/>
      <c r="G75" s="1"/>
      <c r="H75" s="251"/>
      <c r="I75" s="49"/>
      <c r="J75" s="49"/>
      <c r="K75" s="49"/>
      <c r="O75" s="49"/>
      <c r="P75" s="49"/>
    </row>
    <row r="76" spans="1:16" x14ac:dyDescent="0.2">
      <c r="A76" s="51"/>
      <c r="B76"/>
      <c r="C76" s="51"/>
      <c r="D76" s="51"/>
      <c r="E76"/>
      <c r="F76" s="251"/>
      <c r="G76" s="1"/>
      <c r="H76" s="251"/>
      <c r="I76" s="49"/>
      <c r="J76" s="49"/>
      <c r="K76" s="49"/>
      <c r="O76" s="49"/>
      <c r="P76" s="49"/>
    </row>
    <row r="77" spans="1:16" x14ac:dyDescent="0.2">
      <c r="A77" s="51"/>
      <c r="B77"/>
      <c r="C77" s="51"/>
      <c r="D77" s="51"/>
      <c r="E77"/>
      <c r="F77" s="251"/>
      <c r="G77" s="1"/>
      <c r="H77" s="251"/>
      <c r="I77" s="49"/>
      <c r="J77" s="49"/>
      <c r="K77" s="49"/>
      <c r="O77" s="49"/>
      <c r="P77" s="49"/>
    </row>
    <row r="78" spans="1:16" x14ac:dyDescent="0.2">
      <c r="A78" s="51"/>
      <c r="B78"/>
      <c r="C78" s="51"/>
      <c r="D78" s="51"/>
      <c r="E78"/>
      <c r="F78" s="251"/>
      <c r="G78" s="1"/>
      <c r="H78" s="251"/>
      <c r="I78" s="49"/>
      <c r="J78" s="49"/>
      <c r="K78" s="49"/>
      <c r="O78" s="49"/>
      <c r="P78" s="49"/>
    </row>
    <row r="79" spans="1:16" x14ac:dyDescent="0.2">
      <c r="A79" s="51"/>
      <c r="B79"/>
      <c r="C79" s="51"/>
      <c r="D79" s="51"/>
      <c r="E79"/>
      <c r="F79" s="251"/>
      <c r="G79" s="1"/>
      <c r="H79" s="251"/>
      <c r="I79" s="49"/>
      <c r="J79" s="49"/>
      <c r="K79" s="49"/>
      <c r="O79" s="49"/>
      <c r="P79" s="49"/>
    </row>
    <row r="80" spans="1:16" x14ac:dyDescent="0.2">
      <c r="A80" s="51"/>
      <c r="B80"/>
      <c r="C80" s="51"/>
      <c r="D80" s="51"/>
      <c r="E80"/>
      <c r="F80" s="251"/>
      <c r="G80" s="1"/>
      <c r="H80" s="251"/>
      <c r="I80" s="49"/>
      <c r="J80" s="49"/>
      <c r="K80" s="49"/>
      <c r="O80" s="49"/>
      <c r="P80" s="49"/>
    </row>
    <row r="81" spans="1:16" x14ac:dyDescent="0.2">
      <c r="A81" s="51"/>
      <c r="B81"/>
      <c r="C81" s="51"/>
      <c r="D81" s="51"/>
      <c r="E81"/>
      <c r="F81" s="251"/>
      <c r="G81" s="1"/>
      <c r="H81" s="251"/>
      <c r="I81" s="49"/>
      <c r="J81" s="49"/>
      <c r="K81" s="49"/>
      <c r="O81" s="49"/>
      <c r="P81" s="49"/>
    </row>
    <row r="82" spans="1:16" x14ac:dyDescent="0.2">
      <c r="A82" s="51"/>
      <c r="B82"/>
      <c r="C82" s="51"/>
      <c r="D82" s="51"/>
      <c r="E82"/>
      <c r="F82" s="251"/>
      <c r="G82" s="1"/>
      <c r="H82" s="251"/>
      <c r="I82" s="49"/>
      <c r="J82" s="49"/>
      <c r="K82" s="49"/>
      <c r="O82" s="49"/>
      <c r="P82" s="49"/>
    </row>
    <row r="83" spans="1:16" x14ac:dyDescent="0.2">
      <c r="A83" s="51"/>
      <c r="B83"/>
      <c r="C83" s="51"/>
      <c r="D83" s="51"/>
      <c r="E83"/>
      <c r="F83" s="251"/>
      <c r="G83" s="1"/>
      <c r="H83" s="251"/>
      <c r="I83" s="49"/>
      <c r="J83" s="49"/>
      <c r="K83" s="49"/>
      <c r="O83" s="49"/>
      <c r="P83" s="49"/>
    </row>
    <row r="84" spans="1:16" x14ac:dyDescent="0.2">
      <c r="A84" s="51"/>
      <c r="B84"/>
      <c r="C84" s="51"/>
      <c r="D84" s="51"/>
      <c r="E84"/>
    </row>
    <row r="85" spans="1:16" x14ac:dyDescent="0.2">
      <c r="A85" s="51"/>
      <c r="B85"/>
      <c r="C85" s="51"/>
      <c r="D85" s="51"/>
      <c r="E85"/>
    </row>
    <row r="86" spans="1:16" x14ac:dyDescent="0.2">
      <c r="A86" s="51"/>
      <c r="B86"/>
      <c r="C86" s="51"/>
      <c r="D86" s="51"/>
      <c r="E86"/>
    </row>
    <row r="87" spans="1:16" x14ac:dyDescent="0.2">
      <c r="A87" s="51"/>
      <c r="B87"/>
      <c r="C87" s="51"/>
      <c r="D87" s="51"/>
      <c r="E87"/>
    </row>
    <row r="88" spans="1:16" x14ac:dyDescent="0.2">
      <c r="A88" s="51"/>
      <c r="B88"/>
      <c r="C88" s="51"/>
      <c r="D88" s="51"/>
      <c r="E88"/>
    </row>
    <row r="89" spans="1:16" x14ac:dyDescent="0.2">
      <c r="A89" s="51"/>
      <c r="B89"/>
      <c r="C89" s="51"/>
      <c r="D89" s="51"/>
      <c r="E89"/>
    </row>
    <row r="90" spans="1:16" x14ac:dyDescent="0.2">
      <c r="A90" s="51"/>
      <c r="B90"/>
      <c r="C90" s="51"/>
      <c r="D90" s="51"/>
      <c r="E90"/>
    </row>
    <row r="91" spans="1:16" x14ac:dyDescent="0.2">
      <c r="A91" s="51"/>
      <c r="B91"/>
      <c r="C91" s="51"/>
      <c r="D91" s="51"/>
      <c r="E91"/>
    </row>
    <row r="92" spans="1:16" x14ac:dyDescent="0.2">
      <c r="A92" s="51"/>
      <c r="B92"/>
      <c r="C92" s="51"/>
      <c r="D92" s="51"/>
      <c r="E92"/>
    </row>
    <row r="93" spans="1:16" x14ac:dyDescent="0.2">
      <c r="A93" s="51"/>
      <c r="D93" s="51"/>
    </row>
    <row r="94" spans="1:16" x14ac:dyDescent="0.2">
      <c r="A94" s="51"/>
      <c r="D94" s="51"/>
    </row>
    <row r="95" spans="1:16" x14ac:dyDescent="0.2">
      <c r="A95" s="51"/>
      <c r="D95" s="51"/>
    </row>
    <row r="96" spans="1:16" x14ac:dyDescent="0.2">
      <c r="A96" s="51"/>
      <c r="D96" s="51"/>
    </row>
    <row r="97" spans="1:5" x14ac:dyDescent="0.2">
      <c r="A97" s="51"/>
      <c r="B97"/>
      <c r="D97" s="51"/>
      <c r="E97"/>
    </row>
    <row r="98" spans="1:5" x14ac:dyDescent="0.2">
      <c r="A98" s="51"/>
      <c r="B98" s="90"/>
      <c r="D98" s="51"/>
      <c r="E98" s="90"/>
    </row>
    <row r="99" spans="1:5" x14ac:dyDescent="0.2">
      <c r="A99" s="51"/>
      <c r="B99" s="90"/>
      <c r="D99" s="51"/>
      <c r="E99" s="90"/>
    </row>
    <row r="100" spans="1:5" x14ac:dyDescent="0.2">
      <c r="A100" s="51"/>
      <c r="B100" s="90"/>
      <c r="D100" s="51"/>
      <c r="E100" s="90"/>
    </row>
    <row r="101" spans="1:5" x14ac:dyDescent="0.2">
      <c r="A101" s="51"/>
      <c r="B101" s="90"/>
      <c r="D101" s="51"/>
      <c r="E101" s="90"/>
    </row>
    <row r="102" spans="1:5" x14ac:dyDescent="0.2">
      <c r="A102" s="51"/>
      <c r="B102" s="90"/>
      <c r="D102" s="51"/>
      <c r="E102" s="90"/>
    </row>
    <row r="103" spans="1:5" x14ac:dyDescent="0.2">
      <c r="A103" s="51"/>
      <c r="B103" s="90"/>
      <c r="D103" s="51"/>
      <c r="E103" s="90"/>
    </row>
    <row r="104" spans="1:5" x14ac:dyDescent="0.2">
      <c r="A104" s="51"/>
      <c r="B104" s="90"/>
      <c r="D104" s="51"/>
      <c r="E104" s="90"/>
    </row>
    <row r="105" spans="1:5" x14ac:dyDescent="0.2">
      <c r="A105" s="51"/>
      <c r="B105" s="92"/>
      <c r="D105" s="51"/>
      <c r="E105" s="92"/>
    </row>
    <row r="106" spans="1:5" x14ac:dyDescent="0.2">
      <c r="A106" s="51"/>
      <c r="B106" s="90"/>
      <c r="D106" s="51"/>
      <c r="E106" s="90"/>
    </row>
    <row r="107" spans="1:5" x14ac:dyDescent="0.2">
      <c r="A107" s="51"/>
      <c r="D107" s="51"/>
    </row>
    <row r="108" spans="1:5" x14ac:dyDescent="0.2">
      <c r="A108" s="51"/>
      <c r="D108" s="51"/>
    </row>
    <row r="109" spans="1:5" x14ac:dyDescent="0.2">
      <c r="A109" s="51"/>
      <c r="D109" s="51"/>
    </row>
    <row r="110" spans="1:5" x14ac:dyDescent="0.2">
      <c r="A110" s="51"/>
      <c r="D110" s="51"/>
    </row>
    <row r="111" spans="1:5" x14ac:dyDescent="0.2">
      <c r="A111" s="51"/>
      <c r="D111" s="51"/>
    </row>
    <row r="112" spans="1:5" x14ac:dyDescent="0.2">
      <c r="A112" s="51"/>
      <c r="D112" s="51"/>
    </row>
    <row r="113" spans="1:4" x14ac:dyDescent="0.2">
      <c r="A113" s="51"/>
      <c r="D113" s="51"/>
    </row>
    <row r="114" spans="1:4" x14ac:dyDescent="0.2">
      <c r="A114" s="51"/>
      <c r="D114" s="51"/>
    </row>
    <row r="115" spans="1:4" x14ac:dyDescent="0.2">
      <c r="A115" s="51"/>
      <c r="D115" s="51"/>
    </row>
    <row r="116" spans="1:4" x14ac:dyDescent="0.2">
      <c r="A116" s="51"/>
      <c r="D116" s="51"/>
    </row>
    <row r="117" spans="1:4" x14ac:dyDescent="0.2">
      <c r="A117" s="51"/>
      <c r="D117" s="51"/>
    </row>
    <row r="118" spans="1:4" x14ac:dyDescent="0.2">
      <c r="A118" s="51"/>
      <c r="D118" s="51"/>
    </row>
    <row r="119" spans="1:4" x14ac:dyDescent="0.2">
      <c r="A119" s="51"/>
      <c r="D119" s="51"/>
    </row>
    <row r="120" spans="1:4" x14ac:dyDescent="0.2">
      <c r="A120" s="51"/>
      <c r="D120" s="51"/>
    </row>
    <row r="121" spans="1:4" x14ac:dyDescent="0.2">
      <c r="A121" s="51"/>
      <c r="D121" s="51"/>
    </row>
    <row r="122" spans="1:4" x14ac:dyDescent="0.2">
      <c r="A122" s="51"/>
      <c r="D122" s="51"/>
    </row>
    <row r="123" spans="1:4" x14ac:dyDescent="0.2">
      <c r="A123" s="51"/>
      <c r="D123" s="51"/>
    </row>
    <row r="124" spans="1:4" x14ac:dyDescent="0.2">
      <c r="A124" s="51"/>
      <c r="D124" s="51"/>
    </row>
    <row r="125" spans="1:4" x14ac:dyDescent="0.2">
      <c r="A125" s="51"/>
      <c r="D125" s="51"/>
    </row>
    <row r="126" spans="1:4" x14ac:dyDescent="0.2">
      <c r="A126" s="51"/>
      <c r="D126" s="51"/>
    </row>
    <row r="127" spans="1:4" x14ac:dyDescent="0.2">
      <c r="A127" s="51"/>
      <c r="D127" s="51"/>
    </row>
    <row r="128" spans="1:4" x14ac:dyDescent="0.2">
      <c r="A128" s="51"/>
      <c r="D128" s="51"/>
    </row>
    <row r="129" spans="1:4" x14ac:dyDescent="0.2">
      <c r="A129" s="51"/>
      <c r="D129" s="51"/>
    </row>
    <row r="130" spans="1:4" x14ac:dyDescent="0.2">
      <c r="A130" s="51"/>
      <c r="D130" s="51"/>
    </row>
    <row r="131" spans="1:4" x14ac:dyDescent="0.2">
      <c r="A131" s="51"/>
      <c r="D131" s="51"/>
    </row>
    <row r="132" spans="1:4" x14ac:dyDescent="0.2">
      <c r="A132" s="51"/>
      <c r="D132" s="51"/>
    </row>
    <row r="133" spans="1:4" x14ac:dyDescent="0.2">
      <c r="A133" s="51"/>
      <c r="D133" s="51"/>
    </row>
    <row r="134" spans="1:4" x14ac:dyDescent="0.2">
      <c r="A134" s="51"/>
      <c r="D134" s="51"/>
    </row>
    <row r="135" spans="1:4" x14ac:dyDescent="0.2">
      <c r="A135" s="51"/>
      <c r="D135" s="51"/>
    </row>
    <row r="136" spans="1:4" x14ac:dyDescent="0.2">
      <c r="A136" s="51"/>
      <c r="D136" s="51"/>
    </row>
    <row r="137" spans="1:4" x14ac:dyDescent="0.2">
      <c r="A137" s="51"/>
      <c r="D137" s="51"/>
    </row>
    <row r="138" spans="1:4" x14ac:dyDescent="0.2">
      <c r="A138" s="51"/>
      <c r="D138" s="51"/>
    </row>
    <row r="139" spans="1:4" x14ac:dyDescent="0.2">
      <c r="A139" s="51"/>
      <c r="D139" s="51"/>
    </row>
    <row r="140" spans="1:4" x14ac:dyDescent="0.2">
      <c r="A140" s="51"/>
      <c r="D140" s="51"/>
    </row>
    <row r="141" spans="1:4" x14ac:dyDescent="0.2">
      <c r="A141" s="51"/>
      <c r="D141" s="51"/>
    </row>
    <row r="142" spans="1:4" x14ac:dyDescent="0.2">
      <c r="A142" s="51"/>
      <c r="D142" s="51"/>
    </row>
    <row r="143" spans="1:4" x14ac:dyDescent="0.2">
      <c r="A143" s="51"/>
      <c r="D143" s="51"/>
    </row>
    <row r="144" spans="1:4" x14ac:dyDescent="0.2">
      <c r="A144" s="51"/>
      <c r="D144" s="51"/>
    </row>
    <row r="145" spans="1:4" x14ac:dyDescent="0.2">
      <c r="A145" s="51"/>
      <c r="D145" s="51"/>
    </row>
    <row r="146" spans="1:4" x14ac:dyDescent="0.2">
      <c r="A146" s="51"/>
      <c r="D146" s="51"/>
    </row>
    <row r="147" spans="1:4" x14ac:dyDescent="0.2">
      <c r="A147" s="51"/>
      <c r="D147" s="51"/>
    </row>
    <row r="148" spans="1:4" x14ac:dyDescent="0.2">
      <c r="A148" s="51"/>
      <c r="D148" s="51"/>
    </row>
    <row r="149" spans="1:4" x14ac:dyDescent="0.2">
      <c r="A149" s="51"/>
      <c r="D149" s="51"/>
    </row>
    <row r="150" spans="1:4" x14ac:dyDescent="0.2">
      <c r="A150" s="51"/>
      <c r="D150" s="51"/>
    </row>
    <row r="151" spans="1:4" x14ac:dyDescent="0.2">
      <c r="A151" s="51"/>
      <c r="D151" s="51"/>
    </row>
    <row r="152" spans="1:4" x14ac:dyDescent="0.2">
      <c r="A152" s="51"/>
      <c r="D152" s="51"/>
    </row>
    <row r="153" spans="1:4" x14ac:dyDescent="0.2">
      <c r="A153" s="51"/>
      <c r="D153" s="51"/>
    </row>
    <row r="154" spans="1:4" x14ac:dyDescent="0.2">
      <c r="A154" s="51"/>
      <c r="D154" s="51"/>
    </row>
    <row r="155" spans="1:4" x14ac:dyDescent="0.2">
      <c r="A155" s="51"/>
      <c r="D155" s="51"/>
    </row>
    <row r="156" spans="1:4" x14ac:dyDescent="0.2">
      <c r="A156" s="51"/>
      <c r="D156" s="51"/>
    </row>
    <row r="157" spans="1:4" x14ac:dyDescent="0.2">
      <c r="A157" s="51"/>
      <c r="D157" s="51"/>
    </row>
    <row r="158" spans="1:4" x14ac:dyDescent="0.2">
      <c r="A158" s="51"/>
      <c r="D158" s="51"/>
    </row>
    <row r="159" spans="1:4" x14ac:dyDescent="0.2">
      <c r="A159" s="51"/>
      <c r="D159" s="51"/>
    </row>
    <row r="160" spans="1:4" x14ac:dyDescent="0.2">
      <c r="A160" s="51"/>
      <c r="D160" s="51"/>
    </row>
    <row r="161" spans="1:4" x14ac:dyDescent="0.2">
      <c r="A161" s="51"/>
      <c r="D161" s="51"/>
    </row>
    <row r="162" spans="1:4" x14ac:dyDescent="0.2">
      <c r="A162" s="51"/>
      <c r="D162" s="51"/>
    </row>
    <row r="163" spans="1:4" x14ac:dyDescent="0.2">
      <c r="A163" s="51"/>
      <c r="D163" s="51"/>
    </row>
    <row r="164" spans="1:4" x14ac:dyDescent="0.2">
      <c r="A164" s="51"/>
      <c r="D164" s="51"/>
    </row>
    <row r="165" spans="1:4" x14ac:dyDescent="0.2">
      <c r="A165" s="51"/>
      <c r="D165" s="51"/>
    </row>
    <row r="166" spans="1:4" x14ac:dyDescent="0.2">
      <c r="A166" s="51"/>
      <c r="D166" s="51"/>
    </row>
    <row r="167" spans="1:4" x14ac:dyDescent="0.2">
      <c r="A167" s="51"/>
      <c r="D167" s="51"/>
    </row>
    <row r="168" spans="1:4" x14ac:dyDescent="0.2">
      <c r="A168" s="51"/>
      <c r="D168" s="51"/>
    </row>
    <row r="169" spans="1:4" x14ac:dyDescent="0.2">
      <c r="A169" s="51"/>
      <c r="D169" s="51"/>
    </row>
    <row r="170" spans="1:4" x14ac:dyDescent="0.2">
      <c r="A170" s="51"/>
      <c r="D170" s="51"/>
    </row>
    <row r="171" spans="1:4" x14ac:dyDescent="0.2">
      <c r="A171" s="51"/>
      <c r="D171" s="51"/>
    </row>
    <row r="172" spans="1:4" x14ac:dyDescent="0.2">
      <c r="A172" s="51"/>
      <c r="D172" s="51"/>
    </row>
    <row r="173" spans="1:4" x14ac:dyDescent="0.2">
      <c r="A173" s="51"/>
      <c r="D173" s="51"/>
    </row>
    <row r="174" spans="1:4" x14ac:dyDescent="0.2">
      <c r="A174" s="51"/>
      <c r="D174" s="51"/>
    </row>
    <row r="175" spans="1:4" x14ac:dyDescent="0.2">
      <c r="A175" s="51"/>
      <c r="D175" s="51"/>
    </row>
    <row r="176" spans="1:4" x14ac:dyDescent="0.2">
      <c r="A176" s="51"/>
      <c r="D176" s="51"/>
    </row>
    <row r="177" spans="1:4" x14ac:dyDescent="0.2">
      <c r="A177" s="51"/>
      <c r="D177" s="51"/>
    </row>
    <row r="178" spans="1:4" x14ac:dyDescent="0.2">
      <c r="A178" s="51"/>
      <c r="D178" s="51"/>
    </row>
    <row r="179" spans="1:4" x14ac:dyDescent="0.2">
      <c r="A179" s="51"/>
      <c r="D179" s="51"/>
    </row>
    <row r="180" spans="1:4" x14ac:dyDescent="0.2">
      <c r="A180" s="51"/>
      <c r="D180" s="51"/>
    </row>
    <row r="181" spans="1:4" x14ac:dyDescent="0.2">
      <c r="A181" s="51"/>
      <c r="D181" s="51"/>
    </row>
    <row r="182" spans="1:4" x14ac:dyDescent="0.2">
      <c r="A182" s="51"/>
      <c r="D182" s="51"/>
    </row>
    <row r="183" spans="1:4" x14ac:dyDescent="0.2">
      <c r="A183" s="51"/>
      <c r="D183" s="51"/>
    </row>
    <row r="184" spans="1:4" x14ac:dyDescent="0.2">
      <c r="A184" s="51"/>
      <c r="D184" s="51"/>
    </row>
    <row r="185" spans="1:4" x14ac:dyDescent="0.2">
      <c r="A185" s="51"/>
      <c r="D185" s="51"/>
    </row>
    <row r="186" spans="1:4" x14ac:dyDescent="0.2">
      <c r="A186" s="51"/>
      <c r="D186" s="51"/>
    </row>
    <row r="187" spans="1:4" x14ac:dyDescent="0.2">
      <c r="A187" s="51"/>
      <c r="D187" s="51"/>
    </row>
    <row r="188" spans="1:4" x14ac:dyDescent="0.2">
      <c r="A188" s="51"/>
      <c r="D188" s="51"/>
    </row>
    <row r="189" spans="1:4" x14ac:dyDescent="0.2">
      <c r="A189" s="51"/>
      <c r="D189" s="51"/>
    </row>
    <row r="190" spans="1:4" x14ac:dyDescent="0.2">
      <c r="A190" s="51"/>
      <c r="D190" s="51"/>
    </row>
    <row r="191" spans="1:4" x14ac:dyDescent="0.2">
      <c r="A191" s="51"/>
      <c r="D191" s="51"/>
    </row>
    <row r="192" spans="1:4" x14ac:dyDescent="0.2">
      <c r="A192" s="51"/>
      <c r="D192" s="51"/>
    </row>
    <row r="193" spans="1:4" x14ac:dyDescent="0.2">
      <c r="A193" s="51"/>
      <c r="D193" s="51"/>
    </row>
    <row r="194" spans="1:4" x14ac:dyDescent="0.2">
      <c r="A194" s="51"/>
      <c r="D194" s="51"/>
    </row>
    <row r="195" spans="1:4" x14ac:dyDescent="0.2">
      <c r="A195" s="51"/>
      <c r="D195" s="51"/>
    </row>
    <row r="196" spans="1:4" x14ac:dyDescent="0.2">
      <c r="A196" s="51"/>
      <c r="D196" s="51"/>
    </row>
    <row r="197" spans="1:4" x14ac:dyDescent="0.2">
      <c r="A197" s="51"/>
      <c r="D197" s="51"/>
    </row>
    <row r="198" spans="1:4" x14ac:dyDescent="0.2">
      <c r="A198" s="51"/>
      <c r="D198" s="51"/>
    </row>
    <row r="199" spans="1:4" x14ac:dyDescent="0.2">
      <c r="A199" s="51"/>
      <c r="D199" s="51"/>
    </row>
    <row r="200" spans="1:4" x14ac:dyDescent="0.2">
      <c r="A200" s="51"/>
      <c r="D200" s="51"/>
    </row>
    <row r="201" spans="1:4" x14ac:dyDescent="0.2">
      <c r="A201" s="51"/>
      <c r="D201" s="51"/>
    </row>
    <row r="202" spans="1:4" x14ac:dyDescent="0.2">
      <c r="A202" s="51"/>
      <c r="D202" s="51"/>
    </row>
    <row r="203" spans="1:4" x14ac:dyDescent="0.2">
      <c r="A203" s="51"/>
      <c r="D203" s="51"/>
    </row>
    <row r="204" spans="1:4" x14ac:dyDescent="0.2">
      <c r="A204" s="51"/>
      <c r="D204" s="51"/>
    </row>
    <row r="205" spans="1:4" x14ac:dyDescent="0.2">
      <c r="A205" s="51"/>
      <c r="D205" s="51"/>
    </row>
    <row r="206" spans="1:4" x14ac:dyDescent="0.2">
      <c r="A206" s="51"/>
      <c r="D206" s="51"/>
    </row>
    <row r="207" spans="1:4" x14ac:dyDescent="0.2">
      <c r="A207" s="51"/>
      <c r="D207" s="51"/>
    </row>
    <row r="208" spans="1:4" x14ac:dyDescent="0.2">
      <c r="A208" s="51"/>
      <c r="D208" s="51"/>
    </row>
    <row r="209" spans="1:4" x14ac:dyDescent="0.2">
      <c r="A209" s="51"/>
      <c r="D209" s="51"/>
    </row>
    <row r="210" spans="1:4" x14ac:dyDescent="0.2">
      <c r="A210" s="51"/>
      <c r="D210" s="51"/>
    </row>
    <row r="211" spans="1:4" x14ac:dyDescent="0.2">
      <c r="A211" s="51"/>
      <c r="D211" s="51"/>
    </row>
    <row r="212" spans="1:4" x14ac:dyDescent="0.2">
      <c r="A212" s="51"/>
      <c r="D212" s="51"/>
    </row>
    <row r="213" spans="1:4" x14ac:dyDescent="0.2">
      <c r="A213" s="51"/>
      <c r="D213" s="51"/>
    </row>
    <row r="214" spans="1:4" x14ac:dyDescent="0.2">
      <c r="A214" s="51"/>
      <c r="D214" s="51"/>
    </row>
    <row r="215" spans="1:4" x14ac:dyDescent="0.2">
      <c r="A215" s="51"/>
      <c r="D215" s="51"/>
    </row>
    <row r="216" spans="1:4" x14ac:dyDescent="0.2">
      <c r="A216" s="51"/>
      <c r="D216" s="51"/>
    </row>
    <row r="217" spans="1:4" x14ac:dyDescent="0.2">
      <c r="A217" s="51"/>
      <c r="D217" s="51"/>
    </row>
    <row r="218" spans="1:4" x14ac:dyDescent="0.2">
      <c r="A218" s="51"/>
      <c r="D218" s="51"/>
    </row>
    <row r="219" spans="1:4" x14ac:dyDescent="0.2">
      <c r="A219" s="51"/>
      <c r="D219" s="51"/>
    </row>
    <row r="220" spans="1:4" x14ac:dyDescent="0.2">
      <c r="A220" s="51"/>
      <c r="D220" s="51"/>
    </row>
    <row r="221" spans="1:4" x14ac:dyDescent="0.2">
      <c r="A221" s="51"/>
      <c r="D221" s="51"/>
    </row>
    <row r="222" spans="1:4" x14ac:dyDescent="0.2">
      <c r="A222" s="51"/>
      <c r="D222" s="51"/>
    </row>
    <row r="223" spans="1:4" x14ac:dyDescent="0.2">
      <c r="A223" s="51"/>
      <c r="D223" s="51"/>
    </row>
    <row r="224" spans="1:4" x14ac:dyDescent="0.2">
      <c r="A224" s="51"/>
      <c r="D224" s="51"/>
    </row>
    <row r="225" spans="1:4" x14ac:dyDescent="0.2">
      <c r="A225" s="51"/>
      <c r="D225" s="51"/>
    </row>
    <row r="226" spans="1:4" x14ac:dyDescent="0.2">
      <c r="A226" s="51"/>
      <c r="D226" s="51"/>
    </row>
    <row r="227" spans="1:4" x14ac:dyDescent="0.2">
      <c r="A227" s="51"/>
      <c r="D227" s="51"/>
    </row>
    <row r="228" spans="1:4" x14ac:dyDescent="0.2">
      <c r="A228" s="51"/>
      <c r="D228" s="51"/>
    </row>
    <row r="229" spans="1:4" x14ac:dyDescent="0.2">
      <c r="A229" s="51"/>
      <c r="D229" s="51"/>
    </row>
    <row r="230" spans="1:4" x14ac:dyDescent="0.2">
      <c r="A230" s="51"/>
      <c r="D230" s="51"/>
    </row>
    <row r="231" spans="1:4" x14ac:dyDescent="0.2">
      <c r="A231" s="51"/>
      <c r="D231" s="51"/>
    </row>
    <row r="232" spans="1:4" x14ac:dyDescent="0.2">
      <c r="A232" s="51"/>
      <c r="D232" s="51"/>
    </row>
    <row r="233" spans="1:4" x14ac:dyDescent="0.2">
      <c r="A233" s="51"/>
      <c r="D233" s="51"/>
    </row>
    <row r="234" spans="1:4" x14ac:dyDescent="0.2">
      <c r="A234" s="51"/>
      <c r="D234" s="51"/>
    </row>
    <row r="235" spans="1:4" x14ac:dyDescent="0.2">
      <c r="A235" s="51"/>
      <c r="D235" s="51"/>
    </row>
    <row r="236" spans="1:4" x14ac:dyDescent="0.2">
      <c r="A236" s="51"/>
      <c r="D236" s="51"/>
    </row>
    <row r="237" spans="1:4" x14ac:dyDescent="0.2">
      <c r="A237" s="51"/>
      <c r="D237" s="51"/>
    </row>
    <row r="238" spans="1:4" x14ac:dyDescent="0.2">
      <c r="A238" s="51"/>
      <c r="D238" s="51"/>
    </row>
    <row r="239" spans="1:4" x14ac:dyDescent="0.2">
      <c r="A239" s="51"/>
      <c r="D239" s="51"/>
    </row>
    <row r="240" spans="1:4" x14ac:dyDescent="0.2">
      <c r="A240" s="51"/>
      <c r="D240" s="51"/>
    </row>
    <row r="241" spans="1:4" x14ac:dyDescent="0.2">
      <c r="A241" s="51"/>
      <c r="D241" s="51"/>
    </row>
    <row r="242" spans="1:4" x14ac:dyDescent="0.2">
      <c r="A242" s="51"/>
      <c r="D242" s="51"/>
    </row>
    <row r="243" spans="1:4" x14ac:dyDescent="0.2">
      <c r="A243" s="51"/>
      <c r="D243" s="51"/>
    </row>
    <row r="244" spans="1:4" x14ac:dyDescent="0.2">
      <c r="A244" s="51"/>
      <c r="D244" s="51"/>
    </row>
    <row r="245" spans="1:4" x14ac:dyDescent="0.2">
      <c r="A245" s="51"/>
      <c r="D245" s="51"/>
    </row>
    <row r="246" spans="1:4" x14ac:dyDescent="0.2">
      <c r="A246" s="51"/>
      <c r="D246" s="51"/>
    </row>
    <row r="247" spans="1:4" x14ac:dyDescent="0.2">
      <c r="A247" s="51"/>
      <c r="D247" s="51"/>
    </row>
    <row r="248" spans="1:4" x14ac:dyDescent="0.2">
      <c r="A248" s="51"/>
      <c r="D248" s="51"/>
    </row>
    <row r="249" spans="1:4" x14ac:dyDescent="0.2">
      <c r="A249" s="51"/>
      <c r="D249" s="51"/>
    </row>
    <row r="250" spans="1:4" x14ac:dyDescent="0.2">
      <c r="A250" s="51"/>
      <c r="D250" s="51"/>
    </row>
    <row r="251" spans="1:4" x14ac:dyDescent="0.2">
      <c r="A251" s="51"/>
      <c r="D251" s="51"/>
    </row>
    <row r="252" spans="1:4" x14ac:dyDescent="0.2">
      <c r="A252" s="51"/>
      <c r="D252" s="51"/>
    </row>
    <row r="253" spans="1:4" x14ac:dyDescent="0.2">
      <c r="A253" s="51"/>
      <c r="D253" s="51"/>
    </row>
    <row r="254" spans="1:4" x14ac:dyDescent="0.2">
      <c r="A254" s="51"/>
      <c r="D254" s="51"/>
    </row>
    <row r="255" spans="1:4" x14ac:dyDescent="0.2">
      <c r="A255" s="51"/>
      <c r="D255" s="51"/>
    </row>
    <row r="256" spans="1:4" x14ac:dyDescent="0.2">
      <c r="A256" s="51"/>
      <c r="D256" s="51"/>
    </row>
    <row r="257" spans="1:4" x14ac:dyDescent="0.2">
      <c r="A257" s="51"/>
      <c r="D257" s="51"/>
    </row>
    <row r="258" spans="1:4" x14ac:dyDescent="0.2">
      <c r="A258" s="51"/>
      <c r="D258" s="51"/>
    </row>
    <row r="259" spans="1:4" x14ac:dyDescent="0.2">
      <c r="A259" s="51"/>
      <c r="D259" s="51"/>
    </row>
    <row r="260" spans="1:4" x14ac:dyDescent="0.2">
      <c r="A260" s="51"/>
      <c r="D260" s="51"/>
    </row>
    <row r="261" spans="1:4" x14ac:dyDescent="0.2">
      <c r="A261" s="51"/>
      <c r="D261" s="51"/>
    </row>
    <row r="262" spans="1:4" x14ac:dyDescent="0.2">
      <c r="A262" s="51"/>
      <c r="D262" s="51"/>
    </row>
    <row r="263" spans="1:4" x14ac:dyDescent="0.2">
      <c r="A263" s="51"/>
      <c r="D263" s="51"/>
    </row>
    <row r="264" spans="1:4" x14ac:dyDescent="0.2">
      <c r="A264" s="51"/>
      <c r="D264" s="51"/>
    </row>
    <row r="265" spans="1:4" x14ac:dyDescent="0.2">
      <c r="A265" s="51"/>
      <c r="D265" s="51"/>
    </row>
    <row r="266" spans="1:4" x14ac:dyDescent="0.2">
      <c r="A266" s="51"/>
      <c r="D266" s="51"/>
    </row>
    <row r="267" spans="1:4" x14ac:dyDescent="0.2">
      <c r="A267" s="51"/>
      <c r="D267" s="51"/>
    </row>
    <row r="268" spans="1:4" x14ac:dyDescent="0.2">
      <c r="A268" s="51"/>
      <c r="D268" s="51"/>
    </row>
    <row r="269" spans="1:4" x14ac:dyDescent="0.2">
      <c r="A269" s="51"/>
      <c r="D269" s="51"/>
    </row>
    <row r="270" spans="1:4" x14ac:dyDescent="0.2">
      <c r="A270" s="51"/>
      <c r="D270" s="51"/>
    </row>
    <row r="271" spans="1:4" x14ac:dyDescent="0.2">
      <c r="A271" s="51"/>
      <c r="D271" s="51"/>
    </row>
    <row r="272" spans="1:4" x14ac:dyDescent="0.2">
      <c r="A272" s="51"/>
      <c r="D272" s="51"/>
    </row>
    <row r="273" spans="1:4" x14ac:dyDescent="0.2">
      <c r="A273" s="51"/>
      <c r="D273" s="51"/>
    </row>
    <row r="274" spans="1:4" x14ac:dyDescent="0.2">
      <c r="A274" s="51"/>
      <c r="D274" s="51"/>
    </row>
    <row r="275" spans="1:4" x14ac:dyDescent="0.2">
      <c r="A275" s="51"/>
      <c r="D275" s="51"/>
    </row>
    <row r="276" spans="1:4" x14ac:dyDescent="0.2">
      <c r="A276" s="51"/>
      <c r="D276" s="51"/>
    </row>
    <row r="277" spans="1:4" x14ac:dyDescent="0.2">
      <c r="A277" s="51"/>
      <c r="D277" s="51"/>
    </row>
    <row r="278" spans="1:4" x14ac:dyDescent="0.2">
      <c r="A278" s="51"/>
      <c r="D278" s="51"/>
    </row>
    <row r="279" spans="1:4" x14ac:dyDescent="0.2">
      <c r="A279" s="51"/>
      <c r="D279" s="51"/>
    </row>
    <row r="280" spans="1:4" x14ac:dyDescent="0.2">
      <c r="A280" s="51"/>
      <c r="D280" s="51"/>
    </row>
    <row r="281" spans="1:4" x14ac:dyDescent="0.2">
      <c r="A281" s="51"/>
      <c r="D281" s="51"/>
    </row>
    <row r="282" spans="1:4" x14ac:dyDescent="0.2">
      <c r="A282" s="51"/>
      <c r="D282" s="51"/>
    </row>
    <row r="283" spans="1:4" x14ac:dyDescent="0.2">
      <c r="A283" s="51"/>
      <c r="D283" s="51"/>
    </row>
    <row r="284" spans="1:4" x14ac:dyDescent="0.2">
      <c r="A284" s="51"/>
      <c r="D284" s="51"/>
    </row>
    <row r="285" spans="1:4" x14ac:dyDescent="0.2">
      <c r="A285" s="51"/>
      <c r="D285" s="51"/>
    </row>
    <row r="286" spans="1:4" x14ac:dyDescent="0.2">
      <c r="A286" s="51"/>
      <c r="D286" s="51"/>
    </row>
    <row r="287" spans="1:4" x14ac:dyDescent="0.2">
      <c r="A287" s="51"/>
      <c r="D287" s="51"/>
    </row>
    <row r="288" spans="1:4" x14ac:dyDescent="0.2">
      <c r="A288" s="51"/>
      <c r="D288" s="51"/>
    </row>
    <row r="289" spans="1:4" x14ac:dyDescent="0.2">
      <c r="A289" s="51"/>
      <c r="D289" s="51"/>
    </row>
    <row r="290" spans="1:4" x14ac:dyDescent="0.2">
      <c r="A290" s="51"/>
      <c r="D290" s="51"/>
    </row>
    <row r="291" spans="1:4" x14ac:dyDescent="0.2">
      <c r="A291" s="51"/>
      <c r="D291" s="51"/>
    </row>
    <row r="292" spans="1:4" x14ac:dyDescent="0.2">
      <c r="A292" s="51"/>
      <c r="D292" s="51"/>
    </row>
    <row r="293" spans="1:4" x14ac:dyDescent="0.2">
      <c r="A293" s="51"/>
      <c r="D293" s="51"/>
    </row>
    <row r="294" spans="1:4" x14ac:dyDescent="0.2">
      <c r="A294" s="51"/>
      <c r="D294" s="51"/>
    </row>
    <row r="295" spans="1:4" x14ac:dyDescent="0.2">
      <c r="A295" s="51"/>
      <c r="D295" s="51"/>
    </row>
    <row r="296" spans="1:4" x14ac:dyDescent="0.2">
      <c r="A296" s="51"/>
      <c r="D296" s="51"/>
    </row>
    <row r="297" spans="1:4" x14ac:dyDescent="0.2">
      <c r="A297" s="51"/>
      <c r="D297" s="51"/>
    </row>
    <row r="298" spans="1:4" x14ac:dyDescent="0.2">
      <c r="A298" s="51"/>
      <c r="D298" s="51"/>
    </row>
    <row r="299" spans="1:4" x14ac:dyDescent="0.2">
      <c r="A299" s="51"/>
      <c r="D299" s="51"/>
    </row>
    <row r="300" spans="1:4" x14ac:dyDescent="0.2">
      <c r="A300" s="51"/>
      <c r="D300" s="51"/>
    </row>
    <row r="301" spans="1:4" x14ac:dyDescent="0.2">
      <c r="A301" s="51"/>
      <c r="D301" s="51"/>
    </row>
    <row r="302" spans="1:4" x14ac:dyDescent="0.2">
      <c r="A302" s="51"/>
      <c r="D302" s="51"/>
    </row>
    <row r="303" spans="1:4" x14ac:dyDescent="0.2">
      <c r="A303" s="51"/>
      <c r="D303" s="51"/>
    </row>
    <row r="304" spans="1:4" x14ac:dyDescent="0.2">
      <c r="A304" s="51"/>
      <c r="D304" s="51"/>
    </row>
    <row r="305" spans="1:4" x14ac:dyDescent="0.2">
      <c r="A305" s="51"/>
      <c r="D305" s="51"/>
    </row>
    <row r="306" spans="1:4" x14ac:dyDescent="0.2">
      <c r="A306" s="51"/>
      <c r="D306" s="51"/>
    </row>
    <row r="307" spans="1:4" x14ac:dyDescent="0.2">
      <c r="A307" s="51"/>
      <c r="D307" s="51"/>
    </row>
    <row r="308" spans="1:4" x14ac:dyDescent="0.2">
      <c r="A308" s="51"/>
      <c r="D308" s="51"/>
    </row>
    <row r="309" spans="1:4" x14ac:dyDescent="0.2">
      <c r="A309" s="51"/>
      <c r="D309" s="51"/>
    </row>
    <row r="310" spans="1:4" x14ac:dyDescent="0.2">
      <c r="A310" s="51"/>
      <c r="D310" s="51"/>
    </row>
    <row r="311" spans="1:4" x14ac:dyDescent="0.2">
      <c r="A311" s="51"/>
      <c r="D311" s="51"/>
    </row>
    <row r="312" spans="1:4" x14ac:dyDescent="0.2">
      <c r="A312" s="51"/>
      <c r="D312" s="51"/>
    </row>
    <row r="313" spans="1:4" x14ac:dyDescent="0.2">
      <c r="A313" s="51"/>
      <c r="D313" s="51"/>
    </row>
    <row r="314" spans="1:4" x14ac:dyDescent="0.2">
      <c r="A314" s="51"/>
      <c r="D314" s="51"/>
    </row>
    <row r="315" spans="1:4" x14ac:dyDescent="0.2">
      <c r="A315" s="51"/>
      <c r="D315" s="51"/>
    </row>
    <row r="316" spans="1:4" x14ac:dyDescent="0.2">
      <c r="A316" s="51"/>
      <c r="D316" s="51"/>
    </row>
    <row r="317" spans="1:4" x14ac:dyDescent="0.2">
      <c r="A317" s="51"/>
      <c r="D317" s="51"/>
    </row>
    <row r="318" spans="1:4" x14ac:dyDescent="0.2">
      <c r="A318" s="51"/>
      <c r="D318" s="51"/>
    </row>
    <row r="319" spans="1:4" x14ac:dyDescent="0.2">
      <c r="A319" s="51"/>
      <c r="D319" s="51"/>
    </row>
    <row r="320" spans="1:4" x14ac:dyDescent="0.2">
      <c r="A320" s="51"/>
      <c r="D320" s="51"/>
    </row>
    <row r="321" spans="1:4" x14ac:dyDescent="0.2">
      <c r="A321" s="51"/>
      <c r="D321" s="51"/>
    </row>
    <row r="322" spans="1:4" x14ac:dyDescent="0.2">
      <c r="A322" s="51"/>
      <c r="D322" s="51"/>
    </row>
    <row r="323" spans="1:4" x14ac:dyDescent="0.2">
      <c r="A323" s="51"/>
      <c r="D323" s="51"/>
    </row>
    <row r="324" spans="1:4" x14ac:dyDescent="0.2">
      <c r="A324" s="51"/>
      <c r="D324" s="51"/>
    </row>
    <row r="325" spans="1:4" x14ac:dyDescent="0.2">
      <c r="A325" s="51"/>
      <c r="D325" s="51"/>
    </row>
    <row r="326" spans="1:4" x14ac:dyDescent="0.2">
      <c r="A326" s="51"/>
      <c r="D326" s="51"/>
    </row>
    <row r="327" spans="1:4" x14ac:dyDescent="0.2">
      <c r="A327" s="51"/>
      <c r="D327" s="51"/>
    </row>
    <row r="328" spans="1:4" x14ac:dyDescent="0.2">
      <c r="A328" s="51"/>
      <c r="D328" s="51"/>
    </row>
    <row r="329" spans="1:4" x14ac:dyDescent="0.2">
      <c r="A329" s="51"/>
      <c r="D329" s="51"/>
    </row>
    <row r="330" spans="1:4" x14ac:dyDescent="0.2">
      <c r="A330" s="51"/>
      <c r="D330" s="51"/>
    </row>
    <row r="331" spans="1:4" x14ac:dyDescent="0.2">
      <c r="A331" s="51"/>
      <c r="D331" s="51"/>
    </row>
    <row r="332" spans="1:4" x14ac:dyDescent="0.2">
      <c r="A332" s="51"/>
      <c r="D332" s="51"/>
    </row>
    <row r="333" spans="1:4" x14ac:dyDescent="0.2">
      <c r="A333" s="51"/>
      <c r="D333" s="51"/>
    </row>
    <row r="334" spans="1:4" x14ac:dyDescent="0.2">
      <c r="A334" s="51"/>
      <c r="D334" s="51"/>
    </row>
    <row r="335" spans="1:4" x14ac:dyDescent="0.2">
      <c r="A335" s="51"/>
      <c r="D335" s="51"/>
    </row>
    <row r="336" spans="1:4" x14ac:dyDescent="0.2">
      <c r="A336" s="51"/>
      <c r="D336" s="51"/>
    </row>
    <row r="337" spans="1:6" x14ac:dyDescent="0.2">
      <c r="A337" s="51"/>
      <c r="D337" s="51"/>
    </row>
    <row r="338" spans="1:6" x14ac:dyDescent="0.2">
      <c r="A338" s="51"/>
      <c r="D338" s="51"/>
    </row>
    <row r="339" spans="1:6" x14ac:dyDescent="0.2">
      <c r="A339" s="51"/>
      <c r="D339" s="51"/>
    </row>
    <row r="340" spans="1:6" x14ac:dyDescent="0.2">
      <c r="A340" s="51"/>
      <c r="D340" s="51"/>
    </row>
    <row r="341" spans="1:6" x14ac:dyDescent="0.2">
      <c r="A341" s="51"/>
      <c r="D341" s="51"/>
    </row>
    <row r="342" spans="1:6" x14ac:dyDescent="0.2">
      <c r="A342" s="51"/>
      <c r="D342" s="51"/>
    </row>
    <row r="343" spans="1:6" x14ac:dyDescent="0.2">
      <c r="A343" s="51"/>
      <c r="D343" s="51"/>
    </row>
    <row r="344" spans="1:6" x14ac:dyDescent="0.2">
      <c r="A344" s="51"/>
      <c r="D344" s="51"/>
    </row>
    <row r="345" spans="1:6" x14ac:dyDescent="0.2">
      <c r="A345" s="51"/>
      <c r="D345" s="51"/>
    </row>
    <row r="346" spans="1:6" x14ac:dyDescent="0.2">
      <c r="A346" s="51"/>
      <c r="D346" s="51"/>
    </row>
    <row r="347" spans="1:6" x14ac:dyDescent="0.2">
      <c r="A347" s="51"/>
      <c r="D347" s="51"/>
    </row>
    <row r="348" spans="1:6" x14ac:dyDescent="0.2">
      <c r="A348" s="51"/>
      <c r="D348" s="51"/>
    </row>
    <row r="349" spans="1:6" x14ac:dyDescent="0.2">
      <c r="A349" s="51"/>
      <c r="D349" s="51"/>
    </row>
    <row r="350" spans="1:6" x14ac:dyDescent="0.2">
      <c r="A350" s="51"/>
      <c r="D350" s="51"/>
      <c r="F350" t="e">
        <f>VLOOKUP(A350,I:M,5,0)</f>
        <v>#N/A</v>
      </c>
    </row>
    <row r="351" spans="1:6" x14ac:dyDescent="0.2">
      <c r="A351" s="51"/>
      <c r="D351" s="51"/>
    </row>
    <row r="352" spans="1:6" x14ac:dyDescent="0.2">
      <c r="A352" s="51"/>
      <c r="D352" s="51"/>
    </row>
    <row r="353" spans="1:4" x14ac:dyDescent="0.2">
      <c r="A353" s="51"/>
      <c r="D353" s="51"/>
    </row>
    <row r="354" spans="1:4" x14ac:dyDescent="0.2">
      <c r="A354" s="51"/>
      <c r="D354" s="51"/>
    </row>
    <row r="355" spans="1:4" x14ac:dyDescent="0.2">
      <c r="A355" s="51"/>
      <c r="D355" s="51"/>
    </row>
    <row r="356" spans="1:4" x14ac:dyDescent="0.2">
      <c r="A356" s="51"/>
      <c r="D356" s="51"/>
    </row>
    <row r="357" spans="1:4" x14ac:dyDescent="0.2">
      <c r="A357" s="51"/>
      <c r="D357" s="51"/>
    </row>
    <row r="358" spans="1:4" x14ac:dyDescent="0.2">
      <c r="A358" s="51"/>
      <c r="D358" s="51"/>
    </row>
    <row r="359" spans="1:4" x14ac:dyDescent="0.2">
      <c r="A359" s="51"/>
      <c r="D359" s="51"/>
    </row>
    <row r="360" spans="1:4" x14ac:dyDescent="0.2">
      <c r="A360" s="51"/>
      <c r="D360" s="51"/>
    </row>
    <row r="361" spans="1:4" x14ac:dyDescent="0.2">
      <c r="A361" s="51"/>
      <c r="D361" s="51"/>
    </row>
    <row r="362" spans="1:4" x14ac:dyDescent="0.2">
      <c r="A362" s="51"/>
      <c r="D362" s="51"/>
    </row>
    <row r="363" spans="1:4" x14ac:dyDescent="0.2">
      <c r="A363" s="51"/>
      <c r="D363" s="51"/>
    </row>
    <row r="364" spans="1:4" x14ac:dyDescent="0.2">
      <c r="A364" s="51"/>
      <c r="D364" s="51"/>
    </row>
    <row r="365" spans="1:4" x14ac:dyDescent="0.2">
      <c r="A365" s="51"/>
      <c r="D365" s="51"/>
    </row>
    <row r="366" spans="1:4" x14ac:dyDescent="0.2">
      <c r="A366" s="51"/>
      <c r="D366" s="51"/>
    </row>
    <row r="367" spans="1:4" x14ac:dyDescent="0.2">
      <c r="A367" s="51"/>
      <c r="D367" s="51"/>
    </row>
    <row r="368" spans="1:4" x14ac:dyDescent="0.2">
      <c r="A368" s="51"/>
      <c r="D368" s="51"/>
    </row>
    <row r="369" spans="1:4" x14ac:dyDescent="0.2">
      <c r="A369" s="51"/>
      <c r="D369" s="51"/>
    </row>
    <row r="370" spans="1:4" x14ac:dyDescent="0.2">
      <c r="A370" s="51"/>
      <c r="D370" s="51"/>
    </row>
    <row r="371" spans="1:4" x14ac:dyDescent="0.2">
      <c r="A371" s="51"/>
      <c r="D371" s="51"/>
    </row>
    <row r="372" spans="1:4" x14ac:dyDescent="0.2">
      <c r="A372" s="51"/>
      <c r="D372" s="51"/>
    </row>
    <row r="373" spans="1:4" x14ac:dyDescent="0.2">
      <c r="A373" s="51"/>
      <c r="D373" s="51"/>
    </row>
    <row r="374" spans="1:4" x14ac:dyDescent="0.2">
      <c r="A374" s="51"/>
      <c r="D374" s="51"/>
    </row>
    <row r="375" spans="1:4" x14ac:dyDescent="0.2">
      <c r="A375" s="51"/>
      <c r="D375" s="51"/>
    </row>
    <row r="376" spans="1:4" x14ac:dyDescent="0.2">
      <c r="A376" s="51"/>
      <c r="D376" s="51"/>
    </row>
    <row r="377" spans="1:4" x14ac:dyDescent="0.2">
      <c r="A377" s="51"/>
      <c r="D377" s="51"/>
    </row>
    <row r="378" spans="1:4" x14ac:dyDescent="0.2">
      <c r="A378" s="51"/>
      <c r="D378" s="51"/>
    </row>
    <row r="379" spans="1:4" x14ac:dyDescent="0.2">
      <c r="A379" s="51"/>
      <c r="D379" s="51"/>
    </row>
    <row r="380" spans="1:4" x14ac:dyDescent="0.2">
      <c r="A380" s="51"/>
      <c r="D380" s="51"/>
    </row>
    <row r="381" spans="1:4" x14ac:dyDescent="0.2">
      <c r="A381" s="51"/>
      <c r="D381" s="51"/>
    </row>
    <row r="382" spans="1:4" x14ac:dyDescent="0.2">
      <c r="A382" s="51"/>
      <c r="D382" s="51"/>
    </row>
    <row r="383" spans="1:4" x14ac:dyDescent="0.2">
      <c r="A383" s="51"/>
      <c r="D383" s="51"/>
    </row>
    <row r="384" spans="1:4" x14ac:dyDescent="0.2">
      <c r="A384" s="51"/>
      <c r="D384" s="51"/>
    </row>
    <row r="385" spans="1:4" x14ac:dyDescent="0.2">
      <c r="A385" s="51"/>
      <c r="D385" s="51"/>
    </row>
    <row r="386" spans="1:4" x14ac:dyDescent="0.2">
      <c r="A386" s="51"/>
      <c r="D386" s="51"/>
    </row>
    <row r="387" spans="1:4" x14ac:dyDescent="0.2">
      <c r="A387" s="51"/>
      <c r="D387" s="51"/>
    </row>
    <row r="388" spans="1:4" x14ac:dyDescent="0.2">
      <c r="A388" s="51"/>
      <c r="D388" s="51"/>
    </row>
    <row r="389" spans="1:4" x14ac:dyDescent="0.2">
      <c r="A389" s="51"/>
      <c r="D389" s="51"/>
    </row>
    <row r="390" spans="1:4" x14ac:dyDescent="0.2">
      <c r="A390" s="51"/>
      <c r="D390" s="51"/>
    </row>
    <row r="391" spans="1:4" x14ac:dyDescent="0.2">
      <c r="A391" s="51"/>
      <c r="D391" s="51"/>
    </row>
    <row r="392" spans="1:4" x14ac:dyDescent="0.2">
      <c r="A392" s="51"/>
      <c r="D392" s="51">
        <v>163.29629228517999</v>
      </c>
    </row>
    <row r="393" spans="1:4" x14ac:dyDescent="0.2">
      <c r="A393" s="51"/>
      <c r="D393" s="51"/>
    </row>
    <row r="394" spans="1:4" x14ac:dyDescent="0.2">
      <c r="A394" s="51"/>
      <c r="D394" s="51"/>
    </row>
    <row r="395" spans="1:4" x14ac:dyDescent="0.2">
      <c r="A395" s="51"/>
      <c r="D395" s="51"/>
    </row>
    <row r="396" spans="1:4" x14ac:dyDescent="0.2">
      <c r="A396" s="51"/>
      <c r="D396" s="51"/>
    </row>
    <row r="397" spans="1:4" x14ac:dyDescent="0.2">
      <c r="A397" s="51"/>
      <c r="D397" s="51"/>
    </row>
    <row r="398" spans="1:4" x14ac:dyDescent="0.2">
      <c r="A398" s="51"/>
      <c r="D398" s="51"/>
    </row>
    <row r="399" spans="1:4" x14ac:dyDescent="0.2">
      <c r="A399" s="51"/>
      <c r="D399" s="51"/>
    </row>
    <row r="400" spans="1:4" x14ac:dyDescent="0.2">
      <c r="A400" s="51"/>
      <c r="D400" s="51"/>
    </row>
    <row r="401" spans="1:4" x14ac:dyDescent="0.2">
      <c r="A401" s="51"/>
      <c r="D401" s="51"/>
    </row>
    <row r="402" spans="1:4" x14ac:dyDescent="0.2">
      <c r="A402" s="51"/>
      <c r="D402" s="51"/>
    </row>
    <row r="403" spans="1:4" x14ac:dyDescent="0.2">
      <c r="A403" s="51"/>
      <c r="D403" s="51"/>
    </row>
    <row r="404" spans="1:4" x14ac:dyDescent="0.2">
      <c r="A404" s="51"/>
      <c r="D404" s="51"/>
    </row>
    <row r="405" spans="1:4" x14ac:dyDescent="0.2">
      <c r="A405" s="51"/>
      <c r="D405" s="51"/>
    </row>
    <row r="406" spans="1:4" x14ac:dyDescent="0.2">
      <c r="A406" s="51"/>
      <c r="D406" s="51"/>
    </row>
    <row r="407" spans="1:4" x14ac:dyDescent="0.2">
      <c r="A407" s="51"/>
      <c r="D407" s="51"/>
    </row>
    <row r="408" spans="1:4" x14ac:dyDescent="0.2">
      <c r="A408" s="51"/>
      <c r="D408" s="51"/>
    </row>
    <row r="409" spans="1:4" x14ac:dyDescent="0.2">
      <c r="A409" s="51"/>
      <c r="D409" s="51"/>
    </row>
    <row r="410" spans="1:4" x14ac:dyDescent="0.2">
      <c r="A410" s="51"/>
      <c r="D410" s="51"/>
    </row>
    <row r="411" spans="1:4" x14ac:dyDescent="0.2">
      <c r="A411" s="51"/>
      <c r="D411" s="51"/>
    </row>
    <row r="412" spans="1:4" x14ac:dyDescent="0.2">
      <c r="A412" s="51"/>
      <c r="D412" s="51"/>
    </row>
    <row r="413" spans="1:4" x14ac:dyDescent="0.2">
      <c r="A413" s="51"/>
      <c r="D413" s="51"/>
    </row>
    <row r="414" spans="1:4" x14ac:dyDescent="0.2">
      <c r="A414" s="51"/>
      <c r="D414" s="51"/>
    </row>
    <row r="415" spans="1:4" x14ac:dyDescent="0.2">
      <c r="A415" s="51"/>
      <c r="D415" s="51"/>
    </row>
    <row r="416" spans="1:4" x14ac:dyDescent="0.2">
      <c r="A416" s="51"/>
      <c r="D416" s="51"/>
    </row>
    <row r="417" spans="1:4" x14ac:dyDescent="0.2">
      <c r="A417" s="51"/>
      <c r="D417" s="51"/>
    </row>
    <row r="418" spans="1:4" x14ac:dyDescent="0.2">
      <c r="A418" s="51"/>
      <c r="D418" s="51"/>
    </row>
    <row r="419" spans="1:4" x14ac:dyDescent="0.2">
      <c r="A419" s="51"/>
      <c r="D419" s="51"/>
    </row>
    <row r="420" spans="1:4" x14ac:dyDescent="0.2">
      <c r="A420" s="51"/>
      <c r="D420" s="51"/>
    </row>
    <row r="421" spans="1:4" x14ac:dyDescent="0.2">
      <c r="A421" s="51"/>
      <c r="D421" s="51"/>
    </row>
    <row r="422" spans="1:4" x14ac:dyDescent="0.2">
      <c r="A422" s="51"/>
      <c r="D422" s="51"/>
    </row>
    <row r="423" spans="1:4" x14ac:dyDescent="0.2">
      <c r="A423" s="51"/>
      <c r="D423" s="51"/>
    </row>
    <row r="424" spans="1:4" x14ac:dyDescent="0.2">
      <c r="A424" s="51"/>
      <c r="D424" s="51"/>
    </row>
    <row r="425" spans="1:4" x14ac:dyDescent="0.2">
      <c r="A425" s="51"/>
      <c r="D425" s="51"/>
    </row>
    <row r="426" spans="1:4" x14ac:dyDescent="0.2">
      <c r="A426" s="51"/>
      <c r="D426" s="51"/>
    </row>
    <row r="427" spans="1:4" x14ac:dyDescent="0.2">
      <c r="A427" s="51"/>
      <c r="D427" s="51"/>
    </row>
    <row r="428" spans="1:4" x14ac:dyDescent="0.2">
      <c r="A428" s="51"/>
      <c r="D428" s="51"/>
    </row>
    <row r="429" spans="1:4" x14ac:dyDescent="0.2">
      <c r="A429" s="51"/>
      <c r="D429" s="51"/>
    </row>
    <row r="430" spans="1:4" x14ac:dyDescent="0.2">
      <c r="A430" s="51"/>
      <c r="D430" s="51"/>
    </row>
    <row r="431" spans="1:4" x14ac:dyDescent="0.2">
      <c r="A431" s="51"/>
      <c r="D431" s="51"/>
    </row>
    <row r="432" spans="1:4" x14ac:dyDescent="0.2">
      <c r="A432" s="51"/>
      <c r="D432" s="51"/>
    </row>
    <row r="433" spans="1:4" x14ac:dyDescent="0.2">
      <c r="A433" s="51"/>
      <c r="D433" s="51"/>
    </row>
    <row r="434" spans="1:4" x14ac:dyDescent="0.2">
      <c r="A434" s="51"/>
      <c r="D434" s="51"/>
    </row>
    <row r="435" spans="1:4" x14ac:dyDescent="0.2">
      <c r="A435" s="51"/>
      <c r="D435" s="51"/>
    </row>
    <row r="436" spans="1:4" x14ac:dyDescent="0.2">
      <c r="A436" s="51"/>
      <c r="D436" s="51"/>
    </row>
    <row r="437" spans="1:4" x14ac:dyDescent="0.2">
      <c r="A437" s="51"/>
      <c r="D437" s="51"/>
    </row>
    <row r="438" spans="1:4" x14ac:dyDescent="0.2">
      <c r="A438" s="51"/>
      <c r="D438" s="51"/>
    </row>
    <row r="439" spans="1:4" x14ac:dyDescent="0.2">
      <c r="A439" s="51"/>
      <c r="D439" s="51"/>
    </row>
    <row r="440" spans="1:4" x14ac:dyDescent="0.2">
      <c r="A440" s="51"/>
      <c r="D440" s="51"/>
    </row>
    <row r="441" spans="1:4" x14ac:dyDescent="0.2">
      <c r="A441" s="51"/>
      <c r="D441" s="51"/>
    </row>
    <row r="442" spans="1:4" x14ac:dyDescent="0.2">
      <c r="A442" s="51"/>
      <c r="D442" s="51"/>
    </row>
    <row r="443" spans="1:4" x14ac:dyDescent="0.2">
      <c r="A443" s="51"/>
      <c r="D443" s="51"/>
    </row>
    <row r="444" spans="1:4" x14ac:dyDescent="0.2">
      <c r="A444" s="51"/>
      <c r="D444" s="51"/>
    </row>
    <row r="445" spans="1:4" x14ac:dyDescent="0.2">
      <c r="A445" s="51"/>
      <c r="D445" s="51"/>
    </row>
    <row r="446" spans="1:4" x14ac:dyDescent="0.2">
      <c r="A446" s="51"/>
      <c r="D446" s="51"/>
    </row>
    <row r="447" spans="1:4" x14ac:dyDescent="0.2">
      <c r="A447" s="51"/>
      <c r="D447" s="51"/>
    </row>
    <row r="448" spans="1:4" x14ac:dyDescent="0.2">
      <c r="A448" s="51"/>
      <c r="D448" s="51"/>
    </row>
    <row r="449" spans="1:4" x14ac:dyDescent="0.2">
      <c r="A449" s="51"/>
      <c r="D449" s="51"/>
    </row>
    <row r="450" spans="1:4" x14ac:dyDescent="0.2">
      <c r="A450" s="51"/>
      <c r="D450" s="51"/>
    </row>
    <row r="451" spans="1:4" x14ac:dyDescent="0.2">
      <c r="A451" s="51"/>
      <c r="D451" s="51"/>
    </row>
    <row r="452" spans="1:4" x14ac:dyDescent="0.2">
      <c r="A452" s="51"/>
      <c r="D452" s="51"/>
    </row>
    <row r="453" spans="1:4" x14ac:dyDescent="0.2">
      <c r="A453" s="51"/>
      <c r="D453" s="51"/>
    </row>
    <row r="454" spans="1:4" x14ac:dyDescent="0.2">
      <c r="A454" s="51"/>
      <c r="D454" s="51"/>
    </row>
    <row r="455" spans="1:4" x14ac:dyDescent="0.2">
      <c r="A455" s="51"/>
      <c r="D455" s="51"/>
    </row>
    <row r="456" spans="1:4" x14ac:dyDescent="0.2">
      <c r="A456" s="51"/>
      <c r="D456" s="51"/>
    </row>
    <row r="457" spans="1:4" x14ac:dyDescent="0.2">
      <c r="A457" s="51"/>
      <c r="D457" s="51"/>
    </row>
    <row r="458" spans="1:4" x14ac:dyDescent="0.2">
      <c r="A458" s="51"/>
      <c r="D458" s="51"/>
    </row>
    <row r="459" spans="1:4" x14ac:dyDescent="0.2">
      <c r="A459" s="51"/>
      <c r="D459" s="51"/>
    </row>
    <row r="460" spans="1:4" x14ac:dyDescent="0.2">
      <c r="A460" s="51"/>
      <c r="D460" s="51"/>
    </row>
    <row r="461" spans="1:4" x14ac:dyDescent="0.2">
      <c r="A461" s="51"/>
      <c r="D461" s="51"/>
    </row>
    <row r="462" spans="1:4" x14ac:dyDescent="0.2">
      <c r="A462" s="51"/>
      <c r="D462" s="51"/>
    </row>
    <row r="463" spans="1:4" x14ac:dyDescent="0.2">
      <c r="A463" s="51"/>
      <c r="D463" s="51"/>
    </row>
    <row r="464" spans="1:4" x14ac:dyDescent="0.2">
      <c r="A464" s="51"/>
      <c r="D464" s="51"/>
    </row>
    <row r="465" spans="1:4" x14ac:dyDescent="0.2">
      <c r="A465" s="51"/>
      <c r="D465" s="51"/>
    </row>
    <row r="466" spans="1:4" x14ac:dyDescent="0.2">
      <c r="A466" s="51"/>
      <c r="D466" s="51"/>
    </row>
    <row r="467" spans="1:4" x14ac:dyDescent="0.2">
      <c r="A467" s="51"/>
      <c r="D467" s="51"/>
    </row>
    <row r="468" spans="1:4" x14ac:dyDescent="0.2">
      <c r="A468" s="51"/>
      <c r="D468" s="51"/>
    </row>
    <row r="469" spans="1:4" x14ac:dyDescent="0.2">
      <c r="A469" s="51"/>
      <c r="D469" s="51"/>
    </row>
    <row r="470" spans="1:4" x14ac:dyDescent="0.2">
      <c r="A470" s="51"/>
      <c r="D470" s="51"/>
    </row>
    <row r="471" spans="1:4" x14ac:dyDescent="0.2">
      <c r="A471" s="51"/>
      <c r="D471" s="51"/>
    </row>
    <row r="472" spans="1:4" x14ac:dyDescent="0.2">
      <c r="A472" s="51"/>
      <c r="D472" s="51"/>
    </row>
    <row r="473" spans="1:4" x14ac:dyDescent="0.2">
      <c r="A473" s="51"/>
      <c r="D473" s="51"/>
    </row>
    <row r="474" spans="1:4" x14ac:dyDescent="0.2">
      <c r="A474" s="51"/>
      <c r="D474" s="51"/>
    </row>
    <row r="475" spans="1:4" x14ac:dyDescent="0.2">
      <c r="A475" s="51"/>
      <c r="D475" s="51"/>
    </row>
    <row r="476" spans="1:4" x14ac:dyDescent="0.2">
      <c r="A476" s="51"/>
      <c r="D476" s="51"/>
    </row>
    <row r="477" spans="1:4" x14ac:dyDescent="0.2">
      <c r="A477" s="51"/>
      <c r="D477" s="51"/>
    </row>
    <row r="478" spans="1:4" x14ac:dyDescent="0.2">
      <c r="A478" s="51"/>
      <c r="D478" s="51"/>
    </row>
    <row r="479" spans="1:4" x14ac:dyDescent="0.2">
      <c r="A479" s="51"/>
      <c r="D479" s="51"/>
    </row>
    <row r="480" spans="1:4" x14ac:dyDescent="0.2">
      <c r="A480" s="51"/>
      <c r="D480" s="51"/>
    </row>
    <row r="481" spans="1:4" x14ac:dyDescent="0.2">
      <c r="A481" s="51"/>
      <c r="D481" s="51"/>
    </row>
    <row r="482" spans="1:4" x14ac:dyDescent="0.2">
      <c r="A482" s="51"/>
      <c r="D482" s="51"/>
    </row>
    <row r="483" spans="1:4" x14ac:dyDescent="0.2">
      <c r="A483" s="51"/>
      <c r="D483" s="51"/>
    </row>
    <row r="484" spans="1:4" x14ac:dyDescent="0.2">
      <c r="A484" s="51"/>
      <c r="D484" s="51"/>
    </row>
    <row r="485" spans="1:4" x14ac:dyDescent="0.2">
      <c r="A485" s="51"/>
      <c r="D485" s="51"/>
    </row>
    <row r="486" spans="1:4" x14ac:dyDescent="0.2">
      <c r="A486" s="51"/>
      <c r="D486" s="51"/>
    </row>
    <row r="487" spans="1:4" x14ac:dyDescent="0.2">
      <c r="A487" s="51"/>
      <c r="D487" s="51"/>
    </row>
    <row r="488" spans="1:4" x14ac:dyDescent="0.2">
      <c r="A488" s="51"/>
      <c r="D488" s="51"/>
    </row>
    <row r="489" spans="1:4" x14ac:dyDescent="0.2">
      <c r="A489" s="51"/>
      <c r="D489" s="51"/>
    </row>
    <row r="490" spans="1:4" x14ac:dyDescent="0.2">
      <c r="A490" s="51"/>
      <c r="D490" s="51"/>
    </row>
    <row r="491" spans="1:4" x14ac:dyDescent="0.2">
      <c r="A491" s="51"/>
      <c r="D491" s="51"/>
    </row>
    <row r="492" spans="1:4" x14ac:dyDescent="0.2">
      <c r="A492" s="51"/>
      <c r="D492" s="51"/>
    </row>
    <row r="493" spans="1:4" x14ac:dyDescent="0.2">
      <c r="A493" s="51"/>
      <c r="D493" s="51"/>
    </row>
    <row r="494" spans="1:4" x14ac:dyDescent="0.2">
      <c r="A494" s="51"/>
      <c r="D494" s="51"/>
    </row>
    <row r="495" spans="1:4" x14ac:dyDescent="0.2">
      <c r="A495" s="51"/>
      <c r="D495" s="51"/>
    </row>
    <row r="496" spans="1:4" x14ac:dyDescent="0.2">
      <c r="A496" s="51"/>
      <c r="D496" s="51"/>
    </row>
    <row r="497" spans="1:4" x14ac:dyDescent="0.2">
      <c r="A497" s="51"/>
      <c r="D497" s="51"/>
    </row>
    <row r="498" spans="1:4" x14ac:dyDescent="0.2">
      <c r="A498" s="51"/>
      <c r="D498" s="51"/>
    </row>
    <row r="499" spans="1:4" x14ac:dyDescent="0.2">
      <c r="A499" s="51"/>
      <c r="D499" s="51"/>
    </row>
    <row r="500" spans="1:4" x14ac:dyDescent="0.2">
      <c r="A500" s="51"/>
      <c r="D500" s="51"/>
    </row>
    <row r="501" spans="1:4" x14ac:dyDescent="0.2">
      <c r="A501" s="51"/>
      <c r="D501" s="51"/>
    </row>
    <row r="502" spans="1:4" x14ac:dyDescent="0.2">
      <c r="A502" s="51"/>
      <c r="D502" s="51"/>
    </row>
    <row r="503" spans="1:4" x14ac:dyDescent="0.2">
      <c r="A503" s="51"/>
      <c r="D503" s="51"/>
    </row>
    <row r="504" spans="1:4" x14ac:dyDescent="0.2">
      <c r="A504" s="51"/>
      <c r="D504" s="51"/>
    </row>
    <row r="505" spans="1:4" x14ac:dyDescent="0.2">
      <c r="A505" s="51"/>
      <c r="D505" s="51"/>
    </row>
    <row r="506" spans="1:4" x14ac:dyDescent="0.2">
      <c r="A506" s="51"/>
      <c r="D506" s="51"/>
    </row>
    <row r="507" spans="1:4" x14ac:dyDescent="0.2">
      <c r="A507" s="51"/>
      <c r="D507" s="51"/>
    </row>
    <row r="508" spans="1:4" x14ac:dyDescent="0.2">
      <c r="A508" s="51"/>
      <c r="D508" s="51"/>
    </row>
    <row r="509" spans="1:4" x14ac:dyDescent="0.2">
      <c r="A509" s="51"/>
      <c r="D509" s="51"/>
    </row>
    <row r="510" spans="1:4" x14ac:dyDescent="0.2">
      <c r="A510" s="51"/>
      <c r="D510" s="51"/>
    </row>
    <row r="511" spans="1:4" x14ac:dyDescent="0.2">
      <c r="A511" s="51"/>
      <c r="D511" s="51"/>
    </row>
    <row r="512" spans="1:4" x14ac:dyDescent="0.2">
      <c r="A512" s="51"/>
      <c r="D512" s="51"/>
    </row>
    <row r="513" spans="1:4" x14ac:dyDescent="0.2">
      <c r="A513" s="51"/>
      <c r="D513" s="51"/>
    </row>
    <row r="514" spans="1:4" x14ac:dyDescent="0.2">
      <c r="A514" s="51"/>
      <c r="D514" s="51"/>
    </row>
    <row r="515" spans="1:4" x14ac:dyDescent="0.2">
      <c r="A515" s="51"/>
      <c r="D515" s="51"/>
    </row>
    <row r="516" spans="1:4" x14ac:dyDescent="0.2">
      <c r="A516" s="51"/>
      <c r="D516" s="51"/>
    </row>
    <row r="517" spans="1:4" x14ac:dyDescent="0.2">
      <c r="A517" s="51"/>
      <c r="D517" s="51"/>
    </row>
    <row r="518" spans="1:4" x14ac:dyDescent="0.2">
      <c r="A518" s="51"/>
      <c r="D518" s="51"/>
    </row>
    <row r="519" spans="1:4" x14ac:dyDescent="0.2">
      <c r="A519" s="51"/>
      <c r="D519" s="51"/>
    </row>
    <row r="520" spans="1:4" x14ac:dyDescent="0.2">
      <c r="A520" s="51"/>
      <c r="D520" s="51"/>
    </row>
    <row r="521" spans="1:4" x14ac:dyDescent="0.2">
      <c r="A521" s="51"/>
      <c r="D521" s="51"/>
    </row>
    <row r="522" spans="1:4" x14ac:dyDescent="0.2">
      <c r="A522" s="51"/>
      <c r="D522" s="51"/>
    </row>
    <row r="523" spans="1:4" x14ac:dyDescent="0.2">
      <c r="A523" s="51"/>
      <c r="D523" s="51"/>
    </row>
    <row r="524" spans="1:4" x14ac:dyDescent="0.2">
      <c r="A524" s="51"/>
      <c r="D524" s="51"/>
    </row>
    <row r="525" spans="1:4" x14ac:dyDescent="0.2">
      <c r="A525" s="51"/>
      <c r="D525" s="51"/>
    </row>
    <row r="526" spans="1:4" x14ac:dyDescent="0.2">
      <c r="A526" s="51"/>
      <c r="D526" s="51"/>
    </row>
    <row r="527" spans="1:4" x14ac:dyDescent="0.2">
      <c r="A527" s="51"/>
      <c r="D527" s="51"/>
    </row>
    <row r="528" spans="1:4" x14ac:dyDescent="0.2">
      <c r="A528" s="51"/>
      <c r="D528" s="51"/>
    </row>
    <row r="529" spans="1:4" x14ac:dyDescent="0.2">
      <c r="A529" s="51"/>
      <c r="D529" s="51"/>
    </row>
    <row r="530" spans="1:4" x14ac:dyDescent="0.2">
      <c r="A530" s="51"/>
      <c r="D530" s="51"/>
    </row>
    <row r="531" spans="1:4" x14ac:dyDescent="0.2">
      <c r="A531" s="51"/>
      <c r="D531" s="51"/>
    </row>
    <row r="532" spans="1:4" x14ac:dyDescent="0.2">
      <c r="A532" s="51"/>
      <c r="D532" s="51"/>
    </row>
    <row r="533" spans="1:4" x14ac:dyDescent="0.2">
      <c r="A533" s="51"/>
      <c r="D533" s="51"/>
    </row>
    <row r="534" spans="1:4" x14ac:dyDescent="0.2">
      <c r="A534" s="51"/>
      <c r="D534" s="51"/>
    </row>
    <row r="535" spans="1:4" x14ac:dyDescent="0.2">
      <c r="A535" s="51"/>
      <c r="D535" s="51"/>
    </row>
    <row r="536" spans="1:4" x14ac:dyDescent="0.2">
      <c r="A536" s="51"/>
      <c r="D536" s="51"/>
    </row>
    <row r="537" spans="1:4" x14ac:dyDescent="0.2">
      <c r="A537" s="51"/>
      <c r="D537" s="51"/>
    </row>
    <row r="538" spans="1:4" x14ac:dyDescent="0.2">
      <c r="A538" s="51"/>
      <c r="D538" s="51"/>
    </row>
    <row r="539" spans="1:4" x14ac:dyDescent="0.2">
      <c r="A539" s="51"/>
      <c r="D539" s="51"/>
    </row>
    <row r="540" spans="1:4" x14ac:dyDescent="0.2">
      <c r="A540" s="51"/>
      <c r="D540" s="51"/>
    </row>
    <row r="541" spans="1:4" x14ac:dyDescent="0.2">
      <c r="A541" s="51"/>
      <c r="D541" s="51"/>
    </row>
    <row r="542" spans="1:4" x14ac:dyDescent="0.2">
      <c r="A542" s="51"/>
      <c r="D542" s="51"/>
    </row>
    <row r="543" spans="1:4" x14ac:dyDescent="0.2">
      <c r="A543" s="51"/>
      <c r="D543" s="51"/>
    </row>
    <row r="544" spans="1:4" x14ac:dyDescent="0.2">
      <c r="A544" s="51"/>
      <c r="D544" s="51"/>
    </row>
    <row r="545" spans="1:4" x14ac:dyDescent="0.2">
      <c r="A545" s="51"/>
      <c r="D545" s="51"/>
    </row>
    <row r="546" spans="1:4" x14ac:dyDescent="0.2">
      <c r="A546" s="51"/>
      <c r="D546" s="51"/>
    </row>
    <row r="547" spans="1:4" x14ac:dyDescent="0.2">
      <c r="A547" s="51"/>
      <c r="D547" s="51"/>
    </row>
    <row r="548" spans="1:4" x14ac:dyDescent="0.2">
      <c r="A548" s="51"/>
      <c r="D548" s="51"/>
    </row>
    <row r="549" spans="1:4" x14ac:dyDescent="0.2">
      <c r="A549" s="51"/>
      <c r="D549" s="51"/>
    </row>
    <row r="550" spans="1:4" x14ac:dyDescent="0.2">
      <c r="A550" s="51"/>
      <c r="D550" s="51"/>
    </row>
    <row r="551" spans="1:4" x14ac:dyDescent="0.2">
      <c r="A551" s="51"/>
      <c r="D551" s="51"/>
    </row>
    <row r="552" spans="1:4" x14ac:dyDescent="0.2">
      <c r="A552" s="51"/>
      <c r="D552" s="51"/>
    </row>
    <row r="553" spans="1:4" x14ac:dyDescent="0.2">
      <c r="A553" s="51"/>
      <c r="D553" s="51"/>
    </row>
    <row r="554" spans="1:4" x14ac:dyDescent="0.2">
      <c r="A554" s="51"/>
      <c r="D554" s="51"/>
    </row>
    <row r="555" spans="1:4" x14ac:dyDescent="0.2">
      <c r="A555" s="51"/>
      <c r="D555" s="51"/>
    </row>
    <row r="556" spans="1:4" x14ac:dyDescent="0.2">
      <c r="A556" s="51"/>
      <c r="D556" s="51"/>
    </row>
    <row r="557" spans="1:4" x14ac:dyDescent="0.2">
      <c r="A557" s="51"/>
      <c r="D557" s="51"/>
    </row>
    <row r="558" spans="1:4" x14ac:dyDescent="0.2">
      <c r="A558" s="51"/>
      <c r="D558" s="51"/>
    </row>
    <row r="559" spans="1:4" x14ac:dyDescent="0.2">
      <c r="A559" s="51"/>
      <c r="D559" s="51"/>
    </row>
    <row r="560" spans="1:4" x14ac:dyDescent="0.2">
      <c r="A560" s="51"/>
      <c r="D560" s="51"/>
    </row>
    <row r="561" spans="1:4" x14ac:dyDescent="0.2">
      <c r="A561" s="51"/>
      <c r="D561" s="51"/>
    </row>
    <row r="562" spans="1:4" x14ac:dyDescent="0.2">
      <c r="A562" s="51"/>
      <c r="D562" s="51"/>
    </row>
    <row r="563" spans="1:4" x14ac:dyDescent="0.2">
      <c r="A563" s="51"/>
      <c r="D563" s="51"/>
    </row>
    <row r="564" spans="1:4" x14ac:dyDescent="0.2">
      <c r="A564" s="51"/>
      <c r="D564" s="51"/>
    </row>
    <row r="565" spans="1:4" x14ac:dyDescent="0.2">
      <c r="A565" s="51"/>
      <c r="D565" s="51"/>
    </row>
    <row r="566" spans="1:4" x14ac:dyDescent="0.2">
      <c r="A566" s="51"/>
      <c r="D566" s="51"/>
    </row>
    <row r="567" spans="1:4" x14ac:dyDescent="0.2">
      <c r="A567" s="51"/>
      <c r="D567" s="51"/>
    </row>
    <row r="568" spans="1:4" x14ac:dyDescent="0.2">
      <c r="A568" s="51"/>
      <c r="D568" s="51"/>
    </row>
    <row r="569" spans="1:4" x14ac:dyDescent="0.2">
      <c r="A569" s="51"/>
      <c r="D569" s="51"/>
    </row>
    <row r="570" spans="1:4" x14ac:dyDescent="0.2">
      <c r="A570" s="51"/>
      <c r="D570" s="51"/>
    </row>
    <row r="571" spans="1:4" x14ac:dyDescent="0.2">
      <c r="A571" s="51"/>
      <c r="D571" s="51"/>
    </row>
    <row r="572" spans="1:4" x14ac:dyDescent="0.2">
      <c r="A572" s="51"/>
      <c r="D572" s="51"/>
    </row>
    <row r="573" spans="1:4" x14ac:dyDescent="0.2">
      <c r="A573" s="51"/>
      <c r="D573" s="51"/>
    </row>
    <row r="574" spans="1:4" x14ac:dyDescent="0.2">
      <c r="A574" s="51"/>
      <c r="D574" s="51"/>
    </row>
    <row r="575" spans="1:4" x14ac:dyDescent="0.2">
      <c r="A575" s="51"/>
      <c r="D575" s="51"/>
    </row>
    <row r="576" spans="1:4" x14ac:dyDescent="0.2">
      <c r="A576" s="51"/>
      <c r="D576" s="51"/>
    </row>
    <row r="577" spans="1:4" x14ac:dyDescent="0.2">
      <c r="A577" s="51"/>
      <c r="D577" s="51"/>
    </row>
    <row r="578" spans="1:4" x14ac:dyDescent="0.2">
      <c r="A578" s="51"/>
      <c r="D578" s="51"/>
    </row>
    <row r="579" spans="1:4" x14ac:dyDescent="0.2">
      <c r="A579" s="51"/>
      <c r="D579" s="51"/>
    </row>
    <row r="580" spans="1:4" x14ac:dyDescent="0.2">
      <c r="A580" s="51"/>
      <c r="D580" s="51"/>
    </row>
    <row r="581" spans="1:4" x14ac:dyDescent="0.2">
      <c r="A581" s="51"/>
      <c r="D581" s="51"/>
    </row>
    <row r="582" spans="1:4" x14ac:dyDescent="0.2">
      <c r="A582" s="51"/>
      <c r="D582" s="51"/>
    </row>
    <row r="583" spans="1:4" x14ac:dyDescent="0.2">
      <c r="A583" s="51"/>
      <c r="D583" s="51"/>
    </row>
    <row r="584" spans="1:4" x14ac:dyDescent="0.2">
      <c r="A584" s="51"/>
      <c r="D584" s="51"/>
    </row>
    <row r="585" spans="1:4" x14ac:dyDescent="0.2">
      <c r="A585" s="51"/>
      <c r="D585" s="51"/>
    </row>
    <row r="586" spans="1:4" x14ac:dyDescent="0.2">
      <c r="A586" s="51"/>
      <c r="D586" s="51"/>
    </row>
    <row r="587" spans="1:4" x14ac:dyDescent="0.2">
      <c r="A587" s="51"/>
      <c r="D587" s="51"/>
    </row>
    <row r="588" spans="1:4" x14ac:dyDescent="0.2">
      <c r="A588" s="51"/>
      <c r="D588" s="51"/>
    </row>
    <row r="589" spans="1:4" x14ac:dyDescent="0.2">
      <c r="A589" s="51"/>
      <c r="D589" s="51"/>
    </row>
    <row r="590" spans="1:4" x14ac:dyDescent="0.2">
      <c r="A590" s="51"/>
      <c r="D590" s="51"/>
    </row>
    <row r="591" spans="1:4" x14ac:dyDescent="0.2">
      <c r="A591" s="51"/>
      <c r="D591" s="51"/>
    </row>
    <row r="592" spans="1:4" x14ac:dyDescent="0.2">
      <c r="A592" s="51"/>
      <c r="D592" s="51"/>
    </row>
    <row r="593" spans="1:4" x14ac:dyDescent="0.2">
      <c r="A593" s="51"/>
      <c r="D593" s="51"/>
    </row>
    <row r="594" spans="1:4" x14ac:dyDescent="0.2">
      <c r="A594" s="51"/>
      <c r="D594" s="51"/>
    </row>
    <row r="595" spans="1:4" x14ac:dyDescent="0.2">
      <c r="A595" s="51"/>
      <c r="D595" s="51"/>
    </row>
    <row r="596" spans="1:4" x14ac:dyDescent="0.2">
      <c r="A596" s="51"/>
      <c r="D596" s="51"/>
    </row>
    <row r="597" spans="1:4" x14ac:dyDescent="0.2">
      <c r="A597" s="51"/>
      <c r="D597" s="51"/>
    </row>
    <row r="598" spans="1:4" x14ac:dyDescent="0.2">
      <c r="A598" s="51"/>
      <c r="D598" s="51"/>
    </row>
    <row r="599" spans="1:4" x14ac:dyDescent="0.2">
      <c r="A599" s="51"/>
      <c r="D599" s="51"/>
    </row>
    <row r="600" spans="1:4" x14ac:dyDescent="0.2">
      <c r="A600" s="51"/>
      <c r="D600" s="51"/>
    </row>
    <row r="601" spans="1:4" x14ac:dyDescent="0.2">
      <c r="A601" s="51"/>
      <c r="D601" s="51"/>
    </row>
    <row r="602" spans="1:4" x14ac:dyDescent="0.2">
      <c r="A602" s="51"/>
      <c r="D602" s="51"/>
    </row>
    <row r="603" spans="1:4" x14ac:dyDescent="0.2">
      <c r="A603" s="51"/>
      <c r="D603" s="51"/>
    </row>
    <row r="604" spans="1:4" x14ac:dyDescent="0.2">
      <c r="A604" s="51"/>
      <c r="D604" s="51"/>
    </row>
    <row r="605" spans="1:4" x14ac:dyDescent="0.2">
      <c r="A605" s="51"/>
      <c r="D605" s="51"/>
    </row>
    <row r="606" spans="1:4" x14ac:dyDescent="0.2">
      <c r="A606" s="51"/>
      <c r="D606" s="51"/>
    </row>
    <row r="607" spans="1:4" x14ac:dyDescent="0.2">
      <c r="A607" s="51"/>
      <c r="D607" s="51"/>
    </row>
    <row r="608" spans="1:4" x14ac:dyDescent="0.2">
      <c r="A608" s="51"/>
      <c r="D608" s="51"/>
    </row>
    <row r="609" spans="1:4" x14ac:dyDescent="0.2">
      <c r="A609" s="51"/>
      <c r="D609" s="51"/>
    </row>
    <row r="610" spans="1:4" x14ac:dyDescent="0.2">
      <c r="A610" s="51"/>
      <c r="D610" s="51"/>
    </row>
    <row r="611" spans="1:4" x14ac:dyDescent="0.2">
      <c r="A611" s="51"/>
      <c r="D611" s="51"/>
    </row>
    <row r="612" spans="1:4" x14ac:dyDescent="0.2">
      <c r="A612" s="51"/>
      <c r="D612" s="51"/>
    </row>
    <row r="613" spans="1:4" x14ac:dyDescent="0.2">
      <c r="A613" s="51"/>
      <c r="D613" s="51"/>
    </row>
    <row r="614" spans="1:4" x14ac:dyDescent="0.2">
      <c r="A614" s="51"/>
      <c r="D614" s="51"/>
    </row>
    <row r="615" spans="1:4" x14ac:dyDescent="0.2">
      <c r="A615" s="51"/>
      <c r="D615" s="51"/>
    </row>
    <row r="616" spans="1:4" x14ac:dyDescent="0.2">
      <c r="A616" s="51"/>
      <c r="D616" s="51"/>
    </row>
    <row r="617" spans="1:4" x14ac:dyDescent="0.2">
      <c r="A617" s="51"/>
      <c r="D617" s="51"/>
    </row>
    <row r="618" spans="1:4" x14ac:dyDescent="0.2">
      <c r="A618" s="51"/>
      <c r="D618" s="51"/>
    </row>
    <row r="619" spans="1:4" x14ac:dyDescent="0.2">
      <c r="A619" s="51"/>
      <c r="D619" s="51"/>
    </row>
    <row r="620" spans="1:4" x14ac:dyDescent="0.2">
      <c r="A620" s="51"/>
      <c r="D620" s="51"/>
    </row>
    <row r="621" spans="1:4" x14ac:dyDescent="0.2">
      <c r="A621" s="51"/>
      <c r="D621" s="51"/>
    </row>
    <row r="622" spans="1:4" x14ac:dyDescent="0.2">
      <c r="A622" s="51"/>
      <c r="D622" s="51"/>
    </row>
    <row r="623" spans="1:4" x14ac:dyDescent="0.2">
      <c r="A623" s="51"/>
      <c r="D623" s="51"/>
    </row>
    <row r="624" spans="1:4" x14ac:dyDescent="0.2">
      <c r="A624" s="51"/>
      <c r="D624" s="51"/>
    </row>
    <row r="625" spans="1:4" x14ac:dyDescent="0.2">
      <c r="A625" s="51"/>
      <c r="D625" s="51"/>
    </row>
    <row r="626" spans="1:4" x14ac:dyDescent="0.2">
      <c r="A626" s="51"/>
      <c r="D626" s="51"/>
    </row>
    <row r="627" spans="1:4" x14ac:dyDescent="0.2">
      <c r="A627" s="51"/>
      <c r="D627" s="51"/>
    </row>
    <row r="628" spans="1:4" x14ac:dyDescent="0.2">
      <c r="A628" s="51"/>
      <c r="D628" s="51"/>
    </row>
    <row r="629" spans="1:4" x14ac:dyDescent="0.2">
      <c r="A629" s="51"/>
      <c r="D629" s="51"/>
    </row>
    <row r="630" spans="1:4" x14ac:dyDescent="0.2">
      <c r="A630" s="51"/>
      <c r="D630" s="51"/>
    </row>
    <row r="631" spans="1:4" x14ac:dyDescent="0.2">
      <c r="A631" s="51"/>
      <c r="D631" s="51"/>
    </row>
    <row r="632" spans="1:4" x14ac:dyDescent="0.2">
      <c r="A632" s="51"/>
      <c r="D632" s="51"/>
    </row>
    <row r="633" spans="1:4" x14ac:dyDescent="0.2">
      <c r="A633" s="51"/>
      <c r="D633" s="51"/>
    </row>
    <row r="634" spans="1:4" x14ac:dyDescent="0.2">
      <c r="A634" s="51"/>
      <c r="D634" s="51"/>
    </row>
    <row r="635" spans="1:4" x14ac:dyDescent="0.2">
      <c r="A635" s="51"/>
      <c r="D635" s="51"/>
    </row>
    <row r="636" spans="1:4" x14ac:dyDescent="0.2">
      <c r="A636" s="51"/>
      <c r="D636" s="51"/>
    </row>
    <row r="637" spans="1:4" x14ac:dyDescent="0.2">
      <c r="A637" s="51"/>
      <c r="D637" s="51"/>
    </row>
    <row r="638" spans="1:4" x14ac:dyDescent="0.2">
      <c r="A638" s="51"/>
      <c r="D638" s="51"/>
    </row>
    <row r="639" spans="1:4" x14ac:dyDescent="0.2">
      <c r="A639" s="51"/>
      <c r="D639" s="51"/>
    </row>
    <row r="640" spans="1:4" x14ac:dyDescent="0.2">
      <c r="A640" s="51"/>
      <c r="D640" s="51"/>
    </row>
    <row r="641" spans="1:4" x14ac:dyDescent="0.2">
      <c r="A641" s="51"/>
      <c r="D641" s="51"/>
    </row>
    <row r="642" spans="1:4" x14ac:dyDescent="0.2">
      <c r="A642" s="51"/>
      <c r="D642" s="51"/>
    </row>
    <row r="643" spans="1:4" x14ac:dyDescent="0.2">
      <c r="A643" s="51"/>
      <c r="D643" s="51"/>
    </row>
    <row r="644" spans="1:4" x14ac:dyDescent="0.2">
      <c r="A644" s="51"/>
      <c r="D644" s="51"/>
    </row>
    <row r="645" spans="1:4" x14ac:dyDescent="0.2">
      <c r="A645" s="51"/>
      <c r="D645" s="51"/>
    </row>
    <row r="646" spans="1:4" x14ac:dyDescent="0.2">
      <c r="A646" s="51"/>
      <c r="D646" s="51"/>
    </row>
    <row r="647" spans="1:4" x14ac:dyDescent="0.2">
      <c r="A647" s="51"/>
      <c r="D647" s="51"/>
    </row>
    <row r="648" spans="1:4" x14ac:dyDescent="0.2">
      <c r="A648" s="51"/>
      <c r="D648" s="51"/>
    </row>
    <row r="649" spans="1:4" x14ac:dyDescent="0.2">
      <c r="A649" s="51"/>
      <c r="D649" s="51"/>
    </row>
    <row r="650" spans="1:4" x14ac:dyDescent="0.2">
      <c r="A650" s="51"/>
      <c r="D650" s="51"/>
    </row>
    <row r="651" spans="1:4" x14ac:dyDescent="0.2">
      <c r="A651" s="51"/>
      <c r="D651" s="51"/>
    </row>
    <row r="652" spans="1:4" x14ac:dyDescent="0.2">
      <c r="A652" s="51"/>
      <c r="D652" s="51"/>
    </row>
    <row r="653" spans="1:4" x14ac:dyDescent="0.2">
      <c r="A653" s="51"/>
      <c r="D653" s="51"/>
    </row>
    <row r="654" spans="1:4" x14ac:dyDescent="0.2">
      <c r="A654" s="51"/>
      <c r="D654" s="51"/>
    </row>
    <row r="655" spans="1:4" x14ac:dyDescent="0.2">
      <c r="A655" s="51"/>
      <c r="D655" s="51"/>
    </row>
    <row r="656" spans="1:4" x14ac:dyDescent="0.2">
      <c r="A656" s="51"/>
      <c r="D656" s="51"/>
    </row>
    <row r="657" spans="1:4" x14ac:dyDescent="0.2">
      <c r="A657" s="51"/>
      <c r="D657" s="51"/>
    </row>
    <row r="658" spans="1:4" x14ac:dyDescent="0.2">
      <c r="A658" s="51"/>
      <c r="D658" s="51"/>
    </row>
    <row r="659" spans="1:4" x14ac:dyDescent="0.2">
      <c r="A659" s="51"/>
      <c r="D659" s="51"/>
    </row>
    <row r="660" spans="1:4" x14ac:dyDescent="0.2">
      <c r="A660" s="51"/>
      <c r="D660" s="51"/>
    </row>
    <row r="661" spans="1:4" x14ac:dyDescent="0.2">
      <c r="A661" s="51"/>
      <c r="D661" s="51"/>
    </row>
    <row r="662" spans="1:4" x14ac:dyDescent="0.2">
      <c r="A662" s="51"/>
      <c r="D662" s="51"/>
    </row>
    <row r="663" spans="1:4" x14ac:dyDescent="0.2">
      <c r="A663" s="51"/>
      <c r="D663" s="51"/>
    </row>
    <row r="664" spans="1:4" x14ac:dyDescent="0.2">
      <c r="A664" s="51"/>
      <c r="D664" s="51"/>
    </row>
    <row r="665" spans="1:4" x14ac:dyDescent="0.2">
      <c r="A665" s="51"/>
      <c r="D665" s="51"/>
    </row>
    <row r="666" spans="1:4" x14ac:dyDescent="0.2">
      <c r="A666" s="51"/>
      <c r="D666" s="51"/>
    </row>
    <row r="667" spans="1:4" x14ac:dyDescent="0.2">
      <c r="A667" s="51"/>
      <c r="D667" s="51"/>
    </row>
    <row r="668" spans="1:4" x14ac:dyDescent="0.2">
      <c r="A668" s="51"/>
      <c r="D668" s="51"/>
    </row>
    <row r="669" spans="1:4" x14ac:dyDescent="0.2">
      <c r="A669" s="51"/>
      <c r="D669" s="51"/>
    </row>
    <row r="670" spans="1:4" x14ac:dyDescent="0.2">
      <c r="A670" s="51"/>
      <c r="D670" s="51"/>
    </row>
    <row r="671" spans="1:4" x14ac:dyDescent="0.2">
      <c r="A671" s="51"/>
      <c r="D671" s="51"/>
    </row>
    <row r="672" spans="1:4" x14ac:dyDescent="0.2">
      <c r="A672" s="51"/>
      <c r="D672" s="51"/>
    </row>
    <row r="673" spans="1:4" x14ac:dyDescent="0.2">
      <c r="A673" s="51"/>
      <c r="D673" s="51"/>
    </row>
    <row r="674" spans="1:4" x14ac:dyDescent="0.2">
      <c r="A674" s="51"/>
      <c r="D674" s="51"/>
    </row>
    <row r="675" spans="1:4" x14ac:dyDescent="0.2">
      <c r="A675" s="51"/>
      <c r="D675" s="51"/>
    </row>
    <row r="676" spans="1:4" x14ac:dyDescent="0.2">
      <c r="A676" s="51"/>
      <c r="D676" s="51"/>
    </row>
    <row r="677" spans="1:4" x14ac:dyDescent="0.2">
      <c r="A677" s="51"/>
      <c r="D677" s="51"/>
    </row>
    <row r="678" spans="1:4" x14ac:dyDescent="0.2">
      <c r="A678" s="51"/>
      <c r="D678" s="51"/>
    </row>
    <row r="679" spans="1:4" x14ac:dyDescent="0.2">
      <c r="A679" s="51"/>
      <c r="D679" s="51"/>
    </row>
    <row r="680" spans="1:4" x14ac:dyDescent="0.2">
      <c r="A680" s="51"/>
      <c r="D680" s="51"/>
    </row>
    <row r="681" spans="1:4" x14ac:dyDescent="0.2">
      <c r="A681" s="51"/>
      <c r="D681" s="51"/>
    </row>
    <row r="682" spans="1:4" x14ac:dyDescent="0.2">
      <c r="A682" s="51"/>
      <c r="D682" s="51"/>
    </row>
    <row r="683" spans="1:4" x14ac:dyDescent="0.2">
      <c r="A683" s="51"/>
      <c r="D683" s="51"/>
    </row>
    <row r="684" spans="1:4" x14ac:dyDescent="0.2">
      <c r="A684" s="51"/>
      <c r="D684" s="51"/>
    </row>
    <row r="685" spans="1:4" x14ac:dyDescent="0.2">
      <c r="A685" s="51"/>
      <c r="D685" s="51"/>
    </row>
    <row r="686" spans="1:4" x14ac:dyDescent="0.2">
      <c r="A686" s="51"/>
      <c r="D686" s="51"/>
    </row>
    <row r="687" spans="1:4" x14ac:dyDescent="0.2">
      <c r="A687" s="51"/>
      <c r="D687" s="51"/>
    </row>
    <row r="688" spans="1:4" x14ac:dyDescent="0.2">
      <c r="A688" s="51"/>
      <c r="D688" s="51"/>
    </row>
    <row r="689" spans="1:4" x14ac:dyDescent="0.2">
      <c r="A689" s="51"/>
      <c r="D689" s="51"/>
    </row>
    <row r="690" spans="1:4" x14ac:dyDescent="0.2">
      <c r="A690" s="51"/>
      <c r="D690" s="51"/>
    </row>
    <row r="691" spans="1:4" x14ac:dyDescent="0.2">
      <c r="A691" s="51"/>
      <c r="D691" s="51"/>
    </row>
    <row r="692" spans="1:4" x14ac:dyDescent="0.2">
      <c r="A692" s="51"/>
      <c r="D692" s="51"/>
    </row>
    <row r="693" spans="1:4" x14ac:dyDescent="0.2">
      <c r="A693" s="51"/>
      <c r="D693" s="51"/>
    </row>
    <row r="694" spans="1:4" x14ac:dyDescent="0.2">
      <c r="A694" s="51"/>
      <c r="D694" s="51"/>
    </row>
    <row r="695" spans="1:4" x14ac:dyDescent="0.2">
      <c r="A695" s="51"/>
      <c r="D695" s="51"/>
    </row>
    <row r="696" spans="1:4" x14ac:dyDescent="0.2">
      <c r="A696" s="51"/>
      <c r="D696" s="51"/>
    </row>
    <row r="697" spans="1:4" x14ac:dyDescent="0.2">
      <c r="A697" s="51"/>
      <c r="D697" s="51"/>
    </row>
    <row r="698" spans="1:4" x14ac:dyDescent="0.2">
      <c r="A698" s="51"/>
      <c r="D698" s="51"/>
    </row>
    <row r="699" spans="1:4" x14ac:dyDescent="0.2">
      <c r="A699" s="51"/>
      <c r="D699" s="51"/>
    </row>
    <row r="700" spans="1:4" x14ac:dyDescent="0.2">
      <c r="A700" s="51"/>
      <c r="D700" s="51"/>
    </row>
    <row r="701" spans="1:4" x14ac:dyDescent="0.2">
      <c r="A701" s="51"/>
      <c r="D701" s="51"/>
    </row>
    <row r="702" spans="1:4" x14ac:dyDescent="0.2">
      <c r="A702" s="51"/>
      <c r="D702" s="51"/>
    </row>
    <row r="703" spans="1:4" x14ac:dyDescent="0.2">
      <c r="A703" s="51"/>
      <c r="D703" s="51"/>
    </row>
    <row r="704" spans="1:4" x14ac:dyDescent="0.2">
      <c r="A704" s="51"/>
      <c r="D704" s="51"/>
    </row>
    <row r="705" spans="1:4" x14ac:dyDescent="0.2">
      <c r="A705" s="51"/>
      <c r="D705" s="51"/>
    </row>
    <row r="706" spans="1:4" x14ac:dyDescent="0.2">
      <c r="A706" s="51"/>
      <c r="D706" s="51"/>
    </row>
    <row r="707" spans="1:4" x14ac:dyDescent="0.2">
      <c r="A707" s="51"/>
      <c r="D707" s="51"/>
    </row>
    <row r="708" spans="1:4" x14ac:dyDescent="0.2">
      <c r="A708" s="51"/>
      <c r="D708" s="51"/>
    </row>
    <row r="709" spans="1:4" x14ac:dyDescent="0.2">
      <c r="A709" s="51"/>
      <c r="D709" s="51"/>
    </row>
    <row r="710" spans="1:4" x14ac:dyDescent="0.2">
      <c r="A710" s="51"/>
      <c r="D710" s="51"/>
    </row>
    <row r="711" spans="1:4" x14ac:dyDescent="0.2">
      <c r="A711" s="51"/>
      <c r="D711" s="51"/>
    </row>
    <row r="712" spans="1:4" x14ac:dyDescent="0.2">
      <c r="A712" s="51"/>
      <c r="D712" s="51"/>
    </row>
    <row r="713" spans="1:4" x14ac:dyDescent="0.2">
      <c r="A713" s="51"/>
      <c r="D713" s="51"/>
    </row>
    <row r="714" spans="1:4" x14ac:dyDescent="0.2">
      <c r="A714" s="51"/>
      <c r="D714" s="51"/>
    </row>
    <row r="715" spans="1:4" x14ac:dyDescent="0.2">
      <c r="A715" s="51"/>
      <c r="D715" s="51"/>
    </row>
    <row r="716" spans="1:4" x14ac:dyDescent="0.2">
      <c r="A716" s="51"/>
      <c r="D716" s="51"/>
    </row>
    <row r="717" spans="1:4" x14ac:dyDescent="0.2">
      <c r="A717" s="51"/>
      <c r="D717" s="51"/>
    </row>
    <row r="718" spans="1:4" x14ac:dyDescent="0.2">
      <c r="A718" s="51"/>
      <c r="D718" s="51"/>
    </row>
    <row r="719" spans="1:4" x14ac:dyDescent="0.2">
      <c r="A719" s="51"/>
      <c r="D719" s="51"/>
    </row>
    <row r="720" spans="1:4" x14ac:dyDescent="0.2">
      <c r="A720" s="51"/>
      <c r="D720" s="51"/>
    </row>
    <row r="721" spans="1:4" x14ac:dyDescent="0.2">
      <c r="A721" s="51"/>
      <c r="D721" s="51"/>
    </row>
    <row r="722" spans="1:4" x14ac:dyDescent="0.2">
      <c r="A722" s="51"/>
      <c r="D722" s="51"/>
    </row>
    <row r="723" spans="1:4" x14ac:dyDescent="0.2">
      <c r="A723" s="51"/>
      <c r="D723" s="51"/>
    </row>
    <row r="724" spans="1:4" x14ac:dyDescent="0.2">
      <c r="A724" s="51"/>
      <c r="D724" s="51"/>
    </row>
    <row r="725" spans="1:4" x14ac:dyDescent="0.2">
      <c r="A725" s="51"/>
      <c r="D725" s="51"/>
    </row>
    <row r="726" spans="1:4" x14ac:dyDescent="0.2">
      <c r="A726" s="51"/>
      <c r="D726" s="51"/>
    </row>
    <row r="727" spans="1:4" x14ac:dyDescent="0.2">
      <c r="A727" s="51"/>
      <c r="D727" s="51"/>
    </row>
    <row r="728" spans="1:4" x14ac:dyDescent="0.2">
      <c r="A728" s="51"/>
      <c r="D728" s="51"/>
    </row>
    <row r="729" spans="1:4" x14ac:dyDescent="0.2">
      <c r="A729" s="51"/>
      <c r="D729" s="51"/>
    </row>
    <row r="730" spans="1:4" x14ac:dyDescent="0.2">
      <c r="A730" s="51"/>
      <c r="D730" s="51"/>
    </row>
    <row r="731" spans="1:4" x14ac:dyDescent="0.2">
      <c r="A731" s="51"/>
      <c r="D731" s="51"/>
    </row>
    <row r="732" spans="1:4" x14ac:dyDescent="0.2">
      <c r="A732" s="51"/>
      <c r="D732" s="51"/>
    </row>
    <row r="733" spans="1:4" x14ac:dyDescent="0.2">
      <c r="A733" s="51"/>
      <c r="D733" s="51"/>
    </row>
    <row r="734" spans="1:4" x14ac:dyDescent="0.2">
      <c r="A734" s="51"/>
      <c r="D734" s="51"/>
    </row>
    <row r="735" spans="1:4" x14ac:dyDescent="0.2">
      <c r="A735" s="51"/>
      <c r="D735" s="51"/>
    </row>
    <row r="736" spans="1:4" x14ac:dyDescent="0.2">
      <c r="A736" s="51"/>
      <c r="D736" s="51"/>
    </row>
    <row r="737" spans="1:4" x14ac:dyDescent="0.2">
      <c r="A737" s="51"/>
      <c r="D737" s="51"/>
    </row>
    <row r="738" spans="1:4" x14ac:dyDescent="0.2">
      <c r="A738" s="51"/>
      <c r="D738" s="51"/>
    </row>
    <row r="739" spans="1:4" x14ac:dyDescent="0.2">
      <c r="A739" s="51"/>
      <c r="D739" s="51"/>
    </row>
    <row r="740" spans="1:4" x14ac:dyDescent="0.2">
      <c r="A740" s="51"/>
      <c r="D740" s="51"/>
    </row>
    <row r="741" spans="1:4" x14ac:dyDescent="0.2">
      <c r="A741" s="51"/>
      <c r="D741" s="51"/>
    </row>
    <row r="742" spans="1:4" x14ac:dyDescent="0.2">
      <c r="A742" s="51"/>
      <c r="D742" s="51"/>
    </row>
    <row r="743" spans="1:4" x14ac:dyDescent="0.2">
      <c r="A743" s="51"/>
      <c r="D743" s="51"/>
    </row>
    <row r="744" spans="1:4" x14ac:dyDescent="0.2">
      <c r="A744" s="51"/>
      <c r="D744" s="51"/>
    </row>
    <row r="745" spans="1:4" x14ac:dyDescent="0.2">
      <c r="A745" s="51"/>
      <c r="D745" s="51"/>
    </row>
    <row r="746" spans="1:4" x14ac:dyDescent="0.2">
      <c r="A746" s="51"/>
      <c r="D746" s="51"/>
    </row>
    <row r="747" spans="1:4" x14ac:dyDescent="0.2">
      <c r="A747" s="51"/>
      <c r="D747" s="51"/>
    </row>
    <row r="748" spans="1:4" x14ac:dyDescent="0.2">
      <c r="A748" s="51"/>
      <c r="D748" s="51"/>
    </row>
    <row r="749" spans="1:4" x14ac:dyDescent="0.2">
      <c r="A749" s="51"/>
      <c r="D749" s="51"/>
    </row>
    <row r="750" spans="1:4" x14ac:dyDescent="0.2">
      <c r="A750" s="51"/>
      <c r="D750" s="51"/>
    </row>
    <row r="751" spans="1:4" x14ac:dyDescent="0.2">
      <c r="A751" s="51"/>
      <c r="D751" s="51"/>
    </row>
    <row r="752" spans="1:4" x14ac:dyDescent="0.2">
      <c r="A752" s="51"/>
      <c r="D752" s="51"/>
    </row>
    <row r="753" spans="1:4" x14ac:dyDescent="0.2">
      <c r="A753" s="51"/>
      <c r="D753" s="51"/>
    </row>
    <row r="754" spans="1:4" x14ac:dyDescent="0.2">
      <c r="A754" s="51"/>
      <c r="D754" s="51"/>
    </row>
    <row r="755" spans="1:4" x14ac:dyDescent="0.2">
      <c r="A755" s="51"/>
      <c r="D755" s="51"/>
    </row>
    <row r="756" spans="1:4" x14ac:dyDescent="0.2">
      <c r="A756" s="51"/>
      <c r="D756" s="51"/>
    </row>
    <row r="757" spans="1:4" x14ac:dyDescent="0.2">
      <c r="A757" s="51"/>
      <c r="D757" s="51"/>
    </row>
    <row r="758" spans="1:4" x14ac:dyDescent="0.2">
      <c r="A758" s="51"/>
      <c r="D758" s="51"/>
    </row>
    <row r="759" spans="1:4" x14ac:dyDescent="0.2">
      <c r="A759" s="51"/>
      <c r="D759" s="51"/>
    </row>
    <row r="760" spans="1:4" x14ac:dyDescent="0.2">
      <c r="A760" s="51"/>
      <c r="D760" s="51"/>
    </row>
    <row r="761" spans="1:4" x14ac:dyDescent="0.2">
      <c r="A761" s="51"/>
      <c r="D761" s="51"/>
    </row>
    <row r="762" spans="1:4" x14ac:dyDescent="0.2">
      <c r="A762" s="51"/>
      <c r="D762" s="51"/>
    </row>
    <row r="763" spans="1:4" x14ac:dyDescent="0.2">
      <c r="A763" s="51"/>
      <c r="D763" s="51"/>
    </row>
    <row r="764" spans="1:4" x14ac:dyDescent="0.2">
      <c r="A764" s="51"/>
      <c r="D764" s="51"/>
    </row>
    <row r="765" spans="1:4" x14ac:dyDescent="0.2">
      <c r="A765" s="51"/>
      <c r="D765" s="51"/>
    </row>
    <row r="766" spans="1:4" x14ac:dyDescent="0.2">
      <c r="A766" s="51"/>
      <c r="D766" s="51"/>
    </row>
    <row r="767" spans="1:4" x14ac:dyDescent="0.2">
      <c r="A767" s="51"/>
      <c r="D767" s="51"/>
    </row>
    <row r="768" spans="1:4" x14ac:dyDescent="0.2">
      <c r="A768" s="51"/>
      <c r="D768" s="51"/>
    </row>
    <row r="769" spans="1:4" x14ac:dyDescent="0.2">
      <c r="A769" s="51"/>
      <c r="D769" s="51"/>
    </row>
    <row r="770" spans="1:4" x14ac:dyDescent="0.2">
      <c r="A770" s="51"/>
      <c r="D770" s="51"/>
    </row>
    <row r="771" spans="1:4" x14ac:dyDescent="0.2">
      <c r="A771" s="51"/>
      <c r="D771" s="51"/>
    </row>
    <row r="772" spans="1:4" x14ac:dyDescent="0.2">
      <c r="A772" s="51"/>
      <c r="D772" s="51"/>
    </row>
    <row r="773" spans="1:4" x14ac:dyDescent="0.2">
      <c r="A773" s="51"/>
      <c r="D773" s="51"/>
    </row>
    <row r="774" spans="1:4" x14ac:dyDescent="0.2">
      <c r="A774" s="51"/>
      <c r="D774" s="51"/>
    </row>
    <row r="775" spans="1:4" x14ac:dyDescent="0.2">
      <c r="A775" s="51"/>
      <c r="D775" s="51"/>
    </row>
    <row r="776" spans="1:4" x14ac:dyDescent="0.2">
      <c r="A776" s="51"/>
      <c r="D776" s="51"/>
    </row>
    <row r="777" spans="1:4" x14ac:dyDescent="0.2">
      <c r="A777" s="51"/>
      <c r="D777" s="51"/>
    </row>
    <row r="778" spans="1:4" x14ac:dyDescent="0.2">
      <c r="A778" s="51"/>
      <c r="D778" s="51"/>
    </row>
    <row r="779" spans="1:4" x14ac:dyDescent="0.2">
      <c r="A779" s="51"/>
      <c r="D779" s="51"/>
    </row>
    <row r="780" spans="1:4" x14ac:dyDescent="0.2">
      <c r="A780" s="51"/>
      <c r="D780" s="51"/>
    </row>
    <row r="781" spans="1:4" x14ac:dyDescent="0.2">
      <c r="A781" s="51"/>
      <c r="D781" s="51"/>
    </row>
    <row r="782" spans="1:4" x14ac:dyDescent="0.2">
      <c r="A782" s="51"/>
      <c r="D782" s="51"/>
    </row>
    <row r="783" spans="1:4" x14ac:dyDescent="0.2">
      <c r="A783" s="51"/>
      <c r="D783" s="51"/>
    </row>
    <row r="784" spans="1:4" x14ac:dyDescent="0.2">
      <c r="A784" s="51"/>
      <c r="D784" s="51"/>
    </row>
    <row r="785" spans="1:4" x14ac:dyDescent="0.2">
      <c r="A785" s="51"/>
      <c r="D785" s="51"/>
    </row>
    <row r="786" spans="1:4" x14ac:dyDescent="0.2">
      <c r="A786" s="51"/>
      <c r="D786" s="51"/>
    </row>
    <row r="787" spans="1:4" x14ac:dyDescent="0.2">
      <c r="A787" s="51"/>
      <c r="D787" s="51"/>
    </row>
    <row r="788" spans="1:4" x14ac:dyDescent="0.2">
      <c r="A788" s="51"/>
      <c r="D788" s="51"/>
    </row>
    <row r="789" spans="1:4" x14ac:dyDescent="0.2">
      <c r="A789" s="51"/>
      <c r="D789" s="51"/>
    </row>
    <row r="790" spans="1:4" x14ac:dyDescent="0.2">
      <c r="A790" s="51"/>
      <c r="D790" s="51"/>
    </row>
    <row r="791" spans="1:4" x14ac:dyDescent="0.2">
      <c r="A791" s="51"/>
      <c r="D791" s="51"/>
    </row>
    <row r="792" spans="1:4" x14ac:dyDescent="0.2">
      <c r="A792" s="51"/>
      <c r="D792" s="51"/>
    </row>
    <row r="793" spans="1:4" x14ac:dyDescent="0.2">
      <c r="A793" s="51"/>
      <c r="D793" s="51"/>
    </row>
    <row r="794" spans="1:4" x14ac:dyDescent="0.2">
      <c r="A794" s="51"/>
      <c r="D794" s="51"/>
    </row>
    <row r="795" spans="1:4" x14ac:dyDescent="0.2">
      <c r="A795" s="51"/>
      <c r="D795" s="51"/>
    </row>
    <row r="796" spans="1:4" x14ac:dyDescent="0.2">
      <c r="A796" s="51"/>
      <c r="D796" s="51"/>
    </row>
    <row r="797" spans="1:4" x14ac:dyDescent="0.2">
      <c r="A797" s="51"/>
      <c r="D797" s="51"/>
    </row>
    <row r="798" spans="1:4" x14ac:dyDescent="0.2">
      <c r="A798" s="51"/>
      <c r="D798" s="51"/>
    </row>
    <row r="799" spans="1:4" x14ac:dyDescent="0.2">
      <c r="A799" s="51"/>
      <c r="D799" s="51"/>
    </row>
    <row r="800" spans="1:4" x14ac:dyDescent="0.2">
      <c r="A800" s="51"/>
      <c r="D800" s="51"/>
    </row>
    <row r="801" spans="1:4" x14ac:dyDescent="0.2">
      <c r="A801" s="51"/>
      <c r="D801" s="51"/>
    </row>
    <row r="802" spans="1:4" x14ac:dyDescent="0.2">
      <c r="A802" s="51"/>
      <c r="D802" s="51"/>
    </row>
    <row r="803" spans="1:4" x14ac:dyDescent="0.2">
      <c r="A803" s="51"/>
      <c r="D803" s="51"/>
    </row>
    <row r="804" spans="1:4" x14ac:dyDescent="0.2">
      <c r="A804" s="51"/>
      <c r="D804" s="51"/>
    </row>
    <row r="805" spans="1:4" x14ac:dyDescent="0.2">
      <c r="A805" s="51"/>
      <c r="D805" s="51"/>
    </row>
    <row r="806" spans="1:4" x14ac:dyDescent="0.2">
      <c r="A806" s="51"/>
      <c r="D806" s="51"/>
    </row>
    <row r="807" spans="1:4" x14ac:dyDescent="0.2">
      <c r="A807" s="51"/>
      <c r="D807" s="51"/>
    </row>
    <row r="808" spans="1:4" x14ac:dyDescent="0.2">
      <c r="A808" s="51"/>
      <c r="D808" s="51"/>
    </row>
    <row r="809" spans="1:4" x14ac:dyDescent="0.2">
      <c r="A809" s="51"/>
      <c r="D809" s="51"/>
    </row>
    <row r="810" spans="1:4" x14ac:dyDescent="0.2">
      <c r="A810" s="51"/>
      <c r="D810" s="51"/>
    </row>
    <row r="811" spans="1:4" x14ac:dyDescent="0.2">
      <c r="A811" s="51"/>
      <c r="D811" s="51"/>
    </row>
    <row r="812" spans="1:4" x14ac:dyDescent="0.2">
      <c r="A812" s="51"/>
      <c r="D812" s="51"/>
    </row>
    <row r="813" spans="1:4" x14ac:dyDescent="0.2">
      <c r="A813" s="51"/>
      <c r="D813" s="51"/>
    </row>
    <row r="814" spans="1:4" x14ac:dyDescent="0.2">
      <c r="A814" s="51"/>
      <c r="D814" s="51"/>
    </row>
    <row r="815" spans="1:4" x14ac:dyDescent="0.2">
      <c r="A815" s="51"/>
      <c r="D815" s="51"/>
    </row>
    <row r="816" spans="1:4" x14ac:dyDescent="0.2">
      <c r="A816" s="51"/>
      <c r="D816" s="51"/>
    </row>
    <row r="817" spans="1:4" x14ac:dyDescent="0.2">
      <c r="A817" s="51"/>
      <c r="D817" s="51"/>
    </row>
    <row r="818" spans="1:4" x14ac:dyDescent="0.2">
      <c r="A818" s="51"/>
      <c r="D818" s="51"/>
    </row>
    <row r="819" spans="1:4" x14ac:dyDescent="0.2">
      <c r="A819" s="51"/>
      <c r="D819" s="51"/>
    </row>
    <row r="820" spans="1:4" x14ac:dyDescent="0.2">
      <c r="A820" s="51"/>
      <c r="D820" s="51"/>
    </row>
    <row r="821" spans="1:4" x14ac:dyDescent="0.2">
      <c r="A821" s="51"/>
      <c r="D821" s="51"/>
    </row>
    <row r="822" spans="1:4" x14ac:dyDescent="0.2">
      <c r="A822" s="51"/>
      <c r="D822" s="51"/>
    </row>
    <row r="823" spans="1:4" x14ac:dyDescent="0.2">
      <c r="A823" s="51"/>
      <c r="D823" s="51"/>
    </row>
    <row r="824" spans="1:4" x14ac:dyDescent="0.2">
      <c r="A824" s="51"/>
      <c r="D824" s="51"/>
    </row>
    <row r="825" spans="1:4" x14ac:dyDescent="0.2">
      <c r="A825" s="51"/>
      <c r="D825" s="51"/>
    </row>
    <row r="826" spans="1:4" x14ac:dyDescent="0.2">
      <c r="A826" s="51"/>
      <c r="D826" s="51"/>
    </row>
    <row r="827" spans="1:4" x14ac:dyDescent="0.2">
      <c r="A827" s="51"/>
      <c r="D827" s="51"/>
    </row>
    <row r="828" spans="1:4" x14ac:dyDescent="0.2">
      <c r="A828" s="51"/>
      <c r="D828" s="51"/>
    </row>
    <row r="829" spans="1:4" x14ac:dyDescent="0.2">
      <c r="A829" s="51"/>
      <c r="D829" s="51"/>
    </row>
    <row r="830" spans="1:4" x14ac:dyDescent="0.2">
      <c r="A830" s="51"/>
      <c r="D830" s="51"/>
    </row>
    <row r="831" spans="1:4" x14ac:dyDescent="0.2">
      <c r="A831" s="51"/>
      <c r="D831" s="51"/>
    </row>
    <row r="832" spans="1:4" x14ac:dyDescent="0.2">
      <c r="A832" s="51"/>
      <c r="D832" s="51"/>
    </row>
    <row r="833" spans="1:4" x14ac:dyDescent="0.2">
      <c r="A833" s="51"/>
      <c r="D833" s="51"/>
    </row>
    <row r="834" spans="1:4" x14ac:dyDescent="0.2">
      <c r="A834" s="51"/>
      <c r="D834" s="51"/>
    </row>
    <row r="835" spans="1:4" x14ac:dyDescent="0.2">
      <c r="A835" s="51"/>
      <c r="D835" s="51"/>
    </row>
    <row r="836" spans="1:4" x14ac:dyDescent="0.2">
      <c r="A836" s="51"/>
      <c r="D836" s="51"/>
    </row>
    <row r="837" spans="1:4" x14ac:dyDescent="0.2">
      <c r="A837" s="51"/>
      <c r="D837" s="51"/>
    </row>
    <row r="838" spans="1:4" x14ac:dyDescent="0.2">
      <c r="A838" s="51"/>
      <c r="D838" s="51"/>
    </row>
    <row r="839" spans="1:4" x14ac:dyDescent="0.2">
      <c r="A839" s="51"/>
      <c r="D839" s="51"/>
    </row>
    <row r="840" spans="1:4" x14ac:dyDescent="0.2">
      <c r="A840" s="51"/>
      <c r="D840" s="51"/>
    </row>
    <row r="841" spans="1:4" x14ac:dyDescent="0.2">
      <c r="A841" s="51"/>
      <c r="D841" s="51"/>
    </row>
    <row r="842" spans="1:4" x14ac:dyDescent="0.2">
      <c r="A842" s="51"/>
      <c r="D842" s="51"/>
    </row>
    <row r="843" spans="1:4" x14ac:dyDescent="0.2">
      <c r="A843" s="51"/>
      <c r="D843" s="51"/>
    </row>
    <row r="844" spans="1:4" x14ac:dyDescent="0.2">
      <c r="A844" s="51"/>
      <c r="D844" s="51"/>
    </row>
    <row r="845" spans="1:4" x14ac:dyDescent="0.2">
      <c r="A845" s="51"/>
      <c r="D845" s="51"/>
    </row>
    <row r="846" spans="1:4" x14ac:dyDescent="0.2">
      <c r="A846" s="51"/>
      <c r="D846" s="51"/>
    </row>
    <row r="847" spans="1:4" x14ac:dyDescent="0.2">
      <c r="A847" s="51"/>
      <c r="D847" s="51"/>
    </row>
    <row r="848" spans="1:4" x14ac:dyDescent="0.2">
      <c r="A848" s="51"/>
      <c r="D848" s="51"/>
    </row>
    <row r="849" spans="1:4" x14ac:dyDescent="0.2">
      <c r="A849" s="51"/>
      <c r="D849" s="51"/>
    </row>
    <row r="850" spans="1:4" x14ac:dyDescent="0.2">
      <c r="A850" s="51"/>
      <c r="D850" s="51"/>
    </row>
    <row r="851" spans="1:4" x14ac:dyDescent="0.2">
      <c r="A851" s="51"/>
      <c r="D851" s="51"/>
    </row>
    <row r="852" spans="1:4" x14ac:dyDescent="0.2">
      <c r="A852" s="51"/>
      <c r="D852" s="51"/>
    </row>
    <row r="853" spans="1:4" x14ac:dyDescent="0.2">
      <c r="A853" s="51"/>
      <c r="D853" s="51"/>
    </row>
    <row r="854" spans="1:4" x14ac:dyDescent="0.2">
      <c r="A854" s="51"/>
      <c r="D854" s="51"/>
    </row>
    <row r="855" spans="1:4" x14ac:dyDescent="0.2">
      <c r="A855" s="51"/>
      <c r="D855" s="51"/>
    </row>
    <row r="856" spans="1:4" x14ac:dyDescent="0.2">
      <c r="A856" s="51"/>
      <c r="D856" s="51"/>
    </row>
    <row r="857" spans="1:4" x14ac:dyDescent="0.2">
      <c r="A857" s="51"/>
      <c r="D857" s="51"/>
    </row>
    <row r="858" spans="1:4" x14ac:dyDescent="0.2">
      <c r="A858" s="51"/>
      <c r="D858" s="51"/>
    </row>
    <row r="859" spans="1:4" x14ac:dyDescent="0.2">
      <c r="A859" s="51"/>
      <c r="D859" s="51"/>
    </row>
    <row r="860" spans="1:4" x14ac:dyDescent="0.2">
      <c r="A860" s="51"/>
      <c r="D860" s="51"/>
    </row>
    <row r="861" spans="1:4" x14ac:dyDescent="0.2">
      <c r="A861" s="51"/>
      <c r="D861" s="51"/>
    </row>
    <row r="862" spans="1:4" x14ac:dyDescent="0.2">
      <c r="A862" s="51"/>
      <c r="D862" s="51"/>
    </row>
    <row r="863" spans="1:4" x14ac:dyDescent="0.2">
      <c r="A863" s="51"/>
      <c r="D863" s="51"/>
    </row>
    <row r="864" spans="1:4" x14ac:dyDescent="0.2">
      <c r="A864" s="51"/>
      <c r="D864" s="51"/>
    </row>
    <row r="865" spans="1:4" x14ac:dyDescent="0.2">
      <c r="A865" s="51"/>
      <c r="D865" s="51"/>
    </row>
    <row r="866" spans="1:4" x14ac:dyDescent="0.2">
      <c r="A866" s="51"/>
      <c r="D866" s="51"/>
    </row>
    <row r="867" spans="1:4" x14ac:dyDescent="0.2">
      <c r="A867" s="51"/>
      <c r="D867" s="51"/>
    </row>
    <row r="868" spans="1:4" x14ac:dyDescent="0.2">
      <c r="A868" s="51"/>
      <c r="D868" s="51"/>
    </row>
    <row r="869" spans="1:4" x14ac:dyDescent="0.2">
      <c r="A869" s="51"/>
      <c r="D869" s="51"/>
    </row>
    <row r="870" spans="1:4" x14ac:dyDescent="0.2">
      <c r="A870" s="51"/>
      <c r="D870" s="51"/>
    </row>
    <row r="871" spans="1:4" x14ac:dyDescent="0.2">
      <c r="A871" s="51"/>
      <c r="D871" s="51"/>
    </row>
    <row r="872" spans="1:4" x14ac:dyDescent="0.2">
      <c r="A872" s="51"/>
      <c r="D872" s="51"/>
    </row>
    <row r="873" spans="1:4" x14ac:dyDescent="0.2">
      <c r="A873" s="51"/>
      <c r="D873" s="51"/>
    </row>
    <row r="874" spans="1:4" x14ac:dyDescent="0.2">
      <c r="A874" s="51"/>
      <c r="D874" s="51"/>
    </row>
    <row r="875" spans="1:4" x14ac:dyDescent="0.2">
      <c r="A875" s="51"/>
      <c r="D875" s="51"/>
    </row>
    <row r="876" spans="1:4" x14ac:dyDescent="0.2">
      <c r="A876" s="51"/>
      <c r="D876" s="51"/>
    </row>
    <row r="877" spans="1:4" x14ac:dyDescent="0.2">
      <c r="A877" s="51"/>
      <c r="D877" s="51"/>
    </row>
    <row r="878" spans="1:4" x14ac:dyDescent="0.2">
      <c r="A878" s="51"/>
      <c r="D878" s="51"/>
    </row>
    <row r="879" spans="1:4" x14ac:dyDescent="0.2">
      <c r="A879" s="51"/>
      <c r="D879" s="51"/>
    </row>
    <row r="880" spans="1:4" x14ac:dyDescent="0.2">
      <c r="A880" s="51"/>
      <c r="D880" s="51"/>
    </row>
    <row r="881" spans="1:4" x14ac:dyDescent="0.2">
      <c r="A881" s="51"/>
      <c r="D881" s="51"/>
    </row>
    <row r="882" spans="1:4" x14ac:dyDescent="0.2">
      <c r="A882" s="51"/>
      <c r="D882" s="51"/>
    </row>
    <row r="883" spans="1:4" x14ac:dyDescent="0.2">
      <c r="A883" s="51"/>
      <c r="D883" s="51"/>
    </row>
    <row r="884" spans="1:4" x14ac:dyDescent="0.2">
      <c r="A884" s="51"/>
      <c r="D884" s="51"/>
    </row>
    <row r="885" spans="1:4" x14ac:dyDescent="0.2">
      <c r="A885" s="51"/>
      <c r="D885" s="51"/>
    </row>
    <row r="886" spans="1:4" x14ac:dyDescent="0.2">
      <c r="A886" s="51"/>
      <c r="D886" s="51"/>
    </row>
    <row r="887" spans="1:4" x14ac:dyDescent="0.2">
      <c r="A887" s="51"/>
      <c r="D887" s="51"/>
    </row>
    <row r="888" spans="1:4" x14ac:dyDescent="0.2">
      <c r="A888" s="51"/>
      <c r="D888" s="51"/>
    </row>
    <row r="889" spans="1:4" x14ac:dyDescent="0.2">
      <c r="A889" s="51"/>
      <c r="D889" s="51"/>
    </row>
    <row r="890" spans="1:4" x14ac:dyDescent="0.2">
      <c r="A890" s="51"/>
      <c r="D890" s="51"/>
    </row>
    <row r="891" spans="1:4" x14ac:dyDescent="0.2">
      <c r="A891" s="51"/>
      <c r="D891" s="51"/>
    </row>
    <row r="892" spans="1:4" x14ac:dyDescent="0.2">
      <c r="A892" s="51"/>
      <c r="D892" s="51"/>
    </row>
    <row r="893" spans="1:4" x14ac:dyDescent="0.2">
      <c r="A893" s="51"/>
      <c r="D893" s="51"/>
    </row>
    <row r="894" spans="1:4" x14ac:dyDescent="0.2">
      <c r="A894" s="51"/>
      <c r="D894" s="51"/>
    </row>
    <row r="895" spans="1:4" x14ac:dyDescent="0.2">
      <c r="A895" s="51"/>
      <c r="D895" s="51"/>
    </row>
    <row r="896" spans="1:4" x14ac:dyDescent="0.2">
      <c r="A896" s="51"/>
      <c r="D896" s="51"/>
    </row>
    <row r="897" spans="1:4" x14ac:dyDescent="0.2">
      <c r="A897" s="51"/>
      <c r="D897" s="51"/>
    </row>
    <row r="898" spans="1:4" x14ac:dyDescent="0.2">
      <c r="A898" s="51"/>
      <c r="D898" s="51"/>
    </row>
    <row r="899" spans="1:4" x14ac:dyDescent="0.2">
      <c r="A899" s="51"/>
      <c r="D899" s="51"/>
    </row>
    <row r="900" spans="1:4" x14ac:dyDescent="0.2">
      <c r="A900" s="51"/>
      <c r="D900" s="51"/>
    </row>
    <row r="901" spans="1:4" x14ac:dyDescent="0.2">
      <c r="A901" s="51"/>
      <c r="D901" s="51"/>
    </row>
    <row r="902" spans="1:4" x14ac:dyDescent="0.2">
      <c r="A902" s="51"/>
      <c r="D902" s="51"/>
    </row>
    <row r="903" spans="1:4" x14ac:dyDescent="0.2">
      <c r="A903" s="51"/>
      <c r="D903" s="51"/>
    </row>
    <row r="904" spans="1:4" x14ac:dyDescent="0.2">
      <c r="A904" s="51"/>
      <c r="D904" s="51"/>
    </row>
    <row r="905" spans="1:4" x14ac:dyDescent="0.2">
      <c r="A905" s="51"/>
      <c r="D905" s="51"/>
    </row>
    <row r="906" spans="1:4" x14ac:dyDescent="0.2">
      <c r="A906" s="51"/>
      <c r="D906" s="51"/>
    </row>
    <row r="907" spans="1:4" x14ac:dyDescent="0.2">
      <c r="A907" s="51"/>
      <c r="D907" s="51"/>
    </row>
    <row r="908" spans="1:4" x14ac:dyDescent="0.2">
      <c r="A908" s="51"/>
      <c r="D908" s="51"/>
    </row>
    <row r="909" spans="1:4" x14ac:dyDescent="0.2">
      <c r="A909" s="51"/>
      <c r="D909" s="51"/>
    </row>
    <row r="910" spans="1:4" x14ac:dyDescent="0.2">
      <c r="A910" s="51"/>
      <c r="D910" s="51"/>
    </row>
    <row r="911" spans="1:4" x14ac:dyDescent="0.2">
      <c r="A911" s="51"/>
      <c r="D911" s="51"/>
    </row>
    <row r="912" spans="1:4" x14ac:dyDescent="0.2">
      <c r="A912" s="51"/>
      <c r="D912" s="51"/>
    </row>
    <row r="913" spans="1:4" x14ac:dyDescent="0.2">
      <c r="A913" s="51"/>
      <c r="D913" s="51"/>
    </row>
    <row r="914" spans="1:4" x14ac:dyDescent="0.2">
      <c r="A914" s="51"/>
      <c r="D914" s="51"/>
    </row>
    <row r="915" spans="1:4" x14ac:dyDescent="0.2">
      <c r="A915" s="51"/>
      <c r="D915" s="51"/>
    </row>
    <row r="916" spans="1:4" x14ac:dyDescent="0.2">
      <c r="A916" s="51"/>
      <c r="D916" s="51"/>
    </row>
    <row r="917" spans="1:4" x14ac:dyDescent="0.2">
      <c r="A917" s="51"/>
      <c r="D917" s="51"/>
    </row>
    <row r="918" spans="1:4" x14ac:dyDescent="0.2">
      <c r="A918" s="51"/>
      <c r="D918" s="51"/>
    </row>
    <row r="919" spans="1:4" x14ac:dyDescent="0.2">
      <c r="A919" s="51"/>
      <c r="D919" s="51"/>
    </row>
    <row r="920" spans="1:4" x14ac:dyDescent="0.2">
      <c r="A920" s="51"/>
      <c r="D920" s="51"/>
    </row>
    <row r="921" spans="1:4" x14ac:dyDescent="0.2">
      <c r="A921" s="51"/>
      <c r="D921" s="51"/>
    </row>
    <row r="922" spans="1:4" x14ac:dyDescent="0.2">
      <c r="A922" s="51"/>
      <c r="D922" s="51"/>
    </row>
    <row r="923" spans="1:4" x14ac:dyDescent="0.2">
      <c r="A923" s="51"/>
      <c r="D923" s="51"/>
    </row>
    <row r="924" spans="1:4" x14ac:dyDescent="0.2">
      <c r="A924" s="51"/>
      <c r="D924" s="51"/>
    </row>
    <row r="925" spans="1:4" x14ac:dyDescent="0.2">
      <c r="A925" s="51"/>
      <c r="D925" s="51"/>
    </row>
    <row r="926" spans="1:4" x14ac:dyDescent="0.2">
      <c r="A926" s="51"/>
      <c r="D926" s="51"/>
    </row>
    <row r="927" spans="1:4" x14ac:dyDescent="0.2">
      <c r="A927" s="51"/>
      <c r="D927" s="51"/>
    </row>
    <row r="928" spans="1:4" x14ac:dyDescent="0.2">
      <c r="A928" s="51"/>
      <c r="D928" s="51"/>
    </row>
    <row r="929" spans="1:4" x14ac:dyDescent="0.2">
      <c r="A929" s="51"/>
      <c r="D929" s="51"/>
    </row>
    <row r="930" spans="1:4" x14ac:dyDescent="0.2">
      <c r="A930" s="51"/>
      <c r="D930" s="51"/>
    </row>
    <row r="931" spans="1:4" x14ac:dyDescent="0.2">
      <c r="A931" s="51"/>
      <c r="D931" s="51"/>
    </row>
    <row r="932" spans="1:4" x14ac:dyDescent="0.2">
      <c r="A932" s="51"/>
      <c r="D932" s="51"/>
    </row>
    <row r="933" spans="1:4" x14ac:dyDescent="0.2">
      <c r="A933" s="51"/>
      <c r="D933" s="51"/>
    </row>
    <row r="934" spans="1:4" x14ac:dyDescent="0.2">
      <c r="A934" s="51"/>
      <c r="D934" s="51"/>
    </row>
    <row r="935" spans="1:4" x14ac:dyDescent="0.2">
      <c r="A935" s="51"/>
      <c r="D935" s="51"/>
    </row>
    <row r="936" spans="1:4" x14ac:dyDescent="0.2">
      <c r="A936" s="51"/>
      <c r="D936" s="51"/>
    </row>
    <row r="937" spans="1:4" x14ac:dyDescent="0.2">
      <c r="A937" s="51"/>
      <c r="D937" s="51"/>
    </row>
    <row r="938" spans="1:4" x14ac:dyDescent="0.2">
      <c r="A938" s="51"/>
      <c r="D938" s="51"/>
    </row>
    <row r="939" spans="1:4" x14ac:dyDescent="0.2">
      <c r="A939" s="51"/>
      <c r="D939" s="51"/>
    </row>
    <row r="940" spans="1:4" x14ac:dyDescent="0.2">
      <c r="A940" s="51"/>
      <c r="D940" s="51"/>
    </row>
    <row r="941" spans="1:4" x14ac:dyDescent="0.2">
      <c r="A941" s="51"/>
      <c r="D941" s="51"/>
    </row>
    <row r="942" spans="1:4" x14ac:dyDescent="0.2">
      <c r="A942" s="51"/>
      <c r="D942" s="51"/>
    </row>
    <row r="943" spans="1:4" x14ac:dyDescent="0.2">
      <c r="A943" s="51"/>
      <c r="D943" s="51"/>
    </row>
    <row r="944" spans="1:4" x14ac:dyDescent="0.2">
      <c r="A944" s="51"/>
      <c r="D944" s="51"/>
    </row>
    <row r="945" spans="1:4" x14ac:dyDescent="0.2">
      <c r="A945" s="51"/>
      <c r="D945" s="51"/>
    </row>
    <row r="946" spans="1:4" x14ac:dyDescent="0.2">
      <c r="A946" s="51"/>
      <c r="D946" s="51"/>
    </row>
    <row r="947" spans="1:4" x14ac:dyDescent="0.2">
      <c r="A947" s="51"/>
      <c r="D947" s="51"/>
    </row>
    <row r="948" spans="1:4" x14ac:dyDescent="0.2">
      <c r="A948" s="51"/>
      <c r="D948" s="51"/>
    </row>
    <row r="949" spans="1:4" x14ac:dyDescent="0.2">
      <c r="A949" s="51"/>
      <c r="D949" s="51"/>
    </row>
    <row r="950" spans="1:4" x14ac:dyDescent="0.2">
      <c r="A950" s="51"/>
      <c r="D950" s="51"/>
    </row>
    <row r="951" spans="1:4" x14ac:dyDescent="0.2">
      <c r="A951" s="51"/>
      <c r="D951" s="51"/>
    </row>
    <row r="952" spans="1:4" x14ac:dyDescent="0.2">
      <c r="A952" s="51"/>
      <c r="D952" s="51"/>
    </row>
    <row r="953" spans="1:4" x14ac:dyDescent="0.2">
      <c r="A953" s="51"/>
      <c r="D953" s="51"/>
    </row>
    <row r="954" spans="1:4" x14ac:dyDescent="0.2">
      <c r="A954" s="51"/>
      <c r="D954" s="51"/>
    </row>
    <row r="955" spans="1:4" x14ac:dyDescent="0.2">
      <c r="A955" s="51"/>
      <c r="D955" s="51"/>
    </row>
    <row r="956" spans="1:4" x14ac:dyDescent="0.2">
      <c r="A956" s="51"/>
      <c r="D956" s="51"/>
    </row>
    <row r="957" spans="1:4" x14ac:dyDescent="0.2">
      <c r="A957" s="51"/>
      <c r="D957" s="51"/>
    </row>
    <row r="958" spans="1:4" x14ac:dyDescent="0.2">
      <c r="A958" s="51"/>
      <c r="D958" s="51"/>
    </row>
    <row r="959" spans="1:4" x14ac:dyDescent="0.2">
      <c r="A959" s="51"/>
      <c r="D959" s="51"/>
    </row>
    <row r="960" spans="1:4" x14ac:dyDescent="0.2">
      <c r="A960" s="51"/>
      <c r="D960" s="51"/>
    </row>
    <row r="961" spans="1:4" x14ac:dyDescent="0.2">
      <c r="A961" s="51"/>
      <c r="D961" s="51"/>
    </row>
    <row r="962" spans="1:4" x14ac:dyDescent="0.2">
      <c r="A962" s="51"/>
      <c r="D962" s="51"/>
    </row>
    <row r="963" spans="1:4" x14ac:dyDescent="0.2">
      <c r="A963" s="51"/>
      <c r="D963" s="51"/>
    </row>
    <row r="964" spans="1:4" x14ac:dyDescent="0.2">
      <c r="A964" s="51"/>
      <c r="D964" s="51"/>
    </row>
    <row r="965" spans="1:4" x14ac:dyDescent="0.2">
      <c r="A965" s="51"/>
      <c r="D965" s="51"/>
    </row>
    <row r="966" spans="1:4" x14ac:dyDescent="0.2">
      <c r="A966" s="51"/>
      <c r="D966" s="51"/>
    </row>
    <row r="967" spans="1:4" x14ac:dyDescent="0.2">
      <c r="A967" s="51"/>
      <c r="D967" s="51"/>
    </row>
    <row r="968" spans="1:4" x14ac:dyDescent="0.2">
      <c r="A968" s="51"/>
      <c r="D968" s="51"/>
    </row>
    <row r="969" spans="1:4" x14ac:dyDescent="0.2">
      <c r="A969" s="51"/>
      <c r="D969" s="51"/>
    </row>
    <row r="970" spans="1:4" x14ac:dyDescent="0.2">
      <c r="A970" s="51"/>
      <c r="D970" s="51"/>
    </row>
    <row r="971" spans="1:4" x14ac:dyDescent="0.2">
      <c r="A971" s="51"/>
      <c r="D971" s="51"/>
    </row>
    <row r="972" spans="1:4" x14ac:dyDescent="0.2">
      <c r="A972" s="51"/>
      <c r="D972" s="51"/>
    </row>
    <row r="973" spans="1:4" x14ac:dyDescent="0.2">
      <c r="A973" s="51"/>
      <c r="D973" s="51"/>
    </row>
    <row r="974" spans="1:4" x14ac:dyDescent="0.2">
      <c r="A974" s="51"/>
      <c r="D974" s="51"/>
    </row>
    <row r="975" spans="1:4" x14ac:dyDescent="0.2">
      <c r="A975" s="51"/>
      <c r="D975" s="51"/>
    </row>
    <row r="976" spans="1:4" x14ac:dyDescent="0.2">
      <c r="A976" s="51"/>
      <c r="D976" s="51"/>
    </row>
    <row r="977" spans="1:4" x14ac:dyDescent="0.2">
      <c r="A977" s="51"/>
      <c r="D977" s="51"/>
    </row>
    <row r="978" spans="1:4" x14ac:dyDescent="0.2">
      <c r="A978" s="51"/>
      <c r="D978" s="51"/>
    </row>
    <row r="979" spans="1:4" x14ac:dyDescent="0.2">
      <c r="A979" s="51"/>
      <c r="D979" s="51"/>
    </row>
    <row r="980" spans="1:4" x14ac:dyDescent="0.2">
      <c r="A980" s="51"/>
      <c r="D980" s="51"/>
    </row>
    <row r="981" spans="1:4" x14ac:dyDescent="0.2">
      <c r="A981" s="51"/>
      <c r="D981" s="51"/>
    </row>
    <row r="982" spans="1:4" x14ac:dyDescent="0.2">
      <c r="A982" s="51"/>
      <c r="D982" s="51"/>
    </row>
    <row r="983" spans="1:4" x14ac:dyDescent="0.2">
      <c r="A983" s="51"/>
      <c r="D983" s="51"/>
    </row>
    <row r="984" spans="1:4" x14ac:dyDescent="0.2">
      <c r="A984" s="51"/>
      <c r="D984" s="51"/>
    </row>
    <row r="985" spans="1:4" x14ac:dyDescent="0.2">
      <c r="A985" s="51"/>
      <c r="D985" s="51"/>
    </row>
    <row r="986" spans="1:4" x14ac:dyDescent="0.2">
      <c r="A986" s="51"/>
      <c r="D986" s="51"/>
    </row>
    <row r="8342" spans="24:24" x14ac:dyDescent="0.2">
      <c r="X8342" s="49"/>
    </row>
    <row r="8682" spans="24:26" x14ac:dyDescent="0.2">
      <c r="X8682" s="8"/>
      <c r="Z8682" s="13"/>
    </row>
    <row r="8683" spans="24:26" x14ac:dyDescent="0.2">
      <c r="X8683" s="8"/>
      <c r="Z8683" s="13"/>
    </row>
    <row r="8684" spans="24:26" x14ac:dyDescent="0.2">
      <c r="X8684" s="8"/>
      <c r="Z8684" s="13"/>
    </row>
    <row r="8685" spans="24:26" x14ac:dyDescent="0.2">
      <c r="X8685" s="8"/>
      <c r="Z8685" s="13"/>
    </row>
    <row r="8686" spans="24:26" x14ac:dyDescent="0.2">
      <c r="X8686" s="8"/>
      <c r="Z8686" s="13"/>
    </row>
    <row r="8687" spans="24:26" x14ac:dyDescent="0.2">
      <c r="X8687" s="8"/>
      <c r="Z8687" s="13"/>
    </row>
    <row r="8688" spans="24:26" x14ac:dyDescent="0.2">
      <c r="X8688" s="8"/>
      <c r="Z8688" s="13"/>
    </row>
    <row r="8689" spans="24:26" x14ac:dyDescent="0.2">
      <c r="X8689" s="8"/>
      <c r="Z8689" s="13"/>
    </row>
    <row r="8690" spans="24:26" x14ac:dyDescent="0.2">
      <c r="X8690" s="8"/>
      <c r="Z8690" s="13"/>
    </row>
    <row r="8691" spans="24:26" x14ac:dyDescent="0.2">
      <c r="X8691" s="8"/>
      <c r="Z8691" s="13"/>
    </row>
    <row r="8692" spans="24:26" x14ac:dyDescent="0.2">
      <c r="X8692" s="8"/>
      <c r="Z8692" s="13"/>
    </row>
    <row r="8693" spans="24:26" x14ac:dyDescent="0.2">
      <c r="X8693" s="8"/>
      <c r="Z8693" s="13"/>
    </row>
    <row r="8694" spans="24:26" x14ac:dyDescent="0.2">
      <c r="X8694" s="8"/>
      <c r="Z8694" s="13"/>
    </row>
    <row r="8695" spans="24:26" x14ac:dyDescent="0.2">
      <c r="X8695" s="8"/>
      <c r="Z8695" s="13"/>
    </row>
    <row r="8696" spans="24:26" x14ac:dyDescent="0.2">
      <c r="X8696" s="8"/>
      <c r="Z8696" s="13"/>
    </row>
    <row r="8697" spans="24:26" x14ac:dyDescent="0.2">
      <c r="X8697" s="8"/>
      <c r="Z8697" s="13"/>
    </row>
    <row r="8698" spans="24:26" x14ac:dyDescent="0.2">
      <c r="X8698" s="8"/>
      <c r="Z8698" s="13"/>
    </row>
    <row r="8699" spans="24:26" x14ac:dyDescent="0.2">
      <c r="X8699" s="8"/>
      <c r="Z8699" s="13"/>
    </row>
    <row r="8700" spans="24:26" x14ac:dyDescent="0.2">
      <c r="X8700" s="8"/>
      <c r="Z8700" s="13"/>
    </row>
    <row r="8701" spans="24:26" x14ac:dyDescent="0.2">
      <c r="X8701" s="8"/>
      <c r="Z8701" s="13"/>
    </row>
    <row r="8702" spans="24:26" x14ac:dyDescent="0.2">
      <c r="X8702" s="8"/>
      <c r="Z8702" s="13"/>
    </row>
    <row r="8703" spans="24:26" x14ac:dyDescent="0.2">
      <c r="X8703" s="8"/>
      <c r="Z8703" s="13"/>
    </row>
    <row r="8704" spans="24:26" x14ac:dyDescent="0.2">
      <c r="X8704" s="8"/>
      <c r="Z8704" s="13"/>
    </row>
    <row r="8705" spans="24:26" x14ac:dyDescent="0.2">
      <c r="X8705" s="8"/>
      <c r="Z8705" s="13"/>
    </row>
    <row r="8706" spans="24:26" x14ac:dyDescent="0.2">
      <c r="X8706" s="8"/>
      <c r="Z8706" s="13"/>
    </row>
    <row r="8707" spans="24:26" x14ac:dyDescent="0.2">
      <c r="X8707" s="8"/>
      <c r="Z8707" s="13"/>
    </row>
    <row r="8708" spans="24:26" x14ac:dyDescent="0.2">
      <c r="X8708" s="8"/>
      <c r="Z8708" s="13"/>
    </row>
    <row r="8709" spans="24:26" x14ac:dyDescent="0.2">
      <c r="X8709" s="8"/>
      <c r="Z8709" s="13"/>
    </row>
    <row r="8710" spans="24:26" x14ac:dyDescent="0.2">
      <c r="X8710" s="8"/>
      <c r="Z8710" s="13"/>
    </row>
    <row r="8711" spans="24:26" x14ac:dyDescent="0.2">
      <c r="X8711" s="8"/>
      <c r="Z8711" s="13"/>
    </row>
    <row r="8712" spans="24:26" x14ac:dyDescent="0.2">
      <c r="X8712" s="8"/>
      <c r="Z8712" s="13"/>
    </row>
    <row r="8713" spans="24:26" x14ac:dyDescent="0.2">
      <c r="X8713" s="8"/>
      <c r="Z8713" s="13"/>
    </row>
    <row r="8714" spans="24:26" x14ac:dyDescent="0.2">
      <c r="X8714" s="8"/>
      <c r="Z8714" s="13"/>
    </row>
    <row r="8715" spans="24:26" x14ac:dyDescent="0.2">
      <c r="X8715" s="8"/>
      <c r="Z8715" s="13"/>
    </row>
    <row r="8716" spans="24:26" x14ac:dyDescent="0.2">
      <c r="X8716" s="8"/>
      <c r="Z8716" s="13"/>
    </row>
    <row r="8717" spans="24:26" x14ac:dyDescent="0.2">
      <c r="X8717" s="8"/>
      <c r="Z8717" s="13"/>
    </row>
    <row r="10128" spans="24:24" x14ac:dyDescent="0.2">
      <c r="X10128" s="49"/>
    </row>
    <row r="10458" spans="24:27" x14ac:dyDescent="0.2">
      <c r="X10458" s="8"/>
      <c r="Y10458" s="8"/>
      <c r="AA10458" s="13"/>
    </row>
    <row r="10459" spans="24:27" x14ac:dyDescent="0.2">
      <c r="X10459" s="8"/>
      <c r="Y10459" s="8"/>
      <c r="AA10459" s="13"/>
    </row>
    <row r="10460" spans="24:27" x14ac:dyDescent="0.2">
      <c r="X10460" s="8"/>
      <c r="Y10460" s="8"/>
      <c r="AA10460" s="13"/>
    </row>
    <row r="10461" spans="24:27" x14ac:dyDescent="0.2">
      <c r="X10461" s="8"/>
      <c r="Y10461" s="8"/>
      <c r="AA10461" s="13"/>
    </row>
    <row r="10462" spans="24:27" x14ac:dyDescent="0.2">
      <c r="X10462" s="8"/>
      <c r="Y10462" s="8"/>
      <c r="AA10462" s="13"/>
    </row>
    <row r="10463" spans="24:27" x14ac:dyDescent="0.2">
      <c r="X10463" s="8"/>
      <c r="Y10463" s="8"/>
      <c r="AA10463" s="13"/>
    </row>
    <row r="10464" spans="24:27" x14ac:dyDescent="0.2">
      <c r="X10464" s="8"/>
      <c r="Y10464" s="8"/>
      <c r="AA10464" s="13"/>
    </row>
    <row r="10465" spans="24:27" x14ac:dyDescent="0.2">
      <c r="X10465" s="8"/>
      <c r="Y10465" s="8"/>
      <c r="AA10465" s="13"/>
    </row>
    <row r="10466" spans="24:27" x14ac:dyDescent="0.2">
      <c r="X10466" s="8"/>
      <c r="Y10466" s="8"/>
      <c r="AA10466" s="13"/>
    </row>
    <row r="10467" spans="24:27" x14ac:dyDescent="0.2">
      <c r="X10467" s="8"/>
      <c r="Y10467" s="8"/>
      <c r="AA10467" s="13"/>
    </row>
    <row r="10468" spans="24:27" x14ac:dyDescent="0.2">
      <c r="X10468" s="8"/>
      <c r="Y10468" s="8"/>
      <c r="AA10468" s="13"/>
    </row>
    <row r="10469" spans="24:27" x14ac:dyDescent="0.2">
      <c r="X10469" s="8"/>
      <c r="Y10469" s="8"/>
      <c r="AA10469" s="13"/>
    </row>
    <row r="10470" spans="24:27" x14ac:dyDescent="0.2">
      <c r="X10470" s="8"/>
      <c r="Y10470" s="8"/>
      <c r="AA10470" s="13"/>
    </row>
    <row r="10471" spans="24:27" x14ac:dyDescent="0.2">
      <c r="X10471" s="8"/>
      <c r="Y10471" s="8"/>
      <c r="AA10471" s="13"/>
    </row>
    <row r="10472" spans="24:27" x14ac:dyDescent="0.2">
      <c r="X10472" s="8"/>
      <c r="Y10472" s="8"/>
      <c r="AA10472" s="13"/>
    </row>
    <row r="10473" spans="24:27" x14ac:dyDescent="0.2">
      <c r="X10473" s="8"/>
      <c r="Y10473" s="8"/>
      <c r="AA10473" s="13"/>
    </row>
    <row r="10474" spans="24:27" x14ac:dyDescent="0.2">
      <c r="X10474" s="8"/>
      <c r="Y10474" s="8"/>
      <c r="AA10474" s="13"/>
    </row>
    <row r="10475" spans="24:27" x14ac:dyDescent="0.2">
      <c r="X10475" s="8"/>
      <c r="Y10475" s="8"/>
      <c r="AA10475" s="13"/>
    </row>
    <row r="10476" spans="24:27" x14ac:dyDescent="0.2">
      <c r="X10476" s="8"/>
      <c r="Y10476" s="8"/>
      <c r="AA10476" s="13"/>
    </row>
    <row r="10477" spans="24:27" x14ac:dyDescent="0.2">
      <c r="X10477" s="8"/>
      <c r="Y10477" s="8"/>
      <c r="AA10477" s="13"/>
    </row>
    <row r="10478" spans="24:27" x14ac:dyDescent="0.2">
      <c r="X10478" s="8"/>
      <c r="Y10478" s="8"/>
      <c r="AA10478" s="13"/>
    </row>
    <row r="12504" ht="12" customHeight="1" x14ac:dyDescent="0.2"/>
  </sheetData>
  <mergeCells count="1">
    <mergeCell ref="P2:T3"/>
  </mergeCells>
  <phoneticPr fontId="0" type="noConversion"/>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824901" r:id="rId4" name="Button 1029">
              <controlPr defaultSize="0" print="0" autoFill="0" autoPict="0" macro="[0]!courbe_valo">
                <anchor moveWithCells="1" sizeWithCells="1">
                  <from>
                    <xdr:col>5</xdr:col>
                    <xdr:colOff>257175</xdr:colOff>
                    <xdr:row>3</xdr:row>
                    <xdr:rowOff>9525</xdr:rowOff>
                  </from>
                  <to>
                    <xdr:col>5</xdr:col>
                    <xdr:colOff>1476375</xdr:colOff>
                    <xdr:row>4</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E52F7-C1C8-4F8D-91B2-503CE53927CC}">
  <sheetPr codeName="Feuil15">
    <tabColor theme="6" tint="-0.499984740745262"/>
  </sheetPr>
  <dimension ref="A1:L18"/>
  <sheetViews>
    <sheetView showGridLines="0" workbookViewId="0">
      <selection activeCell="E23" sqref="E23"/>
    </sheetView>
  </sheetViews>
  <sheetFormatPr baseColWidth="10" defaultRowHeight="12.75" x14ac:dyDescent="0.2"/>
  <cols>
    <col min="1" max="1" width="18.7109375" bestFit="1" customWidth="1"/>
    <col min="4" max="4" width="21.85546875" customWidth="1"/>
    <col min="8" max="8" width="12.5703125" customWidth="1"/>
  </cols>
  <sheetData>
    <row r="1" spans="1:12" x14ac:dyDescent="0.2">
      <c r="A1" s="1159" t="s">
        <v>3064</v>
      </c>
      <c r="B1" s="59" t="s">
        <v>3065</v>
      </c>
      <c r="C1" s="59"/>
      <c r="D1" s="59" t="s">
        <v>3064</v>
      </c>
      <c r="E1" s="62" t="s">
        <v>3065</v>
      </c>
      <c r="I1" s="1159" t="s">
        <v>3029</v>
      </c>
      <c r="J1" s="59" t="s">
        <v>3030</v>
      </c>
      <c r="K1" s="59" t="s">
        <v>3031</v>
      </c>
      <c r="L1" s="62" t="s">
        <v>2998</v>
      </c>
    </row>
    <row r="2" spans="1:12" x14ac:dyDescent="0.2">
      <c r="A2" s="1183">
        <v>1</v>
      </c>
      <c r="B2">
        <v>2.2700000000000001E-2</v>
      </c>
      <c r="D2" s="1326">
        <v>543</v>
      </c>
      <c r="E2" s="65">
        <v>2.5899999999999999E-2</v>
      </c>
      <c r="I2" s="63"/>
      <c r="L2" s="1160"/>
    </row>
    <row r="3" spans="1:12" x14ac:dyDescent="0.2">
      <c r="A3" s="1183">
        <v>53</v>
      </c>
      <c r="B3">
        <v>2.2700000000000001E-2</v>
      </c>
      <c r="D3" s="1326">
        <v>1481</v>
      </c>
      <c r="E3" s="65">
        <v>2.98E-2</v>
      </c>
      <c r="I3" s="63"/>
      <c r="L3" s="1160"/>
    </row>
    <row r="4" spans="1:12" x14ac:dyDescent="0.2">
      <c r="A4" s="1183">
        <v>144</v>
      </c>
      <c r="B4" s="454">
        <v>2.3399999999999997E-2</v>
      </c>
      <c r="D4" s="1326">
        <v>1845</v>
      </c>
      <c r="E4" s="65">
        <v>3.0800000000000001E-2</v>
      </c>
      <c r="I4" s="63"/>
      <c r="L4" s="1160"/>
    </row>
    <row r="5" spans="1:12" x14ac:dyDescent="0.2">
      <c r="A5" s="1183">
        <v>326</v>
      </c>
      <c r="B5">
        <v>2.46E-2</v>
      </c>
      <c r="D5" s="1326">
        <v>3371</v>
      </c>
      <c r="E5" s="65">
        <v>3.2799999999999996E-2</v>
      </c>
      <c r="I5" s="63"/>
      <c r="L5" s="1160"/>
    </row>
    <row r="6" spans="1:12" x14ac:dyDescent="0.2">
      <c r="A6" s="63"/>
      <c r="D6" s="1326">
        <v>4862</v>
      </c>
      <c r="E6" s="65">
        <v>3.5099999999999999E-2</v>
      </c>
      <c r="I6" s="63"/>
      <c r="L6" s="1160"/>
    </row>
    <row r="7" spans="1:12" x14ac:dyDescent="0.2">
      <c r="A7" s="63"/>
      <c r="D7" s="1326">
        <v>7081</v>
      </c>
      <c r="E7" s="65">
        <v>3.6499999999999998E-2</v>
      </c>
      <c r="I7" s="63"/>
      <c r="L7" s="1160"/>
    </row>
    <row r="8" spans="1:12" x14ac:dyDescent="0.2">
      <c r="A8" s="63"/>
      <c r="D8" s="1326">
        <v>10616</v>
      </c>
      <c r="E8" s="65">
        <v>4.0800000000000003E-2</v>
      </c>
      <c r="I8" s="63"/>
      <c r="L8" s="1160"/>
    </row>
    <row r="9" spans="1:12" x14ac:dyDescent="0.2">
      <c r="A9" s="63"/>
      <c r="E9" s="65"/>
      <c r="I9" s="63"/>
      <c r="L9" s="1160"/>
    </row>
    <row r="10" spans="1:12" x14ac:dyDescent="0.2">
      <c r="A10" s="63"/>
      <c r="E10" s="65"/>
      <c r="I10" s="63"/>
      <c r="L10" s="1160"/>
    </row>
    <row r="11" spans="1:12" x14ac:dyDescent="0.2">
      <c r="A11" s="63"/>
      <c r="E11" s="65"/>
      <c r="I11" s="63"/>
      <c r="L11" s="1160"/>
    </row>
    <row r="12" spans="1:12" x14ac:dyDescent="0.2">
      <c r="A12" s="63"/>
      <c r="E12" s="65"/>
      <c r="I12" s="63"/>
      <c r="L12" s="1160"/>
    </row>
    <row r="13" spans="1:12" x14ac:dyDescent="0.2">
      <c r="A13" s="63"/>
      <c r="E13" s="65"/>
      <c r="I13" s="63"/>
      <c r="L13" s="1160"/>
    </row>
    <row r="14" spans="1:12" x14ac:dyDescent="0.2">
      <c r="A14" s="63"/>
      <c r="E14" s="65"/>
      <c r="I14" s="63"/>
      <c r="L14" s="1160"/>
    </row>
    <row r="15" spans="1:12" x14ac:dyDescent="0.2">
      <c r="A15" s="63"/>
      <c r="E15" s="65"/>
      <c r="I15" s="63"/>
      <c r="L15" s="65"/>
    </row>
    <row r="16" spans="1:12" x14ac:dyDescent="0.2">
      <c r="A16" s="63"/>
      <c r="E16" s="65"/>
      <c r="I16" s="63"/>
      <c r="L16" s="65"/>
    </row>
    <row r="17" spans="1:12" ht="13.5" thickBot="1" x14ac:dyDescent="0.25">
      <c r="A17" s="63"/>
      <c r="E17" s="65"/>
      <c r="I17" s="78"/>
      <c r="J17" s="79"/>
      <c r="K17" s="79"/>
      <c r="L17" s="81"/>
    </row>
    <row r="18" spans="1:12" ht="13.5" thickBot="1" x14ac:dyDescent="0.25">
      <c r="A18" s="78"/>
      <c r="B18" s="79"/>
      <c r="C18" s="79"/>
      <c r="D18" s="79"/>
      <c r="E18" s="8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2D8CB-9CBE-48CF-9C35-686A6C9844A3}">
  <sheetPr codeName="Feuil11">
    <tabColor theme="0" tint="-0.499984740745262"/>
  </sheetPr>
  <dimension ref="A1:S91"/>
  <sheetViews>
    <sheetView zoomScale="85" zoomScaleNormal="85" workbookViewId="0">
      <selection activeCell="A36" sqref="A36"/>
    </sheetView>
  </sheetViews>
  <sheetFormatPr baseColWidth="10" defaultRowHeight="12.75" x14ac:dyDescent="0.2"/>
  <cols>
    <col min="1" max="1" width="16.42578125" customWidth="1"/>
    <col min="2" max="2" width="13.85546875" style="1055" customWidth="1"/>
    <col min="3" max="3" width="13.85546875" customWidth="1"/>
    <col min="4" max="4" width="23.85546875" style="52" customWidth="1"/>
    <col min="5" max="5" width="19" style="52" customWidth="1"/>
    <col min="6" max="6" width="17.42578125" style="52" customWidth="1"/>
    <col min="7" max="7" width="22.28515625" customWidth="1"/>
    <col min="8" max="8" width="11.42578125" customWidth="1"/>
    <col min="9" max="9" width="13.5703125" customWidth="1"/>
    <col min="10" max="10" width="12.7109375" bestFit="1" customWidth="1"/>
    <col min="11" max="11" width="15.42578125" bestFit="1" customWidth="1"/>
    <col min="12" max="12" width="18" style="1" bestFit="1" customWidth="1"/>
    <col min="13" max="16" width="15.140625" customWidth="1"/>
    <col min="17" max="17" width="16.5703125" customWidth="1"/>
    <col min="18" max="18" width="15.5703125" bestFit="1" customWidth="1"/>
    <col min="19" max="19" width="12.28515625" bestFit="1" customWidth="1"/>
  </cols>
  <sheetData>
    <row r="1" spans="1:19" ht="13.5" customHeight="1" x14ac:dyDescent="0.2">
      <c r="A1" s="1056" t="s">
        <v>368</v>
      </c>
      <c r="B1" s="1057" t="s">
        <v>105</v>
      </c>
      <c r="C1" s="1058" t="s">
        <v>3001</v>
      </c>
      <c r="D1" s="1051" t="s">
        <v>3000</v>
      </c>
      <c r="E1" s="1051" t="s">
        <v>3002</v>
      </c>
      <c r="F1" s="1051" t="s">
        <v>3003</v>
      </c>
      <c r="P1" s="1080" t="str">
        <f t="shared" ref="P1" si="0">C1</f>
        <v>Année</v>
      </c>
      <c r="Q1" s="1262" t="s">
        <v>3094</v>
      </c>
    </row>
    <row r="2" spans="1:19" x14ac:dyDescent="0.2">
      <c r="A2">
        <v>1</v>
      </c>
      <c r="B2" s="1055">
        <v>2.2700000000000001E-2</v>
      </c>
      <c r="C2">
        <f>IF(A2&lt;366,A2/365,IF(A2=365,1,IF(A2&gt;366,C1+1,C2)))</f>
        <v>2.7397260273972603E-3</v>
      </c>
      <c r="D2" s="1052">
        <f>IF(A2&lt;365,B2,IF(A2=365,(1+A2*B2/360)^(base_calcul(DateVariable,ZC!A2)/ZC!A2)-1,((1+B2)/(1-B2*SUM($E$1:E1)))^(1/C2)-1))</f>
        <v>2.2700000000000001E-2</v>
      </c>
      <c r="E2" s="52" t="str">
        <f>IF(A2&gt;=365,1/(1+D2)^C2,"")</f>
        <v/>
      </c>
      <c r="F2" s="1055">
        <f>ROUND(IF(A2&lt;365,(1+D2*A2/360)^(base_calcul(DateVariable,ZC!A2)/ZC!A2)-1,D2),10)</f>
        <v>2.3281430400000001E-2</v>
      </c>
      <c r="J2" s="1271"/>
      <c r="K2" s="1271"/>
      <c r="P2" s="1081">
        <f>C2</f>
        <v>2.7397260273972603E-3</v>
      </c>
      <c r="Q2" s="1263">
        <f>F2</f>
        <v>2.3281430400000001E-2</v>
      </c>
    </row>
    <row r="3" spans="1:19" x14ac:dyDescent="0.2">
      <c r="A3">
        <v>53</v>
      </c>
      <c r="B3" s="1055">
        <v>2.2700000000000001E-2</v>
      </c>
      <c r="C3">
        <f t="shared" ref="C3:C5" si="1">IF(A3&lt;366,A3/365,IF(A3=365,1,IF(A3&gt;366,C2+1,C3)))</f>
        <v>0.14520547945205478</v>
      </c>
      <c r="D3" s="1052">
        <f>IF(A3&lt;365,B3,IF(A3=365,(1+A3*B3/360)^(base_calcul(DateVariable,ZC!A3)/ZC!A3)-1,((1+B3)/(1-B3*SUM($E$1:E2)))^(1/C3)-1))</f>
        <v>2.2700000000000001E-2</v>
      </c>
      <c r="E3" s="52" t="str">
        <f t="shared" ref="E3:E36" si="2">IF(A3&gt;=365,1/(1+D3)^C3,"")</f>
        <v/>
      </c>
      <c r="F3" s="1055">
        <f>ROUND(IF(A3&lt;365,(1+D3*A3/360)^(base_calcul(DateVariable,ZC!A3)/ZC!A3)-1,D3),10)</f>
        <v>2.32429078E-2</v>
      </c>
      <c r="H3" s="96"/>
      <c r="J3" s="1271"/>
      <c r="K3" s="1271"/>
      <c r="P3" s="1081">
        <f t="shared" ref="P3:P5" si="3">C3</f>
        <v>0.14520547945205478</v>
      </c>
      <c r="Q3" s="1263">
        <f t="shared" ref="Q3:Q5" si="4">F3</f>
        <v>2.32429078E-2</v>
      </c>
      <c r="R3" s="102"/>
      <c r="S3" s="1073"/>
    </row>
    <row r="4" spans="1:19" x14ac:dyDescent="0.2">
      <c r="A4">
        <v>144</v>
      </c>
      <c r="B4" s="1055">
        <v>2.3399999999999997E-2</v>
      </c>
      <c r="C4">
        <f t="shared" si="1"/>
        <v>0.39452054794520547</v>
      </c>
      <c r="D4" s="1052">
        <f>IF(A4&lt;365,B4,IF(A4=365,(1+A4*B4/360)^(base_calcul(DateVariable,ZC!A4)/ZC!A4)-1,((1+B4)/(1-B4*SUM($E$1:E3)))^(1/C4)-1))</f>
        <v>2.3399999999999997E-2</v>
      </c>
      <c r="E4" s="52" t="str">
        <f t="shared" si="2"/>
        <v/>
      </c>
      <c r="F4" s="1055">
        <f>ROUND(IF(A4&lt;365,(1+D4*A4/360)^(base_calcul(DateVariable,ZC!A4)/ZC!A4)-1,D4),10)</f>
        <v>2.3895688799999999E-2</v>
      </c>
      <c r="J4" s="1271"/>
      <c r="K4" s="1271"/>
      <c r="P4" s="1081">
        <f t="shared" si="3"/>
        <v>0.39452054794520547</v>
      </c>
      <c r="Q4" s="1263">
        <f t="shared" si="4"/>
        <v>2.3895688799999999E-2</v>
      </c>
    </row>
    <row r="5" spans="1:19" x14ac:dyDescent="0.2">
      <c r="A5">
        <v>326</v>
      </c>
      <c r="B5" s="1055">
        <v>2.46E-2</v>
      </c>
      <c r="C5">
        <f t="shared" si="1"/>
        <v>0.89315068493150684</v>
      </c>
      <c r="D5" s="1052">
        <f>IF(A5&lt;365,B5,IF(A5=365,(1+A5*B5/360)^(base_calcul(DateVariable,ZC!A5)/ZC!A5)-1,((1+B5)/(1-B5*SUM($E$1:E4)))^(1/C5)-1))</f>
        <v>2.46E-2</v>
      </c>
      <c r="E5" s="52" t="str">
        <f t="shared" si="2"/>
        <v/>
      </c>
      <c r="F5" s="1055">
        <f>ROUND(IF(A5&lt;365,(1+D5*A5/360)^(base_calcul(DateVariable,ZC!A5)/ZC!A5)-1,D5),10)</f>
        <v>2.4974686400000001E-2</v>
      </c>
      <c r="J5" s="1271"/>
      <c r="K5" s="1271"/>
      <c r="P5" s="1081">
        <f t="shared" si="3"/>
        <v>0.89315068493150684</v>
      </c>
      <c r="Q5" s="1263">
        <f t="shared" si="4"/>
        <v>2.4974686400000001E-2</v>
      </c>
    </row>
    <row r="6" spans="1:19" x14ac:dyDescent="0.2">
      <c r="A6">
        <v>365</v>
      </c>
      <c r="B6" s="1055">
        <f>interpoler(_mat1,taux1,A6)</f>
        <v>2.4798742831797234E-2</v>
      </c>
      <c r="C6">
        <v>1</v>
      </c>
      <c r="D6" s="1052">
        <f>IF(A6&lt;365,B6,IF(A6=365,(1+A6*B6/360)^(base_calcul(DateVariable,ZC!A6)/ZC!A6)-1,((1+B6)/(1-B6*SUM($E$1:E5)))^(1/C6)-1))</f>
        <v>2.5143169815572186E-2</v>
      </c>
      <c r="E6" s="52">
        <f t="shared" si="2"/>
        <v>0.97547350403739652</v>
      </c>
      <c r="F6" s="1055">
        <f>ROUND(IF(A6&lt;365,(1+D6*A6/360)^(base_calcul(DateVariable,ZC!A6)/ZC!A6)-1,D6),10)</f>
        <v>2.51431698E-2</v>
      </c>
      <c r="J6" s="1271"/>
      <c r="K6" s="1271"/>
      <c r="P6" s="1081"/>
      <c r="Q6" s="1263"/>
    </row>
    <row r="7" spans="1:19" x14ac:dyDescent="0.2">
      <c r="A7">
        <v>731</v>
      </c>
      <c r="B7" s="1055">
        <f>interpoler(_mat2,taux2,A7)</f>
        <v>2.6681663113006397E-2</v>
      </c>
      <c r="C7" s="1126">
        <v>2</v>
      </c>
      <c r="D7" s="1052">
        <f>IF(A7&lt;365,B7,IF(A7=365,(1+A7*B7/360)^(base_calcul(DateVariable,ZC!A7)/ZC!A7)-1,((1+B7)/(1-B7*SUM($E$1:E6)))^(1/C7)-1))</f>
        <v>2.6702219313043063E-2</v>
      </c>
      <c r="E7" s="52">
        <f t="shared" si="2"/>
        <v>0.94866089420202815</v>
      </c>
      <c r="F7" s="1055">
        <f>ROUND(IF(A7&lt;365,(1+D7*A7/360)^(base_calcul(DateVariable,ZC!A7)/ZC!A7)-1,D7),10)</f>
        <v>2.67022193E-2</v>
      </c>
      <c r="G7" s="322"/>
      <c r="H7" s="322"/>
      <c r="I7" s="322"/>
      <c r="J7" s="322"/>
      <c r="K7" s="322"/>
      <c r="L7" s="322"/>
      <c r="M7" s="322"/>
      <c r="N7" s="322"/>
      <c r="O7" s="322"/>
      <c r="P7" s="1081">
        <f t="shared" ref="P7:P36" si="5">C8</f>
        <v>3</v>
      </c>
      <c r="Q7" s="1263">
        <f t="shared" ref="Q7:Q36" si="6">F8</f>
        <v>2.8257089900000001E-2</v>
      </c>
    </row>
    <row r="8" spans="1:19" x14ac:dyDescent="0.2">
      <c r="A8">
        <v>1096</v>
      </c>
      <c r="B8" s="1055">
        <f>interpoler(_mat2,taux2,A8)</f>
        <v>2.8199253731343285E-2</v>
      </c>
      <c r="C8">
        <v>3</v>
      </c>
      <c r="D8" s="1052">
        <f>IF(A8&lt;365,B8,IF(A8=365,(1+A8*B8/360)^(base_calcul(DateVariable,ZC!A8)/ZC!A8)-1,((1+B8)/(1-B8*SUM($E$1:E7)))^(1/C8)-1))</f>
        <v>2.8257089868063856E-2</v>
      </c>
      <c r="E8" s="52">
        <f t="shared" si="2"/>
        <v>0.91980308530544086</v>
      </c>
      <c r="F8" s="1055">
        <f>ROUND(IF(A8&lt;365,(1+D8*A8/360)^(base_calcul(DateVariable,ZC!A8)/ZC!A8)-1,D8),10)</f>
        <v>2.8257089900000001E-2</v>
      </c>
      <c r="G8" s="29"/>
      <c r="H8" s="322"/>
      <c r="P8" s="1081">
        <f t="shared" si="5"/>
        <v>4</v>
      </c>
      <c r="Q8" s="1263">
        <f t="shared" si="6"/>
        <v>2.9832019500000001E-2</v>
      </c>
      <c r="S8" s="1073"/>
    </row>
    <row r="9" spans="1:19" x14ac:dyDescent="0.2">
      <c r="A9">
        <v>1461</v>
      </c>
      <c r="B9" s="1055">
        <f>interpoler(_mat2,taux2,A9)</f>
        <v>2.9716844349680169E-2</v>
      </c>
      <c r="C9">
        <v>4</v>
      </c>
      <c r="D9" s="1052">
        <f>IF(A9&lt;365,B9,IF(A9=365,(1+A9*B9/360)^(base_calcul(DateVariable,ZC!A9)/ZC!A9)-1,((1+B9)/(1-B9*SUM($E$1:E8)))^(1/C9)-1))</f>
        <v>2.9832019516379926E-2</v>
      </c>
      <c r="E9" s="52">
        <f t="shared" si="2"/>
        <v>0.88906689007253659</v>
      </c>
      <c r="F9" s="1055">
        <f>ROUND(IF(A9&lt;365,(1+D9*A9/360)^(base_calcul(DateVariable,ZC!A9)/ZC!A9)-1,D9),10)</f>
        <v>2.9832019500000001E-2</v>
      </c>
      <c r="G9" s="96"/>
      <c r="H9" s="322"/>
      <c r="P9" s="1081">
        <f t="shared" si="5"/>
        <v>5</v>
      </c>
      <c r="Q9" s="1263">
        <f t="shared" si="6"/>
        <v>3.0909175000000001E-2</v>
      </c>
    </row>
    <row r="10" spans="1:19" x14ac:dyDescent="0.2">
      <c r="A10">
        <v>1826</v>
      </c>
      <c r="B10" s="1055">
        <f>interpoler(_mat2,taux2,A10)</f>
        <v>3.0747802197802199E-2</v>
      </c>
      <c r="C10">
        <v>5</v>
      </c>
      <c r="D10" s="1052">
        <f>IF(A10&lt;365,B10,IF(A10=365,(1+A10*B10/360)^(base_calcul(DateVariable,ZC!A10)/ZC!A10)-1,((1+B10)/(1-B10*SUM($E$1:E9)))^(1/C10)-1))</f>
        <v>3.0909175049067983E-2</v>
      </c>
      <c r="E10" s="52">
        <f t="shared" si="2"/>
        <v>0.85881174621860257</v>
      </c>
      <c r="F10" s="1055">
        <f>ROUND(IF(A10&lt;365,(1+D10*A10/360)^(base_calcul(DateVariable,ZC!A10)/ZC!A10)-1,D10),10)</f>
        <v>3.0909175000000001E-2</v>
      </c>
      <c r="G10" s="96"/>
      <c r="H10" s="1214"/>
      <c r="I10" s="1073"/>
      <c r="P10" s="1081">
        <f t="shared" si="5"/>
        <v>6</v>
      </c>
      <c r="Q10" s="1263">
        <f t="shared" si="6"/>
        <v>3.1433277000000003E-2</v>
      </c>
    </row>
    <row r="11" spans="1:19" ht="15" x14ac:dyDescent="0.2">
      <c r="A11">
        <v>2192</v>
      </c>
      <c r="B11" s="1055">
        <f>interpoler(_mat2,taux2,A11)</f>
        <v>3.1254783748361728E-2</v>
      </c>
      <c r="C11" s="1126">
        <v>6</v>
      </c>
      <c r="D11" s="1052">
        <f>IF(A11&lt;365,B11,IF(A11=365,(1+A11*B11/360)^(base_calcul(DateVariable,ZC!A11)/ZC!A11)-1,((1+B11)/(1-B11*SUM($E$1:E10)))^(1/C11)-1))</f>
        <v>3.1433277003831694E-2</v>
      </c>
      <c r="E11" s="52">
        <f t="shared" si="2"/>
        <v>0.8305258735859371</v>
      </c>
      <c r="F11" s="1055">
        <f>ROUND(IF(A11&lt;365,(1+D11*A11/360)^(base_calcul(DateVariable,ZC!A11)/ZC!A11)-1,D11),10)</f>
        <v>3.1433277000000003E-2</v>
      </c>
      <c r="G11" s="96"/>
      <c r="H11" s="1254"/>
      <c r="P11" s="1081">
        <f t="shared" si="5"/>
        <v>7</v>
      </c>
      <c r="Q11" s="1263">
        <f t="shared" si="6"/>
        <v>3.1937152699999999E-2</v>
      </c>
    </row>
    <row r="12" spans="1:19" ht="15" x14ac:dyDescent="0.2">
      <c r="A12">
        <v>2557</v>
      </c>
      <c r="B12" s="1055">
        <f>interpoler(_mat2,taux2,A12)</f>
        <v>3.1733158584534731E-2</v>
      </c>
      <c r="C12">
        <v>7</v>
      </c>
      <c r="D12" s="1052">
        <f>IF(A12&lt;365,B12,IF(A12=365,(1+A12*B12/360)^(base_calcul(DateVariable,ZC!A12)/ZC!A12)-1,((1+B12)/(1-B12*SUM($E$1:E11)))^(1/C12)-1))</f>
        <v>3.1937152652627532E-2</v>
      </c>
      <c r="E12" s="52">
        <f t="shared" si="2"/>
        <v>0.80246714446885026</v>
      </c>
      <c r="F12" s="1055">
        <f>ROUND(IF(A12&lt;365,(1+D12*A12/360)^(base_calcul(DateVariable,ZC!A12)/ZC!A12)-1,D12),10)</f>
        <v>3.1937152699999999E-2</v>
      </c>
      <c r="G12" s="96"/>
      <c r="H12" s="1255"/>
      <c r="J12" s="8"/>
      <c r="P12" s="1081">
        <f t="shared" si="5"/>
        <v>8</v>
      </c>
      <c r="Q12" s="1263">
        <f t="shared" si="6"/>
        <v>3.2451127500000003E-2</v>
      </c>
    </row>
    <row r="13" spans="1:19" ht="15" x14ac:dyDescent="0.2">
      <c r="A13">
        <v>2922</v>
      </c>
      <c r="B13" s="1055">
        <f>interpoler(_mat2,taux2,A13)</f>
        <v>3.2211533420707733E-2</v>
      </c>
      <c r="C13">
        <v>8</v>
      </c>
      <c r="D13" s="1052">
        <f>IF(A13&lt;365,B13,IF(A13=365,(1+A13*B13/360)^(base_calcul(DateVariable,ZC!A13)/ZC!A13)-1,((1+B13)/(1-B13*SUM($E$1:E12)))^(1/C13)-1))</f>
        <v>3.2451127520668033E-2</v>
      </c>
      <c r="E13" s="52">
        <f t="shared" si="2"/>
        <v>0.77454022410292955</v>
      </c>
      <c r="F13" s="1055">
        <f>ROUND(IF(A13&lt;365,(1+D13*A13/360)^(base_calcul(DateVariable,ZC!A13)/ZC!A13)-1,D13),10)</f>
        <v>3.2451127500000003E-2</v>
      </c>
      <c r="G13" s="96"/>
      <c r="H13" s="1255"/>
      <c r="P13" s="1081">
        <f t="shared" si="5"/>
        <v>9</v>
      </c>
      <c r="Q13" s="1263">
        <f t="shared" si="6"/>
        <v>3.2974780400000001E-2</v>
      </c>
    </row>
    <row r="14" spans="1:19" ht="13.5" customHeight="1" x14ac:dyDescent="0.2">
      <c r="A14">
        <v>3287</v>
      </c>
      <c r="B14" s="1055">
        <f>interpoler(_mat2,taux2,A14)</f>
        <v>3.2689908256880729E-2</v>
      </c>
      <c r="C14">
        <v>9</v>
      </c>
      <c r="D14" s="1052">
        <f>IF(A14&lt;365,B14,IF(A14=365,(1+A14*B14/360)^(base_calcul(DateVariable,ZC!A14)/ZC!A14)-1,((1+B14)/(1-B14*SUM($E$1:E13)))^(1/C14)-1))</f>
        <v>3.2974780434713802E-2</v>
      </c>
      <c r="E14" s="52">
        <f t="shared" si="2"/>
        <v>0.74677974998351071</v>
      </c>
      <c r="F14" s="1055">
        <f>ROUND(IF(A14&lt;365,(1+D14*A14/360)^(base_calcul(DateVariable,ZC!A14)/ZC!A14)-1,D14),10)</f>
        <v>3.2974780400000001E-2</v>
      </c>
      <c r="G14" s="96"/>
      <c r="H14" s="1255"/>
      <c r="I14" s="1246"/>
      <c r="P14" s="1081">
        <f t="shared" si="5"/>
        <v>10</v>
      </c>
      <c r="Q14" s="1263">
        <f t="shared" si="6"/>
        <v>3.3586701500000003E-2</v>
      </c>
    </row>
    <row r="15" spans="1:19" ht="15" x14ac:dyDescent="0.2">
      <c r="A15">
        <v>3653</v>
      </c>
      <c r="B15" s="1055">
        <f>interpoler(_mat2,taux2,A15)</f>
        <v>3.3235010060362169E-2</v>
      </c>
      <c r="C15" s="1126">
        <v>10</v>
      </c>
      <c r="D15" s="1052">
        <f>IF(A15&lt;365,B15,IF(A15=365,(1+A15*B15/360)^(base_calcul(DateVariable,ZC!A15)/ZC!A15)-1,((1+B15)/(1-B15*SUM($E$1:E14)))^(1/C15)-1))</f>
        <v>3.3586701531389984E-2</v>
      </c>
      <c r="E15" s="52">
        <f t="shared" si="2"/>
        <v>0.71867224184669487</v>
      </c>
      <c r="F15" s="1055">
        <f>ROUND(IF(A15&lt;365,(1+D15*A15/360)^(base_calcul(DateVariable,ZC!A15)/ZC!A15)-1,D15),10)</f>
        <v>3.3586701500000003E-2</v>
      </c>
      <c r="G15" s="96"/>
      <c r="H15" s="1255"/>
      <c r="J15" s="1246"/>
      <c r="P15" s="1081">
        <f t="shared" si="5"/>
        <v>11</v>
      </c>
      <c r="Q15" s="1263">
        <f t="shared" si="6"/>
        <v>3.4231326399999998E-2</v>
      </c>
    </row>
    <row r="16" spans="1:19" ht="15" x14ac:dyDescent="0.2">
      <c r="A16">
        <v>4018</v>
      </c>
      <c r="B16" s="1055">
        <f>interpoler(_mat2,taux2,A16)</f>
        <v>3.3798054996646544E-2</v>
      </c>
      <c r="C16">
        <v>11</v>
      </c>
      <c r="D16" s="1052">
        <f>IF(A16&lt;365,B16,IF(A16=365,(1+A16*B16/360)^(base_calcul(DateVariable,ZC!A16)/ZC!A16)-1,((1+B16)/(1-B16*SUM($E$1:E15)))^(1/C16)-1))</f>
        <v>3.4231326373023618E-2</v>
      </c>
      <c r="E16" s="52">
        <f t="shared" si="2"/>
        <v>0.69056637788904252</v>
      </c>
      <c r="F16" s="1055">
        <f>ROUND(IF(A16&lt;365,(1+D16*A16/360)^(base_calcul(DateVariable,ZC!A16)/ZC!A16)-1,D16),10)</f>
        <v>3.4231326399999998E-2</v>
      </c>
      <c r="G16" s="96"/>
      <c r="H16" s="1255"/>
      <c r="K16" s="1246"/>
      <c r="P16" s="1081">
        <f t="shared" si="5"/>
        <v>12</v>
      </c>
      <c r="Q16" s="1263">
        <f t="shared" si="6"/>
        <v>3.4888115599999998E-2</v>
      </c>
    </row>
    <row r="17" spans="1:17" ht="15" x14ac:dyDescent="0.2">
      <c r="A17">
        <v>4383</v>
      </c>
      <c r="B17" s="1055">
        <f>interpoler(_mat2,taux2,A17)</f>
        <v>3.4361099932930919E-2</v>
      </c>
      <c r="C17">
        <v>12</v>
      </c>
      <c r="D17" s="1052">
        <f>IF(A17&lt;365,B17,IF(A17=365,(1+A17*B17/360)^(base_calcul(DateVariable,ZC!A17)/ZC!A17)-1,((1+B17)/(1-B17*SUM($E$1:E16)))^(1/C17)-1))</f>
        <v>3.4888115648953999E-2</v>
      </c>
      <c r="E17" s="52">
        <f t="shared" si="2"/>
        <v>0.66264237362785772</v>
      </c>
      <c r="F17" s="1055">
        <f>ROUND(IF(A17&lt;365,(1+D17*A17/360)^(base_calcul(DateVariable,ZC!A17)/ZC!A17)-1,D17),10)</f>
        <v>3.4888115599999998E-2</v>
      </c>
      <c r="G17" s="96"/>
      <c r="H17" s="1323"/>
      <c r="P17" s="1081">
        <f t="shared" si="5"/>
        <v>13</v>
      </c>
      <c r="Q17" s="1263">
        <f t="shared" si="6"/>
        <v>3.5557995299999999E-2</v>
      </c>
    </row>
    <row r="18" spans="1:17" ht="15" x14ac:dyDescent="0.2">
      <c r="A18">
        <v>4748</v>
      </c>
      <c r="B18" s="1055">
        <f>interpoler(_mat2,taux2,A18)</f>
        <v>3.4924144869215287E-2</v>
      </c>
      <c r="C18">
        <v>13</v>
      </c>
      <c r="D18" s="1052">
        <f>IF(A18&lt;365,B18,IF(A18=365,(1+A18*B18/360)^(base_calcul(DateVariable,ZC!A18)/ZC!A18)-1,((1+B18)/(1-B18*SUM($E$1:E17)))^(1/C18)-1))</f>
        <v>3.5557995345375515E-2</v>
      </c>
      <c r="E18" s="52">
        <f t="shared" si="2"/>
        <v>0.63493966781178701</v>
      </c>
      <c r="F18" s="1055">
        <f>ROUND(IF(A18&lt;365,(1+D18*A18/360)^(base_calcul(DateVariable,ZC!A18)/ZC!A18)-1,D18),10)</f>
        <v>3.5557995299999999E-2</v>
      </c>
      <c r="G18" s="1213"/>
      <c r="H18" s="1322"/>
      <c r="I18" s="58"/>
      <c r="P18" s="1081">
        <f t="shared" si="5"/>
        <v>14</v>
      </c>
      <c r="Q18" s="1263">
        <f t="shared" si="6"/>
        <v>3.5945588600000002E-2</v>
      </c>
    </row>
    <row r="19" spans="1:17" ht="15" x14ac:dyDescent="0.2">
      <c r="A19">
        <v>5114</v>
      </c>
      <c r="B19" s="1055">
        <f>interpoler(_mat2,taux2,A19)</f>
        <v>3.5258990536277603E-2</v>
      </c>
      <c r="C19" s="1126">
        <v>14</v>
      </c>
      <c r="D19" s="1052">
        <f>IF(A19&lt;365,B19,IF(A19=365,(1+A19*B19/360)^(base_calcul(DateVariable,ZC!A19)/ZC!A19)-1,((1+B19)/(1-B19*SUM($E$1:E18)))^(1/C19)-1))</f>
        <v>3.5945588608917278E-2</v>
      </c>
      <c r="E19" s="52">
        <f t="shared" si="2"/>
        <v>0.60993388963000794</v>
      </c>
      <c r="F19" s="1055">
        <f>ROUND(IF(A19&lt;365,(1+D19*A19/360)^(base_calcul(DateVariable,ZC!A19)/ZC!A19)-1,D19),10)</f>
        <v>3.5945588600000002E-2</v>
      </c>
      <c r="G19" s="96"/>
      <c r="H19" s="1255"/>
      <c r="J19" s="58"/>
      <c r="P19" s="1081">
        <f t="shared" si="5"/>
        <v>15</v>
      </c>
      <c r="Q19" s="1263">
        <f t="shared" si="6"/>
        <v>3.62042635E-2</v>
      </c>
    </row>
    <row r="20" spans="1:17" ht="15" x14ac:dyDescent="0.2">
      <c r="A20">
        <v>5479</v>
      </c>
      <c r="B20" s="1055">
        <f>interpoler(_mat2,taux2,A20)</f>
        <v>3.5489274447949526E-2</v>
      </c>
      <c r="C20">
        <v>15</v>
      </c>
      <c r="D20" s="1052">
        <f>IF(A20&lt;365,B20,IF(A20=365,(1+A20*B20/360)^(base_calcul(DateVariable,ZC!A20)/ZC!A20)-1,((1+B20)/(1-B20*SUM($E$1:E19)))^(1/C20)-1))</f>
        <v>3.6204263530655201E-2</v>
      </c>
      <c r="E20" s="52">
        <f t="shared" si="2"/>
        <v>0.58656936435153906</v>
      </c>
      <c r="F20" s="1055">
        <f>ROUND(IF(A20&lt;365,(1+D20*A20/360)^(base_calcul(DateVariable,ZC!A20)/ZC!A20)-1,D20),10)</f>
        <v>3.62042635E-2</v>
      </c>
      <c r="G20" s="96"/>
      <c r="H20" s="1255"/>
      <c r="J20" s="102"/>
      <c r="P20" s="1081">
        <f t="shared" si="5"/>
        <v>16</v>
      </c>
      <c r="Q20" s="1263">
        <f t="shared" si="6"/>
        <v>3.64708693E-2</v>
      </c>
    </row>
    <row r="21" spans="1:17" ht="15" x14ac:dyDescent="0.2">
      <c r="A21">
        <v>5844</v>
      </c>
      <c r="B21" s="1055">
        <f>interpoler(_mat2,taux2,A21)</f>
        <v>3.5719558359621449E-2</v>
      </c>
      <c r="C21">
        <v>16</v>
      </c>
      <c r="D21" s="1052">
        <f>IF(A21&lt;365,B21,IF(A21=365,(1+A21*B21/360)^(base_calcul(DateVariable,ZC!A21)/ZC!A21)-1,((1+B21)/(1-B21*SUM($E$1:E20)))^(1/C21)-1))</f>
        <v>3.6470869299297881E-2</v>
      </c>
      <c r="E21" s="52">
        <f t="shared" si="2"/>
        <v>0.56374978924253993</v>
      </c>
      <c r="F21" s="1055">
        <f>ROUND(IF(A21&lt;365,(1+D21*A21/360)^(base_calcul(DateVariable,ZC!A21)/ZC!A21)-1,D21),10)</f>
        <v>3.64708693E-2</v>
      </c>
      <c r="G21" s="96"/>
      <c r="H21" s="1255"/>
      <c r="P21" s="1081">
        <f t="shared" si="5"/>
        <v>17</v>
      </c>
      <c r="Q21" s="1263">
        <f t="shared" si="6"/>
        <v>3.6745179500000003E-2</v>
      </c>
    </row>
    <row r="22" spans="1:17" ht="15" x14ac:dyDescent="0.2">
      <c r="A22">
        <v>6209</v>
      </c>
      <c r="B22" s="1055">
        <f>interpoler(_mat2,taux2,A22)</f>
        <v>3.5949842271293372E-2</v>
      </c>
      <c r="C22">
        <v>17</v>
      </c>
      <c r="D22" s="1052">
        <f>IF(A22&lt;365,B22,IF(A22=365,(1+A22*B22/360)^(base_calcul(DateVariable,ZC!A22)/ZC!A22)-1,((1+B22)/(1-B22*SUM($E$1:E21)))^(1/C22)-1))</f>
        <v>3.674517951075984E-2</v>
      </c>
      <c r="E22" s="52">
        <f t="shared" si="2"/>
        <v>0.54147147114198158</v>
      </c>
      <c r="F22" s="1055">
        <f>ROUND(IF(A22&lt;365,(1+D22*A22/360)^(base_calcul(DateVariable,ZC!A22)/ZC!A22)-1,D22),10)</f>
        <v>3.6745179500000003E-2</v>
      </c>
      <c r="G22" s="96"/>
      <c r="H22" s="1255"/>
      <c r="P22" s="1081">
        <f t="shared" si="5"/>
        <v>18</v>
      </c>
      <c r="Q22" s="1263">
        <f t="shared" si="6"/>
        <v>3.7027996899999999E-2</v>
      </c>
    </row>
    <row r="23" spans="1:17" ht="15" x14ac:dyDescent="0.2">
      <c r="A23">
        <v>6575</v>
      </c>
      <c r="B23" s="1055">
        <f>interpoler(_mat2,taux2,A23)</f>
        <v>3.6180757097791796E-2</v>
      </c>
      <c r="C23" s="1126">
        <v>18</v>
      </c>
      <c r="D23" s="1052">
        <f>IF(A23&lt;365,B23,IF(A23=365,(1+A23*B23/360)^(base_calcul(DateVariable,ZC!A23)/ZC!A23)-1,((1+B23)/(1-B23*SUM($E$1:E22)))^(1/C23)-1))</f>
        <v>3.7027996872732505E-2</v>
      </c>
      <c r="E23" s="52">
        <f t="shared" si="2"/>
        <v>0.51972228209504523</v>
      </c>
      <c r="F23" s="1055">
        <f>ROUND(IF(A23&lt;365,(1+D23*A23/360)^(base_calcul(DateVariable,ZC!A23)/ZC!A23)-1,D23),10)</f>
        <v>3.7027996899999999E-2</v>
      </c>
      <c r="G23" s="96"/>
      <c r="H23" s="1255"/>
      <c r="I23" s="8"/>
      <c r="L23" s="1378"/>
      <c r="P23" s="1081">
        <f t="shared" si="5"/>
        <v>19</v>
      </c>
      <c r="Q23" s="1263">
        <f t="shared" si="6"/>
        <v>3.7317532799999997E-2</v>
      </c>
    </row>
    <row r="24" spans="1:17" ht="15" x14ac:dyDescent="0.2">
      <c r="A24">
        <v>6940</v>
      </c>
      <c r="B24" s="1055">
        <f>interpoler(_mat2,taux2,A24)</f>
        <v>3.641104100946372E-2</v>
      </c>
      <c r="C24">
        <v>19</v>
      </c>
      <c r="D24" s="1052">
        <f>IF(A24&lt;365,B24,IF(A24=365,(1+A24*B24/360)^(base_calcul(DateVariable,ZC!A24)/ZC!A24)-1,((1+B24)/(1-B24*SUM($E$1:E23)))^(1/C24)-1))</f>
        <v>3.7317532836152578E-2</v>
      </c>
      <c r="E24" s="52">
        <f t="shared" si="2"/>
        <v>0.49851398883658843</v>
      </c>
      <c r="F24" s="1055">
        <f>ROUND(IF(A24&lt;365,(1+D24*A24/360)^(base_calcul(DateVariable,ZC!A24)/ZC!A24)-1,D24),10)</f>
        <v>3.7317532799999997E-2</v>
      </c>
      <c r="G24" s="96"/>
      <c r="H24" s="1255"/>
      <c r="I24" s="8"/>
      <c r="L24" s="1378"/>
      <c r="P24" s="1081">
        <f t="shared" si="5"/>
        <v>20</v>
      </c>
      <c r="Q24" s="1263">
        <f t="shared" si="6"/>
        <v>3.7810909400000002E-2</v>
      </c>
    </row>
    <row r="25" spans="1:17" ht="15" x14ac:dyDescent="0.2">
      <c r="A25">
        <v>7305</v>
      </c>
      <c r="B25" s="1055">
        <f>interpoler(_mat2,taux2,A25)</f>
        <v>3.677247524752475E-2</v>
      </c>
      <c r="C25">
        <v>20</v>
      </c>
      <c r="D25" s="1052">
        <f>IF(A25&lt;365,B25,IF(A25=365,(1+A25*B25/360)^(base_calcul(DateVariable,ZC!A25)/ZC!A25)-1,((1+B25)/(1-B25*SUM($E$1:E24)))^(1/C25)-1))</f>
        <v>3.7810909380046276E-2</v>
      </c>
      <c r="E25" s="52">
        <f t="shared" si="2"/>
        <v>0.47603114394523716</v>
      </c>
      <c r="F25" s="1055">
        <f>ROUND(IF(A25&lt;365,(1+D25*A25/360)^(base_calcul(DateVariable,ZC!A25)/ZC!A25)-1,D25),10)</f>
        <v>3.7810909400000002E-2</v>
      </c>
      <c r="G25" s="96"/>
      <c r="H25" s="1255"/>
      <c r="I25" s="8"/>
      <c r="L25" s="1378"/>
      <c r="P25" s="1081">
        <f t="shared" si="5"/>
        <v>21</v>
      </c>
      <c r="Q25" s="1263">
        <f t="shared" si="6"/>
        <v>3.8443967799999999E-2</v>
      </c>
    </row>
    <row r="26" spans="1:17" ht="15" x14ac:dyDescent="0.2">
      <c r="A26">
        <v>7670</v>
      </c>
      <c r="B26" s="1055">
        <f>interpoler(_mat2,taux2,A26)</f>
        <v>3.7216463932107494E-2</v>
      </c>
      <c r="C26">
        <v>21</v>
      </c>
      <c r="D26" s="1052">
        <f>IF(A26&lt;365,B26,IF(A26=365,(1+A26*B26/360)^(base_calcul(DateVariable,ZC!A26)/ZC!A26)-1,((1+B26)/(1-B26*SUM($E$1:E25)))^(1/C26)-1))</f>
        <v>3.8443967848964311E-2</v>
      </c>
      <c r="E26" s="52">
        <f t="shared" si="2"/>
        <v>0.45285125274760224</v>
      </c>
      <c r="F26" s="1055">
        <f>ROUND(IF(A26&lt;365,(1+D26*A26/360)^(base_calcul(DateVariable,ZC!A26)/ZC!A26)-1,D26),10)</f>
        <v>3.8443967799999999E-2</v>
      </c>
      <c r="G26" s="96"/>
      <c r="H26" s="1255"/>
      <c r="I26" s="8"/>
      <c r="L26" s="1378"/>
      <c r="P26" s="1081">
        <f t="shared" si="5"/>
        <v>22</v>
      </c>
      <c r="Q26" s="1263">
        <f t="shared" si="6"/>
        <v>3.9095815300000003E-2</v>
      </c>
    </row>
    <row r="27" spans="1:17" ht="15" x14ac:dyDescent="0.2">
      <c r="A27">
        <v>8036</v>
      </c>
      <c r="B27" s="1055">
        <f>interpoler(_mat2,taux2,A27)</f>
        <v>3.7661669024045261E-2</v>
      </c>
      <c r="C27" s="1126">
        <v>22</v>
      </c>
      <c r="D27" s="1052">
        <f>IF(A27&lt;365,B27,IF(A27=365,(1+A27*B27/360)^(base_calcul(DateVariable,ZC!A27)/ZC!A27)-1,((1+B27)/(1-B27*SUM($E$1:E26)))^(1/C27)-1))</f>
        <v>3.9095815270420164E-2</v>
      </c>
      <c r="E27" s="52">
        <f t="shared" si="2"/>
        <v>0.43010737795019771</v>
      </c>
      <c r="F27" s="1055">
        <f>ROUND(IF(A27&lt;365,(1+D27*A27/360)^(base_calcul(DateVariable,ZC!A27)/ZC!A27)-1,D27),10)</f>
        <v>3.9095815300000003E-2</v>
      </c>
      <c r="G27" s="96"/>
      <c r="H27" s="1255"/>
      <c r="I27" s="8"/>
      <c r="L27"/>
      <c r="M27" s="1378"/>
      <c r="P27" s="1081">
        <f t="shared" si="5"/>
        <v>23</v>
      </c>
      <c r="Q27" s="1263">
        <f t="shared" si="6"/>
        <v>3.9764222600000003E-2</v>
      </c>
    </row>
    <row r="28" spans="1:17" ht="15" x14ac:dyDescent="0.2">
      <c r="A28">
        <v>8401</v>
      </c>
      <c r="B28" s="1055">
        <f>interpoler(_mat2,taux2,A28)</f>
        <v>3.8105657708628005E-2</v>
      </c>
      <c r="C28">
        <v>23</v>
      </c>
      <c r="D28" s="1052">
        <f>IF(A28&lt;365,B28,IF(A28=365,(1+A28*B28/360)^(base_calcul(DateVariable,ZC!A28)/ZC!A28)-1,((1+B28)/(1-B28*SUM($E$1:E27)))^(1/C28)-1))</f>
        <v>3.9764222644253611E-2</v>
      </c>
      <c r="E28" s="52">
        <f t="shared" si="2"/>
        <v>0.40784768128573834</v>
      </c>
      <c r="F28" s="1055">
        <f>ROUND(IF(A28&lt;365,(1+D28*A28/360)^(base_calcul(DateVariable,ZC!A28)/ZC!A28)-1,D28),10)</f>
        <v>3.9764222600000003E-2</v>
      </c>
      <c r="G28" s="96"/>
      <c r="H28" s="1255"/>
      <c r="I28" s="8"/>
      <c r="L28"/>
      <c r="M28" s="1378"/>
      <c r="P28" s="1081">
        <f t="shared" si="5"/>
        <v>24</v>
      </c>
      <c r="Q28" s="1263">
        <f t="shared" si="6"/>
        <v>4.0452978200000003E-2</v>
      </c>
    </row>
    <row r="29" spans="1:17" ht="15" x14ac:dyDescent="0.2">
      <c r="A29">
        <v>8766</v>
      </c>
      <c r="B29" s="1055">
        <f>interpoler(_mat2,taux2,A29)</f>
        <v>3.8549646393210749E-2</v>
      </c>
      <c r="C29">
        <v>24</v>
      </c>
      <c r="D29" s="1052">
        <f>IF(A29&lt;365,B29,IF(A29=365,(1+A29*B29/360)^(base_calcul(DateVariable,ZC!A29)/ZC!A29)-1,((1+B29)/(1-B29*SUM($E$1:E28)))^(1/C29)-1))</f>
        <v>4.0452978233171732E-2</v>
      </c>
      <c r="E29" s="52">
        <f t="shared" si="2"/>
        <v>0.38606551973566705</v>
      </c>
      <c r="F29" s="1055">
        <f>ROUND(IF(A29&lt;365,(1+D29*A29/360)^(base_calcul(DateVariable,ZC!A29)/ZC!A29)-1,D29),10)</f>
        <v>4.0452978200000003E-2</v>
      </c>
      <c r="G29" s="96"/>
      <c r="H29" s="1255"/>
      <c r="I29" s="8"/>
      <c r="L29" s="1378"/>
      <c r="P29" s="1081">
        <f t="shared" si="5"/>
        <v>25</v>
      </c>
      <c r="Q29" s="1263">
        <f t="shared" si="6"/>
        <v>4.1164118899999998E-2</v>
      </c>
    </row>
    <row r="30" spans="1:17" ht="15" x14ac:dyDescent="0.2">
      <c r="A30">
        <v>9131</v>
      </c>
      <c r="B30" s="1055">
        <f>interpoler(_mat2,taux2,A30)</f>
        <v>3.8993635077793493E-2</v>
      </c>
      <c r="C30">
        <v>25</v>
      </c>
      <c r="D30" s="1052">
        <f>IF(A30&lt;365,B30,IF(A30=365,(1+A30*B30/360)^(base_calcul(DateVariable,ZC!A30)/ZC!A30)-1,((1+B30)/(1-B30*SUM($E$1:E29)))^(1/C30)-1))</f>
        <v>4.1164118886099166E-2</v>
      </c>
      <c r="E30" s="52">
        <f t="shared" si="2"/>
        <v>0.36477089554582992</v>
      </c>
      <c r="F30" s="1055">
        <f>ROUND(IF(A30&lt;365,(1+D30*A30/360)^(base_calcul(DateVariable,ZC!A30)/ZC!A30)-1,D30),10)</f>
        <v>4.1164118899999998E-2</v>
      </c>
      <c r="G30" s="96"/>
      <c r="H30" s="1255"/>
      <c r="I30" s="8"/>
      <c r="L30" s="1378"/>
      <c r="P30" s="1081">
        <f t="shared" si="5"/>
        <v>26</v>
      </c>
      <c r="Q30" s="1263">
        <f t="shared" si="6"/>
        <v>4.1902190800000003E-2</v>
      </c>
    </row>
    <row r="31" spans="1:17" ht="15" x14ac:dyDescent="0.2">
      <c r="A31">
        <v>9497</v>
      </c>
      <c r="B31" s="1055">
        <f>interpoler(_mat2,taux2,A31)</f>
        <v>3.943884016973126E-2</v>
      </c>
      <c r="C31" s="1126">
        <v>26</v>
      </c>
      <c r="D31" s="1052">
        <f>IF(A31&lt;365,B31,IF(A31=365,(1+A31*B31/360)^(base_calcul(DateVariable,ZC!A31)/ZC!A31)-1,((1+B31)/(1-B31*SUM($E$1:E30)))^(1/C31)-1))</f>
        <v>4.1902190808523088E-2</v>
      </c>
      <c r="E31" s="52">
        <f t="shared" si="2"/>
        <v>0.34395313181555148</v>
      </c>
      <c r="F31" s="1055">
        <f>ROUND(IF(A31&lt;365,(1+D31*A31/360)^(base_calcul(DateVariable,ZC!A31)/ZC!A31)-1,D31),10)</f>
        <v>4.1902190800000003E-2</v>
      </c>
      <c r="G31" s="96"/>
      <c r="H31" s="1255"/>
      <c r="I31" s="8"/>
      <c r="L31" s="1378"/>
      <c r="P31" s="1081">
        <f t="shared" si="5"/>
        <v>27</v>
      </c>
      <c r="Q31" s="1263">
        <f t="shared" si="6"/>
        <v>4.2665235000000003E-2</v>
      </c>
    </row>
    <row r="32" spans="1:17" ht="15" x14ac:dyDescent="0.2">
      <c r="A32">
        <v>9862</v>
      </c>
      <c r="B32" s="1055">
        <f>interpoler(_mat2,taux2,A32)</f>
        <v>3.9882828854314004E-2</v>
      </c>
      <c r="C32">
        <v>27</v>
      </c>
      <c r="D32" s="1052">
        <f>IF(A32&lt;365,B32,IF(A32=365,(1+A32*B32/360)^(base_calcul(DateVariable,ZC!A32)/ZC!A32)-1,((1+B32)/(1-B32*SUM($E$1:E31)))^(1/C32)-1))</f>
        <v>4.2665234965259868E-2</v>
      </c>
      <c r="E32" s="52">
        <f t="shared" si="2"/>
        <v>0.32365914315154282</v>
      </c>
      <c r="F32" s="1055">
        <f>ROUND(IF(A32&lt;365,(1+D32*A32/360)^(base_calcul(DateVariable,ZC!A32)/ZC!A32)-1,D32),10)</f>
        <v>4.2665235000000003E-2</v>
      </c>
      <c r="G32" s="96"/>
      <c r="H32" s="1255"/>
      <c r="I32" s="8"/>
      <c r="L32" s="1378"/>
      <c r="P32" s="1081">
        <f t="shared" si="5"/>
        <v>28</v>
      </c>
      <c r="Q32" s="1263">
        <f t="shared" si="6"/>
        <v>4.3458427299999998E-2</v>
      </c>
    </row>
    <row r="33" spans="1:18" ht="15" x14ac:dyDescent="0.2">
      <c r="A33">
        <v>10227</v>
      </c>
      <c r="B33" s="1055">
        <f>interpoler(_mat2,taux2,A33)</f>
        <v>4.0326817538896748E-2</v>
      </c>
      <c r="C33">
        <v>28</v>
      </c>
      <c r="D33" s="1052">
        <f>IF(A33&lt;365,B33,IF(A33=365,(1+A33*B33/360)^(base_calcul(DateVariable,ZC!A33)/ZC!A33)-1,((1+B33)/(1-B33*SUM($E$1:E32)))^(1/C33)-1))</f>
        <v>4.3458427338789019E-2</v>
      </c>
      <c r="E33" s="52">
        <f t="shared" si="2"/>
        <v>0.30387556138524596</v>
      </c>
      <c r="F33" s="1055">
        <f>ROUND(IF(A33&lt;365,(1+D33*A33/360)^(base_calcul(DateVariable,ZC!A33)/ZC!A33)-1,D33),10)</f>
        <v>4.3458427299999998E-2</v>
      </c>
      <c r="G33" s="96"/>
      <c r="H33" s="1255"/>
      <c r="I33" s="8"/>
      <c r="L33" s="1378"/>
      <c r="P33" s="1081">
        <f t="shared" si="5"/>
        <v>29</v>
      </c>
      <c r="Q33" s="1263">
        <f t="shared" si="6"/>
        <v>4.4285097900000001E-2</v>
      </c>
    </row>
    <row r="34" spans="1:18" ht="15" x14ac:dyDescent="0.2">
      <c r="A34">
        <v>10592</v>
      </c>
      <c r="B34" s="1055">
        <f>interpoler(_mat2,taux2,A34)</f>
        <v>4.0770806223479492E-2</v>
      </c>
      <c r="C34">
        <v>29</v>
      </c>
      <c r="D34" s="1052">
        <f>IF(A34&lt;365,B34,IF(A34=365,(1+A34*B34/360)^(base_calcul(DateVariable,ZC!A34)/ZC!A34)-1,((1+B34)/(1-B34*SUM($E$1:E33)))^(1/C34)-1))</f>
        <v>4.4285097932054818E-2</v>
      </c>
      <c r="E34" s="52">
        <f t="shared" si="2"/>
        <v>0.28460771079995423</v>
      </c>
      <c r="F34" s="1055">
        <f>ROUND(IF(A34&lt;365,(1+D34*A34/360)^(base_calcul(DateVariable,ZC!A34)/ZC!A34)-1,D34),10)</f>
        <v>4.4285097900000001E-2</v>
      </c>
      <c r="G34" s="96"/>
      <c r="H34" s="1255"/>
      <c r="I34" s="8"/>
      <c r="L34" s="1378"/>
      <c r="P34" s="1081">
        <f t="shared" si="5"/>
        <v>30</v>
      </c>
      <c r="Q34" s="1263">
        <f t="shared" si="6"/>
        <v>4.5151807600000003E-2</v>
      </c>
    </row>
    <row r="35" spans="1:18" ht="15" x14ac:dyDescent="0.2">
      <c r="A35">
        <v>10958</v>
      </c>
      <c r="B35" s="1055">
        <f>interpoler(_mat2,taux2,A35)</f>
        <v>4.1216011315417259E-2</v>
      </c>
      <c r="C35" s="1126">
        <v>30</v>
      </c>
      <c r="D35" s="1052">
        <f>IF(A35&lt;365,B35,IF(A35=365,(1+A35*B35/360)^(base_calcul(DateVariable,ZC!A35)/ZC!A35)-1,((1+B35)/(1-B35*SUM($E$1:E34)))^(1/C35)-1))</f>
        <v>4.5151807559298041E-2</v>
      </c>
      <c r="E35" s="52">
        <f t="shared" si="2"/>
        <v>0.2658390156505423</v>
      </c>
      <c r="F35" s="1055">
        <f>ROUND(IF(A35&lt;365,(1+D35*A35/360)^(base_calcul(DateVariable,ZC!A35)/ZC!A35)-1,D35),10)</f>
        <v>4.5151807600000003E-2</v>
      </c>
      <c r="G35" s="96"/>
      <c r="H35" s="1255"/>
      <c r="I35" s="8"/>
      <c r="L35" s="1378"/>
      <c r="P35" s="1081">
        <f t="shared" si="5"/>
        <v>30</v>
      </c>
      <c r="Q35" s="1263" t="e">
        <f t="shared" si="6"/>
        <v>#DIV/0!</v>
      </c>
    </row>
    <row r="36" spans="1:18" x14ac:dyDescent="0.2">
      <c r="C36">
        <v>30</v>
      </c>
      <c r="D36" s="1052">
        <f>IF(A36&lt;365,B36,IF(A36=365,(1+A36*B36/360)^(base_calcul(DateVariable,ZC!A36)/ZC!A36)-1,((1+B36)/(1-B36*SUM($E$1:E35)))^(1/C36)-1))</f>
        <v>0</v>
      </c>
      <c r="E36" s="52" t="str">
        <f t="shared" si="2"/>
        <v/>
      </c>
      <c r="F36" s="1055" t="e">
        <f>ROUND(IF(A36&lt;365,(1+D36*A36/360)^(base_calcul(DateVariable,ZC!A36)/ZC!A36)-1,D36),10)</f>
        <v>#DIV/0!</v>
      </c>
      <c r="G36" s="96"/>
      <c r="H36" s="322"/>
      <c r="I36" s="8"/>
      <c r="L36" s="1378"/>
      <c r="P36" s="1081">
        <f t="shared" si="5"/>
        <v>0</v>
      </c>
      <c r="Q36" s="1263">
        <f t="shared" si="6"/>
        <v>0</v>
      </c>
    </row>
    <row r="37" spans="1:18" x14ac:dyDescent="0.2">
      <c r="D37" s="1052"/>
      <c r="F37" s="1055"/>
      <c r="G37" s="96"/>
      <c r="H37" s="322"/>
      <c r="I37" s="8"/>
      <c r="K37" s="1074"/>
      <c r="L37" s="1378"/>
      <c r="P37" s="1074"/>
    </row>
    <row r="38" spans="1:18" x14ac:dyDescent="0.2">
      <c r="D38" s="1052"/>
      <c r="F38" s="1055"/>
      <c r="G38" s="96"/>
      <c r="H38" s="322"/>
      <c r="I38" s="8"/>
      <c r="K38" s="1074"/>
      <c r="L38" s="1378"/>
    </row>
    <row r="39" spans="1:18" x14ac:dyDescent="0.2">
      <c r="D39" s="1052"/>
      <c r="F39" s="1055"/>
      <c r="I39" s="8"/>
      <c r="K39" s="1074"/>
      <c r="L39" s="1378"/>
    </row>
    <row r="40" spans="1:18" x14ac:dyDescent="0.2">
      <c r="D40" s="1052"/>
      <c r="F40" s="1055"/>
      <c r="I40" s="8"/>
      <c r="K40" s="1074"/>
      <c r="L40" s="1378"/>
    </row>
    <row r="41" spans="1:18" x14ac:dyDescent="0.2">
      <c r="I41" s="8"/>
      <c r="K41" s="1074"/>
      <c r="L41" s="1378"/>
    </row>
    <row r="42" spans="1:18" x14ac:dyDescent="0.2">
      <c r="I42" s="8"/>
      <c r="K42" s="1074"/>
      <c r="L42" s="1378"/>
    </row>
    <row r="43" spans="1:18" x14ac:dyDescent="0.2">
      <c r="I43" s="8"/>
      <c r="K43" s="1074"/>
      <c r="L43" s="1378"/>
    </row>
    <row r="44" spans="1:18" x14ac:dyDescent="0.2">
      <c r="I44" s="8"/>
      <c r="K44" s="1074"/>
      <c r="L44" s="1378"/>
    </row>
    <row r="45" spans="1:18" x14ac:dyDescent="0.2">
      <c r="I45" s="8"/>
      <c r="K45" s="1074"/>
      <c r="L45" s="1378"/>
    </row>
    <row r="46" spans="1:18" x14ac:dyDescent="0.2">
      <c r="I46" s="8"/>
      <c r="K46" s="1074"/>
      <c r="L46" s="1378"/>
    </row>
    <row r="47" spans="1:18" ht="15" x14ac:dyDescent="0.2">
      <c r="I47" s="1377"/>
      <c r="J47" s="1265"/>
      <c r="K47" s="1264"/>
      <c r="L47" s="1379"/>
      <c r="M47" s="1267"/>
      <c r="N47" s="1267"/>
      <c r="O47" s="1267"/>
    </row>
    <row r="48" spans="1:18" ht="15" x14ac:dyDescent="0.2">
      <c r="I48" s="1377"/>
      <c r="J48" s="1268"/>
      <c r="K48" s="1266"/>
      <c r="L48" s="1379"/>
      <c r="M48" s="1268"/>
      <c r="N48" s="1268"/>
      <c r="O48" s="1268"/>
      <c r="R48" s="1259"/>
    </row>
    <row r="49" spans="9:19" ht="15" x14ac:dyDescent="0.2">
      <c r="I49" s="1377"/>
      <c r="J49" s="1268"/>
      <c r="K49" s="1266"/>
      <c r="L49" s="1379"/>
      <c r="M49" s="1268"/>
      <c r="N49" s="1268"/>
      <c r="O49" s="1268"/>
      <c r="R49" s="1259"/>
    </row>
    <row r="50" spans="9:19" ht="15" x14ac:dyDescent="0.2">
      <c r="I50" s="1377"/>
      <c r="J50" s="1268"/>
      <c r="K50" s="1266"/>
      <c r="L50" s="1379"/>
      <c r="M50" s="1268"/>
      <c r="N50" s="1268"/>
      <c r="O50" s="1268"/>
      <c r="R50" s="1259"/>
    </row>
    <row r="51" spans="9:19" ht="15" x14ac:dyDescent="0.2">
      <c r="I51" s="1377"/>
      <c r="J51" s="1268"/>
      <c r="K51" s="1266"/>
      <c r="L51" s="1379"/>
      <c r="M51" s="1268"/>
      <c r="N51" s="1268"/>
      <c r="O51" s="1268"/>
      <c r="R51" s="1259"/>
    </row>
    <row r="52" spans="9:19" ht="15" x14ac:dyDescent="0.2">
      <c r="I52" s="1377"/>
      <c r="J52" s="1268"/>
      <c r="K52" s="1266"/>
      <c r="L52" s="1379"/>
      <c r="M52" s="1268"/>
      <c r="N52" s="1268"/>
      <c r="O52" s="1268"/>
      <c r="R52" s="1259"/>
      <c r="S52" s="1074"/>
    </row>
    <row r="53" spans="9:19" ht="15" x14ac:dyDescent="0.2">
      <c r="I53" s="1377"/>
      <c r="J53" s="1269"/>
      <c r="K53" s="1266"/>
      <c r="L53" s="1379"/>
      <c r="M53" s="1268"/>
      <c r="N53" s="1268"/>
      <c r="O53" s="1268"/>
      <c r="R53" s="1259"/>
    </row>
    <row r="54" spans="9:19" ht="15" x14ac:dyDescent="0.2">
      <c r="I54" s="1377"/>
      <c r="J54" s="1268"/>
      <c r="K54" s="1266"/>
      <c r="L54" s="1379"/>
      <c r="M54" s="1270"/>
      <c r="N54" s="1270"/>
      <c r="O54" s="1270"/>
      <c r="R54" s="1259"/>
    </row>
    <row r="55" spans="9:19" ht="15" x14ac:dyDescent="0.2">
      <c r="I55" s="1377"/>
      <c r="J55" s="1268"/>
      <c r="K55" s="1266"/>
      <c r="L55" s="1379"/>
      <c r="M55" s="1270"/>
      <c r="N55" s="1270"/>
      <c r="O55" s="1270"/>
      <c r="R55" s="1259"/>
    </row>
    <row r="56" spans="9:19" ht="15" x14ac:dyDescent="0.2">
      <c r="I56" s="1377"/>
      <c r="J56" s="1268"/>
      <c r="K56" s="1266"/>
      <c r="L56" s="1379"/>
      <c r="M56" s="1270"/>
      <c r="N56" s="1270"/>
      <c r="O56" s="1270"/>
      <c r="R56" s="1259"/>
    </row>
    <row r="57" spans="9:19" ht="15" x14ac:dyDescent="0.2">
      <c r="I57" s="1377"/>
      <c r="J57" s="1268"/>
      <c r="K57" s="1266"/>
      <c r="L57" s="1379"/>
      <c r="M57" s="1270"/>
      <c r="N57" s="1270"/>
      <c r="O57" s="1270"/>
      <c r="R57" s="1259"/>
    </row>
    <row r="58" spans="9:19" ht="15" x14ac:dyDescent="0.2">
      <c r="I58" s="1377"/>
      <c r="J58" s="1268"/>
      <c r="K58" s="1266"/>
      <c r="L58" s="1379"/>
      <c r="M58" s="1270"/>
      <c r="N58" s="1270"/>
      <c r="O58" s="1270"/>
      <c r="R58" s="1259"/>
    </row>
    <row r="59" spans="9:19" ht="15" x14ac:dyDescent="0.2">
      <c r="I59" s="1377"/>
      <c r="J59" s="1268"/>
      <c r="K59" s="1266"/>
      <c r="L59" s="1379"/>
      <c r="M59" s="1270"/>
      <c r="N59" s="1270"/>
      <c r="O59" s="1270"/>
      <c r="R59" s="1259"/>
    </row>
    <row r="60" spans="9:19" ht="15" x14ac:dyDescent="0.2">
      <c r="I60" s="1377"/>
      <c r="J60" s="1268"/>
      <c r="K60" s="1266"/>
      <c r="L60" s="1379"/>
      <c r="M60" s="1270"/>
      <c r="N60" s="1270"/>
      <c r="O60" s="1270"/>
      <c r="R60" s="1259"/>
    </row>
    <row r="61" spans="9:19" ht="15" x14ac:dyDescent="0.2">
      <c r="I61" s="1377"/>
      <c r="J61" s="1268"/>
      <c r="K61" s="1266"/>
      <c r="L61" s="1379"/>
      <c r="M61" s="1270"/>
      <c r="N61" s="1270"/>
      <c r="O61" s="1270"/>
      <c r="R61" s="1259"/>
    </row>
    <row r="62" spans="9:19" x14ac:dyDescent="0.2">
      <c r="I62" s="8"/>
      <c r="L62" s="1378"/>
      <c r="R62" s="1259"/>
    </row>
    <row r="63" spans="9:19" x14ac:dyDescent="0.2">
      <c r="I63" s="8"/>
      <c r="L63" s="1378"/>
      <c r="R63" s="1259"/>
    </row>
    <row r="64" spans="9:19" x14ac:dyDescent="0.2">
      <c r="I64" s="8"/>
      <c r="L64" s="1378"/>
      <c r="R64" s="1259"/>
    </row>
    <row r="65" spans="9:18" x14ac:dyDescent="0.2">
      <c r="I65" s="8"/>
      <c r="L65" s="1378"/>
      <c r="R65" s="1259"/>
    </row>
    <row r="66" spans="9:18" x14ac:dyDescent="0.2">
      <c r="I66" s="8"/>
      <c r="L66" s="1378"/>
      <c r="R66" s="1259"/>
    </row>
    <row r="67" spans="9:18" x14ac:dyDescent="0.2">
      <c r="I67" s="8"/>
      <c r="L67" s="1378"/>
      <c r="R67" s="1259"/>
    </row>
    <row r="68" spans="9:18" x14ac:dyDescent="0.2">
      <c r="R68" s="1259"/>
    </row>
    <row r="69" spans="9:18" x14ac:dyDescent="0.2">
      <c r="R69" s="1259"/>
    </row>
    <row r="70" spans="9:18" x14ac:dyDescent="0.2">
      <c r="R70" s="1259"/>
    </row>
    <row r="71" spans="9:18" x14ac:dyDescent="0.2">
      <c r="R71" s="1259"/>
    </row>
    <row r="72" spans="9:18" x14ac:dyDescent="0.2">
      <c r="R72" s="1259"/>
    </row>
    <row r="73" spans="9:18" x14ac:dyDescent="0.2">
      <c r="R73" s="1259"/>
    </row>
    <row r="74" spans="9:18" x14ac:dyDescent="0.2">
      <c r="R74" s="1259"/>
    </row>
    <row r="75" spans="9:18" x14ac:dyDescent="0.2">
      <c r="R75" s="1259"/>
    </row>
    <row r="76" spans="9:18" x14ac:dyDescent="0.2">
      <c r="R76" s="1259"/>
    </row>
    <row r="77" spans="9:18" x14ac:dyDescent="0.2">
      <c r="R77" s="1259"/>
    </row>
    <row r="78" spans="9:18" x14ac:dyDescent="0.2">
      <c r="R78" s="1259"/>
    </row>
    <row r="79" spans="9:18" x14ac:dyDescent="0.2">
      <c r="R79" s="1259"/>
    </row>
    <row r="80" spans="9:18" x14ac:dyDescent="0.2">
      <c r="R80" s="1259"/>
    </row>
    <row r="81" spans="18:18" x14ac:dyDescent="0.2">
      <c r="R81" s="1259"/>
    </row>
    <row r="82" spans="18:18" x14ac:dyDescent="0.2">
      <c r="R82" s="1259"/>
    </row>
    <row r="83" spans="18:18" x14ac:dyDescent="0.2">
      <c r="R83" s="1259"/>
    </row>
    <row r="84" spans="18:18" x14ac:dyDescent="0.2">
      <c r="R84" s="1259"/>
    </row>
    <row r="85" spans="18:18" x14ac:dyDescent="0.2">
      <c r="R85" s="1259"/>
    </row>
    <row r="86" spans="18:18" x14ac:dyDescent="0.2">
      <c r="R86" s="1259"/>
    </row>
    <row r="87" spans="18:18" x14ac:dyDescent="0.2">
      <c r="R87" s="1259"/>
    </row>
    <row r="88" spans="18:18" x14ac:dyDescent="0.2">
      <c r="R88" s="1259"/>
    </row>
    <row r="89" spans="18:18" x14ac:dyDescent="0.2">
      <c r="R89" s="1259"/>
    </row>
    <row r="90" spans="18:18" x14ac:dyDescent="0.2">
      <c r="R90" s="1259"/>
    </row>
    <row r="91" spans="18:18" x14ac:dyDescent="0.2">
      <c r="R91" s="125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827969" r:id="rId4" name="Button 1">
              <controlPr defaultSize="0" print="0" autoFill="0" autoPict="0" macro="[0]!courbeZC">
                <anchor moveWithCells="1" sizeWithCells="1">
                  <from>
                    <xdr:col>6</xdr:col>
                    <xdr:colOff>714375</xdr:colOff>
                    <xdr:row>2</xdr:row>
                    <xdr:rowOff>28575</xdr:rowOff>
                  </from>
                  <to>
                    <xdr:col>8</xdr:col>
                    <xdr:colOff>590550</xdr:colOff>
                    <xdr:row>4</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97BE8-0C9E-4B38-87B0-48FAAC5F69C0}">
  <sheetPr codeName="Feuil6">
    <tabColor rgb="FF002060"/>
  </sheetPr>
  <dimension ref="A1:N356"/>
  <sheetViews>
    <sheetView zoomScale="85" zoomScaleNormal="85" workbookViewId="0">
      <selection activeCell="F357" sqref="F357"/>
    </sheetView>
  </sheetViews>
  <sheetFormatPr baseColWidth="10" defaultRowHeight="15" x14ac:dyDescent="0.25"/>
  <cols>
    <col min="1" max="1" width="13.28515625" style="1046" bestFit="1" customWidth="1"/>
    <col min="2" max="2" width="11.7109375" style="1048" bestFit="1" customWidth="1"/>
    <col min="3" max="3" width="14.5703125" style="1046" bestFit="1" customWidth="1"/>
    <col min="4" max="4" width="11" style="1211" bestFit="1" customWidth="1"/>
    <col min="5" max="5" width="12.42578125" style="280" bestFit="1" customWidth="1"/>
    <col min="7" max="7" width="20" customWidth="1"/>
    <col min="9" max="9" width="13.5703125" bestFit="1" customWidth="1"/>
    <col min="11" max="11" width="13.5703125" bestFit="1" customWidth="1"/>
    <col min="14" max="14" width="15.28515625" bestFit="1" customWidth="1"/>
  </cols>
  <sheetData>
    <row r="1" spans="1:14" ht="18.75" x14ac:dyDescent="0.3">
      <c r="A1" s="1045" t="s">
        <v>3220</v>
      </c>
      <c r="B1" s="1047" t="s">
        <v>1264</v>
      </c>
      <c r="C1" s="1045" t="s">
        <v>2258</v>
      </c>
      <c r="D1" s="1210" t="s">
        <v>2997</v>
      </c>
      <c r="E1" s="1049" t="s">
        <v>2998</v>
      </c>
    </row>
    <row r="2" spans="1:14" hidden="1" x14ac:dyDescent="0.25">
      <c r="A2" s="1172">
        <v>9748</v>
      </c>
      <c r="B2" s="1173">
        <v>46107</v>
      </c>
      <c r="C2" s="1174">
        <v>100.41</v>
      </c>
      <c r="D2" s="1211">
        <f>IF(ISNUMBER(LOOKUP("XS",Requête1[[#This Row],[titre]])),VLOOKUP(Requête1[[#This Row],[titre]],'[5]REFERENCES DE VALO PROCEDURE'!F$9:G$22,2,),VLOOKUP(Requête1[[#This Row],[titre]],Lignes_détenues!A:B,2,))</f>
        <v>101.55060702210467</v>
      </c>
      <c r="E2" s="280">
        <f>Requête1[[#This Row],[PRICER]]-Requête1[[#This Row],[valo]]</f>
        <v>1.1406070221046747</v>
      </c>
      <c r="N2" s="1312"/>
    </row>
    <row r="3" spans="1:14" hidden="1" x14ac:dyDescent="0.25">
      <c r="A3" s="1172">
        <v>9580</v>
      </c>
      <c r="B3" s="1173">
        <v>46107</v>
      </c>
      <c r="C3" s="1174">
        <v>8342.07</v>
      </c>
      <c r="D3" s="1211">
        <f>IF(ISNUMBER(LOOKUP("XS",Requête1[[#This Row],[titre]])),VLOOKUP(Requête1[[#This Row],[titre]],'[5]REFERENCES DE VALO PROCEDURE'!F$9:G$22,2,),VLOOKUP(Requête1[[#This Row],[titre]],Lignes_détenues!A:B,2,))</f>
        <v>8342.7099999999991</v>
      </c>
      <c r="E3" s="280">
        <f>Requête1[[#This Row],[PRICER]]-Requête1[[#This Row],[valo]]</f>
        <v>0.63999999999941792</v>
      </c>
      <c r="J3" s="280"/>
      <c r="N3" s="1312"/>
    </row>
    <row r="4" spans="1:14" hidden="1" x14ac:dyDescent="0.25">
      <c r="A4" s="1172">
        <v>201937</v>
      </c>
      <c r="B4" s="1173">
        <v>46107</v>
      </c>
      <c r="C4" s="1174">
        <v>100455.31</v>
      </c>
      <c r="D4" s="1211">
        <f>IF(ISNUMBER(LOOKUP("XS",Requête1[[#This Row],[titre]])),VLOOKUP(Requête1[[#This Row],[titre]],'[5]REFERENCES DE VALO PROCEDURE'!F$9:G$22,2,),VLOOKUP(Requête1[[#This Row],[titre]],Lignes_détenues!A:B,2,))</f>
        <v>100455.91744565942</v>
      </c>
      <c r="E4" s="280">
        <f>Requête1[[#This Row],[PRICER]]-Requête1[[#This Row],[valo]]</f>
        <v>0.60744565942150075</v>
      </c>
      <c r="J4" s="280"/>
      <c r="N4" s="1312"/>
    </row>
    <row r="5" spans="1:14" hidden="1" x14ac:dyDescent="0.25">
      <c r="A5" s="1172">
        <v>5151</v>
      </c>
      <c r="B5" s="1173">
        <v>46107</v>
      </c>
      <c r="C5" s="1174">
        <v>100024.48</v>
      </c>
      <c r="D5" s="1211">
        <f>IF(ISNUMBER(LOOKUP("XS",Requête1[[#This Row],[titre]])),VLOOKUP(Requête1[[#This Row],[titre]],'[5]REFERENCES DE VALO PROCEDURE'!F$9:G$22,2,),VLOOKUP(Requête1[[#This Row],[titre]],Lignes_détenues!A:B,2,))</f>
        <v>100024.71233822756</v>
      </c>
      <c r="E5" s="280">
        <f>Requête1[[#This Row],[PRICER]]-Requête1[[#This Row],[valo]]</f>
        <v>0.23233822756446898</v>
      </c>
      <c r="J5" s="280"/>
      <c r="N5" s="1312"/>
    </row>
    <row r="6" spans="1:14" hidden="1" x14ac:dyDescent="0.25">
      <c r="A6" s="1172">
        <v>5122</v>
      </c>
      <c r="B6" s="1173">
        <v>46107</v>
      </c>
      <c r="C6" s="1174">
        <v>40564.44</v>
      </c>
      <c r="D6" s="1211">
        <f>IF(ISNUMBER(LOOKUP("XS",Requête1[[#This Row],[titre]])),VLOOKUP(Requête1[[#This Row],[titre]],'[5]REFERENCES DE VALO PROCEDURE'!F$9:G$22,2,),VLOOKUP(Requête1[[#This Row],[titre]],Lignes_détenues!A:B,2,))</f>
        <v>40564.5</v>
      </c>
      <c r="E6" s="280">
        <f>Requête1[[#This Row],[PRICER]]-Requête1[[#This Row],[valo]]</f>
        <v>5.9999999997671694E-2</v>
      </c>
      <c r="G6" s="452"/>
      <c r="J6" s="280"/>
      <c r="N6" s="1312"/>
    </row>
    <row r="7" spans="1:14" hidden="1" x14ac:dyDescent="0.25">
      <c r="A7" s="1172">
        <v>5116</v>
      </c>
      <c r="B7" s="1173">
        <v>46107</v>
      </c>
      <c r="C7" s="1174">
        <v>53193</v>
      </c>
      <c r="D7" s="1211">
        <f>IF(ISNUMBER(LOOKUP("XS",Requête1[[#This Row],[titre]])),VLOOKUP(Requête1[[#This Row],[titre]],'[5]REFERENCES DE VALO PROCEDURE'!F$9:G$22,2,),VLOOKUP(Requête1[[#This Row],[titre]],Lignes_détenues!A:B,2,))</f>
        <v>53193.04</v>
      </c>
      <c r="E7" s="280">
        <f>Requête1[[#This Row],[PRICER]]-Requête1[[#This Row],[valo]]</f>
        <v>4.0000000000873115E-2</v>
      </c>
      <c r="J7" s="280"/>
      <c r="N7" s="1312"/>
    </row>
    <row r="8" spans="1:14" hidden="1" x14ac:dyDescent="0.25">
      <c r="A8" s="1172">
        <v>5061</v>
      </c>
      <c r="B8" s="1173">
        <v>46107</v>
      </c>
      <c r="C8" s="1174">
        <v>73369.22</v>
      </c>
      <c r="D8" s="1211">
        <f>IF(ISNUMBER(LOOKUP("XS",Requête1[[#This Row],[titre]])),VLOOKUP(Requête1[[#This Row],[titre]],'[5]REFERENCES DE VALO PROCEDURE'!F$9:G$22,2,),VLOOKUP(Requête1[[#This Row],[titre]],Lignes_détenues!A:B,2,))</f>
        <v>73369.259999999995</v>
      </c>
      <c r="E8" s="280">
        <f>Requête1[[#This Row],[PRICER]]-Requête1[[#This Row],[valo]]</f>
        <v>3.9999999993597157E-2</v>
      </c>
      <c r="J8" s="280"/>
      <c r="N8" s="1312"/>
    </row>
    <row r="9" spans="1:14" hidden="1" x14ac:dyDescent="0.25">
      <c r="A9" s="1172">
        <v>9714</v>
      </c>
      <c r="B9" s="1173">
        <v>46107</v>
      </c>
      <c r="C9" s="1174">
        <v>100556.88</v>
      </c>
      <c r="D9" s="1211">
        <f>IF(ISNUMBER(LOOKUP("XS",Requête1[[#This Row],[titre]])),VLOOKUP(Requête1[[#This Row],[titre]],'[5]REFERENCES DE VALO PROCEDURE'!F$9:G$22,2,),VLOOKUP(Requête1[[#This Row],[titre]],Lignes_détenues!A:B,2,))</f>
        <v>100556.91190000001</v>
      </c>
      <c r="E9" s="280">
        <f>Requête1[[#This Row],[PRICER]]-Requête1[[#This Row],[valo]]</f>
        <v>3.1900000001769513E-2</v>
      </c>
      <c r="J9" s="280"/>
      <c r="N9" s="1312"/>
    </row>
    <row r="10" spans="1:14" hidden="1" x14ac:dyDescent="0.25">
      <c r="A10" s="1172">
        <v>9240</v>
      </c>
      <c r="B10" s="1173">
        <v>46107</v>
      </c>
      <c r="C10" s="1174">
        <v>27018.080000000002</v>
      </c>
      <c r="D10" s="1211">
        <f>IF(ISNUMBER(LOOKUP("XS",Requête1[[#This Row],[titre]])),VLOOKUP(Requête1[[#This Row],[titre]],'[5]REFERENCES DE VALO PROCEDURE'!F$9:G$22,2,),VLOOKUP(Requête1[[#This Row],[titre]],Lignes_détenues!A:B,2,))</f>
        <v>27018.11</v>
      </c>
      <c r="E10" s="280">
        <f>Requête1[[#This Row],[PRICER]]-Requête1[[#This Row],[valo]]</f>
        <v>2.9999999998835847E-2</v>
      </c>
      <c r="J10" s="280"/>
      <c r="N10" s="1312"/>
    </row>
    <row r="11" spans="1:14" hidden="1" x14ac:dyDescent="0.25">
      <c r="A11" s="1172">
        <v>5106</v>
      </c>
      <c r="B11" s="1173">
        <v>46107</v>
      </c>
      <c r="C11" s="1174">
        <v>29757.86</v>
      </c>
      <c r="D11" s="1211">
        <f>IF(ISNUMBER(LOOKUP("XS",Requête1[[#This Row],[titre]])),VLOOKUP(Requête1[[#This Row],[titre]],'[5]REFERENCES DE VALO PROCEDURE'!F$9:G$22,2,),VLOOKUP(Requête1[[#This Row],[titre]],Lignes_détenues!A:B,2,))</f>
        <v>29757.88</v>
      </c>
      <c r="E11" s="280">
        <f>Requête1[[#This Row],[PRICER]]-Requête1[[#This Row],[valo]]</f>
        <v>2.0000000000436557E-2</v>
      </c>
      <c r="J11" s="280"/>
      <c r="N11" s="1312"/>
    </row>
    <row r="12" spans="1:14" hidden="1" x14ac:dyDescent="0.25">
      <c r="A12" s="1172">
        <v>101005</v>
      </c>
      <c r="B12" s="1173">
        <v>46107</v>
      </c>
      <c r="C12" s="1174">
        <v>100111.97</v>
      </c>
      <c r="D12" s="1211">
        <f>IF(ISNUMBER(LOOKUP("XS",Requête1[[#This Row],[titre]])),VLOOKUP(Requête1[[#This Row],[titre]],'[5]REFERENCES DE VALO PROCEDURE'!F$9:G$22,2,),VLOOKUP(Requête1[[#This Row],[titre]],Lignes_détenues!A:B,2,))</f>
        <v>100111.9835</v>
      </c>
      <c r="E12" s="280">
        <f>Requête1[[#This Row],[PRICER]]-Requête1[[#This Row],[valo]]</f>
        <v>1.3500000000931323E-2</v>
      </c>
      <c r="J12" s="280"/>
      <c r="N12" s="1312"/>
    </row>
    <row r="13" spans="1:14" hidden="1" x14ac:dyDescent="0.25">
      <c r="A13" s="1172">
        <v>9487</v>
      </c>
      <c r="B13" s="1173">
        <v>46107</v>
      </c>
      <c r="C13" s="1174">
        <v>75765.34</v>
      </c>
      <c r="D13" s="1211">
        <f>IF(ISNUMBER(LOOKUP("XS",Requête1[[#This Row],[titre]])),VLOOKUP(Requête1[[#This Row],[titre]],'[5]REFERENCES DE VALO PROCEDURE'!F$9:G$22,2,),VLOOKUP(Requête1[[#This Row],[titre]],Lignes_détenues!A:B,2,))</f>
        <v>75765.350000000006</v>
      </c>
      <c r="E13" s="280">
        <f>Requête1[[#This Row],[PRICER]]-Requête1[[#This Row],[valo]]</f>
        <v>1.0000000009313226E-2</v>
      </c>
      <c r="J13" s="280"/>
      <c r="N13" s="1312"/>
    </row>
    <row r="14" spans="1:14" hidden="1" x14ac:dyDescent="0.25">
      <c r="A14" s="1172">
        <v>9518</v>
      </c>
      <c r="B14" s="1173">
        <v>46107</v>
      </c>
      <c r="C14" s="1174">
        <v>71573.399999999994</v>
      </c>
      <c r="D14" s="1211">
        <f>IF(ISNUMBER(LOOKUP("XS",Requête1[[#This Row],[titre]])),VLOOKUP(Requête1[[#This Row],[titre]],'[5]REFERENCES DE VALO PROCEDURE'!F$9:G$22,2,),VLOOKUP(Requête1[[#This Row],[titre]],Lignes_détenues!A:B,2,))</f>
        <v>71573.41</v>
      </c>
      <c r="E14" s="280">
        <f>Requête1[[#This Row],[PRICER]]-Requête1[[#This Row],[valo]]</f>
        <v>1.0000000009313226E-2</v>
      </c>
      <c r="J14" s="280"/>
      <c r="N14" s="1312"/>
    </row>
    <row r="15" spans="1:14" hidden="1" x14ac:dyDescent="0.25">
      <c r="A15" s="1172">
        <v>5119</v>
      </c>
      <c r="B15" s="1173">
        <v>46107</v>
      </c>
      <c r="C15" s="1174">
        <v>47067.32</v>
      </c>
      <c r="D15" s="1211">
        <f>IF(ISNUMBER(LOOKUP("XS",Requête1[[#This Row],[titre]])),VLOOKUP(Requête1[[#This Row],[titre]],'[5]REFERENCES DE VALO PROCEDURE'!F$9:G$22,2,),VLOOKUP(Requête1[[#This Row],[titre]],Lignes_détenues!A:B,2,))</f>
        <v>47067.33</v>
      </c>
      <c r="E15" s="280">
        <f>Requête1[[#This Row],[PRICER]]-Requête1[[#This Row],[valo]]</f>
        <v>1.0000000002037268E-2</v>
      </c>
      <c r="J15" s="280"/>
      <c r="N15" s="1312"/>
    </row>
    <row r="16" spans="1:14" hidden="1" x14ac:dyDescent="0.25">
      <c r="A16" s="1172">
        <v>9402</v>
      </c>
      <c r="B16" s="1173">
        <v>46107</v>
      </c>
      <c r="C16" s="1174">
        <v>61299.39</v>
      </c>
      <c r="D16" s="1211">
        <f>IF(ISNUMBER(LOOKUP("XS",Requête1[[#This Row],[titre]])),VLOOKUP(Requête1[[#This Row],[titre]],'[5]REFERENCES DE VALO PROCEDURE'!F$9:G$22,2,),VLOOKUP(Requête1[[#This Row],[titre]],Lignes_détenues!A:B,2,))</f>
        <v>61299.4</v>
      </c>
      <c r="E16" s="280">
        <f>Requête1[[#This Row],[PRICER]]-Requête1[[#This Row],[valo]]</f>
        <v>1.0000000002037268E-2</v>
      </c>
      <c r="J16" s="280"/>
      <c r="N16" s="1312"/>
    </row>
    <row r="17" spans="1:14" hidden="1" x14ac:dyDescent="0.25">
      <c r="A17" s="1172">
        <v>9461</v>
      </c>
      <c r="B17" s="1173">
        <v>46107</v>
      </c>
      <c r="C17" s="1174">
        <v>34611.360000000001</v>
      </c>
      <c r="D17" s="1211">
        <f>IF(ISNUMBER(LOOKUP("XS",Requête1[[#This Row],[titre]])),VLOOKUP(Requête1[[#This Row],[titre]],'[5]REFERENCES DE VALO PROCEDURE'!F$9:G$22,2,),VLOOKUP(Requête1[[#This Row],[titre]],Lignes_détenues!A:B,2,))</f>
        <v>34611.370000000003</v>
      </c>
      <c r="E17" s="280">
        <f>Requête1[[#This Row],[PRICER]]-Requête1[[#This Row],[valo]]</f>
        <v>1.0000000002037268E-2</v>
      </c>
      <c r="J17" s="280"/>
      <c r="N17" s="1312"/>
    </row>
    <row r="18" spans="1:14" hidden="1" x14ac:dyDescent="0.25">
      <c r="A18" s="1615">
        <v>9202</v>
      </c>
      <c r="B18" s="1173">
        <v>46107</v>
      </c>
      <c r="C18" s="1174">
        <v>237.37</v>
      </c>
      <c r="D18" s="1211">
        <f>IF(ISNUMBER(LOOKUP("XS",Requête1[[#This Row],[titre]])),VLOOKUP(Requête1[[#This Row],[titre]],'[5]REFERENCES DE VALO PROCEDURE'!F$9:G$22,2,),VLOOKUP(Requête1[[#This Row],[titre]],Lignes_détenues!A:B,2,))</f>
        <v>237.38</v>
      </c>
      <c r="E18" s="280">
        <f>Requête1[[#This Row],[PRICER]]-Requête1[[#This Row],[valo]]</f>
        <v>9.9999999999909051E-3</v>
      </c>
      <c r="J18" s="280"/>
      <c r="N18" s="1312"/>
    </row>
    <row r="19" spans="1:14" hidden="1" x14ac:dyDescent="0.25">
      <c r="A19" s="1172">
        <v>2151</v>
      </c>
      <c r="B19" s="1173">
        <v>46107</v>
      </c>
      <c r="C19" s="1174">
        <v>6828.93</v>
      </c>
      <c r="D19" s="1211">
        <f>IF(ISNUMBER(LOOKUP("XS",Requête1[[#This Row],[titre]])),VLOOKUP(Requête1[[#This Row],[titre]],'[5]REFERENCES DE VALO PROCEDURE'!F$9:G$22,2,),VLOOKUP(Requête1[[#This Row],[titre]],Lignes_détenues!A:B,2,))</f>
        <v>6828.94</v>
      </c>
      <c r="E19" s="280">
        <f>Requête1[[#This Row],[PRICER]]-Requête1[[#This Row],[valo]]</f>
        <v>9.999999999308784E-3</v>
      </c>
      <c r="J19" s="280"/>
      <c r="N19" s="1312"/>
    </row>
    <row r="20" spans="1:14" hidden="1" x14ac:dyDescent="0.25">
      <c r="A20" s="1172">
        <v>153118</v>
      </c>
      <c r="B20" s="1173">
        <v>46107</v>
      </c>
      <c r="C20" s="1174">
        <v>100173.12</v>
      </c>
      <c r="D20" s="1211">
        <f>IF(ISNUMBER(LOOKUP("XS",Requête1[[#This Row],[titre]])),VLOOKUP(Requête1[[#This Row],[titre]],'[5]REFERENCES DE VALO PROCEDURE'!F$9:G$22,2,),VLOOKUP(Requête1[[#This Row],[titre]],Lignes_détenues!A:B,2,))</f>
        <v>100173.12497171458</v>
      </c>
      <c r="E20" s="280">
        <f>Requête1[[#This Row],[PRICER]]-Requête1[[#This Row],[valo]]</f>
        <v>4.9717145884642377E-3</v>
      </c>
      <c r="J20" s="280"/>
      <c r="N20" s="1312"/>
    </row>
    <row r="21" spans="1:14" hidden="1" x14ac:dyDescent="0.25">
      <c r="A21" s="1172">
        <v>100931</v>
      </c>
      <c r="B21" s="1173">
        <v>46107</v>
      </c>
      <c r="C21" s="1174">
        <v>103334.02</v>
      </c>
      <c r="D21" s="1211">
        <f>IF(ISNUMBER(LOOKUP("XS",Requête1[[#This Row],[titre]])),VLOOKUP(Requête1[[#This Row],[titre]],'[5]REFERENCES DE VALO PROCEDURE'!F$9:G$22,2,),VLOOKUP(Requête1[[#This Row],[titre]],Lignes_détenues!A:B,2,))</f>
        <v>103334.02494684776</v>
      </c>
      <c r="E21" s="280">
        <f>Requête1[[#This Row],[PRICER]]-Requête1[[#This Row],[valo]]</f>
        <v>4.9468477518530563E-3</v>
      </c>
      <c r="N21" s="1312"/>
    </row>
    <row r="22" spans="1:14" hidden="1" x14ac:dyDescent="0.25">
      <c r="A22" s="1172">
        <v>9091</v>
      </c>
      <c r="B22" s="1173">
        <v>46107</v>
      </c>
      <c r="C22" s="1174">
        <v>108944.38</v>
      </c>
      <c r="D22" s="1211">
        <f>IF(ISNUMBER(LOOKUP("XS",Requête1[[#This Row],[titre]])),VLOOKUP(Requête1[[#This Row],[titre]],'[5]REFERENCES DE VALO PROCEDURE'!F$9:G$22,2,),VLOOKUP(Requête1[[#This Row],[titre]],Lignes_détenues!A:B,2,))</f>
        <v>108944.3849201207</v>
      </c>
      <c r="E22" s="280">
        <f>Requête1[[#This Row],[PRICER]]-Requête1[[#This Row],[valo]]</f>
        <v>4.9201207002624869E-3</v>
      </c>
      <c r="N22" s="1312"/>
    </row>
    <row r="23" spans="1:14" hidden="1" x14ac:dyDescent="0.25">
      <c r="A23" s="1172">
        <v>100954</v>
      </c>
      <c r="B23" s="1173">
        <v>46107</v>
      </c>
      <c r="C23" s="1174">
        <v>100875.49</v>
      </c>
      <c r="D23" s="1211">
        <f>IF(ISNUMBER(LOOKUP("XS",Requête1[[#This Row],[titre]])),VLOOKUP(Requête1[[#This Row],[titre]],'[5]REFERENCES DE VALO PROCEDURE'!F$9:G$22,2,),VLOOKUP(Requête1[[#This Row],[titre]],Lignes_détenues!A:B,2,))</f>
        <v>100875.49491237564</v>
      </c>
      <c r="E23" s="280">
        <f>Requête1[[#This Row],[PRICER]]-Requête1[[#This Row],[valo]]</f>
        <v>4.9123756325570866E-3</v>
      </c>
      <c r="N23" s="1312"/>
    </row>
    <row r="24" spans="1:14" hidden="1" x14ac:dyDescent="0.25">
      <c r="A24" s="1172">
        <v>100992</v>
      </c>
      <c r="B24" s="1173">
        <v>46107</v>
      </c>
      <c r="C24" s="1174">
        <v>101865.15</v>
      </c>
      <c r="D24" s="1211">
        <f>IF(ISNUMBER(LOOKUP("XS",Requête1[[#This Row],[titre]])),VLOOKUP(Requête1[[#This Row],[titre]],'[5]REFERENCES DE VALO PROCEDURE'!F$9:G$22,2,),VLOOKUP(Requête1[[#This Row],[titre]],Lignes_détenues!A:B,2,))</f>
        <v>101865.1548626624</v>
      </c>
      <c r="E24" s="280">
        <f>Requête1[[#This Row],[PRICER]]-Requête1[[#This Row],[valo]]</f>
        <v>4.8626624047756195E-3</v>
      </c>
      <c r="N24" s="1312"/>
    </row>
    <row r="25" spans="1:14" hidden="1" x14ac:dyDescent="0.25">
      <c r="A25" s="1172">
        <v>201929</v>
      </c>
      <c r="B25" s="1173">
        <v>46107</v>
      </c>
      <c r="C25" s="1174">
        <v>100315.01</v>
      </c>
      <c r="D25" s="1211">
        <f>IF(ISNUMBER(LOOKUP("XS",Requête1[[#This Row],[titre]])),VLOOKUP(Requête1[[#This Row],[titre]],'[5]REFERENCES DE VALO PROCEDURE'!F$9:G$22,2,),VLOOKUP(Requête1[[#This Row],[titre]],Lignes_détenues!A:B,2,))</f>
        <v>100315.01486169668</v>
      </c>
      <c r="E25" s="280">
        <f>Requête1[[#This Row],[PRICER]]-Requête1[[#This Row],[valo]]</f>
        <v>4.8616966814734042E-3</v>
      </c>
      <c r="N25" s="1312"/>
    </row>
    <row r="26" spans="1:14" hidden="1" x14ac:dyDescent="0.25">
      <c r="A26" s="1172">
        <v>201873</v>
      </c>
      <c r="B26" s="1173">
        <v>46107</v>
      </c>
      <c r="C26" s="1174">
        <v>113744.68</v>
      </c>
      <c r="D26" s="1211">
        <f>IF(ISNUMBER(LOOKUP("XS",Requête1[[#This Row],[titre]])),VLOOKUP(Requête1[[#This Row],[titre]],'[5]REFERENCES DE VALO PROCEDURE'!F$9:G$22,2,),VLOOKUP(Requête1[[#This Row],[titre]],Lignes_détenues!A:B,2,))</f>
        <v>113744.68486165593</v>
      </c>
      <c r="E26" s="280">
        <f>Requête1[[#This Row],[PRICER]]-Requête1[[#This Row],[valo]]</f>
        <v>4.8616559361107647E-3</v>
      </c>
      <c r="N26" s="1312"/>
    </row>
    <row r="27" spans="1:14" hidden="1" x14ac:dyDescent="0.25">
      <c r="A27" s="1172">
        <v>9743</v>
      </c>
      <c r="B27" s="1173">
        <v>46107</v>
      </c>
      <c r="C27" s="1174">
        <v>98792.82</v>
      </c>
      <c r="D27" s="1211">
        <f>IF(ISNUMBER(LOOKUP("XS",Requête1[[#This Row],[titre]])),VLOOKUP(Requête1[[#This Row],[titre]],'[5]REFERENCES DE VALO PROCEDURE'!F$9:G$22,2,),VLOOKUP(Requête1[[#This Row],[titre]],Lignes_détenues!A:B,2,))</f>
        <v>98792.824821033573</v>
      </c>
      <c r="E27" s="280">
        <f>Requête1[[#This Row],[PRICER]]-Requête1[[#This Row],[valo]]</f>
        <v>4.8210335662588477E-3</v>
      </c>
      <c r="N27" s="1312"/>
    </row>
    <row r="28" spans="1:14" hidden="1" x14ac:dyDescent="0.25">
      <c r="A28" s="1172">
        <v>201914</v>
      </c>
      <c r="B28" s="1173">
        <v>46107</v>
      </c>
      <c r="C28" s="1174">
        <v>97234.26</v>
      </c>
      <c r="D28" s="1211">
        <f>IF(ISNUMBER(LOOKUP("XS",Requête1[[#This Row],[titre]])),VLOOKUP(Requête1[[#This Row],[titre]],'[5]REFERENCES DE VALO PROCEDURE'!F$9:G$22,2,),VLOOKUP(Requête1[[#This Row],[titre]],Lignes_détenues!A:B,2,))</f>
        <v>97234.264790823087</v>
      </c>
      <c r="E28" s="280">
        <f>Requête1[[#This Row],[PRICER]]-Requête1[[#This Row],[valo]]</f>
        <v>4.7908230917528272E-3</v>
      </c>
      <c r="N28" s="1312"/>
    </row>
    <row r="29" spans="1:14" hidden="1" x14ac:dyDescent="0.25">
      <c r="A29" s="1172">
        <v>9704</v>
      </c>
      <c r="B29" s="1173">
        <v>46107</v>
      </c>
      <c r="C29" s="1174">
        <v>99971.19</v>
      </c>
      <c r="D29" s="1211">
        <f>IF(ISNUMBER(LOOKUP("XS",Requête1[[#This Row],[titre]])),VLOOKUP(Requête1[[#This Row],[titre]],'[5]REFERENCES DE VALO PROCEDURE'!F$9:G$22,2,),VLOOKUP(Requête1[[#This Row],[titre]],Lignes_détenues!A:B,2,))</f>
        <v>99971.194708869589</v>
      </c>
      <c r="E29" s="280">
        <f>Requête1[[#This Row],[PRICER]]-Requête1[[#This Row],[valo]]</f>
        <v>4.7088695864658803E-3</v>
      </c>
      <c r="N29" s="1312"/>
    </row>
    <row r="30" spans="1:14" hidden="1" x14ac:dyDescent="0.25">
      <c r="A30" s="1172">
        <v>101018</v>
      </c>
      <c r="B30" s="1173">
        <v>46107</v>
      </c>
      <c r="C30" s="1174">
        <v>99398.22</v>
      </c>
      <c r="D30" s="1211">
        <f>IF(ISNUMBER(LOOKUP("XS",Requête1[[#This Row],[titre]])),VLOOKUP(Requête1[[#This Row],[titre]],'[5]REFERENCES DE VALO PROCEDURE'!F$9:G$22,2,),VLOOKUP(Requête1[[#This Row],[titre]],Lignes_détenues!A:B,2,))</f>
        <v>99398.224628236931</v>
      </c>
      <c r="E30" s="280">
        <f>Requête1[[#This Row],[PRICER]]-Requête1[[#This Row],[valo]]</f>
        <v>4.6282369294203818E-3</v>
      </c>
      <c r="N30" s="1312"/>
    </row>
    <row r="31" spans="1:14" hidden="1" x14ac:dyDescent="0.25">
      <c r="A31" s="1172">
        <v>9600</v>
      </c>
      <c r="B31" s="1173">
        <v>46107</v>
      </c>
      <c r="C31" s="1174">
        <v>103782.02</v>
      </c>
      <c r="D31" s="1211">
        <f>IF(ISNUMBER(LOOKUP("XS",Requête1[[#This Row],[titre]])),VLOOKUP(Requête1[[#This Row],[titre]],'[5]REFERENCES DE VALO PROCEDURE'!F$9:G$22,2,),VLOOKUP(Requête1[[#This Row],[titre]],Lignes_détenues!A:B,2,))</f>
        <v>103782.02459642316</v>
      </c>
      <c r="E31" s="280">
        <f>Requête1[[#This Row],[PRICER]]-Requête1[[#This Row],[valo]]</f>
        <v>4.5964231539983302E-3</v>
      </c>
      <c r="N31" s="1312"/>
    </row>
    <row r="32" spans="1:14" hidden="1" x14ac:dyDescent="0.25">
      <c r="A32" s="1172">
        <v>201837</v>
      </c>
      <c r="B32" s="1173">
        <v>46107</v>
      </c>
      <c r="C32" s="1174">
        <v>107583.73</v>
      </c>
      <c r="D32" s="1211">
        <f>IF(ISNUMBER(LOOKUP("XS",Requête1[[#This Row],[titre]])),VLOOKUP(Requête1[[#This Row],[titre]],'[5]REFERENCES DE VALO PROCEDURE'!F$9:G$22,2,),VLOOKUP(Requête1[[#This Row],[titre]],Lignes_détenues!A:B,2,))</f>
        <v>107583.7344949595</v>
      </c>
      <c r="E32" s="280">
        <f>Requête1[[#This Row],[PRICER]]-Requête1[[#This Row],[valo]]</f>
        <v>4.4949595030630007E-3</v>
      </c>
      <c r="N32" s="1312"/>
    </row>
    <row r="33" spans="1:14" hidden="1" x14ac:dyDescent="0.25">
      <c r="A33" s="1172">
        <v>101020</v>
      </c>
      <c r="B33" s="1173">
        <v>46107</v>
      </c>
      <c r="C33" s="1174">
        <v>99902.67</v>
      </c>
      <c r="D33" s="1211">
        <f>IF(ISNUMBER(LOOKUP("XS",Requête1[[#This Row],[titre]])),VLOOKUP(Requête1[[#This Row],[titre]],'[5]REFERENCES DE VALO PROCEDURE'!F$9:G$22,2,),VLOOKUP(Requête1[[#This Row],[titre]],Lignes_détenues!A:B,2,))</f>
        <v>99902.674362787846</v>
      </c>
      <c r="E33" s="280">
        <f>Requête1[[#This Row],[PRICER]]-Requête1[[#This Row],[valo]]</f>
        <v>4.3627878476399928E-3</v>
      </c>
      <c r="N33" s="1312"/>
    </row>
    <row r="34" spans="1:14" hidden="1" x14ac:dyDescent="0.25">
      <c r="A34" s="1172">
        <v>101015</v>
      </c>
      <c r="B34" s="1173">
        <v>46107</v>
      </c>
      <c r="C34" s="1174">
        <v>99067.77</v>
      </c>
      <c r="D34" s="1211">
        <f>IF(ISNUMBER(LOOKUP("XS",Requête1[[#This Row],[titre]])),VLOOKUP(Requête1[[#This Row],[titre]],'[5]REFERENCES DE VALO PROCEDURE'!F$9:G$22,2,),VLOOKUP(Requête1[[#This Row],[titre]],Lignes_détenues!A:B,2,))</f>
        <v>99067.774319867938</v>
      </c>
      <c r="E34" s="280">
        <f>Requête1[[#This Row],[PRICER]]-Requête1[[#This Row],[valo]]</f>
        <v>4.3198679341003299E-3</v>
      </c>
      <c r="N34" s="1312"/>
    </row>
    <row r="35" spans="1:14" hidden="1" x14ac:dyDescent="0.25">
      <c r="A35" s="1172">
        <v>201853</v>
      </c>
      <c r="B35" s="1173">
        <v>46107</v>
      </c>
      <c r="C35" s="1174">
        <v>102099.74</v>
      </c>
      <c r="D35" s="1211">
        <f>IF(ISNUMBER(LOOKUP("XS",Requête1[[#This Row],[titre]])),VLOOKUP(Requête1[[#This Row],[titre]],'[5]REFERENCES DE VALO PROCEDURE'!F$9:G$22,2,),VLOOKUP(Requête1[[#This Row],[titre]],Lignes_détenues!A:B,2,))</f>
        <v>102099.74428093103</v>
      </c>
      <c r="E35" s="280">
        <f>Requête1[[#This Row],[PRICER]]-Requête1[[#This Row],[valo]]</f>
        <v>4.2809310252778232E-3</v>
      </c>
      <c r="N35" s="1312"/>
    </row>
    <row r="36" spans="1:14" hidden="1" x14ac:dyDescent="0.25">
      <c r="A36" s="1172">
        <v>201918</v>
      </c>
      <c r="B36" s="1173">
        <v>46107</v>
      </c>
      <c r="C36" s="1174">
        <v>100996.11</v>
      </c>
      <c r="D36" s="1211">
        <f>IF(ISNUMBER(LOOKUP("XS",Requête1[[#This Row],[titre]])),VLOOKUP(Requête1[[#This Row],[titre]],'[5]REFERENCES DE VALO PROCEDURE'!F$9:G$22,2,),VLOOKUP(Requête1[[#This Row],[titre]],Lignes_détenues!A:B,2,))</f>
        <v>100996.11427601161</v>
      </c>
      <c r="E36" s="280">
        <f>Requête1[[#This Row],[PRICER]]-Requête1[[#This Row],[valo]]</f>
        <v>4.2760116048157215E-3</v>
      </c>
      <c r="N36" s="1312"/>
    </row>
    <row r="37" spans="1:14" hidden="1" x14ac:dyDescent="0.25">
      <c r="A37" s="1172">
        <v>201865</v>
      </c>
      <c r="B37" s="1173">
        <v>46107</v>
      </c>
      <c r="C37" s="1174">
        <v>107952.06</v>
      </c>
      <c r="D37" s="1211">
        <f>IF(ISNUMBER(LOOKUP("XS",Requête1[[#This Row],[titre]])),VLOOKUP(Requête1[[#This Row],[titre]],'[5]REFERENCES DE VALO PROCEDURE'!F$9:G$22,2,),VLOOKUP(Requête1[[#This Row],[titre]],Lignes_détenues!A:B,2,))</f>
        <v>107952.06426032586</v>
      </c>
      <c r="E37" s="280">
        <f>Requête1[[#This Row],[PRICER]]-Requête1[[#This Row],[valo]]</f>
        <v>4.2603258625604212E-3</v>
      </c>
      <c r="N37" s="1312"/>
    </row>
    <row r="38" spans="1:14" hidden="1" x14ac:dyDescent="0.25">
      <c r="A38" s="1172">
        <v>101013</v>
      </c>
      <c r="B38" s="1173">
        <v>46107</v>
      </c>
      <c r="C38" s="1174">
        <v>99083.11</v>
      </c>
      <c r="D38" s="1211">
        <f>IF(ISNUMBER(LOOKUP("XS",Requête1[[#This Row],[titre]])),VLOOKUP(Requête1[[#This Row],[titre]],'[5]REFERENCES DE VALO PROCEDURE'!F$9:G$22,2,),VLOOKUP(Requête1[[#This Row],[titre]],Lignes_détenues!A:B,2,))</f>
        <v>99083.114167934094</v>
      </c>
      <c r="E38" s="280">
        <f>Requête1[[#This Row],[PRICER]]-Requête1[[#This Row],[valo]]</f>
        <v>4.1679340938571841E-3</v>
      </c>
      <c r="N38" s="1312"/>
    </row>
    <row r="39" spans="1:14" hidden="1" x14ac:dyDescent="0.25">
      <c r="A39" s="1172">
        <v>100958</v>
      </c>
      <c r="B39" s="1173">
        <v>46107</v>
      </c>
      <c r="C39" s="1174">
        <v>101996.15</v>
      </c>
      <c r="D39" s="1211">
        <f>IF(ISNUMBER(LOOKUP("XS",Requête1[[#This Row],[titre]])),VLOOKUP(Requête1[[#This Row],[titre]],'[5]REFERENCES DE VALO PROCEDURE'!F$9:G$22,2,),VLOOKUP(Requête1[[#This Row],[titre]],Lignes_détenues!A:B,2,))</f>
        <v>101996.15410364987</v>
      </c>
      <c r="E39" s="280">
        <f>Requête1[[#This Row],[PRICER]]-Requête1[[#This Row],[valo]]</f>
        <v>4.1036498732864857E-3</v>
      </c>
      <c r="N39" s="1312"/>
    </row>
    <row r="40" spans="1:14" hidden="1" x14ac:dyDescent="0.25">
      <c r="A40" s="1172">
        <v>153119</v>
      </c>
      <c r="B40" s="1173">
        <v>46107</v>
      </c>
      <c r="C40" s="1174">
        <v>100960.73</v>
      </c>
      <c r="D40" s="1211">
        <f>IF(ISNUMBER(LOOKUP("XS",Requête1[[#This Row],[titre]])),VLOOKUP(Requête1[[#This Row],[titre]],'[5]REFERENCES DE VALO PROCEDURE'!F$9:G$22,2,),VLOOKUP(Requête1[[#This Row],[titre]],Lignes_détenues!A:B,2,))</f>
        <v>100960.7340679269</v>
      </c>
      <c r="E40" s="280">
        <f>Requête1[[#This Row],[PRICER]]-Requête1[[#This Row],[valo]]</f>
        <v>4.0679269004613161E-3</v>
      </c>
      <c r="N40" s="1312"/>
    </row>
    <row r="41" spans="1:14" hidden="1" x14ac:dyDescent="0.25">
      <c r="A41" s="1172">
        <v>201882</v>
      </c>
      <c r="B41" s="1173">
        <v>46107</v>
      </c>
      <c r="C41" s="1174">
        <v>100212.07</v>
      </c>
      <c r="D41" s="1211">
        <f>IF(ISNUMBER(LOOKUP("XS",Requête1[[#This Row],[titre]])),VLOOKUP(Requête1[[#This Row],[titre]],'[5]REFERENCES DE VALO PROCEDURE'!F$9:G$22,2,),VLOOKUP(Requête1[[#This Row],[titre]],Lignes_détenues!A:B,2,))</f>
        <v>100212.07406614354</v>
      </c>
      <c r="E41" s="280">
        <f>Requête1[[#This Row],[PRICER]]-Requête1[[#This Row],[valo]]</f>
        <v>4.0661435341462493E-3</v>
      </c>
      <c r="N41" s="1312"/>
    </row>
    <row r="42" spans="1:14" hidden="1" x14ac:dyDescent="0.25">
      <c r="A42" s="1172">
        <v>100994</v>
      </c>
      <c r="B42" s="1173">
        <v>46107</v>
      </c>
      <c r="C42" s="1174">
        <v>101514.1</v>
      </c>
      <c r="D42" s="1211">
        <f>IF(ISNUMBER(LOOKUP("XS",Requête1[[#This Row],[titre]])),VLOOKUP(Requête1[[#This Row],[titre]],'[5]REFERENCES DE VALO PROCEDURE'!F$9:G$22,2,),VLOOKUP(Requête1[[#This Row],[titre]],Lignes_détenues!A:B,2,))</f>
        <v>101514.10406415844</v>
      </c>
      <c r="E42" s="280">
        <f>Requête1[[#This Row],[PRICER]]-Requête1[[#This Row],[valo]]</f>
        <v>4.0641584346303716E-3</v>
      </c>
      <c r="N42" s="1312"/>
    </row>
    <row r="43" spans="1:14" hidden="1" x14ac:dyDescent="0.25">
      <c r="A43" s="1172">
        <v>9707</v>
      </c>
      <c r="B43" s="1173">
        <v>46107</v>
      </c>
      <c r="C43" s="1174">
        <v>100569.29</v>
      </c>
      <c r="D43" s="1211">
        <f>IF(ISNUMBER(LOOKUP("XS",Requête1[[#This Row],[titre]])),VLOOKUP(Requête1[[#This Row],[titre]],'[5]REFERENCES DE VALO PROCEDURE'!F$9:G$22,2,),VLOOKUP(Requête1[[#This Row],[titre]],Lignes_détenues!A:B,2,))</f>
        <v>100569.29400000001</v>
      </c>
      <c r="E43" s="280">
        <f>Requête1[[#This Row],[PRICER]]-Requête1[[#This Row],[valo]]</f>
        <v>4.0000000153668225E-3</v>
      </c>
      <c r="N43" s="1312"/>
    </row>
    <row r="44" spans="1:14" hidden="1" x14ac:dyDescent="0.25">
      <c r="A44" s="1172">
        <v>153098</v>
      </c>
      <c r="B44" s="1173">
        <v>46107</v>
      </c>
      <c r="C44" s="1174">
        <v>101161.77</v>
      </c>
      <c r="D44" s="1211">
        <f>IF(ISNUMBER(LOOKUP("XS",Requête1[[#This Row],[titre]])),VLOOKUP(Requête1[[#This Row],[titre]],'[5]REFERENCES DE VALO PROCEDURE'!F$9:G$22,2,),VLOOKUP(Requête1[[#This Row],[titre]],Lignes_détenues!A:B,2,))</f>
        <v>101161.77390261902</v>
      </c>
      <c r="E44" s="280">
        <f>Requête1[[#This Row],[PRICER]]-Requête1[[#This Row],[valo]]</f>
        <v>3.9026190206641331E-3</v>
      </c>
      <c r="N44" s="1312"/>
    </row>
    <row r="45" spans="1:14" hidden="1" x14ac:dyDescent="0.25">
      <c r="A45" s="1172">
        <v>152983</v>
      </c>
      <c r="B45" s="1173">
        <v>46107</v>
      </c>
      <c r="C45" s="1174">
        <v>102266.17</v>
      </c>
      <c r="D45" s="1211">
        <f>IF(ISNUMBER(LOOKUP("XS",Requête1[[#This Row],[titre]])),VLOOKUP(Requête1[[#This Row],[titre]],'[5]REFERENCES DE VALO PROCEDURE'!F$9:G$22,2,),VLOOKUP(Requête1[[#This Row],[titre]],Lignes_détenues!A:B,2,))</f>
        <v>102266.1738411051</v>
      </c>
      <c r="E45" s="280">
        <f>Requête1[[#This Row],[PRICER]]-Requête1[[#This Row],[valo]]</f>
        <v>3.8411051064031199E-3</v>
      </c>
      <c r="N45" s="1312"/>
    </row>
    <row r="46" spans="1:14" hidden="1" x14ac:dyDescent="0.25">
      <c r="A46" s="1172">
        <v>100984</v>
      </c>
      <c r="B46" s="1173">
        <v>46107</v>
      </c>
      <c r="C46" s="1174">
        <v>103416.54</v>
      </c>
      <c r="D46" s="1211">
        <f>IF(ISNUMBER(LOOKUP("XS",Requête1[[#This Row],[titre]])),VLOOKUP(Requête1[[#This Row],[titre]],'[5]REFERENCES DE VALO PROCEDURE'!F$9:G$22,2,),VLOOKUP(Requête1[[#This Row],[titre]],Lignes_détenues!A:B,2,))</f>
        <v>103416.54372190211</v>
      </c>
      <c r="E46" s="280">
        <f>Requête1[[#This Row],[PRICER]]-Requête1[[#This Row],[valo]]</f>
        <v>3.7219021178316325E-3</v>
      </c>
      <c r="N46" s="1312"/>
    </row>
    <row r="47" spans="1:14" hidden="1" x14ac:dyDescent="0.25">
      <c r="A47" s="1172">
        <v>100993</v>
      </c>
      <c r="B47" s="1173">
        <v>46107</v>
      </c>
      <c r="C47" s="1174">
        <v>101089.85</v>
      </c>
      <c r="D47" s="1211">
        <f>IF(ISNUMBER(LOOKUP("XS",Requête1[[#This Row],[titre]])),VLOOKUP(Requête1[[#This Row],[titre]],'[5]REFERENCES DE VALO PROCEDURE'!F$9:G$22,2,),VLOOKUP(Requête1[[#This Row],[titre]],Lignes_détenues!A:B,2,))</f>
        <v>101089.85370000001</v>
      </c>
      <c r="E47" s="280">
        <f>Requête1[[#This Row],[PRICER]]-Requête1[[#This Row],[valo]]</f>
        <v>3.7000000011175871E-3</v>
      </c>
      <c r="N47" s="1312"/>
    </row>
    <row r="48" spans="1:14" hidden="1" x14ac:dyDescent="0.25">
      <c r="A48" s="1172">
        <v>9647</v>
      </c>
      <c r="B48" s="1173">
        <v>46107</v>
      </c>
      <c r="C48" s="1174">
        <v>106400.63</v>
      </c>
      <c r="D48" s="1211">
        <f>IF(ISNUMBER(LOOKUP("XS",Requête1[[#This Row],[titre]])),VLOOKUP(Requête1[[#This Row],[titre]],'[5]REFERENCES DE VALO PROCEDURE'!F$9:G$22,2,),VLOOKUP(Requête1[[#This Row],[titre]],Lignes_détenues!A:B,2,))</f>
        <v>106400.63368564686</v>
      </c>
      <c r="E48" s="280">
        <f>Requête1[[#This Row],[PRICER]]-Requête1[[#This Row],[valo]]</f>
        <v>3.6856468504993245E-3</v>
      </c>
      <c r="N48" s="1312"/>
    </row>
    <row r="49" spans="1:14" hidden="1" x14ac:dyDescent="0.25">
      <c r="A49" s="1172">
        <v>100997</v>
      </c>
      <c r="B49" s="1173">
        <v>46107</v>
      </c>
      <c r="C49" s="1174">
        <v>101723.7</v>
      </c>
      <c r="D49" s="1211">
        <f>IF(ISNUMBER(LOOKUP("XS",Requête1[[#This Row],[titre]])),VLOOKUP(Requête1[[#This Row],[titre]],'[5]REFERENCES DE VALO PROCEDURE'!F$9:G$22,2,),VLOOKUP(Requête1[[#This Row],[titre]],Lignes_détenues!A:B,2,))</f>
        <v>101723.70368379282</v>
      </c>
      <c r="E49" s="280">
        <f>Requête1[[#This Row],[PRICER]]-Requête1[[#This Row],[valo]]</f>
        <v>3.6837928200839087E-3</v>
      </c>
      <c r="N49" s="1312"/>
    </row>
    <row r="50" spans="1:14" hidden="1" x14ac:dyDescent="0.25">
      <c r="A50" s="1172">
        <v>9754</v>
      </c>
      <c r="B50" s="1173">
        <v>46107</v>
      </c>
      <c r="C50" s="1174">
        <v>101024.41</v>
      </c>
      <c r="D50" s="1211">
        <f>IF(ISNUMBER(LOOKUP("XS",Requête1[[#This Row],[titre]])),VLOOKUP(Requête1[[#This Row],[titre]],'[5]REFERENCES DE VALO PROCEDURE'!F$9:G$22,2,),VLOOKUP(Requête1[[#This Row],[titre]],Lignes_détenues!A:B,2,))</f>
        <v>101024.413450723</v>
      </c>
      <c r="E50" s="280">
        <f>Requête1[[#This Row],[PRICER]]-Requête1[[#This Row],[valo]]</f>
        <v>3.4507230011513457E-3</v>
      </c>
      <c r="N50" s="1312"/>
    </row>
    <row r="51" spans="1:14" hidden="1" x14ac:dyDescent="0.25">
      <c r="A51" s="1172">
        <v>152898</v>
      </c>
      <c r="B51" s="1173">
        <v>46107</v>
      </c>
      <c r="C51" s="1174">
        <v>100800.37</v>
      </c>
      <c r="D51" s="1211">
        <f>IF(ISNUMBER(LOOKUP("XS",Requête1[[#This Row],[titre]])),VLOOKUP(Requête1[[#This Row],[titre]],'[5]REFERENCES DE VALO PROCEDURE'!F$9:G$22,2,),VLOOKUP(Requête1[[#This Row],[titre]],Lignes_détenues!A:B,2,))</f>
        <v>100800.3734427728</v>
      </c>
      <c r="E51" s="280">
        <f>Requête1[[#This Row],[PRICER]]-Requête1[[#This Row],[valo]]</f>
        <v>3.4427728096488863E-3</v>
      </c>
      <c r="N51" s="1312"/>
    </row>
    <row r="52" spans="1:14" hidden="1" x14ac:dyDescent="0.25">
      <c r="A52" s="1172">
        <v>153158</v>
      </c>
      <c r="B52" s="1173">
        <v>46107</v>
      </c>
      <c r="C52" s="1174">
        <v>100042.64</v>
      </c>
      <c r="D52" s="1211">
        <f>IF(ISNUMBER(LOOKUP("XS",Requête1[[#This Row],[titre]])),VLOOKUP(Requête1[[#This Row],[titre]],'[5]REFERENCES DE VALO PROCEDURE'!F$9:G$22,2,),VLOOKUP(Requête1[[#This Row],[titre]],Lignes_détenues!A:B,2,))</f>
        <v>100042.64333393615</v>
      </c>
      <c r="E52" s="280">
        <f>Requête1[[#This Row],[PRICER]]-Requête1[[#This Row],[valo]]</f>
        <v>3.3339361543767154E-3</v>
      </c>
      <c r="N52" s="1312"/>
    </row>
    <row r="53" spans="1:14" hidden="1" x14ac:dyDescent="0.25">
      <c r="A53" s="1172">
        <v>9691</v>
      </c>
      <c r="B53" s="1173">
        <v>46107</v>
      </c>
      <c r="C53" s="1174">
        <v>98294.43</v>
      </c>
      <c r="D53" s="1211">
        <f>IF(ISNUMBER(LOOKUP("XS",Requête1[[#This Row],[titre]])),VLOOKUP(Requête1[[#This Row],[titre]],'[5]REFERENCES DE VALO PROCEDURE'!F$9:G$22,2,),VLOOKUP(Requête1[[#This Row],[titre]],Lignes_détenues!A:B,2,))</f>
        <v>98294.433291818379</v>
      </c>
      <c r="E53" s="280">
        <f>Requête1[[#This Row],[PRICER]]-Requête1[[#This Row],[valo]]</f>
        <v>3.2918183860601857E-3</v>
      </c>
      <c r="N53" s="1312"/>
    </row>
    <row r="54" spans="1:14" hidden="1" x14ac:dyDescent="0.25">
      <c r="A54" s="1172">
        <v>9642</v>
      </c>
      <c r="B54" s="1173">
        <v>46107</v>
      </c>
      <c r="C54" s="1174">
        <v>100126.11</v>
      </c>
      <c r="D54" s="1211">
        <f>IF(ISNUMBER(LOOKUP("XS",Requête1[[#This Row],[titre]])),VLOOKUP(Requête1[[#This Row],[titre]],'[5]REFERENCES DE VALO PROCEDURE'!F$9:G$22,2,),VLOOKUP(Requête1[[#This Row],[titre]],Lignes_détenues!A:B,2,))</f>
        <v>100126.11314862483</v>
      </c>
      <c r="E54" s="280">
        <f>Requête1[[#This Row],[PRICER]]-Requête1[[#This Row],[valo]]</f>
        <v>3.1486248335568234E-3</v>
      </c>
      <c r="N54" s="1312"/>
    </row>
    <row r="55" spans="1:14" hidden="1" x14ac:dyDescent="0.25">
      <c r="A55" s="1172">
        <v>201889</v>
      </c>
      <c r="B55" s="1173">
        <v>46107</v>
      </c>
      <c r="C55" s="1174">
        <v>102342.84</v>
      </c>
      <c r="D55" s="1211">
        <f>IF(ISNUMBER(LOOKUP("XS",Requête1[[#This Row],[titre]])),VLOOKUP(Requête1[[#This Row],[titre]],'[5]REFERENCES DE VALO PROCEDURE'!F$9:G$22,2,),VLOOKUP(Requête1[[#This Row],[titre]],Lignes_détenues!A:B,2,))</f>
        <v>102342.84304450886</v>
      </c>
      <c r="E55" s="280">
        <f>Requête1[[#This Row],[PRICER]]-Requête1[[#This Row],[valo]]</f>
        <v>3.0445088632404804E-3</v>
      </c>
      <c r="N55" s="1312"/>
    </row>
    <row r="56" spans="1:14" hidden="1" x14ac:dyDescent="0.25">
      <c r="A56" s="1172">
        <v>100953</v>
      </c>
      <c r="B56" s="1173">
        <v>46107</v>
      </c>
      <c r="C56" s="1174">
        <v>102388.87</v>
      </c>
      <c r="D56" s="1211">
        <f>IF(ISNUMBER(LOOKUP("XS",Requête1[[#This Row],[titre]])),VLOOKUP(Requête1[[#This Row],[titre]],'[5]REFERENCES DE VALO PROCEDURE'!F$9:G$22,2,),VLOOKUP(Requête1[[#This Row],[titre]],Lignes_détenues!A:B,2,))</f>
        <v>102388.87292617191</v>
      </c>
      <c r="E56" s="280">
        <f>Requête1[[#This Row],[PRICER]]-Requête1[[#This Row],[valo]]</f>
        <v>2.9261719173518941E-3</v>
      </c>
      <c r="N56" s="1312"/>
    </row>
    <row r="57" spans="1:14" hidden="1" x14ac:dyDescent="0.25">
      <c r="A57" s="1172">
        <v>201872</v>
      </c>
      <c r="B57" s="1173">
        <v>46107</v>
      </c>
      <c r="C57" s="1174">
        <v>110678.13</v>
      </c>
      <c r="D57" s="1211">
        <f>IF(ISNUMBER(LOOKUP("XS",Requête1[[#This Row],[titre]])),VLOOKUP(Requête1[[#This Row],[titre]],'[5]REFERENCES DE VALO PROCEDURE'!F$9:G$22,2,),VLOOKUP(Requête1[[#This Row],[titre]],Lignes_détenues!A:B,2,))</f>
        <v>110678.13282532667</v>
      </c>
      <c r="E57" s="280">
        <f>Requête1[[#This Row],[PRICER]]-Requête1[[#This Row],[valo]]</f>
        <v>2.8253266646061093E-3</v>
      </c>
      <c r="N57" s="1312"/>
    </row>
    <row r="58" spans="1:14" hidden="1" x14ac:dyDescent="0.25">
      <c r="A58" s="1172">
        <v>9602</v>
      </c>
      <c r="B58" s="1173">
        <v>46107</v>
      </c>
      <c r="C58" s="1174">
        <v>100942.51</v>
      </c>
      <c r="D58" s="1211">
        <f>IF(ISNUMBER(LOOKUP("XS",Requête1[[#This Row],[titre]])),VLOOKUP(Requête1[[#This Row],[titre]],'[5]REFERENCES DE VALO PROCEDURE'!F$9:G$22,2,),VLOOKUP(Requête1[[#This Row],[titre]],Lignes_détenues!A:B,2,))</f>
        <v>100942.51281793222</v>
      </c>
      <c r="E58" s="280">
        <f>Requête1[[#This Row],[PRICER]]-Requête1[[#This Row],[valo]]</f>
        <v>2.8179322252981365E-3</v>
      </c>
      <c r="N58" s="1312"/>
    </row>
    <row r="59" spans="1:14" hidden="1" x14ac:dyDescent="0.25">
      <c r="A59" s="1172">
        <v>201938</v>
      </c>
      <c r="B59" s="1173">
        <v>46107</v>
      </c>
      <c r="C59" s="1174">
        <v>97866.880000000005</v>
      </c>
      <c r="D59" s="1211">
        <f>IF(ISNUMBER(LOOKUP("XS",Requête1[[#This Row],[titre]])),VLOOKUP(Requête1[[#This Row],[titre]],'[5]REFERENCES DE VALO PROCEDURE'!F$9:G$22,2,),VLOOKUP(Requête1[[#This Row],[titre]],Lignes_détenues!A:B,2,))</f>
        <v>97866.882697245004</v>
      </c>
      <c r="E59" s="280">
        <f>Requête1[[#This Row],[PRICER]]-Requête1[[#This Row],[valo]]</f>
        <v>2.6972449995810166E-3</v>
      </c>
      <c r="K59" s="870"/>
      <c r="N59" s="1312"/>
    </row>
    <row r="60" spans="1:14" hidden="1" x14ac:dyDescent="0.25">
      <c r="A60" s="1172">
        <v>100957</v>
      </c>
      <c r="B60" s="1173">
        <v>46107</v>
      </c>
      <c r="C60" s="1174">
        <v>101752.06</v>
      </c>
      <c r="D60" s="1211">
        <f>IF(ISNUMBER(LOOKUP("XS",Requête1[[#This Row],[titre]])),VLOOKUP(Requête1[[#This Row],[titre]],'[5]REFERENCES DE VALO PROCEDURE'!F$9:G$22,2,),VLOOKUP(Requête1[[#This Row],[titre]],Lignes_détenues!A:B,2,))</f>
        <v>101752.06266240774</v>
      </c>
      <c r="E60" s="280">
        <f>Requête1[[#This Row],[PRICER]]-Requête1[[#This Row],[valo]]</f>
        <v>2.6624077436281368E-3</v>
      </c>
      <c r="N60" s="1312"/>
    </row>
    <row r="61" spans="1:14" hidden="1" x14ac:dyDescent="0.25">
      <c r="A61" s="1172">
        <v>9703</v>
      </c>
      <c r="B61" s="1173">
        <v>46107</v>
      </c>
      <c r="C61" s="1174">
        <v>98971.47</v>
      </c>
      <c r="D61" s="1211">
        <f>IF(ISNUMBER(LOOKUP("XS",Requête1[[#This Row],[titre]])),VLOOKUP(Requête1[[#This Row],[titre]],'[5]REFERENCES DE VALO PROCEDURE'!F$9:G$22,2,),VLOOKUP(Requête1[[#This Row],[titre]],Lignes_détenues!A:B,2,))</f>
        <v>98971.472600000008</v>
      </c>
      <c r="E61" s="280">
        <f>Requête1[[#This Row],[PRICER]]-Requête1[[#This Row],[valo]]</f>
        <v>2.6000000070780516E-3</v>
      </c>
      <c r="N61" s="1312"/>
    </row>
    <row r="62" spans="1:14" hidden="1" x14ac:dyDescent="0.25">
      <c r="A62" s="1172">
        <v>9625</v>
      </c>
      <c r="B62" s="1173">
        <v>46107</v>
      </c>
      <c r="C62" s="1174">
        <v>103192.87</v>
      </c>
      <c r="D62" s="1211">
        <f>IF(ISNUMBER(LOOKUP("XS",Requête1[[#This Row],[titre]])),VLOOKUP(Requête1[[#This Row],[titre]],'[5]REFERENCES DE VALO PROCEDURE'!F$9:G$22,2,),VLOOKUP(Requête1[[#This Row],[titre]],Lignes_détenues!A:B,2,))</f>
        <v>103192.87259203593</v>
      </c>
      <c r="E62" s="280">
        <f>Requête1[[#This Row],[PRICER]]-Requête1[[#This Row],[valo]]</f>
        <v>2.5920359330484644E-3</v>
      </c>
      <c r="N62" s="1312"/>
    </row>
    <row r="63" spans="1:14" hidden="1" x14ac:dyDescent="0.25">
      <c r="A63" s="1172">
        <v>100969</v>
      </c>
      <c r="B63" s="1173">
        <v>46107</v>
      </c>
      <c r="C63" s="1174">
        <v>101318.65</v>
      </c>
      <c r="D63" s="1211">
        <f>IF(ISNUMBER(LOOKUP("XS",Requête1[[#This Row],[titre]])),VLOOKUP(Requête1[[#This Row],[titre]],'[5]REFERENCES DE VALO PROCEDURE'!F$9:G$22,2,),VLOOKUP(Requête1[[#This Row],[titre]],Lignes_détenues!A:B,2,))</f>
        <v>101318.65246201566</v>
      </c>
      <c r="E63" s="280">
        <f>Requête1[[#This Row],[PRICER]]-Requête1[[#This Row],[valo]]</f>
        <v>2.4620156618766487E-3</v>
      </c>
      <c r="N63" s="1312"/>
    </row>
    <row r="64" spans="1:14" hidden="1" x14ac:dyDescent="0.25">
      <c r="A64" s="1172">
        <v>100979</v>
      </c>
      <c r="B64" s="1173">
        <v>46107</v>
      </c>
      <c r="C64" s="1174">
        <v>100326.07</v>
      </c>
      <c r="D64" s="1211">
        <f>IF(ISNUMBER(LOOKUP("XS",Requête1[[#This Row],[titre]])),VLOOKUP(Requête1[[#This Row],[titre]],'[5]REFERENCES DE VALO PROCEDURE'!F$9:G$22,2,),VLOOKUP(Requête1[[#This Row],[titre]],Lignes_détenues!A:B,2,))</f>
        <v>100326.07244095851</v>
      </c>
      <c r="E64" s="280">
        <f>Requête1[[#This Row],[PRICER]]-Requête1[[#This Row],[valo]]</f>
        <v>2.4409585021203384E-3</v>
      </c>
      <c r="N64" s="1312"/>
    </row>
    <row r="65" spans="1:14" hidden="1" x14ac:dyDescent="0.25">
      <c r="A65" s="1172">
        <v>9705</v>
      </c>
      <c r="B65" s="1173">
        <v>46107</v>
      </c>
      <c r="C65" s="1174">
        <v>102129.38</v>
      </c>
      <c r="D65" s="1211">
        <f>IF(ISNUMBER(LOOKUP("XS",Requête1[[#This Row],[titre]])),VLOOKUP(Requête1[[#This Row],[titre]],'[5]REFERENCES DE VALO PROCEDURE'!F$9:G$22,2,),VLOOKUP(Requête1[[#This Row],[titre]],Lignes_détenues!A:B,2,))</f>
        <v>102129.38240765486</v>
      </c>
      <c r="E65" s="280">
        <f>Requête1[[#This Row],[PRICER]]-Requête1[[#This Row],[valo]]</f>
        <v>2.4076548579614609E-3</v>
      </c>
      <c r="N65" s="1312"/>
    </row>
    <row r="66" spans="1:14" hidden="1" x14ac:dyDescent="0.25">
      <c r="A66" s="1172">
        <v>100995</v>
      </c>
      <c r="B66" s="1173">
        <v>46107</v>
      </c>
      <c r="C66" s="1174">
        <v>101114.68</v>
      </c>
      <c r="D66" s="1211">
        <f>IF(ISNUMBER(LOOKUP("XS",Requête1[[#This Row],[titre]])),VLOOKUP(Requête1[[#This Row],[titre]],'[5]REFERENCES DE VALO PROCEDURE'!F$9:G$22,2,),VLOOKUP(Requête1[[#This Row],[titre]],Lignes_détenues!A:B,2,))</f>
        <v>101114.68240000001</v>
      </c>
      <c r="E66" s="280">
        <f>Requête1[[#This Row],[PRICER]]-Requête1[[#This Row],[valo]]</f>
        <v>2.4000000121304765E-3</v>
      </c>
      <c r="N66" s="1312"/>
    </row>
    <row r="67" spans="1:14" hidden="1" x14ac:dyDescent="0.25">
      <c r="A67" s="1172">
        <v>9765</v>
      </c>
      <c r="B67" s="1173">
        <v>46107</v>
      </c>
      <c r="C67" s="1174">
        <v>97645.119999999995</v>
      </c>
      <c r="D67" s="1211">
        <f>IF(ISNUMBER(LOOKUP("XS",Requête1[[#This Row],[titre]])),VLOOKUP(Requête1[[#This Row],[titre]],'[5]REFERENCES DE VALO PROCEDURE'!F$9:G$22,2,),VLOOKUP(Requête1[[#This Row],[titre]],Lignes_détenues!A:B,2,))</f>
        <v>97645.122201797043</v>
      </c>
      <c r="E67" s="280">
        <f>Requête1[[#This Row],[PRICER]]-Requête1[[#This Row],[valo]]</f>
        <v>2.2017970477463678E-3</v>
      </c>
      <c r="N67" s="1312"/>
    </row>
    <row r="68" spans="1:14" hidden="1" x14ac:dyDescent="0.25">
      <c r="A68" s="1172">
        <v>153016</v>
      </c>
      <c r="B68" s="1173">
        <v>46107</v>
      </c>
      <c r="C68" s="1174">
        <v>104559.6</v>
      </c>
      <c r="D68" s="1211">
        <f>IF(ISNUMBER(LOOKUP("XS",Requête1[[#This Row],[titre]])),VLOOKUP(Requête1[[#This Row],[titre]],'[5]REFERENCES DE VALO PROCEDURE'!F$9:G$22,2,),VLOOKUP(Requête1[[#This Row],[titre]],Lignes_détenues!A:B,2,))</f>
        <v>104559.60215784186</v>
      </c>
      <c r="E68" s="280">
        <f>Requête1[[#This Row],[PRICER]]-Requête1[[#This Row],[valo]]</f>
        <v>2.1578418527496979E-3</v>
      </c>
      <c r="N68" s="1312"/>
    </row>
    <row r="69" spans="1:14" hidden="1" x14ac:dyDescent="0.25">
      <c r="A69" s="1172">
        <v>101011</v>
      </c>
      <c r="B69" s="1173">
        <v>46107</v>
      </c>
      <c r="C69" s="1174">
        <v>99714.880000000005</v>
      </c>
      <c r="D69" s="1211">
        <f>IF(ISNUMBER(LOOKUP("XS",Requête1[[#This Row],[titre]])),VLOOKUP(Requête1[[#This Row],[titre]],'[5]REFERENCES DE VALO PROCEDURE'!F$9:G$22,2,),VLOOKUP(Requête1[[#This Row],[titre]],Lignes_détenues!A:B,2,))</f>
        <v>99714.882148415287</v>
      </c>
      <c r="E69" s="280">
        <f>Requête1[[#This Row],[PRICER]]-Requête1[[#This Row],[valo]]</f>
        <v>2.1484152821358293E-3</v>
      </c>
      <c r="N69" s="1312"/>
    </row>
    <row r="70" spans="1:14" hidden="1" x14ac:dyDescent="0.25">
      <c r="A70" s="1172">
        <v>101001</v>
      </c>
      <c r="B70" s="1173">
        <v>46107</v>
      </c>
      <c r="C70" s="1174">
        <v>101233.67</v>
      </c>
      <c r="D70" s="1211">
        <f>IF(ISNUMBER(LOOKUP("XS",Requête1[[#This Row],[titre]])),VLOOKUP(Requête1[[#This Row],[titre]],'[5]REFERENCES DE VALO PROCEDURE'!F$9:G$22,2,),VLOOKUP(Requête1[[#This Row],[titre]],Lignes_détenues!A:B,2,))</f>
        <v>101233.67208150943</v>
      </c>
      <c r="E70" s="280">
        <f>Requête1[[#This Row],[PRICER]]-Requête1[[#This Row],[valo]]</f>
        <v>2.0815094321733341E-3</v>
      </c>
      <c r="N70" s="1312"/>
    </row>
    <row r="71" spans="1:14" hidden="1" x14ac:dyDescent="0.25">
      <c r="A71" s="1172">
        <v>201840</v>
      </c>
      <c r="B71" s="1173">
        <v>46107</v>
      </c>
      <c r="C71" s="1174">
        <v>103527.52</v>
      </c>
      <c r="D71" s="1211">
        <f>IF(ISNUMBER(LOOKUP("XS",Requête1[[#This Row],[titre]])),VLOOKUP(Requête1[[#This Row],[titre]],'[5]REFERENCES DE VALO PROCEDURE'!F$9:G$22,2,),VLOOKUP(Requête1[[#This Row],[titre]],Lignes_détenues!A:B,2,))</f>
        <v>103527.52204548591</v>
      </c>
      <c r="E71" s="280">
        <f>Requête1[[#This Row],[PRICER]]-Requête1[[#This Row],[valo]]</f>
        <v>2.0454859040910378E-3</v>
      </c>
      <c r="N71" s="1312"/>
    </row>
    <row r="72" spans="1:14" hidden="1" x14ac:dyDescent="0.25">
      <c r="A72" s="1172">
        <v>9643</v>
      </c>
      <c r="B72" s="1173">
        <v>46107</v>
      </c>
      <c r="C72" s="1174">
        <v>100691.02</v>
      </c>
      <c r="D72" s="1211">
        <f>IF(ISNUMBER(LOOKUP("XS",Requête1[[#This Row],[titre]])),VLOOKUP(Requête1[[#This Row],[titre]],'[5]REFERENCES DE VALO PROCEDURE'!F$9:G$22,2,),VLOOKUP(Requête1[[#This Row],[titre]],Lignes_détenues!A:B,2,))</f>
        <v>100691.0219820919</v>
      </c>
      <c r="E72" s="280">
        <f>Requête1[[#This Row],[PRICER]]-Requête1[[#This Row],[valo]]</f>
        <v>1.9820918969344348E-3</v>
      </c>
      <c r="N72" s="1312"/>
    </row>
    <row r="73" spans="1:14" hidden="1" x14ac:dyDescent="0.25">
      <c r="A73" s="1172">
        <v>5166</v>
      </c>
      <c r="B73" s="1173">
        <v>46107</v>
      </c>
      <c r="C73" s="1174">
        <v>100558.6</v>
      </c>
      <c r="D73" s="1211">
        <f>IF(ISNUMBER(LOOKUP("XS",Requête1[[#This Row],[titre]])),VLOOKUP(Requête1[[#This Row],[titre]],'[5]REFERENCES DE VALO PROCEDURE'!F$9:G$22,2,),VLOOKUP(Requête1[[#This Row],[titre]],Lignes_détenues!A:B,2,))</f>
        <v>100558.60194883672</v>
      </c>
      <c r="E73" s="280">
        <f>Requête1[[#This Row],[PRICER]]-Requête1[[#This Row],[valo]]</f>
        <v>1.9488367106532678E-3</v>
      </c>
      <c r="N73" s="1312"/>
    </row>
    <row r="74" spans="1:14" hidden="1" x14ac:dyDescent="0.25">
      <c r="A74" s="1172">
        <v>152364</v>
      </c>
      <c r="B74" s="1173">
        <v>46107</v>
      </c>
      <c r="C74" s="1174">
        <v>102174.74</v>
      </c>
      <c r="D74" s="1211">
        <f>IF(ISNUMBER(LOOKUP("XS",Requête1[[#This Row],[titre]])),VLOOKUP(Requête1[[#This Row],[titre]],'[5]REFERENCES DE VALO PROCEDURE'!F$9:G$22,2,),VLOOKUP(Requête1[[#This Row],[titre]],Lignes_détenues!A:B,2,))</f>
        <v>102174.7419357075</v>
      </c>
      <c r="E74" s="280">
        <f>Requête1[[#This Row],[PRICER]]-Requête1[[#This Row],[valo]]</f>
        <v>1.9357074925210327E-3</v>
      </c>
      <c r="N74" s="1312"/>
    </row>
    <row r="75" spans="1:14" hidden="1" x14ac:dyDescent="0.25">
      <c r="A75" s="1172">
        <v>153155</v>
      </c>
      <c r="B75" s="1173">
        <v>46107</v>
      </c>
      <c r="C75" s="1174">
        <v>100055.47</v>
      </c>
      <c r="D75" s="1211">
        <f>IF(ISNUMBER(LOOKUP("XS",Requête1[[#This Row],[titre]])),VLOOKUP(Requête1[[#This Row],[titre]],'[5]REFERENCES DE VALO PROCEDURE'!F$9:G$22,2,),VLOOKUP(Requête1[[#This Row],[titre]],Lignes_détenues!A:B,2,))</f>
        <v>100055.47184949873</v>
      </c>
      <c r="E75" s="280">
        <f>Requête1[[#This Row],[PRICER]]-Requête1[[#This Row],[valo]]</f>
        <v>1.849498730734922E-3</v>
      </c>
      <c r="N75" s="1312"/>
    </row>
    <row r="76" spans="1:14" hidden="1" x14ac:dyDescent="0.25">
      <c r="A76" s="1172">
        <v>100970</v>
      </c>
      <c r="B76" s="1173">
        <v>46107</v>
      </c>
      <c r="C76" s="1174">
        <v>104603.08</v>
      </c>
      <c r="D76" s="1211">
        <f>IF(ISNUMBER(LOOKUP("XS",Requête1[[#This Row],[titre]])),VLOOKUP(Requête1[[#This Row],[titre]],'[5]REFERENCES DE VALO PROCEDURE'!F$9:G$22,2,),VLOOKUP(Requête1[[#This Row],[titre]],Lignes_détenues!A:B,2,))</f>
        <v>104603.08182631711</v>
      </c>
      <c r="E76" s="280">
        <f>Requête1[[#This Row],[PRICER]]-Requête1[[#This Row],[valo]]</f>
        <v>1.826317107770592E-3</v>
      </c>
      <c r="N76" s="1312"/>
    </row>
    <row r="77" spans="1:14" hidden="1" x14ac:dyDescent="0.25">
      <c r="A77" s="1172">
        <v>201848</v>
      </c>
      <c r="B77" s="1173">
        <v>46107</v>
      </c>
      <c r="C77" s="1174">
        <v>102484.53</v>
      </c>
      <c r="D77" s="1211">
        <f>IF(ISNUMBER(LOOKUP("XS",Requête1[[#This Row],[titre]])),VLOOKUP(Requête1[[#This Row],[titre]],'[5]REFERENCES DE VALO PROCEDURE'!F$9:G$22,2,),VLOOKUP(Requête1[[#This Row],[titre]],Lignes_détenues!A:B,2,))</f>
        <v>102484.5316459661</v>
      </c>
      <c r="E77" s="280">
        <f>Requête1[[#This Row],[PRICER]]-Requête1[[#This Row],[valo]]</f>
        <v>1.6459660982945934E-3</v>
      </c>
      <c r="N77" s="1312"/>
    </row>
    <row r="78" spans="1:14" hidden="1" x14ac:dyDescent="0.25">
      <c r="A78" s="1172">
        <v>9697</v>
      </c>
      <c r="B78" s="1173">
        <v>46107</v>
      </c>
      <c r="C78" s="1174">
        <v>103848.32000000001</v>
      </c>
      <c r="D78" s="1211">
        <f>IF(ISNUMBER(LOOKUP("XS",Requête1[[#This Row],[titre]])),VLOOKUP(Requête1[[#This Row],[titre]],'[5]REFERENCES DE VALO PROCEDURE'!F$9:G$22,2,),VLOOKUP(Requête1[[#This Row],[titre]],Lignes_détenues!A:B,2,))</f>
        <v>103848.3216</v>
      </c>
      <c r="E78" s="280">
        <f>Requête1[[#This Row],[PRICER]]-Requête1[[#This Row],[valo]]</f>
        <v>1.5999999886844307E-3</v>
      </c>
      <c r="N78" s="1312"/>
    </row>
    <row r="79" spans="1:14" hidden="1" x14ac:dyDescent="0.25">
      <c r="A79" s="1172">
        <v>100963</v>
      </c>
      <c r="B79" s="1173">
        <v>46107</v>
      </c>
      <c r="C79" s="1174">
        <v>101654.17</v>
      </c>
      <c r="D79" s="1211">
        <f>IF(ISNUMBER(LOOKUP("XS",Requête1[[#This Row],[titre]])),VLOOKUP(Requête1[[#This Row],[titre]],'[5]REFERENCES DE VALO PROCEDURE'!F$9:G$22,2,),VLOOKUP(Requête1[[#This Row],[titre]],Lignes_détenues!A:B,2,))</f>
        <v>101654.17156632205</v>
      </c>
      <c r="E79" s="280">
        <f>Requête1[[#This Row],[PRICER]]-Requête1[[#This Row],[valo]]</f>
        <v>1.5663220547139645E-3</v>
      </c>
      <c r="N79" s="1312"/>
    </row>
    <row r="80" spans="1:14" hidden="1" x14ac:dyDescent="0.25">
      <c r="A80" s="1172">
        <v>9757</v>
      </c>
      <c r="B80" s="1173">
        <v>46107</v>
      </c>
      <c r="C80" s="1174">
        <v>100069.78</v>
      </c>
      <c r="D80" s="1211">
        <f>IF(ISNUMBER(LOOKUP("XS",Requête1[[#This Row],[titre]])),VLOOKUP(Requête1[[#This Row],[titre]],'[5]REFERENCES DE VALO PROCEDURE'!F$9:G$22,2,),VLOOKUP(Requête1[[#This Row],[titre]],Lignes_détenues!A:B,2,))</f>
        <v>100069.7815149755</v>
      </c>
      <c r="E80" s="280">
        <f>Requête1[[#This Row],[PRICER]]-Requête1[[#This Row],[valo]]</f>
        <v>1.5149755054153502E-3</v>
      </c>
    </row>
    <row r="81" spans="1:5" hidden="1" x14ac:dyDescent="0.25">
      <c r="A81" s="1172">
        <v>9708</v>
      </c>
      <c r="B81" s="1173">
        <v>46107</v>
      </c>
      <c r="C81" s="1174">
        <v>102018.96</v>
      </c>
      <c r="D81" s="1211">
        <f>IF(ISNUMBER(LOOKUP("XS",Requête1[[#This Row],[titre]])),VLOOKUP(Requête1[[#This Row],[titre]],'[5]REFERENCES DE VALO PROCEDURE'!F$9:G$22,2,),VLOOKUP(Requête1[[#This Row],[titre]],Lignes_détenues!A:B,2,))</f>
        <v>102018.9615</v>
      </c>
      <c r="E81" s="280">
        <f>Requête1[[#This Row],[PRICER]]-Requête1[[#This Row],[valo]]</f>
        <v>1.4999999984866008E-3</v>
      </c>
    </row>
    <row r="82" spans="1:5" hidden="1" x14ac:dyDescent="0.25">
      <c r="A82" s="1172">
        <v>9692</v>
      </c>
      <c r="B82" s="1173">
        <v>46107</v>
      </c>
      <c r="C82" s="1174">
        <v>101539.93</v>
      </c>
      <c r="D82" s="1211">
        <f>IF(ISNUMBER(LOOKUP("XS",Requête1[[#This Row],[titre]])),VLOOKUP(Requête1[[#This Row],[titre]],'[5]REFERENCES DE VALO PROCEDURE'!F$9:G$22,2,),VLOOKUP(Requête1[[#This Row],[titre]],Lignes_détenues!A:B,2,))</f>
        <v>101539.93145231719</v>
      </c>
      <c r="E82" s="280">
        <f>Requête1[[#This Row],[PRICER]]-Requête1[[#This Row],[valo]]</f>
        <v>1.4523171994369477E-3</v>
      </c>
    </row>
    <row r="83" spans="1:5" hidden="1" x14ac:dyDescent="0.25">
      <c r="A83" s="1172">
        <v>141174</v>
      </c>
      <c r="B83" s="1173">
        <v>46107</v>
      </c>
      <c r="C83" s="1174">
        <v>102686.71</v>
      </c>
      <c r="D83" s="1211">
        <f>IF(ISNUMBER(LOOKUP("XS",Requête1[[#This Row],[titre]])),VLOOKUP(Requête1[[#This Row],[titre]],'[5]REFERENCES DE VALO PROCEDURE'!F$9:G$22,2,),VLOOKUP(Requête1[[#This Row],[titre]],Lignes_détenues!A:B,2,))</f>
        <v>102686.71144010111</v>
      </c>
      <c r="E83" s="280">
        <f>Requête1[[#This Row],[PRICER]]-Requête1[[#This Row],[valo]]</f>
        <v>1.4401010994333774E-3</v>
      </c>
    </row>
    <row r="84" spans="1:5" hidden="1" x14ac:dyDescent="0.25">
      <c r="A84" s="1172">
        <v>9685</v>
      </c>
      <c r="B84" s="1173">
        <v>46107</v>
      </c>
      <c r="C84" s="1174">
        <v>88261.26</v>
      </c>
      <c r="D84" s="1211">
        <f>IF(ISNUMBER(LOOKUP("XS",Requête1[[#This Row],[titre]])),VLOOKUP(Requête1[[#This Row],[titre]],'[5]REFERENCES DE VALO PROCEDURE'!F$9:G$22,2,),VLOOKUP(Requête1[[#This Row],[titre]],Lignes_détenues!A:B,2,))</f>
        <v>88261.261369999993</v>
      </c>
      <c r="E84" s="280">
        <f>Requête1[[#This Row],[PRICER]]-Requête1[[#This Row],[valo]]</f>
        <v>1.3699999981326982E-3</v>
      </c>
    </row>
    <row r="85" spans="1:5" hidden="1" x14ac:dyDescent="0.25">
      <c r="A85" s="1172">
        <v>100971</v>
      </c>
      <c r="B85" s="1173">
        <v>46107</v>
      </c>
      <c r="C85" s="1174">
        <v>100890.74</v>
      </c>
      <c r="D85" s="1211">
        <f>IF(ISNUMBER(LOOKUP("XS",Requête1[[#This Row],[titre]])),VLOOKUP(Requête1[[#This Row],[titre]],'[5]REFERENCES DE VALO PROCEDURE'!F$9:G$22,2,),VLOOKUP(Requête1[[#This Row],[titre]],Lignes_détenues!A:B,2,))</f>
        <v>100890.74136430427</v>
      </c>
      <c r="E85" s="280">
        <f>Requête1[[#This Row],[PRICER]]-Requête1[[#This Row],[valo]]</f>
        <v>1.3643042620969936E-3</v>
      </c>
    </row>
    <row r="86" spans="1:5" hidden="1" x14ac:dyDescent="0.25">
      <c r="A86" s="1172">
        <v>101006</v>
      </c>
      <c r="B86" s="1173">
        <v>46107</v>
      </c>
      <c r="C86" s="1174">
        <v>100577.68</v>
      </c>
      <c r="D86" s="1211">
        <f>IF(ISNUMBER(LOOKUP("XS",Requête1[[#This Row],[titre]])),VLOOKUP(Requête1[[#This Row],[titre]],'[5]REFERENCES DE VALO PROCEDURE'!F$9:G$22,2,),VLOOKUP(Requête1[[#This Row],[titre]],Lignes_détenues!A:B,2,))</f>
        <v>100577.6813</v>
      </c>
      <c r="E86" s="280">
        <f>Requête1[[#This Row],[PRICER]]-Requête1[[#This Row],[valo]]</f>
        <v>1.3000000035390258E-3</v>
      </c>
    </row>
    <row r="87" spans="1:5" hidden="1" x14ac:dyDescent="0.25">
      <c r="A87" s="1172">
        <v>101012</v>
      </c>
      <c r="B87" s="1173">
        <v>46107</v>
      </c>
      <c r="C87" s="1174">
        <v>100323.66</v>
      </c>
      <c r="D87" s="1211">
        <f>IF(ISNUMBER(LOOKUP("XS",Requête1[[#This Row],[titre]])),VLOOKUP(Requête1[[#This Row],[titre]],'[5]REFERENCES DE VALO PROCEDURE'!F$9:G$22,2,),VLOOKUP(Requête1[[#This Row],[titre]],Lignes_détenues!A:B,2,))</f>
        <v>100323.66128708333</v>
      </c>
      <c r="E87" s="280">
        <f>Requête1[[#This Row],[PRICER]]-Requête1[[#This Row],[valo]]</f>
        <v>1.2870833306806162E-3</v>
      </c>
    </row>
    <row r="88" spans="1:5" hidden="1" x14ac:dyDescent="0.25">
      <c r="A88" s="1172">
        <v>101023</v>
      </c>
      <c r="B88" s="1173">
        <v>46107</v>
      </c>
      <c r="C88" s="1174">
        <v>99320.48</v>
      </c>
      <c r="D88" s="1211">
        <f>IF(ISNUMBER(LOOKUP("XS",Requête1[[#This Row],[titre]])),VLOOKUP(Requête1[[#This Row],[titre]],'[5]REFERENCES DE VALO PROCEDURE'!F$9:G$22,2,),VLOOKUP(Requête1[[#This Row],[titre]],Lignes_détenues!A:B,2,))</f>
        <v>99320.481180572155</v>
      </c>
      <c r="E88" s="280">
        <f>Requête1[[#This Row],[PRICER]]-Requête1[[#This Row],[valo]]</f>
        <v>1.1805721587734297E-3</v>
      </c>
    </row>
    <row r="89" spans="1:5" hidden="1" x14ac:dyDescent="0.25">
      <c r="A89" s="1172">
        <v>9627</v>
      </c>
      <c r="B89" s="1173">
        <v>46107</v>
      </c>
      <c r="C89" s="1174">
        <v>102034.72</v>
      </c>
      <c r="D89" s="1211">
        <f>IF(ISNUMBER(LOOKUP("XS",Requête1[[#This Row],[titre]])),VLOOKUP(Requête1[[#This Row],[titre]],'[5]REFERENCES DE VALO PROCEDURE'!F$9:G$22,2,),VLOOKUP(Requête1[[#This Row],[titre]],Lignes_détenues!A:B,2,))</f>
        <v>102034.72116806875</v>
      </c>
      <c r="E89" s="280">
        <f>Requête1[[#This Row],[PRICER]]-Requête1[[#This Row],[valo]]</f>
        <v>1.1680687457555905E-3</v>
      </c>
    </row>
    <row r="90" spans="1:5" hidden="1" x14ac:dyDescent="0.25">
      <c r="A90" s="1172">
        <v>9607</v>
      </c>
      <c r="B90" s="1173">
        <v>46107</v>
      </c>
      <c r="C90" s="1174">
        <v>105521.74</v>
      </c>
      <c r="D90" s="1211">
        <f>IF(ISNUMBER(LOOKUP("XS",Requête1[[#This Row],[titre]])),VLOOKUP(Requête1[[#This Row],[titre]],'[5]REFERENCES DE VALO PROCEDURE'!F$9:G$22,2,),VLOOKUP(Requête1[[#This Row],[titre]],Lignes_détenues!A:B,2,))</f>
        <v>105521.7409838661</v>
      </c>
      <c r="E90" s="280">
        <f>Requête1[[#This Row],[PRICER]]-Requête1[[#This Row],[valo]]</f>
        <v>9.8386609170120209E-4</v>
      </c>
    </row>
    <row r="91" spans="1:5" hidden="1" x14ac:dyDescent="0.25">
      <c r="A91" s="1172">
        <v>9626</v>
      </c>
      <c r="B91" s="1173">
        <v>46107</v>
      </c>
      <c r="C91" s="1174">
        <v>104558.79</v>
      </c>
      <c r="D91" s="1211">
        <f>IF(ISNUMBER(LOOKUP("XS",Requête1[[#This Row],[titre]])),VLOOKUP(Requête1[[#This Row],[titre]],'[5]REFERENCES DE VALO PROCEDURE'!F$9:G$22,2,),VLOOKUP(Requête1[[#This Row],[titre]],Lignes_détenues!A:B,2,))</f>
        <v>104558.79089999999</v>
      </c>
      <c r="E91" s="280">
        <f>Requête1[[#This Row],[PRICER]]-Requête1[[#This Row],[valo]]</f>
        <v>8.9999999909196049E-4</v>
      </c>
    </row>
    <row r="92" spans="1:5" hidden="1" x14ac:dyDescent="0.25">
      <c r="A92" s="1172">
        <v>100937</v>
      </c>
      <c r="B92" s="1173">
        <v>46107</v>
      </c>
      <c r="C92" s="1174">
        <v>69225.81</v>
      </c>
      <c r="D92" s="1211">
        <f>IF(ISNUMBER(LOOKUP("XS",Requête1[[#This Row],[titre]])),VLOOKUP(Requête1[[#This Row],[titre]],'[5]REFERENCES DE VALO PROCEDURE'!F$9:G$22,2,),VLOOKUP(Requête1[[#This Row],[titre]],Lignes_détenues!A:B,2,))</f>
        <v>69225.810899999997</v>
      </c>
      <c r="E92" s="280">
        <f>Requête1[[#This Row],[PRICER]]-Requête1[[#This Row],[valo]]</f>
        <v>8.9999999909196049E-4</v>
      </c>
    </row>
    <row r="93" spans="1:5" hidden="1" x14ac:dyDescent="0.25">
      <c r="A93" s="1172">
        <v>101021</v>
      </c>
      <c r="B93" s="1173">
        <v>46107</v>
      </c>
      <c r="C93" s="1174">
        <v>100594.51</v>
      </c>
      <c r="D93" s="1211">
        <f>IF(ISNUMBER(LOOKUP("XS",Requête1[[#This Row],[titre]])),VLOOKUP(Requête1[[#This Row],[titre]],'[5]REFERENCES DE VALO PROCEDURE'!F$9:G$22,2,),VLOOKUP(Requête1[[#This Row],[titre]],Lignes_détenues!A:B,2,))</f>
        <v>100594.51089051864</v>
      </c>
      <c r="E93" s="280">
        <f>Requête1[[#This Row],[PRICER]]-Requête1[[#This Row],[valo]]</f>
        <v>8.9051864051725715E-4</v>
      </c>
    </row>
    <row r="94" spans="1:5" hidden="1" x14ac:dyDescent="0.25">
      <c r="A94" s="1172">
        <v>201926</v>
      </c>
      <c r="B94" s="1173">
        <v>46107</v>
      </c>
      <c r="C94" s="1174">
        <v>100398.42</v>
      </c>
      <c r="D94" s="1211">
        <f>IF(ISNUMBER(LOOKUP("XS",Requête1[[#This Row],[titre]])),VLOOKUP(Requête1[[#This Row],[titre]],'[5]REFERENCES DE VALO PROCEDURE'!F$9:G$22,2,),VLOOKUP(Requête1[[#This Row],[titre]],Lignes_détenues!A:B,2,))</f>
        <v>100398.42081446075</v>
      </c>
      <c r="E94" s="280">
        <f>Requête1[[#This Row],[PRICER]]-Requête1[[#This Row],[valo]]</f>
        <v>8.1446075637359172E-4</v>
      </c>
    </row>
    <row r="95" spans="1:5" hidden="1" x14ac:dyDescent="0.25">
      <c r="A95" s="1172">
        <v>201892</v>
      </c>
      <c r="B95" s="1173">
        <v>46107</v>
      </c>
      <c r="C95" s="1174">
        <v>102963.31</v>
      </c>
      <c r="D95" s="1211">
        <f>IF(ISNUMBER(LOOKUP("XS",Requête1[[#This Row],[titre]])),VLOOKUP(Requête1[[#This Row],[titre]],'[5]REFERENCES DE VALO PROCEDURE'!F$9:G$22,2,),VLOOKUP(Requête1[[#This Row],[titre]],Lignes_détenues!A:B,2,))</f>
        <v>102963.31070718988</v>
      </c>
      <c r="E95" s="280">
        <f>Requête1[[#This Row],[PRICER]]-Requête1[[#This Row],[valo]]</f>
        <v>7.0718988717999309E-4</v>
      </c>
    </row>
    <row r="96" spans="1:5" hidden="1" x14ac:dyDescent="0.25">
      <c r="A96" s="1172">
        <v>9651</v>
      </c>
      <c r="B96" s="1173">
        <v>46107</v>
      </c>
      <c r="C96" s="1174">
        <v>101096.33</v>
      </c>
      <c r="D96" s="1211">
        <f>IF(ISNUMBER(LOOKUP("XS",Requête1[[#This Row],[titre]])),VLOOKUP(Requête1[[#This Row],[titre]],'[5]REFERENCES DE VALO PROCEDURE'!F$9:G$22,2,),VLOOKUP(Requête1[[#This Row],[titre]],Lignes_détenues!A:B,2,))</f>
        <v>101096.3306</v>
      </c>
      <c r="E96" s="280">
        <f>Requête1[[#This Row],[PRICER]]-Requête1[[#This Row],[valo]]</f>
        <v>5.9999999939464033E-4</v>
      </c>
    </row>
    <row r="97" spans="1:5" hidden="1" x14ac:dyDescent="0.25">
      <c r="A97" s="1172">
        <v>9735</v>
      </c>
      <c r="B97" s="1173">
        <v>46107</v>
      </c>
      <c r="C97" s="1174">
        <v>97915.66</v>
      </c>
      <c r="D97" s="1211">
        <f>IF(ISNUMBER(LOOKUP("XS",Requête1[[#This Row],[titre]])),VLOOKUP(Requête1[[#This Row],[titre]],'[5]REFERENCES DE VALO PROCEDURE'!F$9:G$22,2,),VLOOKUP(Requête1[[#This Row],[titre]],Lignes_détenues!A:B,2,))</f>
        <v>97915.660584593687</v>
      </c>
      <c r="E97" s="280">
        <f>Requête1[[#This Row],[PRICER]]-Requête1[[#This Row],[valo]]</f>
        <v>5.8459368301555514E-4</v>
      </c>
    </row>
    <row r="98" spans="1:5" hidden="1" x14ac:dyDescent="0.25">
      <c r="A98" s="1172">
        <v>152235</v>
      </c>
      <c r="B98" s="1173">
        <v>46107</v>
      </c>
      <c r="C98" s="1174">
        <v>103146.71</v>
      </c>
      <c r="D98" s="1211">
        <f>IF(ISNUMBER(LOOKUP("XS",Requête1[[#This Row],[titre]])),VLOOKUP(Requête1[[#This Row],[titre]],'[5]REFERENCES DE VALO PROCEDURE'!F$9:G$22,2,),VLOOKUP(Requête1[[#This Row],[titre]],Lignes_détenues!A:B,2,))</f>
        <v>103146.71056381738</v>
      </c>
      <c r="E98" s="280">
        <f>Requête1[[#This Row],[PRICER]]-Requête1[[#This Row],[valo]]</f>
        <v>5.6381737522315234E-4</v>
      </c>
    </row>
    <row r="99" spans="1:5" hidden="1" x14ac:dyDescent="0.25">
      <c r="A99" s="1172">
        <v>152951</v>
      </c>
      <c r="B99" s="1173">
        <v>46107</v>
      </c>
      <c r="C99" s="1174">
        <v>103040.19</v>
      </c>
      <c r="D99" s="1211">
        <f>IF(ISNUMBER(LOOKUP("XS",Requête1[[#This Row],[titre]])),VLOOKUP(Requête1[[#This Row],[titre]],'[5]REFERENCES DE VALO PROCEDURE'!F$9:G$22,2,),VLOOKUP(Requête1[[#This Row],[titre]],Lignes_détenues!A:B,2,))</f>
        <v>103040.19049075231</v>
      </c>
      <c r="E99" s="280">
        <f>Requête1[[#This Row],[PRICER]]-Requête1[[#This Row],[valo]]</f>
        <v>4.9075231072492898E-4</v>
      </c>
    </row>
    <row r="100" spans="1:5" hidden="1" x14ac:dyDescent="0.25">
      <c r="A100" s="1172">
        <v>201835</v>
      </c>
      <c r="B100" s="1173">
        <v>46107</v>
      </c>
      <c r="C100" s="1174">
        <v>103005.75999999999</v>
      </c>
      <c r="D100" s="1211">
        <f>IF(ISNUMBER(LOOKUP("XS",Requête1[[#This Row],[titre]])),VLOOKUP(Requête1[[#This Row],[titre]],'[5]REFERENCES DE VALO PROCEDURE'!F$9:G$22,2,),VLOOKUP(Requête1[[#This Row],[titre]],Lignes_détenues!A:B,2,))</f>
        <v>103005.76047104801</v>
      </c>
      <c r="E100" s="280">
        <f>Requête1[[#This Row],[PRICER]]-Requête1[[#This Row],[valo]]</f>
        <v>4.710480134235695E-4</v>
      </c>
    </row>
    <row r="101" spans="1:5" hidden="1" x14ac:dyDescent="0.25">
      <c r="A101" s="1172">
        <v>141187</v>
      </c>
      <c r="B101" s="1173">
        <v>46107</v>
      </c>
      <c r="C101" s="1174">
        <v>100053.53</v>
      </c>
      <c r="D101" s="1211">
        <f>IF(ISNUMBER(LOOKUP("XS",Requête1[[#This Row],[titre]])),VLOOKUP(Requête1[[#This Row],[titre]],'[5]REFERENCES DE VALO PROCEDURE'!F$9:G$22,2,),VLOOKUP(Requête1[[#This Row],[titre]],Lignes_détenues!A:B,2,))</f>
        <v>100053.53039057633</v>
      </c>
      <c r="E101" s="280">
        <f>Requête1[[#This Row],[PRICER]]-Requête1[[#This Row],[valo]]</f>
        <v>3.905763296643272E-4</v>
      </c>
    </row>
    <row r="102" spans="1:5" hidden="1" x14ac:dyDescent="0.25">
      <c r="A102" s="1172">
        <v>201898</v>
      </c>
      <c r="B102" s="1173">
        <v>46107</v>
      </c>
      <c r="C102" s="1174">
        <v>99294.36</v>
      </c>
      <c r="D102" s="1211">
        <f>IF(ISNUMBER(LOOKUP("XS",Requête1[[#This Row],[titre]])),VLOOKUP(Requête1[[#This Row],[titre]],'[5]REFERENCES DE VALO PROCEDURE'!F$9:G$22,2,),VLOOKUP(Requête1[[#This Row],[titre]],Lignes_détenues!A:B,2,))</f>
        <v>99294.360367719957</v>
      </c>
      <c r="E102" s="280">
        <f>Requête1[[#This Row],[PRICER]]-Requête1[[#This Row],[valo]]</f>
        <v>3.6771995655726641E-4</v>
      </c>
    </row>
    <row r="103" spans="1:5" hidden="1" x14ac:dyDescent="0.25">
      <c r="A103" s="1172">
        <v>9689</v>
      </c>
      <c r="B103" s="1173">
        <v>46107</v>
      </c>
      <c r="C103" s="1174">
        <v>100051.14</v>
      </c>
      <c r="D103" s="1211">
        <f>IF(ISNUMBER(LOOKUP("XS",Requête1[[#This Row],[titre]])),VLOOKUP(Requête1[[#This Row],[titre]],'[5]REFERENCES DE VALO PROCEDURE'!F$9:G$22,2,),VLOOKUP(Requête1[[#This Row],[titre]],Lignes_détenues!A:B,2,))</f>
        <v>100051.14036061926</v>
      </c>
      <c r="E103" s="280">
        <f>Requête1[[#This Row],[PRICER]]-Requête1[[#This Row],[valo]]</f>
        <v>3.6061926221009344E-4</v>
      </c>
    </row>
    <row r="104" spans="1:5" hidden="1" x14ac:dyDescent="0.25">
      <c r="A104" s="1172">
        <v>100999</v>
      </c>
      <c r="B104" s="1173">
        <v>46107</v>
      </c>
      <c r="C104" s="1174">
        <v>99491.02</v>
      </c>
      <c r="D104" s="1211">
        <f>IF(ISNUMBER(LOOKUP("XS",Requête1[[#This Row],[titre]])),VLOOKUP(Requête1[[#This Row],[titre]],'[5]REFERENCES DE VALO PROCEDURE'!F$9:G$22,2,),VLOOKUP(Requête1[[#This Row],[titre]],Lignes_détenues!A:B,2,))</f>
        <v>99491.020349159997</v>
      </c>
      <c r="E104" s="280">
        <f>Requête1[[#This Row],[PRICER]]-Requête1[[#This Row],[valo]]</f>
        <v>3.4915999276563525E-4</v>
      </c>
    </row>
    <row r="105" spans="1:5" hidden="1" x14ac:dyDescent="0.25">
      <c r="A105" s="1172">
        <v>9752</v>
      </c>
      <c r="B105" s="1173">
        <v>46107</v>
      </c>
      <c r="C105" s="1174">
        <v>97737.44</v>
      </c>
      <c r="D105" s="1211">
        <f>IF(ISNUMBER(LOOKUP("XS",Requête1[[#This Row],[titre]])),VLOOKUP(Requête1[[#This Row],[titre]],'[5]REFERENCES DE VALO PROCEDURE'!F$9:G$22,2,),VLOOKUP(Requête1[[#This Row],[titre]],Lignes_détenues!A:B,2,))</f>
        <v>97737.440319692047</v>
      </c>
      <c r="E105" s="280">
        <f>Requête1[[#This Row],[PRICER]]-Requête1[[#This Row],[valo]]</f>
        <v>3.1969204428605735E-4</v>
      </c>
    </row>
    <row r="106" spans="1:5" hidden="1" x14ac:dyDescent="0.25">
      <c r="A106" s="1172">
        <v>201236</v>
      </c>
      <c r="B106" s="1173">
        <v>46107</v>
      </c>
      <c r="C106" s="1174">
        <v>108958.5</v>
      </c>
      <c r="D106" s="1211">
        <f>IF(ISNUMBER(LOOKUP("XS",Requête1[[#This Row],[titre]])),VLOOKUP(Requête1[[#This Row],[titre]],'[5]REFERENCES DE VALO PROCEDURE'!F$9:G$22,2,),VLOOKUP(Requête1[[#This Row],[titre]],Lignes_détenues!A:B,2,))</f>
        <v>108958.5003</v>
      </c>
      <c r="E106" s="280">
        <f>Requête1[[#This Row],[PRICER]]-Requête1[[#This Row],[valo]]</f>
        <v>2.9999999969732016E-4</v>
      </c>
    </row>
    <row r="107" spans="1:5" hidden="1" x14ac:dyDescent="0.25">
      <c r="A107" s="1172">
        <v>9614</v>
      </c>
      <c r="B107" s="1173">
        <v>46107</v>
      </c>
      <c r="C107" s="1174">
        <v>107048.07</v>
      </c>
      <c r="D107" s="1211">
        <f>IF(ISNUMBER(LOOKUP("XS",Requête1[[#This Row],[titre]])),VLOOKUP(Requête1[[#This Row],[titre]],'[5]REFERENCES DE VALO PROCEDURE'!F$9:G$22,2,),VLOOKUP(Requête1[[#This Row],[titre]],Lignes_détenues!A:B,2,))</f>
        <v>107048.07014699007</v>
      </c>
      <c r="E107" s="280">
        <f>Requête1[[#This Row],[PRICER]]-Requête1[[#This Row],[valo]]</f>
        <v>1.4699005987495184E-4</v>
      </c>
    </row>
    <row r="108" spans="1:5" hidden="1" x14ac:dyDescent="0.25">
      <c r="A108" s="1172">
        <v>9411</v>
      </c>
      <c r="B108" s="1173">
        <v>46107</v>
      </c>
      <c r="C108" s="1174">
        <v>103014.78</v>
      </c>
      <c r="D108" s="1211">
        <f>IF(ISNUMBER(LOOKUP("XS",Requête1[[#This Row],[titre]])),VLOOKUP(Requête1[[#This Row],[titre]],'[5]REFERENCES DE VALO PROCEDURE'!F$9:G$22,2,),VLOOKUP(Requête1[[#This Row],[titre]],Lignes_détenues!A:B,2,))</f>
        <v>103014.78</v>
      </c>
      <c r="E108" s="280">
        <f>Requête1[[#This Row],[PRICER]]-Requête1[[#This Row],[valo]]</f>
        <v>0</v>
      </c>
    </row>
    <row r="109" spans="1:5" hidden="1" x14ac:dyDescent="0.25">
      <c r="A109" s="1172">
        <v>9424</v>
      </c>
      <c r="B109" s="1173">
        <v>46107</v>
      </c>
      <c r="C109" s="1174">
        <v>75571.47</v>
      </c>
      <c r="D109" s="1211">
        <f>IF(ISNUMBER(LOOKUP("XS",Requête1[[#This Row],[titre]])),VLOOKUP(Requête1[[#This Row],[titre]],'[5]REFERENCES DE VALO PROCEDURE'!F$9:G$22,2,),VLOOKUP(Requête1[[#This Row],[titre]],Lignes_détenues!A:B,2,))</f>
        <v>75571.47</v>
      </c>
      <c r="E109" s="280">
        <f>Requête1[[#This Row],[PRICER]]-Requête1[[#This Row],[valo]]</f>
        <v>0</v>
      </c>
    </row>
    <row r="110" spans="1:5" hidden="1" x14ac:dyDescent="0.25">
      <c r="A110" s="1172">
        <v>9394</v>
      </c>
      <c r="B110" s="1173">
        <v>46107</v>
      </c>
      <c r="C110" s="1174">
        <v>108707.02</v>
      </c>
      <c r="D110" s="1211">
        <f>IF(ISNUMBER(LOOKUP("XS",Requête1[[#This Row],[titre]])),VLOOKUP(Requête1[[#This Row],[titre]],'[5]REFERENCES DE VALO PROCEDURE'!F$9:G$22,2,),VLOOKUP(Requête1[[#This Row],[titre]],Lignes_détenues!A:B,2,))</f>
        <v>108707.02</v>
      </c>
      <c r="E110" s="280">
        <f>Requête1[[#This Row],[PRICER]]-Requête1[[#This Row],[valo]]</f>
        <v>0</v>
      </c>
    </row>
    <row r="111" spans="1:5" hidden="1" x14ac:dyDescent="0.25">
      <c r="A111" s="1172">
        <v>2185</v>
      </c>
      <c r="B111" s="1173">
        <v>46107</v>
      </c>
      <c r="C111" s="1174">
        <v>104575.32</v>
      </c>
      <c r="D111" s="1211">
        <f>IF(ISNUMBER(LOOKUP("XS",Requête1[[#This Row],[titre]])),VLOOKUP(Requête1[[#This Row],[titre]],'[5]REFERENCES DE VALO PROCEDURE'!F$9:G$22,2,),VLOOKUP(Requête1[[#This Row],[titre]],Lignes_détenues!A:B,2,))</f>
        <v>104575.32</v>
      </c>
      <c r="E111" s="280">
        <f>Requête1[[#This Row],[PRICER]]-Requête1[[#This Row],[valo]]</f>
        <v>0</v>
      </c>
    </row>
    <row r="112" spans="1:5" hidden="1" x14ac:dyDescent="0.25">
      <c r="A112" s="1172">
        <v>5129</v>
      </c>
      <c r="B112" s="1173">
        <v>46107</v>
      </c>
      <c r="C112" s="1174">
        <v>105326.14</v>
      </c>
      <c r="D112" s="1211">
        <f>IF(ISNUMBER(LOOKUP("XS",Requête1[[#This Row],[titre]])),VLOOKUP(Requête1[[#This Row],[titre]],'[5]REFERENCES DE VALO PROCEDURE'!F$9:G$22,2,),VLOOKUP(Requête1[[#This Row],[titre]],Lignes_détenues!A:B,2,))</f>
        <v>105326.14</v>
      </c>
      <c r="E112" s="280">
        <f>Requête1[[#This Row],[PRICER]]-Requête1[[#This Row],[valo]]</f>
        <v>0</v>
      </c>
    </row>
    <row r="113" spans="1:5" hidden="1" x14ac:dyDescent="0.25">
      <c r="A113" s="1172">
        <v>9070</v>
      </c>
      <c r="B113" s="1173">
        <v>46107</v>
      </c>
      <c r="C113" s="1174">
        <v>101775.64</v>
      </c>
      <c r="D113" s="1211">
        <f>IF(ISNUMBER(LOOKUP("XS",Requête1[[#This Row],[titre]])),VLOOKUP(Requête1[[#This Row],[titre]],'[5]REFERENCES DE VALO PROCEDURE'!F$9:G$22,2,),VLOOKUP(Requête1[[#This Row],[titre]],Lignes_détenues!A:B,2,))</f>
        <v>101775.64</v>
      </c>
      <c r="E113" s="280">
        <f>Requête1[[#This Row],[PRICER]]-Requête1[[#This Row],[valo]]</f>
        <v>0</v>
      </c>
    </row>
    <row r="114" spans="1:5" hidden="1" x14ac:dyDescent="0.25">
      <c r="A114" s="1172">
        <v>9087</v>
      </c>
      <c r="B114" s="1173">
        <v>46107</v>
      </c>
      <c r="C114" s="1174">
        <v>103329.18</v>
      </c>
      <c r="D114" s="1211">
        <f>IF(ISNUMBER(LOOKUP("XS",Requête1[[#This Row],[titre]])),VLOOKUP(Requête1[[#This Row],[titre]],'[5]REFERENCES DE VALO PROCEDURE'!F$9:G$22,2,),VLOOKUP(Requête1[[#This Row],[titre]],Lignes_détenues!A:B,2,))</f>
        <v>103329.18</v>
      </c>
      <c r="E114" s="280">
        <f>Requête1[[#This Row],[PRICER]]-Requête1[[#This Row],[valo]]</f>
        <v>0</v>
      </c>
    </row>
    <row r="115" spans="1:5" hidden="1" x14ac:dyDescent="0.25">
      <c r="A115" s="1172">
        <v>9149</v>
      </c>
      <c r="B115" s="1173">
        <v>46107</v>
      </c>
      <c r="C115" s="1174">
        <v>6830.1</v>
      </c>
      <c r="D115" s="1211">
        <f>IF(ISNUMBER(LOOKUP("XS",Requête1[[#This Row],[titre]])),VLOOKUP(Requête1[[#This Row],[titre]],'[5]REFERENCES DE VALO PROCEDURE'!F$9:G$22,2,),VLOOKUP(Requête1[[#This Row],[titre]],Lignes_détenues!A:B,2,))</f>
        <v>6830.1</v>
      </c>
      <c r="E115" s="280">
        <f>Requête1[[#This Row],[PRICER]]-Requête1[[#This Row],[valo]]</f>
        <v>0</v>
      </c>
    </row>
    <row r="116" spans="1:5" hidden="1" x14ac:dyDescent="0.25">
      <c r="A116" s="1172">
        <v>9167</v>
      </c>
      <c r="B116" s="1173">
        <v>46107</v>
      </c>
      <c r="C116" s="1174">
        <v>106156.15</v>
      </c>
      <c r="D116" s="1211">
        <f>IF(ISNUMBER(LOOKUP("XS",Requête1[[#This Row],[titre]])),VLOOKUP(Requête1[[#This Row],[titre]],'[5]REFERENCES DE VALO PROCEDURE'!F$9:G$22,2,),VLOOKUP(Requête1[[#This Row],[titre]],Lignes_détenues!A:B,2,))</f>
        <v>106156.15</v>
      </c>
      <c r="E116" s="280">
        <f>Requête1[[#This Row],[PRICER]]-Requête1[[#This Row],[valo]]</f>
        <v>0</v>
      </c>
    </row>
    <row r="117" spans="1:5" hidden="1" x14ac:dyDescent="0.25">
      <c r="A117" s="1172">
        <v>9253</v>
      </c>
      <c r="B117" s="1173">
        <v>46107</v>
      </c>
      <c r="C117" s="1174">
        <v>112498.6</v>
      </c>
      <c r="D117" s="1211">
        <f>IF(ISNUMBER(LOOKUP("XS",Requête1[[#This Row],[titre]])),VLOOKUP(Requête1[[#This Row],[titre]],'[5]REFERENCES DE VALO PROCEDURE'!F$9:G$22,2,),VLOOKUP(Requête1[[#This Row],[titre]],Lignes_détenues!A:B,2,))</f>
        <v>112498.6</v>
      </c>
      <c r="E117" s="280">
        <f>Requête1[[#This Row],[PRICER]]-Requête1[[#This Row],[valo]]</f>
        <v>0</v>
      </c>
    </row>
    <row r="118" spans="1:5" hidden="1" x14ac:dyDescent="0.25">
      <c r="A118" s="1172">
        <v>9285</v>
      </c>
      <c r="B118" s="1173">
        <v>46107</v>
      </c>
      <c r="C118" s="1174">
        <v>102927.82</v>
      </c>
      <c r="D118" s="1211">
        <f>IF(ISNUMBER(LOOKUP("XS",Requête1[[#This Row],[titre]])),VLOOKUP(Requête1[[#This Row],[titre]],'[5]REFERENCES DE VALO PROCEDURE'!F$9:G$22,2,),VLOOKUP(Requête1[[#This Row],[titre]],Lignes_détenues!A:B,2,))</f>
        <v>102927.82</v>
      </c>
      <c r="E118" s="280">
        <f>Requête1[[#This Row],[PRICER]]-Requête1[[#This Row],[valo]]</f>
        <v>0</v>
      </c>
    </row>
    <row r="119" spans="1:5" hidden="1" x14ac:dyDescent="0.25">
      <c r="A119" s="1172">
        <v>9300</v>
      </c>
      <c r="B119" s="1173">
        <v>46107</v>
      </c>
      <c r="C119" s="1174">
        <v>100760.88</v>
      </c>
      <c r="D119" s="1211">
        <f>IF(ISNUMBER(LOOKUP("XS",Requête1[[#This Row],[titre]])),VLOOKUP(Requête1[[#This Row],[titre]],'[5]REFERENCES DE VALO PROCEDURE'!F$9:G$22,2,),VLOOKUP(Requête1[[#This Row],[titre]],Lignes_détenues!A:B,2,))</f>
        <v>100760.88</v>
      </c>
      <c r="E119" s="280">
        <f>Requête1[[#This Row],[PRICER]]-Requête1[[#This Row],[valo]]</f>
        <v>0</v>
      </c>
    </row>
    <row r="120" spans="1:5" hidden="1" x14ac:dyDescent="0.25">
      <c r="A120" s="1172">
        <v>9302</v>
      </c>
      <c r="B120" s="1173">
        <v>46107</v>
      </c>
      <c r="C120" s="1174">
        <v>100789.09</v>
      </c>
      <c r="D120" s="1211">
        <f>IF(ISNUMBER(LOOKUP("XS",Requête1[[#This Row],[titre]])),VLOOKUP(Requête1[[#This Row],[titre]],'[5]REFERENCES DE VALO PROCEDURE'!F$9:G$22,2,),VLOOKUP(Requête1[[#This Row],[titre]],Lignes_détenues!A:B,2,))</f>
        <v>100789.09</v>
      </c>
      <c r="E120" s="280">
        <f>Requête1[[#This Row],[PRICER]]-Requête1[[#This Row],[valo]]</f>
        <v>0</v>
      </c>
    </row>
    <row r="121" spans="1:5" hidden="1" x14ac:dyDescent="0.25">
      <c r="A121" s="1172">
        <v>9307</v>
      </c>
      <c r="B121" s="1173">
        <v>46107</v>
      </c>
      <c r="C121" s="1174">
        <v>100960.41</v>
      </c>
      <c r="D121" s="1211">
        <f>IF(ISNUMBER(LOOKUP("XS",Requête1[[#This Row],[titre]])),VLOOKUP(Requête1[[#This Row],[titre]],'[5]REFERENCES DE VALO PROCEDURE'!F$9:G$22,2,),VLOOKUP(Requête1[[#This Row],[titre]],Lignes_détenues!A:B,2,))</f>
        <v>100960.41</v>
      </c>
      <c r="E121" s="280">
        <f>Requête1[[#This Row],[PRICER]]-Requête1[[#This Row],[valo]]</f>
        <v>0</v>
      </c>
    </row>
    <row r="122" spans="1:5" hidden="1" x14ac:dyDescent="0.25">
      <c r="A122" s="1615">
        <v>9313</v>
      </c>
      <c r="B122" s="1173">
        <v>46107</v>
      </c>
      <c r="C122" s="1174">
        <v>104874.4</v>
      </c>
      <c r="D122" s="1211">
        <f>IF(ISNUMBER(LOOKUP("XS",Requête1[[#This Row],[titre]])),VLOOKUP(Requête1[[#This Row],[titre]],'[5]REFERENCES DE VALO PROCEDURE'!F$9:G$22,2,),VLOOKUP(Requête1[[#This Row],[titre]],Lignes_détenues!A:B,2,))</f>
        <v>104874.4</v>
      </c>
      <c r="E122" s="280">
        <f>Requête1[[#This Row],[PRICER]]-Requête1[[#This Row],[valo]]</f>
        <v>0</v>
      </c>
    </row>
    <row r="123" spans="1:5" hidden="1" x14ac:dyDescent="0.25">
      <c r="A123" s="1172">
        <v>9329</v>
      </c>
      <c r="B123" s="1173">
        <v>46107</v>
      </c>
      <c r="C123" s="1174">
        <v>106232.85</v>
      </c>
      <c r="D123" s="1211">
        <f>IF(ISNUMBER(LOOKUP("XS",Requête1[[#This Row],[titre]])),VLOOKUP(Requête1[[#This Row],[titre]],'[5]REFERENCES DE VALO PROCEDURE'!F$9:G$22,2,),VLOOKUP(Requête1[[#This Row],[titre]],Lignes_détenues!A:B,2,))</f>
        <v>106232.85</v>
      </c>
      <c r="E123" s="280">
        <f>Requête1[[#This Row],[PRICER]]-Requête1[[#This Row],[valo]]</f>
        <v>0</v>
      </c>
    </row>
    <row r="124" spans="1:5" hidden="1" x14ac:dyDescent="0.25">
      <c r="A124" s="1172">
        <v>9345</v>
      </c>
      <c r="B124" s="1173">
        <v>46107</v>
      </c>
      <c r="C124" s="1174">
        <v>20227.79</v>
      </c>
      <c r="D124" s="1211">
        <f>IF(ISNUMBER(LOOKUP("XS",Requête1[[#This Row],[titre]])),VLOOKUP(Requête1[[#This Row],[titre]],'[5]REFERENCES DE VALO PROCEDURE'!F$9:G$22,2,),VLOOKUP(Requête1[[#This Row],[titre]],Lignes_détenues!A:B,2,))</f>
        <v>20227.79</v>
      </c>
      <c r="E124" s="280">
        <f>Requête1[[#This Row],[PRICER]]-Requête1[[#This Row],[valo]]</f>
        <v>0</v>
      </c>
    </row>
    <row r="125" spans="1:5" hidden="1" x14ac:dyDescent="0.25">
      <c r="A125" s="1172">
        <v>9346</v>
      </c>
      <c r="B125" s="1173">
        <v>46107</v>
      </c>
      <c r="C125" s="1174">
        <v>20448.900000000001</v>
      </c>
      <c r="D125" s="1211">
        <f>IF(ISNUMBER(LOOKUP("XS",Requête1[[#This Row],[titre]])),VLOOKUP(Requête1[[#This Row],[titre]],'[5]REFERENCES DE VALO PROCEDURE'!F$9:G$22,2,),VLOOKUP(Requête1[[#This Row],[titre]],Lignes_détenues!A:B,2,))</f>
        <v>20448.900000000001</v>
      </c>
      <c r="E125" s="280">
        <f>Requête1[[#This Row],[PRICER]]-Requête1[[#This Row],[valo]]</f>
        <v>0</v>
      </c>
    </row>
    <row r="126" spans="1:5" hidden="1" x14ac:dyDescent="0.25">
      <c r="A126" s="1172">
        <v>9352</v>
      </c>
      <c r="B126" s="1173">
        <v>46107</v>
      </c>
      <c r="C126" s="1174">
        <v>100789.64</v>
      </c>
      <c r="D126" s="1211">
        <f>IF(ISNUMBER(LOOKUP("XS",Requête1[[#This Row],[titre]])),VLOOKUP(Requête1[[#This Row],[titre]],'[5]REFERENCES DE VALO PROCEDURE'!F$9:G$22,2,),VLOOKUP(Requête1[[#This Row],[titre]],Lignes_détenues!A:B,2,))</f>
        <v>100789.64</v>
      </c>
      <c r="E126" s="280">
        <f>Requête1[[#This Row],[PRICER]]-Requête1[[#This Row],[valo]]</f>
        <v>0</v>
      </c>
    </row>
    <row r="127" spans="1:5" hidden="1" x14ac:dyDescent="0.25">
      <c r="A127" s="1172">
        <v>9360</v>
      </c>
      <c r="B127" s="1173">
        <v>46107</v>
      </c>
      <c r="C127" s="1174">
        <v>101858.38</v>
      </c>
      <c r="D127" s="1211">
        <f>IF(ISNUMBER(LOOKUP("XS",Requête1[[#This Row],[titre]])),VLOOKUP(Requête1[[#This Row],[titre]],'[5]REFERENCES DE VALO PROCEDURE'!F$9:G$22,2,),VLOOKUP(Requête1[[#This Row],[titre]],Lignes_détenues!A:B,2,))</f>
        <v>101858.38</v>
      </c>
      <c r="E127" s="280">
        <f>Requête1[[#This Row],[PRICER]]-Requête1[[#This Row],[valo]]</f>
        <v>0</v>
      </c>
    </row>
    <row r="128" spans="1:5" hidden="1" x14ac:dyDescent="0.25">
      <c r="A128" s="1172">
        <v>9362</v>
      </c>
      <c r="B128" s="1173">
        <v>46107</v>
      </c>
      <c r="C128" s="1174">
        <v>102495.52</v>
      </c>
      <c r="D128" s="1211">
        <f>IF(ISNUMBER(LOOKUP("XS",Requête1[[#This Row],[titre]])),VLOOKUP(Requête1[[#This Row],[titre]],'[5]REFERENCES DE VALO PROCEDURE'!F$9:G$22,2,),VLOOKUP(Requête1[[#This Row],[titre]],Lignes_détenues!A:B,2,))</f>
        <v>102495.52</v>
      </c>
      <c r="E128" s="280">
        <f>Requête1[[#This Row],[PRICER]]-Requête1[[#This Row],[valo]]</f>
        <v>0</v>
      </c>
    </row>
    <row r="129" spans="1:5" hidden="1" x14ac:dyDescent="0.25">
      <c r="A129" s="1172">
        <v>9363</v>
      </c>
      <c r="B129" s="1173">
        <v>46107</v>
      </c>
      <c r="C129" s="1174">
        <v>106940.63</v>
      </c>
      <c r="D129" s="1211">
        <f>IF(ISNUMBER(LOOKUP("XS",Requête1[[#This Row],[titre]])),VLOOKUP(Requête1[[#This Row],[titre]],'[5]REFERENCES DE VALO PROCEDURE'!F$9:G$22,2,),VLOOKUP(Requête1[[#This Row],[titre]],Lignes_détenues!A:B,2,))</f>
        <v>106940.63</v>
      </c>
      <c r="E129" s="280">
        <f>Requête1[[#This Row],[PRICER]]-Requête1[[#This Row],[valo]]</f>
        <v>0</v>
      </c>
    </row>
    <row r="130" spans="1:5" hidden="1" x14ac:dyDescent="0.25">
      <c r="A130" s="1172">
        <v>9369</v>
      </c>
      <c r="B130" s="1173">
        <v>46107</v>
      </c>
      <c r="C130" s="1174">
        <v>104116.89</v>
      </c>
      <c r="D130" s="1211">
        <f>IF(ISNUMBER(LOOKUP("XS",Requête1[[#This Row],[titre]])),VLOOKUP(Requête1[[#This Row],[titre]],'[5]REFERENCES DE VALO PROCEDURE'!F$9:G$22,2,),VLOOKUP(Requête1[[#This Row],[titre]],Lignes_détenues!A:B,2,))</f>
        <v>104116.89</v>
      </c>
      <c r="E130" s="280">
        <f>Requête1[[#This Row],[PRICER]]-Requête1[[#This Row],[valo]]</f>
        <v>0</v>
      </c>
    </row>
    <row r="131" spans="1:5" hidden="1" x14ac:dyDescent="0.25">
      <c r="A131" s="1172">
        <v>9385</v>
      </c>
      <c r="B131" s="1173">
        <v>46107</v>
      </c>
      <c r="C131" s="1174">
        <v>102601.61</v>
      </c>
      <c r="D131" s="1211">
        <f>IF(ISNUMBER(LOOKUP("XS",Requête1[[#This Row],[titre]])),VLOOKUP(Requête1[[#This Row],[titre]],'[5]REFERENCES DE VALO PROCEDURE'!F$9:G$22,2,),VLOOKUP(Requête1[[#This Row],[titre]],Lignes_détenues!A:B,2,))</f>
        <v>102601.61</v>
      </c>
      <c r="E131" s="280">
        <f>Requête1[[#This Row],[PRICER]]-Requête1[[#This Row],[valo]]</f>
        <v>0</v>
      </c>
    </row>
    <row r="132" spans="1:5" hidden="1" x14ac:dyDescent="0.25">
      <c r="A132" s="1172">
        <v>9388</v>
      </c>
      <c r="B132" s="1173">
        <v>46107</v>
      </c>
      <c r="C132" s="1174">
        <v>100681.18</v>
      </c>
      <c r="D132" s="1211">
        <f>IF(ISNUMBER(LOOKUP("XS",Requête1[[#This Row],[titre]])),VLOOKUP(Requête1[[#This Row],[titre]],'[5]REFERENCES DE VALO PROCEDURE'!F$9:G$22,2,),VLOOKUP(Requête1[[#This Row],[titre]],Lignes_détenues!A:B,2,))</f>
        <v>100681.18</v>
      </c>
      <c r="E132" s="280">
        <f>Requête1[[#This Row],[PRICER]]-Requête1[[#This Row],[valo]]</f>
        <v>0</v>
      </c>
    </row>
    <row r="133" spans="1:5" hidden="1" x14ac:dyDescent="0.25">
      <c r="A133" s="1172">
        <v>9389</v>
      </c>
      <c r="B133" s="1173">
        <v>46107</v>
      </c>
      <c r="C133" s="1174">
        <v>102921.62</v>
      </c>
      <c r="D133" s="1211">
        <f>IF(ISNUMBER(LOOKUP("XS",Requête1[[#This Row],[titre]])),VLOOKUP(Requête1[[#This Row],[titre]],'[5]REFERENCES DE VALO PROCEDURE'!F$9:G$22,2,),VLOOKUP(Requête1[[#This Row],[titre]],Lignes_détenues!A:B,2,))</f>
        <v>102921.62</v>
      </c>
      <c r="E133" s="280">
        <f>Requête1[[#This Row],[PRICER]]-Requête1[[#This Row],[valo]]</f>
        <v>0</v>
      </c>
    </row>
    <row r="134" spans="1:5" hidden="1" x14ac:dyDescent="0.25">
      <c r="A134" s="1172">
        <v>9390</v>
      </c>
      <c r="B134" s="1173">
        <v>46107</v>
      </c>
      <c r="C134" s="1174">
        <v>101024.82</v>
      </c>
      <c r="D134" s="1211">
        <f>IF(ISNUMBER(LOOKUP("XS",Requête1[[#This Row],[titre]])),VLOOKUP(Requête1[[#This Row],[titre]],'[5]REFERENCES DE VALO PROCEDURE'!F$9:G$22,2,),VLOOKUP(Requête1[[#This Row],[titre]],Lignes_détenues!A:B,2,))</f>
        <v>101024.82</v>
      </c>
      <c r="E134" s="280">
        <f>Requête1[[#This Row],[PRICER]]-Requête1[[#This Row],[valo]]</f>
        <v>0</v>
      </c>
    </row>
    <row r="135" spans="1:5" hidden="1" x14ac:dyDescent="0.25">
      <c r="A135" s="1172">
        <v>9396</v>
      </c>
      <c r="B135" s="1173">
        <v>46107</v>
      </c>
      <c r="C135" s="1174">
        <v>40910.43</v>
      </c>
      <c r="D135" s="1211">
        <f>IF(ISNUMBER(LOOKUP("XS",Requête1[[#This Row],[titre]])),VLOOKUP(Requête1[[#This Row],[titre]],'[5]REFERENCES DE VALO PROCEDURE'!F$9:G$22,2,),VLOOKUP(Requête1[[#This Row],[titre]],Lignes_détenues!A:B,2,))</f>
        <v>40910.43</v>
      </c>
      <c r="E135" s="280">
        <f>Requête1[[#This Row],[PRICER]]-Requête1[[#This Row],[valo]]</f>
        <v>0</v>
      </c>
    </row>
    <row r="136" spans="1:5" hidden="1" x14ac:dyDescent="0.25">
      <c r="A136" s="1172">
        <v>9397</v>
      </c>
      <c r="B136" s="1173">
        <v>46107</v>
      </c>
      <c r="C136" s="1174">
        <v>102154.43</v>
      </c>
      <c r="D136" s="1211">
        <f>IF(ISNUMBER(LOOKUP("XS",Requête1[[#This Row],[titre]])),VLOOKUP(Requête1[[#This Row],[titre]],'[5]REFERENCES DE VALO PROCEDURE'!F$9:G$22,2,),VLOOKUP(Requête1[[#This Row],[titre]],Lignes_détenues!A:B,2,))</f>
        <v>102154.43</v>
      </c>
      <c r="E136" s="280">
        <f>Requête1[[#This Row],[PRICER]]-Requête1[[#This Row],[valo]]</f>
        <v>0</v>
      </c>
    </row>
    <row r="137" spans="1:5" hidden="1" x14ac:dyDescent="0.25">
      <c r="A137" s="1172">
        <v>9398</v>
      </c>
      <c r="B137" s="1173">
        <v>46107</v>
      </c>
      <c r="C137" s="1174">
        <v>104394.34</v>
      </c>
      <c r="D137" s="1211">
        <f>IF(ISNUMBER(LOOKUP("XS",Requête1[[#This Row],[titre]])),VLOOKUP(Requête1[[#This Row],[titre]],'[5]REFERENCES DE VALO PROCEDURE'!F$9:G$22,2,),VLOOKUP(Requête1[[#This Row],[titre]],Lignes_détenues!A:B,2,))</f>
        <v>104394.34</v>
      </c>
      <c r="E137" s="280">
        <f>Requête1[[#This Row],[PRICER]]-Requête1[[#This Row],[valo]]</f>
        <v>0</v>
      </c>
    </row>
    <row r="138" spans="1:5" hidden="1" x14ac:dyDescent="0.25">
      <c r="A138" s="1172">
        <v>9399</v>
      </c>
      <c r="B138" s="1173">
        <v>46107</v>
      </c>
      <c r="C138" s="1174">
        <v>103401.11</v>
      </c>
      <c r="D138" s="1211">
        <f>IF(ISNUMBER(LOOKUP("XS",Requête1[[#This Row],[titre]])),VLOOKUP(Requête1[[#This Row],[titre]],'[5]REFERENCES DE VALO PROCEDURE'!F$9:G$22,2,),VLOOKUP(Requête1[[#This Row],[titre]],Lignes_détenues!A:B,2,))</f>
        <v>103401.11</v>
      </c>
      <c r="E138" s="280">
        <f>Requête1[[#This Row],[PRICER]]-Requête1[[#This Row],[valo]]</f>
        <v>0</v>
      </c>
    </row>
    <row r="139" spans="1:5" hidden="1" x14ac:dyDescent="0.25">
      <c r="A139" s="1172">
        <v>9408</v>
      </c>
      <c r="B139" s="1173">
        <v>46107</v>
      </c>
      <c r="C139" s="1174">
        <v>101997.85</v>
      </c>
      <c r="D139" s="1211">
        <f>IF(ISNUMBER(LOOKUP("XS",Requête1[[#This Row],[titre]])),VLOOKUP(Requête1[[#This Row],[titre]],'[5]REFERENCES DE VALO PROCEDURE'!F$9:G$22,2,),VLOOKUP(Requête1[[#This Row],[titre]],Lignes_détenues!A:B,2,))</f>
        <v>101997.85</v>
      </c>
      <c r="E139" s="280">
        <f>Requête1[[#This Row],[PRICER]]-Requête1[[#This Row],[valo]]</f>
        <v>0</v>
      </c>
    </row>
    <row r="140" spans="1:5" hidden="1" x14ac:dyDescent="0.25">
      <c r="A140" s="1172">
        <v>9425</v>
      </c>
      <c r="B140" s="1173">
        <v>46107</v>
      </c>
      <c r="C140" s="1174">
        <v>100092.07</v>
      </c>
      <c r="D140" s="1211">
        <f>IF(ISNUMBER(LOOKUP("XS",Requête1[[#This Row],[titre]])),VLOOKUP(Requête1[[#This Row],[titre]],'[5]REFERENCES DE VALO PROCEDURE'!F$9:G$22,2,),VLOOKUP(Requête1[[#This Row],[titre]],Lignes_détenues!A:B,2,))</f>
        <v>100092.07</v>
      </c>
      <c r="E140" s="280">
        <f>Requête1[[#This Row],[PRICER]]-Requête1[[#This Row],[valo]]</f>
        <v>0</v>
      </c>
    </row>
    <row r="141" spans="1:5" hidden="1" x14ac:dyDescent="0.25">
      <c r="A141" s="1172">
        <v>9428</v>
      </c>
      <c r="B141" s="1173">
        <v>46107</v>
      </c>
      <c r="C141" s="1174">
        <v>100569.87</v>
      </c>
      <c r="D141" s="1211">
        <f>IF(ISNUMBER(LOOKUP("XS",Requête1[[#This Row],[titre]])),VLOOKUP(Requête1[[#This Row],[titre]],'[5]REFERENCES DE VALO PROCEDURE'!F$9:G$22,2,),VLOOKUP(Requête1[[#This Row],[titre]],Lignes_détenues!A:B,2,))</f>
        <v>100569.87</v>
      </c>
      <c r="E141" s="280">
        <f>Requête1[[#This Row],[PRICER]]-Requête1[[#This Row],[valo]]</f>
        <v>0</v>
      </c>
    </row>
    <row r="142" spans="1:5" hidden="1" x14ac:dyDescent="0.25">
      <c r="A142" s="1172">
        <v>9429</v>
      </c>
      <c r="B142" s="1173">
        <v>46107</v>
      </c>
      <c r="C142" s="1174">
        <v>101013.28</v>
      </c>
      <c r="D142" s="1211">
        <f>IF(ISNUMBER(LOOKUP("XS",Requête1[[#This Row],[titre]])),VLOOKUP(Requête1[[#This Row],[titre]],'[5]REFERENCES DE VALO PROCEDURE'!F$9:G$22,2,),VLOOKUP(Requête1[[#This Row],[titre]],Lignes_détenues!A:B,2,))</f>
        <v>101013.28</v>
      </c>
      <c r="E142" s="280">
        <f>Requête1[[#This Row],[PRICER]]-Requête1[[#This Row],[valo]]</f>
        <v>0</v>
      </c>
    </row>
    <row r="143" spans="1:5" hidden="1" x14ac:dyDescent="0.25">
      <c r="A143" s="1172">
        <v>9431</v>
      </c>
      <c r="B143" s="1173">
        <v>46107</v>
      </c>
      <c r="C143" s="1174">
        <v>20136.78</v>
      </c>
      <c r="D143" s="1211">
        <f>IF(ISNUMBER(LOOKUP("XS",Requête1[[#This Row],[titre]])),VLOOKUP(Requête1[[#This Row],[titre]],'[5]REFERENCES DE VALO PROCEDURE'!F$9:G$22,2,),VLOOKUP(Requête1[[#This Row],[titre]],Lignes_détenues!A:B,2,))</f>
        <v>20136.78</v>
      </c>
      <c r="E143" s="280">
        <f>Requête1[[#This Row],[PRICER]]-Requête1[[#This Row],[valo]]</f>
        <v>0</v>
      </c>
    </row>
    <row r="144" spans="1:5" hidden="1" x14ac:dyDescent="0.25">
      <c r="A144" s="1172">
        <v>9434</v>
      </c>
      <c r="B144" s="1173">
        <v>46107</v>
      </c>
      <c r="C144" s="1174">
        <v>62.49</v>
      </c>
      <c r="D144" s="1211">
        <f>IF(ISNUMBER(LOOKUP("XS",Requête1[[#This Row],[titre]])),VLOOKUP(Requête1[[#This Row],[titre]],'[5]REFERENCES DE VALO PROCEDURE'!F$9:G$22,2,),VLOOKUP(Requête1[[#This Row],[titre]],Lignes_détenues!A:B,2,))</f>
        <v>62.49</v>
      </c>
      <c r="E144" s="280">
        <f>Requête1[[#This Row],[PRICER]]-Requête1[[#This Row],[valo]]</f>
        <v>0</v>
      </c>
    </row>
    <row r="145" spans="1:5" hidden="1" x14ac:dyDescent="0.25">
      <c r="A145" s="1172">
        <v>9436</v>
      </c>
      <c r="B145" s="1173">
        <v>46107</v>
      </c>
      <c r="C145" s="1174">
        <v>98696.49</v>
      </c>
      <c r="D145" s="1211">
        <f>IF(ISNUMBER(LOOKUP("XS",Requête1[[#This Row],[titre]])),VLOOKUP(Requête1[[#This Row],[titre]],'[5]REFERENCES DE VALO PROCEDURE'!F$9:G$22,2,),VLOOKUP(Requête1[[#This Row],[titre]],Lignes_détenues!A:B,2,))</f>
        <v>98696.49</v>
      </c>
      <c r="E145" s="280">
        <f>Requête1[[#This Row],[PRICER]]-Requête1[[#This Row],[valo]]</f>
        <v>0</v>
      </c>
    </row>
    <row r="146" spans="1:5" hidden="1" x14ac:dyDescent="0.25">
      <c r="A146" s="1172">
        <v>9444</v>
      </c>
      <c r="B146" s="1173">
        <v>46107</v>
      </c>
      <c r="C146" s="1174">
        <v>102422.59</v>
      </c>
      <c r="D146" s="1211">
        <f>IF(ISNUMBER(LOOKUP("XS",Requête1[[#This Row],[titre]])),VLOOKUP(Requête1[[#This Row],[titre]],'[5]REFERENCES DE VALO PROCEDURE'!F$9:G$22,2,),VLOOKUP(Requête1[[#This Row],[titre]],Lignes_détenues!A:B,2,))</f>
        <v>102422.59</v>
      </c>
      <c r="E146" s="280">
        <f>Requête1[[#This Row],[PRICER]]-Requête1[[#This Row],[valo]]</f>
        <v>0</v>
      </c>
    </row>
    <row r="147" spans="1:5" hidden="1" x14ac:dyDescent="0.25">
      <c r="A147" s="1172">
        <v>9452</v>
      </c>
      <c r="B147" s="1173">
        <v>46107</v>
      </c>
      <c r="C147" s="1174">
        <v>51263.14</v>
      </c>
      <c r="D147" s="1211">
        <f>IF(ISNUMBER(LOOKUP("XS",Requête1[[#This Row],[titre]])),VLOOKUP(Requête1[[#This Row],[titre]],'[5]REFERENCES DE VALO PROCEDURE'!F$9:G$22,2,),VLOOKUP(Requête1[[#This Row],[titre]],Lignes_détenues!A:B,2,))</f>
        <v>51263.14</v>
      </c>
      <c r="E147" s="280">
        <f>Requête1[[#This Row],[PRICER]]-Requête1[[#This Row],[valo]]</f>
        <v>0</v>
      </c>
    </row>
    <row r="148" spans="1:5" hidden="1" x14ac:dyDescent="0.25">
      <c r="A148" s="1172">
        <v>9455</v>
      </c>
      <c r="B148" s="1173">
        <v>46107</v>
      </c>
      <c r="C148" s="1174">
        <v>103074.57</v>
      </c>
      <c r="D148" s="1211">
        <f>IF(ISNUMBER(LOOKUP("XS",Requête1[[#This Row],[titre]])),VLOOKUP(Requête1[[#This Row],[titre]],'[5]REFERENCES DE VALO PROCEDURE'!F$9:G$22,2,),VLOOKUP(Requête1[[#This Row],[titre]],Lignes_détenues!A:B,2,))</f>
        <v>103074.57</v>
      </c>
      <c r="E148" s="280">
        <f>Requête1[[#This Row],[PRICER]]-Requête1[[#This Row],[valo]]</f>
        <v>0</v>
      </c>
    </row>
    <row r="149" spans="1:5" hidden="1" x14ac:dyDescent="0.25">
      <c r="A149" s="1172">
        <v>9488</v>
      </c>
      <c r="B149" s="1173">
        <v>46107</v>
      </c>
      <c r="C149" s="1174">
        <v>101073.02</v>
      </c>
      <c r="D149" s="1211">
        <f>IF(ISNUMBER(LOOKUP("XS",Requête1[[#This Row],[titre]])),VLOOKUP(Requête1[[#This Row],[titre]],'[5]REFERENCES DE VALO PROCEDURE'!F$9:G$22,2,),VLOOKUP(Requête1[[#This Row],[titre]],Lignes_détenues!A:B,2,))</f>
        <v>101073.02</v>
      </c>
      <c r="E149" s="280">
        <f>Requête1[[#This Row],[PRICER]]-Requête1[[#This Row],[valo]]</f>
        <v>0</v>
      </c>
    </row>
    <row r="150" spans="1:5" hidden="1" x14ac:dyDescent="0.25">
      <c r="A150" s="1172">
        <v>9489</v>
      </c>
      <c r="B150" s="1173">
        <v>46107</v>
      </c>
      <c r="C150" s="1174">
        <v>100089.55</v>
      </c>
      <c r="D150" s="1211">
        <f>IF(ISNUMBER(LOOKUP("XS",Requête1[[#This Row],[titre]])),VLOOKUP(Requête1[[#This Row],[titre]],'[5]REFERENCES DE VALO PROCEDURE'!F$9:G$22,2,),VLOOKUP(Requête1[[#This Row],[titre]],Lignes_détenues!A:B,2,))</f>
        <v>100089.55</v>
      </c>
      <c r="E150" s="280">
        <f>Requête1[[#This Row],[PRICER]]-Requête1[[#This Row],[valo]]</f>
        <v>0</v>
      </c>
    </row>
    <row r="151" spans="1:5" hidden="1" x14ac:dyDescent="0.25">
      <c r="A151" s="1172">
        <v>9491</v>
      </c>
      <c r="B151" s="1173">
        <v>46107</v>
      </c>
      <c r="C151" s="1174">
        <v>100609.72</v>
      </c>
      <c r="D151" s="1211">
        <f>IF(ISNUMBER(LOOKUP("XS",Requête1[[#This Row],[titre]])),VLOOKUP(Requête1[[#This Row],[titre]],'[5]REFERENCES DE VALO PROCEDURE'!F$9:G$22,2,),VLOOKUP(Requête1[[#This Row],[titre]],Lignes_détenues!A:B,2,))</f>
        <v>100609.72</v>
      </c>
      <c r="E151" s="280">
        <f>Requête1[[#This Row],[PRICER]]-Requête1[[#This Row],[valo]]</f>
        <v>0</v>
      </c>
    </row>
    <row r="152" spans="1:5" hidden="1" x14ac:dyDescent="0.25">
      <c r="A152" s="1172">
        <v>9492</v>
      </c>
      <c r="B152" s="1173">
        <v>46107</v>
      </c>
      <c r="C152" s="1174">
        <v>100554.73</v>
      </c>
      <c r="D152" s="1211">
        <f>IF(ISNUMBER(LOOKUP("XS",Requête1[[#This Row],[titre]])),VLOOKUP(Requête1[[#This Row],[titre]],'[5]REFERENCES DE VALO PROCEDURE'!F$9:G$22,2,),VLOOKUP(Requête1[[#This Row],[titre]],Lignes_détenues!A:B,2,))</f>
        <v>100554.73</v>
      </c>
      <c r="E152" s="280">
        <f>Requête1[[#This Row],[PRICER]]-Requête1[[#This Row],[valo]]</f>
        <v>0</v>
      </c>
    </row>
    <row r="153" spans="1:5" hidden="1" x14ac:dyDescent="0.25">
      <c r="A153" s="1172">
        <v>9499</v>
      </c>
      <c r="B153" s="1173">
        <v>46107</v>
      </c>
      <c r="C153" s="1174">
        <v>96909.5</v>
      </c>
      <c r="D153" s="1211">
        <f>IF(ISNUMBER(LOOKUP("XS",Requête1[[#This Row],[titre]])),VLOOKUP(Requête1[[#This Row],[titre]],'[5]REFERENCES DE VALO PROCEDURE'!F$9:G$22,2,),VLOOKUP(Requête1[[#This Row],[titre]],Lignes_détenues!A:B,2,))</f>
        <v>96909.5</v>
      </c>
      <c r="E153" s="280">
        <f>Requête1[[#This Row],[PRICER]]-Requête1[[#This Row],[valo]]</f>
        <v>0</v>
      </c>
    </row>
    <row r="154" spans="1:5" hidden="1" x14ac:dyDescent="0.25">
      <c r="A154" s="1172">
        <v>9502</v>
      </c>
      <c r="B154" s="1173">
        <v>46107</v>
      </c>
      <c r="C154" s="1174">
        <v>20420.25</v>
      </c>
      <c r="D154" s="1211">
        <f>IF(ISNUMBER(LOOKUP("XS",Requête1[[#This Row],[titre]])),VLOOKUP(Requête1[[#This Row],[titre]],'[5]REFERENCES DE VALO PROCEDURE'!F$9:G$22,2,),VLOOKUP(Requête1[[#This Row],[titre]],Lignes_détenues!A:B,2,))</f>
        <v>20420.25</v>
      </c>
      <c r="E154" s="280">
        <f>Requête1[[#This Row],[PRICER]]-Requête1[[#This Row],[valo]]</f>
        <v>0</v>
      </c>
    </row>
    <row r="155" spans="1:5" hidden="1" x14ac:dyDescent="0.25">
      <c r="A155" s="1172">
        <v>9523</v>
      </c>
      <c r="B155" s="1173">
        <v>46107</v>
      </c>
      <c r="C155" s="1174">
        <v>99141.67</v>
      </c>
      <c r="D155" s="1211">
        <f>IF(ISNUMBER(LOOKUP("XS",Requête1[[#This Row],[titre]])),VLOOKUP(Requête1[[#This Row],[titre]],'[5]REFERENCES DE VALO PROCEDURE'!F$9:G$22,2,),VLOOKUP(Requête1[[#This Row],[titre]],Lignes_détenues!A:B,2,))</f>
        <v>99141.67</v>
      </c>
      <c r="E155" s="280">
        <f>Requête1[[#This Row],[PRICER]]-Requête1[[#This Row],[valo]]</f>
        <v>0</v>
      </c>
    </row>
    <row r="156" spans="1:5" hidden="1" x14ac:dyDescent="0.25">
      <c r="A156" s="1615">
        <v>9524</v>
      </c>
      <c r="B156" s="1173">
        <v>46107</v>
      </c>
      <c r="C156" s="1174">
        <v>100788.03</v>
      </c>
      <c r="D156" s="1211">
        <f>IF(ISNUMBER(LOOKUP("XS",Requête1[[#This Row],[titre]])),VLOOKUP(Requête1[[#This Row],[titre]],'[5]REFERENCES DE VALO PROCEDURE'!F$9:G$22,2,),VLOOKUP(Requête1[[#This Row],[titre]],Lignes_détenues!A:B,2,))</f>
        <v>100788.03</v>
      </c>
      <c r="E156" s="280">
        <f>Requête1[[#This Row],[PRICER]]-Requête1[[#This Row],[valo]]</f>
        <v>0</v>
      </c>
    </row>
    <row r="157" spans="1:5" hidden="1" x14ac:dyDescent="0.25">
      <c r="A157" s="1172">
        <v>9529</v>
      </c>
      <c r="B157" s="1173">
        <v>46107</v>
      </c>
      <c r="C157" s="1174">
        <v>97284.41</v>
      </c>
      <c r="D157" s="1211">
        <f>IF(ISNUMBER(LOOKUP("XS",Requête1[[#This Row],[titre]])),VLOOKUP(Requête1[[#This Row],[titre]],'[5]REFERENCES DE VALO PROCEDURE'!F$9:G$22,2,),VLOOKUP(Requête1[[#This Row],[titre]],Lignes_détenues!A:B,2,))</f>
        <v>97284.41</v>
      </c>
      <c r="E157" s="280">
        <f>Requête1[[#This Row],[PRICER]]-Requête1[[#This Row],[valo]]</f>
        <v>0</v>
      </c>
    </row>
    <row r="158" spans="1:5" hidden="1" x14ac:dyDescent="0.25">
      <c r="A158" s="1172">
        <v>9530</v>
      </c>
      <c r="B158" s="1173">
        <v>46107</v>
      </c>
      <c r="C158" s="1174">
        <v>98995.36</v>
      </c>
      <c r="D158" s="1211">
        <f>IF(ISNUMBER(LOOKUP("XS",Requête1[[#This Row],[titre]])),VLOOKUP(Requête1[[#This Row],[titre]],'[5]REFERENCES DE VALO PROCEDURE'!F$9:G$22,2,),VLOOKUP(Requête1[[#This Row],[titre]],Lignes_détenues!A:B,2,))</f>
        <v>98995.36</v>
      </c>
      <c r="E158" s="280">
        <f>Requête1[[#This Row],[PRICER]]-Requête1[[#This Row],[valo]]</f>
        <v>0</v>
      </c>
    </row>
    <row r="159" spans="1:5" hidden="1" x14ac:dyDescent="0.25">
      <c r="A159" s="1172">
        <v>9532</v>
      </c>
      <c r="B159" s="1173">
        <v>46107</v>
      </c>
      <c r="C159" s="1174">
        <v>73708.03</v>
      </c>
      <c r="D159" s="1211">
        <f>IF(ISNUMBER(LOOKUP("XS",Requête1[[#This Row],[titre]])),VLOOKUP(Requête1[[#This Row],[titre]],'[5]REFERENCES DE VALO PROCEDURE'!F$9:G$22,2,),VLOOKUP(Requête1[[#This Row],[titre]],Lignes_détenues!A:B,2,))</f>
        <v>73708.03</v>
      </c>
      <c r="E159" s="280">
        <f>Requête1[[#This Row],[PRICER]]-Requête1[[#This Row],[valo]]</f>
        <v>0</v>
      </c>
    </row>
    <row r="160" spans="1:5" hidden="1" x14ac:dyDescent="0.25">
      <c r="A160" s="1172">
        <v>9534</v>
      </c>
      <c r="B160" s="1173">
        <v>46107</v>
      </c>
      <c r="C160" s="1174">
        <v>94301.36</v>
      </c>
      <c r="D160" s="1211">
        <f>IF(ISNUMBER(LOOKUP("XS",Requête1[[#This Row],[titre]])),VLOOKUP(Requête1[[#This Row],[titre]],'[5]REFERENCES DE VALO PROCEDURE'!F$9:G$22,2,),VLOOKUP(Requête1[[#This Row],[titre]],Lignes_détenues!A:B,2,))</f>
        <v>94301.36</v>
      </c>
      <c r="E160" s="280">
        <f>Requête1[[#This Row],[PRICER]]-Requête1[[#This Row],[valo]]</f>
        <v>0</v>
      </c>
    </row>
    <row r="161" spans="1:5" hidden="1" x14ac:dyDescent="0.25">
      <c r="A161" s="1172">
        <v>9535</v>
      </c>
      <c r="B161" s="1173">
        <v>46107</v>
      </c>
      <c r="C161" s="1174">
        <v>98418.27</v>
      </c>
      <c r="D161" s="1211">
        <f>IF(ISNUMBER(LOOKUP("XS",Requête1[[#This Row],[titre]])),VLOOKUP(Requête1[[#This Row],[titre]],'[5]REFERENCES DE VALO PROCEDURE'!F$9:G$22,2,),VLOOKUP(Requête1[[#This Row],[titre]],Lignes_détenues!A:B,2,))</f>
        <v>98418.27</v>
      </c>
      <c r="E161" s="280">
        <f>Requête1[[#This Row],[PRICER]]-Requête1[[#This Row],[valo]]</f>
        <v>0</v>
      </c>
    </row>
    <row r="162" spans="1:5" hidden="1" x14ac:dyDescent="0.25">
      <c r="A162" s="1172">
        <v>9542</v>
      </c>
      <c r="B162" s="1173">
        <v>46107</v>
      </c>
      <c r="C162" s="1174">
        <v>103192.28</v>
      </c>
      <c r="D162" s="1211">
        <f>IF(ISNUMBER(LOOKUP("XS",Requête1[[#This Row],[titre]])),VLOOKUP(Requête1[[#This Row],[titre]],'[5]REFERENCES DE VALO PROCEDURE'!F$9:G$22,2,),VLOOKUP(Requête1[[#This Row],[titre]],Lignes_détenues!A:B,2,))</f>
        <v>103192.28</v>
      </c>
      <c r="E162" s="280">
        <f>Requête1[[#This Row],[PRICER]]-Requête1[[#This Row],[valo]]</f>
        <v>0</v>
      </c>
    </row>
    <row r="163" spans="1:5" hidden="1" x14ac:dyDescent="0.25">
      <c r="A163" s="1172">
        <v>9547</v>
      </c>
      <c r="B163" s="1173">
        <v>46107</v>
      </c>
      <c r="C163" s="1174">
        <v>101996.64</v>
      </c>
      <c r="D163" s="1211">
        <f>IF(ISNUMBER(LOOKUP("XS",Requête1[[#This Row],[titre]])),VLOOKUP(Requête1[[#This Row],[titre]],'[5]REFERENCES DE VALO PROCEDURE'!F$9:G$22,2,),VLOOKUP(Requête1[[#This Row],[titre]],Lignes_détenues!A:B,2,))</f>
        <v>101996.64</v>
      </c>
      <c r="E163" s="280">
        <f>Requête1[[#This Row],[PRICER]]-Requête1[[#This Row],[valo]]</f>
        <v>0</v>
      </c>
    </row>
    <row r="164" spans="1:5" hidden="1" x14ac:dyDescent="0.25">
      <c r="A164" s="1172">
        <v>9549</v>
      </c>
      <c r="B164" s="1173">
        <v>46107</v>
      </c>
      <c r="C164" s="1174">
        <v>102805.51</v>
      </c>
      <c r="D164" s="1211">
        <f>IF(ISNUMBER(LOOKUP("XS",Requête1[[#This Row],[titre]])),VLOOKUP(Requête1[[#This Row],[titre]],'[5]REFERENCES DE VALO PROCEDURE'!F$9:G$22,2,),VLOOKUP(Requête1[[#This Row],[titre]],Lignes_détenues!A:B,2,))</f>
        <v>102805.51</v>
      </c>
      <c r="E164" s="280">
        <f>Requête1[[#This Row],[PRICER]]-Requête1[[#This Row],[valo]]</f>
        <v>0</v>
      </c>
    </row>
    <row r="165" spans="1:5" hidden="1" x14ac:dyDescent="0.25">
      <c r="A165" s="1172">
        <v>9567</v>
      </c>
      <c r="B165" s="1173">
        <v>46107</v>
      </c>
      <c r="C165" s="1174">
        <v>101003.43</v>
      </c>
      <c r="D165" s="1211">
        <f>IF(ISNUMBER(LOOKUP("XS",Requête1[[#This Row],[titre]])),VLOOKUP(Requête1[[#This Row],[titre]],'[5]REFERENCES DE VALO PROCEDURE'!F$9:G$22,2,),VLOOKUP(Requête1[[#This Row],[titre]],Lignes_détenues!A:B,2,))</f>
        <v>101003.43</v>
      </c>
      <c r="E165" s="280">
        <f>Requête1[[#This Row],[PRICER]]-Requête1[[#This Row],[valo]]</f>
        <v>0</v>
      </c>
    </row>
    <row r="166" spans="1:5" hidden="1" x14ac:dyDescent="0.25">
      <c r="A166" s="1172">
        <v>9571</v>
      </c>
      <c r="B166" s="1173">
        <v>46107</v>
      </c>
      <c r="C166" s="1174">
        <v>100939.86</v>
      </c>
      <c r="D166" s="1211">
        <f>IF(ISNUMBER(LOOKUP("XS",Requête1[[#This Row],[titre]])),VLOOKUP(Requête1[[#This Row],[titre]],'[5]REFERENCES DE VALO PROCEDURE'!F$9:G$22,2,),VLOOKUP(Requête1[[#This Row],[titre]],Lignes_détenues!A:B,2,))</f>
        <v>100939.86</v>
      </c>
      <c r="E166" s="280">
        <f>Requête1[[#This Row],[PRICER]]-Requête1[[#This Row],[valo]]</f>
        <v>0</v>
      </c>
    </row>
    <row r="167" spans="1:5" hidden="1" x14ac:dyDescent="0.25">
      <c r="A167" s="1172">
        <v>9572</v>
      </c>
      <c r="B167" s="1173">
        <v>46107</v>
      </c>
      <c r="C167" s="1174">
        <v>100438.35</v>
      </c>
      <c r="D167" s="1211">
        <f>IF(ISNUMBER(LOOKUP("XS",Requête1[[#This Row],[titre]])),VLOOKUP(Requête1[[#This Row],[titre]],'[5]REFERENCES DE VALO PROCEDURE'!F$9:G$22,2,),VLOOKUP(Requête1[[#This Row],[titre]],Lignes_détenues!A:B,2,))</f>
        <v>100438.35</v>
      </c>
      <c r="E167" s="280">
        <f>Requête1[[#This Row],[PRICER]]-Requête1[[#This Row],[valo]]</f>
        <v>0</v>
      </c>
    </row>
    <row r="168" spans="1:5" hidden="1" x14ac:dyDescent="0.25">
      <c r="A168" s="1172">
        <v>9576</v>
      </c>
      <c r="B168" s="1173">
        <v>46107</v>
      </c>
      <c r="C168" s="1174">
        <v>100046.07</v>
      </c>
      <c r="D168" s="1211">
        <f>IF(ISNUMBER(LOOKUP("XS",Requête1[[#This Row],[titre]])),VLOOKUP(Requête1[[#This Row],[titre]],'[5]REFERENCES DE VALO PROCEDURE'!F$9:G$22,2,),VLOOKUP(Requête1[[#This Row],[titre]],Lignes_détenues!A:B,2,))</f>
        <v>100046.07</v>
      </c>
      <c r="E168" s="280">
        <f>Requête1[[#This Row],[PRICER]]-Requête1[[#This Row],[valo]]</f>
        <v>0</v>
      </c>
    </row>
    <row r="169" spans="1:5" hidden="1" x14ac:dyDescent="0.25">
      <c r="A169" s="1172">
        <v>9582</v>
      </c>
      <c r="B169" s="1173">
        <v>46107</v>
      </c>
      <c r="C169" s="1174">
        <v>102908.58</v>
      </c>
      <c r="D169" s="1211">
        <f>IF(ISNUMBER(LOOKUP("XS",Requête1[[#This Row],[titre]])),VLOOKUP(Requête1[[#This Row],[titre]],'[5]REFERENCES DE VALO PROCEDURE'!F$9:G$22,2,),VLOOKUP(Requête1[[#This Row],[titre]],Lignes_détenues!A:B,2,))</f>
        <v>102908.58</v>
      </c>
      <c r="E169" s="280">
        <f>Requête1[[#This Row],[PRICER]]-Requête1[[#This Row],[valo]]</f>
        <v>0</v>
      </c>
    </row>
    <row r="170" spans="1:5" hidden="1" x14ac:dyDescent="0.25">
      <c r="A170" s="1172">
        <v>100844</v>
      </c>
      <c r="B170" s="1173">
        <v>46107</v>
      </c>
      <c r="C170" s="1174">
        <v>101978.2</v>
      </c>
      <c r="D170" s="1211">
        <f>IF(ISNUMBER(LOOKUP("XS",Requête1[[#This Row],[titre]])),VLOOKUP(Requête1[[#This Row],[titre]],'[5]REFERENCES DE VALO PROCEDURE'!F$9:G$22,2,),VLOOKUP(Requête1[[#This Row],[titre]],Lignes_détenues!A:B,2,))</f>
        <v>101978.2</v>
      </c>
      <c r="E170" s="280">
        <f>Requête1[[#This Row],[PRICER]]-Requête1[[#This Row],[valo]]</f>
        <v>0</v>
      </c>
    </row>
    <row r="171" spans="1:5" hidden="1" x14ac:dyDescent="0.25">
      <c r="A171" s="1172">
        <v>100856</v>
      </c>
      <c r="B171" s="1173">
        <v>46107</v>
      </c>
      <c r="C171" s="1174">
        <v>101358.84</v>
      </c>
      <c r="D171" s="1211">
        <f>IF(ISNUMBER(LOOKUP("XS",Requête1[[#This Row],[titre]])),VLOOKUP(Requête1[[#This Row],[titre]],'[5]REFERENCES DE VALO PROCEDURE'!F$9:G$22,2,),VLOOKUP(Requête1[[#This Row],[titre]],Lignes_détenues!A:B,2,))</f>
        <v>101358.84</v>
      </c>
      <c r="E171" s="280">
        <f>Requête1[[#This Row],[PRICER]]-Requête1[[#This Row],[valo]]</f>
        <v>0</v>
      </c>
    </row>
    <row r="172" spans="1:5" hidden="1" x14ac:dyDescent="0.25">
      <c r="A172" s="1172">
        <v>100899</v>
      </c>
      <c r="B172" s="1173">
        <v>46107</v>
      </c>
      <c r="C172" s="1174">
        <v>103293.41</v>
      </c>
      <c r="D172" s="1211">
        <f>IF(ISNUMBER(LOOKUP("XS",Requête1[[#This Row],[titre]])),VLOOKUP(Requête1[[#This Row],[titre]],'[5]REFERENCES DE VALO PROCEDURE'!F$9:G$22,2,),VLOOKUP(Requête1[[#This Row],[titre]],Lignes_détenues!A:B,2,))</f>
        <v>103293.41</v>
      </c>
      <c r="E172" s="280">
        <f>Requête1[[#This Row],[PRICER]]-Requête1[[#This Row],[valo]]</f>
        <v>0</v>
      </c>
    </row>
    <row r="173" spans="1:5" hidden="1" x14ac:dyDescent="0.25">
      <c r="A173" s="1172">
        <v>100902</v>
      </c>
      <c r="B173" s="1173">
        <v>46107</v>
      </c>
      <c r="C173" s="1174">
        <v>102813.14</v>
      </c>
      <c r="D173" s="1211">
        <f>IF(ISNUMBER(LOOKUP("XS",Requête1[[#This Row],[titre]])),VLOOKUP(Requête1[[#This Row],[titre]],'[5]REFERENCES DE VALO PROCEDURE'!F$9:G$22,2,),VLOOKUP(Requête1[[#This Row],[titre]],Lignes_détenues!A:B,2,))</f>
        <v>102813.14</v>
      </c>
      <c r="E173" s="280">
        <f>Requête1[[#This Row],[PRICER]]-Requête1[[#This Row],[valo]]</f>
        <v>0</v>
      </c>
    </row>
    <row r="174" spans="1:5" hidden="1" x14ac:dyDescent="0.25">
      <c r="A174" s="1615">
        <v>100904</v>
      </c>
      <c r="B174" s="1173">
        <v>46107</v>
      </c>
      <c r="C174" s="1174">
        <v>103809.46</v>
      </c>
      <c r="D174" s="1211">
        <f>IF(ISNUMBER(LOOKUP("XS",Requête1[[#This Row],[titre]])),VLOOKUP(Requête1[[#This Row],[titre]],'[5]REFERENCES DE VALO PROCEDURE'!F$9:G$22,2,),VLOOKUP(Requête1[[#This Row],[titre]],Lignes_détenues!A:B,2,))</f>
        <v>103809.46</v>
      </c>
      <c r="E174" s="280">
        <f>Requête1[[#This Row],[PRICER]]-Requête1[[#This Row],[valo]]</f>
        <v>0</v>
      </c>
    </row>
    <row r="175" spans="1:5" hidden="1" x14ac:dyDescent="0.25">
      <c r="A175" s="1172">
        <v>100905</v>
      </c>
      <c r="B175" s="1173">
        <v>46107</v>
      </c>
      <c r="C175" s="1174">
        <v>102687.34</v>
      </c>
      <c r="D175" s="1211">
        <f>IF(ISNUMBER(LOOKUP("XS",Requête1[[#This Row],[titre]])),VLOOKUP(Requête1[[#This Row],[titre]],'[5]REFERENCES DE VALO PROCEDURE'!F$9:G$22,2,),VLOOKUP(Requête1[[#This Row],[titre]],Lignes_détenues!A:B,2,))</f>
        <v>102687.34</v>
      </c>
      <c r="E175" s="280">
        <f>Requête1[[#This Row],[PRICER]]-Requête1[[#This Row],[valo]]</f>
        <v>0</v>
      </c>
    </row>
    <row r="176" spans="1:5" hidden="1" x14ac:dyDescent="0.25">
      <c r="A176" s="1172">
        <v>201350</v>
      </c>
      <c r="B176" s="1173">
        <v>46107</v>
      </c>
      <c r="C176" s="1174">
        <v>128536.96000000001</v>
      </c>
      <c r="D176" s="1211">
        <f>IF(ISNUMBER(LOOKUP("XS",Requête1[[#This Row],[titre]])),VLOOKUP(Requête1[[#This Row],[titre]],'[5]REFERENCES DE VALO PROCEDURE'!F$9:G$22,2,),VLOOKUP(Requête1[[#This Row],[titre]],Lignes_détenues!A:B,2,))</f>
        <v>128536.96000000001</v>
      </c>
      <c r="E176" s="280">
        <f>Requête1[[#This Row],[PRICER]]-Requête1[[#This Row],[valo]]</f>
        <v>0</v>
      </c>
    </row>
    <row r="177" spans="1:5" hidden="1" x14ac:dyDescent="0.25">
      <c r="A177" s="1172">
        <v>201379</v>
      </c>
      <c r="B177" s="1173">
        <v>46107</v>
      </c>
      <c r="C177" s="1174">
        <v>106526.24</v>
      </c>
      <c r="D177" s="1211">
        <f>IF(ISNUMBER(LOOKUP("XS",Requête1[[#This Row],[titre]])),VLOOKUP(Requête1[[#This Row],[titre]],'[5]REFERENCES DE VALO PROCEDURE'!F$9:G$22,2,),VLOOKUP(Requête1[[#This Row],[titre]],Lignes_détenues!A:B,2,))</f>
        <v>106526.24</v>
      </c>
      <c r="E177" s="280">
        <f>Requête1[[#This Row],[PRICER]]-Requête1[[#This Row],[valo]]</f>
        <v>0</v>
      </c>
    </row>
    <row r="178" spans="1:5" hidden="1" x14ac:dyDescent="0.25">
      <c r="A178" s="1615">
        <v>201386</v>
      </c>
      <c r="B178" s="1173">
        <v>46107</v>
      </c>
      <c r="C178" s="1174">
        <v>109588.02</v>
      </c>
      <c r="D178" s="1211">
        <f>IF(ISNUMBER(LOOKUP("XS",Requête1[[#This Row],[titre]])),VLOOKUP(Requête1[[#This Row],[titre]],'[5]REFERENCES DE VALO PROCEDURE'!F$9:G$22,2,),VLOOKUP(Requête1[[#This Row],[titre]],Lignes_détenues!A:B,2,))</f>
        <v>109588.02</v>
      </c>
      <c r="E178" s="280">
        <f>Requête1[[#This Row],[PRICER]]-Requête1[[#This Row],[valo]]</f>
        <v>0</v>
      </c>
    </row>
    <row r="179" spans="1:5" hidden="1" x14ac:dyDescent="0.25">
      <c r="A179" s="1172">
        <v>201408</v>
      </c>
      <c r="B179" s="1173">
        <v>46107</v>
      </c>
      <c r="C179" s="1174">
        <v>102968.99</v>
      </c>
      <c r="D179" s="1211">
        <f>IF(ISNUMBER(LOOKUP("XS",Requête1[[#This Row],[titre]])),VLOOKUP(Requête1[[#This Row],[titre]],'[5]REFERENCES DE VALO PROCEDURE'!F$9:G$22,2,),VLOOKUP(Requête1[[#This Row],[titre]],Lignes_détenues!A:B,2,))</f>
        <v>102968.99</v>
      </c>
      <c r="E179" s="280">
        <f>Requête1[[#This Row],[PRICER]]-Requête1[[#This Row],[valo]]</f>
        <v>0</v>
      </c>
    </row>
    <row r="180" spans="1:5" hidden="1" x14ac:dyDescent="0.25">
      <c r="A180" s="1172">
        <v>201409</v>
      </c>
      <c r="B180" s="1173">
        <v>46107</v>
      </c>
      <c r="C180" s="1174">
        <v>116872.7</v>
      </c>
      <c r="D180" s="1211">
        <f>IF(ISNUMBER(LOOKUP("XS",Requête1[[#This Row],[titre]])),VLOOKUP(Requête1[[#This Row],[titre]],'[5]REFERENCES DE VALO PROCEDURE'!F$9:G$22,2,),VLOOKUP(Requête1[[#This Row],[titre]],Lignes_détenues!A:B,2,))</f>
        <v>116872.7</v>
      </c>
      <c r="E180" s="280">
        <f>Requête1[[#This Row],[PRICER]]-Requête1[[#This Row],[valo]]</f>
        <v>0</v>
      </c>
    </row>
    <row r="181" spans="1:5" hidden="1" x14ac:dyDescent="0.25">
      <c r="A181" s="1172">
        <v>201426</v>
      </c>
      <c r="B181" s="1173">
        <v>46107</v>
      </c>
      <c r="C181" s="1174">
        <v>103892.54</v>
      </c>
      <c r="D181" s="1211">
        <f>IF(ISNUMBER(LOOKUP("XS",Requête1[[#This Row],[titre]])),VLOOKUP(Requête1[[#This Row],[titre]],'[5]REFERENCES DE VALO PROCEDURE'!F$9:G$22,2,),VLOOKUP(Requête1[[#This Row],[titre]],Lignes_détenues!A:B,2,))</f>
        <v>103892.54</v>
      </c>
      <c r="E181" s="280">
        <f>Requête1[[#This Row],[PRICER]]-Requête1[[#This Row],[valo]]</f>
        <v>0</v>
      </c>
    </row>
    <row r="182" spans="1:5" hidden="1" x14ac:dyDescent="0.25">
      <c r="A182" s="1172">
        <v>201432</v>
      </c>
      <c r="B182" s="1173">
        <v>46107</v>
      </c>
      <c r="C182" s="1174">
        <v>102711.77</v>
      </c>
      <c r="D182" s="1211">
        <f>IF(ISNUMBER(LOOKUP("XS",Requête1[[#This Row],[titre]])),VLOOKUP(Requête1[[#This Row],[titre]],'[5]REFERENCES DE VALO PROCEDURE'!F$9:G$22,2,),VLOOKUP(Requête1[[#This Row],[titre]],Lignes_détenues!A:B,2,))</f>
        <v>102711.77</v>
      </c>
      <c r="E182" s="280">
        <f>Requête1[[#This Row],[PRICER]]-Requête1[[#This Row],[valo]]</f>
        <v>0</v>
      </c>
    </row>
    <row r="183" spans="1:5" hidden="1" x14ac:dyDescent="0.25">
      <c r="A183" s="1172">
        <v>201465</v>
      </c>
      <c r="B183" s="1173">
        <v>46107</v>
      </c>
      <c r="C183" s="1174">
        <v>103264.75</v>
      </c>
      <c r="D183" s="1211">
        <f>IF(ISNUMBER(LOOKUP("XS",Requête1[[#This Row],[titre]])),VLOOKUP(Requête1[[#This Row],[titre]],'[5]REFERENCES DE VALO PROCEDURE'!F$9:G$22,2,),VLOOKUP(Requête1[[#This Row],[titre]],Lignes_détenues!A:B,2,))</f>
        <v>103264.75</v>
      </c>
      <c r="E183" s="280">
        <f>Requête1[[#This Row],[PRICER]]-Requête1[[#This Row],[valo]]</f>
        <v>0</v>
      </c>
    </row>
    <row r="184" spans="1:5" hidden="1" x14ac:dyDescent="0.25">
      <c r="A184" s="1172">
        <v>201516</v>
      </c>
      <c r="B184" s="1173">
        <v>46107</v>
      </c>
      <c r="C184" s="1174">
        <v>105825.07</v>
      </c>
      <c r="D184" s="1211">
        <f>IF(ISNUMBER(LOOKUP("XS",Requête1[[#This Row],[titre]])),VLOOKUP(Requête1[[#This Row],[titre]],'[5]REFERENCES DE VALO PROCEDURE'!F$9:G$22,2,),VLOOKUP(Requête1[[#This Row],[titre]],Lignes_détenues!A:B,2,))</f>
        <v>105825.07</v>
      </c>
      <c r="E184" s="280">
        <f>Requête1[[#This Row],[PRICER]]-Requête1[[#This Row],[valo]]</f>
        <v>0</v>
      </c>
    </row>
    <row r="185" spans="1:5" hidden="1" x14ac:dyDescent="0.25">
      <c r="A185" s="1172">
        <v>201519</v>
      </c>
      <c r="B185" s="1173">
        <v>46107</v>
      </c>
      <c r="C185" s="1174">
        <v>103798.39</v>
      </c>
      <c r="D185" s="1211">
        <f>IF(ISNUMBER(LOOKUP("XS",Requête1[[#This Row],[titre]])),VLOOKUP(Requête1[[#This Row],[titre]],'[5]REFERENCES DE VALO PROCEDURE'!F$9:G$22,2,),VLOOKUP(Requête1[[#This Row],[titre]],Lignes_détenues!A:B,2,))</f>
        <v>103798.39</v>
      </c>
      <c r="E185" s="280">
        <f>Requête1[[#This Row],[PRICER]]-Requête1[[#This Row],[valo]]</f>
        <v>0</v>
      </c>
    </row>
    <row r="186" spans="1:5" hidden="1" x14ac:dyDescent="0.25">
      <c r="A186" s="1172">
        <v>201524</v>
      </c>
      <c r="B186" s="1173">
        <v>46107</v>
      </c>
      <c r="C186" s="1174">
        <v>107277.75999999999</v>
      </c>
      <c r="D186" s="1211">
        <f>IF(ISNUMBER(LOOKUP("XS",Requête1[[#This Row],[titre]])),VLOOKUP(Requête1[[#This Row],[titre]],'[5]REFERENCES DE VALO PROCEDURE'!F$9:G$22,2,),VLOOKUP(Requête1[[#This Row],[titre]],Lignes_détenues!A:B,2,))</f>
        <v>107277.75999999999</v>
      </c>
      <c r="E186" s="280">
        <f>Requête1[[#This Row],[PRICER]]-Requête1[[#This Row],[valo]]</f>
        <v>0</v>
      </c>
    </row>
    <row r="187" spans="1:5" hidden="1" x14ac:dyDescent="0.25">
      <c r="A187" s="1172">
        <v>201535</v>
      </c>
      <c r="B187" s="1173">
        <v>46107</v>
      </c>
      <c r="C187" s="1174">
        <v>104077.63</v>
      </c>
      <c r="D187" s="1211">
        <f>IF(ISNUMBER(LOOKUP("XS",Requête1[[#This Row],[titre]])),VLOOKUP(Requête1[[#This Row],[titre]],'[5]REFERENCES DE VALO PROCEDURE'!F$9:G$22,2,),VLOOKUP(Requête1[[#This Row],[titre]],Lignes_détenues!A:B,2,))</f>
        <v>104077.63</v>
      </c>
      <c r="E187" s="280">
        <f>Requête1[[#This Row],[PRICER]]-Requête1[[#This Row],[valo]]</f>
        <v>0</v>
      </c>
    </row>
    <row r="188" spans="1:5" hidden="1" x14ac:dyDescent="0.25">
      <c r="A188" s="1615">
        <v>201536</v>
      </c>
      <c r="B188" s="1173">
        <v>46107</v>
      </c>
      <c r="C188" s="1174">
        <v>104301.43</v>
      </c>
      <c r="D188" s="1211">
        <f>IF(ISNUMBER(LOOKUP("XS",Requête1[[#This Row],[titre]])),VLOOKUP(Requête1[[#This Row],[titre]],'[5]REFERENCES DE VALO PROCEDURE'!F$9:G$22,2,),VLOOKUP(Requête1[[#This Row],[titre]],Lignes_détenues!A:B,2,))</f>
        <v>104301.43</v>
      </c>
      <c r="E188" s="280">
        <f>Requête1[[#This Row],[PRICER]]-Requête1[[#This Row],[valo]]</f>
        <v>0</v>
      </c>
    </row>
    <row r="189" spans="1:5" hidden="1" x14ac:dyDescent="0.25">
      <c r="A189" s="1172">
        <v>201551</v>
      </c>
      <c r="B189" s="1173">
        <v>46107</v>
      </c>
      <c r="C189" s="1174">
        <v>101218.51</v>
      </c>
      <c r="D189" s="1211">
        <f>IF(ISNUMBER(LOOKUP("XS",Requête1[[#This Row],[titre]])),VLOOKUP(Requête1[[#This Row],[titre]],'[5]REFERENCES DE VALO PROCEDURE'!F$9:G$22,2,),VLOOKUP(Requête1[[#This Row],[titre]],Lignes_détenues!A:B,2,))</f>
        <v>101218.51</v>
      </c>
      <c r="E189" s="280">
        <f>Requête1[[#This Row],[PRICER]]-Requête1[[#This Row],[valo]]</f>
        <v>0</v>
      </c>
    </row>
    <row r="190" spans="1:5" hidden="1" x14ac:dyDescent="0.25">
      <c r="A190" s="1172">
        <v>201552</v>
      </c>
      <c r="B190" s="1173">
        <v>46107</v>
      </c>
      <c r="C190" s="1174">
        <v>100916.01</v>
      </c>
      <c r="D190" s="1211">
        <f>IF(ISNUMBER(LOOKUP("XS",Requête1[[#This Row],[titre]])),VLOOKUP(Requête1[[#This Row],[titre]],'[5]REFERENCES DE VALO PROCEDURE'!F$9:G$22,2,),VLOOKUP(Requête1[[#This Row],[titre]],Lignes_détenues!A:B,2,))</f>
        <v>100916.01</v>
      </c>
      <c r="E190" s="280">
        <f>Requête1[[#This Row],[PRICER]]-Requête1[[#This Row],[valo]]</f>
        <v>0</v>
      </c>
    </row>
    <row r="191" spans="1:5" hidden="1" x14ac:dyDescent="0.25">
      <c r="A191" s="1615">
        <v>201553</v>
      </c>
      <c r="B191" s="1173">
        <v>46107</v>
      </c>
      <c r="C191" s="1174">
        <v>102747.07</v>
      </c>
      <c r="D191" s="1211">
        <f>IF(ISNUMBER(LOOKUP("XS",Requête1[[#This Row],[titre]])),VLOOKUP(Requête1[[#This Row],[titre]],'[5]REFERENCES DE VALO PROCEDURE'!F$9:G$22,2,),VLOOKUP(Requête1[[#This Row],[titre]],Lignes_détenues!A:B,2,))</f>
        <v>102747.07</v>
      </c>
      <c r="E191" s="280">
        <f>Requête1[[#This Row],[PRICER]]-Requête1[[#This Row],[valo]]</f>
        <v>0</v>
      </c>
    </row>
    <row r="192" spans="1:5" hidden="1" x14ac:dyDescent="0.25">
      <c r="A192" s="1172">
        <v>201554</v>
      </c>
      <c r="B192" s="1173">
        <v>46107</v>
      </c>
      <c r="C192" s="1174">
        <v>99823.07</v>
      </c>
      <c r="D192" s="1211">
        <f>IF(ISNUMBER(LOOKUP("XS",Requête1[[#This Row],[titre]])),VLOOKUP(Requête1[[#This Row],[titre]],'[5]REFERENCES DE VALO PROCEDURE'!F$9:G$22,2,),VLOOKUP(Requête1[[#This Row],[titre]],Lignes_détenues!A:B,2,))</f>
        <v>99823.07</v>
      </c>
      <c r="E192" s="280">
        <f>Requête1[[#This Row],[PRICER]]-Requête1[[#This Row],[valo]]</f>
        <v>0</v>
      </c>
    </row>
    <row r="193" spans="1:5" hidden="1" x14ac:dyDescent="0.25">
      <c r="A193" s="1172">
        <v>201627</v>
      </c>
      <c r="B193" s="1173">
        <v>46107</v>
      </c>
      <c r="C193" s="1174">
        <v>93301.88</v>
      </c>
      <c r="D193" s="1211">
        <f>IF(ISNUMBER(LOOKUP("XS",Requête1[[#This Row],[titre]])),VLOOKUP(Requête1[[#This Row],[titre]],'[5]REFERENCES DE VALO PROCEDURE'!F$9:G$22,2,),VLOOKUP(Requête1[[#This Row],[titre]],Lignes_détenues!A:B,2,))</f>
        <v>93301.88</v>
      </c>
      <c r="E193" s="280">
        <f>Requête1[[#This Row],[PRICER]]-Requête1[[#This Row],[valo]]</f>
        <v>0</v>
      </c>
    </row>
    <row r="194" spans="1:5" hidden="1" x14ac:dyDescent="0.25">
      <c r="A194" s="1172">
        <v>201630</v>
      </c>
      <c r="B194" s="1173">
        <v>46107</v>
      </c>
      <c r="C194" s="1174">
        <v>101889.38</v>
      </c>
      <c r="D194" s="1211">
        <f>IF(ISNUMBER(LOOKUP("XS",Requête1[[#This Row],[titre]])),VLOOKUP(Requête1[[#This Row],[titre]],'[5]REFERENCES DE VALO PROCEDURE'!F$9:G$22,2,),VLOOKUP(Requête1[[#This Row],[titre]],Lignes_détenues!A:B,2,))</f>
        <v>101889.38</v>
      </c>
      <c r="E194" s="280">
        <f>Requête1[[#This Row],[PRICER]]-Requête1[[#This Row],[valo]]</f>
        <v>0</v>
      </c>
    </row>
    <row r="195" spans="1:5" hidden="1" x14ac:dyDescent="0.25">
      <c r="A195" s="1172">
        <v>201631</v>
      </c>
      <c r="B195" s="1173">
        <v>46107</v>
      </c>
      <c r="C195" s="1174">
        <v>96839.79</v>
      </c>
      <c r="D195" s="1211">
        <f>IF(ISNUMBER(LOOKUP("XS",Requête1[[#This Row],[titre]])),VLOOKUP(Requête1[[#This Row],[titre]],'[5]REFERENCES DE VALO PROCEDURE'!F$9:G$22,2,),VLOOKUP(Requête1[[#This Row],[titre]],Lignes_détenues!A:B,2,))</f>
        <v>96839.79</v>
      </c>
      <c r="E195" s="280">
        <f>Requête1[[#This Row],[PRICER]]-Requête1[[#This Row],[valo]]</f>
        <v>0</v>
      </c>
    </row>
    <row r="196" spans="1:5" hidden="1" x14ac:dyDescent="0.25">
      <c r="A196" s="1172">
        <v>201646</v>
      </c>
      <c r="B196" s="1173">
        <v>46107</v>
      </c>
      <c r="C196" s="1174">
        <v>93413.67</v>
      </c>
      <c r="D196" s="1211">
        <f>IF(ISNUMBER(LOOKUP("XS",Requête1[[#This Row],[titre]])),VLOOKUP(Requête1[[#This Row],[titre]],'[5]REFERENCES DE VALO PROCEDURE'!F$9:G$22,2,),VLOOKUP(Requête1[[#This Row],[titre]],Lignes_détenues!A:B,2,))</f>
        <v>93413.67</v>
      </c>
      <c r="E196" s="280">
        <f>Requête1[[#This Row],[PRICER]]-Requête1[[#This Row],[valo]]</f>
        <v>0</v>
      </c>
    </row>
    <row r="197" spans="1:5" hidden="1" x14ac:dyDescent="0.25">
      <c r="A197" s="1172">
        <v>201651</v>
      </c>
      <c r="B197" s="1173">
        <v>46107</v>
      </c>
      <c r="C197" s="1174">
        <v>98028.17</v>
      </c>
      <c r="D197" s="1211">
        <f>IF(ISNUMBER(LOOKUP("XS",Requête1[[#This Row],[titre]])),VLOOKUP(Requête1[[#This Row],[titre]],'[5]REFERENCES DE VALO PROCEDURE'!F$9:G$22,2,),VLOOKUP(Requête1[[#This Row],[titre]],Lignes_détenues!A:B,2,))</f>
        <v>98028.17</v>
      </c>
      <c r="E197" s="280">
        <f>Requête1[[#This Row],[PRICER]]-Requête1[[#This Row],[valo]]</f>
        <v>0</v>
      </c>
    </row>
    <row r="198" spans="1:5" hidden="1" x14ac:dyDescent="0.25">
      <c r="A198" s="1172">
        <v>201657</v>
      </c>
      <c r="B198" s="1173">
        <v>46107</v>
      </c>
      <c r="C198" s="1174">
        <v>100621.83</v>
      </c>
      <c r="D198" s="1211">
        <f>IF(ISNUMBER(LOOKUP("XS",Requête1[[#This Row],[titre]])),VLOOKUP(Requête1[[#This Row],[titre]],'[5]REFERENCES DE VALO PROCEDURE'!F$9:G$22,2,),VLOOKUP(Requête1[[#This Row],[titre]],Lignes_détenues!A:B,2,))</f>
        <v>100621.83</v>
      </c>
      <c r="E198" s="280">
        <f>Requête1[[#This Row],[PRICER]]-Requête1[[#This Row],[valo]]</f>
        <v>0</v>
      </c>
    </row>
    <row r="199" spans="1:5" hidden="1" x14ac:dyDescent="0.25">
      <c r="A199" s="1172">
        <v>201671</v>
      </c>
      <c r="B199" s="1173">
        <v>46107</v>
      </c>
      <c r="C199" s="1174">
        <v>101115.84</v>
      </c>
      <c r="D199" s="1211">
        <f>IF(ISNUMBER(LOOKUP("XS",Requête1[[#This Row],[titre]])),VLOOKUP(Requête1[[#This Row],[titre]],'[5]REFERENCES DE VALO PROCEDURE'!F$9:G$22,2,),VLOOKUP(Requête1[[#This Row],[titre]],Lignes_détenues!A:B,2,))</f>
        <v>101115.84</v>
      </c>
      <c r="E199" s="280">
        <f>Requête1[[#This Row],[PRICER]]-Requête1[[#This Row],[valo]]</f>
        <v>0</v>
      </c>
    </row>
    <row r="200" spans="1:5" hidden="1" x14ac:dyDescent="0.25">
      <c r="A200" s="1172">
        <v>201677</v>
      </c>
      <c r="B200" s="1173">
        <v>46107</v>
      </c>
      <c r="C200" s="1174">
        <v>97766.94</v>
      </c>
      <c r="D200" s="1211">
        <f>IF(ISNUMBER(LOOKUP("XS",Requête1[[#This Row],[titre]])),VLOOKUP(Requête1[[#This Row],[titre]],'[5]REFERENCES DE VALO PROCEDURE'!F$9:G$22,2,),VLOOKUP(Requête1[[#This Row],[titre]],Lignes_détenues!A:B,2,))</f>
        <v>97766.94</v>
      </c>
      <c r="E200" s="280">
        <f>Requête1[[#This Row],[PRICER]]-Requête1[[#This Row],[valo]]</f>
        <v>0</v>
      </c>
    </row>
    <row r="201" spans="1:5" hidden="1" x14ac:dyDescent="0.25">
      <c r="A201" s="1172">
        <v>201678</v>
      </c>
      <c r="B201" s="1173">
        <v>46107</v>
      </c>
      <c r="C201" s="1174">
        <v>100148.26</v>
      </c>
      <c r="D201" s="1211">
        <f>IF(ISNUMBER(LOOKUP("XS",Requête1[[#This Row],[titre]])),VLOOKUP(Requête1[[#This Row],[titre]],'[5]REFERENCES DE VALO PROCEDURE'!F$9:G$22,2,),VLOOKUP(Requête1[[#This Row],[titre]],Lignes_détenues!A:B,2,))</f>
        <v>100148.26</v>
      </c>
      <c r="E201" s="280">
        <f>Requête1[[#This Row],[PRICER]]-Requête1[[#This Row],[valo]]</f>
        <v>0</v>
      </c>
    </row>
    <row r="202" spans="1:5" hidden="1" x14ac:dyDescent="0.25">
      <c r="A202" s="1172">
        <v>201791</v>
      </c>
      <c r="B202" s="1173">
        <v>46107</v>
      </c>
      <c r="C202" s="1174">
        <v>106082.12</v>
      </c>
      <c r="D202" s="1211">
        <f>IF(ISNUMBER(LOOKUP("XS",Requête1[[#This Row],[titre]])),VLOOKUP(Requête1[[#This Row],[titre]],'[5]REFERENCES DE VALO PROCEDURE'!F$9:G$22,2,),VLOOKUP(Requête1[[#This Row],[titre]],Lignes_détenues!A:B,2,))</f>
        <v>106082.12</v>
      </c>
      <c r="E202" s="280">
        <f>Requête1[[#This Row],[PRICER]]-Requête1[[#This Row],[valo]]</f>
        <v>0</v>
      </c>
    </row>
    <row r="203" spans="1:5" hidden="1" x14ac:dyDescent="0.25">
      <c r="A203" s="1172">
        <v>201792</v>
      </c>
      <c r="B203" s="1173">
        <v>46107</v>
      </c>
      <c r="C203" s="1174">
        <v>109666.73</v>
      </c>
      <c r="D203" s="1211">
        <f>IF(ISNUMBER(LOOKUP("XS",Requête1[[#This Row],[titre]])),VLOOKUP(Requête1[[#This Row],[titre]],'[5]REFERENCES DE VALO PROCEDURE'!F$9:G$22,2,),VLOOKUP(Requête1[[#This Row],[titre]],Lignes_détenues!A:B,2,))</f>
        <v>109666.73</v>
      </c>
      <c r="E203" s="280">
        <f>Requête1[[#This Row],[PRICER]]-Requête1[[#This Row],[valo]]</f>
        <v>0</v>
      </c>
    </row>
    <row r="204" spans="1:5" hidden="1" x14ac:dyDescent="0.25">
      <c r="A204" s="1172">
        <v>201793</v>
      </c>
      <c r="B204" s="1173">
        <v>46107</v>
      </c>
      <c r="C204" s="1174">
        <v>117477.5</v>
      </c>
      <c r="D204" s="1211">
        <f>IF(ISNUMBER(LOOKUP("XS",Requête1[[#This Row],[titre]])),VLOOKUP(Requête1[[#This Row],[titre]],'[5]REFERENCES DE VALO PROCEDURE'!F$9:G$22,2,),VLOOKUP(Requête1[[#This Row],[titre]],Lignes_détenues!A:B,2,))</f>
        <v>117477.5</v>
      </c>
      <c r="E204" s="280">
        <f>Requête1[[#This Row],[PRICER]]-Requête1[[#This Row],[valo]]</f>
        <v>0</v>
      </c>
    </row>
    <row r="205" spans="1:5" hidden="1" x14ac:dyDescent="0.25">
      <c r="A205" s="1172">
        <v>201808</v>
      </c>
      <c r="B205" s="1173">
        <v>46107</v>
      </c>
      <c r="C205" s="1174">
        <v>117645.67</v>
      </c>
      <c r="D205" s="1211">
        <f>IF(ISNUMBER(LOOKUP("XS",Requête1[[#This Row],[titre]])),VLOOKUP(Requête1[[#This Row],[titre]],'[5]REFERENCES DE VALO PROCEDURE'!F$9:G$22,2,),VLOOKUP(Requête1[[#This Row],[titre]],Lignes_détenues!A:B,2,))</f>
        <v>117645.67</v>
      </c>
      <c r="E205" s="280">
        <f>Requête1[[#This Row],[PRICER]]-Requête1[[#This Row],[valo]]</f>
        <v>0</v>
      </c>
    </row>
    <row r="206" spans="1:5" hidden="1" x14ac:dyDescent="0.25">
      <c r="A206" s="1172">
        <v>201809</v>
      </c>
      <c r="B206" s="1173">
        <v>46107</v>
      </c>
      <c r="C206" s="1174">
        <v>124961.74</v>
      </c>
      <c r="D206" s="1211">
        <f>IF(ISNUMBER(LOOKUP("XS",Requête1[[#This Row],[titre]])),VLOOKUP(Requête1[[#This Row],[titre]],'[5]REFERENCES DE VALO PROCEDURE'!F$9:G$22,2,),VLOOKUP(Requête1[[#This Row],[titre]],Lignes_détenues!A:B,2,))</f>
        <v>124961.74</v>
      </c>
      <c r="E206" s="280">
        <f>Requête1[[#This Row],[PRICER]]-Requête1[[#This Row],[valo]]</f>
        <v>0</v>
      </c>
    </row>
    <row r="207" spans="1:5" hidden="1" x14ac:dyDescent="0.25">
      <c r="A207" s="1172">
        <v>201821</v>
      </c>
      <c r="B207" s="1173">
        <v>46107</v>
      </c>
      <c r="C207" s="1174">
        <v>110899.66</v>
      </c>
      <c r="D207" s="1211">
        <f>IF(ISNUMBER(LOOKUP("XS",Requête1[[#This Row],[titre]])),VLOOKUP(Requête1[[#This Row],[titre]],'[5]REFERENCES DE VALO PROCEDURE'!F$9:G$22,2,),VLOOKUP(Requête1[[#This Row],[titre]],Lignes_détenues!A:B,2,))</f>
        <v>110899.66</v>
      </c>
      <c r="E207" s="280">
        <f>Requête1[[#This Row],[PRICER]]-Requête1[[#This Row],[valo]]</f>
        <v>0</v>
      </c>
    </row>
    <row r="208" spans="1:5" hidden="1" x14ac:dyDescent="0.25">
      <c r="A208" s="1172">
        <v>201822</v>
      </c>
      <c r="B208" s="1173">
        <v>46107</v>
      </c>
      <c r="C208" s="1174">
        <v>113106.03</v>
      </c>
      <c r="D208" s="1211">
        <f>IF(ISNUMBER(LOOKUP("XS",Requête1[[#This Row],[titre]])),VLOOKUP(Requête1[[#This Row],[titre]],'[5]REFERENCES DE VALO PROCEDURE'!F$9:G$22,2,),VLOOKUP(Requête1[[#This Row],[titre]],Lignes_détenues!A:B,2,))</f>
        <v>113106.03</v>
      </c>
      <c r="E208" s="280">
        <f>Requête1[[#This Row],[PRICER]]-Requête1[[#This Row],[valo]]</f>
        <v>0</v>
      </c>
    </row>
    <row r="209" spans="1:8" hidden="1" x14ac:dyDescent="0.25">
      <c r="A209" s="1172">
        <v>152053</v>
      </c>
      <c r="B209" s="1173">
        <v>46107</v>
      </c>
      <c r="C209" s="1174">
        <v>102966.86</v>
      </c>
      <c r="D209" s="1211">
        <f>IF(ISNUMBER(LOOKUP("XS",Requête1[[#This Row],[titre]])),VLOOKUP(Requête1[[#This Row],[titre]],'[5]REFERENCES DE VALO PROCEDURE'!F$9:G$22,2,),VLOOKUP(Requête1[[#This Row],[titre]],Lignes_détenues!A:B,2,))</f>
        <v>102966.86</v>
      </c>
      <c r="E209" s="280">
        <f>Requête1[[#This Row],[PRICER]]-Requête1[[#This Row],[valo]]</f>
        <v>0</v>
      </c>
    </row>
    <row r="210" spans="1:8" hidden="1" x14ac:dyDescent="0.25">
      <c r="A210" s="1172">
        <v>152236</v>
      </c>
      <c r="B210" s="1173">
        <v>46107</v>
      </c>
      <c r="C210" s="1174">
        <v>102814.14</v>
      </c>
      <c r="D210" s="1211">
        <f>IF(ISNUMBER(LOOKUP("XS",Requête1[[#This Row],[titre]])),VLOOKUP(Requête1[[#This Row],[titre]],'[5]REFERENCES DE VALO PROCEDURE'!F$9:G$22,2,),VLOOKUP(Requête1[[#This Row],[titre]],Lignes_détenues!A:B,2,))</f>
        <v>102814.14</v>
      </c>
      <c r="E210" s="280">
        <f>Requête1[[#This Row],[PRICER]]-Requête1[[#This Row],[valo]]</f>
        <v>0</v>
      </c>
    </row>
    <row r="211" spans="1:8" hidden="1" x14ac:dyDescent="0.25">
      <c r="A211" s="1172">
        <v>152397</v>
      </c>
      <c r="B211" s="1173">
        <v>46107</v>
      </c>
      <c r="C211" s="1174">
        <v>101629.55</v>
      </c>
      <c r="D211" s="1211">
        <f>IF(ISNUMBER(LOOKUP("XS",Requête1[[#This Row],[titre]])),VLOOKUP(Requête1[[#This Row],[titre]],'[5]REFERENCES DE VALO PROCEDURE'!F$9:G$22,2,),VLOOKUP(Requête1[[#This Row],[titre]],Lignes_détenues!A:B,2,))</f>
        <v>101629.55</v>
      </c>
      <c r="E211" s="280">
        <f>Requête1[[#This Row],[PRICER]]-Requête1[[#This Row],[valo]]</f>
        <v>0</v>
      </c>
      <c r="H211" s="453"/>
    </row>
    <row r="212" spans="1:8" hidden="1" x14ac:dyDescent="0.25">
      <c r="A212" s="1172">
        <v>152398</v>
      </c>
      <c r="B212" s="1173">
        <v>46107</v>
      </c>
      <c r="C212" s="1174">
        <v>100677.75</v>
      </c>
      <c r="D212" s="1211">
        <f>IF(ISNUMBER(LOOKUP("XS",Requête1[[#This Row],[titre]])),VLOOKUP(Requête1[[#This Row],[titre]],'[5]REFERENCES DE VALO PROCEDURE'!F$9:G$22,2,),VLOOKUP(Requête1[[#This Row],[titre]],Lignes_détenues!A:B,2,))</f>
        <v>100677.75</v>
      </c>
      <c r="E212" s="280">
        <f>Requête1[[#This Row],[PRICER]]-Requête1[[#This Row],[valo]]</f>
        <v>0</v>
      </c>
    </row>
    <row r="213" spans="1:8" hidden="1" x14ac:dyDescent="0.25">
      <c r="A213" s="1172">
        <v>152444</v>
      </c>
      <c r="B213" s="1173">
        <v>46107</v>
      </c>
      <c r="C213" s="1174">
        <v>99283.34</v>
      </c>
      <c r="D213" s="1211">
        <f>IF(ISNUMBER(LOOKUP("XS",Requête1[[#This Row],[titre]])),VLOOKUP(Requête1[[#This Row],[titre]],'[5]REFERENCES DE VALO PROCEDURE'!F$9:G$22,2,),VLOOKUP(Requête1[[#This Row],[titre]],Lignes_détenues!A:B,2,))</f>
        <v>99283.34</v>
      </c>
      <c r="E213" s="280">
        <f>Requête1[[#This Row],[PRICER]]-Requête1[[#This Row],[valo]]</f>
        <v>0</v>
      </c>
    </row>
    <row r="214" spans="1:8" hidden="1" x14ac:dyDescent="0.25">
      <c r="A214" s="1172">
        <v>152473</v>
      </c>
      <c r="B214" s="1173">
        <v>46107</v>
      </c>
      <c r="C214" s="1174">
        <v>99674.1</v>
      </c>
      <c r="D214" s="1211">
        <f>IF(ISNUMBER(LOOKUP("XS",Requête1[[#This Row],[titre]])),VLOOKUP(Requête1[[#This Row],[titre]],'[5]REFERENCES DE VALO PROCEDURE'!F$9:G$22,2,),VLOOKUP(Requête1[[#This Row],[titre]],Lignes_détenues!A:B,2,))</f>
        <v>99674.1</v>
      </c>
      <c r="E214" s="280">
        <f>Requête1[[#This Row],[PRICER]]-Requête1[[#This Row],[valo]]</f>
        <v>0</v>
      </c>
    </row>
    <row r="215" spans="1:8" hidden="1" x14ac:dyDescent="0.25">
      <c r="A215" s="1172">
        <v>152504</v>
      </c>
      <c r="B215" s="1173">
        <v>46107</v>
      </c>
      <c r="C215" s="1174">
        <v>102127.55</v>
      </c>
      <c r="D215" s="1211">
        <f>IF(ISNUMBER(LOOKUP("XS",Requête1[[#This Row],[titre]])),VLOOKUP(Requête1[[#This Row],[titre]],'[5]REFERENCES DE VALO PROCEDURE'!F$9:G$22,2,),VLOOKUP(Requête1[[#This Row],[titre]],Lignes_détenues!A:B,2,))</f>
        <v>102127.55</v>
      </c>
      <c r="E215" s="280">
        <f>Requête1[[#This Row],[PRICER]]-Requête1[[#This Row],[valo]]</f>
        <v>0</v>
      </c>
    </row>
    <row r="216" spans="1:8" hidden="1" x14ac:dyDescent="0.25">
      <c r="A216" s="1172">
        <v>152806</v>
      </c>
      <c r="B216" s="1173">
        <v>46107</v>
      </c>
      <c r="C216" s="1174">
        <v>103658.03</v>
      </c>
      <c r="D216" s="1211">
        <f>IF(ISNUMBER(LOOKUP("XS",Requête1[[#This Row],[titre]])),VLOOKUP(Requête1[[#This Row],[titre]],'[5]REFERENCES DE VALO PROCEDURE'!F$9:G$22,2,),VLOOKUP(Requête1[[#This Row],[titre]],Lignes_détenues!A:B,2,))</f>
        <v>103658.03</v>
      </c>
      <c r="E216" s="280">
        <f>Requête1[[#This Row],[PRICER]]-Requête1[[#This Row],[valo]]</f>
        <v>0</v>
      </c>
    </row>
    <row r="217" spans="1:8" x14ac:dyDescent="0.25">
      <c r="A217" s="1172">
        <v>200792</v>
      </c>
      <c r="B217" s="1173">
        <v>46107</v>
      </c>
      <c r="C217" s="1174">
        <v>104678.47</v>
      </c>
      <c r="D217" s="1211">
        <f>IF(ISNUMBER(LOOKUP("XS",Requête1[[#This Row],[titre]])),VLOOKUP(Requête1[[#This Row],[titre]],'[5]REFERENCES DE VALO PROCEDURE'!F$9:G$22,2,),VLOOKUP(Requête1[[#This Row],[titre]],Lignes_détenues!A:B,2,))</f>
        <v>104678.47</v>
      </c>
      <c r="E217" s="280">
        <f>Requête1[[#This Row],[PRICER]]-Requête1[[#This Row],[valo]]</f>
        <v>0</v>
      </c>
    </row>
    <row r="218" spans="1:8" hidden="1" x14ac:dyDescent="0.25">
      <c r="A218" s="1172">
        <v>200802</v>
      </c>
      <c r="B218" s="1173">
        <v>46107</v>
      </c>
      <c r="C218" s="1174">
        <v>111437.15</v>
      </c>
      <c r="D218" s="1211">
        <f>IF(ISNUMBER(LOOKUP("XS",Requête1[[#This Row],[titre]])),VLOOKUP(Requête1[[#This Row],[titre]],'[5]REFERENCES DE VALO PROCEDURE'!F$9:G$22,2,),VLOOKUP(Requête1[[#This Row],[titre]],Lignes_détenues!A:B,2,))</f>
        <v>111437.15</v>
      </c>
      <c r="E218" s="280">
        <f>Requête1[[#This Row],[PRICER]]-Requête1[[#This Row],[valo]]</f>
        <v>0</v>
      </c>
    </row>
    <row r="219" spans="1:8" hidden="1" x14ac:dyDescent="0.25">
      <c r="A219" s="1172">
        <v>200999</v>
      </c>
      <c r="B219" s="1173">
        <v>46107</v>
      </c>
      <c r="C219" s="1174">
        <v>109326.29</v>
      </c>
      <c r="D219" s="1211">
        <f>IF(ISNUMBER(LOOKUP("XS",Requête1[[#This Row],[titre]])),VLOOKUP(Requête1[[#This Row],[titre]],'[5]REFERENCES DE VALO PROCEDURE'!F$9:G$22,2,),VLOOKUP(Requête1[[#This Row],[titre]],Lignes_détenues!A:B,2,))</f>
        <v>109326.29</v>
      </c>
      <c r="E219" s="280">
        <f>Requête1[[#This Row],[PRICER]]-Requête1[[#This Row],[valo]]</f>
        <v>0</v>
      </c>
    </row>
    <row r="220" spans="1:8" hidden="1" x14ac:dyDescent="0.25">
      <c r="A220" s="1615">
        <v>201093</v>
      </c>
      <c r="B220" s="1173">
        <v>46107</v>
      </c>
      <c r="C220" s="1174">
        <v>106055.85</v>
      </c>
      <c r="D220" s="1211">
        <f>IF(ISNUMBER(LOOKUP("XS",Requête1[[#This Row],[titre]])),VLOOKUP(Requête1[[#This Row],[titre]],'[5]REFERENCES DE VALO PROCEDURE'!F$9:G$22,2,),VLOOKUP(Requête1[[#This Row],[titre]],Lignes_détenues!A:B,2,))</f>
        <v>106055.85</v>
      </c>
      <c r="E220" s="280">
        <f>Requête1[[#This Row],[PRICER]]-Requête1[[#This Row],[valo]]</f>
        <v>0</v>
      </c>
    </row>
    <row r="221" spans="1:8" hidden="1" x14ac:dyDescent="0.25">
      <c r="A221" s="1172">
        <v>201317</v>
      </c>
      <c r="B221" s="1173">
        <v>46107</v>
      </c>
      <c r="C221" s="1174">
        <v>113281.95</v>
      </c>
      <c r="D221" s="1211">
        <f>IF(ISNUMBER(LOOKUP("XS",Requête1[[#This Row],[titre]])),VLOOKUP(Requête1[[#This Row],[titre]],'[5]REFERENCES DE VALO PROCEDURE'!F$9:G$22,2,),VLOOKUP(Requête1[[#This Row],[titre]],Lignes_détenues!A:B,2,))</f>
        <v>113281.95</v>
      </c>
      <c r="E221" s="280">
        <f>Requête1[[#This Row],[PRICER]]-Requête1[[#This Row],[valo]]</f>
        <v>0</v>
      </c>
    </row>
    <row r="222" spans="1:8" hidden="1" x14ac:dyDescent="0.25">
      <c r="A222" s="1172">
        <v>201328</v>
      </c>
      <c r="B222" s="1173">
        <v>46107</v>
      </c>
      <c r="C222" s="1174">
        <v>124072.29</v>
      </c>
      <c r="D222" s="1211">
        <f>IF(ISNUMBER(LOOKUP("XS",Requête1[[#This Row],[titre]])),VLOOKUP(Requête1[[#This Row],[titre]],'[5]REFERENCES DE VALO PROCEDURE'!F$9:G$22,2,),VLOOKUP(Requête1[[#This Row],[titre]],Lignes_détenues!A:B,2,))</f>
        <v>124072.29</v>
      </c>
      <c r="E222" s="280">
        <f>Requête1[[#This Row],[PRICER]]-Requête1[[#This Row],[valo]]</f>
        <v>0</v>
      </c>
    </row>
    <row r="223" spans="1:8" hidden="1" x14ac:dyDescent="0.25">
      <c r="A223" s="1172">
        <v>201331</v>
      </c>
      <c r="B223" s="1173">
        <v>46107</v>
      </c>
      <c r="C223" s="1174">
        <v>111592.68</v>
      </c>
      <c r="D223" s="1211">
        <f>IF(ISNUMBER(LOOKUP("XS",Requête1[[#This Row],[titre]])),VLOOKUP(Requête1[[#This Row],[titre]],'[5]REFERENCES DE VALO PROCEDURE'!F$9:G$22,2,),VLOOKUP(Requête1[[#This Row],[titre]],Lignes_détenues!A:B,2,))</f>
        <v>111592.68</v>
      </c>
      <c r="E223" s="280">
        <f>Requête1[[#This Row],[PRICER]]-Requête1[[#This Row],[valo]]</f>
        <v>0</v>
      </c>
    </row>
    <row r="224" spans="1:8" hidden="1" x14ac:dyDescent="0.25">
      <c r="A224" s="1172">
        <v>201344</v>
      </c>
      <c r="B224" s="1173">
        <v>46107</v>
      </c>
      <c r="C224" s="1174">
        <v>118716.1</v>
      </c>
      <c r="D224" s="1211">
        <f>IF(ISNUMBER(LOOKUP("XS",Requête1[[#This Row],[titre]])),VLOOKUP(Requête1[[#This Row],[titre]],'[5]REFERENCES DE VALO PROCEDURE'!F$9:G$22,2,),VLOOKUP(Requête1[[#This Row],[titre]],Lignes_détenues!A:B,2,))</f>
        <v>118716.1</v>
      </c>
      <c r="E224" s="280">
        <f>Requête1[[#This Row],[PRICER]]-Requête1[[#This Row],[valo]]</f>
        <v>0</v>
      </c>
    </row>
    <row r="225" spans="1:5" hidden="1" x14ac:dyDescent="0.25">
      <c r="A225" s="1172" t="s">
        <v>2689</v>
      </c>
      <c r="B225" s="1173">
        <v>46107</v>
      </c>
      <c r="C225" s="1174">
        <v>1.0005999999999999</v>
      </c>
      <c r="D225" s="1211">
        <f>IF(ISNUMBER(LOOKUP("XS",Requête1[[#This Row],[titre]])),VLOOKUP(Requête1[[#This Row],[titre]],'[5]REFERENCES DE VALO PROCEDURE'!F$9:G$22,2,),VLOOKUP(Requête1[[#This Row],[titre]],Lignes_détenues!A:B,2,))</f>
        <v>1.0005999999999999</v>
      </c>
      <c r="E225" s="280">
        <f>Requête1[[#This Row],[PRICER]]-Requête1[[#This Row],[valo]]</f>
        <v>0</v>
      </c>
    </row>
    <row r="226" spans="1:5" hidden="1" x14ac:dyDescent="0.25">
      <c r="A226" s="1172" t="s">
        <v>2691</v>
      </c>
      <c r="B226" s="1173">
        <v>46107</v>
      </c>
      <c r="C226" s="1174">
        <v>12.48</v>
      </c>
      <c r="D226" s="1211">
        <f>IF(ISNUMBER(LOOKUP("XS",Requête1[[#This Row],[titre]])),VLOOKUP(Requête1[[#This Row],[titre]],'[5]REFERENCES DE VALO PROCEDURE'!F$9:G$22,2,),VLOOKUP(Requête1[[#This Row],[titre]],Lignes_détenues!A:B,2,))</f>
        <v>12.48</v>
      </c>
      <c r="E226" s="280">
        <f>Requête1[[#This Row],[PRICER]]-Requête1[[#This Row],[valo]]</f>
        <v>0</v>
      </c>
    </row>
    <row r="227" spans="1:5" hidden="1" x14ac:dyDescent="0.25">
      <c r="A227" s="1172" t="s">
        <v>2574</v>
      </c>
      <c r="B227" s="1173">
        <v>46107</v>
      </c>
      <c r="C227" s="1174">
        <v>6.7584</v>
      </c>
      <c r="D227" s="1211">
        <f>IF(ISNUMBER(LOOKUP("XS",Requête1[[#This Row],[titre]])),VLOOKUP(Requête1[[#This Row],[titre]],'[5]REFERENCES DE VALO PROCEDURE'!F$9:G$22,2,),VLOOKUP(Requête1[[#This Row],[titre]],Lignes_détenues!A:B,2,))</f>
        <v>6.7584</v>
      </c>
      <c r="E227" s="280">
        <f>Requête1[[#This Row],[PRICER]]-Requête1[[#This Row],[valo]]</f>
        <v>0</v>
      </c>
    </row>
    <row r="228" spans="1:5" hidden="1" x14ac:dyDescent="0.25">
      <c r="A228" s="1172" t="s">
        <v>2573</v>
      </c>
      <c r="B228" s="1173">
        <v>46107</v>
      </c>
      <c r="C228" s="1174">
        <v>5.8619999999999998E-2</v>
      </c>
      <c r="D228" s="1211">
        <f>IF(ISNUMBER(LOOKUP("XS",Requête1[[#This Row],[titre]])),VLOOKUP(Requête1[[#This Row],[titre]],'[5]REFERENCES DE VALO PROCEDURE'!F$9:G$22,2,),VLOOKUP(Requête1[[#This Row],[titre]],Lignes_détenues!A:B,2,))</f>
        <v>5.8619999999999998E-2</v>
      </c>
      <c r="E228" s="280">
        <f>Requête1[[#This Row],[PRICER]]-Requête1[[#This Row],[valo]]</f>
        <v>0</v>
      </c>
    </row>
    <row r="229" spans="1:5" hidden="1" x14ac:dyDescent="0.25">
      <c r="A229" s="1172" t="s">
        <v>2572</v>
      </c>
      <c r="B229" s="1173">
        <v>46107</v>
      </c>
      <c r="C229" s="1174">
        <v>9.3188999999999993</v>
      </c>
      <c r="D229" s="1211">
        <f>IF(ISNUMBER(LOOKUP("XS",Requête1[[#This Row],[titre]])),VLOOKUP(Requête1[[#This Row],[titre]],'[5]REFERENCES DE VALO PROCEDURE'!F$9:G$22,2,),VLOOKUP(Requête1[[#This Row],[titre]],Lignes_détenues!A:B,2,))</f>
        <v>9.3188999999999993</v>
      </c>
      <c r="E229" s="280">
        <f>Requête1[[#This Row],[PRICER]]-Requête1[[#This Row],[valo]]</f>
        <v>0</v>
      </c>
    </row>
    <row r="230" spans="1:5" hidden="1" x14ac:dyDescent="0.25">
      <c r="A230" s="1172" t="s">
        <v>2571</v>
      </c>
      <c r="B230" s="1173">
        <v>46107</v>
      </c>
      <c r="C230" s="1174">
        <v>10.8057</v>
      </c>
      <c r="D230" s="1211">
        <f>IF(ISNUMBER(LOOKUP("XS",Requête1[[#This Row],[titre]])),VLOOKUP(Requête1[[#This Row],[titre]],'[5]REFERENCES DE VALO PROCEDURE'!F$9:G$22,2,),VLOOKUP(Requête1[[#This Row],[titre]],Lignes_détenues!A:B,2,))</f>
        <v>10.8057</v>
      </c>
      <c r="E230" s="280">
        <f>Requête1[[#This Row],[PRICER]]-Requête1[[#This Row],[valo]]</f>
        <v>0</v>
      </c>
    </row>
    <row r="231" spans="1:5" hidden="1" x14ac:dyDescent="0.25">
      <c r="A231" s="1172" t="s">
        <v>2575</v>
      </c>
      <c r="B231" s="1173">
        <v>46107</v>
      </c>
      <c r="C231" s="1174">
        <v>3.1903999999999999</v>
      </c>
      <c r="D231" s="1211">
        <f>IF(ISNUMBER(LOOKUP("XS",Requête1[[#This Row],[titre]])),VLOOKUP(Requête1[[#This Row],[titre]],'[5]REFERENCES DE VALO PROCEDURE'!F$9:G$22,2,),VLOOKUP(Requête1[[#This Row],[titre]],Lignes_détenues!A:B,2,))</f>
        <v>3.1903999999999999</v>
      </c>
      <c r="E231" s="280">
        <f>Requête1[[#This Row],[PRICER]]-Requête1[[#This Row],[valo]]</f>
        <v>0</v>
      </c>
    </row>
    <row r="232" spans="1:5" hidden="1" x14ac:dyDescent="0.25">
      <c r="A232" s="1172" t="s">
        <v>3261</v>
      </c>
      <c r="B232" s="1173">
        <v>46107</v>
      </c>
      <c r="C232" s="1174">
        <v>868.92</v>
      </c>
      <c r="D232" s="1211">
        <f>IF(ISNUMBER(LOOKUP("XS",Requête1[[#This Row],[titre]])),VLOOKUP(Requête1[[#This Row],[titre]],'[5]REFERENCES DE VALO PROCEDURE'!F$9:G$22,2,),VLOOKUP(Requête1[[#This Row],[titre]],Lignes_détenues!A:B,2,))</f>
        <v>868.92</v>
      </c>
      <c r="E232" s="280">
        <f>Requête1[[#This Row],[PRICER]]-Requête1[[#This Row],[valo]]</f>
        <v>0</v>
      </c>
    </row>
    <row r="233" spans="1:5" hidden="1" x14ac:dyDescent="0.25">
      <c r="A233" s="1172" t="s">
        <v>3262</v>
      </c>
      <c r="B233" s="1173">
        <v>46107</v>
      </c>
      <c r="C233" s="1174">
        <v>926.18</v>
      </c>
      <c r="D233" s="1211">
        <f>IF(ISNUMBER(LOOKUP("XS",Requête1[[#This Row],[titre]])),VLOOKUP(Requête1[[#This Row],[titre]],'[5]REFERENCES DE VALO PROCEDURE'!F$9:G$22,2,),VLOOKUP(Requête1[[#This Row],[titre]],Lignes_détenues!A:B,2,))</f>
        <v>926.18</v>
      </c>
      <c r="E233" s="280">
        <f>Requête1[[#This Row],[PRICER]]-Requête1[[#This Row],[valo]]</f>
        <v>0</v>
      </c>
    </row>
    <row r="234" spans="1:5" hidden="1" x14ac:dyDescent="0.25">
      <c r="A234" s="1172" t="s">
        <v>3263</v>
      </c>
      <c r="B234" s="1173">
        <v>46107</v>
      </c>
      <c r="C234" s="1174">
        <v>1013.48</v>
      </c>
      <c r="D234" s="1211">
        <f>IF(ISNUMBER(LOOKUP("XS",Requête1[[#This Row],[titre]])),VLOOKUP(Requête1[[#This Row],[titre]],'[5]REFERENCES DE VALO PROCEDURE'!F$9:G$22,2,),VLOOKUP(Requête1[[#This Row],[titre]],Lignes_détenues!A:B,2,))</f>
        <v>1013.48</v>
      </c>
      <c r="E234" s="280">
        <f>Requête1[[#This Row],[PRICER]]-Requête1[[#This Row],[valo]]</f>
        <v>0</v>
      </c>
    </row>
    <row r="235" spans="1:5" hidden="1" x14ac:dyDescent="0.25">
      <c r="A235" s="1172" t="s">
        <v>3264</v>
      </c>
      <c r="B235" s="1173">
        <v>46107</v>
      </c>
      <c r="C235" s="1174">
        <v>872.71</v>
      </c>
      <c r="D235" s="1211">
        <f>IF(ISNUMBER(LOOKUP("XS",Requête1[[#This Row],[titre]])),VLOOKUP(Requête1[[#This Row],[titre]],'[5]REFERENCES DE VALO PROCEDURE'!F$9:G$22,2,),VLOOKUP(Requête1[[#This Row],[titre]],Lignes_détenues!A:B,2,))</f>
        <v>872.71</v>
      </c>
      <c r="E235" s="280">
        <f>Requête1[[#This Row],[PRICER]]-Requête1[[#This Row],[valo]]</f>
        <v>0</v>
      </c>
    </row>
    <row r="236" spans="1:5" hidden="1" x14ac:dyDescent="0.25">
      <c r="A236" s="1172" t="s">
        <v>3265</v>
      </c>
      <c r="B236" s="1173">
        <v>46107</v>
      </c>
      <c r="C236" s="1174">
        <v>1064.01</v>
      </c>
      <c r="D236" s="1211">
        <f>IF(ISNUMBER(LOOKUP("XS",Requête1[[#This Row],[titre]])),VLOOKUP(Requête1[[#This Row],[titre]],'[5]REFERENCES DE VALO PROCEDURE'!F$9:G$22,2,),VLOOKUP(Requête1[[#This Row],[titre]],Lignes_détenues!A:B,2,))</f>
        <v>1064.01</v>
      </c>
      <c r="E236" s="280">
        <f>Requête1[[#This Row],[PRICER]]-Requête1[[#This Row],[valo]]</f>
        <v>0</v>
      </c>
    </row>
    <row r="237" spans="1:5" hidden="1" x14ac:dyDescent="0.25">
      <c r="A237" s="1172" t="s">
        <v>3266</v>
      </c>
      <c r="B237" s="1173">
        <v>46107</v>
      </c>
      <c r="C237" s="1174">
        <v>1021.23</v>
      </c>
      <c r="D237" s="1211">
        <f>IF(ISNUMBER(LOOKUP("XS",Requête1[[#This Row],[titre]])),VLOOKUP(Requête1[[#This Row],[titre]],'[5]REFERENCES DE VALO PROCEDURE'!F$9:G$22,2,),VLOOKUP(Requête1[[#This Row],[titre]],Lignes_détenues!A:B,2,))</f>
        <v>1021.23</v>
      </c>
      <c r="E237" s="280">
        <f>Requête1[[#This Row],[PRICER]]-Requête1[[#This Row],[valo]]</f>
        <v>0</v>
      </c>
    </row>
    <row r="238" spans="1:5" hidden="1" x14ac:dyDescent="0.25">
      <c r="A238" s="1172" t="s">
        <v>3267</v>
      </c>
      <c r="B238" s="1173">
        <v>46107</v>
      </c>
      <c r="C238" s="1174">
        <v>967.46</v>
      </c>
      <c r="D238" s="1211">
        <f>IF(ISNUMBER(LOOKUP("XS",Requête1[[#This Row],[titre]])),VLOOKUP(Requête1[[#This Row],[titre]],'[5]REFERENCES DE VALO PROCEDURE'!F$9:G$22,2,),VLOOKUP(Requête1[[#This Row],[titre]],Lignes_détenues!A:B,2,))</f>
        <v>967.46</v>
      </c>
      <c r="E238" s="280">
        <f>Requête1[[#This Row],[PRICER]]-Requête1[[#This Row],[valo]]</f>
        <v>0</v>
      </c>
    </row>
    <row r="239" spans="1:5" hidden="1" x14ac:dyDescent="0.25">
      <c r="A239" s="1172" t="s">
        <v>3268</v>
      </c>
      <c r="B239" s="1173">
        <v>46107</v>
      </c>
      <c r="C239" s="1174">
        <v>933.51</v>
      </c>
      <c r="D239" s="1211">
        <f>IF(ISNUMBER(LOOKUP("XS",Requête1[[#This Row],[titre]])),VLOOKUP(Requête1[[#This Row],[titre]],'[5]REFERENCES DE VALO PROCEDURE'!F$9:G$22,2,),VLOOKUP(Requête1[[#This Row],[titre]],Lignes_détenues!A:B,2,))</f>
        <v>933.51</v>
      </c>
      <c r="E239" s="280">
        <f>Requête1[[#This Row],[PRICER]]-Requête1[[#This Row],[valo]]</f>
        <v>0</v>
      </c>
    </row>
    <row r="240" spans="1:5" hidden="1" x14ac:dyDescent="0.25">
      <c r="A240" s="1172" t="s">
        <v>3269</v>
      </c>
      <c r="B240" s="1173">
        <v>46107</v>
      </c>
      <c r="C240" s="1174">
        <v>1072.3399999999999</v>
      </c>
      <c r="D240" s="1211">
        <f>IF(ISNUMBER(LOOKUP("XS",Requête1[[#This Row],[titre]])),VLOOKUP(Requête1[[#This Row],[titre]],'[5]REFERENCES DE VALO PROCEDURE'!F$9:G$22,2,),VLOOKUP(Requête1[[#This Row],[titre]],Lignes_détenues!A:B,2,))</f>
        <v>1072.3399999999999</v>
      </c>
      <c r="E240" s="280">
        <f>Requête1[[#This Row],[PRICER]]-Requête1[[#This Row],[valo]]</f>
        <v>0</v>
      </c>
    </row>
    <row r="241" spans="1:5" hidden="1" x14ac:dyDescent="0.25">
      <c r="A241" s="1172" t="s">
        <v>3270</v>
      </c>
      <c r="B241" s="1173">
        <v>46107</v>
      </c>
      <c r="C241" s="1174">
        <v>1095.71</v>
      </c>
      <c r="D241" s="1211">
        <f>IF(ISNUMBER(LOOKUP("XS",Requête1[[#This Row],[titre]])),VLOOKUP(Requête1[[#This Row],[titre]],'[5]REFERENCES DE VALO PROCEDURE'!F$9:G$22,2,),VLOOKUP(Requête1[[#This Row],[titre]],Lignes_détenues!A:B,2,))</f>
        <v>1095.71</v>
      </c>
      <c r="E241" s="280">
        <f>Requête1[[#This Row],[PRICER]]-Requête1[[#This Row],[valo]]</f>
        <v>0</v>
      </c>
    </row>
    <row r="242" spans="1:5" hidden="1" x14ac:dyDescent="0.25">
      <c r="A242" s="1172" t="s">
        <v>3271</v>
      </c>
      <c r="B242" s="1173">
        <v>46107</v>
      </c>
      <c r="C242" s="1174">
        <v>1043.8399999999999</v>
      </c>
      <c r="D242" s="1211">
        <f>IF(ISNUMBER(LOOKUP("XS",Requête1[[#This Row],[titre]])),VLOOKUP(Requête1[[#This Row],[titre]],'[5]REFERENCES DE VALO PROCEDURE'!F$9:G$22,2,),VLOOKUP(Requête1[[#This Row],[titre]],Lignes_détenues!A:B,2,))</f>
        <v>1043.8399999999999</v>
      </c>
      <c r="E242" s="280">
        <f>Requête1[[#This Row],[PRICER]]-Requête1[[#This Row],[valo]]</f>
        <v>0</v>
      </c>
    </row>
    <row r="243" spans="1:5" hidden="1" x14ac:dyDescent="0.25">
      <c r="A243" s="1172" t="s">
        <v>3272</v>
      </c>
      <c r="B243" s="1173">
        <v>46107</v>
      </c>
      <c r="C243" s="1174">
        <v>946.04</v>
      </c>
      <c r="D243" s="1211">
        <f>IF(ISNUMBER(LOOKUP("XS",Requête1[[#This Row],[titre]])),VLOOKUP(Requête1[[#This Row],[titre]],'[5]REFERENCES DE VALO PROCEDURE'!F$9:G$22,2,),VLOOKUP(Requête1[[#This Row],[titre]],Lignes_détenues!A:B,2,))</f>
        <v>946.04</v>
      </c>
      <c r="E243" s="280">
        <f>Requête1[[#This Row],[PRICER]]-Requête1[[#This Row],[valo]]</f>
        <v>0</v>
      </c>
    </row>
    <row r="244" spans="1:5" hidden="1" x14ac:dyDescent="0.25">
      <c r="A244" s="1172" t="s">
        <v>3273</v>
      </c>
      <c r="B244" s="1173">
        <v>46107</v>
      </c>
      <c r="C244" s="1174">
        <v>1035.6199999999999</v>
      </c>
      <c r="D244" s="1211">
        <f>IF(ISNUMBER(LOOKUP("XS",Requête1[[#This Row],[titre]])),VLOOKUP(Requête1[[#This Row],[titre]],'[5]REFERENCES DE VALO PROCEDURE'!F$9:G$22,2,),VLOOKUP(Requête1[[#This Row],[titre]],Lignes_détenues!A:B,2,))</f>
        <v>1035.6199999999999</v>
      </c>
      <c r="E244" s="280">
        <f>Requête1[[#This Row],[PRICER]]-Requête1[[#This Row],[valo]]</f>
        <v>0</v>
      </c>
    </row>
    <row r="245" spans="1:5" hidden="1" x14ac:dyDescent="0.25">
      <c r="A245" s="1172" t="s">
        <v>3274</v>
      </c>
      <c r="B245" s="1173">
        <v>46107</v>
      </c>
      <c r="C245" s="1174">
        <v>1040.17</v>
      </c>
      <c r="D245" s="1211">
        <f>IF(ISNUMBER(LOOKUP("XS",Requête1[[#This Row],[titre]])),VLOOKUP(Requête1[[#This Row],[titre]],'[5]REFERENCES DE VALO PROCEDURE'!F$9:G$22,2,),VLOOKUP(Requête1[[#This Row],[titre]],Lignes_détenues!A:B,2,))</f>
        <v>1040.17</v>
      </c>
      <c r="E245" s="280">
        <f>Requête1[[#This Row],[PRICER]]-Requête1[[#This Row],[valo]]</f>
        <v>0</v>
      </c>
    </row>
    <row r="246" spans="1:5" hidden="1" x14ac:dyDescent="0.25">
      <c r="A246" s="1615" t="s">
        <v>3275</v>
      </c>
      <c r="B246" s="1173">
        <v>46107</v>
      </c>
      <c r="C246" s="1174">
        <v>1044.74</v>
      </c>
      <c r="D246" s="1211">
        <f>IF(ISNUMBER(LOOKUP("XS",Requête1[[#This Row],[titre]])),VLOOKUP(Requête1[[#This Row],[titre]],'[5]REFERENCES DE VALO PROCEDURE'!F$9:G$22,2,),VLOOKUP(Requête1[[#This Row],[titre]],Lignes_détenues!A:B,2,))</f>
        <v>1044.74</v>
      </c>
      <c r="E246" s="280">
        <f>Requête1[[#This Row],[PRICER]]-Requête1[[#This Row],[valo]]</f>
        <v>0</v>
      </c>
    </row>
    <row r="247" spans="1:5" hidden="1" x14ac:dyDescent="0.25">
      <c r="A247" s="1172" t="s">
        <v>3247</v>
      </c>
      <c r="B247" s="1173">
        <v>46107</v>
      </c>
      <c r="C247" s="1174">
        <v>711.22</v>
      </c>
      <c r="D247" s="1211">
        <f>IF(ISNUMBER(LOOKUP("XS",Requête1[[#This Row],[titre]])),VLOOKUP(Requête1[[#This Row],[titre]],'[5]REFERENCES DE VALO PROCEDURE'!F$9:G$22,2,),VLOOKUP(Requête1[[#This Row],[titre]],Lignes_détenues!A:B,2,))</f>
        <v>711.22</v>
      </c>
      <c r="E247" s="280">
        <f>Requête1[[#This Row],[PRICER]]-Requête1[[#This Row],[valo]]</f>
        <v>0</v>
      </c>
    </row>
    <row r="248" spans="1:5" hidden="1" x14ac:dyDescent="0.25">
      <c r="A248" s="1172">
        <v>9677</v>
      </c>
      <c r="B248" s="1173">
        <v>46107</v>
      </c>
      <c r="C248" s="1174">
        <v>99474.17</v>
      </c>
      <c r="D248" s="1211">
        <f>IF(ISNUMBER(LOOKUP("XS",Requête1[[#This Row],[titre]])),VLOOKUP(Requête1[[#This Row],[titre]],'[5]REFERENCES DE VALO PROCEDURE'!F$9:G$22,2,),VLOOKUP(Requête1[[#This Row],[titre]],Lignes_détenues!A:B,2,))</f>
        <v>99474.169901697751</v>
      </c>
      <c r="E248" s="280">
        <f>Requête1[[#This Row],[PRICER]]-Requête1[[#This Row],[valo]]</f>
        <v>-9.8302247351966798E-5</v>
      </c>
    </row>
    <row r="249" spans="1:5" hidden="1" x14ac:dyDescent="0.25">
      <c r="A249" s="1172">
        <v>101029</v>
      </c>
      <c r="B249" s="1173">
        <v>46107</v>
      </c>
      <c r="C249" s="1174">
        <v>100268.41</v>
      </c>
      <c r="D249" s="1211">
        <f>IF(ISNUMBER(LOOKUP("XS",Requête1[[#This Row],[titre]])),VLOOKUP(Requête1[[#This Row],[titre]],'[5]REFERENCES DE VALO PROCEDURE'!F$9:G$22,2,),VLOOKUP(Requête1[[#This Row],[titre]],Lignes_détenues!A:B,2,))</f>
        <v>100268.40985860923</v>
      </c>
      <c r="E249" s="280">
        <f>Requête1[[#This Row],[PRICER]]-Requête1[[#This Row],[valo]]</f>
        <v>-1.4139077393338084E-4</v>
      </c>
    </row>
    <row r="250" spans="1:5" hidden="1" x14ac:dyDescent="0.25">
      <c r="A250" s="1172">
        <v>201836</v>
      </c>
      <c r="B250" s="1173">
        <v>46107</v>
      </c>
      <c r="C250" s="1174">
        <v>115684.86</v>
      </c>
      <c r="D250" s="1211">
        <f>IF(ISNUMBER(LOOKUP("XS",Requête1[[#This Row],[titre]])),VLOOKUP(Requête1[[#This Row],[titre]],'[5]REFERENCES DE VALO PROCEDURE'!F$9:G$22,2,),VLOOKUP(Requête1[[#This Row],[titre]],Lignes_détenues!A:B,2,))</f>
        <v>115684.85980903669</v>
      </c>
      <c r="E250" s="280">
        <f>Requête1[[#This Row],[PRICER]]-Requête1[[#This Row],[valo]]</f>
        <v>-1.9096331379842013E-4</v>
      </c>
    </row>
    <row r="251" spans="1:5" hidden="1" x14ac:dyDescent="0.25">
      <c r="A251" s="1172">
        <v>9686</v>
      </c>
      <c r="B251" s="1173">
        <v>46107</v>
      </c>
      <c r="C251" s="1174">
        <v>101609.8</v>
      </c>
      <c r="D251" s="1211">
        <f>IF(ISNUMBER(LOOKUP("XS",Requête1[[#This Row],[titre]])),VLOOKUP(Requête1[[#This Row],[titre]],'[5]REFERENCES DE VALO PROCEDURE'!F$9:G$22,2,),VLOOKUP(Requête1[[#This Row],[titre]],Lignes_détenues!A:B,2,))</f>
        <v>101609.79979999999</v>
      </c>
      <c r="E251" s="280">
        <f>Requête1[[#This Row],[PRICER]]-Requête1[[#This Row],[valo]]</f>
        <v>-2.0000000949949026E-4</v>
      </c>
    </row>
    <row r="252" spans="1:5" hidden="1" x14ac:dyDescent="0.25">
      <c r="A252" s="1172">
        <v>152880</v>
      </c>
      <c r="B252" s="1173">
        <v>46107</v>
      </c>
      <c r="C252" s="1174">
        <v>100115.35</v>
      </c>
      <c r="D252" s="1211">
        <f>IF(ISNUMBER(LOOKUP("XS",Requête1[[#This Row],[titre]])),VLOOKUP(Requête1[[#This Row],[titre]],'[5]REFERENCES DE VALO PROCEDURE'!F$9:G$22,2,),VLOOKUP(Requête1[[#This Row],[titre]],Lignes_détenues!A:B,2,))</f>
        <v>100115.34977119842</v>
      </c>
      <c r="E252" s="280">
        <f>Requête1[[#This Row],[PRICER]]-Requête1[[#This Row],[valo]]</f>
        <v>-2.2880158212501556E-4</v>
      </c>
    </row>
    <row r="253" spans="1:5" hidden="1" x14ac:dyDescent="0.25">
      <c r="A253" s="1172">
        <v>153108</v>
      </c>
      <c r="B253" s="1173">
        <v>46107</v>
      </c>
      <c r="C253" s="1174">
        <v>101307.83</v>
      </c>
      <c r="D253" s="1211">
        <f>IF(ISNUMBER(LOOKUP("XS",Requête1[[#This Row],[titre]])),VLOOKUP(Requête1[[#This Row],[titre]],'[5]REFERENCES DE VALO PROCEDURE'!F$9:G$22,2,),VLOOKUP(Requête1[[#This Row],[titre]],Lignes_détenues!A:B,2,))</f>
        <v>101307.82972736377</v>
      </c>
      <c r="E253" s="280">
        <f>Requête1[[#This Row],[PRICER]]-Requête1[[#This Row],[valo]]</f>
        <v>-2.7263622905593365E-4</v>
      </c>
    </row>
    <row r="254" spans="1:5" hidden="1" x14ac:dyDescent="0.25">
      <c r="A254" s="1172">
        <v>201913</v>
      </c>
      <c r="B254" s="1173">
        <v>46107</v>
      </c>
      <c r="C254" s="1174">
        <v>101087.84</v>
      </c>
      <c r="D254" s="1211">
        <f>IF(ISNUMBER(LOOKUP("XS",Requête1[[#This Row],[titre]])),VLOOKUP(Requête1[[#This Row],[titre]],'[5]REFERENCES DE VALO PROCEDURE'!F$9:G$22,2,),VLOOKUP(Requête1[[#This Row],[titre]],Lignes_détenues!A:B,2,))</f>
        <v>101087.83968711425</v>
      </c>
      <c r="E254" s="280">
        <f>Requête1[[#This Row],[PRICER]]-Requête1[[#This Row],[valo]]</f>
        <v>-3.1288574973586947E-4</v>
      </c>
    </row>
    <row r="255" spans="1:5" hidden="1" x14ac:dyDescent="0.25">
      <c r="A255" s="1172">
        <v>153131</v>
      </c>
      <c r="B255" s="1173">
        <v>46107</v>
      </c>
      <c r="C255" s="1174">
        <v>100057.59</v>
      </c>
      <c r="D255" s="1211">
        <f>IF(ISNUMBER(LOOKUP("XS",Requête1[[#This Row],[titre]])),VLOOKUP(Requête1[[#This Row],[titre]],'[5]REFERENCES DE VALO PROCEDURE'!F$9:G$22,2,),VLOOKUP(Requête1[[#This Row],[titre]],Lignes_détenues!A:B,2,))</f>
        <v>100057.58966355656</v>
      </c>
      <c r="E255" s="280">
        <f>Requête1[[#This Row],[PRICER]]-Requête1[[#This Row],[valo]]</f>
        <v>-3.3644343784544617E-4</v>
      </c>
    </row>
    <row r="256" spans="1:5" hidden="1" x14ac:dyDescent="0.25">
      <c r="A256" s="1172">
        <v>9644</v>
      </c>
      <c r="B256" s="1173">
        <v>46107</v>
      </c>
      <c r="C256" s="1174">
        <v>101781.93</v>
      </c>
      <c r="D256" s="1211">
        <f>IF(ISNUMBER(LOOKUP("XS",Requête1[[#This Row],[titre]])),VLOOKUP(Requête1[[#This Row],[titre]],'[5]REFERENCES DE VALO PROCEDURE'!F$9:G$22,2,),VLOOKUP(Requête1[[#This Row],[titre]],Lignes_détenues!A:B,2,))</f>
        <v>101781.92947686573</v>
      </c>
      <c r="E256" s="280">
        <f>Requête1[[#This Row],[PRICER]]-Requête1[[#This Row],[valo]]</f>
        <v>-5.2313426567707211E-4</v>
      </c>
    </row>
    <row r="257" spans="1:5" hidden="1" x14ac:dyDescent="0.25">
      <c r="A257" s="1172">
        <v>152932</v>
      </c>
      <c r="B257" s="1173">
        <v>46107</v>
      </c>
      <c r="C257" s="1174">
        <v>103247.8</v>
      </c>
      <c r="D257" s="1211">
        <f>IF(ISNUMBER(LOOKUP("XS",Requête1[[#This Row],[titre]])),VLOOKUP(Requête1[[#This Row],[titre]],'[5]REFERENCES DE VALO PROCEDURE'!F$9:G$22,2,),VLOOKUP(Requête1[[#This Row],[titre]],Lignes_détenues!A:B,2,))</f>
        <v>103247.79942706584</v>
      </c>
      <c r="E257" s="280">
        <f>Requête1[[#This Row],[PRICER]]-Requête1[[#This Row],[valo]]</f>
        <v>-5.729341646656394E-4</v>
      </c>
    </row>
    <row r="258" spans="1:5" hidden="1" x14ac:dyDescent="0.25">
      <c r="A258" s="1172">
        <v>101032</v>
      </c>
      <c r="B258" s="1173">
        <v>46107</v>
      </c>
      <c r="C258" s="1174">
        <v>99618.86</v>
      </c>
      <c r="D258" s="1211">
        <f>IF(ISNUMBER(LOOKUP("XS",Requête1[[#This Row],[titre]])),VLOOKUP(Requête1[[#This Row],[titre]],'[5]REFERENCES DE VALO PROCEDURE'!F$9:G$22,2,),VLOOKUP(Requête1[[#This Row],[titre]],Lignes_détenues!A:B,2,))</f>
        <v>99618.859420788896</v>
      </c>
      <c r="E258" s="280">
        <f>Requête1[[#This Row],[PRICER]]-Requête1[[#This Row],[valo]]</f>
        <v>-5.7921110419556499E-4</v>
      </c>
    </row>
    <row r="259" spans="1:5" hidden="1" x14ac:dyDescent="0.25">
      <c r="A259" s="1172">
        <v>9756</v>
      </c>
      <c r="B259" s="1173">
        <v>46107</v>
      </c>
      <c r="C259" s="1174">
        <v>100067.31</v>
      </c>
      <c r="D259" s="1211">
        <f>IF(ISNUMBER(LOOKUP("XS",Requête1[[#This Row],[titre]])),VLOOKUP(Requête1[[#This Row],[titre]],'[5]REFERENCES DE VALO PROCEDURE'!F$9:G$22,2,),VLOOKUP(Requête1[[#This Row],[titre]],Lignes_détenues!A:B,2,))</f>
        <v>100067.30936324624</v>
      </c>
      <c r="E259" s="280">
        <f>Requête1[[#This Row],[PRICER]]-Requête1[[#This Row],[valo]]</f>
        <v>-6.3675375713501126E-4</v>
      </c>
    </row>
    <row r="260" spans="1:5" hidden="1" x14ac:dyDescent="0.25">
      <c r="A260" s="1172">
        <v>100945</v>
      </c>
      <c r="B260" s="1173">
        <v>46107</v>
      </c>
      <c r="C260" s="1174">
        <v>102897.47</v>
      </c>
      <c r="D260" s="1211">
        <f>IF(ISNUMBER(LOOKUP("XS",Requête1[[#This Row],[titre]])),VLOOKUP(Requête1[[#This Row],[titre]],'[5]REFERENCES DE VALO PROCEDURE'!F$9:G$22,2,),VLOOKUP(Requête1[[#This Row],[titre]],Lignes_détenues!A:B,2,))</f>
        <v>102897.46932408714</v>
      </c>
      <c r="E260" s="280">
        <f>Requête1[[#This Row],[PRICER]]-Requête1[[#This Row],[valo]]</f>
        <v>-6.7591285915113986E-4</v>
      </c>
    </row>
    <row r="261" spans="1:5" hidden="1" x14ac:dyDescent="0.25">
      <c r="A261" s="1172">
        <v>5156</v>
      </c>
      <c r="B261" s="1173">
        <v>46107</v>
      </c>
      <c r="C261" s="1174">
        <v>100728.94</v>
      </c>
      <c r="D261" s="1211">
        <f>IF(ISNUMBER(LOOKUP("XS",Requête1[[#This Row],[titre]])),VLOOKUP(Requête1[[#This Row],[titre]],'[5]REFERENCES DE VALO PROCEDURE'!F$9:G$22,2,),VLOOKUP(Requête1[[#This Row],[titre]],Lignes_détenues!A:B,2,))</f>
        <v>100728.93930821831</v>
      </c>
      <c r="E261" s="280">
        <f>Requête1[[#This Row],[PRICER]]-Requête1[[#This Row],[valo]]</f>
        <v>-6.9178169360384345E-4</v>
      </c>
    </row>
    <row r="262" spans="1:5" hidden="1" x14ac:dyDescent="0.25">
      <c r="A262" s="1172">
        <v>9619</v>
      </c>
      <c r="B262" s="1173">
        <v>46107</v>
      </c>
      <c r="C262" s="1174">
        <v>101678.8</v>
      </c>
      <c r="D262" s="1211">
        <f>IF(ISNUMBER(LOOKUP("XS",Requête1[[#This Row],[titre]])),VLOOKUP(Requête1[[#This Row],[titre]],'[5]REFERENCES DE VALO PROCEDURE'!F$9:G$22,2,),VLOOKUP(Requête1[[#This Row],[titre]],Lignes_détenues!A:B,2,))</f>
        <v>101678.79921675476</v>
      </c>
      <c r="E262" s="280">
        <f>Requête1[[#This Row],[PRICER]]-Requête1[[#This Row],[valo]]</f>
        <v>-7.8324523929040879E-4</v>
      </c>
    </row>
    <row r="263" spans="1:5" hidden="1" x14ac:dyDescent="0.25">
      <c r="A263" s="1172">
        <v>9637</v>
      </c>
      <c r="B263" s="1173">
        <v>46107</v>
      </c>
      <c r="C263" s="1174">
        <v>103234.86</v>
      </c>
      <c r="D263" s="1211">
        <f>IF(ISNUMBER(LOOKUP("XS",Requête1[[#This Row],[titre]])),VLOOKUP(Requête1[[#This Row],[titre]],'[5]REFERENCES DE VALO PROCEDURE'!F$9:G$22,2,),VLOOKUP(Requête1[[#This Row],[titre]],Lignes_détenues!A:B,2,))</f>
        <v>103234.85909810918</v>
      </c>
      <c r="E263" s="280">
        <f>Requête1[[#This Row],[PRICER]]-Requête1[[#This Row],[valo]]</f>
        <v>-9.0189081674907357E-4</v>
      </c>
    </row>
    <row r="264" spans="1:5" hidden="1" x14ac:dyDescent="0.25">
      <c r="A264" s="1172">
        <v>5172</v>
      </c>
      <c r="B264" s="1173">
        <v>46107</v>
      </c>
      <c r="C264" s="1174">
        <v>100811.72</v>
      </c>
      <c r="D264" s="1211">
        <f>IF(ISNUMBER(LOOKUP("XS",Requête1[[#This Row],[titre]])),VLOOKUP(Requête1[[#This Row],[titre]],'[5]REFERENCES DE VALO PROCEDURE'!F$9:G$22,2,),VLOOKUP(Requête1[[#This Row],[titre]],Lignes_détenues!A:B,2,))</f>
        <v>100811.71889407968</v>
      </c>
      <c r="E264" s="280">
        <f>Requête1[[#This Row],[PRICER]]-Requête1[[#This Row],[valo]]</f>
        <v>-1.1059203243348747E-3</v>
      </c>
    </row>
    <row r="265" spans="1:5" hidden="1" x14ac:dyDescent="0.25">
      <c r="A265" s="1172">
        <v>201905</v>
      </c>
      <c r="B265" s="1173">
        <v>46107</v>
      </c>
      <c r="C265" s="1174">
        <v>96998.79</v>
      </c>
      <c r="D265" s="1211">
        <f>IF(ISNUMBER(LOOKUP("XS",Requête1[[#This Row],[titre]])),VLOOKUP(Requête1[[#This Row],[titre]],'[5]REFERENCES DE VALO PROCEDURE'!F$9:G$22,2,),VLOOKUP(Requête1[[#This Row],[titre]],Lignes_détenues!A:B,2,))</f>
        <v>96998.788864512171</v>
      </c>
      <c r="E265" s="280">
        <f>Requête1[[#This Row],[PRICER]]-Requête1[[#This Row],[valo]]</f>
        <v>-1.1354878224665299E-3</v>
      </c>
    </row>
    <row r="266" spans="1:5" hidden="1" x14ac:dyDescent="0.25">
      <c r="A266" s="1172">
        <v>201935</v>
      </c>
      <c r="B266" s="1173">
        <v>46107</v>
      </c>
      <c r="C266" s="1174">
        <v>100101.42</v>
      </c>
      <c r="D266" s="1211">
        <f>IF(ISNUMBER(LOOKUP("XS",Requête1[[#This Row],[titre]])),VLOOKUP(Requête1[[#This Row],[titre]],'[5]REFERENCES DE VALO PROCEDURE'!F$9:G$22,2,),VLOOKUP(Requête1[[#This Row],[titre]],Lignes_détenues!A:B,2,))</f>
        <v>100101.41885414012</v>
      </c>
      <c r="E266" s="280">
        <f>Requête1[[#This Row],[PRICER]]-Requête1[[#This Row],[valo]]</f>
        <v>-1.1458598746685311E-3</v>
      </c>
    </row>
    <row r="267" spans="1:5" hidden="1" x14ac:dyDescent="0.25">
      <c r="A267" s="1172">
        <v>100985</v>
      </c>
      <c r="B267" s="1173">
        <v>46107</v>
      </c>
      <c r="C267" s="1174">
        <v>102726.81</v>
      </c>
      <c r="D267" s="1211">
        <f>IF(ISNUMBER(LOOKUP("XS",Requête1[[#This Row],[titre]])),VLOOKUP(Requête1[[#This Row],[titre]],'[5]REFERENCES DE VALO PROCEDURE'!F$9:G$22,2,),VLOOKUP(Requête1[[#This Row],[titre]],Lignes_détenues!A:B,2,))</f>
        <v>102726.80882377703</v>
      </c>
      <c r="E267" s="280">
        <f>Requête1[[#This Row],[PRICER]]-Requête1[[#This Row],[valo]]</f>
        <v>-1.1762229696614668E-3</v>
      </c>
    </row>
    <row r="268" spans="1:5" hidden="1" x14ac:dyDescent="0.25">
      <c r="A268" s="1172">
        <v>152435</v>
      </c>
      <c r="B268" s="1173">
        <v>46107</v>
      </c>
      <c r="C268" s="1174">
        <v>100914.52</v>
      </c>
      <c r="D268" s="1211">
        <f>IF(ISNUMBER(LOOKUP("XS",Requête1[[#This Row],[titre]])),VLOOKUP(Requête1[[#This Row],[titre]],'[5]REFERENCES DE VALO PROCEDURE'!F$9:G$22,2,),VLOOKUP(Requête1[[#This Row],[titre]],Lignes_détenues!A:B,2,))</f>
        <v>100914.51867810865</v>
      </c>
      <c r="E268" s="280">
        <f>Requête1[[#This Row],[PRICER]]-Requête1[[#This Row],[valo]]</f>
        <v>-1.3218913518358022E-3</v>
      </c>
    </row>
    <row r="269" spans="1:5" hidden="1" x14ac:dyDescent="0.25">
      <c r="A269" s="1172">
        <v>100986</v>
      </c>
      <c r="B269" s="1173">
        <v>46107</v>
      </c>
      <c r="C269" s="1174">
        <v>102718.03</v>
      </c>
      <c r="D269" s="1211">
        <f>IF(ISNUMBER(LOOKUP("XS",Requête1[[#This Row],[titre]])),VLOOKUP(Requête1[[#This Row],[titre]],'[5]REFERENCES DE VALO PROCEDURE'!F$9:G$22,2,),VLOOKUP(Requête1[[#This Row],[titre]],Lignes_détenues!A:B,2,))</f>
        <v>102718.02866462716</v>
      </c>
      <c r="E269" s="280">
        <f>Requête1[[#This Row],[PRICER]]-Requête1[[#This Row],[valo]]</f>
        <v>-1.3353728427318856E-3</v>
      </c>
    </row>
    <row r="270" spans="1:5" hidden="1" x14ac:dyDescent="0.25">
      <c r="A270" s="1172">
        <v>201763</v>
      </c>
      <c r="B270" s="1173">
        <v>46107</v>
      </c>
      <c r="C270" s="1174">
        <v>100626.71</v>
      </c>
      <c r="D270" s="1211">
        <f>IF(ISNUMBER(LOOKUP("XS",Requête1[[#This Row],[titre]])),VLOOKUP(Requête1[[#This Row],[titre]],'[5]REFERENCES DE VALO PROCEDURE'!F$9:G$22,2,),VLOOKUP(Requête1[[#This Row],[titre]],Lignes_détenues!A:B,2,))</f>
        <v>100626.70858941074</v>
      </c>
      <c r="E270" s="280">
        <f>Requête1[[#This Row],[PRICER]]-Requête1[[#This Row],[valo]]</f>
        <v>-1.4105892623774707E-3</v>
      </c>
    </row>
    <row r="271" spans="1:5" hidden="1" x14ac:dyDescent="0.25">
      <c r="A271" s="1172">
        <v>152931</v>
      </c>
      <c r="B271" s="1173">
        <v>46107</v>
      </c>
      <c r="C271" s="1174">
        <v>104083.49</v>
      </c>
      <c r="D271" s="1211">
        <f>IF(ISNUMBER(LOOKUP("XS",Requête1[[#This Row],[titre]])),VLOOKUP(Requête1[[#This Row],[titre]],'[5]REFERENCES DE VALO PROCEDURE'!F$9:G$22,2,),VLOOKUP(Requête1[[#This Row],[titre]],Lignes_détenues!A:B,2,))</f>
        <v>104083.48858034609</v>
      </c>
      <c r="E271" s="280">
        <f>Requête1[[#This Row],[PRICER]]-Requête1[[#This Row],[valo]]</f>
        <v>-1.4196539123076946E-3</v>
      </c>
    </row>
    <row r="272" spans="1:5" hidden="1" x14ac:dyDescent="0.25">
      <c r="A272" s="1172">
        <v>100962</v>
      </c>
      <c r="B272" s="1173">
        <v>46107</v>
      </c>
      <c r="C272" s="1174">
        <v>101638.83</v>
      </c>
      <c r="D272" s="1211">
        <f>IF(ISNUMBER(LOOKUP("XS",Requête1[[#This Row],[titre]])),VLOOKUP(Requête1[[#This Row],[titre]],'[5]REFERENCES DE VALO PROCEDURE'!F$9:G$22,2,),VLOOKUP(Requête1[[#This Row],[titre]],Lignes_détenues!A:B,2,))</f>
        <v>101638.8285766015</v>
      </c>
      <c r="E272" s="280">
        <f>Requête1[[#This Row],[PRICER]]-Requête1[[#This Row],[valo]]</f>
        <v>-1.4233984984457493E-3</v>
      </c>
    </row>
    <row r="273" spans="1:5" hidden="1" x14ac:dyDescent="0.25">
      <c r="A273" s="1172">
        <v>153146</v>
      </c>
      <c r="B273" s="1173">
        <v>46107</v>
      </c>
      <c r="C273" s="1174">
        <v>100560.57</v>
      </c>
      <c r="D273" s="1211">
        <f>IF(ISNUMBER(LOOKUP("XS",Requête1[[#This Row],[titre]])),VLOOKUP(Requête1[[#This Row],[titre]],'[5]REFERENCES DE VALO PROCEDURE'!F$9:G$22,2,),VLOOKUP(Requête1[[#This Row],[titre]],Lignes_détenues!A:B,2,))</f>
        <v>100560.56824347655</v>
      </c>
      <c r="E273" s="280">
        <f>Requête1[[#This Row],[PRICER]]-Requête1[[#This Row],[valo]]</f>
        <v>-1.7565234593348578E-3</v>
      </c>
    </row>
    <row r="274" spans="1:5" hidden="1" x14ac:dyDescent="0.25">
      <c r="A274" s="1172">
        <v>201906</v>
      </c>
      <c r="B274" s="1173">
        <v>46107</v>
      </c>
      <c r="C274" s="1174">
        <v>101506.61</v>
      </c>
      <c r="D274" s="1211">
        <f>IF(ISNUMBER(LOOKUP("XS",Requête1[[#This Row],[titre]])),VLOOKUP(Requête1[[#This Row],[titre]],'[5]REFERENCES DE VALO PROCEDURE'!F$9:G$22,2,),VLOOKUP(Requête1[[#This Row],[titre]],Lignes_détenues!A:B,2,))</f>
        <v>101506.60814773718</v>
      </c>
      <c r="E274" s="280">
        <f>Requête1[[#This Row],[PRICER]]-Requête1[[#This Row],[valo]]</f>
        <v>-1.8522628233768046E-3</v>
      </c>
    </row>
    <row r="275" spans="1:5" hidden="1" x14ac:dyDescent="0.25">
      <c r="A275" s="1172">
        <v>153100</v>
      </c>
      <c r="B275" s="1173">
        <v>46107</v>
      </c>
      <c r="C275" s="1174">
        <v>101532.03</v>
      </c>
      <c r="D275" s="1211">
        <f>IF(ISNUMBER(LOOKUP("XS",Requête1[[#This Row],[titre]])),VLOOKUP(Requête1[[#This Row],[titre]],'[5]REFERENCES DE VALO PROCEDURE'!F$9:G$22,2,),VLOOKUP(Requête1[[#This Row],[titre]],Lignes_détenues!A:B,2,))</f>
        <v>101532.0280976221</v>
      </c>
      <c r="E275" s="280">
        <f>Requête1[[#This Row],[PRICER]]-Requête1[[#This Row],[valo]]</f>
        <v>-1.9023779022973031E-3</v>
      </c>
    </row>
    <row r="276" spans="1:5" hidden="1" x14ac:dyDescent="0.25">
      <c r="A276" s="1172">
        <v>153125</v>
      </c>
      <c r="B276" s="1173">
        <v>46107</v>
      </c>
      <c r="C276" s="1174">
        <v>99502.94</v>
      </c>
      <c r="D276" s="1211">
        <f>IF(ISNUMBER(LOOKUP("XS",Requête1[[#This Row],[titre]])),VLOOKUP(Requête1[[#This Row],[titre]],'[5]REFERENCES DE VALO PROCEDURE'!F$9:G$22,2,),VLOOKUP(Requête1[[#This Row],[titre]],Lignes_détenues!A:B,2,))</f>
        <v>99502.938067716503</v>
      </c>
      <c r="E276" s="280">
        <f>Requête1[[#This Row],[PRICER]]-Requête1[[#This Row],[valo]]</f>
        <v>-1.9322834996273741E-3</v>
      </c>
    </row>
    <row r="277" spans="1:5" hidden="1" x14ac:dyDescent="0.25">
      <c r="A277" s="1172">
        <v>100972</v>
      </c>
      <c r="B277" s="1173">
        <v>46107</v>
      </c>
      <c r="C277" s="1174">
        <v>100642.63</v>
      </c>
      <c r="D277" s="1211">
        <f>IF(ISNUMBER(LOOKUP("XS",Requête1[[#This Row],[titre]])),VLOOKUP(Requête1[[#This Row],[titre]],'[5]REFERENCES DE VALO PROCEDURE'!F$9:G$22,2,),VLOOKUP(Requête1[[#This Row],[titre]],Lignes_détenues!A:B,2,))</f>
        <v>100642.62800814155</v>
      </c>
      <c r="E277" s="280">
        <f>Requête1[[#This Row],[PRICER]]-Requête1[[#This Row],[valo]]</f>
        <v>-1.9918584584956989E-3</v>
      </c>
    </row>
    <row r="278" spans="1:5" hidden="1" x14ac:dyDescent="0.25">
      <c r="A278" s="1615">
        <v>9639</v>
      </c>
      <c r="B278" s="1173">
        <v>46107</v>
      </c>
      <c r="C278" s="1174">
        <v>101240.33</v>
      </c>
      <c r="D278" s="1211">
        <f>IF(ISNUMBER(LOOKUP("XS",Requête1[[#This Row],[titre]])),VLOOKUP(Requête1[[#This Row],[titre]],'[5]REFERENCES DE VALO PROCEDURE'!F$9:G$22,2,),VLOOKUP(Requête1[[#This Row],[titre]],Lignes_détenues!A:B,2,))</f>
        <v>101240.32794923482</v>
      </c>
      <c r="E278" s="280">
        <f>Requête1[[#This Row],[PRICER]]-Requête1[[#This Row],[valo]]</f>
        <v>-2.0507651788648218E-3</v>
      </c>
    </row>
    <row r="279" spans="1:5" hidden="1" x14ac:dyDescent="0.25">
      <c r="A279" s="1172">
        <v>201868</v>
      </c>
      <c r="B279" s="1173">
        <v>46107</v>
      </c>
      <c r="C279" s="1174">
        <v>101263.54</v>
      </c>
      <c r="D279" s="1211">
        <f>IF(ISNUMBER(LOOKUP("XS",Requête1[[#This Row],[titre]])),VLOOKUP(Requête1[[#This Row],[titre]],'[5]REFERENCES DE VALO PROCEDURE'!F$9:G$22,2,),VLOOKUP(Requête1[[#This Row],[titre]],Lignes_détenues!A:B,2,))</f>
        <v>101263.53790613718</v>
      </c>
      <c r="E279" s="280">
        <f>Requête1[[#This Row],[PRICER]]-Requête1[[#This Row],[valo]]</f>
        <v>-2.0938628149451688E-3</v>
      </c>
    </row>
    <row r="280" spans="1:5" hidden="1" x14ac:dyDescent="0.25">
      <c r="A280" s="1172">
        <v>201941</v>
      </c>
      <c r="B280" s="1173">
        <v>46107</v>
      </c>
      <c r="C280" s="1174">
        <v>99557.94</v>
      </c>
      <c r="D280" s="1211">
        <f>IF(ISNUMBER(LOOKUP("XS",Requête1[[#This Row],[titre]])),VLOOKUP(Requête1[[#This Row],[titre]],'[5]REFERENCES DE VALO PROCEDURE'!F$9:G$22,2,),VLOOKUP(Requête1[[#This Row],[titre]],Lignes_détenues!A:B,2,))</f>
        <v>99557.937875246629</v>
      </c>
      <c r="E280" s="280">
        <f>Requête1[[#This Row],[PRICER]]-Requête1[[#This Row],[valo]]</f>
        <v>-2.1247533732093871E-3</v>
      </c>
    </row>
    <row r="281" spans="1:5" hidden="1" x14ac:dyDescent="0.25">
      <c r="A281" s="1172">
        <v>100964</v>
      </c>
      <c r="B281" s="1173">
        <v>46107</v>
      </c>
      <c r="C281" s="1174">
        <v>101412.25</v>
      </c>
      <c r="D281" s="1211">
        <f>IF(ISNUMBER(LOOKUP("XS",Requête1[[#This Row],[titre]])),VLOOKUP(Requête1[[#This Row],[titre]],'[5]REFERENCES DE VALO PROCEDURE'!F$9:G$22,2,),VLOOKUP(Requête1[[#This Row],[titre]],Lignes_détenues!A:B,2,))</f>
        <v>101412.2478556876</v>
      </c>
      <c r="E281" s="280">
        <f>Requête1[[#This Row],[PRICER]]-Requête1[[#This Row],[valo]]</f>
        <v>-2.1443123987410218E-3</v>
      </c>
    </row>
    <row r="282" spans="1:5" hidden="1" x14ac:dyDescent="0.25">
      <c r="A282" s="1172">
        <v>153078</v>
      </c>
      <c r="B282" s="1173">
        <v>46107</v>
      </c>
      <c r="C282" s="1174">
        <v>101074.97</v>
      </c>
      <c r="D282" s="1211">
        <f>IF(ISNUMBER(LOOKUP("XS",Requête1[[#This Row],[titre]])),VLOOKUP(Requête1[[#This Row],[titre]],'[5]REFERENCES DE VALO PROCEDURE'!F$9:G$22,2,),VLOOKUP(Requête1[[#This Row],[titre]],Lignes_détenues!A:B,2,))</f>
        <v>101074.96785299583</v>
      </c>
      <c r="E282" s="280">
        <f>Requête1[[#This Row],[PRICER]]-Requête1[[#This Row],[valo]]</f>
        <v>-2.1470041683642194E-3</v>
      </c>
    </row>
    <row r="283" spans="1:5" hidden="1" x14ac:dyDescent="0.25">
      <c r="A283" s="1172">
        <v>9764</v>
      </c>
      <c r="B283" s="1173">
        <v>46107</v>
      </c>
      <c r="C283" s="1174">
        <v>100893.52</v>
      </c>
      <c r="D283" s="1211">
        <f>IF(ISNUMBER(LOOKUP("XS",Requête1[[#This Row],[titre]])),VLOOKUP(Requête1[[#This Row],[titre]],'[5]REFERENCES DE VALO PROCEDURE'!F$9:G$22,2,),VLOOKUP(Requête1[[#This Row],[titre]],Lignes_détenues!A:B,2,))</f>
        <v>100893.51779250492</v>
      </c>
      <c r="E283" s="280">
        <f>Requête1[[#This Row],[PRICER]]-Requête1[[#This Row],[valo]]</f>
        <v>-2.2074950829846784E-3</v>
      </c>
    </row>
    <row r="284" spans="1:5" hidden="1" x14ac:dyDescent="0.25">
      <c r="A284" s="1172">
        <v>153101</v>
      </c>
      <c r="B284" s="1173">
        <v>46107</v>
      </c>
      <c r="C284" s="1174">
        <v>101198.55</v>
      </c>
      <c r="D284" s="1211">
        <f>IF(ISNUMBER(LOOKUP("XS",Requête1[[#This Row],[titre]])),VLOOKUP(Requête1[[#This Row],[titre]],'[5]REFERENCES DE VALO PROCEDURE'!F$9:G$22,2,),VLOOKUP(Requête1[[#This Row],[titre]],Lignes_détenues!A:B,2,))</f>
        <v>101198.54771997264</v>
      </c>
      <c r="E284" s="280">
        <f>Requête1[[#This Row],[PRICER]]-Requête1[[#This Row],[valo]]</f>
        <v>-2.2800273582106456E-3</v>
      </c>
    </row>
    <row r="285" spans="1:5" hidden="1" x14ac:dyDescent="0.25">
      <c r="A285" s="1172">
        <v>9653</v>
      </c>
      <c r="B285" s="1173">
        <v>46107</v>
      </c>
      <c r="C285" s="1174">
        <v>100624.46</v>
      </c>
      <c r="D285" s="1211">
        <f>IF(ISNUMBER(LOOKUP("XS",Requête1[[#This Row],[titre]])),VLOOKUP(Requête1[[#This Row],[titre]],'[5]REFERENCES DE VALO PROCEDURE'!F$9:G$22,2,),VLOOKUP(Requête1[[#This Row],[titre]],Lignes_détenues!A:B,2,))</f>
        <v>100624.4577088223</v>
      </c>
      <c r="E285" s="280">
        <f>Requête1[[#This Row],[PRICER]]-Requête1[[#This Row],[valo]]</f>
        <v>-2.2911777050467208E-3</v>
      </c>
    </row>
    <row r="286" spans="1:5" hidden="1" x14ac:dyDescent="0.25">
      <c r="A286" s="1172">
        <v>5167</v>
      </c>
      <c r="B286" s="1173">
        <v>46107</v>
      </c>
      <c r="C286" s="1174">
        <v>101241.34</v>
      </c>
      <c r="D286" s="1211">
        <f>IF(ISNUMBER(LOOKUP("XS",Requête1[[#This Row],[titre]])),VLOOKUP(Requête1[[#This Row],[titre]],'[5]REFERENCES DE VALO PROCEDURE'!F$9:G$22,2,),VLOOKUP(Requête1[[#This Row],[titre]],Lignes_détenues!A:B,2,))</f>
        <v>101241.3377</v>
      </c>
      <c r="E286" s="280">
        <f>Requête1[[#This Row],[PRICER]]-Requête1[[#This Row],[valo]]</f>
        <v>-2.2999999928288162E-3</v>
      </c>
    </row>
    <row r="287" spans="1:5" hidden="1" x14ac:dyDescent="0.25">
      <c r="A287" s="1172">
        <v>9596</v>
      </c>
      <c r="B287" s="1173">
        <v>46107</v>
      </c>
      <c r="C287" s="1174">
        <v>116168.52</v>
      </c>
      <c r="D287" s="1211">
        <f>IF(ISNUMBER(LOOKUP("XS",Requête1[[#This Row],[titre]])),VLOOKUP(Requête1[[#This Row],[titre]],'[5]REFERENCES DE VALO PROCEDURE'!F$9:G$22,2,),VLOOKUP(Requête1[[#This Row],[titre]],Lignes_détenues!A:B,2,))</f>
        <v>116168.5176853009</v>
      </c>
      <c r="E287" s="280">
        <f>Requête1[[#This Row],[PRICER]]-Requête1[[#This Row],[valo]]</f>
        <v>-2.314699100679718E-3</v>
      </c>
    </row>
    <row r="288" spans="1:5" hidden="1" x14ac:dyDescent="0.25">
      <c r="A288" s="1172">
        <v>101030</v>
      </c>
      <c r="B288" s="1173">
        <v>46107</v>
      </c>
      <c r="C288" s="1174">
        <v>99696.15</v>
      </c>
      <c r="D288" s="1211">
        <f>IF(ISNUMBER(LOOKUP("XS",Requête1[[#This Row],[titre]])),VLOOKUP(Requête1[[#This Row],[titre]],'[5]REFERENCES DE VALO PROCEDURE'!F$9:G$22,2,),VLOOKUP(Requête1[[#This Row],[titre]],Lignes_détenues!A:B,2,))</f>
        <v>99696.147585130835</v>
      </c>
      <c r="E288" s="280">
        <f>Requête1[[#This Row],[PRICER]]-Requête1[[#This Row],[valo]]</f>
        <v>-2.4148691591108218E-3</v>
      </c>
    </row>
    <row r="289" spans="1:5" hidden="1" x14ac:dyDescent="0.25">
      <c r="A289" s="1172">
        <v>152877</v>
      </c>
      <c r="B289" s="1173">
        <v>46107</v>
      </c>
      <c r="C289" s="1174">
        <v>101175.48</v>
      </c>
      <c r="D289" s="1211">
        <f>IF(ISNUMBER(LOOKUP("XS",Requête1[[#This Row],[titre]])),VLOOKUP(Requête1[[#This Row],[titre]],'[5]REFERENCES DE VALO PROCEDURE'!F$9:G$22,2,),VLOOKUP(Requête1[[#This Row],[titre]],Lignes_détenues!A:B,2,))</f>
        <v>101175.47755638062</v>
      </c>
      <c r="E289" s="280">
        <f>Requête1[[#This Row],[PRICER]]-Requête1[[#This Row],[valo]]</f>
        <v>-2.4436193780275062E-3</v>
      </c>
    </row>
    <row r="290" spans="1:5" hidden="1" x14ac:dyDescent="0.25">
      <c r="A290" s="1172">
        <v>201939</v>
      </c>
      <c r="B290" s="1173">
        <v>46107</v>
      </c>
      <c r="C290" s="1174">
        <v>99919.75</v>
      </c>
      <c r="D290" s="1211">
        <f>IF(ISNUMBER(LOOKUP("XS",Requête1[[#This Row],[titre]])),VLOOKUP(Requête1[[#This Row],[titre]],'[5]REFERENCES DE VALO PROCEDURE'!F$9:G$22,2,),VLOOKUP(Requête1[[#This Row],[titre]],Lignes_détenues!A:B,2,))</f>
        <v>99919.7475153329</v>
      </c>
      <c r="E290" s="280">
        <f>Requête1[[#This Row],[PRICER]]-Requête1[[#This Row],[valo]]</f>
        <v>-2.4846671003615484E-3</v>
      </c>
    </row>
    <row r="291" spans="1:5" hidden="1" x14ac:dyDescent="0.25">
      <c r="A291" s="1172">
        <v>9652</v>
      </c>
      <c r="B291" s="1173">
        <v>46107</v>
      </c>
      <c r="C291" s="1174">
        <v>100588.46</v>
      </c>
      <c r="D291" s="1211">
        <f>IF(ISNUMBER(LOOKUP("XS",Requête1[[#This Row],[titre]])),VLOOKUP(Requête1[[#This Row],[titre]],'[5]REFERENCES DE VALO PROCEDURE'!F$9:G$22,2,),VLOOKUP(Requête1[[#This Row],[titre]],Lignes_détenues!A:B,2,))</f>
        <v>100588.45747182048</v>
      </c>
      <c r="E291" s="280">
        <f>Requête1[[#This Row],[PRICER]]-Requête1[[#This Row],[valo]]</f>
        <v>-2.5281795242335647E-3</v>
      </c>
    </row>
    <row r="292" spans="1:5" hidden="1" x14ac:dyDescent="0.25">
      <c r="A292" s="1172">
        <v>9702</v>
      </c>
      <c r="B292" s="1173">
        <v>46107</v>
      </c>
      <c r="C292" s="1174">
        <v>102079.08</v>
      </c>
      <c r="D292" s="1211">
        <f>IF(ISNUMBER(LOOKUP("XS",Requête1[[#This Row],[titre]])),VLOOKUP(Requête1[[#This Row],[titre]],'[5]REFERENCES DE VALO PROCEDURE'!F$9:G$22,2,),VLOOKUP(Requête1[[#This Row],[titre]],Lignes_détenues!A:B,2,))</f>
        <v>102079.07743999999</v>
      </c>
      <c r="E292" s="280">
        <f>Requête1[[#This Row],[PRICER]]-Requête1[[#This Row],[valo]]</f>
        <v>-2.5600000080885366E-3</v>
      </c>
    </row>
    <row r="293" spans="1:5" hidden="1" x14ac:dyDescent="0.25">
      <c r="A293" s="1172">
        <v>9753</v>
      </c>
      <c r="B293" s="1173">
        <v>46107</v>
      </c>
      <c r="C293" s="1174">
        <v>97503.679999999993</v>
      </c>
      <c r="D293" s="1211">
        <f>IF(ISNUMBER(LOOKUP("XS",Requête1[[#This Row],[titre]])),VLOOKUP(Requête1[[#This Row],[titre]],'[5]REFERENCES DE VALO PROCEDURE'!F$9:G$22,2,),VLOOKUP(Requête1[[#This Row],[titre]],Lignes_détenues!A:B,2,))</f>
        <v>97503.677396923391</v>
      </c>
      <c r="E293" s="280">
        <f>Requête1[[#This Row],[PRICER]]-Requête1[[#This Row],[valo]]</f>
        <v>-2.6030766020994633E-3</v>
      </c>
    </row>
    <row r="294" spans="1:5" hidden="1" x14ac:dyDescent="0.25">
      <c r="A294" s="1172">
        <v>101010</v>
      </c>
      <c r="B294" s="1173">
        <v>46107</v>
      </c>
      <c r="C294" s="1174">
        <v>100792.16</v>
      </c>
      <c r="D294" s="1211">
        <f>IF(ISNUMBER(LOOKUP("XS",Requête1[[#This Row],[titre]])),VLOOKUP(Requête1[[#This Row],[titre]],'[5]REFERENCES DE VALO PROCEDURE'!F$9:G$22,2,),VLOOKUP(Requête1[[#This Row],[titre]],Lignes_détenues!A:B,2,))</f>
        <v>100792.15737212918</v>
      </c>
      <c r="E294" s="280">
        <f>Requête1[[#This Row],[PRICER]]-Requête1[[#This Row],[valo]]</f>
        <v>-2.6278708246536553E-3</v>
      </c>
    </row>
    <row r="295" spans="1:5" hidden="1" x14ac:dyDescent="0.25">
      <c r="A295" s="1172">
        <v>153024</v>
      </c>
      <c r="B295" s="1173">
        <v>46107</v>
      </c>
      <c r="C295" s="1174">
        <v>104274.04</v>
      </c>
      <c r="D295" s="1211">
        <f>IF(ISNUMBER(LOOKUP("XS",Requête1[[#This Row],[titre]])),VLOOKUP(Requête1[[#This Row],[titre]],'[5]REFERENCES DE VALO PROCEDURE'!F$9:G$22,2,),VLOOKUP(Requête1[[#This Row],[titre]],Lignes_détenues!A:B,2,))</f>
        <v>104274.03728257031</v>
      </c>
      <c r="E295" s="280">
        <f>Requête1[[#This Row],[PRICER]]-Requête1[[#This Row],[valo]]</f>
        <v>-2.7174296847078949E-3</v>
      </c>
    </row>
    <row r="296" spans="1:5" hidden="1" x14ac:dyDescent="0.25">
      <c r="A296" s="1172">
        <v>9660</v>
      </c>
      <c r="B296" s="1173">
        <v>46107</v>
      </c>
      <c r="C296" s="1174">
        <v>100906.28</v>
      </c>
      <c r="D296" s="1211">
        <f>IF(ISNUMBER(LOOKUP("XS",Requête1[[#This Row],[titre]])),VLOOKUP(Requête1[[#This Row],[titre]],'[5]REFERENCES DE VALO PROCEDURE'!F$9:G$22,2,),VLOOKUP(Requête1[[#This Row],[titre]],Lignes_détenues!A:B,2,))</f>
        <v>100906.27725963244</v>
      </c>
      <c r="E296" s="280">
        <f>Requête1[[#This Row],[PRICER]]-Requête1[[#This Row],[valo]]</f>
        <v>-2.7403675630921498E-3</v>
      </c>
    </row>
    <row r="297" spans="1:5" hidden="1" x14ac:dyDescent="0.25">
      <c r="A297" s="1172">
        <v>201854</v>
      </c>
      <c r="B297" s="1173">
        <v>46107</v>
      </c>
      <c r="C297" s="1174">
        <v>114430.39</v>
      </c>
      <c r="D297" s="1211">
        <f>IF(ISNUMBER(LOOKUP("XS",Requête1[[#This Row],[titre]])),VLOOKUP(Requête1[[#This Row],[titre]],'[5]REFERENCES DE VALO PROCEDURE'!F$9:G$22,2,),VLOOKUP(Requête1[[#This Row],[titre]],Lignes_détenues!A:B,2,))</f>
        <v>114430.38722214833</v>
      </c>
      <c r="E297" s="280">
        <f>Requête1[[#This Row],[PRICER]]-Requête1[[#This Row],[valo]]</f>
        <v>-2.7778516669059172E-3</v>
      </c>
    </row>
    <row r="298" spans="1:5" hidden="1" x14ac:dyDescent="0.25">
      <c r="A298" s="1172">
        <v>100977</v>
      </c>
      <c r="B298" s="1173">
        <v>46107</v>
      </c>
      <c r="C298" s="1174">
        <v>100393.43</v>
      </c>
      <c r="D298" s="1211">
        <f>IF(ISNUMBER(LOOKUP("XS",Requête1[[#This Row],[titre]])),VLOOKUP(Requête1[[#This Row],[titre]],'[5]REFERENCES DE VALO PROCEDURE'!F$9:G$22,2,),VLOOKUP(Requête1[[#This Row],[titre]],Lignes_détenues!A:B,2,))</f>
        <v>100393.427187918</v>
      </c>
      <c r="E298" s="280">
        <f>Requête1[[#This Row],[PRICER]]-Requête1[[#This Row],[valo]]</f>
        <v>-2.8120819915784523E-3</v>
      </c>
    </row>
    <row r="299" spans="1:5" hidden="1" x14ac:dyDescent="0.25">
      <c r="A299" s="1172">
        <v>9634</v>
      </c>
      <c r="B299" s="1173">
        <v>46107</v>
      </c>
      <c r="C299" s="1174">
        <v>106141.24</v>
      </c>
      <c r="D299" s="1211">
        <f>IF(ISNUMBER(LOOKUP("XS",Requête1[[#This Row],[titre]])),VLOOKUP(Requête1[[#This Row],[titre]],'[5]REFERENCES DE VALO PROCEDURE'!F$9:G$22,2,),VLOOKUP(Requête1[[#This Row],[titre]],Lignes_détenues!A:B,2,))</f>
        <v>106141.23717192339</v>
      </c>
      <c r="E299" s="280">
        <f>Requête1[[#This Row],[PRICER]]-Requête1[[#This Row],[valo]]</f>
        <v>-2.8280766127863899E-3</v>
      </c>
    </row>
    <row r="300" spans="1:5" hidden="1" x14ac:dyDescent="0.25">
      <c r="A300" s="1172">
        <v>9747</v>
      </c>
      <c r="B300" s="1173">
        <v>46107</v>
      </c>
      <c r="C300" s="1174">
        <v>100773.4</v>
      </c>
      <c r="D300" s="1211">
        <f>IF(ISNUMBER(LOOKUP("XS",Requête1[[#This Row],[titre]])),VLOOKUP(Requête1[[#This Row],[titre]],'[5]REFERENCES DE VALO PROCEDURE'!F$9:G$22,2,),VLOOKUP(Requête1[[#This Row],[titre]],Lignes_détenues!A:B,2,))</f>
        <v>100773.39711008465</v>
      </c>
      <c r="E300" s="280">
        <f>Requête1[[#This Row],[PRICER]]-Requête1[[#This Row],[valo]]</f>
        <v>-2.8899153403472155E-3</v>
      </c>
    </row>
    <row r="301" spans="1:5" hidden="1" x14ac:dyDescent="0.25">
      <c r="A301" s="1172">
        <v>9615</v>
      </c>
      <c r="B301" s="1173">
        <v>46107</v>
      </c>
      <c r="C301" s="1174">
        <v>102139.97</v>
      </c>
      <c r="D301" s="1211">
        <f>IF(ISNUMBER(LOOKUP("XS",Requête1[[#This Row],[titre]])),VLOOKUP(Requête1[[#This Row],[titre]],'[5]REFERENCES DE VALO PROCEDURE'!F$9:G$22,2,),VLOOKUP(Requête1[[#This Row],[titre]],Lignes_détenues!A:B,2,))</f>
        <v>102139.96700690308</v>
      </c>
      <c r="E301" s="280">
        <f>Requête1[[#This Row],[PRICER]]-Requête1[[#This Row],[valo]]</f>
        <v>-2.9930969176348299E-3</v>
      </c>
    </row>
    <row r="302" spans="1:5" hidden="1" x14ac:dyDescent="0.25">
      <c r="A302" s="1172">
        <v>100948</v>
      </c>
      <c r="B302" s="1173">
        <v>46107</v>
      </c>
      <c r="C302" s="1174">
        <v>77169.95</v>
      </c>
      <c r="D302" s="1211">
        <f>IF(ISNUMBER(LOOKUP("XS",Requête1[[#This Row],[titre]])),VLOOKUP(Requête1[[#This Row],[titre]],'[5]REFERENCES DE VALO PROCEDURE'!F$9:G$22,2,),VLOOKUP(Requête1[[#This Row],[titre]],Lignes_détenues!A:B,2,))</f>
        <v>77169.947</v>
      </c>
      <c r="E302" s="280">
        <f>Requête1[[#This Row],[PRICER]]-Requête1[[#This Row],[valo]]</f>
        <v>-2.9999999969732016E-3</v>
      </c>
    </row>
    <row r="303" spans="1:5" hidden="1" x14ac:dyDescent="0.25">
      <c r="A303" s="1172">
        <v>101009</v>
      </c>
      <c r="B303" s="1173">
        <v>46107</v>
      </c>
      <c r="C303" s="1174">
        <v>100391.81</v>
      </c>
      <c r="D303" s="1211">
        <f>IF(ISNUMBER(LOOKUP("XS",Requête1[[#This Row],[titre]])),VLOOKUP(Requête1[[#This Row],[titre]],'[5]REFERENCES DE VALO PROCEDURE'!F$9:G$22,2,),VLOOKUP(Requête1[[#This Row],[titre]],Lignes_détenues!A:B,2,))</f>
        <v>100391.80697252178</v>
      </c>
      <c r="E303" s="280">
        <f>Requête1[[#This Row],[PRICER]]-Requête1[[#This Row],[valo]]</f>
        <v>-3.0274782184278592E-3</v>
      </c>
    </row>
    <row r="304" spans="1:5" hidden="1" x14ac:dyDescent="0.25">
      <c r="A304" s="1172">
        <v>100987</v>
      </c>
      <c r="B304" s="1173">
        <v>46107</v>
      </c>
      <c r="C304" s="1174">
        <v>102777.66</v>
      </c>
      <c r="D304" s="1211">
        <f>IF(ISNUMBER(LOOKUP("XS",Requête1[[#This Row],[titre]])),VLOOKUP(Requête1[[#This Row],[titre]],'[5]REFERENCES DE VALO PROCEDURE'!F$9:G$22,2,),VLOOKUP(Requête1[[#This Row],[titre]],Lignes_détenues!A:B,2,))</f>
        <v>102777.65694825086</v>
      </c>
      <c r="E304" s="280">
        <f>Requête1[[#This Row],[PRICER]]-Requête1[[#This Row],[valo]]</f>
        <v>-3.0517491395585239E-3</v>
      </c>
    </row>
    <row r="305" spans="1:7" hidden="1" x14ac:dyDescent="0.25">
      <c r="A305" s="1172">
        <v>201940</v>
      </c>
      <c r="B305" s="1173">
        <v>46107</v>
      </c>
      <c r="C305" s="1174">
        <v>100194.67</v>
      </c>
      <c r="D305" s="1211">
        <f>IF(ISNUMBER(LOOKUP("XS",Requête1[[#This Row],[titre]])),VLOOKUP(Requête1[[#This Row],[titre]],'[5]REFERENCES DE VALO PROCEDURE'!F$9:G$22,2,),VLOOKUP(Requête1[[#This Row],[titre]],Lignes_détenues!A:B,2,))</f>
        <v>100194.66680578969</v>
      </c>
      <c r="E305" s="280">
        <f>Requête1[[#This Row],[PRICER]]-Requête1[[#This Row],[valo]]</f>
        <v>-3.1942103087203577E-3</v>
      </c>
    </row>
    <row r="306" spans="1:7" hidden="1" x14ac:dyDescent="0.25">
      <c r="A306" s="1172">
        <v>100928</v>
      </c>
      <c r="B306" s="1173">
        <v>46107</v>
      </c>
      <c r="C306" s="1174">
        <v>101255.64</v>
      </c>
      <c r="D306" s="1211">
        <f>IF(ISNUMBER(LOOKUP("XS",Requête1[[#This Row],[titre]])),VLOOKUP(Requête1[[#This Row],[titre]],'[5]REFERENCES DE VALO PROCEDURE'!F$9:G$22,2,),VLOOKUP(Requête1[[#This Row],[titre]],Lignes_détenues!A:B,2,))</f>
        <v>101255.63670042361</v>
      </c>
      <c r="E306" s="280">
        <f>Requête1[[#This Row],[PRICER]]-Requête1[[#This Row],[valo]]</f>
        <v>-3.299576390418224E-3</v>
      </c>
    </row>
    <row r="307" spans="1:7" hidden="1" x14ac:dyDescent="0.25">
      <c r="A307" s="1172">
        <v>100941</v>
      </c>
      <c r="B307" s="1173">
        <v>46107</v>
      </c>
      <c r="C307" s="1174">
        <v>103170.9</v>
      </c>
      <c r="D307" s="1211">
        <f>IF(ISNUMBER(LOOKUP("XS",Requête1[[#This Row],[titre]])),VLOOKUP(Requête1[[#This Row],[titre]],'[5]REFERENCES DE VALO PROCEDURE'!F$9:G$22,2,),VLOOKUP(Requête1[[#This Row],[titre]],Lignes_détenues!A:B,2,))</f>
        <v>103170.89669483191</v>
      </c>
      <c r="E307" s="280">
        <f>Requête1[[#This Row],[PRICER]]-Requête1[[#This Row],[valo]]</f>
        <v>-3.3051680802600458E-3</v>
      </c>
    </row>
    <row r="308" spans="1:7" hidden="1" x14ac:dyDescent="0.25">
      <c r="A308" s="1172">
        <v>100996</v>
      </c>
      <c r="B308" s="1173">
        <v>46107</v>
      </c>
      <c r="C308" s="1174">
        <v>101486.87</v>
      </c>
      <c r="D308" s="1211">
        <f>IF(ISNUMBER(LOOKUP("XS",Requête1[[#This Row],[titre]])),VLOOKUP(Requête1[[#This Row],[titre]],'[5]REFERENCES DE VALO PROCEDURE'!F$9:G$22,2,),VLOOKUP(Requête1[[#This Row],[titre]],Lignes_détenues!A:B,2,))</f>
        <v>101486.86660801398</v>
      </c>
      <c r="E308" s="280">
        <f>Requête1[[#This Row],[PRICER]]-Requête1[[#This Row],[valo]]</f>
        <v>-3.3919860143214464E-3</v>
      </c>
    </row>
    <row r="309" spans="1:7" hidden="1" x14ac:dyDescent="0.25">
      <c r="A309" s="1615">
        <v>141177</v>
      </c>
      <c r="B309" s="1173">
        <v>46107</v>
      </c>
      <c r="C309" s="1174">
        <v>101638.05</v>
      </c>
      <c r="D309" s="1211">
        <f>IF(ISNUMBER(LOOKUP("XS",Requête1[[#This Row],[titre]])),VLOOKUP(Requête1[[#This Row],[titre]],'[5]REFERENCES DE VALO PROCEDURE'!F$9:G$22,2,),VLOOKUP(Requête1[[#This Row],[titre]],Lignes_détenues!A:B,2,))</f>
        <v>101638.04658236599</v>
      </c>
      <c r="E309" s="280">
        <f>Requête1[[#This Row],[PRICER]]-Requête1[[#This Row],[valo]]</f>
        <v>-3.4176340122940019E-3</v>
      </c>
      <c r="G309" s="870"/>
    </row>
    <row r="310" spans="1:7" hidden="1" x14ac:dyDescent="0.25">
      <c r="A310" s="1172">
        <v>201862</v>
      </c>
      <c r="B310" s="1173">
        <v>46107</v>
      </c>
      <c r="C310" s="1174">
        <v>106795.33</v>
      </c>
      <c r="D310" s="1211">
        <f>IF(ISNUMBER(LOOKUP("XS",Requête1[[#This Row],[titre]])),VLOOKUP(Requête1[[#This Row],[titre]],'[5]REFERENCES DE VALO PROCEDURE'!F$9:G$22,2,),VLOOKUP(Requête1[[#This Row],[titre]],Lignes_détenues!A:B,2,))</f>
        <v>106795.32649317868</v>
      </c>
      <c r="E310" s="280">
        <f>Requête1[[#This Row],[PRICER]]-Requête1[[#This Row],[valo]]</f>
        <v>-3.5068213182967156E-3</v>
      </c>
    </row>
    <row r="311" spans="1:7" hidden="1" x14ac:dyDescent="0.25">
      <c r="A311" s="1172">
        <v>100988</v>
      </c>
      <c r="B311" s="1173">
        <v>46107</v>
      </c>
      <c r="C311" s="1174">
        <v>101897.02</v>
      </c>
      <c r="D311" s="1211">
        <f>IF(ISNUMBER(LOOKUP("XS",Requête1[[#This Row],[titre]])),VLOOKUP(Requête1[[#This Row],[titre]],'[5]REFERENCES DE VALO PROCEDURE'!F$9:G$22,2,),VLOOKUP(Requête1[[#This Row],[titre]],Lignes_détenues!A:B,2,))</f>
        <v>101897.01644075166</v>
      </c>
      <c r="E311" s="280">
        <f>Requête1[[#This Row],[PRICER]]-Requête1[[#This Row],[valo]]</f>
        <v>-3.5592483473010361E-3</v>
      </c>
    </row>
    <row r="312" spans="1:7" hidden="1" x14ac:dyDescent="0.25">
      <c r="A312" s="1172">
        <v>9700</v>
      </c>
      <c r="B312" s="1173">
        <v>46107</v>
      </c>
      <c r="C312" s="1174">
        <v>101270.59</v>
      </c>
      <c r="D312" s="1211">
        <f>IF(ISNUMBER(LOOKUP("XS",Requête1[[#This Row],[titre]])),VLOOKUP(Requête1[[#This Row],[titre]],'[5]REFERENCES DE VALO PROCEDURE'!F$9:G$22,2,),VLOOKUP(Requête1[[#This Row],[titre]],Lignes_détenues!A:B,2,))</f>
        <v>101270.58641021856</v>
      </c>
      <c r="E312" s="280">
        <f>Requête1[[#This Row],[PRICER]]-Requête1[[#This Row],[valo]]</f>
        <v>-3.5897814377676696E-3</v>
      </c>
    </row>
    <row r="313" spans="1:7" hidden="1" x14ac:dyDescent="0.25">
      <c r="A313" s="1172">
        <v>9500</v>
      </c>
      <c r="B313" s="1173">
        <v>46107</v>
      </c>
      <c r="C313" s="1174">
        <v>98542.88</v>
      </c>
      <c r="D313" s="1211">
        <f>IF(ISNUMBER(LOOKUP("XS",Requête1[[#This Row],[titre]])),VLOOKUP(Requête1[[#This Row],[titre]],'[5]REFERENCES DE VALO PROCEDURE'!F$9:G$22,2,),VLOOKUP(Requête1[[#This Row],[titre]],Lignes_détenues!A:B,2,))</f>
        <v>98542.876399999994</v>
      </c>
      <c r="E313" s="280">
        <f>Requête1[[#This Row],[PRICER]]-Requête1[[#This Row],[valo]]</f>
        <v>-3.6000000109197572E-3</v>
      </c>
    </row>
    <row r="314" spans="1:7" hidden="1" x14ac:dyDescent="0.25">
      <c r="A314" s="1172">
        <v>9684</v>
      </c>
      <c r="B314" s="1173">
        <v>46107</v>
      </c>
      <c r="C314" s="1174">
        <v>100854.63</v>
      </c>
      <c r="D314" s="1211">
        <f>IF(ISNUMBER(LOOKUP("XS",Requête1[[#This Row],[titre]])),VLOOKUP(Requête1[[#This Row],[titre]],'[5]REFERENCES DE VALO PROCEDURE'!F$9:G$22,2,),VLOOKUP(Requête1[[#This Row],[titre]],Lignes_détenues!A:B,2,))</f>
        <v>100854.62639533126</v>
      </c>
      <c r="E314" s="280">
        <f>Requête1[[#This Row],[PRICER]]-Requête1[[#This Row],[valo]]</f>
        <v>-3.6046687455382198E-3</v>
      </c>
    </row>
    <row r="315" spans="1:7" hidden="1" x14ac:dyDescent="0.25">
      <c r="A315" s="1172">
        <v>9593</v>
      </c>
      <c r="B315" s="1173">
        <v>46107</v>
      </c>
      <c r="C315" s="1174">
        <v>100748.68</v>
      </c>
      <c r="D315" s="1211">
        <f>IF(ISNUMBER(LOOKUP("XS",Requête1[[#This Row],[titre]])),VLOOKUP(Requête1[[#This Row],[titre]],'[5]REFERENCES DE VALO PROCEDURE'!F$9:G$22,2,),VLOOKUP(Requête1[[#This Row],[titre]],Lignes_détenues!A:B,2,))</f>
        <v>100748.67639147468</v>
      </c>
      <c r="E315" s="280">
        <f>Requête1[[#This Row],[PRICER]]-Requête1[[#This Row],[valo]]</f>
        <v>-3.6085253086639568E-3</v>
      </c>
    </row>
    <row r="316" spans="1:7" hidden="1" x14ac:dyDescent="0.25">
      <c r="A316" s="1172">
        <v>101008</v>
      </c>
      <c r="B316" s="1173">
        <v>46107</v>
      </c>
      <c r="C316" s="1174">
        <v>100887.28</v>
      </c>
      <c r="D316" s="1211">
        <f>IF(ISNUMBER(LOOKUP("XS",Requête1[[#This Row],[titre]])),VLOOKUP(Requête1[[#This Row],[titre]],'[5]REFERENCES DE VALO PROCEDURE'!F$9:G$22,2,),VLOOKUP(Requête1[[#This Row],[titre]],Lignes_détenues!A:B,2,))</f>
        <v>100887.2763863026</v>
      </c>
      <c r="E316" s="280">
        <f>Requête1[[#This Row],[PRICER]]-Requête1[[#This Row],[valo]]</f>
        <v>-3.6136973940301687E-3</v>
      </c>
    </row>
    <row r="317" spans="1:7" hidden="1" x14ac:dyDescent="0.25">
      <c r="A317" s="1172">
        <v>100998</v>
      </c>
      <c r="B317" s="1173">
        <v>46107</v>
      </c>
      <c r="C317" s="1174">
        <v>100978.21</v>
      </c>
      <c r="D317" s="1211">
        <f>IF(ISNUMBER(LOOKUP("XS",Requête1[[#This Row],[titre]])),VLOOKUP(Requête1[[#This Row],[titre]],'[5]REFERENCES DE VALO PROCEDURE'!F$9:G$22,2,),VLOOKUP(Requête1[[#This Row],[titre]],Lignes_détenues!A:B,2,))</f>
        <v>100978.206337989</v>
      </c>
      <c r="E317" s="280">
        <f>Requête1[[#This Row],[PRICER]]-Requête1[[#This Row],[valo]]</f>
        <v>-3.6620110040530562E-3</v>
      </c>
    </row>
    <row r="318" spans="1:7" hidden="1" x14ac:dyDescent="0.25">
      <c r="A318" s="1172">
        <v>9606</v>
      </c>
      <c r="B318" s="1173">
        <v>46107</v>
      </c>
      <c r="C318" s="1174">
        <v>100551.75</v>
      </c>
      <c r="D318" s="1211">
        <f>IF(ISNUMBER(LOOKUP("XS",Requête1[[#This Row],[titre]])),VLOOKUP(Requête1[[#This Row],[titre]],'[5]REFERENCES DE VALO PROCEDURE'!F$9:G$22,2,),VLOOKUP(Requête1[[#This Row],[titre]],Lignes_détenues!A:B,2,))</f>
        <v>100551.74627517766</v>
      </c>
      <c r="E318" s="280">
        <f>Requête1[[#This Row],[PRICER]]-Requête1[[#This Row],[valo]]</f>
        <v>-3.7248223379720002E-3</v>
      </c>
    </row>
    <row r="319" spans="1:7" hidden="1" x14ac:dyDescent="0.25">
      <c r="A319" s="1172">
        <v>201870</v>
      </c>
      <c r="B319" s="1173">
        <v>46107</v>
      </c>
      <c r="C319" s="1174">
        <v>106791.06</v>
      </c>
      <c r="D319" s="1211">
        <f>IF(ISNUMBER(LOOKUP("XS",Requête1[[#This Row],[titre]])),VLOOKUP(Requête1[[#This Row],[titre]],'[5]REFERENCES DE VALO PROCEDURE'!F$9:G$22,2,),VLOOKUP(Requête1[[#This Row],[titre]],Lignes_détenues!A:B,2,))</f>
        <v>106791.05620754688</v>
      </c>
      <c r="E319" s="280">
        <f>Requête1[[#This Row],[PRICER]]-Requête1[[#This Row],[valo]]</f>
        <v>-3.7924531206954271E-3</v>
      </c>
    </row>
    <row r="320" spans="1:7" hidden="1" x14ac:dyDescent="0.25">
      <c r="A320" s="1172">
        <v>153110</v>
      </c>
      <c r="B320" s="1173">
        <v>46107</v>
      </c>
      <c r="C320" s="1174">
        <v>101233.54</v>
      </c>
      <c r="D320" s="1211">
        <f>IF(ISNUMBER(LOOKUP("XS",Requête1[[#This Row],[titre]])),VLOOKUP(Requête1[[#This Row],[titre]],'[5]REFERENCES DE VALO PROCEDURE'!F$9:G$22,2,),VLOOKUP(Requête1[[#This Row],[titre]],Lignes_détenues!A:B,2,))</f>
        <v>101233.53619855437</v>
      </c>
      <c r="E320" s="280">
        <f>Requête1[[#This Row],[PRICER]]-Requête1[[#This Row],[valo]]</f>
        <v>-3.8014456222299486E-3</v>
      </c>
    </row>
    <row r="321" spans="1:5" hidden="1" x14ac:dyDescent="0.25">
      <c r="A321" s="1172">
        <v>9393</v>
      </c>
      <c r="B321" s="1173">
        <v>46107</v>
      </c>
      <c r="C321" s="1174">
        <v>102756.9</v>
      </c>
      <c r="D321" s="1211">
        <f>IF(ISNUMBER(LOOKUP("XS",Requête1[[#This Row],[titre]])),VLOOKUP(Requête1[[#This Row],[titre]],'[5]REFERENCES DE VALO PROCEDURE'!F$9:G$22,2,),VLOOKUP(Requête1[[#This Row],[titre]],Lignes_détenues!A:B,2,))</f>
        <v>102756.89617224353</v>
      </c>
      <c r="E321" s="280">
        <f>Requête1[[#This Row],[PRICER]]-Requête1[[#This Row],[valo]]</f>
        <v>-3.8277564599411562E-3</v>
      </c>
    </row>
    <row r="322" spans="1:5" hidden="1" x14ac:dyDescent="0.25">
      <c r="A322" s="1172">
        <v>9654</v>
      </c>
      <c r="B322" s="1173">
        <v>46107</v>
      </c>
      <c r="C322" s="1174">
        <v>101065.62</v>
      </c>
      <c r="D322" s="1211">
        <f>IF(ISNUMBER(LOOKUP("XS",Requête1[[#This Row],[titre]])),VLOOKUP(Requête1[[#This Row],[titre]],'[5]REFERENCES DE VALO PROCEDURE'!F$9:G$22,2,),VLOOKUP(Requête1[[#This Row],[titre]],Lignes_détenues!A:B,2,))</f>
        <v>101065.61603059818</v>
      </c>
      <c r="E322" s="280">
        <f>Requête1[[#This Row],[PRICER]]-Requête1[[#This Row],[valo]]</f>
        <v>-3.9694018196314573E-3</v>
      </c>
    </row>
    <row r="323" spans="1:5" hidden="1" x14ac:dyDescent="0.25">
      <c r="A323" s="1172">
        <v>9755</v>
      </c>
      <c r="B323" s="1173">
        <v>46107</v>
      </c>
      <c r="C323" s="1174">
        <v>100064.85</v>
      </c>
      <c r="D323" s="1211">
        <f>IF(ISNUMBER(LOOKUP("XS",Requête1[[#This Row],[titre]])),VLOOKUP(Requête1[[#This Row],[titre]],'[5]REFERENCES DE VALO PROCEDURE'!F$9:G$22,2,),VLOOKUP(Requête1[[#This Row],[titre]],Lignes_détenues!A:B,2,))</f>
        <v>100064.84601590017</v>
      </c>
      <c r="E323" s="280">
        <f>Requête1[[#This Row],[PRICER]]-Requête1[[#This Row],[valo]]</f>
        <v>-3.984099836088717E-3</v>
      </c>
    </row>
    <row r="324" spans="1:5" hidden="1" x14ac:dyDescent="0.25">
      <c r="A324" s="1172">
        <v>9690</v>
      </c>
      <c r="B324" s="1173">
        <v>46107</v>
      </c>
      <c r="C324" s="1174">
        <v>100049.23</v>
      </c>
      <c r="D324" s="1211">
        <f>IF(ISNUMBER(LOOKUP("XS",Requête1[[#This Row],[titre]])),VLOOKUP(Requête1[[#This Row],[titre]],'[5]REFERENCES DE VALO PROCEDURE'!F$9:G$22,2,),VLOOKUP(Requête1[[#This Row],[titre]],Lignes_détenues!A:B,2,))</f>
        <v>100049.2259542838</v>
      </c>
      <c r="E324" s="280">
        <f>Requête1[[#This Row],[PRICER]]-Requête1[[#This Row],[valo]]</f>
        <v>-4.045716195832938E-3</v>
      </c>
    </row>
    <row r="325" spans="1:5" hidden="1" x14ac:dyDescent="0.25">
      <c r="A325" s="1172">
        <v>201919</v>
      </c>
      <c r="B325" s="1173">
        <v>46107</v>
      </c>
      <c r="C325" s="1174">
        <v>98262.17</v>
      </c>
      <c r="D325" s="1211">
        <f>IF(ISNUMBER(LOOKUP("XS",Requête1[[#This Row],[titre]])),VLOOKUP(Requête1[[#This Row],[titre]],'[5]REFERENCES DE VALO PROCEDURE'!F$9:G$22,2,),VLOOKUP(Requête1[[#This Row],[titre]],Lignes_détenues!A:B,2,))</f>
        <v>98262.16593197544</v>
      </c>
      <c r="E325" s="280">
        <f>Requête1[[#This Row],[PRICER]]-Requête1[[#This Row],[valo]]</f>
        <v>-4.0680245583644137E-3</v>
      </c>
    </row>
    <row r="326" spans="1:5" hidden="1" x14ac:dyDescent="0.25">
      <c r="A326" s="1172">
        <v>100952</v>
      </c>
      <c r="B326" s="1173">
        <v>46107</v>
      </c>
      <c r="C326" s="1174">
        <v>101718.82</v>
      </c>
      <c r="D326" s="1211">
        <f>IF(ISNUMBER(LOOKUP("XS",Requête1[[#This Row],[titre]])),VLOOKUP(Requête1[[#This Row],[titre]],'[5]REFERENCES DE VALO PROCEDURE'!F$9:G$22,2,),VLOOKUP(Requête1[[#This Row],[titre]],Lignes_détenues!A:B,2,))</f>
        <v>101718.81579325425</v>
      </c>
      <c r="E326" s="280">
        <f>Requête1[[#This Row],[PRICER]]-Requête1[[#This Row],[valo]]</f>
        <v>-4.2067457543453202E-3</v>
      </c>
    </row>
    <row r="327" spans="1:5" hidden="1" x14ac:dyDescent="0.25">
      <c r="A327" s="1172">
        <v>201896</v>
      </c>
      <c r="B327" s="1173">
        <v>46107</v>
      </c>
      <c r="C327" s="1174">
        <v>99656.75</v>
      </c>
      <c r="D327" s="1211">
        <f>IF(ISNUMBER(LOOKUP("XS",Requête1[[#This Row],[titre]])),VLOOKUP(Requête1[[#This Row],[titre]],'[5]REFERENCES DE VALO PROCEDURE'!F$9:G$22,2,),VLOOKUP(Requête1[[#This Row],[titre]],Lignes_détenues!A:B,2,))</f>
        <v>99656.745706819056</v>
      </c>
      <c r="E327" s="280">
        <f>Requête1[[#This Row],[PRICER]]-Requête1[[#This Row],[valo]]</f>
        <v>-4.2931809439323843E-3</v>
      </c>
    </row>
    <row r="328" spans="1:5" hidden="1" x14ac:dyDescent="0.25">
      <c r="A328" s="1172">
        <v>100959</v>
      </c>
      <c r="B328" s="1173">
        <v>46107</v>
      </c>
      <c r="C328" s="1174">
        <v>101743.37</v>
      </c>
      <c r="D328" s="1211">
        <f>IF(ISNUMBER(LOOKUP("XS",Requête1[[#This Row],[titre]])),VLOOKUP(Requête1[[#This Row],[titre]],'[5]REFERENCES DE VALO PROCEDURE'!F$9:G$22,2,),VLOOKUP(Requête1[[#This Row],[titre]],Lignes_détenues!A:B,2,))</f>
        <v>101743.36566955045</v>
      </c>
      <c r="E328" s="280">
        <f>Requête1[[#This Row],[PRICER]]-Requête1[[#This Row],[valo]]</f>
        <v>-4.3304495484335348E-3</v>
      </c>
    </row>
    <row r="329" spans="1:5" hidden="1" x14ac:dyDescent="0.25">
      <c r="A329" s="1172">
        <v>201841</v>
      </c>
      <c r="B329" s="1173">
        <v>46107</v>
      </c>
      <c r="C329" s="1174">
        <v>110670.34</v>
      </c>
      <c r="D329" s="1211">
        <f>IF(ISNUMBER(LOOKUP("XS",Requête1[[#This Row],[titre]])),VLOOKUP(Requête1[[#This Row],[titre]],'[5]REFERENCES DE VALO PROCEDURE'!F$9:G$22,2,),VLOOKUP(Requête1[[#This Row],[titre]],Lignes_détenues!A:B,2,))</f>
        <v>110670.33566451802</v>
      </c>
      <c r="E329" s="280">
        <f>Requête1[[#This Row],[PRICER]]-Requête1[[#This Row],[valo]]</f>
        <v>-4.3354819790693E-3</v>
      </c>
    </row>
    <row r="330" spans="1:5" hidden="1" x14ac:dyDescent="0.25">
      <c r="A330" s="1172">
        <v>100974</v>
      </c>
      <c r="B330" s="1173">
        <v>46107</v>
      </c>
      <c r="C330" s="1174">
        <v>100299.08</v>
      </c>
      <c r="D330" s="1211">
        <f>IF(ISNUMBER(LOOKUP("XS",Requête1[[#This Row],[titre]])),VLOOKUP(Requête1[[#This Row],[titre]],'[5]REFERENCES DE VALO PROCEDURE'!F$9:G$22,2,),VLOOKUP(Requête1[[#This Row],[titre]],Lignes_détenues!A:B,2,))</f>
        <v>100299.07555322254</v>
      </c>
      <c r="E330" s="280">
        <f>Requête1[[#This Row],[PRICER]]-Requête1[[#This Row],[valo]]</f>
        <v>-4.4467774569056928E-3</v>
      </c>
    </row>
    <row r="331" spans="1:5" hidden="1" x14ac:dyDescent="0.25">
      <c r="A331" s="1172">
        <v>100951</v>
      </c>
      <c r="B331" s="1173">
        <v>46107</v>
      </c>
      <c r="C331" s="1174">
        <v>102926.76</v>
      </c>
      <c r="D331" s="1211">
        <f>IF(ISNUMBER(LOOKUP("XS",Requête1[[#This Row],[titre]])),VLOOKUP(Requête1[[#This Row],[titre]],'[5]REFERENCES DE VALO PROCEDURE'!F$9:G$22,2,),VLOOKUP(Requête1[[#This Row],[titre]],Lignes_détenues!A:B,2,))</f>
        <v>102926.75552488602</v>
      </c>
      <c r="E331" s="280">
        <f>Requête1[[#This Row],[PRICER]]-Requête1[[#This Row],[valo]]</f>
        <v>-4.47511397942435E-3</v>
      </c>
    </row>
    <row r="332" spans="1:5" hidden="1" x14ac:dyDescent="0.25">
      <c r="A332" s="1172">
        <v>101031</v>
      </c>
      <c r="B332" s="1173">
        <v>46107</v>
      </c>
      <c r="C332" s="1174">
        <v>99869.59</v>
      </c>
      <c r="D332" s="1211">
        <f>IF(ISNUMBER(LOOKUP("XS",Requête1[[#This Row],[titre]])),VLOOKUP(Requête1[[#This Row],[titre]],'[5]REFERENCES DE VALO PROCEDURE'!F$9:G$22,2,),VLOOKUP(Requête1[[#This Row],[titre]],Lignes_détenues!A:B,2,))</f>
        <v>99869.585504022005</v>
      </c>
      <c r="E332" s="280">
        <f>Requête1[[#This Row],[PRICER]]-Requête1[[#This Row],[valo]]</f>
        <v>-4.4959779916098341E-3</v>
      </c>
    </row>
    <row r="333" spans="1:5" hidden="1" x14ac:dyDescent="0.25">
      <c r="A333" s="1172">
        <v>153132</v>
      </c>
      <c r="B333" s="1173">
        <v>46107</v>
      </c>
      <c r="C333" s="1174">
        <v>100703.35</v>
      </c>
      <c r="D333" s="1211">
        <f>IF(ISNUMBER(LOOKUP("XS",Requête1[[#This Row],[titre]])),VLOOKUP(Requête1[[#This Row],[titre]],'[5]REFERENCES DE VALO PROCEDURE'!F$9:G$22,2,),VLOOKUP(Requête1[[#This Row],[titre]],Lignes_détenues!A:B,2,))</f>
        <v>100703.34547564448</v>
      </c>
      <c r="E333" s="280">
        <f>Requête1[[#This Row],[PRICER]]-Requête1[[#This Row],[valo]]</f>
        <v>-4.5243555214256048E-3</v>
      </c>
    </row>
    <row r="334" spans="1:5" hidden="1" x14ac:dyDescent="0.25">
      <c r="A334" s="1172">
        <v>141184</v>
      </c>
      <c r="B334" s="1173">
        <v>46107</v>
      </c>
      <c r="C334" s="1174">
        <v>100376.57</v>
      </c>
      <c r="D334" s="1211">
        <f>IF(ISNUMBER(LOOKUP("XS",Requête1[[#This Row],[titre]])),VLOOKUP(Requête1[[#This Row],[titre]],'[5]REFERENCES DE VALO PROCEDURE'!F$9:G$22,2,),VLOOKUP(Requête1[[#This Row],[titre]],Lignes_détenues!A:B,2,))</f>
        <v>100376.56537832487</v>
      </c>
      <c r="E334" s="280">
        <f>Requête1[[#This Row],[PRICER]]-Requête1[[#This Row],[valo]]</f>
        <v>-4.6216751361498609E-3</v>
      </c>
    </row>
    <row r="335" spans="1:5" hidden="1" x14ac:dyDescent="0.25">
      <c r="A335" s="1172">
        <v>9758</v>
      </c>
      <c r="B335" s="1173">
        <v>46107</v>
      </c>
      <c r="C335" s="1174">
        <v>100635.74</v>
      </c>
      <c r="D335" s="1211">
        <f>IF(ISNUMBER(LOOKUP("XS",Requête1[[#This Row],[titre]])),VLOOKUP(Requête1[[#This Row],[titre]],'[5]REFERENCES DE VALO PROCEDURE'!F$9:G$22,2,),VLOOKUP(Requête1[[#This Row],[titre]],Lignes_détenues!A:B,2,))</f>
        <v>100635.73536000001</v>
      </c>
      <c r="E335" s="280">
        <f>Requête1[[#This Row],[PRICER]]-Requête1[[#This Row],[valo]]</f>
        <v>-4.6399999991990626E-3</v>
      </c>
    </row>
    <row r="336" spans="1:5" hidden="1" x14ac:dyDescent="0.25">
      <c r="A336" s="1172">
        <v>153154</v>
      </c>
      <c r="B336" s="1173">
        <v>46107</v>
      </c>
      <c r="C336" s="1174">
        <v>100158.47</v>
      </c>
      <c r="D336" s="1211">
        <f>IF(ISNUMBER(LOOKUP("XS",Requête1[[#This Row],[titre]])),VLOOKUP(Requête1[[#This Row],[titre]],'[5]REFERENCES DE VALO PROCEDURE'!F$9:G$22,2,),VLOOKUP(Requête1[[#This Row],[titre]],Lignes_détenues!A:B,2,))</f>
        <v>100158.46528473073</v>
      </c>
      <c r="E336" s="280">
        <f>Requête1[[#This Row],[PRICER]]-Requête1[[#This Row],[valo]]</f>
        <v>-4.7152692714007571E-3</v>
      </c>
    </row>
    <row r="337" spans="1:5" hidden="1" x14ac:dyDescent="0.25">
      <c r="A337" s="1172">
        <v>101022</v>
      </c>
      <c r="B337" s="1173">
        <v>46107</v>
      </c>
      <c r="C337" s="1174">
        <v>100292.04</v>
      </c>
      <c r="D337" s="1211">
        <f>IF(ISNUMBER(LOOKUP("XS",Requête1[[#This Row],[titre]])),VLOOKUP(Requête1[[#This Row],[titre]],'[5]REFERENCES DE VALO PROCEDURE'!F$9:G$22,2,),VLOOKUP(Requête1[[#This Row],[titre]],Lignes_détenues!A:B,2,))</f>
        <v>100292.03527709741</v>
      </c>
      <c r="E337" s="1164">
        <f>Requête1[[#This Row],[PRICER]]-Requête1[[#This Row],[valo]]</f>
        <v>-4.7229025803972036E-3</v>
      </c>
    </row>
    <row r="338" spans="1:5" hidden="1" x14ac:dyDescent="0.25">
      <c r="A338" s="1172">
        <v>100946</v>
      </c>
      <c r="B338" s="1173">
        <v>46107</v>
      </c>
      <c r="C338" s="1174">
        <v>104712.69</v>
      </c>
      <c r="D338" s="1211">
        <f>IF(ISNUMBER(LOOKUP("XS",Requête1[[#This Row],[titre]])),VLOOKUP(Requête1[[#This Row],[titre]],'[5]REFERENCES DE VALO PROCEDURE'!F$9:G$22,2,),VLOOKUP(Requête1[[#This Row],[titre]],Lignes_détenues!A:B,2,))</f>
        <v>104712.68524196532</v>
      </c>
      <c r="E338" s="280">
        <f>Requête1[[#This Row],[PRICER]]-Requête1[[#This Row],[valo]]</f>
        <v>-4.7580346872564405E-3</v>
      </c>
    </row>
    <row r="339" spans="1:5" hidden="1" x14ac:dyDescent="0.25">
      <c r="A339" s="1172">
        <v>101000</v>
      </c>
      <c r="B339" s="1173">
        <v>46107</v>
      </c>
      <c r="C339" s="1174">
        <v>99509.73</v>
      </c>
      <c r="D339" s="1211">
        <f>IF(ISNUMBER(LOOKUP("XS",Requête1[[#This Row],[titre]])),VLOOKUP(Requête1[[#This Row],[titre]],'[5]REFERENCES DE VALO PROCEDURE'!F$9:G$22,2,),VLOOKUP(Requête1[[#This Row],[titre]],Lignes_détenues!A:B,2,))</f>
        <v>99509.72520569172</v>
      </c>
      <c r="E339" s="280">
        <f>Requête1[[#This Row],[PRICER]]-Requête1[[#This Row],[valo]]</f>
        <v>-4.794308275450021E-3</v>
      </c>
    </row>
    <row r="340" spans="1:5" hidden="1" x14ac:dyDescent="0.25">
      <c r="A340" s="1172">
        <v>100983</v>
      </c>
      <c r="B340" s="1173">
        <v>46107</v>
      </c>
      <c r="C340" s="1174">
        <v>103426.22</v>
      </c>
      <c r="D340" s="1211">
        <f>IF(ISNUMBER(LOOKUP("XS",Requête1[[#This Row],[titre]])),VLOOKUP(Requête1[[#This Row],[titre]],'[5]REFERENCES DE VALO PROCEDURE'!F$9:G$22,2,),VLOOKUP(Requête1[[#This Row],[titre]],Lignes_détenues!A:B,2,))</f>
        <v>103426.21520352659</v>
      </c>
      <c r="E340" s="280">
        <f>Requête1[[#This Row],[PRICER]]-Requête1[[#This Row],[valo]]</f>
        <v>-4.796473411261104E-3</v>
      </c>
    </row>
    <row r="341" spans="1:5" hidden="1" x14ac:dyDescent="0.25">
      <c r="A341" s="1172">
        <v>100975</v>
      </c>
      <c r="B341" s="1173">
        <v>46107</v>
      </c>
      <c r="C341" s="1174">
        <v>100538.1</v>
      </c>
      <c r="D341" s="1211">
        <f>IF(ISNUMBER(LOOKUP("XS",Requête1[[#This Row],[titre]])),VLOOKUP(Requête1[[#This Row],[titre]],'[5]REFERENCES DE VALO PROCEDURE'!F$9:G$22,2,),VLOOKUP(Requête1[[#This Row],[titre]],Lignes_détenues!A:B,2,))</f>
        <v>100538.0951864348</v>
      </c>
      <c r="E341" s="280">
        <f>Requête1[[#This Row],[PRICER]]-Requête1[[#This Row],[valo]]</f>
        <v>-4.8135652032215148E-3</v>
      </c>
    </row>
    <row r="342" spans="1:5" hidden="1" x14ac:dyDescent="0.25">
      <c r="A342" s="1172">
        <v>152881</v>
      </c>
      <c r="B342" s="1173">
        <v>46107</v>
      </c>
      <c r="C342" s="1174">
        <v>102147.67</v>
      </c>
      <c r="D342" s="1211">
        <f>IF(ISNUMBER(LOOKUP("XS",Requête1[[#This Row],[titre]])),VLOOKUP(Requête1[[#This Row],[titre]],'[5]REFERENCES DE VALO PROCEDURE'!F$9:G$22,2,),VLOOKUP(Requête1[[#This Row],[titre]],Lignes_détenues!A:B,2,))</f>
        <v>102147.66515468943</v>
      </c>
      <c r="E342" s="280">
        <f>Requête1[[#This Row],[PRICER]]-Requête1[[#This Row],[valo]]</f>
        <v>-4.8453105700900778E-3</v>
      </c>
    </row>
    <row r="343" spans="1:5" hidden="1" x14ac:dyDescent="0.25">
      <c r="A343" s="1172">
        <v>100950</v>
      </c>
      <c r="B343" s="1173">
        <v>46107</v>
      </c>
      <c r="C343" s="1174">
        <v>102387.38</v>
      </c>
      <c r="D343" s="1211">
        <f>IF(ISNUMBER(LOOKUP("XS",Requête1[[#This Row],[titre]])),VLOOKUP(Requête1[[#This Row],[titre]],'[5]REFERENCES DE VALO PROCEDURE'!F$9:G$22,2,),VLOOKUP(Requête1[[#This Row],[titre]],Lignes_détenues!A:B,2,))</f>
        <v>102387.37515430985</v>
      </c>
      <c r="E343" s="280">
        <f>Requête1[[#This Row],[PRICER]]-Requête1[[#This Row],[valo]]</f>
        <v>-4.8456901567988098E-3</v>
      </c>
    </row>
    <row r="344" spans="1:5" hidden="1" x14ac:dyDescent="0.25">
      <c r="A344" s="1172">
        <v>9750</v>
      </c>
      <c r="B344" s="1173">
        <v>46107</v>
      </c>
      <c r="C344" s="1174">
        <v>100589.87</v>
      </c>
      <c r="D344" s="1211">
        <f>IF(ISNUMBER(LOOKUP("XS",Requête1[[#This Row],[titre]])),VLOOKUP(Requête1[[#This Row],[titre]],'[5]REFERENCES DE VALO PROCEDURE'!F$9:G$22,2,),VLOOKUP(Requête1[[#This Row],[titre]],Lignes_détenues!A:B,2,))</f>
        <v>100589.86514884219</v>
      </c>
      <c r="E344" s="280">
        <f>Requête1[[#This Row],[PRICER]]-Requête1[[#This Row],[valo]]</f>
        <v>-4.851157806115225E-3</v>
      </c>
    </row>
    <row r="345" spans="1:5" hidden="1" x14ac:dyDescent="0.25">
      <c r="A345" s="1172">
        <v>153159</v>
      </c>
      <c r="B345" s="1173">
        <v>46107</v>
      </c>
      <c r="C345" s="1174">
        <v>99894.07</v>
      </c>
      <c r="D345" s="1211">
        <f>IF(ISNUMBER(LOOKUP("XS",Requête1[[#This Row],[titre]])),VLOOKUP(Requête1[[#This Row],[titre]],'[5]REFERENCES DE VALO PROCEDURE'!F$9:G$22,2,),VLOOKUP(Requête1[[#This Row],[titre]],Lignes_détenues!A:B,2,))</f>
        <v>99894.06354566892</v>
      </c>
      <c r="E345" s="280">
        <f>Requête1[[#This Row],[PRICER]]-Requête1[[#This Row],[valo]]</f>
        <v>-6.45433108729776E-3</v>
      </c>
    </row>
    <row r="346" spans="1:5" hidden="1" x14ac:dyDescent="0.25">
      <c r="A346" s="1172">
        <v>9351</v>
      </c>
      <c r="B346" s="1173">
        <v>46107</v>
      </c>
      <c r="C346" s="1174">
        <v>47586.44</v>
      </c>
      <c r="D346" s="1211">
        <f>IF(ISNUMBER(LOOKUP("XS",Requête1[[#This Row],[titre]])),VLOOKUP(Requête1[[#This Row],[titre]],'[5]REFERENCES DE VALO PROCEDURE'!F$9:G$22,2,),VLOOKUP(Requête1[[#This Row],[titre]],Lignes_détenues!A:B,2,))</f>
        <v>47586.432199999996</v>
      </c>
      <c r="E346" s="280">
        <f>Requête1[[#This Row],[PRICER]]-Requête1[[#This Row],[valo]]</f>
        <v>-7.8000000066822395E-3</v>
      </c>
    </row>
    <row r="347" spans="1:5" hidden="1" x14ac:dyDescent="0.25">
      <c r="A347" s="1172">
        <v>9395</v>
      </c>
      <c r="B347" s="1173">
        <v>46107</v>
      </c>
      <c r="C347" s="1174">
        <v>61784.82</v>
      </c>
      <c r="D347" s="1211">
        <f>IF(ISNUMBER(LOOKUP("XS",Requête1[[#This Row],[titre]])),VLOOKUP(Requête1[[#This Row],[titre]],'[5]REFERENCES DE VALO PROCEDURE'!F$9:G$22,2,),VLOOKUP(Requête1[[#This Row],[titre]],Lignes_détenues!A:B,2,))</f>
        <v>61784.81</v>
      </c>
      <c r="E347" s="280">
        <f>Requête1[[#This Row],[PRICER]]-Requête1[[#This Row],[valo]]</f>
        <v>-1.0000000002037268E-2</v>
      </c>
    </row>
    <row r="348" spans="1:5" hidden="1" x14ac:dyDescent="0.25">
      <c r="A348" s="1172">
        <v>9533</v>
      </c>
      <c r="B348" s="1173">
        <v>46107</v>
      </c>
      <c r="C348" s="1174">
        <v>42363.62</v>
      </c>
      <c r="D348" s="1211">
        <f>IF(ISNUMBER(LOOKUP("XS",Requête1[[#This Row],[titre]])),VLOOKUP(Requête1[[#This Row],[titre]],'[5]REFERENCES DE VALO PROCEDURE'!F$9:G$22,2,),VLOOKUP(Requête1[[#This Row],[titre]],Lignes_détenues!A:B,2,))</f>
        <v>42363.61</v>
      </c>
      <c r="E348" s="280">
        <f>Requête1[[#This Row],[PRICER]]-Requête1[[#This Row],[valo]]</f>
        <v>-1.0000000002037268E-2</v>
      </c>
    </row>
    <row r="349" spans="1:5" hidden="1" x14ac:dyDescent="0.25">
      <c r="A349" s="1172">
        <v>100925</v>
      </c>
      <c r="B349" s="1173">
        <v>46107</v>
      </c>
      <c r="C349" s="1174">
        <v>33738.33</v>
      </c>
      <c r="D349" s="1211">
        <f>IF(ISNUMBER(LOOKUP("XS",Requête1[[#This Row],[titre]])),VLOOKUP(Requête1[[#This Row],[titre]],'[5]REFERENCES DE VALO PROCEDURE'!F$9:G$22,2,),VLOOKUP(Requête1[[#This Row],[titre]],Lignes_détenues!A:B,2,))</f>
        <v>33738.315399999999</v>
      </c>
      <c r="E349" s="280">
        <f>Requête1[[#This Row],[PRICER]]-Requête1[[#This Row],[valo]]</f>
        <v>-1.4600000002246816E-2</v>
      </c>
    </row>
    <row r="350" spans="1:5" hidden="1" x14ac:dyDescent="0.25">
      <c r="A350" s="1172">
        <v>9744</v>
      </c>
      <c r="B350" s="1173">
        <v>46107</v>
      </c>
      <c r="C350" s="1174">
        <v>100643.65</v>
      </c>
      <c r="D350" s="1211">
        <f>IF(ISNUMBER(LOOKUP("XS",Requête1[[#This Row],[titre]])),VLOOKUP(Requête1[[#This Row],[titre]],'[5]REFERENCES DE VALO PROCEDURE'!F$9:G$22,2,),VLOOKUP(Requête1[[#This Row],[titre]],Lignes_détenues!A:B,2,))</f>
        <v>100643.63529999999</v>
      </c>
      <c r="E350" s="280">
        <f>Requête1[[#This Row],[PRICER]]-Requête1[[#This Row],[valo]]</f>
        <v>-1.4699999999720603E-2</v>
      </c>
    </row>
    <row r="351" spans="1:5" hidden="1" x14ac:dyDescent="0.25">
      <c r="A351" s="1172">
        <v>9496</v>
      </c>
      <c r="B351" s="1173">
        <v>46107</v>
      </c>
      <c r="C351" s="1174">
        <v>28502.26</v>
      </c>
      <c r="D351" s="1211">
        <f>IF(ISNUMBER(LOOKUP("XS",Requête1[[#This Row],[titre]])),VLOOKUP(Requête1[[#This Row],[titre]],'[5]REFERENCES DE VALO PROCEDURE'!F$9:G$22,2,),VLOOKUP(Requête1[[#This Row],[titre]],Lignes_détenues!A:B,2,))</f>
        <v>28502.240000000002</v>
      </c>
      <c r="E351" s="280">
        <f>Requête1[[#This Row],[PRICER]]-Requête1[[#This Row],[valo]]</f>
        <v>-1.9999999996798579E-2</v>
      </c>
    </row>
    <row r="352" spans="1:5" hidden="1" x14ac:dyDescent="0.25">
      <c r="A352" s="1172">
        <v>9473</v>
      </c>
      <c r="B352" s="1173">
        <v>46107</v>
      </c>
      <c r="C352" s="1174">
        <v>68298.27</v>
      </c>
      <c r="D352" s="1211">
        <f>IF(ISNUMBER(LOOKUP("XS",Requête1[[#This Row],[titre]])),VLOOKUP(Requête1[[#This Row],[titre]],'[5]REFERENCES DE VALO PROCEDURE'!F$9:G$22,2,),VLOOKUP(Requête1[[#This Row],[titre]],Lignes_détenues!A:B,2,))</f>
        <v>68298.25</v>
      </c>
      <c r="E352" s="280">
        <f>Requête1[[#This Row],[PRICER]]-Requête1[[#This Row],[valo]]</f>
        <v>-2.0000000004074536E-2</v>
      </c>
    </row>
    <row r="353" spans="1:5" hidden="1" x14ac:dyDescent="0.25">
      <c r="A353" s="1172">
        <v>5107</v>
      </c>
      <c r="B353" s="1173">
        <v>46107</v>
      </c>
      <c r="C353" s="1174">
        <v>98741.41</v>
      </c>
      <c r="D353" s="1211">
        <f>IF(ISNUMBER(LOOKUP("XS",Requête1[[#This Row],[titre]])),VLOOKUP(Requête1[[#This Row],[titre]],'[5]REFERENCES DE VALO PROCEDURE'!F$9:G$22,2,),VLOOKUP(Requête1[[#This Row],[titre]],Lignes_détenues!A:B,2,))</f>
        <v>98741.38</v>
      </c>
      <c r="E353" s="280">
        <f>Requête1[[#This Row],[PRICER]]-Requête1[[#This Row],[valo]]</f>
        <v>-2.9999999998835847E-2</v>
      </c>
    </row>
    <row r="354" spans="1:5" hidden="1" x14ac:dyDescent="0.25">
      <c r="A354" s="1172">
        <v>5117</v>
      </c>
      <c r="B354" s="1173">
        <v>46107</v>
      </c>
      <c r="C354" s="1174">
        <v>80421.759999999995</v>
      </c>
      <c r="D354" s="1211">
        <f>IF(ISNUMBER(LOOKUP("XS",Requête1[[#This Row],[titre]])),VLOOKUP(Requête1[[#This Row],[titre]],'[5]REFERENCES DE VALO PROCEDURE'!F$9:G$22,2,),VLOOKUP(Requête1[[#This Row],[titre]],Lignes_détenues!A:B,2,))</f>
        <v>80421.710000000006</v>
      </c>
      <c r="E354" s="280">
        <f>Requête1[[#This Row],[PRICER]]-Requête1[[#This Row],[valo]]</f>
        <v>-4.9999999988358468E-2</v>
      </c>
    </row>
    <row r="355" spans="1:5" hidden="1" x14ac:dyDescent="0.25">
      <c r="A355" s="1172">
        <v>9538</v>
      </c>
      <c r="B355" s="1173">
        <v>46107</v>
      </c>
      <c r="C355" s="1174">
        <v>12601.84</v>
      </c>
      <c r="D355" s="1211">
        <f>IF(ISNUMBER(LOOKUP("XS",Requête1[[#This Row],[titre]])),VLOOKUP(Requête1[[#This Row],[titre]],'[5]REFERENCES DE VALO PROCEDURE'!F$9:G$22,2,),VLOOKUP(Requête1[[#This Row],[titre]],Lignes_détenues!A:B,2,))</f>
        <v>12601.24</v>
      </c>
      <c r="E355" s="280">
        <f>Requête1[[#This Row],[PRICER]]-Requête1[[#This Row],[valo]]</f>
        <v>-0.6000000000003638</v>
      </c>
    </row>
    <row r="356" spans="1:5" x14ac:dyDescent="0.25">
      <c r="D356" s="1285" t="s">
        <v>90</v>
      </c>
    </row>
  </sheetData>
  <pageMargins left="0.7" right="0.7" top="0.75" bottom="0.75" header="0.3" footer="0.3"/>
  <pageSetup paperSize="9"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8">
    <tabColor theme="6" tint="0.79998168889431442"/>
  </sheetPr>
  <dimension ref="A1:IM1147"/>
  <sheetViews>
    <sheetView zoomScale="83" zoomScaleNormal="100" zoomScaleSheetLayoutView="115" workbookViewId="0">
      <selection activeCell="D13" sqref="D13"/>
    </sheetView>
  </sheetViews>
  <sheetFormatPr baseColWidth="10" defaultColWidth="11.42578125" defaultRowHeight="14.25" x14ac:dyDescent="0.3"/>
  <cols>
    <col min="1" max="1" width="11.42578125" style="461"/>
    <col min="2" max="2" width="25" style="461" bestFit="1" customWidth="1"/>
    <col min="3" max="3" width="26.5703125" style="461" bestFit="1" customWidth="1"/>
    <col min="4" max="4" width="20.85546875" style="461" customWidth="1"/>
    <col min="5" max="5" width="22.140625" style="461" customWidth="1"/>
    <col min="6" max="6" width="22" style="461" customWidth="1"/>
    <col min="7" max="7" width="22.140625" style="461" customWidth="1"/>
    <col min="8" max="8" width="30.42578125" style="461" customWidth="1"/>
    <col min="9" max="9" width="21" style="461" customWidth="1"/>
    <col min="10" max="10" width="34" style="461" customWidth="1"/>
    <col min="11" max="11" width="18" style="461" customWidth="1"/>
    <col min="12" max="12" width="19.140625" style="461" customWidth="1"/>
    <col min="13" max="13" width="21.85546875" style="461" customWidth="1"/>
    <col min="14" max="14" width="28" style="461" customWidth="1"/>
    <col min="15" max="16" width="21.85546875" style="461" customWidth="1"/>
    <col min="17" max="17" width="20.28515625" style="461" customWidth="1"/>
    <col min="18" max="18" width="19" style="461" bestFit="1" customWidth="1"/>
    <col min="19" max="19" width="20.5703125" style="461" customWidth="1"/>
    <col min="20" max="20" width="17.85546875" style="461" customWidth="1"/>
    <col min="21" max="21" width="16.7109375" style="461" customWidth="1"/>
    <col min="22" max="22" width="14.140625" style="461" customWidth="1"/>
    <col min="23" max="26" width="13.5703125" style="461" bestFit="1" customWidth="1"/>
    <col min="27" max="27" width="17" style="461" bestFit="1" customWidth="1"/>
    <col min="28" max="28" width="15.5703125" style="461" customWidth="1"/>
    <col min="29" max="29" width="17" style="461" customWidth="1"/>
    <col min="30" max="30" width="15.5703125" style="461" bestFit="1" customWidth="1"/>
    <col min="31" max="31" width="17.42578125" style="461" customWidth="1"/>
    <col min="32" max="32" width="15.7109375" style="461" customWidth="1"/>
    <col min="33" max="33" width="24" style="461" customWidth="1"/>
    <col min="34" max="34" width="11.42578125" style="461"/>
    <col min="35" max="35" width="16.42578125" style="461" customWidth="1"/>
    <col min="36" max="37" width="11.42578125" style="461"/>
    <col min="38" max="38" width="15.85546875" style="461" customWidth="1"/>
    <col min="39" max="39" width="17.7109375" style="461" customWidth="1"/>
    <col min="40" max="16384" width="11.42578125" style="461"/>
  </cols>
  <sheetData>
    <row r="1" spans="2:247" x14ac:dyDescent="0.3">
      <c r="B1" s="459" t="s">
        <v>2293</v>
      </c>
      <c r="C1" s="460">
        <f>'Courbe des taux'!F1</f>
        <v>46107</v>
      </c>
    </row>
    <row r="3" spans="2:247" x14ac:dyDescent="0.3">
      <c r="AB3" s="721" t="e" cm="1">
        <f t="array" ref="AB3">ROUND(IF(AA3&lt;1,interpoler(#REF!,#REF!,(T3-$B$1)),interpoler(#REF!,#REF!,AA3))+$Y$2,6)</f>
        <v>#VALUE!</v>
      </c>
      <c r="AZ3" s="721" t="e" cm="1">
        <f t="array" ref="AZ3">ROUND(IF(AY3&lt;1,interpoler(#REF!,#REF!,(AR3-$B$1)),interpoler(#REF!,#REF!,AY3))+$AW$2,6)</f>
        <v>#VALUE!</v>
      </c>
      <c r="BL3" s="721" t="e" cm="1">
        <f t="array" ref="BL3">ROUND(IF(BK3&lt;1,interpoler(#REF!,#REF!,(BD3-$B$1)),interpoler(#REF!,#REF!,BK3))+$BI$2,5)</f>
        <v>#VALUE!</v>
      </c>
      <c r="BY3" s="721" t="e" cm="1">
        <f t="array" ref="BY3">ROUND(IF(BX3&lt;1,interpoler(#REF!,#REF!,(BQ3-$B$1)),interpoler(#REF!,#REF!,BX3))+$BV$2,6)</f>
        <v>#VALUE!</v>
      </c>
      <c r="CK3" s="721" t="e" cm="1">
        <f t="array" ref="CK3">ROUND(ROUND(IF(CJ3&lt;1,interpoler(#REF!,#REF!,(CC3-$B$1)),interpoler(#REF!,#REF!,CJ3))+$CH$2,5),5)</f>
        <v>#VALUE!</v>
      </c>
      <c r="DZ3" s="721" t="e" cm="1">
        <f t="array" ref="DZ3">ROUND(IF(DY3&lt;1,interpoler(#REF!,#REF!,(DR3-$B$1)),interpoler(#REF!,#REF!,DY3))+$DW$2,5)</f>
        <v>#VALUE!</v>
      </c>
      <c r="FM3" s="721" t="e" cm="1">
        <f t="array" ref="FM3">ROUND(IF(FL3&lt;1,interpoler(#REF!,#REF!,(FE3-$B$1)),interpoler(#REF!,#REF!,FL3))+$FI$2,5)</f>
        <v>#VALUE!</v>
      </c>
      <c r="FZ3" s="721" t="e" cm="1">
        <f t="array" ref="FZ3">ROUND(IF(FY3&lt;1,interpoler(#REF!,#REF!,(FR3-$B$1)),interpoler(#REF!,#REF!,FY3))+$FV$2,5)</f>
        <v>#VALUE!</v>
      </c>
      <c r="GM3" s="721" t="e" cm="1">
        <f t="array" ref="GM3">ROUND(IF(GL3&lt;1,interpoler(#REF!,#REF!,(GE3-$B$1)),interpoler(#REF!,#REF!,GL3))+$GJ$2,5)</f>
        <v>#VALUE!</v>
      </c>
      <c r="GZ3" s="721" t="e" cm="1">
        <f t="array" ref="GZ3">ROUND(IF(GY3&lt;1,interpoler(#REF!,#REF!,(GR3-$B$1)),interpoler(#REF!,#REF!,GY3))+$GW$2,5)</f>
        <v>#VALUE!</v>
      </c>
      <c r="HM3" s="721" t="e" cm="1">
        <f t="array" ref="HM3">ROUND(IF(HL3&lt;1,interpoler(#REF!,#REF!,(HE3-$B$1)),interpoler(#REF!,#REF!,HL3))+$HJ$2,5)</f>
        <v>#VALUE!</v>
      </c>
      <c r="IM3" s="721" t="e" cm="1">
        <f t="array" ref="IM3">ROUND(IF(IL3&lt;1,interpoler(#REF!,#REF!,(IE3-$B$1)),interpoler(#REF!,#REF!,IL3))+$IJ$2,5)</f>
        <v>#VALUE!</v>
      </c>
    </row>
    <row r="4" spans="2:247" x14ac:dyDescent="0.3">
      <c r="AB4" s="721" t="e" cm="1">
        <f t="array" ref="AB4">ROUND(IF(AA4&lt;1,interpoler(#REF!,#REF!,(T4-$B$1)),interpoler(#REF!,#REF!,AA4))+$Y$2,6)</f>
        <v>#VALUE!</v>
      </c>
      <c r="AZ4" s="721" t="e" cm="1">
        <f t="array" ref="AZ4">ROUND(IF(AY4&lt;1,interpoler(#REF!,#REF!,(AR4-$B$1)),interpoler(#REF!,#REF!,AY4))+$AW$2,6)</f>
        <v>#VALUE!</v>
      </c>
      <c r="BL4" s="721" t="e" cm="1">
        <f t="array" ref="BL4">ROUND(IF(BK4&lt;1,interpoler(#REF!,#REF!,(BD4-$B$1)),interpoler(#REF!,#REF!,BK4))+$BI$2,5)</f>
        <v>#VALUE!</v>
      </c>
      <c r="BY4" s="721" t="e" cm="1">
        <f t="array" ref="BY4">ROUND(IF(BX4&lt;1,interpoler(#REF!,#REF!,(BQ4-$B$1)),interpoler(#REF!,#REF!,BX4))+$BV$2,6)</f>
        <v>#VALUE!</v>
      </c>
      <c r="CK4" s="721" t="e" cm="1">
        <f t="array" ref="CK4">ROUND(ROUND(IF(CJ4&lt;1,interpoler(#REF!,#REF!,(CC4-$B$1)),interpoler(#REF!,#REF!,CJ4))+$CH$2,5),5)</f>
        <v>#VALUE!</v>
      </c>
      <c r="DZ4" s="721" t="e" cm="1">
        <f t="array" ref="DZ4">ROUND(IF(DY4&lt;1,interpoler(#REF!,#REF!,(DR4-$B$1)),interpoler(#REF!,#REF!,DY4))+$DW$2,5)</f>
        <v>#VALUE!</v>
      </c>
      <c r="FM4" s="721" t="e" cm="1">
        <f t="array" ref="FM4">ROUND(IF(FL4&lt;1,interpoler(#REF!,#REF!,(FE4-$B$1)),interpoler(#REF!,#REF!,FL4))+$FI$2,5)</f>
        <v>#VALUE!</v>
      </c>
      <c r="FZ4" s="721" t="e" cm="1">
        <f t="array" ref="FZ4">ROUND(IF(FY4&lt;1,interpoler(#REF!,#REF!,(FR4-$B$1)),interpoler(#REF!,#REF!,FY4))+$FV$2,5)</f>
        <v>#VALUE!</v>
      </c>
      <c r="GM4" s="721" t="e" cm="1">
        <f t="array" ref="GM4">ROUND(IF(GL4&lt;1,interpoler(#REF!,#REF!,(GE4-$B$1)),interpoler(#REF!,#REF!,GL4))+$GJ$2,5)</f>
        <v>#VALUE!</v>
      </c>
      <c r="GZ4" s="721" t="e" cm="1">
        <f t="array" ref="GZ4">ROUND(IF(GY4&lt;1,interpoler(#REF!,#REF!,(GR4-$B$1)),interpoler(#REF!,#REF!,GY4))+$GW$2,5)</f>
        <v>#VALUE!</v>
      </c>
      <c r="HM4" s="721" t="e" cm="1">
        <f t="array" ref="HM4">ROUND(IF(HL4&lt;1,interpoler(#REF!,#REF!,(HE4-$B$1)),interpoler(#REF!,#REF!,HL4))+$HJ$2,5)</f>
        <v>#VALUE!</v>
      </c>
      <c r="IM4" s="721" t="e" cm="1">
        <f t="array" ref="IM4">ROUND(IF(IL4&lt;1,interpoler(#REF!,#REF!,(IE4-$B$1)),interpoler(#REF!,#REF!,IL4))+$IJ$2,5)</f>
        <v>#VALUE!</v>
      </c>
    </row>
    <row r="6" spans="2:247" x14ac:dyDescent="0.3">
      <c r="E6" s="461">
        <f>E10-C1</f>
        <v>-2096</v>
      </c>
    </row>
    <row r="8" spans="2:247" x14ac:dyDescent="0.3">
      <c r="B8" s="459" t="s">
        <v>2315</v>
      </c>
      <c r="C8" s="459">
        <v>9371</v>
      </c>
      <c r="D8" s="461" t="s">
        <v>2325</v>
      </c>
      <c r="L8" s="462"/>
    </row>
    <row r="9" spans="2:247" x14ac:dyDescent="0.3">
      <c r="B9" s="463"/>
      <c r="C9" s="464" t="s">
        <v>105</v>
      </c>
      <c r="D9" s="465">
        <v>3.32E-2</v>
      </c>
      <c r="E9" s="465"/>
      <c r="F9" s="463"/>
      <c r="G9" s="463"/>
      <c r="H9" s="463"/>
      <c r="I9" s="463"/>
      <c r="J9" s="463"/>
      <c r="K9" s="463"/>
      <c r="L9" s="463"/>
      <c r="M9" s="463"/>
      <c r="N9" s="463"/>
    </row>
    <row r="10" spans="2:247" x14ac:dyDescent="0.3">
      <c r="B10" s="463"/>
      <c r="C10" s="466">
        <v>43280</v>
      </c>
      <c r="D10" s="466">
        <v>43645</v>
      </c>
      <c r="E10" s="466">
        <v>44011</v>
      </c>
      <c r="F10" s="466">
        <v>44376</v>
      </c>
      <c r="G10" s="466">
        <v>44741</v>
      </c>
      <c r="H10" s="466">
        <v>45106</v>
      </c>
      <c r="I10" s="466">
        <v>45472</v>
      </c>
      <c r="J10" s="466">
        <v>45837</v>
      </c>
      <c r="K10" s="466"/>
      <c r="L10" s="466"/>
      <c r="M10" s="466"/>
      <c r="N10" s="466"/>
    </row>
    <row r="11" spans="2:247" x14ac:dyDescent="0.3">
      <c r="B11" s="463" t="s">
        <v>1318</v>
      </c>
      <c r="C11" s="464"/>
      <c r="D11" s="481">
        <v>0</v>
      </c>
      <c r="E11" s="481">
        <v>0</v>
      </c>
      <c r="F11" s="481">
        <f>100000*20%</f>
        <v>20000</v>
      </c>
      <c r="G11" s="481">
        <f>100000*20%</f>
        <v>20000</v>
      </c>
      <c r="H11" s="481">
        <f>100000*20%</f>
        <v>20000</v>
      </c>
      <c r="I11" s="481">
        <f>100000*20%</f>
        <v>20000</v>
      </c>
      <c r="J11" s="481">
        <f>100000*20%</f>
        <v>20000</v>
      </c>
      <c r="K11" s="467"/>
      <c r="L11" s="467"/>
      <c r="M11" s="467"/>
      <c r="N11" s="463"/>
    </row>
    <row r="12" spans="2:247" x14ac:dyDescent="0.3">
      <c r="B12" s="463" t="s">
        <v>1320</v>
      </c>
      <c r="C12" s="468">
        <v>100000</v>
      </c>
      <c r="D12" s="469">
        <f t="shared" ref="D12:J12" si="0">+C12-D11</f>
        <v>100000</v>
      </c>
      <c r="E12" s="469">
        <f t="shared" si="0"/>
        <v>100000</v>
      </c>
      <c r="F12" s="469">
        <f t="shared" si="0"/>
        <v>80000</v>
      </c>
      <c r="G12" s="469">
        <f t="shared" si="0"/>
        <v>60000</v>
      </c>
      <c r="H12" s="469">
        <f t="shared" si="0"/>
        <v>40000</v>
      </c>
      <c r="I12" s="469">
        <f t="shared" si="0"/>
        <v>20000</v>
      </c>
      <c r="J12" s="469">
        <f t="shared" si="0"/>
        <v>0</v>
      </c>
      <c r="K12" s="469"/>
      <c r="L12" s="469"/>
      <c r="M12" s="469"/>
      <c r="N12" s="469"/>
    </row>
    <row r="13" spans="2:247" x14ac:dyDescent="0.3">
      <c r="B13" s="463" t="s">
        <v>1321</v>
      </c>
      <c r="C13" s="464"/>
      <c r="D13" s="470">
        <f t="shared" ref="D13:J13" si="1">+$D$9*C12</f>
        <v>3320</v>
      </c>
      <c r="E13" s="470">
        <f t="shared" si="1"/>
        <v>3320</v>
      </c>
      <c r="F13" s="470">
        <f t="shared" si="1"/>
        <v>3320</v>
      </c>
      <c r="G13" s="470">
        <f t="shared" si="1"/>
        <v>2656</v>
      </c>
      <c r="H13" s="470">
        <f t="shared" si="1"/>
        <v>1992</v>
      </c>
      <c r="I13" s="470">
        <f t="shared" si="1"/>
        <v>1328</v>
      </c>
      <c r="J13" s="470">
        <f t="shared" si="1"/>
        <v>664</v>
      </c>
      <c r="K13" s="470"/>
      <c r="L13" s="470"/>
      <c r="M13" s="470"/>
      <c r="N13" s="470"/>
    </row>
    <row r="14" spans="2:247" x14ac:dyDescent="0.3">
      <c r="B14" s="463" t="s">
        <v>1322</v>
      </c>
      <c r="C14" s="464"/>
      <c r="D14" s="470">
        <f>+D13+D11</f>
        <v>3320</v>
      </c>
      <c r="E14" s="470">
        <f t="shared" ref="E14:J14" si="2">+E13+E11</f>
        <v>3320</v>
      </c>
      <c r="F14" s="470">
        <f t="shared" si="2"/>
        <v>23320</v>
      </c>
      <c r="G14" s="470">
        <f t="shared" si="2"/>
        <v>22656</v>
      </c>
      <c r="H14" s="470">
        <f t="shared" si="2"/>
        <v>21992</v>
      </c>
      <c r="I14" s="470">
        <f t="shared" si="2"/>
        <v>21328</v>
      </c>
      <c r="J14" s="470">
        <f t="shared" si="2"/>
        <v>20664</v>
      </c>
      <c r="K14" s="470"/>
      <c r="L14" s="470"/>
      <c r="M14" s="470"/>
      <c r="N14" s="470"/>
    </row>
    <row r="15" spans="2:247" x14ac:dyDescent="0.3">
      <c r="B15" s="463" t="s">
        <v>1323</v>
      </c>
      <c r="C15" s="468"/>
      <c r="D15" s="470">
        <f t="shared" ref="D15:J15" si="3">+IF(D10&gt;$C$1,D14,0)</f>
        <v>0</v>
      </c>
      <c r="E15" s="470">
        <f t="shared" si="3"/>
        <v>0</v>
      </c>
      <c r="F15" s="470">
        <f t="shared" si="3"/>
        <v>0</v>
      </c>
      <c r="G15" s="470">
        <f t="shared" si="3"/>
        <v>0</v>
      </c>
      <c r="H15" s="470">
        <f t="shared" si="3"/>
        <v>0</v>
      </c>
      <c r="I15" s="470">
        <f t="shared" si="3"/>
        <v>0</v>
      </c>
      <c r="J15" s="470">
        <f t="shared" si="3"/>
        <v>0</v>
      </c>
      <c r="K15" s="470"/>
      <c r="L15" s="470"/>
      <c r="M15" s="470"/>
      <c r="N15" s="470"/>
    </row>
    <row r="16" spans="2:247" x14ac:dyDescent="0.3">
      <c r="B16" s="463" t="s">
        <v>1324</v>
      </c>
      <c r="C16" s="471"/>
      <c r="D16" s="472">
        <f t="shared" ref="D16:J16" si="4">+IF(C15=0,(D10-$C$1)/(D10-C10),C16+1)</f>
        <v>-6.7452054794520544</v>
      </c>
      <c r="E16" s="472">
        <f t="shared" si="4"/>
        <v>-5.7267759562841531</v>
      </c>
      <c r="F16" s="472">
        <f t="shared" si="4"/>
        <v>-4.7424657534246579</v>
      </c>
      <c r="G16" s="472">
        <f t="shared" si="4"/>
        <v>-3.7424657534246575</v>
      </c>
      <c r="H16" s="472">
        <f t="shared" si="4"/>
        <v>-2.7424657534246575</v>
      </c>
      <c r="I16" s="472">
        <f t="shared" si="4"/>
        <v>-1.7349726775956285</v>
      </c>
      <c r="J16" s="472">
        <f t="shared" si="4"/>
        <v>-0.73972602739726023</v>
      </c>
      <c r="K16" s="472"/>
      <c r="L16" s="472"/>
      <c r="M16" s="472"/>
      <c r="N16" s="463"/>
    </row>
    <row r="17" spans="2:16" x14ac:dyDescent="0.3">
      <c r="B17" s="463" t="s">
        <v>1325</v>
      </c>
      <c r="C17" s="464"/>
      <c r="D17" s="473" cm="1">
        <f t="array" ref="D17">IF((D10-$C$1)&lt;=365,interpoler(mat_court,taux_court_act,(D10-$C$1)),interpoler(mat,taux,D16))</f>
        <v>2.3281430422376737E-2</v>
      </c>
      <c r="E17" s="473" cm="1">
        <f t="array" ref="E17">IF((E10-$C$1)&lt;=365,interpoler(mat_court,taux_court_act,(E10-$C$1)),interpoler(mat,taux,E16))</f>
        <v>2.3281430422376737E-2</v>
      </c>
      <c r="F17" s="473" cm="1">
        <f t="array" ref="F17">IF((F10-$C$1)&lt;=365,interpoler(mat_court,taux_court_act,(F10-$C$1)),interpoler(mat,taux,F16))</f>
        <v>2.3281430422376737E-2</v>
      </c>
      <c r="G17" s="474" cm="1">
        <f t="array" ref="G17">IF((G10-$C$1)&lt;=365,interpoler(mat_court,taux_court_act,(G10-$C$1)),interpoler(mat,taux,G16))</f>
        <v>2.3281430422376737E-2</v>
      </c>
      <c r="H17" s="473" cm="1">
        <f t="array" ref="H17">IF((H10-$C$1)&lt;=365,interpoler(mat_court,taux_court_act,(H10-$C$1)),interpoler(mat,taux,H16))</f>
        <v>2.3281430422376737E-2</v>
      </c>
      <c r="I17" s="473" cm="1">
        <f t="array" ref="I17">IF((I10-$C$1)&lt;=365,interpoler(mat_court,taux_court_act,(I10-$C$1)),interpoler(mat,taux,I16))</f>
        <v>2.3281430422376737E-2</v>
      </c>
      <c r="J17" s="473" cm="1">
        <f t="array" ref="J17">IF((J10-$C$1)&lt;=365,interpoler(mat_court,taux_court_act,(J10-$C$1)),interpoler(mat,taux,J16))</f>
        <v>2.3281430422376737E-2</v>
      </c>
      <c r="K17" s="473"/>
      <c r="L17" s="473"/>
      <c r="M17" s="473"/>
      <c r="N17" s="475"/>
    </row>
    <row r="18" spans="2:16" x14ac:dyDescent="0.3">
      <c r="B18" s="463" t="s">
        <v>1328</v>
      </c>
      <c r="C18" s="464"/>
      <c r="D18" s="473">
        <v>5.0000000000000001E-3</v>
      </c>
      <c r="E18" s="473">
        <f t="shared" ref="E18:J18" si="5">D18</f>
        <v>5.0000000000000001E-3</v>
      </c>
      <c r="F18" s="473">
        <f t="shared" si="5"/>
        <v>5.0000000000000001E-3</v>
      </c>
      <c r="G18" s="473">
        <f t="shared" si="5"/>
        <v>5.0000000000000001E-3</v>
      </c>
      <c r="H18" s="473">
        <f t="shared" si="5"/>
        <v>5.0000000000000001E-3</v>
      </c>
      <c r="I18" s="473">
        <f t="shared" si="5"/>
        <v>5.0000000000000001E-3</v>
      </c>
      <c r="J18" s="473">
        <f t="shared" si="5"/>
        <v>5.0000000000000001E-3</v>
      </c>
      <c r="K18" s="473"/>
      <c r="L18" s="473"/>
      <c r="M18" s="473"/>
      <c r="N18" s="476"/>
    </row>
    <row r="19" spans="2:16" x14ac:dyDescent="0.3">
      <c r="B19" s="463" t="s">
        <v>1329</v>
      </c>
      <c r="C19" s="464"/>
      <c r="D19" s="473">
        <f t="shared" ref="D19:J19" si="6">ROUND(D17+D18,5)</f>
        <v>2.828E-2</v>
      </c>
      <c r="E19" s="473">
        <f t="shared" si="6"/>
        <v>2.828E-2</v>
      </c>
      <c r="F19" s="473">
        <f t="shared" si="6"/>
        <v>2.828E-2</v>
      </c>
      <c r="G19" s="474">
        <f t="shared" si="6"/>
        <v>2.828E-2</v>
      </c>
      <c r="H19" s="474">
        <f t="shared" si="6"/>
        <v>2.828E-2</v>
      </c>
      <c r="I19" s="474">
        <f t="shared" si="6"/>
        <v>2.828E-2</v>
      </c>
      <c r="J19" s="474">
        <f t="shared" si="6"/>
        <v>2.828E-2</v>
      </c>
      <c r="K19" s="473"/>
      <c r="L19" s="473"/>
      <c r="M19" s="473"/>
      <c r="N19" s="476"/>
    </row>
    <row r="20" spans="2:16" x14ac:dyDescent="0.3">
      <c r="B20" s="463" t="s">
        <v>85</v>
      </c>
      <c r="C20" s="464"/>
      <c r="D20" s="477">
        <f>+D15/(1+D19)^D16</f>
        <v>0</v>
      </c>
      <c r="E20" s="477">
        <f>+E15/(1+E19)^E16</f>
        <v>0</v>
      </c>
      <c r="F20" s="477">
        <f>+F15/(1+F19)^F16</f>
        <v>0</v>
      </c>
      <c r="G20" s="853">
        <f>ROUND(G15/(1+G19)^G16,4)</f>
        <v>0</v>
      </c>
      <c r="H20" s="853">
        <f>ROUND(H15/(1+H19)^H16,4)</f>
        <v>0</v>
      </c>
      <c r="I20" s="853">
        <f>ROUND(I15/(1+I19)^I16,4)</f>
        <v>0</v>
      </c>
      <c r="J20" s="853">
        <f>ROUND(J15/(1+J19)^J16,4)</f>
        <v>0</v>
      </c>
      <c r="K20" s="477"/>
      <c r="L20" s="477"/>
      <c r="M20" s="477"/>
      <c r="N20" s="468"/>
      <c r="P20" s="594" cm="1">
        <f t="array" ref="P20">interpoler(CIH!$E$75:$E$104,CIH!$G$75:$G$104,P19)</f>
        <v>2.51483365629801E-2</v>
      </c>
    </row>
    <row r="21" spans="2:16" x14ac:dyDescent="0.3">
      <c r="B21" s="478"/>
      <c r="C21" s="479"/>
      <c r="D21" s="465"/>
      <c r="E21" s="652"/>
      <c r="F21" s="465"/>
      <c r="G21" s="465"/>
      <c r="H21" s="468"/>
      <c r="I21" s="465"/>
      <c r="J21" s="465"/>
      <c r="K21" s="465"/>
      <c r="L21" s="465"/>
      <c r="M21" s="465"/>
      <c r="N21" s="465"/>
    </row>
    <row r="22" spans="2:16" x14ac:dyDescent="0.3">
      <c r="B22" s="478" t="s">
        <v>650</v>
      </c>
      <c r="C22" s="479">
        <f>+SUM(D20:N20)</f>
        <v>0</v>
      </c>
      <c r="D22" s="465"/>
      <c r="E22" s="465"/>
      <c r="F22" s="465"/>
      <c r="G22" s="465"/>
      <c r="H22" s="465"/>
      <c r="I22" s="465"/>
      <c r="J22" s="465"/>
      <c r="K22" s="465"/>
      <c r="L22" s="465"/>
      <c r="M22" s="465"/>
      <c r="N22" s="465"/>
    </row>
    <row r="23" spans="2:16" x14ac:dyDescent="0.3">
      <c r="B23" s="478" t="s">
        <v>1331</v>
      </c>
      <c r="C23" s="480" t="e">
        <f>+SUMPRODUCT(D16:N16,D20:N20)/C22</f>
        <v>#DIV/0!</v>
      </c>
      <c r="D23" s="463"/>
      <c r="E23" s="463"/>
      <c r="F23" s="463"/>
      <c r="G23" s="463"/>
      <c r="H23" s="463"/>
      <c r="I23" s="463"/>
      <c r="J23" s="463"/>
      <c r="K23" s="463"/>
      <c r="L23" s="463"/>
      <c r="M23" s="464"/>
      <c r="N23" s="463"/>
    </row>
    <row r="25" spans="2:16" x14ac:dyDescent="0.3">
      <c r="F25" s="487"/>
    </row>
    <row r="26" spans="2:16" x14ac:dyDescent="0.3">
      <c r="B26" s="459" t="s">
        <v>2329</v>
      </c>
      <c r="C26" s="459">
        <v>9461</v>
      </c>
      <c r="D26" s="461" t="s">
        <v>2586</v>
      </c>
    </row>
    <row r="27" spans="2:16" x14ac:dyDescent="0.3">
      <c r="B27" s="463"/>
      <c r="C27" s="464" t="s">
        <v>105</v>
      </c>
      <c r="D27" s="465">
        <v>6.0100000000000001E-2</v>
      </c>
      <c r="E27" s="465"/>
      <c r="F27" s="463"/>
      <c r="G27" s="463"/>
      <c r="H27" s="463"/>
      <c r="I27" s="463"/>
      <c r="J27" s="463"/>
      <c r="K27" s="463"/>
      <c r="L27" s="463"/>
    </row>
    <row r="28" spans="2:16" x14ac:dyDescent="0.3">
      <c r="B28" s="463"/>
      <c r="C28" s="466">
        <v>43306</v>
      </c>
      <c r="D28" s="466">
        <v>43671</v>
      </c>
      <c r="E28" s="466">
        <v>44037</v>
      </c>
      <c r="F28" s="466">
        <v>44402</v>
      </c>
      <c r="G28" s="466">
        <v>44767</v>
      </c>
      <c r="H28" s="466">
        <v>45132</v>
      </c>
      <c r="I28" s="466">
        <v>45498</v>
      </c>
      <c r="J28" s="466">
        <v>45863</v>
      </c>
      <c r="K28" s="466">
        <v>46228</v>
      </c>
      <c r="L28" s="466">
        <v>46593</v>
      </c>
    </row>
    <row r="29" spans="2:16" x14ac:dyDescent="0.3">
      <c r="B29" s="463" t="s">
        <v>1318</v>
      </c>
      <c r="C29" s="464"/>
      <c r="D29" s="481">
        <v>0</v>
      </c>
      <c r="E29" s="481">
        <v>0</v>
      </c>
      <c r="F29" s="481">
        <v>0</v>
      </c>
      <c r="G29" s="481">
        <f t="shared" ref="G29:L29" si="7">100000/6</f>
        <v>16666.666666666668</v>
      </c>
      <c r="H29" s="481">
        <f t="shared" si="7"/>
        <v>16666.666666666668</v>
      </c>
      <c r="I29" s="481">
        <f t="shared" si="7"/>
        <v>16666.666666666668</v>
      </c>
      <c r="J29" s="481">
        <f t="shared" si="7"/>
        <v>16666.666666666668</v>
      </c>
      <c r="K29" s="481">
        <f t="shared" si="7"/>
        <v>16666.666666666668</v>
      </c>
      <c r="L29" s="481">
        <f t="shared" si="7"/>
        <v>16666.666666666668</v>
      </c>
    </row>
    <row r="30" spans="2:16" x14ac:dyDescent="0.3">
      <c r="B30" s="463" t="s">
        <v>1320</v>
      </c>
      <c r="C30" s="468">
        <v>100000</v>
      </c>
      <c r="D30" s="469">
        <f>+C30-D29</f>
        <v>100000</v>
      </c>
      <c r="E30" s="469">
        <f t="shared" ref="E30:L30" si="8">+D30-E29</f>
        <v>100000</v>
      </c>
      <c r="F30" s="469">
        <f t="shared" si="8"/>
        <v>100000</v>
      </c>
      <c r="G30" s="469">
        <f t="shared" si="8"/>
        <v>83333.333333333328</v>
      </c>
      <c r="H30" s="469">
        <f t="shared" si="8"/>
        <v>66666.666666666657</v>
      </c>
      <c r="I30" s="469">
        <f t="shared" si="8"/>
        <v>49999.999999999985</v>
      </c>
      <c r="J30" s="469">
        <f t="shared" si="8"/>
        <v>33333.333333333314</v>
      </c>
      <c r="K30" s="469">
        <f t="shared" si="8"/>
        <v>16666.666666666646</v>
      </c>
      <c r="L30" s="469">
        <f t="shared" si="8"/>
        <v>0</v>
      </c>
    </row>
    <row r="31" spans="2:16" x14ac:dyDescent="0.3">
      <c r="B31" s="463" t="s">
        <v>1321</v>
      </c>
      <c r="C31" s="464"/>
      <c r="D31" s="470">
        <f t="shared" ref="D31:L31" si="9">+$D$27*C30</f>
        <v>6010</v>
      </c>
      <c r="E31" s="470">
        <f t="shared" si="9"/>
        <v>6010</v>
      </c>
      <c r="F31" s="470">
        <f t="shared" si="9"/>
        <v>6010</v>
      </c>
      <c r="G31" s="470">
        <f t="shared" si="9"/>
        <v>6010</v>
      </c>
      <c r="H31" s="470">
        <f t="shared" si="9"/>
        <v>5008.333333333333</v>
      </c>
      <c r="I31" s="470">
        <f t="shared" si="9"/>
        <v>4006.6666666666661</v>
      </c>
      <c r="J31" s="470">
        <f t="shared" si="9"/>
        <v>3004.9999999999991</v>
      </c>
      <c r="K31" s="470">
        <f t="shared" si="9"/>
        <v>2003.3333333333321</v>
      </c>
      <c r="L31" s="470">
        <f t="shared" si="9"/>
        <v>1001.6666666666655</v>
      </c>
    </row>
    <row r="32" spans="2:16" x14ac:dyDescent="0.3">
      <c r="B32" s="463" t="s">
        <v>1322</v>
      </c>
      <c r="C32" s="464"/>
      <c r="D32" s="470">
        <f>+D31+D29</f>
        <v>6010</v>
      </c>
      <c r="E32" s="470">
        <f t="shared" ref="E32:L32" si="10">+E31+E29</f>
        <v>6010</v>
      </c>
      <c r="F32" s="470">
        <f t="shared" si="10"/>
        <v>6010</v>
      </c>
      <c r="G32" s="470">
        <f t="shared" si="10"/>
        <v>22676.666666666668</v>
      </c>
      <c r="H32" s="470">
        <f t="shared" si="10"/>
        <v>21675</v>
      </c>
      <c r="I32" s="470">
        <f t="shared" si="10"/>
        <v>20673.333333333336</v>
      </c>
      <c r="J32" s="470">
        <f t="shared" si="10"/>
        <v>19671.666666666668</v>
      </c>
      <c r="K32" s="470">
        <f t="shared" si="10"/>
        <v>18670</v>
      </c>
      <c r="L32" s="470">
        <f t="shared" si="10"/>
        <v>17668.333333333332</v>
      </c>
    </row>
    <row r="33" spans="2:13" x14ac:dyDescent="0.3">
      <c r="B33" s="463" t="s">
        <v>1323</v>
      </c>
      <c r="C33" s="468"/>
      <c r="D33" s="470">
        <f t="shared" ref="D33:L33" si="11">+IF(D28&gt;$C$1,D32,0)</f>
        <v>0</v>
      </c>
      <c r="E33" s="470">
        <f t="shared" si="11"/>
        <v>0</v>
      </c>
      <c r="F33" s="470">
        <f t="shared" si="11"/>
        <v>0</v>
      </c>
      <c r="G33" s="470">
        <f t="shared" si="11"/>
        <v>0</v>
      </c>
      <c r="H33" s="470">
        <f t="shared" si="11"/>
        <v>0</v>
      </c>
      <c r="I33" s="470">
        <f t="shared" si="11"/>
        <v>0</v>
      </c>
      <c r="J33" s="470">
        <f t="shared" si="11"/>
        <v>0</v>
      </c>
      <c r="K33" s="470">
        <f t="shared" si="11"/>
        <v>18670</v>
      </c>
      <c r="L33" s="470">
        <f t="shared" si="11"/>
        <v>17668.333333333332</v>
      </c>
    </row>
    <row r="34" spans="2:13" x14ac:dyDescent="0.3">
      <c r="B34" s="463" t="s">
        <v>1324</v>
      </c>
      <c r="C34" s="471"/>
      <c r="D34" s="472">
        <f t="shared" ref="D34:L34" si="12">+ROUND(IF(C33=0,(D28-$C$1)/(D28-C28),C34+1),10)</f>
        <v>-6.6739726027000001</v>
      </c>
      <c r="E34" s="472">
        <f t="shared" si="12"/>
        <v>-5.6557377048999999</v>
      </c>
      <c r="F34" s="472">
        <f t="shared" si="12"/>
        <v>-4.6712328767000004</v>
      </c>
      <c r="G34" s="472">
        <f t="shared" si="12"/>
        <v>-3.6712328767</v>
      </c>
      <c r="H34" s="472">
        <f t="shared" si="12"/>
        <v>-2.6712328767</v>
      </c>
      <c r="I34" s="472">
        <f t="shared" si="12"/>
        <v>-1.6639344262</v>
      </c>
      <c r="J34" s="472">
        <f t="shared" si="12"/>
        <v>-0.66849315070000004</v>
      </c>
      <c r="K34" s="472">
        <f t="shared" si="12"/>
        <v>0.33150684930000002</v>
      </c>
      <c r="L34" s="472">
        <f t="shared" si="12"/>
        <v>1.3315068493</v>
      </c>
    </row>
    <row r="35" spans="2:13" x14ac:dyDescent="0.3">
      <c r="B35" s="463" t="s">
        <v>1325</v>
      </c>
      <c r="C35" s="464"/>
      <c r="D35" s="473" cm="1">
        <f t="array" ref="D35">interpoler(mat_zc,Taux_ZC,D34)</f>
        <v>2.3281430400000001E-2</v>
      </c>
      <c r="E35" s="473" cm="1">
        <f t="array" ref="E35">interpoler(mat_zc,Taux_ZC,E34)</f>
        <v>2.3281430400000001E-2</v>
      </c>
      <c r="F35" s="473" cm="1">
        <f t="array" ref="F35">interpoler(mat_zc,Taux_ZC,F34)</f>
        <v>2.3281430400000001E-2</v>
      </c>
      <c r="G35" s="473" cm="1">
        <f t="array" ref="G35">interpoler(mat_zc,Taux_ZC,G34)</f>
        <v>2.3281430400000001E-2</v>
      </c>
      <c r="H35" s="473" cm="1">
        <f t="array" ref="H35">interpoler(mat_zc,Taux_ZC,H34)</f>
        <v>2.3281430400000001E-2</v>
      </c>
      <c r="I35" s="473" cm="1">
        <f t="array" ref="I35">interpoler(mat_zc,Taux_ZC,I34)</f>
        <v>2.3281430400000001E-2</v>
      </c>
      <c r="J35" s="473" cm="1">
        <f t="array" ref="J35">interpoler(mat_zc,Taux_ZC,J34)</f>
        <v>2.3281430400000001E-2</v>
      </c>
      <c r="K35" s="473" cm="1">
        <f t="array" ref="K35">interpoler(mat_zc,Taux_ZC,K34)</f>
        <v>2.373070019556494E-2</v>
      </c>
      <c r="L35" s="473" cm="1">
        <f t="array" ref="L35">interpoler(mat_zc,Taux_ZC,L34)</f>
        <v>2.566000538764774E-2</v>
      </c>
    </row>
    <row r="36" spans="2:13" x14ac:dyDescent="0.3">
      <c r="B36" s="463" t="s">
        <v>1328</v>
      </c>
      <c r="C36" s="464"/>
      <c r="D36" s="473">
        <v>3.6700000000000003E-2</v>
      </c>
      <c r="E36" s="473">
        <f t="shared" ref="E36:L36" si="13">D36</f>
        <v>3.6700000000000003E-2</v>
      </c>
      <c r="F36" s="473">
        <f t="shared" si="13"/>
        <v>3.6700000000000003E-2</v>
      </c>
      <c r="G36" s="473">
        <f t="shared" si="13"/>
        <v>3.6700000000000003E-2</v>
      </c>
      <c r="H36" s="473">
        <f t="shared" si="13"/>
        <v>3.6700000000000003E-2</v>
      </c>
      <c r="I36" s="473">
        <f t="shared" si="13"/>
        <v>3.6700000000000003E-2</v>
      </c>
      <c r="J36" s="473">
        <f t="shared" si="13"/>
        <v>3.6700000000000003E-2</v>
      </c>
      <c r="K36" s="473">
        <f t="shared" si="13"/>
        <v>3.6700000000000003E-2</v>
      </c>
      <c r="L36" s="473">
        <f t="shared" si="13"/>
        <v>3.6700000000000003E-2</v>
      </c>
    </row>
    <row r="37" spans="2:13" x14ac:dyDescent="0.3">
      <c r="B37" s="463" t="s">
        <v>1329</v>
      </c>
      <c r="C37" s="464"/>
      <c r="D37" s="473">
        <f t="shared" ref="D37:L37" si="14">ROUND(D35+D36,5)</f>
        <v>5.9979999999999999E-2</v>
      </c>
      <c r="E37" s="473">
        <f t="shared" si="14"/>
        <v>5.9979999999999999E-2</v>
      </c>
      <c r="F37" s="473">
        <f t="shared" si="14"/>
        <v>5.9979999999999999E-2</v>
      </c>
      <c r="G37" s="473">
        <f t="shared" si="14"/>
        <v>5.9979999999999999E-2</v>
      </c>
      <c r="H37" s="473">
        <f t="shared" si="14"/>
        <v>5.9979999999999999E-2</v>
      </c>
      <c r="I37" s="473">
        <f t="shared" si="14"/>
        <v>5.9979999999999999E-2</v>
      </c>
      <c r="J37" s="473">
        <f t="shared" si="14"/>
        <v>5.9979999999999999E-2</v>
      </c>
      <c r="K37" s="473">
        <f t="shared" si="14"/>
        <v>6.0429999999999998E-2</v>
      </c>
      <c r="L37" s="473">
        <f t="shared" si="14"/>
        <v>6.2359999999999999E-2</v>
      </c>
    </row>
    <row r="38" spans="2:13" x14ac:dyDescent="0.3">
      <c r="B38" s="463" t="s">
        <v>85</v>
      </c>
      <c r="C38" s="464"/>
      <c r="D38" s="477">
        <f t="shared" ref="D38:L38" si="15">+D33/(1+D37)^D34</f>
        <v>0</v>
      </c>
      <c r="E38" s="477">
        <f t="shared" si="15"/>
        <v>0</v>
      </c>
      <c r="F38" s="477">
        <f t="shared" si="15"/>
        <v>0</v>
      </c>
      <c r="G38" s="477">
        <f t="shared" si="15"/>
        <v>0</v>
      </c>
      <c r="H38" s="477">
        <f t="shared" si="15"/>
        <v>0</v>
      </c>
      <c r="I38" s="1022">
        <f t="shared" si="15"/>
        <v>0</v>
      </c>
      <c r="J38" s="477">
        <f t="shared" si="15"/>
        <v>0</v>
      </c>
      <c r="K38" s="477">
        <f t="shared" si="15"/>
        <v>18310.358967376764</v>
      </c>
      <c r="L38" s="477">
        <f t="shared" si="15"/>
        <v>16301.014058251831</v>
      </c>
    </row>
    <row r="39" spans="2:13" x14ac:dyDescent="0.3">
      <c r="B39" s="478"/>
      <c r="C39" s="479"/>
      <c r="D39" s="465"/>
      <c r="E39" s="465"/>
      <c r="F39" s="465"/>
      <c r="G39" s="465"/>
      <c r="H39" s="468"/>
      <c r="I39" s="468"/>
      <c r="J39" s="468"/>
      <c r="K39" s="468"/>
      <c r="L39" s="468"/>
    </row>
    <row r="40" spans="2:13" x14ac:dyDescent="0.3">
      <c r="B40" s="478" t="s">
        <v>650</v>
      </c>
      <c r="C40" s="479">
        <f>+SUM(D38:X38)</f>
        <v>34611.373025628593</v>
      </c>
      <c r="D40" s="465"/>
      <c r="E40" s="465"/>
      <c r="F40" s="465"/>
      <c r="G40" s="465"/>
      <c r="H40" s="465"/>
      <c r="I40" s="465"/>
      <c r="J40" s="465"/>
      <c r="K40" s="465"/>
      <c r="L40" s="465"/>
    </row>
    <row r="41" spans="2:13" x14ac:dyDescent="0.3">
      <c r="B41" s="478" t="s">
        <v>1331</v>
      </c>
      <c r="C41" s="480">
        <f>+SUMPRODUCT(D34:X34,D38:X38)/C40</f>
        <v>0.80247961441340532</v>
      </c>
      <c r="D41" s="463"/>
      <c r="E41" s="463"/>
      <c r="F41" s="463"/>
      <c r="G41" s="463"/>
      <c r="H41" s="463"/>
      <c r="I41" s="463"/>
      <c r="J41" s="463"/>
      <c r="K41" s="463"/>
      <c r="L41" s="463"/>
    </row>
    <row r="43" spans="2:13" x14ac:dyDescent="0.3">
      <c r="C43" s="573"/>
      <c r="G43" s="1001"/>
    </row>
    <row r="44" spans="2:13" x14ac:dyDescent="0.3">
      <c r="B44" s="495" t="s">
        <v>2357</v>
      </c>
      <c r="C44" s="495">
        <v>9396</v>
      </c>
      <c r="D44" s="424" t="s">
        <v>2355</v>
      </c>
      <c r="E44" s="331" t="s">
        <v>2439</v>
      </c>
    </row>
    <row r="45" spans="2:13" x14ac:dyDescent="0.3">
      <c r="B45" s="364"/>
      <c r="C45" s="364" t="s">
        <v>105</v>
      </c>
      <c r="D45" s="365">
        <v>4.0500000000000001E-2</v>
      </c>
      <c r="E45" s="365"/>
      <c r="F45" s="361"/>
      <c r="G45" s="365">
        <v>2.4500000000000001E-2</v>
      </c>
      <c r="H45" s="365">
        <v>4.0500000000000001E-2</v>
      </c>
      <c r="I45" s="365">
        <v>3.8100000000000002E-2</v>
      </c>
      <c r="J45" s="365">
        <v>2.8299999999999999E-2</v>
      </c>
      <c r="K45" s="361"/>
      <c r="L45" s="361"/>
      <c r="M45" s="361"/>
    </row>
    <row r="46" spans="2:13" x14ac:dyDescent="0.3">
      <c r="B46" s="361"/>
      <c r="C46" s="366">
        <v>43620</v>
      </c>
      <c r="D46" s="366">
        <v>43986</v>
      </c>
      <c r="E46" s="366">
        <v>44351</v>
      </c>
      <c r="F46" s="366">
        <v>44716</v>
      </c>
      <c r="G46" s="366">
        <v>45081</v>
      </c>
      <c r="H46" s="366">
        <v>45447</v>
      </c>
      <c r="I46" s="366">
        <v>45812</v>
      </c>
      <c r="J46" s="366">
        <v>46177</v>
      </c>
      <c r="K46" s="366">
        <v>46542</v>
      </c>
      <c r="L46" s="366">
        <v>46908</v>
      </c>
      <c r="M46" s="366">
        <v>47273</v>
      </c>
    </row>
    <row r="47" spans="2:13" x14ac:dyDescent="0.3">
      <c r="B47" s="463" t="s">
        <v>1318</v>
      </c>
      <c r="C47" s="367"/>
      <c r="D47" s="534">
        <f>100000/10</f>
        <v>10000</v>
      </c>
      <c r="E47" s="534">
        <f>100000/10</f>
        <v>10000</v>
      </c>
      <c r="F47" s="534">
        <f t="shared" ref="F47:M47" si="16">100000/10</f>
        <v>10000</v>
      </c>
      <c r="G47" s="534">
        <f t="shared" si="16"/>
        <v>10000</v>
      </c>
      <c r="H47" s="534">
        <f t="shared" si="16"/>
        <v>10000</v>
      </c>
      <c r="I47" s="534">
        <f t="shared" si="16"/>
        <v>10000</v>
      </c>
      <c r="J47" s="534">
        <f t="shared" si="16"/>
        <v>10000</v>
      </c>
      <c r="K47" s="534">
        <f t="shared" si="16"/>
        <v>10000</v>
      </c>
      <c r="L47" s="534">
        <f t="shared" si="16"/>
        <v>10000</v>
      </c>
      <c r="M47" s="534">
        <f t="shared" si="16"/>
        <v>10000</v>
      </c>
    </row>
    <row r="48" spans="2:13" x14ac:dyDescent="0.3">
      <c r="B48" s="463" t="s">
        <v>1320</v>
      </c>
      <c r="C48" s="368">
        <v>100000</v>
      </c>
      <c r="D48" s="488">
        <f t="shared" ref="D48:M48" si="17">C48-D47</f>
        <v>90000</v>
      </c>
      <c r="E48" s="488">
        <f t="shared" si="17"/>
        <v>80000</v>
      </c>
      <c r="F48" s="488">
        <f t="shared" si="17"/>
        <v>70000</v>
      </c>
      <c r="G48" s="488">
        <f t="shared" si="17"/>
        <v>60000</v>
      </c>
      <c r="H48" s="488">
        <f t="shared" si="17"/>
        <v>50000</v>
      </c>
      <c r="I48" s="488">
        <f t="shared" si="17"/>
        <v>40000</v>
      </c>
      <c r="J48" s="488">
        <f t="shared" si="17"/>
        <v>30000</v>
      </c>
      <c r="K48" s="488">
        <f t="shared" si="17"/>
        <v>20000</v>
      </c>
      <c r="L48" s="488">
        <f t="shared" si="17"/>
        <v>10000</v>
      </c>
      <c r="M48" s="488">
        <f t="shared" si="17"/>
        <v>0</v>
      </c>
    </row>
    <row r="49" spans="2:13" x14ac:dyDescent="0.3">
      <c r="B49" s="463" t="s">
        <v>1321</v>
      </c>
      <c r="C49" s="367"/>
      <c r="D49" s="370">
        <f>3.02%*C48*(D46-C46)/360</f>
        <v>3070.3333333333335</v>
      </c>
      <c r="E49" s="370">
        <f>2.87%*D48*(E46-D46)/360</f>
        <v>2618.875</v>
      </c>
      <c r="F49" s="370">
        <f>D45*E48*(F46-E46)/360</f>
        <v>3285</v>
      </c>
      <c r="G49" s="370">
        <f>G45*F48*(G46-F46)/360</f>
        <v>1738.8194444444443</v>
      </c>
      <c r="H49" s="488">
        <f>H45*G48*(H46-G46)/360</f>
        <v>2470.5</v>
      </c>
      <c r="I49" s="370">
        <f>I45*H48*(I46-H46)/360</f>
        <v>1931.4583333333333</v>
      </c>
      <c r="J49" s="370">
        <f>J45*I48*(J46-I46)/360</f>
        <v>1147.7222222222222</v>
      </c>
      <c r="K49" s="370">
        <f>3.02%*J48*(K46-J46)/360</f>
        <v>918.58333333333337</v>
      </c>
      <c r="L49" s="370">
        <f>3.02%*K48*(L46-K46)/360</f>
        <v>614.06666666666672</v>
      </c>
      <c r="M49" s="370">
        <f>3.02%*L48*(M46-L46)/360</f>
        <v>306.19444444444446</v>
      </c>
    </row>
    <row r="50" spans="2:13" x14ac:dyDescent="0.3">
      <c r="B50" s="463" t="s">
        <v>1322</v>
      </c>
      <c r="C50" s="367"/>
      <c r="D50" s="488">
        <f>+D49+D47</f>
        <v>13070.333333333334</v>
      </c>
      <c r="E50" s="488">
        <f>+E49+E47</f>
        <v>12618.875</v>
      </c>
      <c r="F50" s="488">
        <f t="shared" ref="F50:M50" si="18">+F49+F47</f>
        <v>13285</v>
      </c>
      <c r="G50" s="488">
        <f t="shared" si="18"/>
        <v>11738.819444444445</v>
      </c>
      <c r="H50" s="488">
        <f t="shared" si="18"/>
        <v>12470.5</v>
      </c>
      <c r="I50" s="488">
        <f t="shared" si="18"/>
        <v>11931.458333333334</v>
      </c>
      <c r="J50" s="488">
        <f t="shared" si="18"/>
        <v>11147.722222222223</v>
      </c>
      <c r="K50" s="488">
        <f t="shared" si="18"/>
        <v>10918.583333333334</v>
      </c>
      <c r="L50" s="488">
        <f t="shared" si="18"/>
        <v>10614.066666666668</v>
      </c>
      <c r="M50" s="488">
        <f t="shared" si="18"/>
        <v>10306.194444444445</v>
      </c>
    </row>
    <row r="51" spans="2:13" x14ac:dyDescent="0.3">
      <c r="B51" s="463" t="s">
        <v>1323</v>
      </c>
      <c r="C51" s="368"/>
      <c r="D51" s="488">
        <f t="shared" ref="D51:M51" si="19">+IF(D46&gt;$C$1,D50,0)</f>
        <v>0</v>
      </c>
      <c r="E51" s="488">
        <f t="shared" si="19"/>
        <v>0</v>
      </c>
      <c r="F51" s="488">
        <f t="shared" si="19"/>
        <v>0</v>
      </c>
      <c r="G51" s="488">
        <f t="shared" si="19"/>
        <v>0</v>
      </c>
      <c r="H51" s="488">
        <f t="shared" si="19"/>
        <v>0</v>
      </c>
      <c r="I51" s="488">
        <f t="shared" si="19"/>
        <v>0</v>
      </c>
      <c r="J51" s="488">
        <f t="shared" si="19"/>
        <v>11147.722222222223</v>
      </c>
      <c r="K51" s="488">
        <f t="shared" si="19"/>
        <v>10918.583333333334</v>
      </c>
      <c r="L51" s="488">
        <f t="shared" si="19"/>
        <v>10614.066666666668</v>
      </c>
      <c r="M51" s="488">
        <f t="shared" si="19"/>
        <v>10306.194444444445</v>
      </c>
    </row>
    <row r="52" spans="2:13" x14ac:dyDescent="0.3">
      <c r="B52" s="463" t="s">
        <v>1324</v>
      </c>
      <c r="C52" s="371"/>
      <c r="D52" s="488">
        <f>D46-$C$1</f>
        <v>-2121</v>
      </c>
      <c r="E52" s="488">
        <f t="shared" ref="E52:M52" si="20">+IF(D51=0,(E46-$C$1),D52+1)</f>
        <v>-1756</v>
      </c>
      <c r="F52" s="488">
        <f t="shared" si="20"/>
        <v>-1391</v>
      </c>
      <c r="G52" s="488">
        <f t="shared" si="20"/>
        <v>-1026</v>
      </c>
      <c r="H52" s="488">
        <f t="shared" si="20"/>
        <v>-660</v>
      </c>
      <c r="I52" s="488">
        <f t="shared" si="20"/>
        <v>-295</v>
      </c>
      <c r="J52" s="488">
        <f t="shared" si="20"/>
        <v>70</v>
      </c>
      <c r="K52" s="488">
        <f t="shared" si="20"/>
        <v>71</v>
      </c>
      <c r="L52" s="488">
        <f t="shared" si="20"/>
        <v>72</v>
      </c>
      <c r="M52" s="488">
        <f t="shared" si="20"/>
        <v>73</v>
      </c>
    </row>
    <row r="53" spans="2:13" x14ac:dyDescent="0.3">
      <c r="B53" s="463" t="s">
        <v>2402</v>
      </c>
      <c r="C53" s="367"/>
      <c r="D53" s="375" cm="1">
        <f t="array" ref="D53">IF(D52&lt;1,interpoler(_mat1,taux1,D52*(D46-C46)),interpoler(_mat2,taux2,D52))</f>
        <v>2.2700000000000001E-2</v>
      </c>
      <c r="E53" s="375" cm="1">
        <f t="array" ref="E53">IF(E52&lt;365,interpoler(_mat1,taux1,E52),interpoler(_mat2,taux2,E52))</f>
        <v>2.2700000000000001E-2</v>
      </c>
      <c r="F53" s="375" cm="1">
        <f t="array" ref="F53">IF((F46-E46)/365&gt;1,interpoler(_mat2,taux2,F52*(F46-E46)/365),interpoler(_mat1,taux1,F52*(F46-E46)/365))</f>
        <v>2.2700000000000001E-2</v>
      </c>
      <c r="G53" s="375" cm="1">
        <f t="array" ref="G53">IF((G46-F46)/365&gt;1,interpoler(_mat2,taux2,G52*(G46-F46)/365),interpoler(_mat1,taux1,G52*(G46-F46)/365))</f>
        <v>2.2700000000000001E-2</v>
      </c>
      <c r="H53" s="375" cm="1">
        <f t="array" ref="H53">IF((H46-G46)/366&gt;1,interpoler(_mat2,taux2,H52*(H46-G46)/366),interpoler(_mat1,taux1,H52*(H46-G46)/366))</f>
        <v>2.2700000000000001E-2</v>
      </c>
      <c r="I53" s="375" cm="1">
        <f t="array" ref="I53">IF((I46-H46)/365&gt;1,interpoler(_mat2,taux2,I52*(I46-H46)/365),interpoler(_mat1,taux1,I52*(I46-H46)/365))</f>
        <v>2.2700000000000001E-2</v>
      </c>
      <c r="J53" s="375" cm="1">
        <f t="array" ref="J53">IF((J46-I46)/365&gt;1,interpoler(_mat2,taux2,J52*(J46-I46)/365),interpoler(_mat1,taux1,J52*(J46-I46)/365))</f>
        <v>2.2830769230769231E-2</v>
      </c>
      <c r="K53" s="375" cm="1">
        <f t="array" ref="K53">IF((K46-J46)/365&gt;1,interpoler(_mat2,taux2,K52*(K46-J46)/365),interpoler(_mat1,taux1,K52*(K46-J46)/365))</f>
        <v>2.283846153846154E-2</v>
      </c>
      <c r="L53" s="375" cm="1">
        <f t="array" ref="L53">IF((L46-K46)/365&gt;1,interpoler(_mat2,taux2,L52*(L46-K46)/365),interpoler(_mat1,taux1,L52*(L46-K46)/365))</f>
        <v>2.4974686400000001E-2</v>
      </c>
      <c r="M53" s="375" cm="1">
        <f t="array" ref="M53">IF((M46-L46)/365&gt;1,interpoler(_mat2,taux2,M52*(M46-L46)/365),interpoler(_mat1,taux1,M52*(M46-L46)/365))</f>
        <v>2.2853846153846155E-2</v>
      </c>
    </row>
    <row r="54" spans="2:13" x14ac:dyDescent="0.3">
      <c r="B54" s="463" t="s">
        <v>1328</v>
      </c>
      <c r="C54" s="367"/>
      <c r="D54" s="365">
        <v>7.0000000000000001E-3</v>
      </c>
      <c r="E54" s="365">
        <v>7.0000000000000001E-3</v>
      </c>
      <c r="F54" s="365">
        <v>7.0000000000000001E-3</v>
      </c>
      <c r="G54" s="365">
        <v>7.0000000000000001E-3</v>
      </c>
      <c r="H54" s="998">
        <v>7.0000000000000001E-3</v>
      </c>
      <c r="I54" s="365">
        <v>7.0000000000000001E-3</v>
      </c>
      <c r="J54" s="365">
        <v>7.0000000000000001E-3</v>
      </c>
      <c r="K54" s="365">
        <v>7.0000000000000001E-3</v>
      </c>
      <c r="L54" s="365">
        <v>7.0000000000000001E-3</v>
      </c>
      <c r="M54" s="365">
        <v>7.0000000000000001E-3</v>
      </c>
    </row>
    <row r="55" spans="2:13" x14ac:dyDescent="0.3">
      <c r="B55" s="463" t="s">
        <v>1329</v>
      </c>
      <c r="C55" s="367"/>
      <c r="D55" s="429">
        <f t="shared" ref="D55:M55" si="21">ROUND(D53+D54,5)</f>
        <v>2.9700000000000001E-2</v>
      </c>
      <c r="E55" s="429">
        <f t="shared" si="21"/>
        <v>2.9700000000000001E-2</v>
      </c>
      <c r="F55" s="429">
        <f t="shared" si="21"/>
        <v>2.9700000000000001E-2</v>
      </c>
      <c r="G55" s="429">
        <f t="shared" si="21"/>
        <v>2.9700000000000001E-2</v>
      </c>
      <c r="H55" s="440">
        <f t="shared" si="21"/>
        <v>2.9700000000000001E-2</v>
      </c>
      <c r="I55" s="429">
        <f t="shared" si="21"/>
        <v>2.9700000000000001E-2</v>
      </c>
      <c r="J55" s="429">
        <f t="shared" si="21"/>
        <v>2.9829999999999999E-2</v>
      </c>
      <c r="K55" s="429">
        <f t="shared" si="21"/>
        <v>2.9839999999999998E-2</v>
      </c>
      <c r="L55" s="429">
        <f t="shared" si="21"/>
        <v>3.1969999999999998E-2</v>
      </c>
      <c r="M55" s="429">
        <f t="shared" si="21"/>
        <v>2.9850000000000002E-2</v>
      </c>
    </row>
    <row r="56" spans="2:13" x14ac:dyDescent="0.3">
      <c r="B56" s="463" t="s">
        <v>1322</v>
      </c>
      <c r="C56" s="367"/>
      <c r="D56" s="488">
        <f>IF(D51=0,0,D50+D48)</f>
        <v>0</v>
      </c>
      <c r="E56" s="488">
        <f t="shared" ref="E56:M56" si="22">E50+E48</f>
        <v>92618.875</v>
      </c>
      <c r="F56" s="488">
        <f t="shared" si="22"/>
        <v>83285</v>
      </c>
      <c r="G56" s="488">
        <f t="shared" si="22"/>
        <v>71738.819444444438</v>
      </c>
      <c r="H56" s="488">
        <f t="shared" si="22"/>
        <v>62470.5</v>
      </c>
      <c r="I56" s="488">
        <f t="shared" si="22"/>
        <v>51931.458333333336</v>
      </c>
      <c r="J56" s="488">
        <f t="shared" si="22"/>
        <v>41147.722222222219</v>
      </c>
      <c r="K56" s="488">
        <f t="shared" si="22"/>
        <v>30918.583333333336</v>
      </c>
      <c r="L56" s="488">
        <f t="shared" si="22"/>
        <v>20614.066666666666</v>
      </c>
      <c r="M56" s="488">
        <f t="shared" si="22"/>
        <v>10306.194444444445</v>
      </c>
    </row>
    <row r="57" spans="2:13" x14ac:dyDescent="0.3">
      <c r="B57" s="463"/>
      <c r="C57" s="367"/>
      <c r="D57" s="488">
        <f>IF(D52&lt;0,0,D56/(1+D55*D52/360))</f>
        <v>0</v>
      </c>
      <c r="E57" s="488">
        <f>IF(E52&lt;0,0,E56/(1+E55*E52/360))</f>
        <v>0</v>
      </c>
      <c r="F57" s="488">
        <f>IF(F52&lt;0,0,F56/(1+F55*F52/360))</f>
        <v>0</v>
      </c>
      <c r="G57" s="488">
        <f>IF(G52&lt;0,0,G56/(1+G55*G52/360))</f>
        <v>0</v>
      </c>
      <c r="H57" s="488">
        <f>(H50+H48)/(1+H55*(H46-C1)/360)</f>
        <v>66067.896991169167</v>
      </c>
      <c r="I57" s="488">
        <f>IF(I52&lt;0,0,I56/(1+I55*I52/360))</f>
        <v>0</v>
      </c>
      <c r="J57" s="488">
        <f>IF(J52&lt;0,0,J56/(1+J55*J52/360))</f>
        <v>40910.430362113533</v>
      </c>
      <c r="K57" s="488">
        <f>IF(K52&lt;0,0,K56/(1+K55*K52/360))</f>
        <v>30737.68862050294</v>
      </c>
      <c r="L57" s="488">
        <f>IF(L52&lt;0,0,L56/(1+L55*L52/360))</f>
        <v>20483.097739718902</v>
      </c>
      <c r="M57" s="488">
        <f>IF(M52&lt;0,0,M56/(1+M55*M52/360))</f>
        <v>10244.187232806536</v>
      </c>
    </row>
    <row r="58" spans="2:13" x14ac:dyDescent="0.3">
      <c r="B58" s="495" t="s">
        <v>650</v>
      </c>
      <c r="C58" s="501">
        <f>J57</f>
        <v>40910.430362113533</v>
      </c>
      <c r="D58" s="500"/>
      <c r="E58" s="430"/>
      <c r="F58" s="361"/>
      <c r="G58" s="365"/>
      <c r="H58" s="488"/>
      <c r="I58" s="361"/>
      <c r="J58" s="361"/>
      <c r="K58" s="361"/>
      <c r="L58" s="361"/>
      <c r="M58" s="361"/>
    </row>
    <row r="59" spans="2:13" x14ac:dyDescent="0.3">
      <c r="I59" s="461">
        <f>(I46-C1)/364</f>
        <v>-0.81043956043956045</v>
      </c>
    </row>
    <row r="60" spans="2:13" x14ac:dyDescent="0.3">
      <c r="B60" s="495" t="s">
        <v>2357</v>
      </c>
      <c r="C60" s="495">
        <v>9345</v>
      </c>
      <c r="D60" s="424" t="s">
        <v>2355</v>
      </c>
      <c r="E60" s="331" t="s">
        <v>2358</v>
      </c>
      <c r="G60" s="461" t="s">
        <v>2365</v>
      </c>
      <c r="I60" s="461" t="s">
        <v>2401</v>
      </c>
    </row>
    <row r="61" spans="2:13" x14ac:dyDescent="0.3">
      <c r="B61" s="364"/>
      <c r="C61" s="364" t="s">
        <v>105</v>
      </c>
      <c r="D61" s="365">
        <v>3.4500000000000003E-2</v>
      </c>
      <c r="E61" s="365">
        <v>3.0099999999999998E-2</v>
      </c>
      <c r="F61" s="361"/>
      <c r="G61" s="363"/>
      <c r="H61" s="361"/>
      <c r="I61" s="361"/>
      <c r="J61" s="361"/>
      <c r="K61" s="361"/>
      <c r="L61" s="361"/>
      <c r="M61" s="361"/>
    </row>
    <row r="62" spans="2:13" x14ac:dyDescent="0.3">
      <c r="B62" s="361"/>
      <c r="C62" s="366">
        <v>43039</v>
      </c>
      <c r="D62" s="366">
        <v>43404</v>
      </c>
      <c r="E62" s="366">
        <v>43769</v>
      </c>
      <c r="F62" s="366">
        <v>44135</v>
      </c>
      <c r="G62" s="366">
        <v>44500</v>
      </c>
      <c r="H62" s="366">
        <v>44865</v>
      </c>
      <c r="I62" s="366">
        <v>45230</v>
      </c>
      <c r="J62" s="366">
        <v>45596</v>
      </c>
      <c r="K62" s="366">
        <v>45961</v>
      </c>
      <c r="L62" s="366">
        <v>46326</v>
      </c>
      <c r="M62" s="366">
        <v>46691</v>
      </c>
    </row>
    <row r="63" spans="2:13" x14ac:dyDescent="0.3">
      <c r="B63" s="463" t="s">
        <v>1318</v>
      </c>
      <c r="C63" s="367"/>
      <c r="D63" s="534">
        <f>100000/10</f>
        <v>10000</v>
      </c>
      <c r="E63" s="534">
        <f t="shared" ref="E63:M63" si="23">100000/10</f>
        <v>10000</v>
      </c>
      <c r="F63" s="534">
        <f t="shared" si="23"/>
        <v>10000</v>
      </c>
      <c r="G63" s="534">
        <f t="shared" si="23"/>
        <v>10000</v>
      </c>
      <c r="H63" s="534">
        <f t="shared" si="23"/>
        <v>10000</v>
      </c>
      <c r="I63" s="534">
        <f t="shared" si="23"/>
        <v>10000</v>
      </c>
      <c r="J63" s="534">
        <f t="shared" si="23"/>
        <v>10000</v>
      </c>
      <c r="K63" s="534">
        <f t="shared" si="23"/>
        <v>10000</v>
      </c>
      <c r="L63" s="534">
        <f t="shared" si="23"/>
        <v>10000</v>
      </c>
      <c r="M63" s="534">
        <f t="shared" si="23"/>
        <v>10000</v>
      </c>
    </row>
    <row r="64" spans="2:13" x14ac:dyDescent="0.3">
      <c r="B64" s="463" t="s">
        <v>1320</v>
      </c>
      <c r="C64" s="368">
        <v>100000</v>
      </c>
      <c r="D64" s="488">
        <f>C64-D63</f>
        <v>90000</v>
      </c>
      <c r="E64" s="488">
        <f t="shared" ref="E64:M64" si="24">D64-E63</f>
        <v>80000</v>
      </c>
      <c r="F64" s="488">
        <f>E64-F63</f>
        <v>70000</v>
      </c>
      <c r="G64" s="488">
        <f>F64-G63</f>
        <v>60000</v>
      </c>
      <c r="H64" s="488">
        <f t="shared" si="24"/>
        <v>50000</v>
      </c>
      <c r="I64" s="488">
        <f t="shared" si="24"/>
        <v>40000</v>
      </c>
      <c r="J64" s="488">
        <f t="shared" si="24"/>
        <v>30000</v>
      </c>
      <c r="K64" s="488">
        <f t="shared" si="24"/>
        <v>20000</v>
      </c>
      <c r="L64" s="488">
        <f t="shared" si="24"/>
        <v>10000</v>
      </c>
      <c r="M64" s="488">
        <f t="shared" si="24"/>
        <v>0</v>
      </c>
    </row>
    <row r="65" spans="2:17" x14ac:dyDescent="0.3">
      <c r="B65" s="463" t="s">
        <v>1321</v>
      </c>
      <c r="C65" s="367"/>
      <c r="D65" s="370">
        <f>3.02%*C64*(D62-C62)/360</f>
        <v>3061.9444444444443</v>
      </c>
      <c r="E65" s="370">
        <f>3.2%*D64*(E62-D62)/360</f>
        <v>2920</v>
      </c>
      <c r="F65" s="370">
        <f>3.06%*E64*(F62-E62)/360</f>
        <v>2488.8000000000002</v>
      </c>
      <c r="G65" s="781">
        <f>2.39%*F64*(G62-F62)/360</f>
        <v>1696.2361111111111</v>
      </c>
      <c r="H65" s="370">
        <f t="shared" ref="H65:I65" si="25">$D$61*G64*(H62-G62)/360</f>
        <v>2098.75</v>
      </c>
      <c r="I65" s="370">
        <f t="shared" si="25"/>
        <v>1748.9583333333337</v>
      </c>
      <c r="J65" s="370">
        <f>$D$61*I64*(J62-I62)/360</f>
        <v>1403.0000000000002</v>
      </c>
      <c r="K65" s="370">
        <f>$D$61*J64*(K62-J62)/360</f>
        <v>1049.375</v>
      </c>
      <c r="L65" s="370">
        <f>$E$61*K64*(L62-K62)/360</f>
        <v>610.36111111111109</v>
      </c>
      <c r="M65" s="370">
        <f>$E$61*L64*(M62-L62)/360</f>
        <v>305.18055555555554</v>
      </c>
      <c r="P65" s="572"/>
      <c r="Q65" s="572"/>
    </row>
    <row r="66" spans="2:17" x14ac:dyDescent="0.3">
      <c r="B66" s="463" t="s">
        <v>1322</v>
      </c>
      <c r="C66" s="367"/>
      <c r="D66" s="488">
        <f>+D65+D63</f>
        <v>13061.944444444445</v>
      </c>
      <c r="E66" s="488">
        <f>+E65+E63</f>
        <v>12920</v>
      </c>
      <c r="F66" s="488">
        <f>+F65+F63</f>
        <v>12488.8</v>
      </c>
      <c r="G66" s="488">
        <f t="shared" ref="G66:M66" si="26">+G65+G63</f>
        <v>11696.236111111111</v>
      </c>
      <c r="H66" s="488">
        <f t="shared" si="26"/>
        <v>12098.75</v>
      </c>
      <c r="I66" s="488">
        <f t="shared" si="26"/>
        <v>11748.958333333334</v>
      </c>
      <c r="J66" s="488">
        <f t="shared" si="26"/>
        <v>11403</v>
      </c>
      <c r="K66" s="488">
        <f>+K65+K63</f>
        <v>11049.375</v>
      </c>
      <c r="L66" s="488">
        <f>+L65+L63</f>
        <v>10610.361111111111</v>
      </c>
      <c r="M66" s="488">
        <f t="shared" si="26"/>
        <v>10305.180555555555</v>
      </c>
    </row>
    <row r="67" spans="2:17" x14ac:dyDescent="0.3">
      <c r="B67" s="463" t="s">
        <v>1323</v>
      </c>
      <c r="C67" s="368"/>
      <c r="D67" s="488">
        <f t="shared" ref="D67:M67" si="27">+IF(D62&gt;$C$1,D66,0)</f>
        <v>0</v>
      </c>
      <c r="E67" s="488">
        <f t="shared" si="27"/>
        <v>0</v>
      </c>
      <c r="F67" s="488">
        <f t="shared" si="27"/>
        <v>0</v>
      </c>
      <c r="G67" s="488">
        <f t="shared" si="27"/>
        <v>0</v>
      </c>
      <c r="H67" s="488">
        <f t="shared" si="27"/>
        <v>0</v>
      </c>
      <c r="I67" s="488">
        <f t="shared" si="27"/>
        <v>0</v>
      </c>
      <c r="J67" s="488">
        <f t="shared" si="27"/>
        <v>0</v>
      </c>
      <c r="K67" s="488">
        <f t="shared" si="27"/>
        <v>0</v>
      </c>
      <c r="L67" s="488">
        <f t="shared" si="27"/>
        <v>10610.361111111111</v>
      </c>
      <c r="M67" s="488">
        <f t="shared" si="27"/>
        <v>10305.180555555555</v>
      </c>
    </row>
    <row r="68" spans="2:17" x14ac:dyDescent="0.3">
      <c r="B68" s="463" t="s">
        <v>1324</v>
      </c>
      <c r="C68" s="371"/>
      <c r="D68" s="488">
        <f>+IF(C67=0,(D62-$C$1)/(D62-C62),C68+1)</f>
        <v>-7.4054794520547942</v>
      </c>
      <c r="E68" s="488">
        <f>+IF(D67=0,(E62-$C$1)/(E62-D62),D68+1)</f>
        <v>-6.4054794520547942</v>
      </c>
      <c r="F68" s="457">
        <f>+IF(E67=0,(F62-$C$1)/(F62-E62),E68+1)</f>
        <v>-5.3879781420765029</v>
      </c>
      <c r="G68" s="488">
        <f>+IF(F67=0,(G62-$C$1)/(G62-F62),F68+1)</f>
        <v>-4.4027397260273968</v>
      </c>
      <c r="H68" s="488">
        <f>+IF(G67=0,(H62-$C$1)/(H62-G62),G68+1)</f>
        <v>-3.4027397260273973</v>
      </c>
      <c r="I68" s="773">
        <f>ROUND(IF(H67=0,(I62-$C$1)/(I62-H62),H68+1),2)</f>
        <v>-2.4</v>
      </c>
      <c r="J68" s="784">
        <f>(J62-I62)/360</f>
        <v>1.0166666666666666</v>
      </c>
      <c r="K68" s="782">
        <f>ROUND((K62-C1)/365,5)</f>
        <v>-0.4</v>
      </c>
      <c r="L68" s="488">
        <f>+IF(K67=0,(L62-$C$1)/(L62-K62),K68+1)</f>
        <v>0.6</v>
      </c>
      <c r="M68" s="488">
        <f>+IF(L67=0,(M62-$C$1)/(M62-L62),L68+1)</f>
        <v>1.6</v>
      </c>
    </row>
    <row r="69" spans="2:17" x14ac:dyDescent="0.3">
      <c r="B69" s="463" t="s">
        <v>2402</v>
      </c>
      <c r="C69" s="367"/>
      <c r="D69" s="375" cm="1">
        <f t="array" ref="D69">IF(D68&lt;1,interpoler(_mat1,taux1,D68*(D62-C62)),interpoler(_mat2,taux2,D68))</f>
        <v>2.2700000000000001E-2</v>
      </c>
      <c r="E69" s="375" cm="1">
        <f t="array" ref="E69">IF(E68&lt;1,interpoler(_mat1,taux1,E68*(E62-D62)),interpoler(_mat2,taux2,E68))</f>
        <v>2.2700000000000001E-2</v>
      </c>
      <c r="F69" s="375" cm="1">
        <f t="array" ref="F69">IF(F68&lt;1,interpoler(_mat1,taux1,F68*(F62-E62)),interpoler(_mat2,taux2,F68))</f>
        <v>2.2700000000000001E-2</v>
      </c>
      <c r="G69" s="375" cm="1">
        <f t="array" ref="G69">IF(G68&lt;1,interpoler(_mat1,taux1,G68*(G62-F62)),interpoler(_mat2,taux2,G68))</f>
        <v>2.2700000000000001E-2</v>
      </c>
      <c r="H69" s="375" cm="1">
        <f t="array" ref="H69">IF(H68&lt;1,interpoler(_mat1,taux1,H68*(H62-G62)),interpoler(_mat2,taux2,H68))</f>
        <v>2.2700000000000001E-2</v>
      </c>
      <c r="I69" s="375" cm="1">
        <f t="array" ref="I69">IF(I68&lt;1,interpoler(_mat1,taux1,I68*(I62-H62)),interpoler(_mat2,taux2,I68))</f>
        <v>2.2700000000000001E-2</v>
      </c>
      <c r="J69" s="375" cm="1">
        <f t="array" ref="J69">IF(J68&lt;1,interpoler(_mat1,taux1,J68*(J62-I62)),interpoler(_mat2,taux2,J68))</f>
        <v>2.4974686400000001E-2</v>
      </c>
      <c r="K69" s="375" cm="1">
        <f t="array" ref="K69">IF(K68&lt;1,interpoler(_mat1,taux1,K68*(K62-J62)),interpoler(_mat2,taux2,K68))</f>
        <v>2.2700000000000001E-2</v>
      </c>
      <c r="L69" s="375" cm="1">
        <f t="array" ref="L69">IF(L68&lt;=1,interpoler(_mat1,taux1,L68*(L62-K62)),interpoler(_mat2,taux2,L68))</f>
        <v>2.3894505494505492E-2</v>
      </c>
      <c r="M69" s="375" cm="1">
        <f t="array" ref="M69">IF(M68&lt;1,interpoler(_mat1,taux1,M68*(M62-L62)),interpoler(_mat2,taux2,M68))</f>
        <v>2.4974686400000001E-2</v>
      </c>
    </row>
    <row r="70" spans="2:17" x14ac:dyDescent="0.3">
      <c r="B70" s="463" t="s">
        <v>1328</v>
      </c>
      <c r="C70" s="367"/>
      <c r="D70" s="365">
        <v>7.1999999999999998E-3</v>
      </c>
      <c r="E70" s="365">
        <v>7.1999999999999998E-3</v>
      </c>
      <c r="F70" s="365">
        <v>7.1999999999999998E-3</v>
      </c>
      <c r="G70" s="365">
        <v>7.1999999999999998E-3</v>
      </c>
      <c r="H70" s="365">
        <v>7.1999999999999998E-3</v>
      </c>
      <c r="I70" s="365">
        <v>7.1999999999999998E-3</v>
      </c>
      <c r="J70" s="365">
        <v>7.1999999999999998E-3</v>
      </c>
      <c r="K70" s="365">
        <v>7.1999999999999998E-3</v>
      </c>
      <c r="L70" s="365">
        <v>7.1999999999999998E-3</v>
      </c>
      <c r="M70" s="365">
        <v>7.1999999999999998E-3</v>
      </c>
    </row>
    <row r="71" spans="2:17" x14ac:dyDescent="0.3">
      <c r="B71" s="463" t="s">
        <v>1329</v>
      </c>
      <c r="C71" s="367"/>
      <c r="D71" s="429">
        <f t="shared" ref="D71:M71" si="28">ROUND(D69+D70,5)</f>
        <v>2.9899999999999999E-2</v>
      </c>
      <c r="E71" s="429">
        <f t="shared" si="28"/>
        <v>2.9899999999999999E-2</v>
      </c>
      <c r="F71" s="429">
        <f t="shared" si="28"/>
        <v>2.9899999999999999E-2</v>
      </c>
      <c r="G71" s="429">
        <f t="shared" si="28"/>
        <v>2.9899999999999999E-2</v>
      </c>
      <c r="H71" s="429">
        <f t="shared" si="28"/>
        <v>2.9899999999999999E-2</v>
      </c>
      <c r="I71" s="429">
        <f t="shared" si="28"/>
        <v>2.9899999999999999E-2</v>
      </c>
      <c r="J71" s="429">
        <f t="shared" si="28"/>
        <v>3.2169999999999997E-2</v>
      </c>
      <c r="K71" s="372">
        <f>ROUND(K69+K70,5)</f>
        <v>2.9899999999999999E-2</v>
      </c>
      <c r="L71" s="429">
        <f t="shared" si="28"/>
        <v>3.109E-2</v>
      </c>
      <c r="M71" s="429">
        <f t="shared" si="28"/>
        <v>3.2169999999999997E-2</v>
      </c>
      <c r="O71" s="573">
        <v>43511</v>
      </c>
      <c r="P71" s="573">
        <v>43514</v>
      </c>
    </row>
    <row r="72" spans="2:17" x14ac:dyDescent="0.3">
      <c r="B72" s="463" t="s">
        <v>1322</v>
      </c>
      <c r="C72" s="367"/>
      <c r="D72" s="488">
        <f>D66+D64</f>
        <v>103061.94444444444</v>
      </c>
      <c r="E72" s="488">
        <f>E66+E64</f>
        <v>92920</v>
      </c>
      <c r="F72" s="488">
        <f>F66+F64</f>
        <v>82488.800000000003</v>
      </c>
      <c r="G72" s="488">
        <f t="shared" ref="G72:M72" si="29">G66+G64</f>
        <v>71696.236111111109</v>
      </c>
      <c r="H72" s="488">
        <f t="shared" si="29"/>
        <v>62098.75</v>
      </c>
      <c r="I72" s="488">
        <f t="shared" si="29"/>
        <v>51748.958333333336</v>
      </c>
      <c r="J72" s="488">
        <f>J66+J64</f>
        <v>41403</v>
      </c>
      <c r="K72" s="488">
        <f t="shared" si="29"/>
        <v>31049.375</v>
      </c>
      <c r="L72" s="488">
        <f t="shared" si="29"/>
        <v>20610.361111111109</v>
      </c>
      <c r="M72" s="488">
        <f t="shared" si="29"/>
        <v>10305.180555555555</v>
      </c>
      <c r="O72" s="462">
        <v>90931.3217</v>
      </c>
      <c r="P72" s="462">
        <v>90945.534550926663</v>
      </c>
      <c r="Q72" s="487">
        <f>(P72-O72)/O72</f>
        <v>1.5630313802710529E-4</v>
      </c>
    </row>
    <row r="73" spans="2:17" x14ac:dyDescent="0.3">
      <c r="B73" s="463"/>
      <c r="C73" s="367"/>
      <c r="D73" s="488">
        <f>IF(D68&lt;0,0,D72/(1+D71*D68/360))</f>
        <v>0</v>
      </c>
      <c r="E73" s="488">
        <f>IF(E68&lt;=0,0,IF(E68&lt;0,0,E72/(1+E71*E68/360)))</f>
        <v>0</v>
      </c>
      <c r="F73" s="488">
        <f>IF(F68&lt;0,0,F72/(1+F71*(F62-$C$1)/360))</f>
        <v>0</v>
      </c>
      <c r="G73" s="488">
        <f>IF(G68&lt;0,0,G72/(1+G71*(G62-$C$1)/360))</f>
        <v>0</v>
      </c>
      <c r="H73" s="488">
        <f>IF(H68&lt;0,0,H72/(1+H71*(H62-$C$1)/360))</f>
        <v>0</v>
      </c>
      <c r="I73" s="488">
        <f>IF(I68&lt;=0,0,I72/(1+I71*(I62-$C$1)/360))</f>
        <v>0</v>
      </c>
      <c r="J73" s="488">
        <f>(J72/(1+(J69+J70)*(J62-C1)/360))</f>
        <v>43384.372075916683</v>
      </c>
      <c r="K73" s="488">
        <f>IF(K68&lt;0,0,K72/(1+K71*(K62-$C$1)/360))</f>
        <v>0</v>
      </c>
      <c r="L73" s="488">
        <f>IF(L68&lt;0,0,L72/(1+L71*(L62-$C$1)/360))</f>
        <v>20227.791210301413</v>
      </c>
      <c r="M73" s="488">
        <f>IF(M68&lt;0,0,M72/(1+M71*(M62-$C$1)/360))</f>
        <v>9794.0590824485971</v>
      </c>
    </row>
    <row r="74" spans="2:17" x14ac:dyDescent="0.3">
      <c r="B74" s="495" t="s">
        <v>650</v>
      </c>
      <c r="C74" s="501">
        <f>L73</f>
        <v>20227.791210301413</v>
      </c>
      <c r="D74" s="500"/>
      <c r="E74" s="430"/>
      <c r="F74" s="488"/>
      <c r="G74" s="365"/>
      <c r="H74" s="361"/>
      <c r="I74" s="361"/>
      <c r="J74" s="361"/>
      <c r="K74" s="361"/>
      <c r="L74" s="361"/>
      <c r="M74" s="361"/>
    </row>
    <row r="75" spans="2:17" x14ac:dyDescent="0.3">
      <c r="F75" s="462"/>
      <c r="G75" s="573"/>
    </row>
    <row r="76" spans="2:17" x14ac:dyDescent="0.3">
      <c r="F76" s="615"/>
      <c r="M76" s="1375">
        <f>610.36*360/(K64*E61)</f>
        <v>364.99933554817278</v>
      </c>
    </row>
    <row r="77" spans="2:17" x14ac:dyDescent="0.3">
      <c r="B77" s="495" t="s">
        <v>2357</v>
      </c>
      <c r="C77" s="495">
        <v>9346</v>
      </c>
      <c r="D77" s="424" t="s">
        <v>2359</v>
      </c>
      <c r="E77" s="331" t="s">
        <v>2360</v>
      </c>
      <c r="F77" s="461" t="s">
        <v>2365</v>
      </c>
      <c r="O77" s="462"/>
    </row>
    <row r="78" spans="2:17" x14ac:dyDescent="0.3">
      <c r="B78" s="364"/>
      <c r="C78" s="364" t="s">
        <v>105</v>
      </c>
      <c r="D78" s="365">
        <v>3.8300000000000001E-2</v>
      </c>
      <c r="E78" s="365"/>
      <c r="F78" s="361"/>
      <c r="G78" s="363"/>
      <c r="H78" s="361"/>
      <c r="I78" s="361"/>
      <c r="J78" s="361"/>
      <c r="K78" s="361"/>
      <c r="L78" s="361"/>
      <c r="M78" s="361"/>
      <c r="O78" s="487"/>
    </row>
    <row r="79" spans="2:17" x14ac:dyDescent="0.3">
      <c r="B79" s="361"/>
      <c r="C79" s="366">
        <v>43039</v>
      </c>
      <c r="D79" s="366">
        <v>43404</v>
      </c>
      <c r="E79" s="366">
        <v>43769</v>
      </c>
      <c r="F79" s="366">
        <v>44135</v>
      </c>
      <c r="G79" s="366">
        <v>44500</v>
      </c>
      <c r="H79" s="366">
        <v>44865</v>
      </c>
      <c r="I79" s="366">
        <v>45230</v>
      </c>
      <c r="J79" s="366">
        <v>45596</v>
      </c>
      <c r="K79" s="366">
        <v>45961</v>
      </c>
      <c r="L79" s="366">
        <v>46326</v>
      </c>
      <c r="M79" s="366">
        <v>46691</v>
      </c>
    </row>
    <row r="80" spans="2:17" x14ac:dyDescent="0.3">
      <c r="B80" s="463" t="s">
        <v>1318</v>
      </c>
      <c r="C80" s="367"/>
      <c r="D80" s="534">
        <f>100000/10</f>
        <v>10000</v>
      </c>
      <c r="E80" s="534">
        <f t="shared" ref="E80:M80" si="30">100000/10</f>
        <v>10000</v>
      </c>
      <c r="F80" s="534">
        <f t="shared" si="30"/>
        <v>10000</v>
      </c>
      <c r="G80" s="534">
        <f t="shared" si="30"/>
        <v>10000</v>
      </c>
      <c r="H80" s="534">
        <f t="shared" si="30"/>
        <v>10000</v>
      </c>
      <c r="I80" s="534">
        <f t="shared" si="30"/>
        <v>10000</v>
      </c>
      <c r="J80" s="534">
        <f t="shared" si="30"/>
        <v>10000</v>
      </c>
      <c r="K80" s="534">
        <f t="shared" si="30"/>
        <v>10000</v>
      </c>
      <c r="L80" s="534">
        <f t="shared" si="30"/>
        <v>10000</v>
      </c>
      <c r="M80" s="534">
        <f t="shared" si="30"/>
        <v>10000</v>
      </c>
    </row>
    <row r="81" spans="2:13" x14ac:dyDescent="0.3">
      <c r="B81" s="463" t="s">
        <v>1320</v>
      </c>
      <c r="C81" s="368">
        <v>100000</v>
      </c>
      <c r="D81" s="488">
        <f t="shared" ref="D81:M81" si="31">C81-D80</f>
        <v>90000</v>
      </c>
      <c r="E81" s="488">
        <f t="shared" si="31"/>
        <v>80000</v>
      </c>
      <c r="F81" s="488">
        <f t="shared" si="31"/>
        <v>70000</v>
      </c>
      <c r="G81" s="488">
        <f t="shared" si="31"/>
        <v>60000</v>
      </c>
      <c r="H81" s="488">
        <f t="shared" si="31"/>
        <v>50000</v>
      </c>
      <c r="I81" s="488">
        <f t="shared" si="31"/>
        <v>40000</v>
      </c>
      <c r="J81" s="488">
        <f t="shared" si="31"/>
        <v>30000</v>
      </c>
      <c r="K81" s="488">
        <f t="shared" si="31"/>
        <v>20000</v>
      </c>
      <c r="L81" s="488">
        <f t="shared" si="31"/>
        <v>10000</v>
      </c>
      <c r="M81" s="488">
        <f t="shared" si="31"/>
        <v>0</v>
      </c>
    </row>
    <row r="82" spans="2:13" x14ac:dyDescent="0.3">
      <c r="B82" s="463" t="s">
        <v>1321</v>
      </c>
      <c r="C82" s="367"/>
      <c r="D82" s="370">
        <f>C81*$D$78</f>
        <v>3830</v>
      </c>
      <c r="E82" s="370">
        <f>D81*$D$78</f>
        <v>3447</v>
      </c>
      <c r="F82" s="370">
        <f>E81*$D$78</f>
        <v>3064</v>
      </c>
      <c r="G82" s="370">
        <f t="shared" ref="G82:M82" si="32">F81*$D$78</f>
        <v>2681</v>
      </c>
      <c r="H82" s="370">
        <f t="shared" si="32"/>
        <v>2298</v>
      </c>
      <c r="I82" s="370">
        <f t="shared" si="32"/>
        <v>1915</v>
      </c>
      <c r="J82" s="370">
        <f t="shared" si="32"/>
        <v>1532</v>
      </c>
      <c r="K82" s="370">
        <f t="shared" si="32"/>
        <v>1149</v>
      </c>
      <c r="L82" s="370">
        <f t="shared" si="32"/>
        <v>766</v>
      </c>
      <c r="M82" s="370">
        <f t="shared" si="32"/>
        <v>383</v>
      </c>
    </row>
    <row r="83" spans="2:13" x14ac:dyDescent="0.3">
      <c r="B83" s="463" t="s">
        <v>1322</v>
      </c>
      <c r="C83" s="367"/>
      <c r="D83" s="488">
        <f t="shared" ref="D83:M83" si="33">+D82+D80</f>
        <v>13830</v>
      </c>
      <c r="E83" s="488">
        <f t="shared" si="33"/>
        <v>13447</v>
      </c>
      <c r="F83" s="488">
        <f t="shared" si="33"/>
        <v>13064</v>
      </c>
      <c r="G83" s="488">
        <f t="shared" si="33"/>
        <v>12681</v>
      </c>
      <c r="H83" s="488">
        <f t="shared" si="33"/>
        <v>12298</v>
      </c>
      <c r="I83" s="488">
        <f t="shared" si="33"/>
        <v>11915</v>
      </c>
      <c r="J83" s="488">
        <f t="shared" si="33"/>
        <v>11532</v>
      </c>
      <c r="K83" s="488">
        <f t="shared" si="33"/>
        <v>11149</v>
      </c>
      <c r="L83" s="488">
        <f t="shared" si="33"/>
        <v>10766</v>
      </c>
      <c r="M83" s="488">
        <f t="shared" si="33"/>
        <v>10383</v>
      </c>
    </row>
    <row r="84" spans="2:13" x14ac:dyDescent="0.3">
      <c r="B84" s="463" t="s">
        <v>1323</v>
      </c>
      <c r="C84" s="368"/>
      <c r="D84" s="488">
        <f t="shared" ref="D84:M84" si="34">+IF(D79&gt;$C$1,D83,0)</f>
        <v>0</v>
      </c>
      <c r="E84" s="488">
        <f t="shared" si="34"/>
        <v>0</v>
      </c>
      <c r="F84" s="488">
        <f t="shared" si="34"/>
        <v>0</v>
      </c>
      <c r="G84" s="488">
        <f t="shared" si="34"/>
        <v>0</v>
      </c>
      <c r="H84" s="488">
        <f t="shared" si="34"/>
        <v>0</v>
      </c>
      <c r="I84" s="488">
        <f t="shared" si="34"/>
        <v>0</v>
      </c>
      <c r="J84" s="488">
        <f t="shared" si="34"/>
        <v>0</v>
      </c>
      <c r="K84" s="488">
        <f t="shared" si="34"/>
        <v>0</v>
      </c>
      <c r="L84" s="488">
        <f t="shared" si="34"/>
        <v>10766</v>
      </c>
      <c r="M84" s="488">
        <f t="shared" si="34"/>
        <v>10383</v>
      </c>
    </row>
    <row r="85" spans="2:13" x14ac:dyDescent="0.3">
      <c r="B85" s="463" t="s">
        <v>1324</v>
      </c>
      <c r="C85" s="371"/>
      <c r="D85" s="488">
        <f t="shared" ref="D85:M85" si="35">ROUND(IF(C84=0,(D79-$C$1)/(D79-C79),C85+1),10)</f>
        <v>-7.4054794520999998</v>
      </c>
      <c r="E85" s="488">
        <f t="shared" si="35"/>
        <v>-6.4054794520999998</v>
      </c>
      <c r="F85" s="488">
        <f t="shared" si="35"/>
        <v>-5.3879781420999997</v>
      </c>
      <c r="G85" s="488">
        <f t="shared" si="35"/>
        <v>-4.4027397260000001</v>
      </c>
      <c r="H85" s="488">
        <f t="shared" si="35"/>
        <v>-3.4027397260000001</v>
      </c>
      <c r="I85" s="488">
        <f t="shared" si="35"/>
        <v>-2.4027397260000001</v>
      </c>
      <c r="J85" s="773">
        <f t="shared" si="35"/>
        <v>-1.3961748634</v>
      </c>
      <c r="K85" s="488">
        <f t="shared" si="35"/>
        <v>-0.4</v>
      </c>
      <c r="L85" s="488">
        <f t="shared" si="35"/>
        <v>0.6</v>
      </c>
      <c r="M85" s="488">
        <f t="shared" si="35"/>
        <v>1.6</v>
      </c>
    </row>
    <row r="86" spans="2:13" x14ac:dyDescent="0.3">
      <c r="B86" s="463" t="s">
        <v>1325</v>
      </c>
      <c r="C86" s="367"/>
      <c r="D86" s="473" cm="1">
        <f t="array" ref="D86">ROUND(interpoler(mat_zc,Taux_ZC,D85),5)</f>
        <v>2.3279999999999999E-2</v>
      </c>
      <c r="E86" s="473" cm="1">
        <f t="array" ref="E86">ROUND(interpoler(mat_zc,Taux_ZC,E85),5)</f>
        <v>2.3279999999999999E-2</v>
      </c>
      <c r="F86" s="473" cm="1">
        <f t="array" ref="F86">ROUND(interpoler(mat_zc,Taux_ZC,F85),5)</f>
        <v>2.3279999999999999E-2</v>
      </c>
      <c r="G86" s="473" cm="1">
        <f t="array" ref="G86">ROUND(interpoler(mat_zc,Taux_ZC,G85),5)</f>
        <v>2.3279999999999999E-2</v>
      </c>
      <c r="H86" s="473" cm="1">
        <f t="array" ref="H86">ROUND(interpoler(mat_zc,Taux_ZC,H85),5)</f>
        <v>2.3279999999999999E-2</v>
      </c>
      <c r="I86" s="473" cm="1">
        <f t="array" ref="I86">ROUND(interpoler(mat_zc,Taux_ZC,I85),5)</f>
        <v>2.3279999999999999E-2</v>
      </c>
      <c r="J86" s="473" cm="1">
        <f t="array" ref="J86">ROUND(interpoler(mat_zc,Taux_ZC,J85),5)</f>
        <v>2.3279999999999999E-2</v>
      </c>
      <c r="K86" s="473" cm="1">
        <f t="array" ref="K86">ROUND(interpoler(mat_zc,Taux_ZC,K85),5)</f>
        <v>2.3279999999999999E-2</v>
      </c>
      <c r="L86" s="473" cm="1">
        <f t="array" ref="L86">ROUND(interpoler(mat_zc,Taux_ZC,L85),5)</f>
        <v>2.4340000000000001E-2</v>
      </c>
      <c r="M86" s="473" cm="1">
        <f t="array" ref="M86">ROUND(interpoler(mat_zc,Taux_ZC,M85),5)</f>
        <v>2.6079999999999999E-2</v>
      </c>
    </row>
    <row r="87" spans="2:13" x14ac:dyDescent="0.3">
      <c r="B87" s="463" t="s">
        <v>1328</v>
      </c>
      <c r="C87" s="367"/>
      <c r="D87" s="365">
        <v>5.8700000000000002E-3</v>
      </c>
      <c r="E87" s="365">
        <v>5.8700000000000002E-3</v>
      </c>
      <c r="F87" s="651">
        <v>5.8700000000000002E-3</v>
      </c>
      <c r="G87" s="365">
        <v>5.8700000000000002E-3</v>
      </c>
      <c r="H87" s="365">
        <v>5.8700000000000002E-3</v>
      </c>
      <c r="I87" s="365">
        <v>5.8700000000000002E-3</v>
      </c>
      <c r="J87" s="365">
        <v>5.8700000000000002E-3</v>
      </c>
      <c r="K87" s="651">
        <v>5.8700000000000002E-3</v>
      </c>
      <c r="L87" s="365">
        <v>5.8700000000000002E-3</v>
      </c>
      <c r="M87" s="365">
        <v>5.8700000000000002E-3</v>
      </c>
    </row>
    <row r="88" spans="2:13" x14ac:dyDescent="0.3">
      <c r="B88" s="463" t="s">
        <v>1329</v>
      </c>
      <c r="C88" s="367"/>
      <c r="D88" s="429">
        <f t="shared" ref="D88:M88" si="36">ROUND(D86+D87,5)</f>
        <v>2.9149999999999999E-2</v>
      </c>
      <c r="E88" s="429">
        <f t="shared" si="36"/>
        <v>2.9149999999999999E-2</v>
      </c>
      <c r="F88" s="429">
        <f t="shared" si="36"/>
        <v>2.9149999999999999E-2</v>
      </c>
      <c r="G88" s="429">
        <f t="shared" si="36"/>
        <v>2.9149999999999999E-2</v>
      </c>
      <c r="H88" s="429">
        <f t="shared" si="36"/>
        <v>2.9149999999999999E-2</v>
      </c>
      <c r="I88" s="429">
        <f t="shared" si="36"/>
        <v>2.9149999999999999E-2</v>
      </c>
      <c r="J88" s="429">
        <f t="shared" si="36"/>
        <v>2.9149999999999999E-2</v>
      </c>
      <c r="K88" s="429">
        <f t="shared" si="36"/>
        <v>2.9149999999999999E-2</v>
      </c>
      <c r="L88" s="429">
        <f t="shared" si="36"/>
        <v>3.0210000000000001E-2</v>
      </c>
      <c r="M88" s="429">
        <f t="shared" si="36"/>
        <v>3.1949999999999999E-2</v>
      </c>
    </row>
    <row r="89" spans="2:13" x14ac:dyDescent="0.3">
      <c r="B89" s="463" t="s">
        <v>85</v>
      </c>
      <c r="C89" s="367"/>
      <c r="D89" s="534">
        <f t="shared" ref="D89:M89" si="37">+D84/(1+D88)^D85</f>
        <v>0</v>
      </c>
      <c r="E89" s="534">
        <f t="shared" si="37"/>
        <v>0</v>
      </c>
      <c r="F89" s="534">
        <f t="shared" si="37"/>
        <v>0</v>
      </c>
      <c r="G89" s="534">
        <f t="shared" si="37"/>
        <v>0</v>
      </c>
      <c r="H89" s="534">
        <f t="shared" si="37"/>
        <v>0</v>
      </c>
      <c r="I89" s="624">
        <f t="shared" si="37"/>
        <v>0</v>
      </c>
      <c r="J89" s="534">
        <f t="shared" si="37"/>
        <v>0</v>
      </c>
      <c r="K89" s="534">
        <f t="shared" si="37"/>
        <v>0</v>
      </c>
      <c r="L89" s="534">
        <f t="shared" si="37"/>
        <v>10575.451522305795</v>
      </c>
      <c r="M89" s="534">
        <f t="shared" si="37"/>
        <v>9873.4516868008759</v>
      </c>
    </row>
    <row r="90" spans="2:13" x14ac:dyDescent="0.3">
      <c r="B90" s="367"/>
      <c r="C90" s="367"/>
      <c r="D90" s="488"/>
      <c r="E90" s="488"/>
      <c r="F90" s="488"/>
      <c r="G90" s="488"/>
      <c r="H90" s="488"/>
      <c r="I90" s="488"/>
      <c r="J90" s="488"/>
      <c r="K90" s="488"/>
      <c r="L90" s="488"/>
      <c r="M90" s="488"/>
    </row>
    <row r="91" spans="2:13" x14ac:dyDescent="0.3">
      <c r="B91" s="495" t="s">
        <v>650</v>
      </c>
      <c r="C91" s="501">
        <f>SUM(D89:M89)</f>
        <v>20448.903209106669</v>
      </c>
      <c r="D91" s="500"/>
      <c r="E91" s="430"/>
      <c r="F91" s="361"/>
      <c r="G91" s="365"/>
      <c r="H91" s="361"/>
      <c r="I91" s="361"/>
      <c r="J91" s="361"/>
      <c r="K91" s="361"/>
      <c r="L91" s="361"/>
      <c r="M91" s="361"/>
    </row>
    <row r="92" spans="2:13" x14ac:dyDescent="0.3">
      <c r="C92" s="462"/>
      <c r="D92" s="462"/>
      <c r="F92" s="280"/>
      <c r="G92" s="280"/>
      <c r="H92" s="280"/>
      <c r="I92" s="280"/>
      <c r="J92" s="280"/>
      <c r="K92" s="280"/>
      <c r="L92" s="280"/>
      <c r="M92" s="280"/>
    </row>
    <row r="93" spans="2:13" x14ac:dyDescent="0.3">
      <c r="F93" s="462"/>
      <c r="G93" s="462"/>
      <c r="H93" s="462"/>
      <c r="I93" s="462"/>
      <c r="J93" s="462"/>
      <c r="K93" s="462"/>
      <c r="L93" s="462"/>
      <c r="M93" s="462"/>
    </row>
    <row r="97" spans="2:18" x14ac:dyDescent="0.3">
      <c r="B97" s="495" t="s">
        <v>2376</v>
      </c>
      <c r="C97" s="495">
        <v>9387</v>
      </c>
      <c r="D97" s="427" t="s">
        <v>2377</v>
      </c>
      <c r="E97"/>
      <c r="F97"/>
      <c r="G97"/>
      <c r="H97"/>
      <c r="I97"/>
      <c r="J97"/>
      <c r="K97"/>
      <c r="L97"/>
      <c r="M97"/>
      <c r="N97"/>
      <c r="O97"/>
      <c r="P97"/>
      <c r="Q97"/>
      <c r="R97"/>
    </row>
    <row r="98" spans="2:18" x14ac:dyDescent="0.3">
      <c r="B98" s="364"/>
      <c r="C98" s="364" t="s">
        <v>105</v>
      </c>
      <c r="D98" s="365">
        <v>3.9699999999999999E-2</v>
      </c>
      <c r="E98" s="365"/>
      <c r="F98" s="361"/>
      <c r="G98" s="363"/>
      <c r="H98" s="361"/>
      <c r="I98" s="361"/>
      <c r="J98" s="361"/>
      <c r="K98" s="361"/>
      <c r="L98" s="361"/>
      <c r="M98" s="361"/>
      <c r="N98" s="364"/>
      <c r="O98" s="364"/>
      <c r="P98" s="365"/>
      <c r="Q98" s="365"/>
      <c r="R98" s="361"/>
    </row>
    <row r="99" spans="2:18" x14ac:dyDescent="0.3">
      <c r="B99" s="361"/>
      <c r="C99" s="366">
        <v>43452</v>
      </c>
      <c r="D99" s="366">
        <v>43817</v>
      </c>
      <c r="E99" s="366">
        <v>44183</v>
      </c>
      <c r="F99" s="366">
        <v>44548</v>
      </c>
      <c r="G99" s="366">
        <v>44913</v>
      </c>
      <c r="H99" s="366">
        <v>45278</v>
      </c>
      <c r="I99" s="366">
        <v>45644</v>
      </c>
      <c r="J99" s="366">
        <v>46009</v>
      </c>
      <c r="K99" s="366"/>
      <c r="L99" s="366"/>
      <c r="M99" s="366"/>
      <c r="N99" s="361"/>
      <c r="O99" s="366"/>
      <c r="P99" s="366"/>
      <c r="Q99" s="366"/>
      <c r="R99" s="366"/>
    </row>
    <row r="100" spans="2:18" x14ac:dyDescent="0.3">
      <c r="B100" s="463" t="s">
        <v>1318</v>
      </c>
      <c r="C100" s="367"/>
      <c r="D100" s="534">
        <f>100000/7</f>
        <v>14285.714285714286</v>
      </c>
      <c r="E100" s="534">
        <f t="shared" ref="E100:J100" si="38">100000/7</f>
        <v>14285.714285714286</v>
      </c>
      <c r="F100" s="534">
        <f t="shared" si="38"/>
        <v>14285.714285714286</v>
      </c>
      <c r="G100" s="534">
        <f t="shared" si="38"/>
        <v>14285.714285714286</v>
      </c>
      <c r="H100" s="534">
        <f t="shared" si="38"/>
        <v>14285.714285714286</v>
      </c>
      <c r="I100" s="534">
        <f t="shared" si="38"/>
        <v>14285.714285714286</v>
      </c>
      <c r="J100" s="534">
        <f t="shared" si="38"/>
        <v>14285.714285714286</v>
      </c>
      <c r="K100" s="534"/>
      <c r="L100" s="534"/>
      <c r="M100" s="534"/>
      <c r="N100" s="463"/>
      <c r="O100" s="367"/>
      <c r="P100" s="534"/>
      <c r="Q100" s="534"/>
      <c r="R100" s="534"/>
    </row>
    <row r="101" spans="2:18" x14ac:dyDescent="0.3">
      <c r="B101" s="463" t="s">
        <v>1320</v>
      </c>
      <c r="C101" s="368">
        <v>100000</v>
      </c>
      <c r="D101" s="488">
        <f>+C101-D100</f>
        <v>85714.28571428571</v>
      </c>
      <c r="E101" s="488">
        <f t="shared" ref="E101:J101" si="39">+D101-E100</f>
        <v>71428.57142857142</v>
      </c>
      <c r="F101" s="488">
        <f t="shared" si="39"/>
        <v>57142.85714285713</v>
      </c>
      <c r="G101" s="488">
        <f t="shared" si="39"/>
        <v>42857.142857142841</v>
      </c>
      <c r="H101" s="488">
        <f t="shared" si="39"/>
        <v>28571.428571428554</v>
      </c>
      <c r="I101" s="488">
        <f t="shared" si="39"/>
        <v>14285.714285714268</v>
      </c>
      <c r="J101" s="488">
        <f t="shared" si="39"/>
        <v>-1.8189894035458565E-11</v>
      </c>
      <c r="K101" s="488"/>
      <c r="L101" s="488"/>
      <c r="M101" s="488"/>
      <c r="N101" s="463"/>
      <c r="O101" s="368"/>
      <c r="P101" s="488"/>
      <c r="Q101" s="488"/>
      <c r="R101" s="488"/>
    </row>
    <row r="102" spans="2:18" x14ac:dyDescent="0.3">
      <c r="B102" s="463" t="s">
        <v>1321</v>
      </c>
      <c r="C102" s="367"/>
      <c r="D102" s="568">
        <f t="shared" ref="D102:J102" si="40">ROUND(C101*$D$98,2)</f>
        <v>3970</v>
      </c>
      <c r="E102" s="568">
        <f t="shared" si="40"/>
        <v>3402.86</v>
      </c>
      <c r="F102" s="568">
        <f t="shared" si="40"/>
        <v>2835.71</v>
      </c>
      <c r="G102" s="568">
        <f t="shared" si="40"/>
        <v>2268.5700000000002</v>
      </c>
      <c r="H102" s="568">
        <f t="shared" si="40"/>
        <v>1701.43</v>
      </c>
      <c r="I102" s="568">
        <f t="shared" si="40"/>
        <v>1134.29</v>
      </c>
      <c r="J102" s="568">
        <f t="shared" si="40"/>
        <v>567.14</v>
      </c>
      <c r="K102" s="370"/>
      <c r="L102" s="370"/>
      <c r="M102" s="370"/>
      <c r="N102" s="370"/>
      <c r="O102" s="370"/>
      <c r="P102" s="370"/>
      <c r="Q102" s="370"/>
      <c r="R102" s="370"/>
    </row>
    <row r="103" spans="2:18" x14ac:dyDescent="0.3">
      <c r="B103" s="463" t="s">
        <v>1322</v>
      </c>
      <c r="C103" s="367"/>
      <c r="D103" s="488">
        <f t="shared" ref="D103:J103" si="41">+D102+D100</f>
        <v>18255.714285714286</v>
      </c>
      <c r="E103" s="488">
        <f t="shared" si="41"/>
        <v>17688.574285714287</v>
      </c>
      <c r="F103" s="488">
        <f t="shared" si="41"/>
        <v>17121.424285714285</v>
      </c>
      <c r="G103" s="488">
        <f t="shared" si="41"/>
        <v>16554.284285714286</v>
      </c>
      <c r="H103" s="488">
        <f t="shared" si="41"/>
        <v>15987.144285714287</v>
      </c>
      <c r="I103" s="488">
        <f t="shared" si="41"/>
        <v>15420.004285714287</v>
      </c>
      <c r="J103" s="488">
        <f t="shared" si="41"/>
        <v>14852.854285714286</v>
      </c>
      <c r="K103" s="488"/>
      <c r="L103" s="488"/>
      <c r="M103" s="488"/>
      <c r="N103" s="463"/>
      <c r="O103" s="367"/>
      <c r="P103" s="488"/>
      <c r="Q103" s="488"/>
      <c r="R103" s="488"/>
    </row>
    <row r="104" spans="2:18" x14ac:dyDescent="0.3">
      <c r="B104" s="463" t="s">
        <v>1323</v>
      </c>
      <c r="C104" s="368"/>
      <c r="D104" s="488">
        <f t="shared" ref="D104:J104" si="42">+IF(D99&gt;$C$1,D103,0)</f>
        <v>0</v>
      </c>
      <c r="E104" s="488">
        <f t="shared" si="42"/>
        <v>0</v>
      </c>
      <c r="F104" s="488">
        <f t="shared" si="42"/>
        <v>0</v>
      </c>
      <c r="G104" s="488">
        <f t="shared" si="42"/>
        <v>0</v>
      </c>
      <c r="H104" s="488">
        <f t="shared" si="42"/>
        <v>0</v>
      </c>
      <c r="I104" s="488">
        <f t="shared" si="42"/>
        <v>0</v>
      </c>
      <c r="J104" s="488">
        <f t="shared" si="42"/>
        <v>0</v>
      </c>
      <c r="K104" s="488"/>
      <c r="L104" s="488"/>
      <c r="M104" s="488"/>
      <c r="N104" s="488"/>
      <c r="O104" s="488"/>
      <c r="P104" s="488"/>
      <c r="Q104" s="488"/>
      <c r="R104" s="488"/>
    </row>
    <row r="105" spans="2:18" x14ac:dyDescent="0.3">
      <c r="B105" s="463" t="s">
        <v>1324</v>
      </c>
      <c r="C105" s="371"/>
      <c r="D105" s="488">
        <f t="shared" ref="D105:J105" si="43">+IF(C104=0,(D99-$C$1)/(D99-C99),C105+1)</f>
        <v>-6.2739726027397262</v>
      </c>
      <c r="E105" s="488">
        <f t="shared" si="43"/>
        <v>-5.2568306010928962</v>
      </c>
      <c r="F105" s="488">
        <f t="shared" si="43"/>
        <v>-4.2712328767123289</v>
      </c>
      <c r="G105" s="488">
        <f t="shared" si="43"/>
        <v>-3.2712328767123289</v>
      </c>
      <c r="H105" s="488">
        <f t="shared" si="43"/>
        <v>-2.2712328767123289</v>
      </c>
      <c r="I105" s="488">
        <f t="shared" si="43"/>
        <v>-1.2650273224043715</v>
      </c>
      <c r="J105" s="488">
        <f t="shared" si="43"/>
        <v>-0.26849315068493151</v>
      </c>
      <c r="K105" s="488"/>
      <c r="L105" s="488"/>
      <c r="M105" s="488"/>
      <c r="N105" s="488"/>
      <c r="O105" s="488"/>
      <c r="P105" s="488"/>
      <c r="Q105" s="488"/>
      <c r="R105" s="488"/>
    </row>
    <row r="106" spans="2:18" x14ac:dyDescent="0.3">
      <c r="B106" s="463" t="s">
        <v>1325</v>
      </c>
      <c r="C106" s="367"/>
      <c r="D106" s="473" cm="1">
        <f t="array" ref="D106">interpoler(mat_zc,Taux_ZC,D105)</f>
        <v>2.3281430400000001E-2</v>
      </c>
      <c r="E106" s="473" cm="1">
        <f t="array" ref="E106">interpoler(mat_zc,Taux_ZC,E105)</f>
        <v>2.3281430400000001E-2</v>
      </c>
      <c r="F106" s="473" cm="1">
        <f t="array" ref="F106">interpoler(mat_zc,Taux_ZC,F105)</f>
        <v>2.3281430400000001E-2</v>
      </c>
      <c r="G106" s="473" cm="1">
        <f t="array" ref="G106">interpoler(mat_zc,Taux_ZC,G105)</f>
        <v>2.3281430400000001E-2</v>
      </c>
      <c r="H106" s="473" cm="1">
        <f t="array" ref="H106">interpoler(mat_zc,Taux_ZC,H105)</f>
        <v>2.3281430400000001E-2</v>
      </c>
      <c r="I106" s="473" cm="1">
        <f t="array" ref="I106">interpoler(mat_zc,Taux_ZC,I105)</f>
        <v>2.3281430400000001E-2</v>
      </c>
      <c r="J106" s="473" cm="1">
        <f t="array" ref="J106">interpoler(mat_zc,Taux_ZC,J105)</f>
        <v>2.3281430400000001E-2</v>
      </c>
      <c r="K106" s="375"/>
      <c r="L106" s="375"/>
      <c r="M106" s="375"/>
      <c r="N106" s="463"/>
      <c r="O106" s="367"/>
      <c r="P106" s="375"/>
      <c r="Q106" s="375"/>
      <c r="R106" s="375"/>
    </row>
    <row r="107" spans="2:18" x14ac:dyDescent="0.3">
      <c r="B107" s="463" t="s">
        <v>1328</v>
      </c>
      <c r="C107" s="367"/>
      <c r="D107" s="429">
        <v>1.0999999999999999E-2</v>
      </c>
      <c r="E107" s="429">
        <f t="shared" ref="E107:J107" si="44">+D107</f>
        <v>1.0999999999999999E-2</v>
      </c>
      <c r="F107" s="429">
        <f t="shared" si="44"/>
        <v>1.0999999999999999E-2</v>
      </c>
      <c r="G107" s="429">
        <f>+F107</f>
        <v>1.0999999999999999E-2</v>
      </c>
      <c r="H107" s="429">
        <f t="shared" si="44"/>
        <v>1.0999999999999999E-2</v>
      </c>
      <c r="I107" s="429">
        <f t="shared" si="44"/>
        <v>1.0999999999999999E-2</v>
      </c>
      <c r="J107" s="429">
        <f t="shared" si="44"/>
        <v>1.0999999999999999E-2</v>
      </c>
      <c r="K107" s="429"/>
      <c r="L107" s="429"/>
      <c r="M107" s="429"/>
      <c r="N107" s="429"/>
      <c r="O107" s="429"/>
      <c r="P107" s="429"/>
      <c r="Q107" s="429"/>
      <c r="R107" s="429"/>
    </row>
    <row r="108" spans="2:18" x14ac:dyDescent="0.3">
      <c r="B108" s="463" t="s">
        <v>1329</v>
      </c>
      <c r="C108" s="367"/>
      <c r="D108" s="429">
        <f t="shared" ref="D108:J108" si="45">ROUND(D106+D107,5)</f>
        <v>3.4279999999999998E-2</v>
      </c>
      <c r="E108" s="429">
        <f t="shared" si="45"/>
        <v>3.4279999999999998E-2</v>
      </c>
      <c r="F108" s="429">
        <f t="shared" si="45"/>
        <v>3.4279999999999998E-2</v>
      </c>
      <c r="G108" s="429">
        <f t="shared" si="45"/>
        <v>3.4279999999999998E-2</v>
      </c>
      <c r="H108" s="429">
        <f t="shared" si="45"/>
        <v>3.4279999999999998E-2</v>
      </c>
      <c r="I108" s="429">
        <f t="shared" si="45"/>
        <v>3.4279999999999998E-2</v>
      </c>
      <c r="J108" s="429">
        <f t="shared" si="45"/>
        <v>3.4279999999999998E-2</v>
      </c>
      <c r="K108" s="429"/>
      <c r="L108" s="429"/>
      <c r="M108" s="429"/>
      <c r="N108" s="463"/>
      <c r="O108" s="367"/>
      <c r="P108" s="429"/>
      <c r="Q108" s="429"/>
      <c r="R108" s="429"/>
    </row>
    <row r="109" spans="2:18" x14ac:dyDescent="0.3">
      <c r="B109" s="463"/>
      <c r="C109" s="367"/>
      <c r="D109" s="569">
        <f t="shared" ref="D109:J109" si="46">ROUND(D104/(1+D108)^D105,4)</f>
        <v>0</v>
      </c>
      <c r="E109" s="569">
        <f t="shared" si="46"/>
        <v>0</v>
      </c>
      <c r="F109" s="569">
        <f t="shared" si="46"/>
        <v>0</v>
      </c>
      <c r="G109" s="569">
        <f t="shared" si="46"/>
        <v>0</v>
      </c>
      <c r="H109" s="569">
        <f t="shared" si="46"/>
        <v>0</v>
      </c>
      <c r="I109" s="569">
        <f t="shared" si="46"/>
        <v>0</v>
      </c>
      <c r="J109" s="569">
        <f t="shared" si="46"/>
        <v>0</v>
      </c>
      <c r="K109" s="534"/>
      <c r="L109" s="534"/>
      <c r="M109" s="534"/>
      <c r="N109" s="463"/>
      <c r="O109" s="367"/>
      <c r="P109" s="534"/>
      <c r="Q109" s="534"/>
      <c r="R109" s="534"/>
    </row>
    <row r="110" spans="2:18" x14ac:dyDescent="0.3">
      <c r="B110" s="367"/>
      <c r="C110" s="367"/>
      <c r="D110" s="488"/>
      <c r="E110" s="488"/>
      <c r="F110" s="488"/>
      <c r="G110" s="488"/>
      <c r="H110" s="488"/>
      <c r="I110" s="488"/>
      <c r="J110" s="488"/>
      <c r="K110" s="488"/>
      <c r="L110" s="488"/>
      <c r="M110" s="488"/>
      <c r="N110" s="367"/>
      <c r="O110" s="367"/>
      <c r="P110" s="488"/>
      <c r="Q110" s="488"/>
      <c r="R110" s="488"/>
    </row>
    <row r="111" spans="2:18" x14ac:dyDescent="0.3">
      <c r="B111" s="495" t="s">
        <v>650</v>
      </c>
      <c r="C111" s="501">
        <f>J109</f>
        <v>0</v>
      </c>
      <c r="D111" s="500"/>
      <c r="E111" s="430"/>
      <c r="F111" s="361"/>
      <c r="G111" s="365"/>
      <c r="H111" s="361"/>
      <c r="I111" s="361"/>
      <c r="J111" s="361"/>
      <c r="K111" s="361"/>
      <c r="L111" s="361"/>
      <c r="M111" s="361"/>
      <c r="N111" s="361"/>
      <c r="O111" s="361"/>
      <c r="P111" s="361"/>
      <c r="Q111" s="430"/>
      <c r="R111" s="361"/>
    </row>
    <row r="112" spans="2:18" x14ac:dyDescent="0.3">
      <c r="B112" s="495" t="s">
        <v>1331</v>
      </c>
      <c r="C112" s="501" t="e">
        <f>+SUMPRODUCT(D105:R105,D109:R109)/C111</f>
        <v>#DIV/0!</v>
      </c>
      <c r="D112" s="365"/>
      <c r="E112" s="365"/>
      <c r="F112" s="361"/>
      <c r="G112" s="363"/>
      <c r="H112" s="361"/>
      <c r="I112" s="361"/>
      <c r="J112" s="361"/>
      <c r="K112" s="361"/>
      <c r="L112" s="361"/>
      <c r="M112" s="361"/>
      <c r="N112" s="364"/>
      <c r="O112" s="364"/>
      <c r="P112" s="365"/>
      <c r="Q112" s="365"/>
      <c r="R112" s="361"/>
    </row>
    <row r="114" spans="2:87" x14ac:dyDescent="0.3">
      <c r="C114" s="462"/>
    </row>
    <row r="115" spans="2:87" x14ac:dyDescent="0.3">
      <c r="D115" s="461">
        <f>D118-C118</f>
        <v>366</v>
      </c>
      <c r="E115" s="461">
        <f>D124*D115</f>
        <v>-2157.0000000180003</v>
      </c>
    </row>
    <row r="116" spans="2:87" x14ac:dyDescent="0.3">
      <c r="B116" s="614" t="s">
        <v>1804</v>
      </c>
      <c r="C116" s="614">
        <v>9394</v>
      </c>
      <c r="D116" s="427" t="s">
        <v>2426</v>
      </c>
      <c r="E116" t="s">
        <v>2770</v>
      </c>
      <c r="F116"/>
      <c r="G116"/>
      <c r="H116"/>
      <c r="I116"/>
      <c r="J116"/>
    </row>
    <row r="117" spans="2:87" x14ac:dyDescent="0.3">
      <c r="B117" s="364"/>
      <c r="C117" s="364" t="s">
        <v>105</v>
      </c>
      <c r="D117" s="365">
        <v>4.3299999999999998E-2</v>
      </c>
      <c r="E117" s="365"/>
      <c r="F117" s="361"/>
      <c r="G117" s="363"/>
      <c r="H117" s="361"/>
      <c r="I117" s="361"/>
      <c r="J117" s="361"/>
    </row>
    <row r="118" spans="2:87" x14ac:dyDescent="0.3">
      <c r="B118" s="361"/>
      <c r="C118" s="366">
        <v>43584</v>
      </c>
      <c r="D118" s="366">
        <v>43950</v>
      </c>
      <c r="E118" s="366">
        <v>44315</v>
      </c>
      <c r="F118" s="366">
        <v>44680</v>
      </c>
      <c r="G118" s="366">
        <v>45045</v>
      </c>
      <c r="H118" s="366">
        <v>45411</v>
      </c>
      <c r="I118" s="366">
        <v>45776</v>
      </c>
      <c r="J118" s="366">
        <v>46141</v>
      </c>
      <c r="K118" s="366">
        <v>46506</v>
      </c>
      <c r="L118" s="366">
        <v>46872</v>
      </c>
      <c r="M118" s="366">
        <v>47237</v>
      </c>
      <c r="N118" s="366">
        <v>47602</v>
      </c>
      <c r="O118" s="366">
        <v>47967</v>
      </c>
      <c r="P118" s="366">
        <v>48333</v>
      </c>
      <c r="Q118" s="366">
        <v>48698</v>
      </c>
      <c r="R118" s="366">
        <v>49063</v>
      </c>
      <c r="S118" s="366">
        <v>49428</v>
      </c>
      <c r="T118" s="366">
        <v>49794</v>
      </c>
      <c r="U118" s="366">
        <v>50159</v>
      </c>
      <c r="V118" s="366">
        <v>50524</v>
      </c>
      <c r="W118" s="366">
        <v>50889</v>
      </c>
      <c r="X118" s="590">
        <v>51255</v>
      </c>
      <c r="Y118" s="590">
        <v>51620</v>
      </c>
      <c r="Z118" s="590">
        <v>51985</v>
      </c>
      <c r="AA118" s="590">
        <v>52350</v>
      </c>
      <c r="AB118" s="590">
        <v>52716</v>
      </c>
      <c r="AC118" s="590">
        <v>53081</v>
      </c>
      <c r="AD118" s="590">
        <v>53446</v>
      </c>
      <c r="AE118" s="590">
        <v>53811</v>
      </c>
      <c r="AF118" s="590">
        <v>54177</v>
      </c>
      <c r="AG118" s="590">
        <v>54542</v>
      </c>
      <c r="AH118" s="366"/>
      <c r="AI118" s="366"/>
      <c r="AJ118" s="366"/>
      <c r="AK118" s="366"/>
      <c r="AL118" s="366"/>
      <c r="AM118" s="366"/>
      <c r="AN118" s="366"/>
      <c r="AO118" s="366"/>
      <c r="AP118" s="366"/>
      <c r="AQ118" s="366"/>
      <c r="AR118" s="366"/>
      <c r="AS118" s="366"/>
      <c r="AT118" s="366"/>
      <c r="AU118" s="366"/>
      <c r="AV118" s="366"/>
      <c r="AW118" s="366"/>
      <c r="AX118" s="366"/>
      <c r="AY118" s="366"/>
      <c r="AZ118" s="366"/>
      <c r="BA118" s="366"/>
      <c r="BB118" s="366"/>
      <c r="BC118" s="366"/>
      <c r="BD118" s="366"/>
      <c r="BE118" s="366"/>
      <c r="BF118" s="366"/>
      <c r="BG118" s="366"/>
      <c r="BH118" s="366"/>
      <c r="BI118" s="366"/>
      <c r="BJ118" s="366"/>
      <c r="BK118" s="366"/>
      <c r="BL118" s="366"/>
      <c r="BM118" s="366"/>
      <c r="BN118" s="366"/>
      <c r="BO118" s="366"/>
      <c r="BP118" s="366"/>
      <c r="BQ118" s="366"/>
      <c r="BR118" s="366"/>
      <c r="BS118" s="366"/>
      <c r="BT118" s="366"/>
      <c r="BU118" s="366"/>
      <c r="BV118" s="366"/>
      <c r="BW118" s="366"/>
      <c r="BX118" s="366"/>
      <c r="BY118" s="366"/>
      <c r="BZ118" s="366"/>
      <c r="CA118" s="366"/>
      <c r="CB118" s="366"/>
      <c r="CC118" s="366"/>
      <c r="CD118" s="366"/>
      <c r="CE118" s="366"/>
      <c r="CF118" s="366"/>
      <c r="CG118" s="366"/>
      <c r="CH118" s="366"/>
      <c r="CI118" s="366"/>
    </row>
    <row r="119" spans="2:87" x14ac:dyDescent="0.3">
      <c r="B119" s="463" t="s">
        <v>1318</v>
      </c>
      <c r="C119" s="367"/>
      <c r="D119" s="534">
        <v>0</v>
      </c>
      <c r="E119" s="534">
        <v>0</v>
      </c>
      <c r="F119" s="534">
        <v>0</v>
      </c>
      <c r="G119" s="534">
        <v>0</v>
      </c>
      <c r="H119" s="534">
        <v>0</v>
      </c>
      <c r="I119" s="534">
        <v>0</v>
      </c>
      <c r="J119" s="534">
        <v>0</v>
      </c>
      <c r="K119" s="534">
        <v>0</v>
      </c>
      <c r="L119" s="534">
        <v>0</v>
      </c>
      <c r="M119" s="534">
        <v>0</v>
      </c>
      <c r="N119" s="534">
        <v>0</v>
      </c>
      <c r="O119" s="534">
        <v>0</v>
      </c>
      <c r="P119" s="534">
        <v>0</v>
      </c>
      <c r="Q119" s="534">
        <v>0</v>
      </c>
      <c r="R119" s="534">
        <v>0</v>
      </c>
      <c r="S119" s="368">
        <f>100000/15</f>
        <v>6666.666666666667</v>
      </c>
      <c r="T119" s="368">
        <f t="shared" ref="T119:AG119" si="47">100000/15</f>
        <v>6666.666666666667</v>
      </c>
      <c r="U119" s="368">
        <f t="shared" si="47"/>
        <v>6666.666666666667</v>
      </c>
      <c r="V119" s="368">
        <f t="shared" si="47"/>
        <v>6666.666666666667</v>
      </c>
      <c r="W119" s="368">
        <f t="shared" si="47"/>
        <v>6666.666666666667</v>
      </c>
      <c r="X119" s="591">
        <f t="shared" si="47"/>
        <v>6666.666666666667</v>
      </c>
      <c r="Y119" s="591">
        <f t="shared" si="47"/>
        <v>6666.666666666667</v>
      </c>
      <c r="Z119" s="591">
        <f t="shared" si="47"/>
        <v>6666.666666666667</v>
      </c>
      <c r="AA119" s="591">
        <f t="shared" si="47"/>
        <v>6666.666666666667</v>
      </c>
      <c r="AB119" s="591">
        <f t="shared" si="47"/>
        <v>6666.666666666667</v>
      </c>
      <c r="AC119" s="591">
        <f t="shared" si="47"/>
        <v>6666.666666666667</v>
      </c>
      <c r="AD119" s="591">
        <f t="shared" si="47"/>
        <v>6666.666666666667</v>
      </c>
      <c r="AE119" s="591">
        <f t="shared" si="47"/>
        <v>6666.666666666667</v>
      </c>
      <c r="AF119" s="591">
        <f t="shared" si="47"/>
        <v>6666.666666666667</v>
      </c>
      <c r="AG119" s="591">
        <f t="shared" si="47"/>
        <v>6666.666666666667</v>
      </c>
    </row>
    <row r="120" spans="2:87" x14ac:dyDescent="0.3">
      <c r="B120" s="463" t="s">
        <v>1320</v>
      </c>
      <c r="C120" s="368">
        <v>100000</v>
      </c>
      <c r="D120" s="488">
        <f>+C120-D119</f>
        <v>100000</v>
      </c>
      <c r="E120" s="488">
        <f t="shared" ref="E120:AG120" si="48">+D120-E119</f>
        <v>100000</v>
      </c>
      <c r="F120" s="488">
        <f t="shared" si="48"/>
        <v>100000</v>
      </c>
      <c r="G120" s="488">
        <f t="shared" si="48"/>
        <v>100000</v>
      </c>
      <c r="H120" s="488">
        <f t="shared" si="48"/>
        <v>100000</v>
      </c>
      <c r="I120" s="488">
        <f t="shared" si="48"/>
        <v>100000</v>
      </c>
      <c r="J120" s="488">
        <f t="shared" si="48"/>
        <v>100000</v>
      </c>
      <c r="K120" s="488">
        <f t="shared" si="48"/>
        <v>100000</v>
      </c>
      <c r="L120" s="488">
        <f t="shared" si="48"/>
        <v>100000</v>
      </c>
      <c r="M120" s="488">
        <f t="shared" si="48"/>
        <v>100000</v>
      </c>
      <c r="N120" s="488">
        <f t="shared" si="48"/>
        <v>100000</v>
      </c>
      <c r="O120" s="488">
        <f t="shared" si="48"/>
        <v>100000</v>
      </c>
      <c r="P120" s="488">
        <f t="shared" si="48"/>
        <v>100000</v>
      </c>
      <c r="Q120" s="488">
        <f t="shared" si="48"/>
        <v>100000</v>
      </c>
      <c r="R120" s="488">
        <f t="shared" si="48"/>
        <v>100000</v>
      </c>
      <c r="S120" s="488">
        <f t="shared" si="48"/>
        <v>93333.333333333328</v>
      </c>
      <c r="T120" s="488">
        <f t="shared" si="48"/>
        <v>86666.666666666657</v>
      </c>
      <c r="U120" s="488">
        <f t="shared" si="48"/>
        <v>79999.999999999985</v>
      </c>
      <c r="V120" s="488">
        <f t="shared" si="48"/>
        <v>73333.333333333314</v>
      </c>
      <c r="W120" s="488">
        <f t="shared" si="48"/>
        <v>66666.666666666642</v>
      </c>
      <c r="X120" s="592">
        <f t="shared" si="48"/>
        <v>59999.999999999978</v>
      </c>
      <c r="Y120" s="592">
        <f t="shared" si="48"/>
        <v>53333.333333333314</v>
      </c>
      <c r="Z120" s="592">
        <f t="shared" si="48"/>
        <v>46666.66666666665</v>
      </c>
      <c r="AA120" s="592">
        <f t="shared" si="48"/>
        <v>39999.999999999985</v>
      </c>
      <c r="AB120" s="592">
        <f t="shared" si="48"/>
        <v>33333.333333333321</v>
      </c>
      <c r="AC120" s="592">
        <f t="shared" si="48"/>
        <v>26666.666666666653</v>
      </c>
      <c r="AD120" s="592">
        <f t="shared" si="48"/>
        <v>19999.999999999985</v>
      </c>
      <c r="AE120" s="592">
        <f t="shared" si="48"/>
        <v>13333.333333333318</v>
      </c>
      <c r="AF120" s="592">
        <f t="shared" si="48"/>
        <v>6666.6666666666506</v>
      </c>
      <c r="AG120" s="592">
        <f t="shared" si="48"/>
        <v>-1.6370904631912708E-11</v>
      </c>
    </row>
    <row r="121" spans="2:87" x14ac:dyDescent="0.3">
      <c r="B121" s="463" t="s">
        <v>1321</v>
      </c>
      <c r="C121" s="367"/>
      <c r="D121" s="568">
        <f t="shared" ref="D121:AG121" si="49">ROUND(C120*$D$117,2)</f>
        <v>4330</v>
      </c>
      <c r="E121" s="568">
        <f t="shared" si="49"/>
        <v>4330</v>
      </c>
      <c r="F121" s="568">
        <f t="shared" si="49"/>
        <v>4330</v>
      </c>
      <c r="G121" s="568">
        <f t="shared" si="49"/>
        <v>4330</v>
      </c>
      <c r="H121" s="568">
        <f t="shared" si="49"/>
        <v>4330</v>
      </c>
      <c r="I121" s="568">
        <f t="shared" si="49"/>
        <v>4330</v>
      </c>
      <c r="J121" s="568">
        <f t="shared" si="49"/>
        <v>4330</v>
      </c>
      <c r="K121" s="568">
        <f t="shared" si="49"/>
        <v>4330</v>
      </c>
      <c r="L121" s="568">
        <f t="shared" si="49"/>
        <v>4330</v>
      </c>
      <c r="M121" s="568">
        <f t="shared" si="49"/>
        <v>4330</v>
      </c>
      <c r="N121" s="568">
        <f t="shared" si="49"/>
        <v>4330</v>
      </c>
      <c r="O121" s="568">
        <f t="shared" si="49"/>
        <v>4330</v>
      </c>
      <c r="P121" s="568">
        <f t="shared" si="49"/>
        <v>4330</v>
      </c>
      <c r="Q121" s="568">
        <f t="shared" si="49"/>
        <v>4330</v>
      </c>
      <c r="R121" s="568">
        <f t="shared" si="49"/>
        <v>4330</v>
      </c>
      <c r="S121" s="568">
        <f t="shared" si="49"/>
        <v>4330</v>
      </c>
      <c r="T121" s="568">
        <f t="shared" si="49"/>
        <v>4041.33</v>
      </c>
      <c r="U121" s="568">
        <f t="shared" si="49"/>
        <v>3752.67</v>
      </c>
      <c r="V121" s="568">
        <f t="shared" si="49"/>
        <v>3464</v>
      </c>
      <c r="W121" s="568">
        <f t="shared" si="49"/>
        <v>3175.33</v>
      </c>
      <c r="X121" s="593">
        <f t="shared" si="49"/>
        <v>2886.67</v>
      </c>
      <c r="Y121" s="593">
        <f t="shared" si="49"/>
        <v>2598</v>
      </c>
      <c r="Z121" s="593">
        <f t="shared" si="49"/>
        <v>2309.33</v>
      </c>
      <c r="AA121" s="593">
        <f t="shared" si="49"/>
        <v>2020.67</v>
      </c>
      <c r="AB121" s="593">
        <f t="shared" si="49"/>
        <v>1732</v>
      </c>
      <c r="AC121" s="593">
        <f t="shared" si="49"/>
        <v>1443.33</v>
      </c>
      <c r="AD121" s="593">
        <f t="shared" si="49"/>
        <v>1154.67</v>
      </c>
      <c r="AE121" s="593">
        <f t="shared" si="49"/>
        <v>866</v>
      </c>
      <c r="AF121" s="593">
        <f t="shared" si="49"/>
        <v>577.33000000000004</v>
      </c>
      <c r="AG121" s="593">
        <f t="shared" si="49"/>
        <v>288.67</v>
      </c>
    </row>
    <row r="122" spans="2:87" x14ac:dyDescent="0.3">
      <c r="B122" s="463" t="s">
        <v>1322</v>
      </c>
      <c r="C122" s="367"/>
      <c r="D122" s="488">
        <f>+D121+D119</f>
        <v>4330</v>
      </c>
      <c r="E122" s="488">
        <f t="shared" ref="E122:AF122" si="50">+E121+E119</f>
        <v>4330</v>
      </c>
      <c r="F122" s="488">
        <f t="shared" si="50"/>
        <v>4330</v>
      </c>
      <c r="G122" s="488">
        <f t="shared" si="50"/>
        <v>4330</v>
      </c>
      <c r="H122" s="488">
        <f t="shared" si="50"/>
        <v>4330</v>
      </c>
      <c r="I122" s="488">
        <f t="shared" si="50"/>
        <v>4330</v>
      </c>
      <c r="J122" s="488">
        <f t="shared" si="50"/>
        <v>4330</v>
      </c>
      <c r="K122" s="488">
        <f t="shared" si="50"/>
        <v>4330</v>
      </c>
      <c r="L122" s="488">
        <f t="shared" si="50"/>
        <v>4330</v>
      </c>
      <c r="M122" s="488">
        <f t="shared" si="50"/>
        <v>4330</v>
      </c>
      <c r="N122" s="488">
        <f t="shared" si="50"/>
        <v>4330</v>
      </c>
      <c r="O122" s="488">
        <f t="shared" si="50"/>
        <v>4330</v>
      </c>
      <c r="P122" s="488">
        <f t="shared" si="50"/>
        <v>4330</v>
      </c>
      <c r="Q122" s="488">
        <f t="shared" si="50"/>
        <v>4330</v>
      </c>
      <c r="R122" s="488">
        <f t="shared" si="50"/>
        <v>4330</v>
      </c>
      <c r="S122" s="488">
        <f t="shared" si="50"/>
        <v>10996.666666666668</v>
      </c>
      <c r="T122" s="488">
        <f t="shared" si="50"/>
        <v>10707.996666666666</v>
      </c>
      <c r="U122" s="488">
        <f t="shared" si="50"/>
        <v>10419.336666666666</v>
      </c>
      <c r="V122" s="488">
        <f t="shared" si="50"/>
        <v>10130.666666666668</v>
      </c>
      <c r="W122" s="488">
        <f t="shared" si="50"/>
        <v>9841.996666666666</v>
      </c>
      <c r="X122" s="592">
        <f t="shared" si="50"/>
        <v>9553.3366666666661</v>
      </c>
      <c r="Y122" s="592">
        <f t="shared" si="50"/>
        <v>9264.6666666666679</v>
      </c>
      <c r="Z122" s="592">
        <f t="shared" si="50"/>
        <v>8975.996666666666</v>
      </c>
      <c r="AA122" s="592">
        <f t="shared" si="50"/>
        <v>8687.3366666666661</v>
      </c>
      <c r="AB122" s="592">
        <f t="shared" si="50"/>
        <v>8398.6666666666679</v>
      </c>
      <c r="AC122" s="592">
        <f t="shared" si="50"/>
        <v>8109.9966666666669</v>
      </c>
      <c r="AD122" s="592">
        <f t="shared" si="50"/>
        <v>7821.336666666667</v>
      </c>
      <c r="AE122" s="592">
        <f t="shared" si="50"/>
        <v>7532.666666666667</v>
      </c>
      <c r="AF122" s="592">
        <f t="shared" si="50"/>
        <v>7243.9966666666669</v>
      </c>
      <c r="AG122" s="592">
        <f>+AG121+AG119</f>
        <v>6955.336666666667</v>
      </c>
    </row>
    <row r="123" spans="2:87" x14ac:dyDescent="0.3">
      <c r="B123" s="463" t="s">
        <v>1323</v>
      </c>
      <c r="C123" s="368"/>
      <c r="D123" s="488">
        <f t="shared" ref="D123:AG123" si="51">+IF(D118&gt;$C$1,D122,0)</f>
        <v>0</v>
      </c>
      <c r="E123" s="488">
        <f t="shared" si="51"/>
        <v>0</v>
      </c>
      <c r="F123" s="488">
        <f t="shared" si="51"/>
        <v>0</v>
      </c>
      <c r="G123" s="488">
        <f t="shared" si="51"/>
        <v>0</v>
      </c>
      <c r="H123" s="488">
        <f t="shared" si="51"/>
        <v>0</v>
      </c>
      <c r="I123" s="488">
        <f t="shared" si="51"/>
        <v>0</v>
      </c>
      <c r="J123" s="488">
        <f t="shared" si="51"/>
        <v>4330</v>
      </c>
      <c r="K123" s="488">
        <f t="shared" si="51"/>
        <v>4330</v>
      </c>
      <c r="L123" s="488">
        <f t="shared" si="51"/>
        <v>4330</v>
      </c>
      <c r="M123" s="488">
        <f t="shared" si="51"/>
        <v>4330</v>
      </c>
      <c r="N123" s="488">
        <f t="shared" si="51"/>
        <v>4330</v>
      </c>
      <c r="O123" s="488">
        <f t="shared" si="51"/>
        <v>4330</v>
      </c>
      <c r="P123" s="488">
        <f t="shared" si="51"/>
        <v>4330</v>
      </c>
      <c r="Q123" s="488">
        <f t="shared" si="51"/>
        <v>4330</v>
      </c>
      <c r="R123" s="488">
        <f t="shared" si="51"/>
        <v>4330</v>
      </c>
      <c r="S123" s="488">
        <f t="shared" si="51"/>
        <v>10996.666666666668</v>
      </c>
      <c r="T123" s="488">
        <f t="shared" si="51"/>
        <v>10707.996666666666</v>
      </c>
      <c r="U123" s="488">
        <f t="shared" si="51"/>
        <v>10419.336666666666</v>
      </c>
      <c r="V123" s="488">
        <f t="shared" si="51"/>
        <v>10130.666666666668</v>
      </c>
      <c r="W123" s="488">
        <f t="shared" si="51"/>
        <v>9841.996666666666</v>
      </c>
      <c r="X123" s="592">
        <f t="shared" si="51"/>
        <v>9553.3366666666661</v>
      </c>
      <c r="Y123" s="592">
        <f t="shared" si="51"/>
        <v>9264.6666666666679</v>
      </c>
      <c r="Z123" s="592">
        <f t="shared" si="51"/>
        <v>8975.996666666666</v>
      </c>
      <c r="AA123" s="592">
        <f t="shared" si="51"/>
        <v>8687.3366666666661</v>
      </c>
      <c r="AB123" s="592">
        <f t="shared" si="51"/>
        <v>8398.6666666666679</v>
      </c>
      <c r="AC123" s="592">
        <f t="shared" si="51"/>
        <v>8109.9966666666669</v>
      </c>
      <c r="AD123" s="592">
        <f t="shared" si="51"/>
        <v>7821.336666666667</v>
      </c>
      <c r="AE123" s="592">
        <f t="shared" si="51"/>
        <v>7532.666666666667</v>
      </c>
      <c r="AF123" s="592">
        <f t="shared" si="51"/>
        <v>7243.9966666666669</v>
      </c>
      <c r="AG123" s="592">
        <f t="shared" si="51"/>
        <v>6955.336666666667</v>
      </c>
    </row>
    <row r="124" spans="2:87" x14ac:dyDescent="0.3">
      <c r="B124" s="463" t="s">
        <v>1324</v>
      </c>
      <c r="C124" s="371"/>
      <c r="D124" s="587">
        <f>ROUND(IF(C123=0,(D118-$C$1)/(D118-C118),C124+1),10)</f>
        <v>-5.8934426230000003</v>
      </c>
      <c r="E124" s="587">
        <f>ROUND(IF(D123=0,(E118-$C$1)/(E118-D118),D124+1),10)</f>
        <v>-4.9095890411000003</v>
      </c>
      <c r="F124" s="587">
        <f>ROUND(IF(E123=0,(F118-$C$1)/(F118-E118),E124+1),10)</f>
        <v>-3.9095890410999998</v>
      </c>
      <c r="G124" s="587">
        <f>ROUND(IF(F123=0,(G118-$C$1)/(G118-F118),F124+1),10)</f>
        <v>-2.9095890410999998</v>
      </c>
      <c r="H124" s="587">
        <f>ROUND(IF(G123=0,(H118-$C$1)/(H118-G118),G124+1),10)</f>
        <v>-1.9016393442999999</v>
      </c>
      <c r="I124" s="587">
        <f>ROUND(IF(H123&lt;=0,(I118-$C$1)/(I118-H118),H124+1),10)</f>
        <v>-0.9068493151</v>
      </c>
      <c r="J124" s="587">
        <f t="shared" ref="J124:AG124" si="52">ROUND(IF(I123&lt;=0,(J118-$C$1)/(J118-I118),I124+1),10)</f>
        <v>9.3150684900000003E-2</v>
      </c>
      <c r="K124" s="587">
        <f t="shared" si="52"/>
        <v>1.0931506848999999</v>
      </c>
      <c r="L124" s="587">
        <f>ROUND(IF(K123&lt;=0,(L118-$C$1)/(L118-K118),K124+1),10)</f>
        <v>2.0931506848999999</v>
      </c>
      <c r="M124" s="587">
        <f t="shared" si="52"/>
        <v>3.0931506848999999</v>
      </c>
      <c r="N124" s="587">
        <f t="shared" si="52"/>
        <v>4.0931506849000003</v>
      </c>
      <c r="O124" s="587">
        <f t="shared" si="52"/>
        <v>5.0931506849000003</v>
      </c>
      <c r="P124" s="587">
        <f t="shared" si="52"/>
        <v>6.0931506849000003</v>
      </c>
      <c r="Q124" s="587">
        <f t="shared" si="52"/>
        <v>7.0931506849000003</v>
      </c>
      <c r="R124" s="587">
        <f t="shared" si="52"/>
        <v>8.0931506848999994</v>
      </c>
      <c r="S124" s="587">
        <f t="shared" si="52"/>
        <v>9.0931506848999994</v>
      </c>
      <c r="T124" s="587">
        <f t="shared" si="52"/>
        <v>10.093150684899999</v>
      </c>
      <c r="U124" s="587">
        <f t="shared" si="52"/>
        <v>11.093150684899999</v>
      </c>
      <c r="V124" s="587">
        <f t="shared" si="52"/>
        <v>12.093150684899999</v>
      </c>
      <c r="W124" s="587">
        <f t="shared" si="52"/>
        <v>13.093150684899999</v>
      </c>
      <c r="X124" s="587">
        <f t="shared" si="52"/>
        <v>14.093150684899999</v>
      </c>
      <c r="Y124" s="587">
        <f t="shared" si="52"/>
        <v>15.093150684899999</v>
      </c>
      <c r="Z124" s="587">
        <f t="shared" si="52"/>
        <v>16.093150684899999</v>
      </c>
      <c r="AA124" s="587">
        <f t="shared" si="52"/>
        <v>17.093150684899999</v>
      </c>
      <c r="AB124" s="587">
        <f t="shared" si="52"/>
        <v>18.093150684899999</v>
      </c>
      <c r="AC124" s="587">
        <f t="shared" si="52"/>
        <v>19.093150684899999</v>
      </c>
      <c r="AD124" s="587">
        <f t="shared" si="52"/>
        <v>20.093150684899999</v>
      </c>
      <c r="AE124" s="587">
        <f t="shared" si="52"/>
        <v>21.093150684899999</v>
      </c>
      <c r="AF124" s="587">
        <f t="shared" si="52"/>
        <v>22.093150684899999</v>
      </c>
      <c r="AG124" s="587">
        <f t="shared" si="52"/>
        <v>23.093150684899999</v>
      </c>
    </row>
    <row r="125" spans="2:87" x14ac:dyDescent="0.3">
      <c r="B125" s="463" t="s">
        <v>1325</v>
      </c>
      <c r="C125" s="367"/>
      <c r="D125" s="473" cm="1">
        <f t="array" ref="D125">interpoler(mat_zc,Taux_ZC,D124)</f>
        <v>2.3281430400000001E-2</v>
      </c>
      <c r="E125" s="473" cm="1">
        <f t="array" ref="E125">interpoler(mat_zc,Taux_ZC,E124)</f>
        <v>2.3281430400000001E-2</v>
      </c>
      <c r="F125" s="473" cm="1">
        <f t="array" ref="F125">interpoler(mat_zc,Taux_ZC,F124)</f>
        <v>2.3281430400000001E-2</v>
      </c>
      <c r="G125" s="473" cm="1">
        <f t="array" ref="G125">interpoler(mat_zc,Taux_ZC,G124)</f>
        <v>2.3281430400000001E-2</v>
      </c>
      <c r="H125" s="473" cm="1">
        <f t="array" ref="H125">interpoler(mat_zc,Taux_ZC,H124)</f>
        <v>2.3281430400000001E-2</v>
      </c>
      <c r="I125" s="473" cm="1">
        <f t="array" ref="I125">interpoler(mat_zc,Taux_ZC,I124)</f>
        <v>2.3281430400000001E-2</v>
      </c>
      <c r="J125" s="473" cm="1">
        <f t="array" ref="J125">interpoler(mat_zc,Taux_ZC,J124)</f>
        <v>2.3256983365393134E-2</v>
      </c>
      <c r="K125" s="473" cm="1">
        <f t="array" ref="K125">interpoler(mat_zc,Taux_ZC,K124)</f>
        <v>2.5288396328718002E-2</v>
      </c>
      <c r="L125" s="473" cm="1">
        <f t="array" ref="L125">interpoler(mat_zc,Taux_ZC,L124)</f>
        <v>2.6847056561320873E-2</v>
      </c>
      <c r="M125" s="473" cm="1">
        <f t="array" ref="M125">interpoler(mat_zc,Taux_ZC,M124)</f>
        <v>2.8403795670909282E-2</v>
      </c>
      <c r="N125" s="473" cm="1">
        <f t="array" ref="N125">interpoler(mat_zc,Taux_ZC,N124)</f>
        <v>2.9932357272568804E-2</v>
      </c>
      <c r="O125" s="473" cm="1">
        <f t="array" ref="O125">interpoler(mat_zc,Taux_ZC,O124)</f>
        <v>3.0957995460257459E-2</v>
      </c>
      <c r="P125" s="473" cm="1">
        <f t="array" ref="P125">interpoler(mat_zc,Taux_ZC,P124)</f>
        <v>3.148021336655947E-2</v>
      </c>
      <c r="Q125" s="473" cm="1">
        <f t="array" ref="Q125">interpoler(mat_zc,Taux_ZC,Q124)</f>
        <v>3.1985029804641338E-2</v>
      </c>
      <c r="R125" s="473" cm="1">
        <f t="array" ref="R125">interpoler(mat_zc,Taux_ZC,R124)</f>
        <v>3.2499906126284873E-2</v>
      </c>
      <c r="S125" s="473" cm="1">
        <f t="array" ref="S125">interpoler(mat_zc,Taux_ZC,S124)</f>
        <v>3.3031781269569759E-2</v>
      </c>
      <c r="T125" s="473" cm="1">
        <f t="array" ref="T125">interpoler(mat_zc,Taux_ZC,T124)</f>
        <v>3.3646748750938593E-2</v>
      </c>
      <c r="U125" s="473" cm="1">
        <f t="array" ref="U125">interpoler(mat_zc,Taux_ZC,U124)</f>
        <v>3.4292506763814921E-2</v>
      </c>
      <c r="V125" s="473" cm="1">
        <f t="array" ref="V125">interpoler(mat_zc,Taux_ZC,V124)</f>
        <v>3.4950515352855607E-2</v>
      </c>
      <c r="W125" s="473" cm="1">
        <f t="array" ref="W125">interpoler(mat_zc,Taux_ZC,W124)</f>
        <v>3.5594099881357651E-2</v>
      </c>
      <c r="X125" s="473" cm="1">
        <f t="array" ref="X125">interpoler(mat_zc,Taux_ZC,X124)</f>
        <v>3.5969684344101444E-2</v>
      </c>
      <c r="Y125" s="473" cm="1">
        <f t="array" ref="Y125">interpoler(mat_zc,Taux_ZC,Y124)</f>
        <v>3.6229098012868312E-2</v>
      </c>
      <c r="Z125" s="473" cm="1">
        <f t="array" ref="Z125">interpoler(mat_zc,Taux_ZC,Z124)</f>
        <v>3.6496421483005054E-2</v>
      </c>
      <c r="AA125" s="473" cm="1">
        <f t="array" ref="AA125">interpoler(mat_zc,Taux_ZC,AA124)</f>
        <v>3.6771524134511638E-2</v>
      </c>
      <c r="AB125" s="473" cm="1">
        <f t="array" ref="AB125">interpoler(mat_zc,Taux_ZC,AB124)</f>
        <v>3.7054967367388135E-2</v>
      </c>
      <c r="AC125" s="473" cm="1">
        <f t="array" ref="AC125">interpoler(mat_zc,Taux_ZC,AC124)</f>
        <v>3.736349116820363E-2</v>
      </c>
      <c r="AD125" s="473" cm="1">
        <f t="array" ref="AD125">interpoler(mat_zc,Taux_ZC,AD124)</f>
        <v>3.7869879223541701E-2</v>
      </c>
      <c r="AE125" s="473" cm="1">
        <f t="array" ref="AE125">interpoler(mat_zc,Taux_ZC,AE124)</f>
        <v>3.8504687841075351E-2</v>
      </c>
      <c r="AF125" s="473" cm="1">
        <f t="array" ref="AF125">interpoler(mat_zc,Taux_ZC,AF124)</f>
        <v>3.9158077897787164E-2</v>
      </c>
      <c r="AG125" s="473" cm="1">
        <f t="array" ref="AG125">interpoler(mat_zc,Taux_ZC,AG124)</f>
        <v>3.982838065586871E-2</v>
      </c>
    </row>
    <row r="126" spans="2:87" x14ac:dyDescent="0.3">
      <c r="B126" s="463" t="s">
        <v>1328</v>
      </c>
      <c r="C126" s="367"/>
      <c r="D126" s="429">
        <v>3.3899999999999998E-3</v>
      </c>
      <c r="E126" s="429">
        <f>+D126</f>
        <v>3.3899999999999998E-3</v>
      </c>
      <c r="F126" s="429">
        <f t="shared" ref="F126:AG126" si="53">+E126</f>
        <v>3.3899999999999998E-3</v>
      </c>
      <c r="G126" s="429">
        <f t="shared" si="53"/>
        <v>3.3899999999999998E-3</v>
      </c>
      <c r="H126" s="429">
        <f t="shared" si="53"/>
        <v>3.3899999999999998E-3</v>
      </c>
      <c r="I126" s="429">
        <f t="shared" si="53"/>
        <v>3.3899999999999998E-3</v>
      </c>
      <c r="J126" s="429">
        <f t="shared" si="53"/>
        <v>3.3899999999999998E-3</v>
      </c>
      <c r="K126" s="429">
        <f t="shared" si="53"/>
        <v>3.3899999999999998E-3</v>
      </c>
      <c r="L126" s="429">
        <f t="shared" si="53"/>
        <v>3.3899999999999998E-3</v>
      </c>
      <c r="M126" s="429">
        <f t="shared" si="53"/>
        <v>3.3899999999999998E-3</v>
      </c>
      <c r="N126" s="429">
        <f t="shared" si="53"/>
        <v>3.3899999999999998E-3</v>
      </c>
      <c r="O126" s="429">
        <f t="shared" si="53"/>
        <v>3.3899999999999998E-3</v>
      </c>
      <c r="P126" s="429">
        <f t="shared" si="53"/>
        <v>3.3899999999999998E-3</v>
      </c>
      <c r="Q126" s="429">
        <f t="shared" si="53"/>
        <v>3.3899999999999998E-3</v>
      </c>
      <c r="R126" s="429">
        <f t="shared" si="53"/>
        <v>3.3899999999999998E-3</v>
      </c>
      <c r="S126" s="429">
        <f t="shared" si="53"/>
        <v>3.3899999999999998E-3</v>
      </c>
      <c r="T126" s="429">
        <f t="shared" si="53"/>
        <v>3.3899999999999998E-3</v>
      </c>
      <c r="U126" s="429">
        <f t="shared" si="53"/>
        <v>3.3899999999999998E-3</v>
      </c>
      <c r="V126" s="429">
        <f t="shared" si="53"/>
        <v>3.3899999999999998E-3</v>
      </c>
      <c r="W126" s="429">
        <f t="shared" si="53"/>
        <v>3.3899999999999998E-3</v>
      </c>
      <c r="X126" s="594">
        <f t="shared" si="53"/>
        <v>3.3899999999999998E-3</v>
      </c>
      <c r="Y126" s="594">
        <f t="shared" si="53"/>
        <v>3.3899999999999998E-3</v>
      </c>
      <c r="Z126" s="594">
        <f t="shared" si="53"/>
        <v>3.3899999999999998E-3</v>
      </c>
      <c r="AA126" s="594">
        <f t="shared" si="53"/>
        <v>3.3899999999999998E-3</v>
      </c>
      <c r="AB126" s="594">
        <f t="shared" si="53"/>
        <v>3.3899999999999998E-3</v>
      </c>
      <c r="AC126" s="594">
        <f t="shared" si="53"/>
        <v>3.3899999999999998E-3</v>
      </c>
      <c r="AD126" s="594">
        <f t="shared" si="53"/>
        <v>3.3899999999999998E-3</v>
      </c>
      <c r="AE126" s="594">
        <f t="shared" si="53"/>
        <v>3.3899999999999998E-3</v>
      </c>
      <c r="AF126" s="594">
        <f t="shared" si="53"/>
        <v>3.3899999999999998E-3</v>
      </c>
      <c r="AG126" s="594">
        <f t="shared" si="53"/>
        <v>3.3899999999999998E-3</v>
      </c>
    </row>
    <row r="127" spans="2:87" x14ac:dyDescent="0.3">
      <c r="B127" s="463" t="s">
        <v>1329</v>
      </c>
      <c r="C127" s="367"/>
      <c r="D127" s="429">
        <f t="shared" ref="D127:AG127" si="54">ROUND(D125+D126,5)</f>
        <v>2.6669999999999999E-2</v>
      </c>
      <c r="E127" s="429">
        <f t="shared" si="54"/>
        <v>2.6669999999999999E-2</v>
      </c>
      <c r="F127" s="429">
        <f t="shared" si="54"/>
        <v>2.6669999999999999E-2</v>
      </c>
      <c r="G127" s="429">
        <f t="shared" si="54"/>
        <v>2.6669999999999999E-2</v>
      </c>
      <c r="H127" s="440">
        <f t="shared" si="54"/>
        <v>2.6669999999999999E-2</v>
      </c>
      <c r="I127" s="429">
        <f t="shared" si="54"/>
        <v>2.6669999999999999E-2</v>
      </c>
      <c r="J127" s="440">
        <f t="shared" si="54"/>
        <v>2.665E-2</v>
      </c>
      <c r="K127" s="429">
        <f t="shared" si="54"/>
        <v>2.8680000000000001E-2</v>
      </c>
      <c r="L127" s="429">
        <f t="shared" si="54"/>
        <v>3.024E-2</v>
      </c>
      <c r="M127" s="429">
        <f t="shared" si="54"/>
        <v>3.1789999999999999E-2</v>
      </c>
      <c r="N127" s="429">
        <f t="shared" si="54"/>
        <v>3.3320000000000002E-2</v>
      </c>
      <c r="O127" s="429">
        <f t="shared" si="54"/>
        <v>3.4349999999999999E-2</v>
      </c>
      <c r="P127" s="429">
        <f t="shared" si="54"/>
        <v>3.4869999999999998E-2</v>
      </c>
      <c r="Q127" s="429">
        <f t="shared" si="54"/>
        <v>3.5380000000000002E-2</v>
      </c>
      <c r="R127" s="429">
        <f t="shared" si="54"/>
        <v>3.5889999999999998E-2</v>
      </c>
      <c r="S127" s="429">
        <f t="shared" si="54"/>
        <v>3.6420000000000001E-2</v>
      </c>
      <c r="T127" s="429">
        <f t="shared" si="54"/>
        <v>3.7039999999999997E-2</v>
      </c>
      <c r="U127" s="429">
        <f t="shared" si="54"/>
        <v>3.7679999999999998E-2</v>
      </c>
      <c r="V127" s="429">
        <f t="shared" si="54"/>
        <v>3.8339999999999999E-2</v>
      </c>
      <c r="W127" s="429">
        <f t="shared" si="54"/>
        <v>3.8980000000000001E-2</v>
      </c>
      <c r="X127" s="429">
        <f t="shared" si="54"/>
        <v>3.9359999999999999E-2</v>
      </c>
      <c r="Y127" s="429">
        <f t="shared" si="54"/>
        <v>3.9620000000000002E-2</v>
      </c>
      <c r="Z127" s="429">
        <f t="shared" si="54"/>
        <v>3.9890000000000002E-2</v>
      </c>
      <c r="AA127" s="429">
        <f t="shared" si="54"/>
        <v>4.0160000000000001E-2</v>
      </c>
      <c r="AB127" s="429">
        <f t="shared" si="54"/>
        <v>4.0439999999999997E-2</v>
      </c>
      <c r="AC127" s="429">
        <f t="shared" si="54"/>
        <v>4.0750000000000001E-2</v>
      </c>
      <c r="AD127" s="429">
        <f t="shared" si="54"/>
        <v>4.1259999999999998E-2</v>
      </c>
      <c r="AE127" s="429">
        <f t="shared" si="54"/>
        <v>4.1889999999999997E-2</v>
      </c>
      <c r="AF127" s="429">
        <f t="shared" si="54"/>
        <v>4.2549999999999998E-2</v>
      </c>
      <c r="AG127" s="429">
        <f t="shared" si="54"/>
        <v>4.3220000000000001E-2</v>
      </c>
    </row>
    <row r="128" spans="2:87" x14ac:dyDescent="0.3">
      <c r="B128" s="463"/>
      <c r="C128" s="367"/>
      <c r="D128" s="588">
        <f t="shared" ref="D128:AG128" si="55">ROUND(D123/(1+D127)^D124,5)</f>
        <v>0</v>
      </c>
      <c r="E128" s="588">
        <f t="shared" si="55"/>
        <v>0</v>
      </c>
      <c r="F128" s="588">
        <f t="shared" si="55"/>
        <v>0</v>
      </c>
      <c r="G128" s="588">
        <f t="shared" si="55"/>
        <v>0</v>
      </c>
      <c r="H128" s="588">
        <f t="shared" si="55"/>
        <v>0</v>
      </c>
      <c r="I128" s="588">
        <f t="shared" si="55"/>
        <v>0</v>
      </c>
      <c r="J128" s="588">
        <f t="shared" si="55"/>
        <v>4319.4046399999997</v>
      </c>
      <c r="K128" s="588">
        <f t="shared" si="55"/>
        <v>4198.2053900000001</v>
      </c>
      <c r="L128" s="588">
        <f t="shared" si="55"/>
        <v>4068.2333800000001</v>
      </c>
      <c r="M128" s="588">
        <f t="shared" si="55"/>
        <v>3930.5010200000002</v>
      </c>
      <c r="N128" s="588">
        <f t="shared" si="55"/>
        <v>3786.36582</v>
      </c>
      <c r="O128" s="588">
        <f t="shared" si="55"/>
        <v>3645.7258999999999</v>
      </c>
      <c r="P128" s="588">
        <f t="shared" si="55"/>
        <v>3513.8764700000002</v>
      </c>
      <c r="Q128" s="588">
        <f t="shared" si="55"/>
        <v>3383.63058</v>
      </c>
      <c r="R128" s="588">
        <f t="shared" si="55"/>
        <v>3255.0097599999999</v>
      </c>
      <c r="S128" s="588">
        <f t="shared" si="55"/>
        <v>7943.13285</v>
      </c>
      <c r="T128" s="588">
        <f t="shared" si="55"/>
        <v>7417.9138400000002</v>
      </c>
      <c r="U128" s="588">
        <f t="shared" si="55"/>
        <v>6912.6702500000001</v>
      </c>
      <c r="V128" s="588">
        <f t="shared" si="55"/>
        <v>6427.48344</v>
      </c>
      <c r="W128" s="588">
        <f t="shared" si="55"/>
        <v>5965.4444199999998</v>
      </c>
      <c r="X128" s="588">
        <f t="shared" si="55"/>
        <v>5544.5886799999998</v>
      </c>
      <c r="Y128" s="588">
        <f t="shared" si="55"/>
        <v>5153.9301599999999</v>
      </c>
      <c r="Z128" s="588">
        <f t="shared" si="55"/>
        <v>4783.0163400000001</v>
      </c>
      <c r="AA128" s="588">
        <f t="shared" si="55"/>
        <v>4431.9130800000003</v>
      </c>
      <c r="AB128" s="588">
        <f t="shared" si="55"/>
        <v>4099.2068900000004</v>
      </c>
      <c r="AC128" s="588">
        <f t="shared" si="55"/>
        <v>3782.8826899999999</v>
      </c>
      <c r="AD128" s="588">
        <f t="shared" si="55"/>
        <v>3471.0560300000002</v>
      </c>
      <c r="AE128" s="588">
        <f t="shared" si="55"/>
        <v>3169.78179</v>
      </c>
      <c r="AF128" s="588">
        <f t="shared" si="55"/>
        <v>2885.0999700000002</v>
      </c>
      <c r="AG128" s="588">
        <f t="shared" si="55"/>
        <v>2617.9456399999999</v>
      </c>
    </row>
    <row r="129" spans="1:87" x14ac:dyDescent="0.3">
      <c r="B129" s="367"/>
      <c r="C129" s="367"/>
      <c r="D129">
        <v>4283.4772291470072</v>
      </c>
      <c r="E129">
        <v>4170.453470012224</v>
      </c>
      <c r="F129">
        <v>4059.1310744194857</v>
      </c>
      <c r="G129">
        <v>3948.7640815395371</v>
      </c>
      <c r="H129">
        <v>3839.2598193624526</v>
      </c>
      <c r="I129">
        <v>3724.7035142843256</v>
      </c>
      <c r="J129">
        <v>3605.5236021805326</v>
      </c>
      <c r="K129">
        <v>3485.5863518329265</v>
      </c>
      <c r="L129">
        <v>3366.2499885078191</v>
      </c>
      <c r="M129">
        <v>3247.9082623564459</v>
      </c>
      <c r="N129">
        <v>3131.1134057438221</v>
      </c>
      <c r="O129">
        <v>3015.6864686870153</v>
      </c>
      <c r="P129">
        <v>2900.5659301672513</v>
      </c>
      <c r="Q129">
        <v>2785.1664335714654</v>
      </c>
      <c r="R129">
        <v>2669.9454124307936</v>
      </c>
      <c r="S129">
        <v>6485.0625292426421</v>
      </c>
      <c r="T129">
        <v>6025.1703828108857</v>
      </c>
      <c r="U129">
        <v>5584.3103937180795</v>
      </c>
      <c r="V129">
        <v>5160.9601071044644</v>
      </c>
      <c r="W129">
        <v>4751.9545932240453</v>
      </c>
      <c r="X129">
        <v>4357.161165170497</v>
      </c>
      <c r="Y129">
        <v>3982.3520922705393</v>
      </c>
      <c r="Z129">
        <v>3626.1473198897647</v>
      </c>
      <c r="AA129">
        <v>3288.8665313106189</v>
      </c>
      <c r="AB129">
        <v>2970.7307195429557</v>
      </c>
      <c r="AC129">
        <v>2672.5259168581692</v>
      </c>
      <c r="AD129">
        <v>2396.5655620061443</v>
      </c>
      <c r="AE129">
        <v>2138.7227158704827</v>
      </c>
      <c r="AF129">
        <v>1898.4332983819975</v>
      </c>
      <c r="AG129">
        <v>1674.7239195650732</v>
      </c>
    </row>
    <row r="130" spans="1:87" x14ac:dyDescent="0.3">
      <c r="B130" s="495" t="s">
        <v>650</v>
      </c>
      <c r="C130" s="501">
        <f>+SUM(D128:AG128)</f>
        <v>108707.01903000001</v>
      </c>
      <c r="D130" s="596">
        <f>D128-D129</f>
        <v>-4283.4772291470072</v>
      </c>
      <c r="E130" s="596">
        <f>E128-E129</f>
        <v>-4170.453470012224</v>
      </c>
      <c r="F130" s="596">
        <f t="shared" ref="F130:AG130" si="56">F128-F129</f>
        <v>-4059.1310744194857</v>
      </c>
      <c r="G130" s="596">
        <f t="shared" si="56"/>
        <v>-3948.7640815395371</v>
      </c>
      <c r="H130" s="596">
        <f t="shared" si="56"/>
        <v>-3839.2598193624526</v>
      </c>
      <c r="I130" s="596">
        <f t="shared" si="56"/>
        <v>-3724.7035142843256</v>
      </c>
      <c r="J130" s="596">
        <f t="shared" si="56"/>
        <v>713.88103781946711</v>
      </c>
      <c r="K130" s="596">
        <f t="shared" si="56"/>
        <v>712.61903816707354</v>
      </c>
      <c r="L130" s="596">
        <f t="shared" si="56"/>
        <v>701.983391492181</v>
      </c>
      <c r="M130" s="596">
        <f t="shared" si="56"/>
        <v>682.59275764355425</v>
      </c>
      <c r="N130" s="596">
        <f t="shared" si="56"/>
        <v>655.25241425617787</v>
      </c>
      <c r="O130" s="596">
        <f t="shared" si="56"/>
        <v>630.03943131298456</v>
      </c>
      <c r="P130" s="596">
        <f t="shared" si="56"/>
        <v>613.31053983274887</v>
      </c>
      <c r="Q130" s="596">
        <f t="shared" si="56"/>
        <v>598.4641464285346</v>
      </c>
      <c r="R130" s="596">
        <f t="shared" si="56"/>
        <v>585.06434756920635</v>
      </c>
      <c r="S130" s="596">
        <f t="shared" si="56"/>
        <v>1458.0703207573579</v>
      </c>
      <c r="T130" s="596">
        <f t="shared" si="56"/>
        <v>1392.7434571891145</v>
      </c>
      <c r="U130" s="596">
        <f t="shared" si="56"/>
        <v>1328.3598562819207</v>
      </c>
      <c r="V130" s="596">
        <f t="shared" si="56"/>
        <v>1266.5233328955355</v>
      </c>
      <c r="W130" s="596">
        <f t="shared" si="56"/>
        <v>1213.4898267759545</v>
      </c>
      <c r="X130" s="596">
        <f t="shared" si="56"/>
        <v>1187.4275148295028</v>
      </c>
      <c r="Y130" s="596">
        <f t="shared" si="56"/>
        <v>1171.5780677294606</v>
      </c>
      <c r="Z130" s="596">
        <f t="shared" si="56"/>
        <v>1156.8690201102354</v>
      </c>
      <c r="AA130" s="596">
        <f t="shared" si="56"/>
        <v>1143.0465486893813</v>
      </c>
      <c r="AB130" s="596">
        <f t="shared" si="56"/>
        <v>1128.4761704570446</v>
      </c>
      <c r="AC130" s="596">
        <f t="shared" si="56"/>
        <v>1110.3567731418307</v>
      </c>
      <c r="AD130" s="596">
        <f t="shared" si="56"/>
        <v>1074.4904679938559</v>
      </c>
      <c r="AE130" s="596">
        <f t="shared" si="56"/>
        <v>1031.0590741295173</v>
      </c>
      <c r="AF130" s="596">
        <f t="shared" si="56"/>
        <v>986.66667161800274</v>
      </c>
      <c r="AG130" s="596">
        <f t="shared" si="56"/>
        <v>943.22172043492674</v>
      </c>
    </row>
    <row r="131" spans="1:87" x14ac:dyDescent="0.3">
      <c r="B131" s="495" t="s">
        <v>1331</v>
      </c>
      <c r="C131" s="501">
        <f>+SUMPRODUCT(D124:AG124,D128:AG128)/C130</f>
        <v>11.286836938537306</v>
      </c>
      <c r="D131" s="365"/>
      <c r="E131" s="365"/>
      <c r="F131" s="361"/>
      <c r="G131" s="363"/>
      <c r="H131" s="361"/>
      <c r="I131" s="361"/>
      <c r="J131" s="361"/>
    </row>
    <row r="132" spans="1:87" x14ac:dyDescent="0.3">
      <c r="D132" s="598"/>
      <c r="E132" s="598"/>
      <c r="F132" s="598"/>
      <c r="G132" s="598"/>
      <c r="H132" s="598"/>
      <c r="I132" s="598"/>
      <c r="J132" s="598"/>
      <c r="K132" s="598"/>
      <c r="L132" s="598"/>
      <c r="M132" s="598"/>
      <c r="N132" s="598"/>
      <c r="O132" s="598"/>
      <c r="P132" s="598"/>
      <c r="Q132" s="598"/>
      <c r="R132" s="598"/>
      <c r="S132" s="598"/>
      <c r="T132" s="598"/>
      <c r="U132" s="598"/>
      <c r="V132" s="598"/>
      <c r="W132" s="598"/>
      <c r="X132" s="598"/>
      <c r="Y132" s="598"/>
      <c r="Z132" s="598"/>
      <c r="AA132" s="598"/>
      <c r="AB132" s="598"/>
      <c r="AC132" s="598"/>
      <c r="AD132" s="598"/>
      <c r="AE132" s="598"/>
      <c r="AF132" s="598"/>
      <c r="AG132" s="598"/>
    </row>
    <row r="133" spans="1:87" x14ac:dyDescent="0.3">
      <c r="D133" s="598"/>
      <c r="E133" s="598"/>
      <c r="F133" s="598"/>
      <c r="G133" s="598"/>
      <c r="H133" s="598"/>
      <c r="I133" s="598"/>
      <c r="J133" s="598"/>
      <c r="K133" s="598"/>
      <c r="L133" s="598"/>
      <c r="M133" s="598"/>
      <c r="N133" s="598"/>
      <c r="O133" s="598"/>
      <c r="P133" s="598"/>
      <c r="Q133" s="598"/>
      <c r="R133" s="598"/>
      <c r="S133" s="598"/>
      <c r="T133" s="598"/>
      <c r="U133" s="598"/>
      <c r="V133" s="598"/>
      <c r="W133" s="598"/>
      <c r="X133" s="598"/>
      <c r="Y133" s="598"/>
      <c r="Z133" s="598"/>
      <c r="AA133" s="598"/>
      <c r="AB133" s="598"/>
      <c r="AC133" s="598"/>
      <c r="AD133" s="598"/>
      <c r="AE133" s="598"/>
      <c r="AF133" s="598"/>
      <c r="AG133" s="598"/>
    </row>
    <row r="134" spans="1:87" x14ac:dyDescent="0.3">
      <c r="D134" s="598"/>
      <c r="E134" s="598"/>
      <c r="F134" s="598"/>
      <c r="G134" s="598"/>
      <c r="H134" s="598"/>
      <c r="I134" s="598"/>
      <c r="J134" s="598"/>
      <c r="K134" s="598"/>
      <c r="L134" s="598"/>
      <c r="M134" s="598"/>
      <c r="N134" s="598"/>
      <c r="O134" s="598"/>
      <c r="P134" s="598"/>
      <c r="Q134" s="598"/>
      <c r="R134" s="598"/>
      <c r="S134" s="598"/>
      <c r="T134" s="598"/>
      <c r="U134" s="598"/>
      <c r="V134" s="598"/>
      <c r="W134" s="598"/>
      <c r="X134" s="598"/>
      <c r="Y134" s="598"/>
      <c r="Z134" s="598"/>
      <c r="AA134" s="598"/>
      <c r="AB134" s="598"/>
      <c r="AC134" s="598"/>
      <c r="AD134" s="598"/>
      <c r="AE134" s="598"/>
      <c r="AF134" s="598"/>
      <c r="AG134" s="598"/>
    </row>
    <row r="135" spans="1:87" x14ac:dyDescent="0.3">
      <c r="A135" s="461" t="s">
        <v>2429</v>
      </c>
      <c r="B135" s="495" t="s">
        <v>1804</v>
      </c>
      <c r="C135" s="495">
        <v>9394</v>
      </c>
      <c r="D135" s="427" t="s">
        <v>2426</v>
      </c>
      <c r="E135" t="s">
        <v>2428</v>
      </c>
      <c r="F135"/>
      <c r="G135"/>
      <c r="H135"/>
      <c r="I135"/>
      <c r="J135"/>
      <c r="S135" s="721">
        <f>+$D$136</f>
        <v>4.3299999999999998E-2</v>
      </c>
    </row>
    <row r="136" spans="1:87" x14ac:dyDescent="0.3">
      <c r="B136" s="364"/>
      <c r="C136" s="364" t="s">
        <v>105</v>
      </c>
      <c r="D136" s="651">
        <v>4.3299999999999998E-2</v>
      </c>
      <c r="E136" s="365"/>
      <c r="F136" s="361"/>
      <c r="G136" s="363"/>
      <c r="H136" s="361"/>
      <c r="I136" s="361"/>
      <c r="J136" s="361"/>
    </row>
    <row r="137" spans="1:87" x14ac:dyDescent="0.3">
      <c r="B137" s="361"/>
      <c r="C137" s="366">
        <v>43584</v>
      </c>
      <c r="D137" s="366">
        <v>43950</v>
      </c>
      <c r="E137" s="366">
        <v>44315</v>
      </c>
      <c r="F137" s="366">
        <v>44680</v>
      </c>
      <c r="G137" s="366">
        <v>45045</v>
      </c>
      <c r="H137" s="366">
        <v>45411</v>
      </c>
      <c r="I137" s="366">
        <v>45776</v>
      </c>
      <c r="J137" s="366">
        <v>46141</v>
      </c>
      <c r="K137" s="366">
        <v>46506</v>
      </c>
      <c r="L137" s="366">
        <v>46872</v>
      </c>
      <c r="M137" s="366">
        <v>47237</v>
      </c>
      <c r="N137" s="366">
        <v>47602</v>
      </c>
      <c r="O137" s="366">
        <v>47967</v>
      </c>
      <c r="P137" s="366">
        <v>48333</v>
      </c>
      <c r="Q137" s="366">
        <v>48698</v>
      </c>
      <c r="R137" s="366">
        <v>49063</v>
      </c>
      <c r="S137" s="366">
        <v>49428</v>
      </c>
      <c r="T137" s="366">
        <v>49794</v>
      </c>
      <c r="U137" s="366">
        <v>50159</v>
      </c>
      <c r="V137" s="366">
        <v>50524</v>
      </c>
      <c r="W137" s="366">
        <v>50889</v>
      </c>
      <c r="X137" s="590">
        <v>51255</v>
      </c>
      <c r="Y137" s="590">
        <v>51620</v>
      </c>
      <c r="Z137" s="590">
        <v>51985</v>
      </c>
      <c r="AA137" s="590">
        <v>52350</v>
      </c>
      <c r="AB137" s="590">
        <v>52716</v>
      </c>
      <c r="AC137" s="590">
        <v>53081</v>
      </c>
      <c r="AD137" s="590">
        <v>53446</v>
      </c>
      <c r="AE137" s="590">
        <v>53811</v>
      </c>
      <c r="AF137" s="590">
        <v>54177</v>
      </c>
      <c r="AG137" s="590">
        <v>54542</v>
      </c>
      <c r="AH137" s="366"/>
      <c r="AI137" s="366"/>
      <c r="AJ137" s="366"/>
      <c r="AK137" s="366"/>
      <c r="AL137" s="366"/>
      <c r="AM137" s="366"/>
      <c r="AN137" s="366"/>
      <c r="AO137" s="366"/>
      <c r="AP137" s="366"/>
      <c r="AQ137" s="366"/>
      <c r="AR137" s="366"/>
      <c r="AS137" s="366"/>
      <c r="AT137" s="366"/>
      <c r="AU137" s="366"/>
      <c r="AV137" s="366"/>
      <c r="AW137" s="366"/>
      <c r="AX137" s="366"/>
      <c r="AY137" s="366"/>
      <c r="AZ137" s="366"/>
      <c r="BA137" s="366"/>
      <c r="BB137" s="366"/>
      <c r="BC137" s="366"/>
      <c r="BD137" s="366"/>
      <c r="BE137" s="366"/>
      <c r="BF137" s="366"/>
      <c r="BG137" s="366"/>
      <c r="BH137" s="366"/>
      <c r="BI137" s="366"/>
      <c r="BJ137" s="366"/>
      <c r="BK137" s="366"/>
      <c r="BL137" s="366"/>
      <c r="BM137" s="366"/>
      <c r="BN137" s="366"/>
      <c r="BO137" s="366"/>
      <c r="BP137" s="366"/>
      <c r="BQ137" s="366"/>
      <c r="BR137" s="366"/>
      <c r="BS137" s="366"/>
      <c r="BT137" s="366"/>
      <c r="BU137" s="366"/>
      <c r="BV137" s="366"/>
      <c r="BW137" s="366"/>
      <c r="BX137" s="366"/>
      <c r="BY137" s="366"/>
      <c r="BZ137" s="366"/>
      <c r="CA137" s="366"/>
      <c r="CB137" s="366"/>
      <c r="CC137" s="366"/>
      <c r="CD137" s="366"/>
      <c r="CE137" s="366"/>
      <c r="CF137" s="366"/>
      <c r="CG137" s="366"/>
      <c r="CH137" s="366"/>
      <c r="CI137" s="366"/>
    </row>
    <row r="138" spans="1:87" x14ac:dyDescent="0.3">
      <c r="B138" s="463" t="s">
        <v>1318</v>
      </c>
      <c r="C138" s="367"/>
      <c r="D138" s="534">
        <v>0</v>
      </c>
      <c r="E138" s="534">
        <v>0</v>
      </c>
      <c r="F138" s="534">
        <v>0</v>
      </c>
      <c r="G138" s="534">
        <v>0</v>
      </c>
      <c r="H138" s="534">
        <v>0</v>
      </c>
      <c r="I138" s="534">
        <v>0</v>
      </c>
      <c r="J138" s="534">
        <v>0</v>
      </c>
      <c r="K138" s="534">
        <v>0</v>
      </c>
      <c r="L138" s="534">
        <v>0</v>
      </c>
      <c r="M138" s="534">
        <v>0</v>
      </c>
      <c r="N138" s="534">
        <v>0</v>
      </c>
      <c r="O138" s="534">
        <v>0</v>
      </c>
      <c r="P138" s="534">
        <v>0</v>
      </c>
      <c r="Q138" s="534">
        <v>0</v>
      </c>
      <c r="R138" s="534">
        <v>0</v>
      </c>
      <c r="S138" s="368">
        <f>100000/15</f>
        <v>6666.666666666667</v>
      </c>
      <c r="T138" s="368">
        <f t="shared" ref="T138:AF138" si="57">100000/15</f>
        <v>6666.666666666667</v>
      </c>
      <c r="U138" s="368">
        <f t="shared" si="57"/>
        <v>6666.666666666667</v>
      </c>
      <c r="V138" s="368">
        <f t="shared" si="57"/>
        <v>6666.666666666667</v>
      </c>
      <c r="W138" s="368">
        <f t="shared" si="57"/>
        <v>6666.666666666667</v>
      </c>
      <c r="X138" s="591">
        <f t="shared" si="57"/>
        <v>6666.666666666667</v>
      </c>
      <c r="Y138" s="591">
        <f t="shared" si="57"/>
        <v>6666.666666666667</v>
      </c>
      <c r="Z138" s="591">
        <f t="shared" si="57"/>
        <v>6666.666666666667</v>
      </c>
      <c r="AA138" s="591">
        <f t="shared" si="57"/>
        <v>6666.666666666667</v>
      </c>
      <c r="AB138" s="591">
        <f t="shared" si="57"/>
        <v>6666.666666666667</v>
      </c>
      <c r="AC138" s="591">
        <f t="shared" si="57"/>
        <v>6666.666666666667</v>
      </c>
      <c r="AD138" s="591">
        <f t="shared" si="57"/>
        <v>6666.666666666667</v>
      </c>
      <c r="AE138" s="591">
        <f t="shared" si="57"/>
        <v>6666.666666666667</v>
      </c>
      <c r="AF138" s="591">
        <f t="shared" si="57"/>
        <v>6666.666666666667</v>
      </c>
      <c r="AG138" s="591">
        <f>100000/15</f>
        <v>6666.666666666667</v>
      </c>
    </row>
    <row r="139" spans="1:87" x14ac:dyDescent="0.3">
      <c r="B139" s="463" t="s">
        <v>1320</v>
      </c>
      <c r="C139" s="368">
        <v>100000</v>
      </c>
      <c r="D139" s="488">
        <f t="shared" ref="D139:AG139" si="58">+C139-D138</f>
        <v>100000</v>
      </c>
      <c r="E139" s="488">
        <f t="shared" si="58"/>
        <v>100000</v>
      </c>
      <c r="F139" s="488">
        <f t="shared" si="58"/>
        <v>100000</v>
      </c>
      <c r="G139" s="488">
        <f t="shared" si="58"/>
        <v>100000</v>
      </c>
      <c r="H139" s="488">
        <f t="shared" si="58"/>
        <v>100000</v>
      </c>
      <c r="I139" s="488">
        <f t="shared" si="58"/>
        <v>100000</v>
      </c>
      <c r="J139" s="488">
        <f t="shared" si="58"/>
        <v>100000</v>
      </c>
      <c r="K139" s="488">
        <f t="shared" si="58"/>
        <v>100000</v>
      </c>
      <c r="L139" s="488">
        <f t="shared" si="58"/>
        <v>100000</v>
      </c>
      <c r="M139" s="488">
        <f t="shared" si="58"/>
        <v>100000</v>
      </c>
      <c r="N139" s="488">
        <f t="shared" si="58"/>
        <v>100000</v>
      </c>
      <c r="O139" s="488">
        <f t="shared" si="58"/>
        <v>100000</v>
      </c>
      <c r="P139" s="488">
        <f t="shared" si="58"/>
        <v>100000</v>
      </c>
      <c r="Q139" s="488">
        <f t="shared" si="58"/>
        <v>100000</v>
      </c>
      <c r="R139" s="488">
        <f t="shared" si="58"/>
        <v>100000</v>
      </c>
      <c r="S139" s="488">
        <f>+R139-S138</f>
        <v>93333.333333333328</v>
      </c>
      <c r="T139" s="488">
        <f t="shared" si="58"/>
        <v>86666.666666666657</v>
      </c>
      <c r="U139" s="488">
        <f t="shared" si="58"/>
        <v>79999.999999999985</v>
      </c>
      <c r="V139" s="488">
        <f t="shared" si="58"/>
        <v>73333.333333333314</v>
      </c>
      <c r="W139" s="488">
        <f t="shared" si="58"/>
        <v>66666.666666666642</v>
      </c>
      <c r="X139" s="592">
        <f t="shared" si="58"/>
        <v>59999.999999999978</v>
      </c>
      <c r="Y139" s="592">
        <f t="shared" si="58"/>
        <v>53333.333333333314</v>
      </c>
      <c r="Z139" s="592">
        <f t="shared" si="58"/>
        <v>46666.66666666665</v>
      </c>
      <c r="AA139" s="592">
        <f t="shared" si="58"/>
        <v>39999.999999999985</v>
      </c>
      <c r="AB139" s="592">
        <f t="shared" si="58"/>
        <v>33333.333333333321</v>
      </c>
      <c r="AC139" s="592">
        <f t="shared" si="58"/>
        <v>26666.666666666653</v>
      </c>
      <c r="AD139" s="592">
        <f t="shared" si="58"/>
        <v>19999.999999999985</v>
      </c>
      <c r="AE139" s="592">
        <f t="shared" si="58"/>
        <v>13333.333333333318</v>
      </c>
      <c r="AF139" s="592">
        <f t="shared" si="58"/>
        <v>6666.6666666666506</v>
      </c>
      <c r="AG139" s="592">
        <f t="shared" si="58"/>
        <v>-1.6370904631912708E-11</v>
      </c>
    </row>
    <row r="140" spans="1:87" x14ac:dyDescent="0.3">
      <c r="B140" s="463" t="s">
        <v>1321</v>
      </c>
      <c r="C140" s="367"/>
      <c r="D140" s="568">
        <f t="shared" ref="D140:AE140" si="59">ROUND(C139*$D$136,2)</f>
        <v>4330</v>
      </c>
      <c r="E140" s="568">
        <f t="shared" si="59"/>
        <v>4330</v>
      </c>
      <c r="F140" s="568">
        <f t="shared" si="59"/>
        <v>4330</v>
      </c>
      <c r="G140" s="568">
        <f t="shared" si="59"/>
        <v>4330</v>
      </c>
      <c r="H140" s="568">
        <f t="shared" si="59"/>
        <v>4330</v>
      </c>
      <c r="I140" s="568">
        <f t="shared" si="59"/>
        <v>4330</v>
      </c>
      <c r="J140" s="568">
        <f t="shared" si="59"/>
        <v>4330</v>
      </c>
      <c r="K140" s="568">
        <f t="shared" si="59"/>
        <v>4330</v>
      </c>
      <c r="L140" s="568">
        <f t="shared" si="59"/>
        <v>4330</v>
      </c>
      <c r="M140" s="568">
        <f t="shared" si="59"/>
        <v>4330</v>
      </c>
      <c r="N140" s="568">
        <f t="shared" si="59"/>
        <v>4330</v>
      </c>
      <c r="O140" s="568">
        <f>ROUND(N139*$D$136,2)</f>
        <v>4330</v>
      </c>
      <c r="P140" s="568">
        <f t="shared" si="59"/>
        <v>4330</v>
      </c>
      <c r="Q140" s="568">
        <f t="shared" si="59"/>
        <v>4330</v>
      </c>
      <c r="R140" s="568">
        <f>ROUND(Q139*$D$136,2)</f>
        <v>4330</v>
      </c>
      <c r="S140" s="568">
        <f>ROUND(R139*$D$136,2)</f>
        <v>4330</v>
      </c>
      <c r="T140" s="568">
        <f t="shared" si="59"/>
        <v>4041.33</v>
      </c>
      <c r="U140" s="568">
        <f t="shared" si="59"/>
        <v>3752.67</v>
      </c>
      <c r="V140" s="568">
        <f t="shared" si="59"/>
        <v>3464</v>
      </c>
      <c r="W140" s="568">
        <f t="shared" si="59"/>
        <v>3175.33</v>
      </c>
      <c r="X140" s="568">
        <f t="shared" si="59"/>
        <v>2886.67</v>
      </c>
      <c r="Y140" s="568">
        <f t="shared" si="59"/>
        <v>2598</v>
      </c>
      <c r="Z140" s="568">
        <f t="shared" si="59"/>
        <v>2309.33</v>
      </c>
      <c r="AA140" s="568">
        <f t="shared" si="59"/>
        <v>2020.67</v>
      </c>
      <c r="AB140" s="568">
        <f t="shared" si="59"/>
        <v>1732</v>
      </c>
      <c r="AC140" s="568">
        <f t="shared" si="59"/>
        <v>1443.33</v>
      </c>
      <c r="AD140" s="568">
        <f t="shared" si="59"/>
        <v>1154.67</v>
      </c>
      <c r="AE140" s="568">
        <f t="shared" si="59"/>
        <v>866</v>
      </c>
      <c r="AF140" s="568">
        <f>ROUND(AE139*$D$136,2)</f>
        <v>577.33000000000004</v>
      </c>
      <c r="AG140" s="1276">
        <f>ROUND(AF139*$D$136,2)</f>
        <v>288.67</v>
      </c>
    </row>
    <row r="141" spans="1:87" x14ac:dyDescent="0.3">
      <c r="B141" s="463" t="s">
        <v>1322</v>
      </c>
      <c r="C141" s="367"/>
      <c r="D141" s="488">
        <f t="shared" ref="D141:AF141" si="60">+D140+D138</f>
        <v>4330</v>
      </c>
      <c r="E141" s="488">
        <f t="shared" si="60"/>
        <v>4330</v>
      </c>
      <c r="F141" s="488">
        <f t="shared" si="60"/>
        <v>4330</v>
      </c>
      <c r="G141" s="488">
        <f t="shared" si="60"/>
        <v>4330</v>
      </c>
      <c r="H141" s="488">
        <f t="shared" si="60"/>
        <v>4330</v>
      </c>
      <c r="I141" s="488">
        <f t="shared" si="60"/>
        <v>4330</v>
      </c>
      <c r="J141" s="488">
        <f t="shared" si="60"/>
        <v>4330</v>
      </c>
      <c r="K141" s="488">
        <f t="shared" si="60"/>
        <v>4330</v>
      </c>
      <c r="L141" s="488">
        <f t="shared" si="60"/>
        <v>4330</v>
      </c>
      <c r="M141" s="488">
        <f t="shared" si="60"/>
        <v>4330</v>
      </c>
      <c r="N141" s="488">
        <f t="shared" si="60"/>
        <v>4330</v>
      </c>
      <c r="O141" s="488">
        <f t="shared" si="60"/>
        <v>4330</v>
      </c>
      <c r="P141" s="488">
        <f t="shared" si="60"/>
        <v>4330</v>
      </c>
      <c r="Q141" s="488">
        <f t="shared" si="60"/>
        <v>4330</v>
      </c>
      <c r="R141" s="488">
        <f t="shared" si="60"/>
        <v>4330</v>
      </c>
      <c r="S141" s="1241">
        <f>+S140+S138</f>
        <v>10996.666666666668</v>
      </c>
      <c r="T141" s="488">
        <f t="shared" si="60"/>
        <v>10707.996666666666</v>
      </c>
      <c r="U141" s="488">
        <f t="shared" si="60"/>
        <v>10419.336666666666</v>
      </c>
      <c r="V141" s="488">
        <f t="shared" si="60"/>
        <v>10130.666666666668</v>
      </c>
      <c r="W141" s="488">
        <f t="shared" si="60"/>
        <v>9841.996666666666</v>
      </c>
      <c r="X141" s="592">
        <f t="shared" si="60"/>
        <v>9553.3366666666661</v>
      </c>
      <c r="Y141" s="592">
        <f t="shared" si="60"/>
        <v>9264.6666666666679</v>
      </c>
      <c r="Z141" s="592">
        <f t="shared" si="60"/>
        <v>8975.996666666666</v>
      </c>
      <c r="AA141" s="592">
        <f t="shared" si="60"/>
        <v>8687.3366666666661</v>
      </c>
      <c r="AB141" s="592">
        <f t="shared" si="60"/>
        <v>8398.6666666666679</v>
      </c>
      <c r="AC141" s="592">
        <f t="shared" si="60"/>
        <v>8109.9966666666669</v>
      </c>
      <c r="AD141" s="592">
        <f t="shared" si="60"/>
        <v>7821.336666666667</v>
      </c>
      <c r="AE141" s="592">
        <f t="shared" si="60"/>
        <v>7532.666666666667</v>
      </c>
      <c r="AF141" s="592">
        <f t="shared" si="60"/>
        <v>7243.9966666666669</v>
      </c>
      <c r="AG141" s="592">
        <f>+AG140+AG138</f>
        <v>6955.336666666667</v>
      </c>
    </row>
    <row r="142" spans="1:87" x14ac:dyDescent="0.3">
      <c r="B142" s="463" t="s">
        <v>1323</v>
      </c>
      <c r="C142" s="368"/>
      <c r="D142" s="488">
        <f t="shared" ref="D142:AF142" si="61">+IF(D137&gt;$C$1,D141,0)</f>
        <v>0</v>
      </c>
      <c r="E142" s="488">
        <f t="shared" si="61"/>
        <v>0</v>
      </c>
      <c r="F142" s="488">
        <f t="shared" si="61"/>
        <v>0</v>
      </c>
      <c r="G142" s="488">
        <f t="shared" si="61"/>
        <v>0</v>
      </c>
      <c r="H142" s="488">
        <f t="shared" si="61"/>
        <v>0</v>
      </c>
      <c r="I142" s="488">
        <f t="shared" si="61"/>
        <v>0</v>
      </c>
      <c r="J142" s="488">
        <f t="shared" si="61"/>
        <v>4330</v>
      </c>
      <c r="K142" s="488">
        <f t="shared" si="61"/>
        <v>4330</v>
      </c>
      <c r="L142" s="488">
        <f t="shared" si="61"/>
        <v>4330</v>
      </c>
      <c r="M142" s="488">
        <f t="shared" si="61"/>
        <v>4330</v>
      </c>
      <c r="N142" s="488">
        <f t="shared" si="61"/>
        <v>4330</v>
      </c>
      <c r="O142" s="488">
        <f t="shared" si="61"/>
        <v>4330</v>
      </c>
      <c r="P142" s="488">
        <f t="shared" si="61"/>
        <v>4330</v>
      </c>
      <c r="Q142" s="488">
        <f t="shared" si="61"/>
        <v>4330</v>
      </c>
      <c r="R142" s="488">
        <f t="shared" si="61"/>
        <v>4330</v>
      </c>
      <c r="S142" s="1241">
        <f>+IF(S137&gt;$C$1,S141,0)</f>
        <v>10996.666666666668</v>
      </c>
      <c r="T142" s="488">
        <f t="shared" si="61"/>
        <v>10707.996666666666</v>
      </c>
      <c r="U142" s="488">
        <f t="shared" si="61"/>
        <v>10419.336666666666</v>
      </c>
      <c r="V142" s="488">
        <f t="shared" si="61"/>
        <v>10130.666666666668</v>
      </c>
      <c r="W142" s="488">
        <f t="shared" si="61"/>
        <v>9841.996666666666</v>
      </c>
      <c r="X142" s="592">
        <f t="shared" si="61"/>
        <v>9553.3366666666661</v>
      </c>
      <c r="Y142" s="592">
        <f t="shared" si="61"/>
        <v>9264.6666666666679</v>
      </c>
      <c r="Z142" s="592">
        <f t="shared" si="61"/>
        <v>8975.996666666666</v>
      </c>
      <c r="AA142" s="592">
        <f t="shared" si="61"/>
        <v>8687.3366666666661</v>
      </c>
      <c r="AB142" s="592">
        <f t="shared" si="61"/>
        <v>8398.6666666666679</v>
      </c>
      <c r="AC142" s="592">
        <f t="shared" si="61"/>
        <v>8109.9966666666669</v>
      </c>
      <c r="AD142" s="592">
        <f t="shared" si="61"/>
        <v>7821.336666666667</v>
      </c>
      <c r="AE142" s="592">
        <f t="shared" si="61"/>
        <v>7532.666666666667</v>
      </c>
      <c r="AF142" s="592">
        <f t="shared" si="61"/>
        <v>7243.9966666666669</v>
      </c>
      <c r="AG142" s="592">
        <f>+IF(AG137&gt;$C$1,AG141,0)</f>
        <v>6955.336666666667</v>
      </c>
    </row>
    <row r="143" spans="1:87" x14ac:dyDescent="0.3">
      <c r="B143" s="463" t="s">
        <v>1324</v>
      </c>
      <c r="C143" s="371"/>
      <c r="D143" s="587">
        <f>+IF(C142=0,(D137-$C$1)/(D137-C137),C143+1)</f>
        <v>-5.8934426229508201</v>
      </c>
      <c r="E143" s="587">
        <f>+IF(D142=0,(E137-$C$1)/(E137-D137),D143+1)</f>
        <v>-4.9095890410958907</v>
      </c>
      <c r="F143" s="587">
        <f>+IF(E142=0,(F137-$C$1)/(F137-E137),E143+1)</f>
        <v>-3.9095890410958902</v>
      </c>
      <c r="G143" s="944">
        <f t="shared" ref="G143:AG143" si="62">ROUND(IF(F142=0,(G137-$C$1)/(G137-F137),F143+1),10)</f>
        <v>-2.9095890410999998</v>
      </c>
      <c r="H143" s="944">
        <f t="shared" si="62"/>
        <v>-1.9016393442999999</v>
      </c>
      <c r="I143" s="944">
        <f t="shared" si="62"/>
        <v>-0.9068493151</v>
      </c>
      <c r="J143" s="944">
        <f t="shared" si="62"/>
        <v>9.3150684900000003E-2</v>
      </c>
      <c r="K143" s="944">
        <f t="shared" si="62"/>
        <v>1.0931506848999999</v>
      </c>
      <c r="L143" s="944">
        <f t="shared" si="62"/>
        <v>2.0931506848999999</v>
      </c>
      <c r="M143" s="944">
        <f t="shared" si="62"/>
        <v>3.0931506848999999</v>
      </c>
      <c r="N143" s="944">
        <f t="shared" si="62"/>
        <v>4.0931506849000003</v>
      </c>
      <c r="O143" s="1215">
        <f t="shared" si="62"/>
        <v>5.0931506849000003</v>
      </c>
      <c r="P143" s="944">
        <f t="shared" si="62"/>
        <v>6.0931506849000003</v>
      </c>
      <c r="Q143" s="944">
        <f t="shared" si="62"/>
        <v>7.0931506849000003</v>
      </c>
      <c r="R143" s="944">
        <f t="shared" si="62"/>
        <v>8.0931506848999994</v>
      </c>
      <c r="S143" s="1283">
        <f>ROUND(IF(R142=0,(S137-$C$1)/(S137-R137),R143+1),10)</f>
        <v>9.0931506848999994</v>
      </c>
      <c r="T143" s="944">
        <f t="shared" si="62"/>
        <v>10.093150684899999</v>
      </c>
      <c r="U143" s="944">
        <f t="shared" si="62"/>
        <v>11.093150684899999</v>
      </c>
      <c r="V143" s="944">
        <f t="shared" si="62"/>
        <v>12.093150684899999</v>
      </c>
      <c r="W143" s="944">
        <f t="shared" si="62"/>
        <v>13.093150684899999</v>
      </c>
      <c r="X143" s="944">
        <f t="shared" si="62"/>
        <v>14.093150684899999</v>
      </c>
      <c r="Y143" s="944">
        <f t="shared" si="62"/>
        <v>15.093150684899999</v>
      </c>
      <c r="Z143" s="944">
        <f t="shared" si="62"/>
        <v>16.093150684899999</v>
      </c>
      <c r="AA143" s="944">
        <f t="shared" si="62"/>
        <v>17.093150684899999</v>
      </c>
      <c r="AB143" s="944">
        <f t="shared" si="62"/>
        <v>18.093150684899999</v>
      </c>
      <c r="AC143" s="944">
        <f t="shared" si="62"/>
        <v>19.093150684899999</v>
      </c>
      <c r="AD143" s="944">
        <f t="shared" si="62"/>
        <v>20.093150684899999</v>
      </c>
      <c r="AE143" s="944">
        <f t="shared" si="62"/>
        <v>21.093150684899999</v>
      </c>
      <c r="AF143" s="944">
        <f t="shared" si="62"/>
        <v>22.093150684899999</v>
      </c>
      <c r="AG143" s="1275">
        <f t="shared" si="62"/>
        <v>23.093150684899999</v>
      </c>
    </row>
    <row r="144" spans="1:87" x14ac:dyDescent="0.3">
      <c r="B144" s="463" t="s">
        <v>1325</v>
      </c>
      <c r="C144" s="367"/>
      <c r="D144" s="375" cm="1">
        <f t="array" ref="D144">ROUND(interpoler(mat_zc,Taux_ZC,D143),5)</f>
        <v>2.3279999999999999E-2</v>
      </c>
      <c r="E144" s="375" cm="1">
        <f t="array" ref="E144">ROUND(interpoler(mat_zc,Taux_ZC,E143),5)</f>
        <v>2.3279999999999999E-2</v>
      </c>
      <c r="F144" s="375" cm="1">
        <f t="array" ref="F144">ROUND(interpoler(mat_zc,Taux_ZC,F143),5)</f>
        <v>2.3279999999999999E-2</v>
      </c>
      <c r="G144" s="375" cm="1">
        <f t="array" ref="G144">ROUND(interpoler(mat_zc,Taux_ZC,G143),5)</f>
        <v>2.3279999999999999E-2</v>
      </c>
      <c r="H144" s="375" cm="1">
        <f t="array" ref="H144">ROUND(interpoler(mat_zc,Taux_ZC,H143),5)</f>
        <v>2.3279999999999999E-2</v>
      </c>
      <c r="I144" s="375" cm="1">
        <f t="array" ref="I144">ROUND(interpoler(mat_zc,Taux_ZC,I143),5)</f>
        <v>2.3279999999999999E-2</v>
      </c>
      <c r="J144" s="375" cm="1">
        <f t="array" ref="J144">ROUND(interpoler(mat_zc,Taux_ZC,J143),5)</f>
        <v>2.3259999999999999E-2</v>
      </c>
      <c r="K144" s="375" cm="1">
        <f t="array" ref="K144">ROUND(interpoler(mat_zc,Taux_ZC,K143),5)</f>
        <v>2.529E-2</v>
      </c>
      <c r="L144" s="375" cm="1">
        <f t="array" ref="L144">ROUND(interpoler(mat_zc,Taux_ZC,L143),5)</f>
        <v>2.6849999999999999E-2</v>
      </c>
      <c r="M144" s="375" cm="1">
        <f t="array" ref="M144">ROUND(interpoler(mat_zc,Taux_ZC,M143),5)</f>
        <v>2.8400000000000002E-2</v>
      </c>
      <c r="N144" s="375" cm="1">
        <f t="array" ref="N144">ROUND(interpoler(mat_zc,Taux_ZC,N143),5)</f>
        <v>2.9929999999999998E-2</v>
      </c>
      <c r="O144" s="375" cm="1">
        <f t="array" ref="O144">ROUND(interpoler(mat_zc,Taux_ZC,O143),5)</f>
        <v>3.0960000000000001E-2</v>
      </c>
      <c r="P144" s="375" cm="1">
        <f t="array" ref="P144">ROUND(interpoler(mat_zc,Taux_ZC,P143),5)</f>
        <v>3.1480000000000001E-2</v>
      </c>
      <c r="Q144" s="375" cm="1">
        <f t="array" ref="Q144">ROUND(interpoler(mat_zc,Taux_ZC,Q143),5)</f>
        <v>3.1989999999999998E-2</v>
      </c>
      <c r="R144" s="375" cm="1">
        <f t="array" ref="R144">ROUND(interpoler(mat_zc,Taux_ZC,R143),5)</f>
        <v>3.2500000000000001E-2</v>
      </c>
      <c r="S144" s="1284" cm="1">
        <f t="array" ref="S144">ROUND(interpoler(mat_zc,Taux_ZC,S143),5)</f>
        <v>3.3029999999999997E-2</v>
      </c>
      <c r="T144" s="375" cm="1">
        <f t="array" ref="T144">ROUND(interpoler(mat_zc,Taux_ZC,T143),5)</f>
        <v>3.3649999999999999E-2</v>
      </c>
      <c r="U144" s="375" cm="1">
        <f t="array" ref="U144">ROUND(interpoler(mat_zc,Taux_ZC,U143),5)</f>
        <v>3.4290000000000001E-2</v>
      </c>
      <c r="V144" s="375" cm="1">
        <f t="array" ref="V144">ROUND(interpoler(mat_zc,Taux_ZC,V143),5)</f>
        <v>3.4950000000000002E-2</v>
      </c>
      <c r="W144" s="375" cm="1">
        <f t="array" ref="W144">ROUND(interpoler(mat_zc,Taux_ZC,W143),5)</f>
        <v>3.5589999999999997E-2</v>
      </c>
      <c r="X144" s="375" cm="1">
        <f t="array" ref="X144">ROUND(interpoler(mat_zc,Taux_ZC,X143),5)</f>
        <v>3.5970000000000002E-2</v>
      </c>
      <c r="Y144" s="375" cm="1">
        <f t="array" ref="Y144">ROUND(interpoler(mat_zc,Taux_ZC,Y143),5)</f>
        <v>3.6229999999999998E-2</v>
      </c>
      <c r="Z144" s="375" cm="1">
        <f t="array" ref="Z144">ROUND(interpoler(mat_zc,Taux_ZC,Z143),5)</f>
        <v>3.6499999999999998E-2</v>
      </c>
      <c r="AA144" s="375" cm="1">
        <f t="array" ref="AA144">ROUND(interpoler(mat_zc,Taux_ZC,AA143),5)</f>
        <v>3.6769999999999997E-2</v>
      </c>
      <c r="AB144" s="375" cm="1">
        <f t="array" ref="AB144">ROUND(interpoler(mat_zc,Taux_ZC,AB143),5)</f>
        <v>3.705E-2</v>
      </c>
      <c r="AC144" s="375" cm="1">
        <f t="array" ref="AC144">ROUND(interpoler(mat_zc,Taux_ZC,AC143),5)</f>
        <v>3.7359999999999997E-2</v>
      </c>
      <c r="AD144" s="375" cm="1">
        <f t="array" ref="AD144">ROUND(interpoler(mat_zc,Taux_ZC,AD143),5)</f>
        <v>3.7870000000000001E-2</v>
      </c>
      <c r="AE144" s="375" cm="1">
        <f t="array" ref="AE144">ROUND(interpoler(mat_zc,Taux_ZC,AE143),5)</f>
        <v>3.85E-2</v>
      </c>
      <c r="AF144" s="375" cm="1">
        <f t="array" ref="AF144">ROUND(interpoler(mat_zc,Taux_ZC,AF143),5)</f>
        <v>3.916E-2</v>
      </c>
      <c r="AG144" s="375" cm="1">
        <f t="array" ref="AG144">ROUND(interpoler(mat_zc,Taux_ZC,AG143),5)</f>
        <v>3.9829999999999997E-2</v>
      </c>
    </row>
    <row r="145" spans="2:38" x14ac:dyDescent="0.3">
      <c r="B145" s="463" t="s">
        <v>1328</v>
      </c>
      <c r="C145" s="367"/>
      <c r="D145" s="429">
        <v>3.3899999999999998E-3</v>
      </c>
      <c r="E145" s="429">
        <f>+D145</f>
        <v>3.3899999999999998E-3</v>
      </c>
      <c r="F145" s="429">
        <f t="shared" ref="F145:AG145" si="63">+E145</f>
        <v>3.3899999999999998E-3</v>
      </c>
      <c r="G145" s="429">
        <f t="shared" si="63"/>
        <v>3.3899999999999998E-3</v>
      </c>
      <c r="H145" s="429">
        <f t="shared" si="63"/>
        <v>3.3899999999999998E-3</v>
      </c>
      <c r="I145" s="429">
        <f t="shared" si="63"/>
        <v>3.3899999999999998E-3</v>
      </c>
      <c r="J145" s="429">
        <f t="shared" si="63"/>
        <v>3.3899999999999998E-3</v>
      </c>
      <c r="K145" s="429">
        <f t="shared" si="63"/>
        <v>3.3899999999999998E-3</v>
      </c>
      <c r="L145" s="429">
        <f t="shared" si="63"/>
        <v>3.3899999999999998E-3</v>
      </c>
      <c r="M145" s="429">
        <f t="shared" si="63"/>
        <v>3.3899999999999998E-3</v>
      </c>
      <c r="N145" s="429">
        <f t="shared" si="63"/>
        <v>3.3899999999999998E-3</v>
      </c>
      <c r="O145" s="429">
        <f t="shared" si="63"/>
        <v>3.3899999999999998E-3</v>
      </c>
      <c r="P145" s="429">
        <f t="shared" si="63"/>
        <v>3.3899999999999998E-3</v>
      </c>
      <c r="Q145" s="429">
        <f t="shared" si="63"/>
        <v>3.3899999999999998E-3</v>
      </c>
      <c r="R145" s="429">
        <f t="shared" si="63"/>
        <v>3.3899999999999998E-3</v>
      </c>
      <c r="S145" s="1282">
        <f>+R145</f>
        <v>3.3899999999999998E-3</v>
      </c>
      <c r="T145" s="429">
        <f t="shared" si="63"/>
        <v>3.3899999999999998E-3</v>
      </c>
      <c r="U145" s="429">
        <f t="shared" si="63"/>
        <v>3.3899999999999998E-3</v>
      </c>
      <c r="V145" s="429">
        <f t="shared" si="63"/>
        <v>3.3899999999999998E-3</v>
      </c>
      <c r="W145" s="429">
        <f>+V145</f>
        <v>3.3899999999999998E-3</v>
      </c>
      <c r="X145" s="594">
        <f t="shared" si="63"/>
        <v>3.3899999999999998E-3</v>
      </c>
      <c r="Y145" s="594">
        <f t="shared" si="63"/>
        <v>3.3899999999999998E-3</v>
      </c>
      <c r="Z145" s="594">
        <f t="shared" si="63"/>
        <v>3.3899999999999998E-3</v>
      </c>
      <c r="AA145" s="594">
        <f t="shared" si="63"/>
        <v>3.3899999999999998E-3</v>
      </c>
      <c r="AB145" s="594">
        <f>+AA145</f>
        <v>3.3899999999999998E-3</v>
      </c>
      <c r="AC145" s="594">
        <f t="shared" si="63"/>
        <v>3.3899999999999998E-3</v>
      </c>
      <c r="AD145" s="594">
        <f>+AC145</f>
        <v>3.3899999999999998E-3</v>
      </c>
      <c r="AE145" s="594">
        <f t="shared" si="63"/>
        <v>3.3899999999999998E-3</v>
      </c>
      <c r="AF145" s="594">
        <f t="shared" si="63"/>
        <v>3.3899999999999998E-3</v>
      </c>
      <c r="AG145" s="594">
        <f t="shared" si="63"/>
        <v>3.3899999999999998E-3</v>
      </c>
    </row>
    <row r="146" spans="2:38" x14ac:dyDescent="0.3">
      <c r="B146" s="463" t="s">
        <v>1329</v>
      </c>
      <c r="C146" s="367"/>
      <c r="D146" s="429">
        <f t="shared" ref="D146:AF146" si="64">ROUND(D144+D145,5)</f>
        <v>2.6669999999999999E-2</v>
      </c>
      <c r="E146" s="429">
        <f t="shared" si="64"/>
        <v>2.6669999999999999E-2</v>
      </c>
      <c r="F146" s="429">
        <f t="shared" si="64"/>
        <v>2.6669999999999999E-2</v>
      </c>
      <c r="G146" s="429">
        <f t="shared" si="64"/>
        <v>2.6669999999999999E-2</v>
      </c>
      <c r="H146" s="429">
        <f t="shared" si="64"/>
        <v>2.6669999999999999E-2</v>
      </c>
      <c r="I146" s="429">
        <f t="shared" si="64"/>
        <v>2.6669999999999999E-2</v>
      </c>
      <c r="J146" s="429">
        <f t="shared" si="64"/>
        <v>2.665E-2</v>
      </c>
      <c r="K146" s="429">
        <f t="shared" si="64"/>
        <v>2.8680000000000001E-2</v>
      </c>
      <c r="L146" s="429">
        <f t="shared" si="64"/>
        <v>3.024E-2</v>
      </c>
      <c r="M146" s="429">
        <f t="shared" si="64"/>
        <v>3.1789999999999999E-2</v>
      </c>
      <c r="N146" s="429">
        <f t="shared" si="64"/>
        <v>3.3320000000000002E-2</v>
      </c>
      <c r="O146" s="429">
        <f t="shared" si="64"/>
        <v>3.4349999999999999E-2</v>
      </c>
      <c r="P146" s="429">
        <f t="shared" si="64"/>
        <v>3.4869999999999998E-2</v>
      </c>
      <c r="Q146" s="429">
        <f t="shared" si="64"/>
        <v>3.5380000000000002E-2</v>
      </c>
      <c r="R146" s="429">
        <f t="shared" si="64"/>
        <v>3.5889999999999998E-2</v>
      </c>
      <c r="S146" s="1282">
        <f>ROUND(S144+S145,5)</f>
        <v>3.6420000000000001E-2</v>
      </c>
      <c r="T146" s="1279">
        <f>ROUND(T144+T145,5)</f>
        <v>3.7039999999999997E-2</v>
      </c>
      <c r="U146" s="429">
        <f t="shared" si="64"/>
        <v>3.7679999999999998E-2</v>
      </c>
      <c r="V146" s="429">
        <f t="shared" si="64"/>
        <v>3.8339999999999999E-2</v>
      </c>
      <c r="W146" s="429">
        <f t="shared" si="64"/>
        <v>3.8980000000000001E-2</v>
      </c>
      <c r="X146" s="1278">
        <f t="shared" si="64"/>
        <v>3.9359999999999999E-2</v>
      </c>
      <c r="Y146" s="594">
        <f t="shared" si="64"/>
        <v>3.9620000000000002E-2</v>
      </c>
      <c r="Z146" s="594">
        <f t="shared" si="64"/>
        <v>3.9890000000000002E-2</v>
      </c>
      <c r="AA146" s="594">
        <f t="shared" si="64"/>
        <v>4.0160000000000001E-2</v>
      </c>
      <c r="AB146" s="1278">
        <f>ROUND(AB144+AB145,5)</f>
        <v>4.0439999999999997E-2</v>
      </c>
      <c r="AC146" s="597">
        <f t="shared" si="64"/>
        <v>4.0750000000000001E-2</v>
      </c>
      <c r="AD146" s="597">
        <f t="shared" si="64"/>
        <v>4.1259999999999998E-2</v>
      </c>
      <c r="AE146" s="597">
        <f t="shared" si="64"/>
        <v>4.1889999999999997E-2</v>
      </c>
      <c r="AF146" s="597">
        <f t="shared" si="64"/>
        <v>4.2549999999999998E-2</v>
      </c>
      <c r="AG146" s="597">
        <f>ROUND(AG144+AG145,5)</f>
        <v>4.3220000000000001E-2</v>
      </c>
    </row>
    <row r="147" spans="2:38" x14ac:dyDescent="0.3">
      <c r="B147" s="463"/>
      <c r="C147" s="367"/>
      <c r="D147" s="588">
        <f t="shared" ref="D147:AF147" si="65">D142/(1+D146)^D143</f>
        <v>0</v>
      </c>
      <c r="E147" s="588">
        <f t="shared" si="65"/>
        <v>0</v>
      </c>
      <c r="F147" s="588">
        <f t="shared" si="65"/>
        <v>0</v>
      </c>
      <c r="G147" s="588">
        <f t="shared" si="65"/>
        <v>0</v>
      </c>
      <c r="H147" s="588">
        <f t="shared" si="65"/>
        <v>0</v>
      </c>
      <c r="I147" s="588">
        <f>I142/(1+I146)^I143</f>
        <v>0</v>
      </c>
      <c r="J147" s="588">
        <f t="shared" si="65"/>
        <v>4319.4046442103754</v>
      </c>
      <c r="K147" s="588">
        <f>K142/(1+K146)^K143</f>
        <v>4198.2053927084999</v>
      </c>
      <c r="L147" s="588">
        <f t="shared" si="65"/>
        <v>4068.2333840035876</v>
      </c>
      <c r="M147" s="588">
        <f t="shared" si="65"/>
        <v>3930.501015722446</v>
      </c>
      <c r="N147" s="588">
        <f t="shared" si="65"/>
        <v>3786.3658159562201</v>
      </c>
      <c r="O147" s="569">
        <f>O142/(1+O146)^O143</f>
        <v>3645.7258951664312</v>
      </c>
      <c r="P147" s="569">
        <f t="shared" si="65"/>
        <v>3513.8764739229428</v>
      </c>
      <c r="Q147" s="569">
        <f t="shared" si="65"/>
        <v>3383.6305759789279</v>
      </c>
      <c r="R147" s="569">
        <f t="shared" si="65"/>
        <v>3255.0097616728394</v>
      </c>
      <c r="S147" s="1280">
        <f>S142/(1+S146)^S143</f>
        <v>7943.1328503150908</v>
      </c>
      <c r="T147" s="1277">
        <f>T142/(1+T146)^T143</f>
        <v>7417.9138411222275</v>
      </c>
      <c r="U147" s="1277">
        <f>U142/(1+U146)^U143</f>
        <v>6912.6702485189844</v>
      </c>
      <c r="V147" s="1277">
        <f t="shared" si="65"/>
        <v>6427.483437769416</v>
      </c>
      <c r="W147" s="1277">
        <f t="shared" si="65"/>
        <v>5965.4444184508711</v>
      </c>
      <c r="X147" s="1277">
        <f t="shared" si="65"/>
        <v>5544.5886824101008</v>
      </c>
      <c r="Y147" s="1277">
        <f t="shared" si="65"/>
        <v>5153.9301554767944</v>
      </c>
      <c r="Z147" s="1277">
        <f t="shared" si="65"/>
        <v>4783.0163395665331</v>
      </c>
      <c r="AA147" s="1277">
        <f t="shared" si="65"/>
        <v>4431.9130768641107</v>
      </c>
      <c r="AB147" s="1277">
        <f t="shared" si="65"/>
        <v>4099.2068933274322</v>
      </c>
      <c r="AC147" s="1277">
        <f t="shared" si="65"/>
        <v>3782.8826858381649</v>
      </c>
      <c r="AD147" s="1277">
        <f t="shared" si="65"/>
        <v>3471.0560321274402</v>
      </c>
      <c r="AE147" s="1281">
        <f t="shared" si="65"/>
        <v>3169.7817903467785</v>
      </c>
      <c r="AF147" s="1277">
        <f t="shared" si="65"/>
        <v>2885.099970108442</v>
      </c>
      <c r="AG147" s="1277">
        <f>AG142/(1+AG146)^AG143</f>
        <v>2617.9456416821454</v>
      </c>
    </row>
    <row r="148" spans="2:38" x14ac:dyDescent="0.3">
      <c r="B148" s="367"/>
      <c r="C148" s="367"/>
      <c r="D148" s="280"/>
      <c r="E148" s="280"/>
      <c r="F148" s="280"/>
      <c r="G148" s="280"/>
      <c r="H148" s="280"/>
      <c r="I148" s="280"/>
      <c r="J148" s="280"/>
      <c r="K148" s="280"/>
      <c r="L148" s="280"/>
      <c r="M148" s="280"/>
      <c r="N148" s="280"/>
      <c r="O148" s="280"/>
      <c r="P148" s="280"/>
      <c r="Q148" s="280"/>
      <c r="R148" s="280"/>
      <c r="S148" s="280"/>
      <c r="T148" s="280"/>
      <c r="U148" s="280"/>
      <c r="V148" s="280"/>
      <c r="W148" s="280"/>
      <c r="X148" s="280"/>
      <c r="Y148" s="280"/>
      <c r="Z148" s="280"/>
      <c r="AA148" s="280"/>
      <c r="AB148" s="280"/>
      <c r="AC148" s="280"/>
      <c r="AD148" s="280"/>
      <c r="AE148" s="280"/>
      <c r="AF148" s="280"/>
      <c r="AG148" s="280"/>
    </row>
    <row r="149" spans="2:38" x14ac:dyDescent="0.3">
      <c r="B149" s="495">
        <v>9394</v>
      </c>
      <c r="C149" s="501">
        <f>+SUM(D147:AG147)</f>
        <v>108707.01902326678</v>
      </c>
      <c r="D149" s="280">
        <v>4294.6700981184986</v>
      </c>
      <c r="E149" s="280">
        <v>4180.7306551356223</v>
      </c>
      <c r="F149" s="280">
        <v>4069.953116019452</v>
      </c>
      <c r="G149" s="280">
        <v>3961.5693296425657</v>
      </c>
      <c r="H149" s="280">
        <v>3855.234119429444</v>
      </c>
      <c r="I149" s="280">
        <v>3747.5287004599545</v>
      </c>
      <c r="J149" s="280">
        <v>3634.5869968185775</v>
      </c>
      <c r="K149" s="280">
        <v>3521.2175993556666</v>
      </c>
      <c r="L149" s="280">
        <v>3404.6509105329283</v>
      </c>
      <c r="M149" s="280">
        <v>3282.0251585778542</v>
      </c>
      <c r="N149" s="280">
        <v>3168.0584470306676</v>
      </c>
      <c r="O149" s="280">
        <v>3057.42102805373</v>
      </c>
      <c r="P149" s="280">
        <v>2933.1644419166023</v>
      </c>
      <c r="Q149" s="280">
        <v>2805.4613636384388</v>
      </c>
      <c r="R149" s="280">
        <v>2692.6670701907315</v>
      </c>
      <c r="S149" s="280">
        <v>6557.7157140760401</v>
      </c>
      <c r="T149" s="280">
        <v>6091.4784253683674</v>
      </c>
      <c r="U149" s="280">
        <v>5645.0666572971923</v>
      </c>
      <c r="V149" s="280">
        <v>5216.0745268037908</v>
      </c>
      <c r="W149" s="280">
        <v>4805.87653954704</v>
      </c>
      <c r="X149" s="280">
        <v>4414.8021921809304</v>
      </c>
      <c r="Y149" s="280">
        <v>4041.4211687093571</v>
      </c>
      <c r="Z149" s="280">
        <v>3687.6926918223171</v>
      </c>
      <c r="AA149" s="280">
        <v>3352.1863528840313</v>
      </c>
      <c r="AB149" s="280">
        <v>3035.116316668722</v>
      </c>
      <c r="AC149" s="280">
        <v>2736.6277651163796</v>
      </c>
      <c r="AD149" s="280">
        <v>2462.9712128069227</v>
      </c>
      <c r="AE149" s="280">
        <v>2220.8856127056019</v>
      </c>
      <c r="AF149" s="280">
        <v>1997.0191483036297</v>
      </c>
      <c r="AG149" s="280">
        <v>1787.5408044075784</v>
      </c>
    </row>
    <row r="150" spans="2:38" x14ac:dyDescent="0.3">
      <c r="B150" s="495" t="s">
        <v>1331</v>
      </c>
      <c r="C150" s="501">
        <f>+SUMPRODUCT(D143:AG143,D147:AG147)/C149</f>
        <v>11.286836938260567</v>
      </c>
      <c r="D150" s="488">
        <f>D147-D149</f>
        <v>-4294.6700981184986</v>
      </c>
      <c r="E150" s="488">
        <f t="shared" ref="E150:AG150" si="66">E147-E149</f>
        <v>-4180.7306551356223</v>
      </c>
      <c r="F150" s="488">
        <f t="shared" si="66"/>
        <v>-4069.953116019452</v>
      </c>
      <c r="G150" s="488">
        <f t="shared" si="66"/>
        <v>-3961.5693296425657</v>
      </c>
      <c r="H150" s="488">
        <f t="shared" si="66"/>
        <v>-3855.234119429444</v>
      </c>
      <c r="I150" s="488">
        <f t="shared" si="66"/>
        <v>-3747.5287004599545</v>
      </c>
      <c r="J150" s="488">
        <f t="shared" si="66"/>
        <v>684.81764739179789</v>
      </c>
      <c r="K150" s="488">
        <f t="shared" si="66"/>
        <v>676.98779335283325</v>
      </c>
      <c r="L150" s="488">
        <f t="shared" si="66"/>
        <v>663.58247347065935</v>
      </c>
      <c r="M150" s="488">
        <f t="shared" si="66"/>
        <v>648.47585714459183</v>
      </c>
      <c r="N150" s="488">
        <f t="shared" si="66"/>
        <v>618.30736892555251</v>
      </c>
      <c r="O150" s="488">
        <f t="shared" si="66"/>
        <v>588.30486711270123</v>
      </c>
      <c r="P150" s="488">
        <f t="shared" si="66"/>
        <v>580.71203200634045</v>
      </c>
      <c r="Q150" s="488">
        <f t="shared" si="66"/>
        <v>578.16921234048914</v>
      </c>
      <c r="R150" s="488">
        <f t="shared" si="66"/>
        <v>562.34269148210797</v>
      </c>
      <c r="S150" s="488">
        <f t="shared" si="66"/>
        <v>1385.4171362390507</v>
      </c>
      <c r="T150" s="488">
        <f t="shared" si="66"/>
        <v>1326.4354157538601</v>
      </c>
      <c r="U150" s="488">
        <f t="shared" si="66"/>
        <v>1267.6035912217922</v>
      </c>
      <c r="V150" s="488">
        <f t="shared" si="66"/>
        <v>1211.4089109656252</v>
      </c>
      <c r="W150" s="488">
        <f t="shared" si="66"/>
        <v>1159.5678789038311</v>
      </c>
      <c r="X150" s="488">
        <f t="shared" si="66"/>
        <v>1129.7864902291703</v>
      </c>
      <c r="Y150" s="488">
        <f t="shared" si="66"/>
        <v>1112.5089867674374</v>
      </c>
      <c r="Z150" s="488">
        <f t="shared" si="66"/>
        <v>1095.323647744216</v>
      </c>
      <c r="AA150" s="488">
        <f t="shared" si="66"/>
        <v>1079.7267239800794</v>
      </c>
      <c r="AB150" s="488">
        <f t="shared" si="66"/>
        <v>1064.0905766587102</v>
      </c>
      <c r="AC150" s="488">
        <f t="shared" si="66"/>
        <v>1046.2549207217853</v>
      </c>
      <c r="AD150" s="488">
        <f t="shared" si="66"/>
        <v>1008.0848193205175</v>
      </c>
      <c r="AE150" s="488">
        <f>AE147-AE149</f>
        <v>948.89617764117656</v>
      </c>
      <c r="AF150" s="488">
        <f t="shared" si="66"/>
        <v>888.08082180481233</v>
      </c>
      <c r="AG150" s="488">
        <f t="shared" si="66"/>
        <v>830.40483727456694</v>
      </c>
    </row>
    <row r="151" spans="2:38" x14ac:dyDescent="0.3">
      <c r="D151" s="598"/>
      <c r="E151" s="598"/>
      <c r="F151" s="598"/>
      <c r="G151" s="598"/>
      <c r="H151" s="598"/>
      <c r="I151" s="598"/>
      <c r="J151" s="598"/>
      <c r="K151" s="598"/>
      <c r="L151" s="598"/>
      <c r="M151" s="598"/>
      <c r="N151" s="598"/>
      <c r="O151" s="598"/>
      <c r="P151" s="598"/>
      <c r="Q151" s="598"/>
      <c r="R151" s="598"/>
      <c r="S151" s="598"/>
      <c r="T151" s="598"/>
      <c r="U151" s="598"/>
      <c r="V151" s="598"/>
      <c r="W151" s="598"/>
      <c r="X151" s="598"/>
      <c r="Y151" s="598"/>
      <c r="Z151" s="598"/>
      <c r="AA151" s="598"/>
      <c r="AB151" s="598"/>
      <c r="AC151" s="598"/>
      <c r="AD151" s="462"/>
      <c r="AE151" s="598"/>
      <c r="AF151" s="598"/>
      <c r="AG151" s="598"/>
    </row>
    <row r="152" spans="2:38" x14ac:dyDescent="0.3">
      <c r="AD152" s="598"/>
    </row>
    <row r="155" spans="2:38" x14ac:dyDescent="0.3">
      <c r="E155" s="461">
        <f>349/366</f>
        <v>0.95355191256830596</v>
      </c>
    </row>
    <row r="156" spans="2:38" x14ac:dyDescent="0.3">
      <c r="B156" s="495" t="s">
        <v>2357</v>
      </c>
      <c r="C156" s="495">
        <v>9395</v>
      </c>
      <c r="D156" s="434">
        <v>3.9100000000000003E-2</v>
      </c>
      <c r="E156"/>
      <c r="F156"/>
      <c r="G156"/>
      <c r="H156"/>
      <c r="I156"/>
    </row>
    <row r="157" spans="2:38" x14ac:dyDescent="0.3">
      <c r="B157" s="364"/>
      <c r="C157" s="364" t="s">
        <v>105</v>
      </c>
      <c r="D157" s="365">
        <v>3.9100000000000003E-2</v>
      </c>
      <c r="E157" s="365"/>
      <c r="F157" s="361"/>
      <c r="G157" s="363">
        <v>45081</v>
      </c>
      <c r="H157" s="361"/>
      <c r="I157" s="361"/>
    </row>
    <row r="158" spans="2:38" x14ac:dyDescent="0.3">
      <c r="B158" s="361"/>
      <c r="C158" s="366">
        <v>43620</v>
      </c>
      <c r="D158" s="366">
        <v>43986</v>
      </c>
      <c r="E158" s="366">
        <v>44351</v>
      </c>
      <c r="F158" s="366">
        <v>44716</v>
      </c>
      <c r="G158" s="618">
        <v>45082</v>
      </c>
      <c r="H158" s="366">
        <v>45447</v>
      </c>
      <c r="I158" s="366">
        <v>45812</v>
      </c>
      <c r="J158" s="366">
        <v>46177</v>
      </c>
      <c r="K158" s="366">
        <v>46542</v>
      </c>
      <c r="L158" s="366">
        <v>46908</v>
      </c>
      <c r="M158" s="366">
        <v>47273</v>
      </c>
      <c r="N158" s="366">
        <v>47638</v>
      </c>
      <c r="O158" s="366">
        <v>48003</v>
      </c>
      <c r="P158" s="366">
        <v>48369</v>
      </c>
      <c r="Q158" s="366">
        <v>48734</v>
      </c>
      <c r="R158" s="366">
        <v>49100</v>
      </c>
      <c r="S158" s="503"/>
      <c r="T158" s="503"/>
      <c r="U158" s="503"/>
      <c r="V158" s="503"/>
      <c r="W158" s="503"/>
      <c r="X158" s="503"/>
      <c r="Y158" s="503"/>
      <c r="Z158" s="503"/>
      <c r="AA158" s="503"/>
      <c r="AB158" s="503"/>
      <c r="AC158" s="503"/>
      <c r="AD158" s="503"/>
      <c r="AE158" s="503"/>
      <c r="AF158" s="503"/>
      <c r="AG158" s="503"/>
      <c r="AH158" s="503"/>
      <c r="AI158" s="503"/>
      <c r="AJ158" s="503"/>
      <c r="AK158" s="503"/>
      <c r="AL158" s="503"/>
    </row>
    <row r="159" spans="2:38" x14ac:dyDescent="0.3">
      <c r="B159" s="463" t="s">
        <v>1318</v>
      </c>
      <c r="C159" s="367"/>
      <c r="D159" s="534">
        <f t="shared" ref="D159:Q159" si="67">ROUND($C$160/15,2)</f>
        <v>6666.67</v>
      </c>
      <c r="E159" s="534">
        <f t="shared" si="67"/>
        <v>6666.67</v>
      </c>
      <c r="F159" s="534">
        <f t="shared" si="67"/>
        <v>6666.67</v>
      </c>
      <c r="G159" s="534">
        <f t="shared" si="67"/>
        <v>6666.67</v>
      </c>
      <c r="H159" s="534">
        <f t="shared" si="67"/>
        <v>6666.67</v>
      </c>
      <c r="I159" s="534">
        <f t="shared" si="67"/>
        <v>6666.67</v>
      </c>
      <c r="J159" s="534">
        <f t="shared" si="67"/>
        <v>6666.67</v>
      </c>
      <c r="K159" s="534">
        <f t="shared" si="67"/>
        <v>6666.67</v>
      </c>
      <c r="L159" s="534">
        <f t="shared" si="67"/>
        <v>6666.67</v>
      </c>
      <c r="M159" s="534">
        <f t="shared" si="67"/>
        <v>6666.67</v>
      </c>
      <c r="N159" s="534">
        <f t="shared" si="67"/>
        <v>6666.67</v>
      </c>
      <c r="O159" s="534">
        <f t="shared" si="67"/>
        <v>6666.67</v>
      </c>
      <c r="P159" s="534">
        <f t="shared" si="67"/>
        <v>6666.67</v>
      </c>
      <c r="Q159" s="534">
        <f t="shared" si="67"/>
        <v>6666.67</v>
      </c>
      <c r="R159" s="534">
        <f>100000-93333.38</f>
        <v>6666.6199999999953</v>
      </c>
    </row>
    <row r="160" spans="2:38" x14ac:dyDescent="0.3">
      <c r="B160" s="463" t="s">
        <v>1320</v>
      </c>
      <c r="C160" s="368">
        <v>100000</v>
      </c>
      <c r="D160" s="457">
        <f t="shared" ref="D160:R160" si="68">ROUND(C160-D159,2)</f>
        <v>93333.33</v>
      </c>
      <c r="E160" s="457">
        <f t="shared" si="68"/>
        <v>86666.66</v>
      </c>
      <c r="F160" s="457">
        <f t="shared" si="68"/>
        <v>79999.990000000005</v>
      </c>
      <c r="G160" s="457">
        <f t="shared" si="68"/>
        <v>73333.320000000007</v>
      </c>
      <c r="H160" s="457">
        <f t="shared" si="68"/>
        <v>66666.649999999994</v>
      </c>
      <c r="I160" s="457">
        <f t="shared" si="68"/>
        <v>59999.98</v>
      </c>
      <c r="J160" s="457">
        <f t="shared" si="68"/>
        <v>53333.31</v>
      </c>
      <c r="K160" s="457">
        <f t="shared" si="68"/>
        <v>46666.64</v>
      </c>
      <c r="L160" s="457">
        <f t="shared" si="68"/>
        <v>39999.97</v>
      </c>
      <c r="M160" s="457">
        <f t="shared" si="68"/>
        <v>33333.300000000003</v>
      </c>
      <c r="N160" s="457">
        <f t="shared" si="68"/>
        <v>26666.63</v>
      </c>
      <c r="O160" s="457">
        <f t="shared" si="68"/>
        <v>19999.96</v>
      </c>
      <c r="P160" s="457">
        <f t="shared" si="68"/>
        <v>13333.29</v>
      </c>
      <c r="Q160" s="457">
        <f t="shared" si="68"/>
        <v>6666.62</v>
      </c>
      <c r="R160" s="457">
        <f t="shared" si="68"/>
        <v>0</v>
      </c>
    </row>
    <row r="161" spans="2:18" x14ac:dyDescent="0.3">
      <c r="B161" s="463" t="s">
        <v>1321</v>
      </c>
      <c r="C161" s="367"/>
      <c r="D161" s="568">
        <f>$D$157*C160</f>
        <v>3910.0000000000005</v>
      </c>
      <c r="E161" s="568">
        <f>$D$157*D160</f>
        <v>3649.3332030000001</v>
      </c>
      <c r="F161" s="568">
        <f t="shared" ref="F161:R161" si="69">$D$157*E160</f>
        <v>3388.6664060000003</v>
      </c>
      <c r="G161" s="568">
        <f t="shared" si="69"/>
        <v>3127.9996090000004</v>
      </c>
      <c r="H161" s="568">
        <f t="shared" si="69"/>
        <v>2867.3328120000006</v>
      </c>
      <c r="I161" s="568">
        <f t="shared" si="69"/>
        <v>2606.6660149999998</v>
      </c>
      <c r="J161" s="568">
        <f t="shared" si="69"/>
        <v>2345.9992180000004</v>
      </c>
      <c r="K161" s="568">
        <f t="shared" si="69"/>
        <v>2085.3324210000001</v>
      </c>
      <c r="L161" s="568">
        <f t="shared" si="69"/>
        <v>1824.6656240000002</v>
      </c>
      <c r="M161" s="568">
        <f t="shared" si="69"/>
        <v>1563.9988270000001</v>
      </c>
      <c r="N161" s="568">
        <f t="shared" si="69"/>
        <v>1303.3320300000003</v>
      </c>
      <c r="O161" s="568">
        <f t="shared" si="69"/>
        <v>1042.6652330000002</v>
      </c>
      <c r="P161" s="568">
        <f t="shared" si="69"/>
        <v>781.99843599999997</v>
      </c>
      <c r="Q161" s="568">
        <f t="shared" si="69"/>
        <v>521.33163900000011</v>
      </c>
      <c r="R161" s="568">
        <f t="shared" si="69"/>
        <v>260.66484200000002</v>
      </c>
    </row>
    <row r="162" spans="2:18" x14ac:dyDescent="0.3">
      <c r="B162" s="463" t="s">
        <v>1322</v>
      </c>
      <c r="C162" s="367"/>
      <c r="D162" s="488">
        <f>+D161+D159</f>
        <v>10576.67</v>
      </c>
      <c r="E162" s="488">
        <f t="shared" ref="E162:Q162" si="70">+E161+E159</f>
        <v>10316.003203</v>
      </c>
      <c r="F162" s="488">
        <f t="shared" si="70"/>
        <v>10055.336406</v>
      </c>
      <c r="G162" s="488">
        <f t="shared" si="70"/>
        <v>9794.6696090000005</v>
      </c>
      <c r="H162" s="488">
        <f t="shared" si="70"/>
        <v>9534.0028120000006</v>
      </c>
      <c r="I162" s="488">
        <f t="shared" si="70"/>
        <v>9273.3360150000008</v>
      </c>
      <c r="J162" s="488">
        <f t="shared" si="70"/>
        <v>9012.6692180000009</v>
      </c>
      <c r="K162" s="488">
        <f t="shared" si="70"/>
        <v>8752.002421000001</v>
      </c>
      <c r="L162" s="488">
        <f t="shared" si="70"/>
        <v>8491.3356239999994</v>
      </c>
      <c r="M162" s="488">
        <f t="shared" si="70"/>
        <v>8230.6688269999995</v>
      </c>
      <c r="N162" s="488">
        <f t="shared" si="70"/>
        <v>7970.0020300000006</v>
      </c>
      <c r="O162" s="488">
        <f t="shared" si="70"/>
        <v>7709.3352329999998</v>
      </c>
      <c r="P162" s="488">
        <f t="shared" si="70"/>
        <v>7448.6684359999999</v>
      </c>
      <c r="Q162" s="488">
        <f t="shared" si="70"/>
        <v>7188.0016390000001</v>
      </c>
      <c r="R162" s="488">
        <f>+R161+R159</f>
        <v>6927.2848419999955</v>
      </c>
    </row>
    <row r="163" spans="2:18" x14ac:dyDescent="0.3">
      <c r="B163" s="463" t="s">
        <v>1323</v>
      </c>
      <c r="C163" s="368"/>
      <c r="D163" s="488">
        <f t="shared" ref="D163:R163" si="71">+IF(D158&gt;$C$1,D162,0)</f>
        <v>0</v>
      </c>
      <c r="E163" s="488">
        <f t="shared" si="71"/>
        <v>0</v>
      </c>
      <c r="F163" s="488">
        <f t="shared" si="71"/>
        <v>0</v>
      </c>
      <c r="G163" s="488">
        <f t="shared" si="71"/>
        <v>0</v>
      </c>
      <c r="H163" s="488">
        <f t="shared" si="71"/>
        <v>0</v>
      </c>
      <c r="I163" s="488">
        <f t="shared" si="71"/>
        <v>0</v>
      </c>
      <c r="J163" s="488">
        <f t="shared" si="71"/>
        <v>9012.6692180000009</v>
      </c>
      <c r="K163" s="488">
        <f t="shared" si="71"/>
        <v>8752.002421000001</v>
      </c>
      <c r="L163" s="488">
        <f t="shared" si="71"/>
        <v>8491.3356239999994</v>
      </c>
      <c r="M163" s="488">
        <f t="shared" si="71"/>
        <v>8230.6688269999995</v>
      </c>
      <c r="N163" s="488">
        <f t="shared" si="71"/>
        <v>7970.0020300000006</v>
      </c>
      <c r="O163" s="488">
        <f t="shared" si="71"/>
        <v>7709.3352329999998</v>
      </c>
      <c r="P163" s="488">
        <f t="shared" si="71"/>
        <v>7448.6684359999999</v>
      </c>
      <c r="Q163" s="488">
        <f t="shared" si="71"/>
        <v>7188.0016390000001</v>
      </c>
      <c r="R163" s="488">
        <f t="shared" si="71"/>
        <v>6927.2848419999955</v>
      </c>
    </row>
    <row r="164" spans="2:18" x14ac:dyDescent="0.3">
      <c r="B164" s="463" t="s">
        <v>1324</v>
      </c>
      <c r="C164" s="371"/>
      <c r="D164" s="617">
        <f>+IF(C163=0,(D158-$C$1)/(D158-C158),C164+1)</f>
        <v>-5.7950819672131146</v>
      </c>
      <c r="E164" s="617">
        <f>+IF(D163=0,(E158-$C$1)/(E158-D158),D164+1)</f>
        <v>-4.8109589041095893</v>
      </c>
      <c r="F164" s="617">
        <f>+IF(E163=0,(F158-$C$1)/(F158-E158),E164+1)</f>
        <v>-3.8109589041095893</v>
      </c>
      <c r="G164" s="617">
        <f>+IF(F163=0,(G157-$C$1)/(G157-F158),F164+1)</f>
        <v>-2.8109589041095893</v>
      </c>
      <c r="H164" s="617">
        <f>+IF(G163=0,(H158-$C$1)/(H158-G157),G164+1)</f>
        <v>-1.8032786885245902</v>
      </c>
      <c r="I164" s="617">
        <f>(I158-C1)/365</f>
        <v>-0.80821917808219179</v>
      </c>
      <c r="J164" s="617">
        <f t="shared" ref="J164:R164" si="72">+IF(I163=0,(J158-$C$1)/(J158-I158),I164+1)</f>
        <v>0.19178082191780821</v>
      </c>
      <c r="K164" s="617">
        <f t="shared" si="72"/>
        <v>1.1917808219178081</v>
      </c>
      <c r="L164" s="617">
        <f t="shared" si="72"/>
        <v>2.1917808219178081</v>
      </c>
      <c r="M164" s="617">
        <f t="shared" si="72"/>
        <v>3.1917808219178081</v>
      </c>
      <c r="N164" s="617">
        <f t="shared" si="72"/>
        <v>4.1917808219178081</v>
      </c>
      <c r="O164" s="617">
        <f t="shared" si="72"/>
        <v>5.1917808219178081</v>
      </c>
      <c r="P164" s="617">
        <f t="shared" si="72"/>
        <v>6.1917808219178081</v>
      </c>
      <c r="Q164" s="617">
        <f t="shared" si="72"/>
        <v>7.1917808219178081</v>
      </c>
      <c r="R164" s="617">
        <f t="shared" si="72"/>
        <v>8.1917808219178081</v>
      </c>
    </row>
    <row r="165" spans="2:18" x14ac:dyDescent="0.3">
      <c r="B165" s="463" t="s">
        <v>1325</v>
      </c>
      <c r="C165" s="367"/>
      <c r="D165" s="375" cm="1">
        <f t="array" ref="D165">interpoler(mat_zc,Taux_ZC,D164)</f>
        <v>2.3281430400000001E-2</v>
      </c>
      <c r="E165" s="375" cm="1">
        <f t="array" ref="E165">interpoler(mat_zc,Taux_ZC,E164)</f>
        <v>2.3281430400000001E-2</v>
      </c>
      <c r="F165" s="375" cm="1">
        <f t="array" ref="F165">interpoler(mat_zc,Taux_ZC,F164)</f>
        <v>2.3281430400000001E-2</v>
      </c>
      <c r="G165" s="375" cm="1">
        <f t="array" ref="G165">interpoler(mat_zc,Taux_ZC,G164)</f>
        <v>2.3281430400000001E-2</v>
      </c>
      <c r="H165" s="375" cm="1">
        <f t="array" ref="H165">interpoler(mat_zc,Taux_ZC,H164)</f>
        <v>2.3281430400000001E-2</v>
      </c>
      <c r="I165" s="375" cm="1">
        <f t="array" ref="I165">interpoler(mat_zc,Taux_ZC,I164)</f>
        <v>2.3281430400000001E-2</v>
      </c>
      <c r="J165" s="375" cm="1">
        <f t="array" ref="J165">interpoler(mat_zc,Taux_ZC,J164)</f>
        <v>2.33648558989011E-2</v>
      </c>
      <c r="K165" s="375" cm="1">
        <f t="array" ref="K165">interpoler(mat_zc,Taux_ZC,K164)</f>
        <v>2.5442165594520547E-2</v>
      </c>
      <c r="L165" s="375" cm="1">
        <f t="array" ref="L165">interpoler(mat_zc,Taux_ZC,L164)</f>
        <v>2.7000413661643834E-2</v>
      </c>
      <c r="M165" s="375" cm="1">
        <f t="array" ref="M165">interpoler(mat_zc,Taux_ZC,M164)</f>
        <v>2.8559131193150684E-2</v>
      </c>
      <c r="N165" s="375" cm="1">
        <f t="array" ref="N165">interpoler(mat_zc,Taux_ZC,N164)</f>
        <v>3.0038597267123289E-2</v>
      </c>
      <c r="O165" s="375" cm="1">
        <f t="array" ref="O165">interpoler(mat_zc,Taux_ZC,O164)</f>
        <v>3.1009687712328766E-2</v>
      </c>
      <c r="P165" s="375" cm="1">
        <f t="array" ref="P165">interpoler(mat_zc,Taux_ZC,P164)</f>
        <v>3.1529910695890416E-2</v>
      </c>
      <c r="Q165" s="375" cm="1">
        <f t="array" ref="Q165">interpoler(mat_zc,Taux_ZC,Q164)</f>
        <v>3.2035723209589043E-2</v>
      </c>
      <c r="R165" s="375" cm="1">
        <f t="array" ref="R165">interpoler(mat_zc,Taux_ZC,R164)</f>
        <v>3.2551554083561647E-2</v>
      </c>
    </row>
    <row r="166" spans="2:18" x14ac:dyDescent="0.3">
      <c r="B166" s="463" t="s">
        <v>1328</v>
      </c>
      <c r="C166" s="367"/>
      <c r="D166" s="429">
        <v>8.9999999999999993E-3</v>
      </c>
      <c r="E166" s="429">
        <v>8.9999999999999993E-3</v>
      </c>
      <c r="F166" s="429">
        <v>8.9999999999999993E-3</v>
      </c>
      <c r="G166" s="429">
        <v>8.9999999999999993E-3</v>
      </c>
      <c r="H166" s="429">
        <v>8.9999999999999993E-3</v>
      </c>
      <c r="I166" s="429">
        <v>8.9999999999999993E-3</v>
      </c>
      <c r="J166" s="429">
        <v>8.9999999999999993E-3</v>
      </c>
      <c r="K166" s="429">
        <v>8.9999999999999993E-3</v>
      </c>
      <c r="L166" s="429">
        <v>8.9999999999999993E-3</v>
      </c>
      <c r="M166" s="429">
        <v>8.9999999999999993E-3</v>
      </c>
      <c r="N166" s="429">
        <v>8.9999999999999993E-3</v>
      </c>
      <c r="O166" s="429">
        <v>8.9999999999999993E-3</v>
      </c>
      <c r="P166" s="429">
        <v>8.9999999999999993E-3</v>
      </c>
      <c r="Q166" s="429">
        <v>8.9999999999999993E-3</v>
      </c>
      <c r="R166" s="429">
        <v>8.9999999999999993E-3</v>
      </c>
    </row>
    <row r="167" spans="2:18" x14ac:dyDescent="0.3">
      <c r="B167" s="463" t="s">
        <v>1329</v>
      </c>
      <c r="C167" s="367"/>
      <c r="D167" s="429">
        <f>ROUND(D165+D166,5)</f>
        <v>3.2280000000000003E-2</v>
      </c>
      <c r="E167" s="429">
        <f>ROUND(E165+E166,5)</f>
        <v>3.2280000000000003E-2</v>
      </c>
      <c r="F167" s="429">
        <f>ROUND(F165+F166,5)</f>
        <v>3.2280000000000003E-2</v>
      </c>
      <c r="G167" s="429">
        <f>ROUND(G165+G166,6)</f>
        <v>3.2280999999999997E-2</v>
      </c>
      <c r="H167" s="429">
        <f t="shared" ref="H167:R167" si="73">ROUND(H165+H166,5)</f>
        <v>3.2280000000000003E-2</v>
      </c>
      <c r="I167" s="1000">
        <f t="shared" si="73"/>
        <v>3.2280000000000003E-2</v>
      </c>
      <c r="J167" s="1000">
        <f>ROUND(J165+J166,5)</f>
        <v>3.236E-2</v>
      </c>
      <c r="K167" s="429">
        <f t="shared" si="73"/>
        <v>3.4439999999999998E-2</v>
      </c>
      <c r="L167" s="429">
        <f t="shared" si="73"/>
        <v>3.5999999999999997E-2</v>
      </c>
      <c r="M167" s="429">
        <f t="shared" si="73"/>
        <v>3.7560000000000003E-2</v>
      </c>
      <c r="N167" s="429">
        <f t="shared" si="73"/>
        <v>3.9039999999999998E-2</v>
      </c>
      <c r="O167" s="429">
        <f t="shared" si="73"/>
        <v>4.0009999999999997E-2</v>
      </c>
      <c r="P167" s="429">
        <f t="shared" si="73"/>
        <v>4.0529999999999997E-2</v>
      </c>
      <c r="Q167" s="429">
        <f t="shared" si="73"/>
        <v>4.104E-2</v>
      </c>
      <c r="R167" s="429">
        <f t="shared" si="73"/>
        <v>4.1549999999999997E-2</v>
      </c>
    </row>
    <row r="168" spans="2:18" x14ac:dyDescent="0.3">
      <c r="B168" s="463"/>
      <c r="C168" s="367"/>
      <c r="D168" s="624">
        <f t="shared" ref="D168:R168" si="74">ROUND(D163/(1+D167)^(D164),4)</f>
        <v>0</v>
      </c>
      <c r="E168" s="624">
        <f t="shared" si="74"/>
        <v>0</v>
      </c>
      <c r="F168" s="624">
        <f t="shared" si="74"/>
        <v>0</v>
      </c>
      <c r="G168" s="624">
        <f t="shared" si="74"/>
        <v>0</v>
      </c>
      <c r="H168" s="624">
        <f t="shared" si="74"/>
        <v>0</v>
      </c>
      <c r="I168" s="624">
        <f t="shared" si="74"/>
        <v>0</v>
      </c>
      <c r="J168" s="624">
        <f t="shared" si="74"/>
        <v>8957.7900000000009</v>
      </c>
      <c r="K168" s="624">
        <f t="shared" si="74"/>
        <v>8405.8557000000001</v>
      </c>
      <c r="L168" s="624">
        <f t="shared" si="74"/>
        <v>7857.9777000000004</v>
      </c>
      <c r="M168" s="624">
        <f t="shared" si="74"/>
        <v>7316.8548000000001</v>
      </c>
      <c r="N168" s="624">
        <f t="shared" si="74"/>
        <v>6787.9652999999998</v>
      </c>
      <c r="O168" s="624">
        <f t="shared" si="74"/>
        <v>6288.7146000000002</v>
      </c>
      <c r="P168" s="624">
        <f t="shared" si="74"/>
        <v>5824.2754000000004</v>
      </c>
      <c r="Q168" s="624">
        <f t="shared" si="74"/>
        <v>5382.5285000000003</v>
      </c>
      <c r="R168" s="624">
        <f t="shared" si="74"/>
        <v>4962.8522999999996</v>
      </c>
    </row>
    <row r="169" spans="2:18" x14ac:dyDescent="0.3">
      <c r="B169" s="367"/>
      <c r="C169" s="367"/>
      <c r="D169"/>
      <c r="E169"/>
      <c r="F169"/>
      <c r="G169"/>
      <c r="H169"/>
      <c r="I169"/>
    </row>
    <row r="170" spans="2:18" x14ac:dyDescent="0.3">
      <c r="B170" s="495" t="s">
        <v>650</v>
      </c>
      <c r="C170" s="625">
        <f>+SUM(D168:R168)</f>
        <v>61784.814299999998</v>
      </c>
      <c r="D170" s="596"/>
      <c r="E170" s="596"/>
      <c r="F170" s="596"/>
      <c r="G170" s="596"/>
      <c r="H170" s="596"/>
      <c r="I170" s="596"/>
    </row>
    <row r="171" spans="2:18" x14ac:dyDescent="0.3">
      <c r="B171" s="495" t="s">
        <v>1331</v>
      </c>
      <c r="C171" s="501">
        <f>+SUMPRODUCT(D164:R164,D168:R168)/C170</f>
        <v>3.7038732747068104</v>
      </c>
      <c r="D171" s="365"/>
      <c r="E171" s="365"/>
      <c r="F171" s="361"/>
      <c r="G171" s="363"/>
      <c r="H171" s="361"/>
      <c r="I171" s="361"/>
    </row>
    <row r="172" spans="2:18" x14ac:dyDescent="0.3">
      <c r="G172" s="461">
        <f>G164*365</f>
        <v>-1026</v>
      </c>
    </row>
    <row r="177" spans="2:18" x14ac:dyDescent="0.3">
      <c r="B177" s="495" t="s">
        <v>2455</v>
      </c>
      <c r="C177" s="495">
        <v>9402</v>
      </c>
      <c r="D177" s="427"/>
      <c r="E177"/>
      <c r="F177"/>
      <c r="G177"/>
      <c r="H177"/>
      <c r="I177"/>
    </row>
    <row r="178" spans="2:18" x14ac:dyDescent="0.3">
      <c r="B178" s="364"/>
      <c r="C178" s="364" t="s">
        <v>105</v>
      </c>
      <c r="D178" s="365">
        <v>3.49E-2</v>
      </c>
      <c r="E178" s="365"/>
      <c r="F178" s="361"/>
      <c r="G178" s="363"/>
      <c r="H178" s="361"/>
      <c r="I178" s="361"/>
    </row>
    <row r="179" spans="2:18" x14ac:dyDescent="0.3">
      <c r="B179" s="361"/>
      <c r="C179" s="366">
        <v>43658</v>
      </c>
      <c r="D179" s="366">
        <v>44024</v>
      </c>
      <c r="E179" s="366">
        <v>44389</v>
      </c>
      <c r="F179" s="366">
        <v>44754</v>
      </c>
      <c r="G179" s="366">
        <v>45119</v>
      </c>
      <c r="H179" s="366">
        <v>45485</v>
      </c>
      <c r="I179" s="366">
        <v>45850</v>
      </c>
      <c r="J179" s="366">
        <v>46215</v>
      </c>
      <c r="K179" s="366">
        <v>46580</v>
      </c>
      <c r="L179" s="366">
        <v>46946</v>
      </c>
      <c r="M179" s="366">
        <v>47311</v>
      </c>
      <c r="N179" s="366">
        <v>47676</v>
      </c>
      <c r="O179" s="366">
        <v>48041</v>
      </c>
      <c r="P179" s="366">
        <v>48407</v>
      </c>
      <c r="Q179" s="366">
        <v>48772</v>
      </c>
      <c r="R179" s="366">
        <v>49137</v>
      </c>
    </row>
    <row r="180" spans="2:18" x14ac:dyDescent="0.3">
      <c r="B180" s="463" t="s">
        <v>1318</v>
      </c>
      <c r="C180" s="367"/>
      <c r="D180" s="534">
        <f>$C$181/15</f>
        <v>6666.666666666667</v>
      </c>
      <c r="E180" s="534">
        <f t="shared" ref="E180:R180" si="75">$C$181/15</f>
        <v>6666.666666666667</v>
      </c>
      <c r="F180" s="534">
        <f t="shared" si="75"/>
        <v>6666.666666666667</v>
      </c>
      <c r="G180" s="534">
        <f t="shared" si="75"/>
        <v>6666.666666666667</v>
      </c>
      <c r="H180" s="534">
        <f t="shared" si="75"/>
        <v>6666.666666666667</v>
      </c>
      <c r="I180" s="534">
        <f t="shared" si="75"/>
        <v>6666.666666666667</v>
      </c>
      <c r="J180" s="534">
        <f t="shared" si="75"/>
        <v>6666.666666666667</v>
      </c>
      <c r="K180" s="534">
        <f t="shared" si="75"/>
        <v>6666.666666666667</v>
      </c>
      <c r="L180" s="534">
        <f t="shared" si="75"/>
        <v>6666.666666666667</v>
      </c>
      <c r="M180" s="534">
        <f t="shared" si="75"/>
        <v>6666.666666666667</v>
      </c>
      <c r="N180" s="534">
        <f t="shared" si="75"/>
        <v>6666.666666666667</v>
      </c>
      <c r="O180" s="534">
        <f t="shared" si="75"/>
        <v>6666.666666666667</v>
      </c>
      <c r="P180" s="534">
        <f t="shared" si="75"/>
        <v>6666.666666666667</v>
      </c>
      <c r="Q180" s="534">
        <f t="shared" si="75"/>
        <v>6666.666666666667</v>
      </c>
      <c r="R180" s="534">
        <f t="shared" si="75"/>
        <v>6666.666666666667</v>
      </c>
    </row>
    <row r="181" spans="2:18" x14ac:dyDescent="0.3">
      <c r="B181" s="463" t="s">
        <v>1320</v>
      </c>
      <c r="C181" s="368">
        <v>100000</v>
      </c>
      <c r="D181" s="457">
        <f>C181-D180</f>
        <v>93333.333333333328</v>
      </c>
      <c r="E181" s="457">
        <f t="shared" ref="E181:R181" si="76">D181-E180</f>
        <v>86666.666666666657</v>
      </c>
      <c r="F181" s="457">
        <f t="shared" si="76"/>
        <v>79999.999999999985</v>
      </c>
      <c r="G181" s="457">
        <f t="shared" si="76"/>
        <v>73333.333333333314</v>
      </c>
      <c r="H181" s="457">
        <f t="shared" si="76"/>
        <v>66666.666666666642</v>
      </c>
      <c r="I181" s="457">
        <f t="shared" si="76"/>
        <v>59999.999999999978</v>
      </c>
      <c r="J181" s="457">
        <f t="shared" si="76"/>
        <v>53333.333333333314</v>
      </c>
      <c r="K181" s="457">
        <f t="shared" si="76"/>
        <v>46666.66666666665</v>
      </c>
      <c r="L181" s="457">
        <f t="shared" si="76"/>
        <v>39999.999999999985</v>
      </c>
      <c r="M181" s="457">
        <f t="shared" si="76"/>
        <v>33333.333333333321</v>
      </c>
      <c r="N181" s="457">
        <f t="shared" si="76"/>
        <v>26666.666666666653</v>
      </c>
      <c r="O181" s="457">
        <f t="shared" si="76"/>
        <v>19999.999999999985</v>
      </c>
      <c r="P181" s="457">
        <f t="shared" si="76"/>
        <v>13333.333333333318</v>
      </c>
      <c r="Q181" s="457">
        <f t="shared" si="76"/>
        <v>6666.6666666666506</v>
      </c>
      <c r="R181" s="457">
        <f t="shared" si="76"/>
        <v>-1.6370904631912708E-11</v>
      </c>
    </row>
    <row r="182" spans="2:18" x14ac:dyDescent="0.3">
      <c r="B182" s="463" t="s">
        <v>1321</v>
      </c>
      <c r="C182" s="367"/>
      <c r="D182" s="568">
        <f>$D$178*C181</f>
        <v>3490</v>
      </c>
      <c r="E182" s="568">
        <f t="shared" ref="E182:R182" si="77">$D$178*D181</f>
        <v>3257.333333333333</v>
      </c>
      <c r="F182" s="568">
        <f t="shared" si="77"/>
        <v>3024.6666666666665</v>
      </c>
      <c r="G182" s="568">
        <f t="shared" si="77"/>
        <v>2791.9999999999995</v>
      </c>
      <c r="H182" s="568">
        <f t="shared" si="77"/>
        <v>2559.3333333333326</v>
      </c>
      <c r="I182" s="568">
        <f t="shared" si="77"/>
        <v>2326.6666666666661</v>
      </c>
      <c r="J182" s="568">
        <f t="shared" si="77"/>
        <v>2093.9999999999991</v>
      </c>
      <c r="K182" s="568">
        <f t="shared" si="77"/>
        <v>1861.3333333333326</v>
      </c>
      <c r="L182" s="568">
        <f t="shared" si="77"/>
        <v>1628.6666666666661</v>
      </c>
      <c r="M182" s="568">
        <f t="shared" si="77"/>
        <v>1395.9999999999995</v>
      </c>
      <c r="N182" s="568">
        <f t="shared" si="77"/>
        <v>1163.333333333333</v>
      </c>
      <c r="O182" s="568">
        <f t="shared" si="77"/>
        <v>930.66666666666617</v>
      </c>
      <c r="P182" s="568">
        <f t="shared" si="77"/>
        <v>697.99999999999955</v>
      </c>
      <c r="Q182" s="568">
        <f t="shared" si="77"/>
        <v>465.3333333333328</v>
      </c>
      <c r="R182" s="568">
        <f t="shared" si="77"/>
        <v>232.66666666666612</v>
      </c>
    </row>
    <row r="183" spans="2:18" x14ac:dyDescent="0.3">
      <c r="B183" s="463" t="s">
        <v>1322</v>
      </c>
      <c r="C183" s="367"/>
      <c r="D183" s="488">
        <f>+D182+D180</f>
        <v>10156.666666666668</v>
      </c>
      <c r="E183" s="488">
        <f t="shared" ref="E183:R183" si="78">+E182+E180</f>
        <v>9924</v>
      </c>
      <c r="F183" s="488">
        <f t="shared" si="78"/>
        <v>9691.3333333333339</v>
      </c>
      <c r="G183" s="488">
        <f t="shared" si="78"/>
        <v>9458.6666666666661</v>
      </c>
      <c r="H183" s="488">
        <f t="shared" si="78"/>
        <v>9226</v>
      </c>
      <c r="I183" s="488">
        <f t="shared" si="78"/>
        <v>8993.3333333333321</v>
      </c>
      <c r="J183" s="488">
        <f t="shared" si="78"/>
        <v>8760.6666666666661</v>
      </c>
      <c r="K183" s="488">
        <f t="shared" si="78"/>
        <v>8528</v>
      </c>
      <c r="L183" s="488">
        <f t="shared" si="78"/>
        <v>8295.3333333333321</v>
      </c>
      <c r="M183" s="488">
        <f t="shared" si="78"/>
        <v>8062.6666666666661</v>
      </c>
      <c r="N183" s="488">
        <f t="shared" si="78"/>
        <v>7830</v>
      </c>
      <c r="O183" s="488">
        <f t="shared" si="78"/>
        <v>7597.333333333333</v>
      </c>
      <c r="P183" s="488">
        <f t="shared" si="78"/>
        <v>7364.6666666666661</v>
      </c>
      <c r="Q183" s="488">
        <f t="shared" si="78"/>
        <v>7132</v>
      </c>
      <c r="R183" s="488">
        <f t="shared" si="78"/>
        <v>6899.333333333333</v>
      </c>
    </row>
    <row r="184" spans="2:18" x14ac:dyDescent="0.3">
      <c r="B184" s="463" t="s">
        <v>1323</v>
      </c>
      <c r="C184" s="368"/>
      <c r="D184" s="488">
        <f t="shared" ref="D184:R184" si="79">+IF(D179&gt;$C$1,D183,0)</f>
        <v>0</v>
      </c>
      <c r="E184" s="488">
        <f t="shared" si="79"/>
        <v>0</v>
      </c>
      <c r="F184" s="488">
        <f t="shared" si="79"/>
        <v>0</v>
      </c>
      <c r="G184" s="488">
        <f t="shared" si="79"/>
        <v>0</v>
      </c>
      <c r="H184" s="488">
        <f t="shared" si="79"/>
        <v>0</v>
      </c>
      <c r="I184" s="488">
        <f t="shared" si="79"/>
        <v>0</v>
      </c>
      <c r="J184" s="488">
        <f t="shared" si="79"/>
        <v>8760.6666666666661</v>
      </c>
      <c r="K184" s="488">
        <f t="shared" si="79"/>
        <v>8528</v>
      </c>
      <c r="L184" s="488">
        <f t="shared" si="79"/>
        <v>8295.3333333333321</v>
      </c>
      <c r="M184" s="488">
        <f t="shared" si="79"/>
        <v>8062.6666666666661</v>
      </c>
      <c r="N184" s="488">
        <f t="shared" si="79"/>
        <v>7830</v>
      </c>
      <c r="O184" s="488">
        <f t="shared" si="79"/>
        <v>7597.333333333333</v>
      </c>
      <c r="P184" s="488">
        <f t="shared" si="79"/>
        <v>7364.6666666666661</v>
      </c>
      <c r="Q184" s="488">
        <f t="shared" si="79"/>
        <v>7132</v>
      </c>
      <c r="R184" s="488">
        <f t="shared" si="79"/>
        <v>6899.333333333333</v>
      </c>
    </row>
    <row r="185" spans="2:18" x14ac:dyDescent="0.3">
      <c r="B185" s="463" t="s">
        <v>1324</v>
      </c>
      <c r="C185" s="371"/>
      <c r="D185" s="617">
        <f t="shared" ref="D185:R185" si="80">ROUND(IF(C184=0,(D179-$C$1)/(D179-C179),C185+1),10)</f>
        <v>-5.6912568306000004</v>
      </c>
      <c r="E185" s="617">
        <f t="shared" si="80"/>
        <v>-4.7068493151000004</v>
      </c>
      <c r="F185" s="617">
        <f t="shared" si="80"/>
        <v>-3.7068493150999999</v>
      </c>
      <c r="G185" s="617">
        <f t="shared" si="80"/>
        <v>-2.7068493150999999</v>
      </c>
      <c r="H185" s="617">
        <f t="shared" si="80"/>
        <v>-1.6994535519</v>
      </c>
      <c r="I185" s="617">
        <f t="shared" si="80"/>
        <v>-0.70410958899999998</v>
      </c>
      <c r="J185" s="617">
        <f t="shared" si="80"/>
        <v>0.29589041100000002</v>
      </c>
      <c r="K185" s="617">
        <f t="shared" si="80"/>
        <v>1.295890411</v>
      </c>
      <c r="L185" s="617">
        <f t="shared" si="80"/>
        <v>2.2958904109999998</v>
      </c>
      <c r="M185" s="617">
        <f t="shared" si="80"/>
        <v>3.2958904109999998</v>
      </c>
      <c r="N185" s="617">
        <f t="shared" si="80"/>
        <v>4.2958904110000002</v>
      </c>
      <c r="O185" s="617">
        <f t="shared" si="80"/>
        <v>5.2958904110000002</v>
      </c>
      <c r="P185" s="617">
        <f t="shared" si="80"/>
        <v>6.2958904110000002</v>
      </c>
      <c r="Q185" s="617">
        <f t="shared" si="80"/>
        <v>7.2958904110000002</v>
      </c>
      <c r="R185" s="617">
        <f t="shared" si="80"/>
        <v>8.2958904110000002</v>
      </c>
    </row>
    <row r="186" spans="2:18" x14ac:dyDescent="0.3">
      <c r="B186" s="463" t="s">
        <v>1325</v>
      </c>
      <c r="C186" s="367"/>
      <c r="D186" s="375" cm="1">
        <f t="array" ref="D186">interpoler(mat_zc,Taux_ZC,D185)</f>
        <v>2.3281430400000001E-2</v>
      </c>
      <c r="E186" s="375" cm="1">
        <f t="array" ref="E186">interpoler(mat_zc,Taux_ZC,E185)</f>
        <v>2.3281430400000001E-2</v>
      </c>
      <c r="F186" s="375" cm="1">
        <f t="array" ref="F186">interpoler(mat_zc,Taux_ZC,F185)</f>
        <v>2.3281430400000001E-2</v>
      </c>
      <c r="G186" s="375" cm="1">
        <f t="array" ref="G186">interpoler(mat_zc,Taux_ZC,G185)</f>
        <v>2.3281430400000001E-2</v>
      </c>
      <c r="H186" s="375" cm="1">
        <f t="array" ref="H186">interpoler(mat_zc,Taux_ZC,H185)</f>
        <v>2.3281430400000001E-2</v>
      </c>
      <c r="I186" s="375" cm="1">
        <f t="array" ref="I186">interpoler(mat_zc,Taux_ZC,I185)</f>
        <v>2.3281430400000001E-2</v>
      </c>
      <c r="J186" s="375" cm="1">
        <f t="array" ref="J186">interpoler(mat_zc,Taux_ZC,J185)</f>
        <v>2.3637445767140566E-2</v>
      </c>
      <c r="K186" s="375" cm="1">
        <f t="array" ref="K186">interpoler(mat_zc,Taux_ZC,K185)</f>
        <v>2.5604477597324343E-2</v>
      </c>
      <c r="L186" s="375" cm="1">
        <f t="array" ref="L186">interpoler(mat_zc,Taux_ZC,L185)</f>
        <v>2.7162290600885815E-2</v>
      </c>
      <c r="M186" s="375" cm="1">
        <f t="array" ref="M186">interpoler(mat_zc,Taux_ZC,M185)</f>
        <v>2.8723096466640067E-2</v>
      </c>
      <c r="N186" s="375" cm="1">
        <f t="array" ref="N186">interpoler(mat_zc,Taux_ZC,N185)</f>
        <v>3.0150739483605912E-2</v>
      </c>
      <c r="O186" s="375" cm="1">
        <f t="array" ref="O186">interpoler(mat_zc,Taux_ZC,O185)</f>
        <v>3.1064251756185924E-2</v>
      </c>
      <c r="P186" s="375" cm="1">
        <f t="array" ref="P186">interpoler(mat_zc,Taux_ZC,P185)</f>
        <v>3.1582368987965917E-2</v>
      </c>
      <c r="Q186" s="375" cm="1">
        <f t="array" ref="Q186">interpoler(mat_zc,Taux_ZC,Q185)</f>
        <v>3.2089232914815642E-2</v>
      </c>
      <c r="R186" s="375" cm="1">
        <f t="array" ref="R186">interpoler(mat_zc,Taux_ZC,R185)</f>
        <v>3.2606071371802346E-2</v>
      </c>
    </row>
    <row r="187" spans="2:18" x14ac:dyDescent="0.3">
      <c r="B187" s="463" t="s">
        <v>1328</v>
      </c>
      <c r="C187" s="367"/>
      <c r="D187" s="429">
        <v>5.0000000000000001E-3</v>
      </c>
      <c r="E187" s="429">
        <v>5.0000000000000001E-3</v>
      </c>
      <c r="F187" s="429">
        <v>5.0000000000000001E-3</v>
      </c>
      <c r="G187" s="429">
        <v>5.0000000000000001E-3</v>
      </c>
      <c r="H187" s="429">
        <v>5.0000000000000001E-3</v>
      </c>
      <c r="I187" s="429">
        <v>5.0000000000000001E-3</v>
      </c>
      <c r="J187" s="429">
        <v>5.0000000000000001E-3</v>
      </c>
      <c r="K187" s="429">
        <v>5.0000000000000001E-3</v>
      </c>
      <c r="L187" s="429">
        <v>5.0000000000000001E-3</v>
      </c>
      <c r="M187" s="429">
        <v>5.0000000000000001E-3</v>
      </c>
      <c r="N187" s="429">
        <v>5.0000000000000001E-3</v>
      </c>
      <c r="O187" s="429">
        <v>5.0000000000000001E-3</v>
      </c>
      <c r="P187" s="429">
        <v>5.0000000000000001E-3</v>
      </c>
      <c r="Q187" s="429">
        <v>5.0000000000000001E-3</v>
      </c>
      <c r="R187" s="429">
        <v>5.0000000000000001E-3</v>
      </c>
    </row>
    <row r="188" spans="2:18" x14ac:dyDescent="0.3">
      <c r="B188" s="463" t="s">
        <v>1329</v>
      </c>
      <c r="C188" s="367"/>
      <c r="D188" s="429">
        <f t="shared" ref="D188:R188" si="81">ROUND(D186+D187,5)</f>
        <v>2.828E-2</v>
      </c>
      <c r="E188" s="429">
        <f t="shared" si="81"/>
        <v>2.828E-2</v>
      </c>
      <c r="F188" s="429">
        <f t="shared" si="81"/>
        <v>2.828E-2</v>
      </c>
      <c r="G188" s="429">
        <f t="shared" si="81"/>
        <v>2.828E-2</v>
      </c>
      <c r="H188" s="429">
        <f t="shared" si="81"/>
        <v>2.828E-2</v>
      </c>
      <c r="I188" s="372">
        <f t="shared" si="81"/>
        <v>2.828E-2</v>
      </c>
      <c r="J188" s="826">
        <f t="shared" si="81"/>
        <v>2.8639999999999999E-2</v>
      </c>
      <c r="K188" s="372">
        <f t="shared" si="81"/>
        <v>3.0599999999999999E-2</v>
      </c>
      <c r="L188" s="826">
        <f t="shared" si="81"/>
        <v>3.2160000000000001E-2</v>
      </c>
      <c r="M188" s="372">
        <f t="shared" si="81"/>
        <v>3.372E-2</v>
      </c>
      <c r="N188" s="429">
        <f t="shared" si="81"/>
        <v>3.5150000000000001E-2</v>
      </c>
      <c r="O188" s="372">
        <f t="shared" si="81"/>
        <v>3.6060000000000002E-2</v>
      </c>
      <c r="P188" s="429">
        <f t="shared" si="81"/>
        <v>3.6580000000000001E-2</v>
      </c>
      <c r="Q188" s="429">
        <f t="shared" si="81"/>
        <v>3.7089999999999998E-2</v>
      </c>
      <c r="R188" s="429">
        <f t="shared" si="81"/>
        <v>3.7609999999999998E-2</v>
      </c>
    </row>
    <row r="189" spans="2:18" x14ac:dyDescent="0.3">
      <c r="B189" s="463"/>
      <c r="C189" s="367"/>
      <c r="D189" s="588">
        <f t="shared" ref="D189:R189" si="82">D184/(1+D188)^(D185)</f>
        <v>0</v>
      </c>
      <c r="E189" s="588">
        <f t="shared" si="82"/>
        <v>0</v>
      </c>
      <c r="F189" s="588">
        <f t="shared" si="82"/>
        <v>0</v>
      </c>
      <c r="G189" s="588">
        <f t="shared" si="82"/>
        <v>0</v>
      </c>
      <c r="H189" s="588">
        <f t="shared" si="82"/>
        <v>0</v>
      </c>
      <c r="I189" s="588">
        <f t="shared" si="82"/>
        <v>0</v>
      </c>
      <c r="J189" s="588">
        <f t="shared" si="82"/>
        <v>8687.7743288986367</v>
      </c>
      <c r="K189" s="588">
        <f t="shared" si="82"/>
        <v>8201.3209372470537</v>
      </c>
      <c r="L189" s="588">
        <f t="shared" si="82"/>
        <v>7713.8675967059589</v>
      </c>
      <c r="M189" s="588">
        <f t="shared" si="82"/>
        <v>7227.8355515226822</v>
      </c>
      <c r="N189" s="588">
        <f t="shared" si="82"/>
        <v>6750.0857137751773</v>
      </c>
      <c r="O189" s="588">
        <f t="shared" si="82"/>
        <v>6297.7352692455133</v>
      </c>
      <c r="P189" s="588">
        <f t="shared" si="82"/>
        <v>5873.803548806618</v>
      </c>
      <c r="Q189" s="588">
        <f t="shared" si="82"/>
        <v>5467.8459835413123</v>
      </c>
      <c r="R189" s="588">
        <f t="shared" si="82"/>
        <v>5079.1330333424567</v>
      </c>
    </row>
    <row r="190" spans="2:18" x14ac:dyDescent="0.3">
      <c r="B190" s="367"/>
      <c r="C190" s="367"/>
      <c r="D190"/>
      <c r="E190"/>
      <c r="F190"/>
      <c r="G190"/>
      <c r="H190"/>
      <c r="I190"/>
    </row>
    <row r="191" spans="2:18" x14ac:dyDescent="0.3">
      <c r="B191" s="495" t="s">
        <v>650</v>
      </c>
      <c r="C191" s="501">
        <f>+SUM(D189:R189)</f>
        <v>61299.401963085416</v>
      </c>
      <c r="D191" s="596"/>
      <c r="E191" s="596"/>
      <c r="F191" s="596"/>
      <c r="G191" s="596"/>
      <c r="H191" s="596"/>
      <c r="I191" s="596"/>
    </row>
    <row r="192" spans="2:18" x14ac:dyDescent="0.3">
      <c r="B192" s="495" t="s">
        <v>1331</v>
      </c>
      <c r="C192" s="501">
        <f>+SUMPRODUCT(D185:R185,D189:R189)/C191</f>
        <v>3.8514290043809769</v>
      </c>
      <c r="D192" s="365"/>
      <c r="E192" s="365"/>
      <c r="F192" s="361"/>
      <c r="G192" s="363"/>
      <c r="H192" s="361"/>
      <c r="I192" s="361"/>
    </row>
    <row r="193" spans="2:28" x14ac:dyDescent="0.3">
      <c r="E193" s="573"/>
    </row>
    <row r="194" spans="2:28" x14ac:dyDescent="0.3">
      <c r="E194" s="573"/>
    </row>
    <row r="196" spans="2:28" x14ac:dyDescent="0.3">
      <c r="E196" s="598" t="e">
        <f>E197+#REF!</f>
        <v>#REF!</v>
      </c>
    </row>
    <row r="197" spans="2:28" x14ac:dyDescent="0.3">
      <c r="D197" s="573">
        <v>43770</v>
      </c>
      <c r="E197" s="598">
        <v>2.3422870033382948E-2</v>
      </c>
    </row>
    <row r="198" spans="2:28" x14ac:dyDescent="0.3">
      <c r="B198"/>
      <c r="C198" s="280"/>
      <c r="D198"/>
      <c r="E198"/>
      <c r="F198"/>
      <c r="G198"/>
    </row>
    <row r="201" spans="2:28" x14ac:dyDescent="0.3">
      <c r="B201" s="584" t="s">
        <v>2357</v>
      </c>
      <c r="C201" s="584">
        <v>9424</v>
      </c>
      <c r="D201" s="575"/>
      <c r="E201"/>
      <c r="F201"/>
      <c r="G201"/>
    </row>
    <row r="202" spans="2:28" x14ac:dyDescent="0.3">
      <c r="B202" s="364"/>
      <c r="C202" s="364" t="s">
        <v>105</v>
      </c>
      <c r="D202" s="365">
        <v>4.1599999999999998E-2</v>
      </c>
      <c r="E202" s="365"/>
      <c r="F202" s="361"/>
      <c r="G202" s="363"/>
    </row>
    <row r="203" spans="2:28" x14ac:dyDescent="0.3">
      <c r="B203" s="361"/>
      <c r="C203" s="366">
        <v>43815</v>
      </c>
      <c r="D203" s="366">
        <v>44181</v>
      </c>
      <c r="E203" s="366">
        <v>44546</v>
      </c>
      <c r="F203" s="366">
        <v>44911</v>
      </c>
      <c r="G203" s="366">
        <v>45276</v>
      </c>
      <c r="H203" s="366">
        <v>45642</v>
      </c>
      <c r="I203" s="366">
        <v>46007</v>
      </c>
      <c r="J203" s="366">
        <v>46372</v>
      </c>
      <c r="K203" s="366">
        <v>46737</v>
      </c>
      <c r="L203" s="366">
        <v>47103</v>
      </c>
      <c r="M203" s="366">
        <v>47468</v>
      </c>
      <c r="N203" s="366">
        <v>47833</v>
      </c>
      <c r="O203" s="366">
        <v>48198</v>
      </c>
      <c r="P203" s="366">
        <v>48564</v>
      </c>
      <c r="Q203" s="366">
        <v>48929</v>
      </c>
      <c r="R203" s="366">
        <v>49294</v>
      </c>
      <c r="S203" s="366">
        <v>49659</v>
      </c>
      <c r="T203" s="366">
        <v>50025</v>
      </c>
      <c r="U203" s="366">
        <v>50390</v>
      </c>
      <c r="V203" s="366">
        <v>50755</v>
      </c>
      <c r="W203" s="366">
        <v>51120</v>
      </c>
      <c r="X203" s="366">
        <v>51486</v>
      </c>
      <c r="Y203" s="366">
        <v>51851</v>
      </c>
      <c r="Z203" s="366">
        <v>52216</v>
      </c>
      <c r="AA203" s="366">
        <v>52581</v>
      </c>
      <c r="AB203" s="366">
        <v>52947</v>
      </c>
    </row>
    <row r="204" spans="2:28" x14ac:dyDescent="0.3">
      <c r="B204" s="463" t="s">
        <v>1318</v>
      </c>
      <c r="C204" s="367"/>
      <c r="D204" s="534">
        <f>100000/25</f>
        <v>4000</v>
      </c>
      <c r="E204" s="534">
        <f t="shared" ref="E204:AB204" si="83">100000/25</f>
        <v>4000</v>
      </c>
      <c r="F204" s="534">
        <f t="shared" si="83"/>
        <v>4000</v>
      </c>
      <c r="G204" s="534">
        <f t="shared" si="83"/>
        <v>4000</v>
      </c>
      <c r="H204" s="534">
        <f t="shared" si="83"/>
        <v>4000</v>
      </c>
      <c r="I204" s="534">
        <f t="shared" si="83"/>
        <v>4000</v>
      </c>
      <c r="J204" s="534">
        <f t="shared" si="83"/>
        <v>4000</v>
      </c>
      <c r="K204" s="534">
        <f t="shared" si="83"/>
        <v>4000</v>
      </c>
      <c r="L204" s="534">
        <f t="shared" si="83"/>
        <v>4000</v>
      </c>
      <c r="M204" s="534">
        <f t="shared" si="83"/>
        <v>4000</v>
      </c>
      <c r="N204" s="534">
        <f t="shared" si="83"/>
        <v>4000</v>
      </c>
      <c r="O204" s="534">
        <f t="shared" si="83"/>
        <v>4000</v>
      </c>
      <c r="P204" s="534">
        <f t="shared" si="83"/>
        <v>4000</v>
      </c>
      <c r="Q204" s="534">
        <f t="shared" si="83"/>
        <v>4000</v>
      </c>
      <c r="R204" s="534">
        <f t="shared" si="83"/>
        <v>4000</v>
      </c>
      <c r="S204" s="534">
        <f t="shared" si="83"/>
        <v>4000</v>
      </c>
      <c r="T204" s="534">
        <f t="shared" si="83"/>
        <v>4000</v>
      </c>
      <c r="U204" s="534">
        <f t="shared" si="83"/>
        <v>4000</v>
      </c>
      <c r="V204" s="534">
        <f t="shared" si="83"/>
        <v>4000</v>
      </c>
      <c r="W204" s="534">
        <f t="shared" si="83"/>
        <v>4000</v>
      </c>
      <c r="X204" s="534">
        <f t="shared" si="83"/>
        <v>4000</v>
      </c>
      <c r="Y204" s="534">
        <f t="shared" si="83"/>
        <v>4000</v>
      </c>
      <c r="Z204" s="534">
        <f t="shared" si="83"/>
        <v>4000</v>
      </c>
      <c r="AA204" s="534">
        <f t="shared" si="83"/>
        <v>4000</v>
      </c>
      <c r="AB204" s="534">
        <f t="shared" si="83"/>
        <v>4000</v>
      </c>
    </row>
    <row r="205" spans="2:28" x14ac:dyDescent="0.3">
      <c r="B205" s="463" t="s">
        <v>1320</v>
      </c>
      <c r="C205" s="368">
        <v>100000</v>
      </c>
      <c r="D205" s="488">
        <f>+C205-D204</f>
        <v>96000</v>
      </c>
      <c r="E205" s="488">
        <f>+D205-E204</f>
        <v>92000</v>
      </c>
      <c r="F205" s="488">
        <f>+E205-F204</f>
        <v>88000</v>
      </c>
      <c r="G205" s="488">
        <f>+F205-G204</f>
        <v>84000</v>
      </c>
      <c r="H205" s="488">
        <f t="shared" ref="H205:AB205" si="84">+G205-H204</f>
        <v>80000</v>
      </c>
      <c r="I205" s="488">
        <f t="shared" si="84"/>
        <v>76000</v>
      </c>
      <c r="J205" s="488">
        <f t="shared" si="84"/>
        <v>72000</v>
      </c>
      <c r="K205" s="488">
        <f t="shared" si="84"/>
        <v>68000</v>
      </c>
      <c r="L205" s="488">
        <f t="shared" si="84"/>
        <v>64000</v>
      </c>
      <c r="M205" s="488">
        <f t="shared" si="84"/>
        <v>60000</v>
      </c>
      <c r="N205" s="488">
        <f t="shared" si="84"/>
        <v>56000</v>
      </c>
      <c r="O205" s="488">
        <f t="shared" si="84"/>
        <v>52000</v>
      </c>
      <c r="P205" s="488">
        <f t="shared" si="84"/>
        <v>48000</v>
      </c>
      <c r="Q205" s="488">
        <f t="shared" si="84"/>
        <v>44000</v>
      </c>
      <c r="R205" s="488">
        <f t="shared" si="84"/>
        <v>40000</v>
      </c>
      <c r="S205" s="488">
        <f t="shared" si="84"/>
        <v>36000</v>
      </c>
      <c r="T205" s="488">
        <f t="shared" si="84"/>
        <v>32000</v>
      </c>
      <c r="U205" s="488">
        <f t="shared" si="84"/>
        <v>28000</v>
      </c>
      <c r="V205" s="488">
        <f t="shared" si="84"/>
        <v>24000</v>
      </c>
      <c r="W205" s="488">
        <f t="shared" si="84"/>
        <v>20000</v>
      </c>
      <c r="X205" s="488">
        <f t="shared" si="84"/>
        <v>16000</v>
      </c>
      <c r="Y205" s="488">
        <f t="shared" si="84"/>
        <v>12000</v>
      </c>
      <c r="Z205" s="488">
        <f t="shared" si="84"/>
        <v>8000</v>
      </c>
      <c r="AA205" s="488">
        <f t="shared" si="84"/>
        <v>4000</v>
      </c>
      <c r="AB205" s="488">
        <f t="shared" si="84"/>
        <v>0</v>
      </c>
    </row>
    <row r="206" spans="2:28" x14ac:dyDescent="0.3">
      <c r="B206" s="463" t="s">
        <v>1321</v>
      </c>
      <c r="C206" s="367"/>
      <c r="D206" s="654">
        <f t="shared" ref="D206:AB206" si="85">ROUND(C205*$D$202,2)</f>
        <v>4160</v>
      </c>
      <c r="E206" s="654">
        <f t="shared" si="85"/>
        <v>3993.6</v>
      </c>
      <c r="F206" s="654">
        <f t="shared" si="85"/>
        <v>3827.2</v>
      </c>
      <c r="G206" s="654">
        <f t="shared" si="85"/>
        <v>3660.8</v>
      </c>
      <c r="H206" s="654">
        <f t="shared" si="85"/>
        <v>3494.4</v>
      </c>
      <c r="I206" s="654">
        <f t="shared" si="85"/>
        <v>3328</v>
      </c>
      <c r="J206" s="654">
        <f t="shared" si="85"/>
        <v>3161.6</v>
      </c>
      <c r="K206" s="654">
        <f t="shared" si="85"/>
        <v>2995.2</v>
      </c>
      <c r="L206" s="654">
        <f t="shared" si="85"/>
        <v>2828.8</v>
      </c>
      <c r="M206" s="654">
        <f t="shared" si="85"/>
        <v>2662.4</v>
      </c>
      <c r="N206" s="654">
        <f t="shared" si="85"/>
        <v>2496</v>
      </c>
      <c r="O206" s="654">
        <f t="shared" si="85"/>
        <v>2329.6</v>
      </c>
      <c r="P206" s="654">
        <f t="shared" si="85"/>
        <v>2163.1999999999998</v>
      </c>
      <c r="Q206" s="654">
        <f t="shared" si="85"/>
        <v>1996.8</v>
      </c>
      <c r="R206" s="654">
        <f t="shared" si="85"/>
        <v>1830.4</v>
      </c>
      <c r="S206" s="654">
        <f t="shared" si="85"/>
        <v>1664</v>
      </c>
      <c r="T206" s="654">
        <f t="shared" si="85"/>
        <v>1497.6</v>
      </c>
      <c r="U206" s="654">
        <f t="shared" si="85"/>
        <v>1331.2</v>
      </c>
      <c r="V206" s="654">
        <f t="shared" si="85"/>
        <v>1164.8</v>
      </c>
      <c r="W206" s="654">
        <f t="shared" si="85"/>
        <v>998.4</v>
      </c>
      <c r="X206" s="654">
        <f t="shared" si="85"/>
        <v>832</v>
      </c>
      <c r="Y206" s="654">
        <f t="shared" si="85"/>
        <v>665.6</v>
      </c>
      <c r="Z206" s="654">
        <f t="shared" si="85"/>
        <v>499.2</v>
      </c>
      <c r="AA206" s="654">
        <f t="shared" si="85"/>
        <v>332.8</v>
      </c>
      <c r="AB206" s="654">
        <f t="shared" si="85"/>
        <v>166.4</v>
      </c>
    </row>
    <row r="207" spans="2:28" x14ac:dyDescent="0.3">
      <c r="B207" s="463" t="s">
        <v>1322</v>
      </c>
      <c r="C207" s="367"/>
      <c r="D207" s="488">
        <f>+D206+D204</f>
        <v>8160</v>
      </c>
      <c r="E207" s="488">
        <f t="shared" ref="E207:AB207" si="86">+E206+E204</f>
        <v>7993.6</v>
      </c>
      <c r="F207" s="488">
        <f t="shared" si="86"/>
        <v>7827.2</v>
      </c>
      <c r="G207" s="488">
        <f t="shared" si="86"/>
        <v>7660.8</v>
      </c>
      <c r="H207" s="488">
        <f t="shared" si="86"/>
        <v>7494.4</v>
      </c>
      <c r="I207" s="488">
        <f t="shared" si="86"/>
        <v>7328</v>
      </c>
      <c r="J207" s="488">
        <f t="shared" si="86"/>
        <v>7161.6</v>
      </c>
      <c r="K207" s="488">
        <f t="shared" si="86"/>
        <v>6995.2</v>
      </c>
      <c r="L207" s="488">
        <f t="shared" si="86"/>
        <v>6828.8</v>
      </c>
      <c r="M207" s="488">
        <f t="shared" si="86"/>
        <v>6662.4</v>
      </c>
      <c r="N207" s="488">
        <f t="shared" si="86"/>
        <v>6496</v>
      </c>
      <c r="O207" s="488">
        <f t="shared" si="86"/>
        <v>6329.6</v>
      </c>
      <c r="P207" s="488">
        <f t="shared" si="86"/>
        <v>6163.2</v>
      </c>
      <c r="Q207" s="488">
        <f t="shared" si="86"/>
        <v>5996.8</v>
      </c>
      <c r="R207" s="488">
        <f t="shared" si="86"/>
        <v>5830.4</v>
      </c>
      <c r="S207" s="488">
        <f t="shared" si="86"/>
        <v>5664</v>
      </c>
      <c r="T207" s="488">
        <f t="shared" si="86"/>
        <v>5497.6</v>
      </c>
      <c r="U207" s="488">
        <f t="shared" si="86"/>
        <v>5331.2</v>
      </c>
      <c r="V207" s="488">
        <f t="shared" si="86"/>
        <v>5164.8</v>
      </c>
      <c r="W207" s="488">
        <f t="shared" si="86"/>
        <v>4998.3999999999996</v>
      </c>
      <c r="X207" s="488">
        <f t="shared" si="86"/>
        <v>4832</v>
      </c>
      <c r="Y207" s="488">
        <f t="shared" si="86"/>
        <v>4665.6000000000004</v>
      </c>
      <c r="Z207" s="488">
        <f t="shared" si="86"/>
        <v>4499.2</v>
      </c>
      <c r="AA207" s="488">
        <f t="shared" si="86"/>
        <v>4332.8</v>
      </c>
      <c r="AB207" s="488">
        <f t="shared" si="86"/>
        <v>4166.3999999999996</v>
      </c>
    </row>
    <row r="208" spans="2:28" x14ac:dyDescent="0.3">
      <c r="B208" s="463" t="s">
        <v>1323</v>
      </c>
      <c r="C208" s="368"/>
      <c r="D208" s="488">
        <f t="shared" ref="D208:AB208" si="87">+IF(D203&gt;$C$1,D207,0)</f>
        <v>0</v>
      </c>
      <c r="E208" s="488">
        <f t="shared" si="87"/>
        <v>0</v>
      </c>
      <c r="F208" s="488">
        <f t="shared" si="87"/>
        <v>0</v>
      </c>
      <c r="G208" s="488">
        <f t="shared" si="87"/>
        <v>0</v>
      </c>
      <c r="H208" s="488">
        <f t="shared" si="87"/>
        <v>0</v>
      </c>
      <c r="I208" s="488">
        <f t="shared" si="87"/>
        <v>0</v>
      </c>
      <c r="J208" s="488">
        <f t="shared" si="87"/>
        <v>7161.6</v>
      </c>
      <c r="K208" s="488">
        <f t="shared" si="87"/>
        <v>6995.2</v>
      </c>
      <c r="L208" s="488">
        <f t="shared" si="87"/>
        <v>6828.8</v>
      </c>
      <c r="M208" s="488">
        <f t="shared" si="87"/>
        <v>6662.4</v>
      </c>
      <c r="N208" s="488">
        <f t="shared" si="87"/>
        <v>6496</v>
      </c>
      <c r="O208" s="488">
        <f t="shared" si="87"/>
        <v>6329.6</v>
      </c>
      <c r="P208" s="488">
        <f t="shared" si="87"/>
        <v>6163.2</v>
      </c>
      <c r="Q208" s="488">
        <f t="shared" si="87"/>
        <v>5996.8</v>
      </c>
      <c r="R208" s="488">
        <f t="shared" si="87"/>
        <v>5830.4</v>
      </c>
      <c r="S208" s="488">
        <f t="shared" si="87"/>
        <v>5664</v>
      </c>
      <c r="T208" s="488">
        <f t="shared" si="87"/>
        <v>5497.6</v>
      </c>
      <c r="U208" s="488">
        <f t="shared" si="87"/>
        <v>5331.2</v>
      </c>
      <c r="V208" s="488">
        <f t="shared" si="87"/>
        <v>5164.8</v>
      </c>
      <c r="W208" s="488">
        <f t="shared" si="87"/>
        <v>4998.3999999999996</v>
      </c>
      <c r="X208" s="488">
        <f t="shared" si="87"/>
        <v>4832</v>
      </c>
      <c r="Y208" s="488">
        <f t="shared" si="87"/>
        <v>4665.6000000000004</v>
      </c>
      <c r="Z208" s="488">
        <f t="shared" si="87"/>
        <v>4499.2</v>
      </c>
      <c r="AA208" s="488">
        <f t="shared" si="87"/>
        <v>4332.8</v>
      </c>
      <c r="AB208" s="488">
        <f t="shared" si="87"/>
        <v>4166.3999999999996</v>
      </c>
    </row>
    <row r="209" spans="2:28" x14ac:dyDescent="0.3">
      <c r="B209" s="463" t="s">
        <v>1324</v>
      </c>
      <c r="C209" s="371"/>
      <c r="D209" s="457">
        <f t="shared" ref="D209:AB209" si="88">+IF(C208=0,(D203-$C$1)/(D203-C203),C209+1)</f>
        <v>-5.2622950819672134</v>
      </c>
      <c r="E209" s="457">
        <f t="shared" si="88"/>
        <v>-4.2767123287671236</v>
      </c>
      <c r="F209" s="457">
        <f t="shared" si="88"/>
        <v>-3.2767123287671232</v>
      </c>
      <c r="G209" s="457">
        <f t="shared" si="88"/>
        <v>-2.2767123287671232</v>
      </c>
      <c r="H209" s="457">
        <f t="shared" si="88"/>
        <v>-1.2704918032786885</v>
      </c>
      <c r="I209" s="457">
        <f t="shared" si="88"/>
        <v>-0.27397260273972601</v>
      </c>
      <c r="J209" s="457">
        <f t="shared" si="88"/>
        <v>0.72602739726027399</v>
      </c>
      <c r="K209" s="457">
        <f t="shared" si="88"/>
        <v>1.726027397260274</v>
      </c>
      <c r="L209" s="457">
        <f t="shared" si="88"/>
        <v>2.7260273972602738</v>
      </c>
      <c r="M209" s="457">
        <f t="shared" si="88"/>
        <v>3.7260273972602738</v>
      </c>
      <c r="N209" s="457">
        <f t="shared" si="88"/>
        <v>4.7260273972602738</v>
      </c>
      <c r="O209" s="457">
        <f t="shared" si="88"/>
        <v>5.7260273972602738</v>
      </c>
      <c r="P209" s="457">
        <f t="shared" si="88"/>
        <v>6.7260273972602738</v>
      </c>
      <c r="Q209" s="457">
        <f t="shared" si="88"/>
        <v>7.7260273972602738</v>
      </c>
      <c r="R209" s="457">
        <f t="shared" si="88"/>
        <v>8.7260273972602747</v>
      </c>
      <c r="S209" s="457">
        <f t="shared" si="88"/>
        <v>9.7260273972602747</v>
      </c>
      <c r="T209" s="457">
        <f t="shared" si="88"/>
        <v>10.726027397260275</v>
      </c>
      <c r="U209" s="457">
        <f t="shared" si="88"/>
        <v>11.726027397260275</v>
      </c>
      <c r="V209" s="457">
        <f t="shared" si="88"/>
        <v>12.726027397260275</v>
      </c>
      <c r="W209" s="457">
        <f t="shared" si="88"/>
        <v>13.726027397260275</v>
      </c>
      <c r="X209" s="457">
        <f t="shared" si="88"/>
        <v>14.726027397260275</v>
      </c>
      <c r="Y209" s="457">
        <f t="shared" si="88"/>
        <v>15.726027397260275</v>
      </c>
      <c r="Z209" s="457">
        <f t="shared" si="88"/>
        <v>16.726027397260275</v>
      </c>
      <c r="AA209" s="457">
        <f t="shared" si="88"/>
        <v>17.726027397260275</v>
      </c>
      <c r="AB209" s="457">
        <f t="shared" si="88"/>
        <v>18.726027397260275</v>
      </c>
    </row>
    <row r="210" spans="2:28" x14ac:dyDescent="0.3">
      <c r="B210" s="463" t="s">
        <v>1325</v>
      </c>
      <c r="C210" s="367"/>
      <c r="D210" s="375" cm="1">
        <f t="array" ref="D210">interpoler(mat_zc,Taux_ZC,D209)</f>
        <v>2.3281430400000001E-2</v>
      </c>
      <c r="E210" s="375" cm="1">
        <f t="array" ref="E210">interpoler(mat_zc,Taux_ZC,E209)</f>
        <v>2.3281430400000001E-2</v>
      </c>
      <c r="F210" s="375" cm="1">
        <f t="array" ref="F210">interpoler(mat_zc,Taux_ZC,F209)</f>
        <v>2.3281430400000001E-2</v>
      </c>
      <c r="G210" s="375" cm="1">
        <f t="array" ref="G210">interpoler(mat_zc,Taux_ZC,G209)</f>
        <v>2.3281430400000001E-2</v>
      </c>
      <c r="H210" s="375" cm="1">
        <f t="array" ref="H210">interpoler(mat_zc,Taux_ZC,H209)</f>
        <v>2.3281430400000001E-2</v>
      </c>
      <c r="I210" s="375" cm="1">
        <f t="array" ref="I210">interpoler(mat_zc,Taux_ZC,I209)</f>
        <v>2.3281430400000001E-2</v>
      </c>
      <c r="J210" s="375" cm="1">
        <f t="array" ref="J210">interpoler(mat_zc,Taux_ZC,J209)</f>
        <v>2.4613044347252748E-2</v>
      </c>
      <c r="K210" s="375" cm="1">
        <f t="array" ref="K210">interpoler(mat_zc,Taux_ZC,K209)</f>
        <v>2.6275082450684932E-2</v>
      </c>
      <c r="L210" s="375" cm="1">
        <f t="array" ref="L210">interpoler(mat_zc,Taux_ZC,L209)</f>
        <v>2.783109795479452E-2</v>
      </c>
      <c r="M210" s="375" cm="1">
        <f t="array" ref="M210">interpoler(mat_zc,Taux_ZC,M209)</f>
        <v>2.9400531938356164E-2</v>
      </c>
      <c r="N210" s="375" cm="1">
        <f t="array" ref="N210">interpoler(mat_zc,Taux_ZC,N209)</f>
        <v>3.061406390410959E-2</v>
      </c>
      <c r="O210" s="375" cm="1">
        <f t="array" ref="O210">interpoler(mat_zc,Taux_ZC,O209)</f>
        <v>3.1289687410958909E-2</v>
      </c>
      <c r="P210" s="375" cm="1">
        <f t="array" ref="P210">interpoler(mat_zc,Taux_ZC,P209)</f>
        <v>3.17991045630137E-2</v>
      </c>
      <c r="Q210" s="375" cm="1">
        <f t="array" ref="Q210">interpoler(mat_zc,Taux_ZC,Q209)</f>
        <v>3.2310312486301375E-2</v>
      </c>
      <c r="R210" s="375" cm="1">
        <f t="array" ref="R210">interpoler(mat_zc,Taux_ZC,R209)</f>
        <v>3.2831313852054796E-2</v>
      </c>
      <c r="S210" s="375" cm="1">
        <f t="array" ref="S210">interpoler(mat_zc,Taux_ZC,S209)</f>
        <v>3.3419051883561646E-2</v>
      </c>
      <c r="T210" s="375" cm="1">
        <f t="array" ref="T210">interpoler(mat_zc,Taux_ZC,T209)</f>
        <v>3.4054716838356161E-2</v>
      </c>
      <c r="U210" s="375" cm="1">
        <f t="array" ref="U210">interpoler(mat_zc,Taux_ZC,U209)</f>
        <v>3.4708173353424659E-2</v>
      </c>
      <c r="V210" s="375" cm="1">
        <f t="array" ref="V210">interpoler(mat_zc,Taux_ZC,V209)</f>
        <v>3.5374466615068489E-2</v>
      </c>
      <c r="W210" s="375" cm="1">
        <f t="array" ref="W210">interpoler(mat_zc,Taux_ZC,W209)</f>
        <v>3.5839398654794519E-2</v>
      </c>
      <c r="X210" s="375" cm="1">
        <f t="array" ref="X210">interpoler(mat_zc,Taux_ZC,X209)</f>
        <v>3.6133393664383562E-2</v>
      </c>
      <c r="Y210" s="375" cm="1">
        <f t="array" ref="Y210">interpoler(mat_zc,Taux_ZC,Y209)</f>
        <v>3.639782661506849E-2</v>
      </c>
      <c r="Z210" s="375" cm="1">
        <f t="array" ref="Z210">interpoler(mat_zc,Taux_ZC,Z209)</f>
        <v>3.6670026020547947E-2</v>
      </c>
      <c r="AA210" s="375" cm="1">
        <f t="array" ref="AA210">interpoler(mat_zc,Taux_ZC,AA209)</f>
        <v>3.6950512680821918E-2</v>
      </c>
      <c r="AB210" s="375" cm="1">
        <f t="array" ref="AB210">interpoler(mat_zc,Taux_ZC,AB209)</f>
        <v>3.7238207895890406E-2</v>
      </c>
    </row>
    <row r="211" spans="2:28" x14ac:dyDescent="0.3">
      <c r="B211" s="463" t="s">
        <v>1328</v>
      </c>
      <c r="C211" s="367"/>
      <c r="D211" s="429">
        <v>0.01</v>
      </c>
      <c r="E211" s="429">
        <f>D211</f>
        <v>0.01</v>
      </c>
      <c r="F211" s="429">
        <f t="shared" ref="F211:AB211" si="89">E211</f>
        <v>0.01</v>
      </c>
      <c r="G211" s="429">
        <f t="shared" si="89"/>
        <v>0.01</v>
      </c>
      <c r="H211" s="429">
        <f t="shared" si="89"/>
        <v>0.01</v>
      </c>
      <c r="I211" s="429">
        <f t="shared" si="89"/>
        <v>0.01</v>
      </c>
      <c r="J211" s="429">
        <f t="shared" si="89"/>
        <v>0.01</v>
      </c>
      <c r="K211" s="429">
        <f t="shared" si="89"/>
        <v>0.01</v>
      </c>
      <c r="L211" s="429">
        <f t="shared" si="89"/>
        <v>0.01</v>
      </c>
      <c r="M211" s="429">
        <f t="shared" si="89"/>
        <v>0.01</v>
      </c>
      <c r="N211" s="429">
        <f t="shared" si="89"/>
        <v>0.01</v>
      </c>
      <c r="O211" s="429">
        <f t="shared" si="89"/>
        <v>0.01</v>
      </c>
      <c r="P211" s="429">
        <f t="shared" si="89"/>
        <v>0.01</v>
      </c>
      <c r="Q211" s="429">
        <f t="shared" si="89"/>
        <v>0.01</v>
      </c>
      <c r="R211" s="429">
        <f t="shared" si="89"/>
        <v>0.01</v>
      </c>
      <c r="S211" s="429">
        <f t="shared" si="89"/>
        <v>0.01</v>
      </c>
      <c r="T211" s="429">
        <f t="shared" si="89"/>
        <v>0.01</v>
      </c>
      <c r="U211" s="429">
        <f t="shared" si="89"/>
        <v>0.01</v>
      </c>
      <c r="V211" s="429">
        <f t="shared" si="89"/>
        <v>0.01</v>
      </c>
      <c r="W211" s="429">
        <f t="shared" si="89"/>
        <v>0.01</v>
      </c>
      <c r="X211" s="429">
        <f t="shared" si="89"/>
        <v>0.01</v>
      </c>
      <c r="Y211" s="429">
        <f t="shared" si="89"/>
        <v>0.01</v>
      </c>
      <c r="Z211" s="429">
        <f t="shared" si="89"/>
        <v>0.01</v>
      </c>
      <c r="AA211" s="429">
        <f t="shared" si="89"/>
        <v>0.01</v>
      </c>
      <c r="AB211" s="429">
        <f t="shared" si="89"/>
        <v>0.01</v>
      </c>
    </row>
    <row r="212" spans="2:28" x14ac:dyDescent="0.3">
      <c r="B212" s="463" t="s">
        <v>1329</v>
      </c>
      <c r="C212" s="367"/>
      <c r="D212" s="440">
        <f t="shared" ref="D212:AB212" si="90">ROUND(D210+D211,5)</f>
        <v>3.3279999999999997E-2</v>
      </c>
      <c r="E212" s="440">
        <f t="shared" si="90"/>
        <v>3.3279999999999997E-2</v>
      </c>
      <c r="F212" s="440">
        <f t="shared" si="90"/>
        <v>3.3279999999999997E-2</v>
      </c>
      <c r="G212" s="440">
        <f t="shared" si="90"/>
        <v>3.3279999999999997E-2</v>
      </c>
      <c r="H212" s="440">
        <f t="shared" si="90"/>
        <v>3.3279999999999997E-2</v>
      </c>
      <c r="I212" s="440">
        <f t="shared" si="90"/>
        <v>3.3279999999999997E-2</v>
      </c>
      <c r="J212" s="440">
        <f t="shared" si="90"/>
        <v>3.4610000000000002E-2</v>
      </c>
      <c r="K212" s="440">
        <f t="shared" si="90"/>
        <v>3.628E-2</v>
      </c>
      <c r="L212" s="440">
        <f t="shared" si="90"/>
        <v>3.7830000000000003E-2</v>
      </c>
      <c r="M212" s="440">
        <f t="shared" si="90"/>
        <v>3.9399999999999998E-2</v>
      </c>
      <c r="N212" s="440">
        <f t="shared" si="90"/>
        <v>4.061E-2</v>
      </c>
      <c r="O212" s="440">
        <f t="shared" si="90"/>
        <v>4.129E-2</v>
      </c>
      <c r="P212" s="440">
        <f t="shared" si="90"/>
        <v>4.1799999999999997E-2</v>
      </c>
      <c r="Q212" s="440">
        <f t="shared" si="90"/>
        <v>4.231E-2</v>
      </c>
      <c r="R212" s="440">
        <f t="shared" si="90"/>
        <v>4.283E-2</v>
      </c>
      <c r="S212" s="440">
        <f t="shared" si="90"/>
        <v>4.342E-2</v>
      </c>
      <c r="T212" s="440">
        <f t="shared" si="90"/>
        <v>4.4049999999999999E-2</v>
      </c>
      <c r="U212" s="440">
        <f t="shared" si="90"/>
        <v>4.471E-2</v>
      </c>
      <c r="V212" s="440">
        <f t="shared" si="90"/>
        <v>4.5370000000000001E-2</v>
      </c>
      <c r="W212" s="440">
        <f t="shared" si="90"/>
        <v>4.5839999999999999E-2</v>
      </c>
      <c r="X212" s="440">
        <f t="shared" si="90"/>
        <v>4.6129999999999997E-2</v>
      </c>
      <c r="Y212" s="440">
        <f t="shared" si="90"/>
        <v>4.6399999999999997E-2</v>
      </c>
      <c r="Z212" s="440">
        <f t="shared" si="90"/>
        <v>4.6670000000000003E-2</v>
      </c>
      <c r="AA212" s="440">
        <f t="shared" si="90"/>
        <v>4.6949999999999999E-2</v>
      </c>
      <c r="AB212" s="440">
        <f t="shared" si="90"/>
        <v>4.7239999999999997E-2</v>
      </c>
    </row>
    <row r="213" spans="2:28" x14ac:dyDescent="0.3">
      <c r="B213" s="463"/>
      <c r="C213" s="367"/>
      <c r="D213" s="569">
        <f t="shared" ref="D213:AB213" si="91">ROUND(D208/(1+D212)^D209,4)</f>
        <v>0</v>
      </c>
      <c r="E213" s="569">
        <f t="shared" si="91"/>
        <v>0</v>
      </c>
      <c r="F213" s="569">
        <f t="shared" si="91"/>
        <v>0</v>
      </c>
      <c r="G213" s="569">
        <f t="shared" si="91"/>
        <v>0</v>
      </c>
      <c r="H213" s="569">
        <f t="shared" si="91"/>
        <v>0</v>
      </c>
      <c r="I213" s="569">
        <f t="shared" si="91"/>
        <v>0</v>
      </c>
      <c r="J213" s="569">
        <f t="shared" si="91"/>
        <v>6986.8559999999998</v>
      </c>
      <c r="K213" s="569">
        <f t="shared" si="91"/>
        <v>6577.884</v>
      </c>
      <c r="L213" s="569">
        <f t="shared" si="91"/>
        <v>6171.4025000000001</v>
      </c>
      <c r="M213" s="569">
        <f t="shared" si="91"/>
        <v>5768.9643999999998</v>
      </c>
      <c r="N213" s="569">
        <f t="shared" si="91"/>
        <v>5381.9849000000004</v>
      </c>
      <c r="O213" s="569">
        <f t="shared" si="91"/>
        <v>5020.6534000000001</v>
      </c>
      <c r="P213" s="569">
        <f t="shared" si="91"/>
        <v>4679.3788999999997</v>
      </c>
      <c r="Q213" s="569">
        <f t="shared" si="91"/>
        <v>4353.8653000000004</v>
      </c>
      <c r="R213" s="569">
        <f t="shared" si="91"/>
        <v>4043.5862000000002</v>
      </c>
      <c r="S213" s="569">
        <f t="shared" si="91"/>
        <v>3746.1828999999998</v>
      </c>
      <c r="T213" s="569">
        <f t="shared" si="91"/>
        <v>3462.3262</v>
      </c>
      <c r="U213" s="569">
        <f t="shared" si="91"/>
        <v>3192.1278000000002</v>
      </c>
      <c r="V213" s="569">
        <f t="shared" si="91"/>
        <v>2936.4495999999999</v>
      </c>
      <c r="W213" s="569">
        <f t="shared" si="91"/>
        <v>2701.7831000000001</v>
      </c>
      <c r="X213" s="569">
        <f t="shared" si="91"/>
        <v>2487.1844999999998</v>
      </c>
      <c r="Y213" s="569">
        <f t="shared" si="91"/>
        <v>2286.3380999999999</v>
      </c>
      <c r="Z213" s="569">
        <f t="shared" si="91"/>
        <v>2097.9562999999998</v>
      </c>
      <c r="AA213" s="569">
        <f t="shared" si="91"/>
        <v>1921.1482000000001</v>
      </c>
      <c r="AB213" s="569">
        <f t="shared" si="91"/>
        <v>1755.395</v>
      </c>
    </row>
    <row r="214" spans="2:28" x14ac:dyDescent="0.3">
      <c r="B214" s="367"/>
      <c r="C214" s="367"/>
      <c r="D214" s="488"/>
      <c r="E214" s="488"/>
      <c r="F214" s="488"/>
      <c r="G214" s="488"/>
    </row>
    <row r="215" spans="2:28" x14ac:dyDescent="0.3">
      <c r="B215" s="585" t="s">
        <v>650</v>
      </c>
      <c r="C215" s="586">
        <f>+SUM(D213:AB213)</f>
        <v>75571.467300000004</v>
      </c>
      <c r="D215" s="500"/>
      <c r="E215" s="430"/>
      <c r="F215" s="361"/>
      <c r="G215" s="365"/>
    </row>
    <row r="216" spans="2:28" x14ac:dyDescent="0.3">
      <c r="B216" s="585" t="s">
        <v>1331</v>
      </c>
      <c r="C216" s="586">
        <f>+SUMPRODUCT(D209:AG209,D213:AG213)/C215</f>
        <v>7.5343282200762411</v>
      </c>
      <c r="D216" s="365"/>
      <c r="E216" s="365"/>
      <c r="F216" s="361"/>
      <c r="G216" s="363"/>
    </row>
    <row r="219" spans="2:28" x14ac:dyDescent="0.3">
      <c r="B219" s="584" t="s">
        <v>2521</v>
      </c>
      <c r="C219" s="584">
        <v>9431</v>
      </c>
      <c r="D219" s="575"/>
      <c r="E219"/>
      <c r="F219"/>
      <c r="G219"/>
    </row>
    <row r="220" spans="2:28" x14ac:dyDescent="0.3">
      <c r="B220" s="364"/>
      <c r="C220" s="364" t="s">
        <v>105</v>
      </c>
      <c r="D220" s="365">
        <v>2.9700000000000001E-2</v>
      </c>
      <c r="E220" s="365"/>
      <c r="F220" s="361"/>
      <c r="G220" s="363"/>
    </row>
    <row r="221" spans="2:28" x14ac:dyDescent="0.3">
      <c r="B221" s="361"/>
      <c r="C221" s="366">
        <v>43830</v>
      </c>
      <c r="D221" s="366">
        <v>44196</v>
      </c>
      <c r="E221" s="366">
        <v>44561</v>
      </c>
      <c r="F221" s="366">
        <v>44926</v>
      </c>
      <c r="G221" s="366">
        <v>45291</v>
      </c>
      <c r="H221" s="366">
        <v>45657</v>
      </c>
      <c r="I221" s="366">
        <v>46022</v>
      </c>
      <c r="J221" s="366">
        <v>46387</v>
      </c>
      <c r="K221" s="366"/>
    </row>
    <row r="222" spans="2:28" x14ac:dyDescent="0.3">
      <c r="B222" s="463" t="s">
        <v>1318</v>
      </c>
      <c r="C222" s="367"/>
      <c r="D222" s="534">
        <v>0</v>
      </c>
      <c r="E222" s="534">
        <v>0</v>
      </c>
      <c r="F222" s="534">
        <f>100000/5</f>
        <v>20000</v>
      </c>
      <c r="G222" s="534">
        <f>100000/5</f>
        <v>20000</v>
      </c>
      <c r="H222" s="534">
        <f>100000/5</f>
        <v>20000</v>
      </c>
      <c r="I222" s="534">
        <f>100000/5</f>
        <v>20000</v>
      </c>
      <c r="J222" s="534">
        <f>100000/5</f>
        <v>20000</v>
      </c>
      <c r="K222" s="534"/>
    </row>
    <row r="223" spans="2:28" x14ac:dyDescent="0.3">
      <c r="B223" s="463" t="s">
        <v>1320</v>
      </c>
      <c r="C223" s="368">
        <v>100000</v>
      </c>
      <c r="D223" s="488">
        <f t="shared" ref="D223:J223" si="92">+C223-D222</f>
        <v>100000</v>
      </c>
      <c r="E223" s="488">
        <f t="shared" si="92"/>
        <v>100000</v>
      </c>
      <c r="F223" s="488">
        <f t="shared" si="92"/>
        <v>80000</v>
      </c>
      <c r="G223" s="488">
        <f t="shared" si="92"/>
        <v>60000</v>
      </c>
      <c r="H223" s="488">
        <f t="shared" si="92"/>
        <v>40000</v>
      </c>
      <c r="I223" s="488">
        <f t="shared" si="92"/>
        <v>20000</v>
      </c>
      <c r="J223" s="488">
        <f t="shared" si="92"/>
        <v>0</v>
      </c>
      <c r="K223" s="488"/>
    </row>
    <row r="224" spans="2:28" x14ac:dyDescent="0.3">
      <c r="B224" s="463" t="s">
        <v>1321</v>
      </c>
      <c r="C224" s="367"/>
      <c r="D224" s="654">
        <f t="shared" ref="D224:J224" si="93">ROUND(C223*$D$220,2)</f>
        <v>2970</v>
      </c>
      <c r="E224" s="654">
        <f t="shared" si="93"/>
        <v>2970</v>
      </c>
      <c r="F224" s="654">
        <f t="shared" si="93"/>
        <v>2970</v>
      </c>
      <c r="G224" s="654">
        <f t="shared" si="93"/>
        <v>2376</v>
      </c>
      <c r="H224" s="654">
        <f t="shared" si="93"/>
        <v>1782</v>
      </c>
      <c r="I224" s="654">
        <f t="shared" si="93"/>
        <v>1188</v>
      </c>
      <c r="J224" s="654">
        <f t="shared" si="93"/>
        <v>594</v>
      </c>
      <c r="K224" s="654"/>
    </row>
    <row r="225" spans="2:13" x14ac:dyDescent="0.3">
      <c r="B225" s="463" t="s">
        <v>1322</v>
      </c>
      <c r="C225" s="367"/>
      <c r="D225" s="1222">
        <f t="shared" ref="D225:J225" si="94">+D224+D222</f>
        <v>2970</v>
      </c>
      <c r="E225" s="488">
        <f t="shared" si="94"/>
        <v>2970</v>
      </c>
      <c r="F225" s="488">
        <f t="shared" si="94"/>
        <v>22970</v>
      </c>
      <c r="G225" s="488">
        <f t="shared" si="94"/>
        <v>22376</v>
      </c>
      <c r="H225" s="488">
        <f t="shared" si="94"/>
        <v>21782</v>
      </c>
      <c r="I225" s="488">
        <f t="shared" si="94"/>
        <v>21188</v>
      </c>
      <c r="J225" s="488">
        <f t="shared" si="94"/>
        <v>20594</v>
      </c>
      <c r="K225" s="488"/>
    </row>
    <row r="226" spans="2:13" x14ac:dyDescent="0.3">
      <c r="B226" s="463" t="s">
        <v>1323</v>
      </c>
      <c r="C226" s="368"/>
      <c r="D226" s="488">
        <f t="shared" ref="D226:J226" si="95">+IF(D221&gt;$C$1,D225,0)</f>
        <v>0</v>
      </c>
      <c r="E226" s="488">
        <f t="shared" si="95"/>
        <v>0</v>
      </c>
      <c r="F226" s="488">
        <f t="shared" si="95"/>
        <v>0</v>
      </c>
      <c r="G226" s="488">
        <f t="shared" si="95"/>
        <v>0</v>
      </c>
      <c r="H226" s="488">
        <f t="shared" si="95"/>
        <v>0</v>
      </c>
      <c r="I226" s="488">
        <f t="shared" si="95"/>
        <v>0</v>
      </c>
      <c r="J226" s="488">
        <f t="shared" si="95"/>
        <v>20594</v>
      </c>
      <c r="K226" s="488"/>
    </row>
    <row r="227" spans="2:13" x14ac:dyDescent="0.3">
      <c r="B227" s="463" t="s">
        <v>1324</v>
      </c>
      <c r="C227" s="371"/>
      <c r="D227" s="457">
        <f t="shared" ref="D227:I227" si="96">+IF(C226=0,(D221-$C$1)/(D221-C221),C227+1)</f>
        <v>-5.221311475409836</v>
      </c>
      <c r="E227" s="457">
        <f t="shared" si="96"/>
        <v>-4.2356164383561641</v>
      </c>
      <c r="F227" s="457">
        <f t="shared" si="96"/>
        <v>-3.2356164383561645</v>
      </c>
      <c r="G227" s="457">
        <f t="shared" si="96"/>
        <v>-2.2356164383561645</v>
      </c>
      <c r="H227" s="457">
        <f t="shared" si="96"/>
        <v>-1.2295081967213115</v>
      </c>
      <c r="I227" s="457">
        <f t="shared" si="96"/>
        <v>-0.23287671232876711</v>
      </c>
      <c r="J227" s="457">
        <f>ROUND(IF(I226=0,(J221-$C$1)/(J221-I221),I227+1),10)</f>
        <v>0.76712328770000004</v>
      </c>
      <c r="K227" s="457"/>
    </row>
    <row r="228" spans="2:13" x14ac:dyDescent="0.3">
      <c r="B228" s="463" t="s">
        <v>1325</v>
      </c>
      <c r="C228" s="367"/>
      <c r="D228" s="375" cm="1">
        <f t="array" ref="D228">interpoler(mat_zc,Taux_ZC,D227)</f>
        <v>2.3281430400000001E-2</v>
      </c>
      <c r="E228" s="375" cm="1">
        <f t="array" ref="E228">interpoler(mat_zc,Taux_ZC,E227)</f>
        <v>2.3281430400000001E-2</v>
      </c>
      <c r="F228" s="375" cm="1">
        <f t="array" ref="F228">interpoler(mat_zc,Taux_ZC,F227)</f>
        <v>2.3281430400000001E-2</v>
      </c>
      <c r="G228" s="375" cm="1">
        <f t="array" ref="G228">interpoler(mat_zc,Taux_ZC,G227)</f>
        <v>2.3281430400000001E-2</v>
      </c>
      <c r="H228" s="375" cm="1">
        <f t="array" ref="H228">interpoler(mat_zc,Taux_ZC,H227)</f>
        <v>2.3281430400000001E-2</v>
      </c>
      <c r="I228" s="375" cm="1">
        <f t="array" ref="I228">interpoler(mat_zc,Taux_ZC,I227)</f>
        <v>2.3281430400000001E-2</v>
      </c>
      <c r="J228" s="375" cm="1">
        <f t="array" ref="J228">interpoler(mat_zc,Taux_ZC,J227)</f>
        <v>2.4701972720941372E-2</v>
      </c>
      <c r="K228" s="375"/>
    </row>
    <row r="229" spans="2:13" x14ac:dyDescent="0.3">
      <c r="B229" s="463" t="s">
        <v>1328</v>
      </c>
      <c r="C229" s="367"/>
      <c r="D229" s="429">
        <v>5.0000000000000001E-3</v>
      </c>
      <c r="E229" s="429">
        <f t="shared" ref="E229:J229" si="97">D229</f>
        <v>5.0000000000000001E-3</v>
      </c>
      <c r="F229" s="429">
        <f t="shared" si="97"/>
        <v>5.0000000000000001E-3</v>
      </c>
      <c r="G229" s="429">
        <f t="shared" si="97"/>
        <v>5.0000000000000001E-3</v>
      </c>
      <c r="H229" s="429">
        <f t="shared" si="97"/>
        <v>5.0000000000000001E-3</v>
      </c>
      <c r="I229" s="429">
        <f t="shared" si="97"/>
        <v>5.0000000000000001E-3</v>
      </c>
      <c r="J229" s="429">
        <f t="shared" si="97"/>
        <v>5.0000000000000001E-3</v>
      </c>
      <c r="K229" s="429"/>
    </row>
    <row r="230" spans="2:13" x14ac:dyDescent="0.3">
      <c r="B230" s="463" t="s">
        <v>1329</v>
      </c>
      <c r="C230" s="367"/>
      <c r="D230" s="440">
        <f t="shared" ref="D230:J230" si="98">ROUND(D228+D229,5)</f>
        <v>2.828E-2</v>
      </c>
      <c r="E230" s="440">
        <f t="shared" si="98"/>
        <v>2.828E-2</v>
      </c>
      <c r="F230" s="440">
        <f t="shared" si="98"/>
        <v>2.828E-2</v>
      </c>
      <c r="G230" s="440">
        <f t="shared" si="98"/>
        <v>2.828E-2</v>
      </c>
      <c r="H230" s="440">
        <f t="shared" si="98"/>
        <v>2.828E-2</v>
      </c>
      <c r="I230" s="440">
        <f t="shared" si="98"/>
        <v>2.828E-2</v>
      </c>
      <c r="J230" s="440">
        <f t="shared" si="98"/>
        <v>2.9700000000000001E-2</v>
      </c>
      <c r="K230" s="440"/>
    </row>
    <row r="231" spans="2:13" x14ac:dyDescent="0.3">
      <c r="B231" s="463"/>
      <c r="C231" s="367"/>
      <c r="D231" s="569">
        <f t="shared" ref="D231:J231" si="99">ROUND(D226/(1+D230)^D227,4)</f>
        <v>0</v>
      </c>
      <c r="E231" s="569">
        <f t="shared" si="99"/>
        <v>0</v>
      </c>
      <c r="F231" s="569">
        <f t="shared" si="99"/>
        <v>0</v>
      </c>
      <c r="G231" s="569">
        <f t="shared" si="99"/>
        <v>0</v>
      </c>
      <c r="H231" s="569">
        <f t="shared" si="99"/>
        <v>0</v>
      </c>
      <c r="I231" s="569">
        <f t="shared" si="99"/>
        <v>0</v>
      </c>
      <c r="J231" s="569">
        <f t="shared" si="99"/>
        <v>20136.78</v>
      </c>
      <c r="K231" s="569"/>
    </row>
    <row r="232" spans="2:13" x14ac:dyDescent="0.3">
      <c r="B232" s="367"/>
      <c r="C232" s="367"/>
      <c r="D232" s="488"/>
      <c r="E232" s="488"/>
      <c r="F232" s="488"/>
      <c r="G232" s="488"/>
    </row>
    <row r="233" spans="2:13" x14ac:dyDescent="0.3">
      <c r="B233" s="585" t="s">
        <v>650</v>
      </c>
      <c r="C233" s="586">
        <f>+SUM(D231:AB231)</f>
        <v>20136.78</v>
      </c>
      <c r="D233" s="500"/>
      <c r="E233" s="430"/>
      <c r="F233" s="361"/>
      <c r="G233" s="365"/>
    </row>
    <row r="234" spans="2:13" x14ac:dyDescent="0.3">
      <c r="B234" s="585" t="s">
        <v>1331</v>
      </c>
      <c r="C234" s="586">
        <f>+SUMPRODUCT(D227:AG227,D231:AG231)/C233</f>
        <v>0.76712328770000004</v>
      </c>
      <c r="D234" s="365"/>
      <c r="E234" s="365"/>
      <c r="F234" s="361"/>
      <c r="G234" s="363"/>
    </row>
    <row r="238" spans="2:13" x14ac:dyDescent="0.3">
      <c r="B238" s="584" t="s">
        <v>2533</v>
      </c>
      <c r="C238" s="584">
        <v>9434</v>
      </c>
      <c r="D238" s="575"/>
      <c r="E238"/>
      <c r="F238"/>
      <c r="G238"/>
    </row>
    <row r="239" spans="2:13" x14ac:dyDescent="0.3">
      <c r="B239" s="364"/>
      <c r="C239" s="364" t="s">
        <v>105</v>
      </c>
      <c r="D239" s="365">
        <v>0.03</v>
      </c>
      <c r="E239" s="365"/>
      <c r="F239" s="361"/>
      <c r="G239" s="363"/>
      <c r="H239" s="363"/>
      <c r="I239" s="363"/>
      <c r="J239" s="363"/>
      <c r="K239" s="363"/>
      <c r="L239" s="363"/>
      <c r="M239" s="363"/>
    </row>
    <row r="240" spans="2:13" x14ac:dyDescent="0.3">
      <c r="B240" s="361"/>
      <c r="C240" s="696">
        <v>43861</v>
      </c>
      <c r="D240" s="696">
        <v>44227</v>
      </c>
      <c r="E240" s="696">
        <v>44592</v>
      </c>
      <c r="F240" s="696">
        <v>44957</v>
      </c>
      <c r="G240" s="696">
        <v>45322</v>
      </c>
      <c r="H240" s="696">
        <v>45688</v>
      </c>
      <c r="I240" s="696">
        <v>46053</v>
      </c>
      <c r="J240" s="696">
        <v>46418</v>
      </c>
      <c r="K240" s="696">
        <v>46783</v>
      </c>
      <c r="L240" s="696">
        <v>47149</v>
      </c>
      <c r="M240" s="696">
        <v>47514</v>
      </c>
    </row>
    <row r="241" spans="1:14" x14ac:dyDescent="0.3">
      <c r="B241" s="463" t="s">
        <v>1318</v>
      </c>
      <c r="C241" s="697"/>
      <c r="D241" s="698">
        <v>0</v>
      </c>
      <c r="E241" s="698">
        <v>0</v>
      </c>
      <c r="F241" s="698">
        <v>0</v>
      </c>
      <c r="G241" s="534">
        <f>F242/7</f>
        <v>15.610385714285714</v>
      </c>
      <c r="H241" s="534">
        <f t="shared" ref="H241:M241" si="100">G241</f>
        <v>15.610385714285714</v>
      </c>
      <c r="I241" s="534">
        <f t="shared" si="100"/>
        <v>15.610385714285714</v>
      </c>
      <c r="J241" s="534">
        <f t="shared" si="100"/>
        <v>15.610385714285714</v>
      </c>
      <c r="K241" s="534">
        <f t="shared" si="100"/>
        <v>15.610385714285714</v>
      </c>
      <c r="L241" s="534">
        <f t="shared" si="100"/>
        <v>15.610385714285714</v>
      </c>
      <c r="M241" s="534">
        <f t="shared" si="100"/>
        <v>15.610385714285714</v>
      </c>
      <c r="N241" s="462"/>
    </row>
    <row r="242" spans="1:14" x14ac:dyDescent="0.3">
      <c r="B242" s="463" t="s">
        <v>1320</v>
      </c>
      <c r="C242" s="699">
        <v>100</v>
      </c>
      <c r="D242" s="700">
        <f>C242*(1+$D$239)</f>
        <v>103</v>
      </c>
      <c r="E242" s="700">
        <f>D242*(1+$D$239)</f>
        <v>106.09</v>
      </c>
      <c r="F242" s="700">
        <f>E242*(1+$D$239)</f>
        <v>109.2727</v>
      </c>
      <c r="G242" s="700">
        <f t="shared" ref="G242:M242" si="101">F242-G241</f>
        <v>93.662314285714288</v>
      </c>
      <c r="H242" s="700">
        <f t="shared" si="101"/>
        <v>78.051928571428576</v>
      </c>
      <c r="I242" s="700">
        <f t="shared" si="101"/>
        <v>62.441542857142863</v>
      </c>
      <c r="J242" s="700">
        <f t="shared" si="101"/>
        <v>46.831157142857151</v>
      </c>
      <c r="K242" s="700">
        <f t="shared" si="101"/>
        <v>31.220771428571439</v>
      </c>
      <c r="L242" s="700">
        <f t="shared" si="101"/>
        <v>15.610385714285725</v>
      </c>
      <c r="M242" s="700">
        <f t="shared" si="101"/>
        <v>0</v>
      </c>
      <c r="N242" s="462"/>
    </row>
    <row r="243" spans="1:14" x14ac:dyDescent="0.3">
      <c r="B243" s="463" t="s">
        <v>1321</v>
      </c>
      <c r="C243" s="697"/>
      <c r="D243" s="701">
        <v>0</v>
      </c>
      <c r="E243" s="701">
        <v>0</v>
      </c>
      <c r="F243" s="701">
        <v>0</v>
      </c>
      <c r="G243" s="701">
        <f t="shared" ref="G243:M243" si="102">ROUND(F242*$D$239,2)</f>
        <v>3.28</v>
      </c>
      <c r="H243" s="701">
        <f t="shared" si="102"/>
        <v>2.81</v>
      </c>
      <c r="I243" s="701">
        <f t="shared" si="102"/>
        <v>2.34</v>
      </c>
      <c r="J243" s="701">
        <f t="shared" si="102"/>
        <v>1.87</v>
      </c>
      <c r="K243" s="701">
        <f t="shared" si="102"/>
        <v>1.4</v>
      </c>
      <c r="L243" s="701">
        <f t="shared" si="102"/>
        <v>0.94</v>
      </c>
      <c r="M243" s="701">
        <f t="shared" si="102"/>
        <v>0.47</v>
      </c>
      <c r="N243" s="462"/>
    </row>
    <row r="244" spans="1:14" x14ac:dyDescent="0.3">
      <c r="B244" s="463" t="s">
        <v>1322</v>
      </c>
      <c r="C244" s="697"/>
      <c r="D244" s="700">
        <v>0</v>
      </c>
      <c r="E244" s="700">
        <v>0</v>
      </c>
      <c r="F244" s="700">
        <v>0</v>
      </c>
      <c r="G244" s="488">
        <f>+G243+G241</f>
        <v>18.890385714285713</v>
      </c>
      <c r="H244" s="488">
        <f t="shared" ref="H244:M244" si="103">+H243+H241</f>
        <v>18.420385714285715</v>
      </c>
      <c r="I244" s="488">
        <f t="shared" si="103"/>
        <v>17.950385714285716</v>
      </c>
      <c r="J244" s="488">
        <f t="shared" si="103"/>
        <v>17.480385714285713</v>
      </c>
      <c r="K244" s="488">
        <f t="shared" si="103"/>
        <v>17.010385714285714</v>
      </c>
      <c r="L244" s="488">
        <f t="shared" si="103"/>
        <v>16.550385714285714</v>
      </c>
      <c r="M244" s="488">
        <f t="shared" si="103"/>
        <v>16.080385714285715</v>
      </c>
      <c r="N244" s="462"/>
    </row>
    <row r="245" spans="1:14" x14ac:dyDescent="0.3">
      <c r="B245" s="463" t="s">
        <v>1323</v>
      </c>
      <c r="C245" s="699"/>
      <c r="D245" s="700">
        <f t="shared" ref="D245:M245" si="104">+IF(D240&gt;$C$1,D244,0)</f>
        <v>0</v>
      </c>
      <c r="E245" s="700">
        <f t="shared" si="104"/>
        <v>0</v>
      </c>
      <c r="F245" s="700">
        <f t="shared" si="104"/>
        <v>0</v>
      </c>
      <c r="G245" s="488">
        <f t="shared" si="104"/>
        <v>0</v>
      </c>
      <c r="H245" s="488">
        <f t="shared" si="104"/>
        <v>0</v>
      </c>
      <c r="I245" s="488">
        <f t="shared" si="104"/>
        <v>0</v>
      </c>
      <c r="J245" s="488">
        <f t="shared" si="104"/>
        <v>17.480385714285713</v>
      </c>
      <c r="K245" s="488">
        <f t="shared" si="104"/>
        <v>17.010385714285714</v>
      </c>
      <c r="L245" s="488">
        <f t="shared" si="104"/>
        <v>16.550385714285714</v>
      </c>
      <c r="M245" s="488">
        <f t="shared" si="104"/>
        <v>16.080385714285715</v>
      </c>
    </row>
    <row r="246" spans="1:14" x14ac:dyDescent="0.3">
      <c r="B246" s="463" t="s">
        <v>1324</v>
      </c>
      <c r="C246" s="702"/>
      <c r="D246" s="703">
        <f t="shared" ref="D246:M246" si="105">+IF(C245=0,(D240-$C$1)/(D240-C240),C246+1)</f>
        <v>-5.1366120218579239</v>
      </c>
      <c r="E246" s="703">
        <f t="shared" si="105"/>
        <v>-4.1506849315068495</v>
      </c>
      <c r="F246" s="703">
        <f t="shared" si="105"/>
        <v>-3.1506849315068495</v>
      </c>
      <c r="G246" s="457">
        <f t="shared" si="105"/>
        <v>-2.1506849315068495</v>
      </c>
      <c r="H246" s="457">
        <f t="shared" si="105"/>
        <v>-1.144808743169399</v>
      </c>
      <c r="I246" s="457">
        <f t="shared" si="105"/>
        <v>-0.14794520547945206</v>
      </c>
      <c r="J246" s="457">
        <f t="shared" si="105"/>
        <v>0.852054794520548</v>
      </c>
      <c r="K246" s="457">
        <f t="shared" si="105"/>
        <v>1.8520547945205479</v>
      </c>
      <c r="L246" s="457">
        <f t="shared" si="105"/>
        <v>2.8520547945205479</v>
      </c>
      <c r="M246" s="457">
        <f t="shared" si="105"/>
        <v>3.8520547945205479</v>
      </c>
    </row>
    <row r="247" spans="1:14" x14ac:dyDescent="0.3">
      <c r="B247" s="463" t="s">
        <v>1325</v>
      </c>
      <c r="C247" s="697"/>
      <c r="D247" s="704" cm="1">
        <f t="array" ref="D247">IF((D240-$C$1)&lt;=365,interpoler(mat_court,taux_court_act,(D240-$C$1)),interpoler(CIH!$K$72:$K$103,CIH!$L$72:$L$103,D246))</f>
        <v>2.3281430422376737E-2</v>
      </c>
      <c r="E247" s="704" cm="1">
        <f t="array" ref="E247">IF((E240-$C$1)&lt;=365,interpoler(mat_court,taux_court_act,(E240-$C$1)),interpoler(CIH!$K$72:$K$103,CIH!$L$72:$L$103,E246))</f>
        <v>2.3281430422376737E-2</v>
      </c>
      <c r="F247" s="704" cm="1">
        <f t="array" ref="F247">IF((F240-$C$1)&lt;=365,interpoler(mat_court,taux_court_act,(F240-$C$1)),interpoler(CIH!$K$72:$K$103,CIH!$L$72:$L$103,F246))</f>
        <v>2.3281430422376737E-2</v>
      </c>
      <c r="G247" s="375" cm="1">
        <f t="array" ref="G247">IF((G240-$C$1)&lt;=365,interpoler(mat_court,taux_court_act,(G240-$C$1)),interpoler(CIH!$K$72:$K$103,CIH!$L$72:$L$103,G246))</f>
        <v>2.3281430422376737E-2</v>
      </c>
      <c r="H247" s="375" cm="1">
        <f t="array" ref="H247">IF((H240-$C$1)&lt;=365,interpoler(mat_court,taux_court_act,(H240-$C$1)),interpoler(CIH!$K$72:$K$103,CIH!$L$72:$L$103,H246))</f>
        <v>2.3281430422376737E-2</v>
      </c>
      <c r="I247" s="375" cm="1">
        <f t="array" ref="I247">IF((I240-$C$1)&lt;=365,interpoler(mat_court,taux_court_act,(I240-$C$1)),interpoler(CIH!$K$72:$K$103,CIH!$L$72:$L$103,I246))</f>
        <v>2.3281430422376737E-2</v>
      </c>
      <c r="J247" s="375" cm="1">
        <f t="array" ref="J247">IF((J240-$C$1)&lt;=365,interpoler(mat_court,taux_court_act,(J240-$C$1)),interpoler(CIH!$K$72:$K$103,CIH!$L$72:$L$103,J246))</f>
        <v>2.48857580451462E-2</v>
      </c>
      <c r="K247" s="375" cm="1">
        <f t="array" ref="K247">IF((K240-$C$1)&lt;=365,interpoler(mat_court,taux_court_act,(K240-$C$1)),interpoler(CIH!$K$72:$K$103,CIH!$L$72:$L$103,K246))</f>
        <v>2.6472270927671234E-2</v>
      </c>
      <c r="L247" s="375" cm="1">
        <f t="array" ref="L247">IF((L240-$C$1)&lt;=365,interpoler(mat_court,taux_court_act,(L240-$C$1)),interpoler(CIH!$K$72:$K$103,CIH!$L$72:$L$103,L246))</f>
        <v>2.802700227589041E-2</v>
      </c>
      <c r="M247" s="375" cm="1">
        <f t="array" ref="M247">IF((M240-$C$1)&lt;=365,interpoler(mat_court,taux_court_act,(M240-$C$1)),interpoler(CIH!$K$72:$K$103,CIH!$L$72:$L$103,M246))</f>
        <v>2.9598975822465751E-2</v>
      </c>
    </row>
    <row r="248" spans="1:14" x14ac:dyDescent="0.3">
      <c r="B248" s="463" t="s">
        <v>1328</v>
      </c>
      <c r="C248" s="697"/>
      <c r="D248" s="705">
        <v>3.62E-3</v>
      </c>
      <c r="E248" s="705">
        <f t="shared" ref="E248:M248" si="106">D248</f>
        <v>3.62E-3</v>
      </c>
      <c r="F248" s="705">
        <f t="shared" si="106"/>
        <v>3.62E-3</v>
      </c>
      <c r="G248" s="429">
        <f t="shared" si="106"/>
        <v>3.62E-3</v>
      </c>
      <c r="H248" s="429">
        <f t="shared" si="106"/>
        <v>3.62E-3</v>
      </c>
      <c r="I248" s="429">
        <f t="shared" si="106"/>
        <v>3.62E-3</v>
      </c>
      <c r="J248" s="429">
        <f t="shared" si="106"/>
        <v>3.62E-3</v>
      </c>
      <c r="K248" s="429">
        <f t="shared" si="106"/>
        <v>3.62E-3</v>
      </c>
      <c r="L248" s="429">
        <f t="shared" si="106"/>
        <v>3.62E-3</v>
      </c>
      <c r="M248" s="429">
        <f t="shared" si="106"/>
        <v>3.62E-3</v>
      </c>
    </row>
    <row r="249" spans="1:14" x14ac:dyDescent="0.3">
      <c r="B249" s="463" t="s">
        <v>1329</v>
      </c>
      <c r="C249" s="697"/>
      <c r="D249" s="706">
        <f t="shared" ref="D249:M249" si="107">ROUND(D247+D248,5)</f>
        <v>2.69E-2</v>
      </c>
      <c r="E249" s="706">
        <f t="shared" si="107"/>
        <v>2.69E-2</v>
      </c>
      <c r="F249" s="706">
        <f t="shared" si="107"/>
        <v>2.69E-2</v>
      </c>
      <c r="G249" s="440">
        <f t="shared" si="107"/>
        <v>2.69E-2</v>
      </c>
      <c r="H249" s="440">
        <f t="shared" si="107"/>
        <v>2.69E-2</v>
      </c>
      <c r="I249" s="440">
        <f t="shared" si="107"/>
        <v>2.69E-2</v>
      </c>
      <c r="J249" s="440">
        <f t="shared" si="107"/>
        <v>2.8510000000000001E-2</v>
      </c>
      <c r="K249" s="440">
        <f t="shared" si="107"/>
        <v>3.0089999999999999E-2</v>
      </c>
      <c r="L249" s="440">
        <f t="shared" si="107"/>
        <v>3.1649999999999998E-2</v>
      </c>
      <c r="M249" s="440">
        <f t="shared" si="107"/>
        <v>3.322E-2</v>
      </c>
    </row>
    <row r="250" spans="1:14" x14ac:dyDescent="0.3">
      <c r="B250" s="463"/>
      <c r="C250" s="697"/>
      <c r="D250" s="700">
        <f t="shared" ref="D250:M250" si="108">ROUND(D245/(1+D249)^D246,4)</f>
        <v>0</v>
      </c>
      <c r="E250" s="700">
        <f t="shared" si="108"/>
        <v>0</v>
      </c>
      <c r="F250" s="700">
        <f t="shared" si="108"/>
        <v>0</v>
      </c>
      <c r="G250" s="569">
        <f t="shared" si="108"/>
        <v>0</v>
      </c>
      <c r="H250" s="569">
        <f t="shared" si="108"/>
        <v>0</v>
      </c>
      <c r="I250" s="569">
        <f t="shared" si="108"/>
        <v>0</v>
      </c>
      <c r="J250" s="569">
        <f t="shared" si="108"/>
        <v>17.066700000000001</v>
      </c>
      <c r="K250" s="569">
        <f t="shared" si="108"/>
        <v>16.101600000000001</v>
      </c>
      <c r="L250" s="569">
        <f t="shared" si="108"/>
        <v>15.143000000000001</v>
      </c>
      <c r="M250" s="569">
        <f t="shared" si="108"/>
        <v>14.1783</v>
      </c>
    </row>
    <row r="251" spans="1:14" x14ac:dyDescent="0.3">
      <c r="B251" s="367"/>
      <c r="C251" s="367"/>
      <c r="D251" s="488"/>
      <c r="E251" s="488"/>
      <c r="F251" s="488"/>
      <c r="G251" s="488"/>
      <c r="H251" s="488"/>
      <c r="I251" s="488"/>
      <c r="J251" s="488"/>
      <c r="K251" s="488"/>
      <c r="L251" s="488"/>
      <c r="M251" s="488"/>
    </row>
    <row r="252" spans="1:14" x14ac:dyDescent="0.3">
      <c r="B252" s="585" t="s">
        <v>650</v>
      </c>
      <c r="C252" s="586">
        <f>+SUM(D250:AB250)</f>
        <v>62.489600000000003</v>
      </c>
      <c r="D252" s="500"/>
      <c r="E252" s="430"/>
      <c r="F252" s="361"/>
      <c r="G252" s="365"/>
      <c r="H252" s="365"/>
      <c r="I252" s="365"/>
      <c r="J252" s="365"/>
      <c r="K252" s="365"/>
      <c r="L252" s="365"/>
      <c r="M252" s="365"/>
    </row>
    <row r="253" spans="1:14" x14ac:dyDescent="0.3">
      <c r="B253" s="585" t="s">
        <v>1331</v>
      </c>
      <c r="C253" s="586">
        <f>+SUMPRODUCT(D246:AG246,D250:AG250)/C252</f>
        <v>2.2750515811858487</v>
      </c>
      <c r="D253" s="365"/>
      <c r="E253" s="365"/>
      <c r="F253" s="361"/>
      <c r="G253" s="363"/>
      <c r="H253" s="363"/>
      <c r="I253" s="363"/>
      <c r="J253" s="363"/>
      <c r="K253" s="363"/>
      <c r="L253" s="363"/>
      <c r="M253" s="363"/>
    </row>
    <row r="255" spans="1:14" x14ac:dyDescent="0.3">
      <c r="D255" s="573">
        <v>43896</v>
      </c>
      <c r="E255" s="461">
        <f>D258-D255</f>
        <v>356</v>
      </c>
    </row>
    <row r="256" spans="1:14" x14ac:dyDescent="0.3">
      <c r="A256" s="707"/>
      <c r="B256" s="584" t="s">
        <v>37</v>
      </c>
      <c r="C256" s="584">
        <v>9436</v>
      </c>
      <c r="D256" s="575"/>
      <c r="E256"/>
      <c r="F256"/>
      <c r="G256"/>
    </row>
    <row r="257" spans="2:35" x14ac:dyDescent="0.3">
      <c r="B257" s="364"/>
      <c r="C257" s="364" t="s">
        <v>105</v>
      </c>
      <c r="D257" s="365">
        <v>3.8300000000000001E-2</v>
      </c>
      <c r="E257" s="365"/>
      <c r="F257" s="361"/>
      <c r="G257" s="363"/>
    </row>
    <row r="258" spans="2:35" x14ac:dyDescent="0.3">
      <c r="B258" s="361"/>
      <c r="C258" s="366">
        <v>43886</v>
      </c>
      <c r="D258" s="366">
        <v>44252</v>
      </c>
      <c r="E258" s="366">
        <v>44617</v>
      </c>
      <c r="F258" s="366">
        <v>44982</v>
      </c>
      <c r="G258" s="366">
        <v>45347</v>
      </c>
      <c r="H258" s="366">
        <v>45713</v>
      </c>
      <c r="I258" s="366">
        <v>46078</v>
      </c>
      <c r="J258" s="366">
        <v>46443</v>
      </c>
      <c r="K258" s="366">
        <v>46808</v>
      </c>
      <c r="L258" s="366">
        <v>47174</v>
      </c>
      <c r="M258" s="366">
        <v>47539</v>
      </c>
      <c r="N258" s="366">
        <v>47904</v>
      </c>
      <c r="O258" s="366">
        <v>48269</v>
      </c>
      <c r="P258" s="366">
        <v>48635</v>
      </c>
      <c r="Q258" s="366">
        <v>49000</v>
      </c>
      <c r="R258" s="366">
        <v>49365</v>
      </c>
      <c r="S258" s="366">
        <v>49730</v>
      </c>
      <c r="T258" s="366">
        <v>50096</v>
      </c>
      <c r="U258" s="366">
        <v>50461</v>
      </c>
      <c r="V258" s="366">
        <v>50826</v>
      </c>
      <c r="W258" s="366">
        <v>51191</v>
      </c>
      <c r="X258" s="366">
        <v>51557</v>
      </c>
      <c r="Y258" s="366">
        <v>51922</v>
      </c>
      <c r="Z258" s="366">
        <v>52287</v>
      </c>
      <c r="AA258" s="366">
        <v>52652</v>
      </c>
      <c r="AB258" s="366">
        <v>53018</v>
      </c>
      <c r="AC258" s="366">
        <v>53383</v>
      </c>
      <c r="AD258" s="366">
        <v>53748</v>
      </c>
      <c r="AE258" s="366">
        <v>54113</v>
      </c>
      <c r="AF258" s="366">
        <v>54479</v>
      </c>
      <c r="AG258" s="366">
        <v>54844</v>
      </c>
    </row>
    <row r="259" spans="2:35" x14ac:dyDescent="0.3">
      <c r="B259" s="463" t="s">
        <v>1318</v>
      </c>
      <c r="C259" s="367"/>
      <c r="D259" s="534">
        <v>0</v>
      </c>
      <c r="E259" s="534">
        <v>0</v>
      </c>
      <c r="F259" s="534">
        <v>0</v>
      </c>
      <c r="G259" s="534">
        <v>0</v>
      </c>
      <c r="H259" s="534">
        <v>0</v>
      </c>
      <c r="I259" s="534">
        <v>0</v>
      </c>
      <c r="J259" s="534">
        <v>0</v>
      </c>
      <c r="K259" s="534">
        <v>0</v>
      </c>
      <c r="L259" s="534">
        <v>0</v>
      </c>
      <c r="M259" s="534">
        <v>0</v>
      </c>
      <c r="N259" s="534">
        <v>0</v>
      </c>
      <c r="O259" s="534">
        <v>0</v>
      </c>
      <c r="P259" s="534">
        <v>0</v>
      </c>
      <c r="Q259" s="534">
        <v>0</v>
      </c>
      <c r="R259" s="534">
        <v>0</v>
      </c>
      <c r="S259" s="534">
        <f t="shared" ref="S259:AF259" si="109">ROUND(100000/15,2)</f>
        <v>6666.67</v>
      </c>
      <c r="T259" s="534">
        <f t="shared" si="109"/>
        <v>6666.67</v>
      </c>
      <c r="U259" s="534">
        <f t="shared" si="109"/>
        <v>6666.67</v>
      </c>
      <c r="V259" s="534">
        <f t="shared" si="109"/>
        <v>6666.67</v>
      </c>
      <c r="W259" s="534">
        <f t="shared" si="109"/>
        <v>6666.67</v>
      </c>
      <c r="X259" s="534">
        <f t="shared" si="109"/>
        <v>6666.67</v>
      </c>
      <c r="Y259" s="534">
        <f t="shared" si="109"/>
        <v>6666.67</v>
      </c>
      <c r="Z259" s="534">
        <f t="shared" si="109"/>
        <v>6666.67</v>
      </c>
      <c r="AA259" s="534">
        <f t="shared" si="109"/>
        <v>6666.67</v>
      </c>
      <c r="AB259" s="534">
        <f t="shared" si="109"/>
        <v>6666.67</v>
      </c>
      <c r="AC259" s="534">
        <f t="shared" si="109"/>
        <v>6666.67</v>
      </c>
      <c r="AD259" s="534">
        <f t="shared" si="109"/>
        <v>6666.67</v>
      </c>
      <c r="AE259" s="534">
        <f t="shared" si="109"/>
        <v>6666.67</v>
      </c>
      <c r="AF259" s="534">
        <f t="shared" si="109"/>
        <v>6666.67</v>
      </c>
      <c r="AG259" s="534">
        <f>ROUND(100000-SUM(D259:AF259),2)</f>
        <v>6666.62</v>
      </c>
    </row>
    <row r="260" spans="2:35" x14ac:dyDescent="0.3">
      <c r="B260" s="463" t="s">
        <v>1320</v>
      </c>
      <c r="C260" s="368">
        <v>100000</v>
      </c>
      <c r="D260" s="488">
        <f t="shared" ref="D260:AG260" si="110">+C260-D259</f>
        <v>100000</v>
      </c>
      <c r="E260" s="488">
        <f t="shared" si="110"/>
        <v>100000</v>
      </c>
      <c r="F260" s="488">
        <f t="shared" si="110"/>
        <v>100000</v>
      </c>
      <c r="G260" s="488">
        <f t="shared" si="110"/>
        <v>100000</v>
      </c>
      <c r="H260" s="488">
        <f t="shared" si="110"/>
        <v>100000</v>
      </c>
      <c r="I260" s="488">
        <f t="shared" si="110"/>
        <v>100000</v>
      </c>
      <c r="J260" s="488">
        <f t="shared" si="110"/>
        <v>100000</v>
      </c>
      <c r="K260" s="488">
        <f t="shared" si="110"/>
        <v>100000</v>
      </c>
      <c r="L260" s="488">
        <f t="shared" si="110"/>
        <v>100000</v>
      </c>
      <c r="M260" s="488">
        <f t="shared" si="110"/>
        <v>100000</v>
      </c>
      <c r="N260" s="488">
        <f t="shared" si="110"/>
        <v>100000</v>
      </c>
      <c r="O260" s="488">
        <f t="shared" si="110"/>
        <v>100000</v>
      </c>
      <c r="P260" s="488">
        <f t="shared" si="110"/>
        <v>100000</v>
      </c>
      <c r="Q260" s="488">
        <f t="shared" si="110"/>
        <v>100000</v>
      </c>
      <c r="R260" s="488">
        <f t="shared" si="110"/>
        <v>100000</v>
      </c>
      <c r="S260" s="488">
        <f t="shared" si="110"/>
        <v>93333.33</v>
      </c>
      <c r="T260" s="488">
        <f t="shared" si="110"/>
        <v>86666.66</v>
      </c>
      <c r="U260" s="488">
        <f t="shared" si="110"/>
        <v>79999.990000000005</v>
      </c>
      <c r="V260" s="488">
        <f t="shared" si="110"/>
        <v>73333.320000000007</v>
      </c>
      <c r="W260" s="488">
        <f t="shared" si="110"/>
        <v>66666.650000000009</v>
      </c>
      <c r="X260" s="488">
        <f t="shared" si="110"/>
        <v>59999.98000000001</v>
      </c>
      <c r="Y260" s="488">
        <f t="shared" si="110"/>
        <v>53333.310000000012</v>
      </c>
      <c r="Z260" s="488">
        <f t="shared" si="110"/>
        <v>46666.640000000014</v>
      </c>
      <c r="AA260" s="488">
        <f t="shared" si="110"/>
        <v>39999.970000000016</v>
      </c>
      <c r="AB260" s="488">
        <f t="shared" si="110"/>
        <v>33333.300000000017</v>
      </c>
      <c r="AC260" s="488">
        <f t="shared" si="110"/>
        <v>26666.630000000019</v>
      </c>
      <c r="AD260" s="488">
        <f t="shared" si="110"/>
        <v>19999.960000000021</v>
      </c>
      <c r="AE260" s="488">
        <f t="shared" si="110"/>
        <v>13333.290000000021</v>
      </c>
      <c r="AF260" s="488">
        <f t="shared" si="110"/>
        <v>6666.6200000000208</v>
      </c>
      <c r="AG260" s="488">
        <f t="shared" si="110"/>
        <v>2.0918378140777349E-11</v>
      </c>
    </row>
    <row r="261" spans="2:35" x14ac:dyDescent="0.3">
      <c r="B261" s="463" t="s">
        <v>1321</v>
      </c>
      <c r="C261" s="367"/>
      <c r="D261" s="654">
        <f t="shared" ref="D261:AG261" si="111">ROUND(C260*$D$257,2)</f>
        <v>3830</v>
      </c>
      <c r="E261" s="654">
        <f t="shared" si="111"/>
        <v>3830</v>
      </c>
      <c r="F261" s="654">
        <f t="shared" si="111"/>
        <v>3830</v>
      </c>
      <c r="G261" s="654">
        <f t="shared" si="111"/>
        <v>3830</v>
      </c>
      <c r="H261" s="654">
        <f t="shared" si="111"/>
        <v>3830</v>
      </c>
      <c r="I261" s="654">
        <f t="shared" si="111"/>
        <v>3830</v>
      </c>
      <c r="J261" s="654">
        <f t="shared" si="111"/>
        <v>3830</v>
      </c>
      <c r="K261" s="654">
        <f t="shared" si="111"/>
        <v>3830</v>
      </c>
      <c r="L261" s="654">
        <f t="shared" si="111"/>
        <v>3830</v>
      </c>
      <c r="M261" s="654">
        <f t="shared" si="111"/>
        <v>3830</v>
      </c>
      <c r="N261" s="654">
        <f t="shared" si="111"/>
        <v>3830</v>
      </c>
      <c r="O261" s="654">
        <f t="shared" si="111"/>
        <v>3830</v>
      </c>
      <c r="P261" s="654">
        <f t="shared" si="111"/>
        <v>3830</v>
      </c>
      <c r="Q261" s="654">
        <f t="shared" si="111"/>
        <v>3830</v>
      </c>
      <c r="R261" s="654">
        <f t="shared" si="111"/>
        <v>3830</v>
      </c>
      <c r="S261" s="654">
        <f t="shared" si="111"/>
        <v>3830</v>
      </c>
      <c r="T261" s="654">
        <f t="shared" si="111"/>
        <v>3574.67</v>
      </c>
      <c r="U261" s="654">
        <f t="shared" si="111"/>
        <v>3319.33</v>
      </c>
      <c r="V261" s="654">
        <f t="shared" si="111"/>
        <v>3064</v>
      </c>
      <c r="W261" s="654">
        <f t="shared" si="111"/>
        <v>2808.67</v>
      </c>
      <c r="X261" s="654">
        <f t="shared" si="111"/>
        <v>2553.33</v>
      </c>
      <c r="Y261" s="654">
        <f t="shared" si="111"/>
        <v>2298</v>
      </c>
      <c r="Z261" s="654">
        <f t="shared" si="111"/>
        <v>2042.67</v>
      </c>
      <c r="AA261" s="654">
        <f t="shared" si="111"/>
        <v>1787.33</v>
      </c>
      <c r="AB261" s="654">
        <f t="shared" si="111"/>
        <v>1532</v>
      </c>
      <c r="AC261" s="654">
        <f t="shared" si="111"/>
        <v>1276.67</v>
      </c>
      <c r="AD261" s="654">
        <f t="shared" si="111"/>
        <v>1021.33</v>
      </c>
      <c r="AE261" s="654">
        <f t="shared" si="111"/>
        <v>766</v>
      </c>
      <c r="AF261" s="654">
        <f t="shared" si="111"/>
        <v>510.67</v>
      </c>
      <c r="AG261" s="654">
        <f t="shared" si="111"/>
        <v>255.33</v>
      </c>
    </row>
    <row r="262" spans="2:35" x14ac:dyDescent="0.3">
      <c r="B262" s="463" t="s">
        <v>1322</v>
      </c>
      <c r="C262" s="367"/>
      <c r="D262" s="488">
        <f>+D261+D259</f>
        <v>3830</v>
      </c>
      <c r="E262" s="488">
        <f t="shared" ref="E262:AG262" si="112">+E261+E259</f>
        <v>3830</v>
      </c>
      <c r="F262" s="488">
        <f t="shared" si="112"/>
        <v>3830</v>
      </c>
      <c r="G262" s="488">
        <f t="shared" si="112"/>
        <v>3830</v>
      </c>
      <c r="H262" s="488">
        <f t="shared" si="112"/>
        <v>3830</v>
      </c>
      <c r="I262" s="488">
        <f t="shared" si="112"/>
        <v>3830</v>
      </c>
      <c r="J262" s="488">
        <f t="shared" si="112"/>
        <v>3830</v>
      </c>
      <c r="K262" s="488">
        <f t="shared" si="112"/>
        <v>3830</v>
      </c>
      <c r="L262" s="488">
        <f t="shared" si="112"/>
        <v>3830</v>
      </c>
      <c r="M262" s="488">
        <f t="shared" si="112"/>
        <v>3830</v>
      </c>
      <c r="N262" s="488">
        <f t="shared" si="112"/>
        <v>3830</v>
      </c>
      <c r="O262" s="488">
        <f t="shared" si="112"/>
        <v>3830</v>
      </c>
      <c r="P262" s="488">
        <f t="shared" si="112"/>
        <v>3830</v>
      </c>
      <c r="Q262" s="488">
        <f t="shared" si="112"/>
        <v>3830</v>
      </c>
      <c r="R262" s="488">
        <f t="shared" si="112"/>
        <v>3830</v>
      </c>
      <c r="S262" s="488">
        <f t="shared" si="112"/>
        <v>10496.67</v>
      </c>
      <c r="T262" s="488">
        <f t="shared" si="112"/>
        <v>10241.34</v>
      </c>
      <c r="U262" s="488">
        <f t="shared" si="112"/>
        <v>9986</v>
      </c>
      <c r="V262" s="488">
        <f t="shared" si="112"/>
        <v>9730.67</v>
      </c>
      <c r="W262" s="488">
        <f t="shared" si="112"/>
        <v>9475.34</v>
      </c>
      <c r="X262" s="488">
        <f t="shared" si="112"/>
        <v>9220</v>
      </c>
      <c r="Y262" s="488">
        <f t="shared" si="112"/>
        <v>8964.67</v>
      </c>
      <c r="Z262" s="488">
        <f t="shared" si="112"/>
        <v>8709.34</v>
      </c>
      <c r="AA262" s="488">
        <f t="shared" si="112"/>
        <v>8454</v>
      </c>
      <c r="AB262" s="488">
        <f t="shared" si="112"/>
        <v>8198.67</v>
      </c>
      <c r="AC262" s="488">
        <f t="shared" si="112"/>
        <v>7943.34</v>
      </c>
      <c r="AD262" s="488">
        <f t="shared" si="112"/>
        <v>7688</v>
      </c>
      <c r="AE262" s="488">
        <f t="shared" si="112"/>
        <v>7432.67</v>
      </c>
      <c r="AF262" s="488">
        <f t="shared" si="112"/>
        <v>7177.34</v>
      </c>
      <c r="AG262" s="488">
        <f t="shared" si="112"/>
        <v>6921.95</v>
      </c>
    </row>
    <row r="263" spans="2:35" x14ac:dyDescent="0.3">
      <c r="B263" s="463" t="s">
        <v>1323</v>
      </c>
      <c r="C263" s="368"/>
      <c r="D263" s="488">
        <f t="shared" ref="D263:AG263" si="113">+IF(D258&gt;$C$1,D262,0)</f>
        <v>0</v>
      </c>
      <c r="E263" s="488">
        <f t="shared" si="113"/>
        <v>0</v>
      </c>
      <c r="F263" s="488">
        <f t="shared" si="113"/>
        <v>0</v>
      </c>
      <c r="G263" s="488">
        <f t="shared" si="113"/>
        <v>0</v>
      </c>
      <c r="H263" s="488">
        <f t="shared" si="113"/>
        <v>0</v>
      </c>
      <c r="I263" s="488">
        <f t="shared" si="113"/>
        <v>0</v>
      </c>
      <c r="J263" s="488">
        <f t="shared" si="113"/>
        <v>3830</v>
      </c>
      <c r="K263" s="488">
        <f t="shared" si="113"/>
        <v>3830</v>
      </c>
      <c r="L263" s="488">
        <f t="shared" si="113"/>
        <v>3830</v>
      </c>
      <c r="M263" s="488">
        <f t="shared" si="113"/>
        <v>3830</v>
      </c>
      <c r="N263" s="488">
        <f t="shared" si="113"/>
        <v>3830</v>
      </c>
      <c r="O263" s="488">
        <f t="shared" si="113"/>
        <v>3830</v>
      </c>
      <c r="P263" s="488">
        <f t="shared" si="113"/>
        <v>3830</v>
      </c>
      <c r="Q263" s="488">
        <f t="shared" si="113"/>
        <v>3830</v>
      </c>
      <c r="R263" s="488">
        <f t="shared" si="113"/>
        <v>3830</v>
      </c>
      <c r="S263" s="488">
        <f t="shared" si="113"/>
        <v>10496.67</v>
      </c>
      <c r="T263" s="488">
        <f t="shared" si="113"/>
        <v>10241.34</v>
      </c>
      <c r="U263" s="488">
        <f t="shared" si="113"/>
        <v>9986</v>
      </c>
      <c r="V263" s="488">
        <f t="shared" si="113"/>
        <v>9730.67</v>
      </c>
      <c r="W263" s="488">
        <f t="shared" si="113"/>
        <v>9475.34</v>
      </c>
      <c r="X263" s="488">
        <f t="shared" si="113"/>
        <v>9220</v>
      </c>
      <c r="Y263" s="488">
        <f t="shared" si="113"/>
        <v>8964.67</v>
      </c>
      <c r="Z263" s="488">
        <f t="shared" si="113"/>
        <v>8709.34</v>
      </c>
      <c r="AA263" s="488">
        <f t="shared" si="113"/>
        <v>8454</v>
      </c>
      <c r="AB263" s="488">
        <f t="shared" si="113"/>
        <v>8198.67</v>
      </c>
      <c r="AC263" s="488">
        <f t="shared" si="113"/>
        <v>7943.34</v>
      </c>
      <c r="AD263" s="488">
        <f t="shared" si="113"/>
        <v>7688</v>
      </c>
      <c r="AE263" s="488">
        <f t="shared" si="113"/>
        <v>7432.67</v>
      </c>
      <c r="AF263" s="488">
        <f t="shared" si="113"/>
        <v>7177.34</v>
      </c>
      <c r="AG263" s="488">
        <f t="shared" si="113"/>
        <v>6921.95</v>
      </c>
    </row>
    <row r="264" spans="2:35" x14ac:dyDescent="0.3">
      <c r="B264" s="463" t="s">
        <v>1324</v>
      </c>
      <c r="C264" s="371"/>
      <c r="D264" s="784">
        <f t="shared" ref="D264:AG264" si="114">ROUND(+IF(C263=0,(D258-$C$1)/(D258-C258),C264+1),10)</f>
        <v>-5.0683060108999998</v>
      </c>
      <c r="E264" s="784">
        <f t="shared" si="114"/>
        <v>-4.0821917807999997</v>
      </c>
      <c r="F264" s="784">
        <f t="shared" si="114"/>
        <v>-3.0821917808000001</v>
      </c>
      <c r="G264" s="784">
        <f t="shared" si="114"/>
        <v>-2.0821917808000001</v>
      </c>
      <c r="H264" s="784">
        <f t="shared" si="114"/>
        <v>-1.0765027322</v>
      </c>
      <c r="I264" s="784">
        <f t="shared" si="114"/>
        <v>-7.9452054800000005E-2</v>
      </c>
      <c r="J264" s="784">
        <f t="shared" si="114"/>
        <v>0.92054794520000005</v>
      </c>
      <c r="K264" s="784">
        <f t="shared" si="114"/>
        <v>1.9205479452000001</v>
      </c>
      <c r="L264" s="784">
        <f t="shared" si="114"/>
        <v>2.9205479452000001</v>
      </c>
      <c r="M264" s="784">
        <f t="shared" si="114"/>
        <v>3.9205479452000001</v>
      </c>
      <c r="N264" s="784">
        <f t="shared" si="114"/>
        <v>4.9205479452000001</v>
      </c>
      <c r="O264" s="784">
        <f t="shared" si="114"/>
        <v>5.9205479452000001</v>
      </c>
      <c r="P264" s="784">
        <f t="shared" si="114"/>
        <v>6.9205479452000001</v>
      </c>
      <c r="Q264" s="784">
        <f t="shared" si="114"/>
        <v>7.9205479452000001</v>
      </c>
      <c r="R264" s="784">
        <f t="shared" si="114"/>
        <v>8.9205479451999992</v>
      </c>
      <c r="S264" s="784">
        <f t="shared" si="114"/>
        <v>9.9205479451999992</v>
      </c>
      <c r="T264" s="784">
        <f t="shared" si="114"/>
        <v>10.920547945199999</v>
      </c>
      <c r="U264" s="784">
        <f t="shared" si="114"/>
        <v>11.920547945199999</v>
      </c>
      <c r="V264" s="784">
        <f t="shared" si="114"/>
        <v>12.920547945199999</v>
      </c>
      <c r="W264" s="784">
        <f t="shared" si="114"/>
        <v>13.920547945199999</v>
      </c>
      <c r="X264" s="784">
        <f t="shared" si="114"/>
        <v>14.920547945199999</v>
      </c>
      <c r="Y264" s="784">
        <f t="shared" si="114"/>
        <v>15.920547945199999</v>
      </c>
      <c r="Z264" s="784">
        <f t="shared" si="114"/>
        <v>16.920547945199999</v>
      </c>
      <c r="AA264" s="784">
        <f t="shared" si="114"/>
        <v>17.920547945199999</v>
      </c>
      <c r="AB264" s="784">
        <f t="shared" si="114"/>
        <v>18.920547945199999</v>
      </c>
      <c r="AC264" s="784">
        <f t="shared" si="114"/>
        <v>19.920547945199999</v>
      </c>
      <c r="AD264" s="784">
        <f t="shared" si="114"/>
        <v>20.920547945199999</v>
      </c>
      <c r="AE264" s="784">
        <f t="shared" si="114"/>
        <v>21.920547945199999</v>
      </c>
      <c r="AF264" s="784">
        <f t="shared" si="114"/>
        <v>22.920547945199999</v>
      </c>
      <c r="AG264" s="789">
        <f t="shared" si="114"/>
        <v>23.920547945199999</v>
      </c>
    </row>
    <row r="265" spans="2:35" x14ac:dyDescent="0.3">
      <c r="B265" s="463" t="s">
        <v>1325</v>
      </c>
      <c r="C265" s="367"/>
      <c r="D265" s="375" cm="1">
        <f t="array" ref="D265">IF((D258-$C$1)&lt;=365,interpoler(mat_court,taux_court_act,(D258-$C$1)),interpoler(CIH!$K$72:$K$103,CIH!$L$72:$L$103,D264))</f>
        <v>2.3281430422376737E-2</v>
      </c>
      <c r="E265" s="375" cm="1">
        <f t="array" ref="E265">IF((E258-$C$1)&lt;=365,interpoler(mat_court,taux_court_act,(E258-$C$1)),interpoler(CIH!$K$72:$K$103,CIH!$L$72:$L$103,E264))</f>
        <v>2.3281430422376737E-2</v>
      </c>
      <c r="F265" s="375" cm="1">
        <f t="array" ref="F265">IF((F258-$C$1)&lt;=365,interpoler(mat_court,taux_court_act,(F258-$C$1)),interpoler(CIH!$K$72:$K$103,CIH!$L$72:$L$103,F264))</f>
        <v>2.3281430422376737E-2</v>
      </c>
      <c r="G265" s="375" cm="1">
        <f t="array" ref="G265">IF((G258-$C$1)&lt;=365,interpoler(mat_court,taux_court_act,(G258-$C$1)),interpoler(CIH!$K$72:$K$103,CIH!$L$72:$L$103,G264))</f>
        <v>2.3281430422376737E-2</v>
      </c>
      <c r="H265" s="375" cm="1">
        <f t="array" ref="H265">IF((H258-$C$1)&lt;=365,interpoler(mat_court,taux_court_act,(H258-$C$1)),interpoler(CIH!$K$72:$K$103,CIH!$L$72:$L$103,H264))</f>
        <v>2.3281430422376737E-2</v>
      </c>
      <c r="I265" s="375" cm="1">
        <f t="array" ref="I265">IF((I258-$C$1)&lt;=365,interpoler(mat_court,taux_court_act,(I258-$C$1)),interpoler(CIH!$K$72:$K$103,CIH!$L$72:$L$103,I264))</f>
        <v>2.3281430422376737E-2</v>
      </c>
      <c r="J265" s="375" cm="1">
        <f t="array" ref="J265">IF((J258-$C$1)&lt;=365,interpoler(mat_court,taux_court_act,(J258-$C$1)),interpoler(CIH!$K$72:$K$103,CIH!$L$72:$L$103,J264))</f>
        <v>2.5017887291277709E-2</v>
      </c>
      <c r="K265" s="375" cm="1">
        <f t="array" ref="K265">IF((K258-$C$1)&lt;=365,interpoler(mat_court,taux_court_act,(K258-$C$1)),interpoler(CIH!$K$72:$K$103,CIH!$L$72:$L$103,K264))</f>
        <v>2.6578696516703814E-2</v>
      </c>
      <c r="L265" s="375" cm="1">
        <f t="array" ref="L265">IF((L258-$C$1)&lt;=365,interpoler(mat_court,taux_court_act,(L258-$C$1)),interpoler(CIH!$K$72:$K$103,CIH!$L$72:$L$103,L264))</f>
        <v>2.8133501638895587E-2</v>
      </c>
      <c r="M265" s="375" cm="1">
        <f t="array" ref="M265">IF((M258-$C$1)&lt;=365,interpoler(mat_court,taux_court_act,(M258-$C$1)),interpoler(CIH!$K$72:$K$103,CIH!$L$72:$L$103,M264))</f>
        <v>2.9706848404648902E-2</v>
      </c>
      <c r="N265" s="375" cm="1">
        <f t="array" ref="N265">IF((N258-$C$1)&lt;=365,interpoler(mat_court,taux_court_act,(N258-$C$1)),interpoler(CIH!$K$72:$K$103,CIH!$L$72:$L$103,N264))</f>
        <v>3.0823559957802317E-2</v>
      </c>
      <c r="O265" s="375" cm="1">
        <f t="array" ref="O265">IF((O258-$C$1)&lt;=365,interpoler(mat_court,taux_court_act,(O258-$C$1)),interpoler(CIH!$K$72:$K$103,CIH!$L$72:$L$103,O264))</f>
        <v>3.1391608137805352E-2</v>
      </c>
      <c r="P265" s="375" cm="1">
        <f t="array" ref="P265">IF((P258-$C$1)&lt;=365,interpoler(mat_court,taux_court_act,(P258-$C$1)),interpoler(CIH!$K$72:$K$103,CIH!$L$72:$L$103,P264))</f>
        <v>3.189709437013423E-2</v>
      </c>
      <c r="Q265" s="375" cm="1">
        <f t="array" ref="Q265">IF((Q258-$C$1)&lt;=365,interpoler(mat_court,taux_court_act,(Q258-$C$1)),interpoler(CIH!$K$72:$K$103,CIH!$L$72:$L$103,Q264))</f>
        <v>3.2410269531504034E-2</v>
      </c>
      <c r="R265" s="375" cm="1">
        <f t="array" ref="R265">IF((R258-$C$1)&lt;=365,interpoler(mat_court,taux_court_act,(R258-$C$1)),interpoler(CIH!$K$72:$K$103,CIH!$L$72:$L$103,R264))</f>
        <v>3.2933155542188911E-2</v>
      </c>
      <c r="S265" s="375" cm="1">
        <f t="array" ref="S265">IF((S258-$C$1)&lt;=365,interpoler(mat_court,taux_court_act,(S258-$C$1)),interpoler(CIH!$K$72:$K$103,CIH!$L$72:$L$103,S264))</f>
        <v>3.3538065092051442E-2</v>
      </c>
      <c r="T265" s="375" cm="1">
        <f t="array" ref="T265">IF((T258-$C$1)&lt;=365,interpoler(mat_court,taux_court_act,(T258-$C$1)),interpoler(CIH!$K$72:$K$103,CIH!$L$72:$L$103,T264))</f>
        <v>3.4180092831777288E-2</v>
      </c>
      <c r="U265" s="375" cm="1">
        <f t="array" ref="U265">IF((U258-$C$1)&lt;=365,interpoler(mat_court,taux_court_act,(U258-$C$1)),interpoler(CIH!$K$72:$K$103,CIH!$L$72:$L$103,U264))</f>
        <v>3.4835916661092287E-2</v>
      </c>
      <c r="V265" s="375" cm="1">
        <f t="array" ref="V265">IF((V258-$C$1)&lt;=365,interpoler(mat_court,taux_court_act,(V258-$C$1)),interpoler(CIH!$K$72:$K$103,CIH!$L$72:$L$103,V264))</f>
        <v>3.5504757117804549E-2</v>
      </c>
      <c r="W265" s="375" cm="1">
        <f t="array" ref="W265">IF((W258-$C$1)&lt;=365,interpoler(mat_court,taux_court_act,(W258-$C$1)),interpoler(CIH!$K$72:$K$103,CIH!$L$72:$L$103,W264))</f>
        <v>3.5914779452326642E-2</v>
      </c>
      <c r="X265" s="375" cm="1">
        <f t="array" ref="X265">IF((X258-$C$1)&lt;=365,interpoler(mat_court,taux_court_act,(X258-$C$1)),interpoler(CIH!$K$72:$K$103,CIH!$L$72:$L$103,X264))</f>
        <v>3.6183697984108171E-2</v>
      </c>
      <c r="Y265" s="375" cm="1">
        <f t="array" ref="Y265">IF((Y258-$C$1)&lt;=365,interpoler(mat_court,taux_court_act,(Y258-$C$1)),interpoler(CIH!$K$72:$K$103,CIH!$L$72:$L$103,Y264))</f>
        <v>3.6449674365751965E-2</v>
      </c>
      <c r="Z265" s="375" cm="1">
        <f t="array" ref="Z265">IF((Z258-$C$1)&lt;=365,interpoler(mat_court,taux_court_act,(Z258-$C$1)),interpoler(CIH!$K$72:$K$103,CIH!$L$72:$L$103,Z264))</f>
        <v>3.672337304328617E-2</v>
      </c>
      <c r="AA265" s="375" cm="1">
        <f t="array" ref="AA265">IF((AA258-$C$1)&lt;=365,interpoler(mat_court,taux_court_act,(AA258-$C$1)),interpoler(CIH!$K$72:$K$103,CIH!$L$72:$L$103,AA264))</f>
        <v>3.7005515036710776E-2</v>
      </c>
      <c r="AB265" s="375" cm="1">
        <f t="array" ref="AB265">IF((AB258-$C$1)&lt;=365,interpoler(mat_court,taux_court_act,(AB258-$C$1)),interpoler(CIH!$K$72:$K$103,CIH!$L$72:$L$103,AB264))</f>
        <v>3.7294517638080601E-2</v>
      </c>
      <c r="AC265" s="375" cm="1">
        <f t="array" ref="AC265">IF((AC258-$C$1)&lt;=365,interpoler(mat_court,taux_court_act,(AC258-$C$1)),interpoler(CIH!$K$72:$K$103,CIH!$L$72:$L$103,AC264))</f>
        <v>3.7771698991504142E-2</v>
      </c>
      <c r="AD265" s="375" cm="1">
        <f t="array" ref="AD265">IF((AD258-$C$1)&lt;=365,interpoler(mat_court,taux_court_act,(AD258-$C$1)),interpoler(CIH!$K$72:$K$103,CIH!$L$72:$L$103,AD264))</f>
        <v>3.8393659685475985E-2</v>
      </c>
      <c r="AE265" s="375" cm="1">
        <f t="array" ref="AE265">IF((AE258-$C$1)&lt;=365,interpoler(mat_court,taux_court_act,(AE258-$C$1)),interpoler(CIH!$K$72:$K$103,CIH!$L$72:$L$103,AE264))</f>
        <v>3.9044014468763551E-2</v>
      </c>
      <c r="AF265" s="375" cm="1">
        <f t="array" ref="AF265">IF((AF258-$C$1)&lt;=365,interpoler(mat_court,taux_court_act,(AF258-$C$1)),interpoler(CIH!$K$72:$K$103,CIH!$L$72:$L$103,AF264))</f>
        <v>3.9711106342736065E-2</v>
      </c>
      <c r="AG265" s="375" cm="1">
        <f t="array" ref="AG265">IF((AG258-$C$1)&lt;=365,interpoler(mat_court,taux_court_act,(AG258-$C$1)),interpoler(CIH!$K$72:$K$103,CIH!$L$72:$L$103,AG264))</f>
        <v>4.0398245344379788E-2</v>
      </c>
    </row>
    <row r="266" spans="2:35" x14ac:dyDescent="0.3">
      <c r="B266" s="463" t="s">
        <v>1328</v>
      </c>
      <c r="C266" s="367"/>
      <c r="D266" s="429">
        <v>3.5000000000000001E-3</v>
      </c>
      <c r="E266" s="429">
        <v>3.5000000000000001E-3</v>
      </c>
      <c r="F266" s="429">
        <v>3.5000000000000001E-3</v>
      </c>
      <c r="G266" s="429">
        <v>3.5000000000000001E-3</v>
      </c>
      <c r="H266" s="429">
        <v>3.5000000000000001E-3</v>
      </c>
      <c r="I266" s="429">
        <v>3.5000000000000001E-3</v>
      </c>
      <c r="J266" s="429">
        <v>3.5000000000000001E-3</v>
      </c>
      <c r="K266" s="429">
        <v>3.5000000000000001E-3</v>
      </c>
      <c r="L266" s="429">
        <v>3.5000000000000001E-3</v>
      </c>
      <c r="M266" s="429">
        <v>3.5000000000000001E-3</v>
      </c>
      <c r="N266" s="429">
        <v>3.5000000000000001E-3</v>
      </c>
      <c r="O266" s="429">
        <v>3.5000000000000001E-3</v>
      </c>
      <c r="P266" s="429">
        <v>3.5000000000000001E-3</v>
      </c>
      <c r="Q266" s="429">
        <v>3.5000000000000001E-3</v>
      </c>
      <c r="R266" s="429">
        <v>3.5000000000000001E-3</v>
      </c>
      <c r="S266" s="429">
        <v>3.5000000000000001E-3</v>
      </c>
      <c r="T266" s="429">
        <v>3.5000000000000001E-3</v>
      </c>
      <c r="U266" s="429">
        <v>3.5000000000000001E-3</v>
      </c>
      <c r="V266" s="429">
        <v>3.5000000000000001E-3</v>
      </c>
      <c r="W266" s="429">
        <v>3.5000000000000001E-3</v>
      </c>
      <c r="X266" s="429">
        <v>3.5000000000000001E-3</v>
      </c>
      <c r="Y266" s="429">
        <v>3.5000000000000001E-3</v>
      </c>
      <c r="Z266" s="429">
        <v>3.5000000000000001E-3</v>
      </c>
      <c r="AA266" s="429">
        <v>3.5000000000000001E-3</v>
      </c>
      <c r="AB266" s="429">
        <v>3.5000000000000001E-3</v>
      </c>
      <c r="AC266" s="429">
        <v>3.5000000000000001E-3</v>
      </c>
      <c r="AD266" s="429">
        <v>3.5000000000000001E-3</v>
      </c>
      <c r="AE266" s="429">
        <v>3.5000000000000001E-3</v>
      </c>
      <c r="AF266" s="429">
        <v>3.5000000000000001E-3</v>
      </c>
      <c r="AG266" s="429">
        <v>3.5000000000000001E-3</v>
      </c>
    </row>
    <row r="267" spans="2:35" x14ac:dyDescent="0.3">
      <c r="B267" s="463" t="s">
        <v>1329</v>
      </c>
      <c r="C267" s="367"/>
      <c r="D267" s="440">
        <f t="shared" ref="D267:AG267" si="115">ROUND(D265+D266,5)</f>
        <v>2.6780000000000002E-2</v>
      </c>
      <c r="E267" s="440">
        <f t="shared" si="115"/>
        <v>2.6780000000000002E-2</v>
      </c>
      <c r="F267" s="440">
        <f t="shared" si="115"/>
        <v>2.6780000000000002E-2</v>
      </c>
      <c r="G267" s="440">
        <f t="shared" si="115"/>
        <v>2.6780000000000002E-2</v>
      </c>
      <c r="H267" s="440">
        <f t="shared" si="115"/>
        <v>2.6780000000000002E-2</v>
      </c>
      <c r="I267" s="440">
        <f t="shared" si="115"/>
        <v>2.6780000000000002E-2</v>
      </c>
      <c r="J267" s="440">
        <f t="shared" si="115"/>
        <v>2.852E-2</v>
      </c>
      <c r="K267" s="440">
        <f t="shared" si="115"/>
        <v>3.0079999999999999E-2</v>
      </c>
      <c r="L267" s="440">
        <f t="shared" si="115"/>
        <v>3.1629999999999998E-2</v>
      </c>
      <c r="M267" s="440">
        <f t="shared" si="115"/>
        <v>3.3210000000000003E-2</v>
      </c>
      <c r="N267" s="440">
        <f t="shared" si="115"/>
        <v>3.4320000000000003E-2</v>
      </c>
      <c r="O267" s="440">
        <f t="shared" si="115"/>
        <v>3.4889999999999997E-2</v>
      </c>
      <c r="P267" s="440">
        <f t="shared" si="115"/>
        <v>3.5400000000000001E-2</v>
      </c>
      <c r="Q267" s="440">
        <f t="shared" si="115"/>
        <v>3.5909999999999997E-2</v>
      </c>
      <c r="R267" s="440">
        <f t="shared" si="115"/>
        <v>3.6429999999999997E-2</v>
      </c>
      <c r="S267" s="440">
        <f t="shared" si="115"/>
        <v>3.7039999999999997E-2</v>
      </c>
      <c r="T267" s="440">
        <f t="shared" si="115"/>
        <v>3.7679999999999998E-2</v>
      </c>
      <c r="U267" s="440">
        <f t="shared" si="115"/>
        <v>3.8339999999999999E-2</v>
      </c>
      <c r="V267" s="440">
        <f t="shared" si="115"/>
        <v>3.9E-2</v>
      </c>
      <c r="W267" s="440">
        <f t="shared" si="115"/>
        <v>3.9410000000000001E-2</v>
      </c>
      <c r="X267" s="440">
        <f t="shared" si="115"/>
        <v>3.968E-2</v>
      </c>
      <c r="Y267" s="440">
        <f t="shared" si="115"/>
        <v>3.9949999999999999E-2</v>
      </c>
      <c r="Z267" s="440">
        <f t="shared" si="115"/>
        <v>4.0219999999999999E-2</v>
      </c>
      <c r="AA267" s="440">
        <f t="shared" si="115"/>
        <v>4.0509999999999997E-2</v>
      </c>
      <c r="AB267" s="440">
        <f t="shared" si="115"/>
        <v>4.079E-2</v>
      </c>
      <c r="AC267" s="440">
        <f t="shared" si="115"/>
        <v>4.1270000000000001E-2</v>
      </c>
      <c r="AD267" s="440">
        <f t="shared" si="115"/>
        <v>4.1889999999999997E-2</v>
      </c>
      <c r="AE267" s="440">
        <f t="shared" si="115"/>
        <v>4.2540000000000001E-2</v>
      </c>
      <c r="AF267" s="440">
        <f t="shared" si="115"/>
        <v>4.3209999999999998E-2</v>
      </c>
      <c r="AG267" s="440">
        <f t="shared" si="115"/>
        <v>4.3900000000000002E-2</v>
      </c>
      <c r="AH267" s="440"/>
      <c r="AI267" s="440"/>
    </row>
    <row r="268" spans="2:35" x14ac:dyDescent="0.3">
      <c r="B268" s="463"/>
      <c r="C268" s="367"/>
      <c r="D268" s="624">
        <f t="shared" ref="D268:AG268" si="116">ROUND(D263/(1+D267)^D264,4)</f>
        <v>0</v>
      </c>
      <c r="E268" s="624">
        <f t="shared" si="116"/>
        <v>0</v>
      </c>
      <c r="F268" s="624">
        <f t="shared" si="116"/>
        <v>0</v>
      </c>
      <c r="G268" s="624">
        <f t="shared" si="116"/>
        <v>0</v>
      </c>
      <c r="H268" s="624">
        <f t="shared" si="116"/>
        <v>0</v>
      </c>
      <c r="I268" s="624">
        <f t="shared" si="116"/>
        <v>0</v>
      </c>
      <c r="J268" s="624">
        <f t="shared" si="116"/>
        <v>3732.1264999999999</v>
      </c>
      <c r="K268" s="624">
        <f t="shared" si="116"/>
        <v>3618.0909999999999</v>
      </c>
      <c r="L268" s="624">
        <f t="shared" si="116"/>
        <v>3497.0464000000002</v>
      </c>
      <c r="M268" s="624">
        <f t="shared" si="116"/>
        <v>3369.5482999999999</v>
      </c>
      <c r="N268" s="624">
        <f t="shared" si="116"/>
        <v>3244.0574000000001</v>
      </c>
      <c r="O268" s="624">
        <f t="shared" si="116"/>
        <v>3126.2017999999998</v>
      </c>
      <c r="P268" s="624">
        <f t="shared" si="116"/>
        <v>3010.5234999999998</v>
      </c>
      <c r="Q268" s="624">
        <f t="shared" si="116"/>
        <v>2896.2759000000001</v>
      </c>
      <c r="R268" s="624">
        <f t="shared" si="116"/>
        <v>2783.3874999999998</v>
      </c>
      <c r="S268" s="624">
        <f t="shared" si="116"/>
        <v>7317.3099000000002</v>
      </c>
      <c r="T268" s="624">
        <f t="shared" si="116"/>
        <v>6838.0953</v>
      </c>
      <c r="U268" s="624">
        <f t="shared" si="116"/>
        <v>6376.9757</v>
      </c>
      <c r="V268" s="624">
        <f t="shared" si="116"/>
        <v>5935.5472</v>
      </c>
      <c r="W268" s="624">
        <f t="shared" si="116"/>
        <v>5532.3810000000003</v>
      </c>
      <c r="X268" s="624">
        <f t="shared" si="116"/>
        <v>5159.1516000000001</v>
      </c>
      <c r="Y268" s="624">
        <f t="shared" si="116"/>
        <v>4804.9251999999997</v>
      </c>
      <c r="Z268" s="624">
        <f t="shared" si="116"/>
        <v>4469.0734000000002</v>
      </c>
      <c r="AA268" s="624">
        <f t="shared" si="116"/>
        <v>4149.5388999999996</v>
      </c>
      <c r="AB268" s="624">
        <f t="shared" si="116"/>
        <v>3847.9005000000002</v>
      </c>
      <c r="AC268" s="624">
        <f t="shared" si="116"/>
        <v>3549.2082</v>
      </c>
      <c r="AD268" s="624">
        <f t="shared" si="116"/>
        <v>3258.1426000000001</v>
      </c>
      <c r="AE268" s="624">
        <f t="shared" si="116"/>
        <v>2982.2384000000002</v>
      </c>
      <c r="AF268" s="624">
        <f t="shared" si="116"/>
        <v>2721.9061000000002</v>
      </c>
      <c r="AG268" s="624">
        <f t="shared" si="116"/>
        <v>2476.8368999999998</v>
      </c>
    </row>
    <row r="269" spans="2:35" x14ac:dyDescent="0.3">
      <c r="B269" s="367"/>
      <c r="C269" s="367"/>
      <c r="D269" s="280"/>
      <c r="E269"/>
      <c r="F269"/>
      <c r="G269"/>
      <c r="H269"/>
      <c r="I269"/>
      <c r="J269"/>
      <c r="K269"/>
      <c r="L269"/>
      <c r="M269"/>
      <c r="N269"/>
      <c r="O269"/>
      <c r="P269"/>
      <c r="Q269"/>
      <c r="R269"/>
      <c r="S269"/>
      <c r="T269"/>
      <c r="U269"/>
      <c r="V269"/>
      <c r="W269"/>
      <c r="X269"/>
      <c r="Y269"/>
      <c r="Z269"/>
      <c r="AA269"/>
      <c r="AB269"/>
      <c r="AC269"/>
      <c r="AD269"/>
      <c r="AE269"/>
      <c r="AF269"/>
      <c r="AG269"/>
    </row>
    <row r="270" spans="2:35" x14ac:dyDescent="0.3">
      <c r="B270" s="585" t="s">
        <v>650</v>
      </c>
      <c r="C270" s="586">
        <f>+SUM(D268:AG268)</f>
        <v>98696.489200000011</v>
      </c>
      <c r="D270" s="500"/>
      <c r="E270" s="500"/>
      <c r="F270" s="500"/>
      <c r="G270" s="500"/>
      <c r="H270" s="500"/>
      <c r="I270" s="500"/>
      <c r="J270" s="500"/>
      <c r="K270" s="500"/>
      <c r="L270" s="500"/>
      <c r="M270" s="500"/>
      <c r="N270" s="500"/>
      <c r="O270" s="500"/>
      <c r="P270" s="500"/>
      <c r="Q270" s="500"/>
      <c r="R270" s="500"/>
      <c r="S270" s="500"/>
      <c r="T270" s="500"/>
      <c r="U270" s="500"/>
      <c r="V270" s="500"/>
      <c r="W270" s="500"/>
      <c r="X270" s="500"/>
      <c r="Y270" s="500"/>
      <c r="Z270" s="500"/>
      <c r="AA270" s="500"/>
      <c r="AB270" s="500"/>
      <c r="AC270" s="500"/>
      <c r="AD270" s="500"/>
      <c r="AE270" s="500"/>
      <c r="AF270" s="500"/>
      <c r="AG270" s="500"/>
    </row>
    <row r="271" spans="2:35" x14ac:dyDescent="0.3">
      <c r="B271" s="585" t="s">
        <v>1331</v>
      </c>
      <c r="C271" s="586">
        <f>+SUMPRODUCT(D264:AG264,D268:AG268)/C270</f>
        <v>12.320637098523193</v>
      </c>
      <c r="D271" s="365"/>
      <c r="E271" s="365"/>
      <c r="F271" s="361"/>
      <c r="G271" s="363"/>
    </row>
    <row r="273" spans="2:13" ht="17.25" customHeight="1" x14ac:dyDescent="0.3"/>
    <row r="274" spans="2:13" x14ac:dyDescent="0.3">
      <c r="B274" s="584" t="s">
        <v>1251</v>
      </c>
      <c r="C274" s="584">
        <v>9452</v>
      </c>
      <c r="D274" s="575"/>
      <c r="E274"/>
      <c r="F274"/>
      <c r="G274"/>
    </row>
    <row r="275" spans="2:13" x14ac:dyDescent="0.3">
      <c r="B275" s="364"/>
      <c r="C275" s="364" t="s">
        <v>105</v>
      </c>
      <c r="D275" s="365">
        <v>3.6700000000000003E-2</v>
      </c>
      <c r="E275" s="365"/>
      <c r="F275" s="361"/>
      <c r="G275" s="363"/>
      <c r="H275" s="363"/>
      <c r="I275" s="363"/>
      <c r="J275" s="363"/>
      <c r="K275" s="363"/>
      <c r="L275" s="363"/>
      <c r="M275" s="363"/>
    </row>
    <row r="276" spans="2:13" x14ac:dyDescent="0.3">
      <c r="B276" s="361"/>
      <c r="C276" s="696">
        <v>43991</v>
      </c>
      <c r="D276" s="696">
        <v>44356</v>
      </c>
      <c r="E276" s="696">
        <v>44721</v>
      </c>
      <c r="F276" s="696">
        <v>45086</v>
      </c>
      <c r="G276" s="696">
        <v>45452</v>
      </c>
      <c r="H276" s="696">
        <v>45817</v>
      </c>
      <c r="I276" s="696">
        <v>46182</v>
      </c>
      <c r="J276" s="696">
        <v>46547</v>
      </c>
      <c r="K276" s="696">
        <v>46913</v>
      </c>
      <c r="L276" s="696">
        <v>47278</v>
      </c>
      <c r="M276" s="696">
        <v>47643</v>
      </c>
    </row>
    <row r="277" spans="2:13" x14ac:dyDescent="0.3">
      <c r="B277" s="463" t="s">
        <v>1318</v>
      </c>
      <c r="C277" s="697"/>
      <c r="D277" s="698">
        <f>100000/10</f>
        <v>10000</v>
      </c>
      <c r="E277" s="698">
        <f t="shared" ref="E277:M277" si="117">$C$278/10</f>
        <v>10000</v>
      </c>
      <c r="F277" s="698">
        <f>$C$278/10</f>
        <v>10000</v>
      </c>
      <c r="G277" s="698">
        <f t="shared" si="117"/>
        <v>10000</v>
      </c>
      <c r="H277" s="698">
        <f t="shared" si="117"/>
        <v>10000</v>
      </c>
      <c r="I277" s="698">
        <f t="shared" si="117"/>
        <v>10000</v>
      </c>
      <c r="J277" s="698">
        <f t="shared" si="117"/>
        <v>10000</v>
      </c>
      <c r="K277" s="698">
        <f t="shared" si="117"/>
        <v>10000</v>
      </c>
      <c r="L277" s="698">
        <f t="shared" si="117"/>
        <v>10000</v>
      </c>
      <c r="M277" s="698">
        <f t="shared" si="117"/>
        <v>10000</v>
      </c>
    </row>
    <row r="278" spans="2:13" x14ac:dyDescent="0.3">
      <c r="B278" s="463" t="s">
        <v>1320</v>
      </c>
      <c r="C278" s="699">
        <v>100000</v>
      </c>
      <c r="D278" s="700">
        <f>+C278-D277</f>
        <v>90000</v>
      </c>
      <c r="E278" s="700">
        <f t="shared" ref="E278:M278" si="118">+D278-E277</f>
        <v>80000</v>
      </c>
      <c r="F278" s="700">
        <f t="shared" si="118"/>
        <v>70000</v>
      </c>
      <c r="G278" s="700">
        <f t="shared" si="118"/>
        <v>60000</v>
      </c>
      <c r="H278" s="700">
        <f t="shared" si="118"/>
        <v>50000</v>
      </c>
      <c r="I278" s="700">
        <f t="shared" si="118"/>
        <v>40000</v>
      </c>
      <c r="J278" s="700">
        <f t="shared" si="118"/>
        <v>30000</v>
      </c>
      <c r="K278" s="700">
        <f t="shared" si="118"/>
        <v>20000</v>
      </c>
      <c r="L278" s="700">
        <f t="shared" si="118"/>
        <v>10000</v>
      </c>
      <c r="M278" s="700">
        <f t="shared" si="118"/>
        <v>0</v>
      </c>
    </row>
    <row r="279" spans="2:13" x14ac:dyDescent="0.3">
      <c r="B279" s="463" t="s">
        <v>1321</v>
      </c>
      <c r="C279" s="697"/>
      <c r="D279" s="701">
        <f t="shared" ref="D279:M279" si="119">ROUND(C278*$D$275,2)</f>
        <v>3670</v>
      </c>
      <c r="E279" s="701">
        <f t="shared" si="119"/>
        <v>3303</v>
      </c>
      <c r="F279" s="701">
        <f t="shared" si="119"/>
        <v>2936</v>
      </c>
      <c r="G279" s="701">
        <f t="shared" si="119"/>
        <v>2569</v>
      </c>
      <c r="H279" s="701">
        <f t="shared" si="119"/>
        <v>2202</v>
      </c>
      <c r="I279" s="701">
        <f t="shared" si="119"/>
        <v>1835</v>
      </c>
      <c r="J279" s="701">
        <f t="shared" si="119"/>
        <v>1468</v>
      </c>
      <c r="K279" s="701">
        <f t="shared" si="119"/>
        <v>1101</v>
      </c>
      <c r="L279" s="701">
        <f t="shared" si="119"/>
        <v>734</v>
      </c>
      <c r="M279" s="701">
        <f t="shared" si="119"/>
        <v>367</v>
      </c>
    </row>
    <row r="280" spans="2:13" x14ac:dyDescent="0.3">
      <c r="B280" s="463" t="s">
        <v>1322</v>
      </c>
      <c r="C280" s="697"/>
      <c r="D280" s="700">
        <f>+D279+D277</f>
        <v>13670</v>
      </c>
      <c r="E280" s="700">
        <f t="shared" ref="E280:M280" si="120">+E279+E277</f>
        <v>13303</v>
      </c>
      <c r="F280" s="700">
        <f t="shared" si="120"/>
        <v>12936</v>
      </c>
      <c r="G280" s="700">
        <f t="shared" si="120"/>
        <v>12569</v>
      </c>
      <c r="H280" s="700">
        <f t="shared" si="120"/>
        <v>12202</v>
      </c>
      <c r="I280" s="700">
        <f t="shared" si="120"/>
        <v>11835</v>
      </c>
      <c r="J280" s="700">
        <f t="shared" si="120"/>
        <v>11468</v>
      </c>
      <c r="K280" s="700">
        <f t="shared" si="120"/>
        <v>11101</v>
      </c>
      <c r="L280" s="700">
        <f t="shared" si="120"/>
        <v>10734</v>
      </c>
      <c r="M280" s="700">
        <f t="shared" si="120"/>
        <v>10367</v>
      </c>
    </row>
    <row r="281" spans="2:13" x14ac:dyDescent="0.3">
      <c r="B281" s="463" t="s">
        <v>1323</v>
      </c>
      <c r="C281" s="699"/>
      <c r="D281" s="700">
        <f t="shared" ref="D281:M281" si="121">+IF(D276&gt;$C$1,D280,0)</f>
        <v>0</v>
      </c>
      <c r="E281" s="700">
        <f t="shared" si="121"/>
        <v>0</v>
      </c>
      <c r="F281" s="700">
        <f t="shared" si="121"/>
        <v>0</v>
      </c>
      <c r="G281" s="700">
        <f t="shared" si="121"/>
        <v>0</v>
      </c>
      <c r="H281" s="700">
        <f t="shared" si="121"/>
        <v>0</v>
      </c>
      <c r="I281" s="700">
        <f t="shared" si="121"/>
        <v>11835</v>
      </c>
      <c r="J281" s="700">
        <f t="shared" si="121"/>
        <v>11468</v>
      </c>
      <c r="K281" s="700">
        <f t="shared" si="121"/>
        <v>11101</v>
      </c>
      <c r="L281" s="700">
        <f t="shared" si="121"/>
        <v>10734</v>
      </c>
      <c r="M281" s="700">
        <f t="shared" si="121"/>
        <v>10367</v>
      </c>
    </row>
    <row r="282" spans="2:13" x14ac:dyDescent="0.3">
      <c r="B282" s="463" t="s">
        <v>1324</v>
      </c>
      <c r="C282" s="702"/>
      <c r="D282" s="703">
        <f t="shared" ref="D282:M282" si="122">ROUND(IF(C281=0,(D276-$C$1)/(D276-C276),C282+1),10)</f>
        <v>-4.7972602740000001</v>
      </c>
      <c r="E282" s="703">
        <f t="shared" si="122"/>
        <v>-3.7972602740000001</v>
      </c>
      <c r="F282" s="703">
        <f t="shared" si="122"/>
        <v>-2.7972602740000001</v>
      </c>
      <c r="G282" s="703">
        <f t="shared" si="122"/>
        <v>-1.7896174863000001</v>
      </c>
      <c r="H282" s="703">
        <f t="shared" si="122"/>
        <v>-0.79452054790000004</v>
      </c>
      <c r="I282" s="703">
        <f t="shared" si="122"/>
        <v>0.20547945209999999</v>
      </c>
      <c r="J282" s="703">
        <f t="shared" si="122"/>
        <v>1.2054794521000001</v>
      </c>
      <c r="K282" s="703">
        <f t="shared" si="122"/>
        <v>2.2054794521000001</v>
      </c>
      <c r="L282" s="703">
        <f t="shared" si="122"/>
        <v>3.2054794521000001</v>
      </c>
      <c r="M282" s="703">
        <f t="shared" si="122"/>
        <v>4.2054794520999996</v>
      </c>
    </row>
    <row r="283" spans="2:13" x14ac:dyDescent="0.3">
      <c r="B283" s="463" t="s">
        <v>1325</v>
      </c>
      <c r="C283" s="697"/>
      <c r="D283" s="704" cm="1">
        <f t="array" ref="D283">interpoler(mat_zc,Taux_ZC,D282)</f>
        <v>2.3281430400000001E-2</v>
      </c>
      <c r="E283" s="704" cm="1">
        <f t="array" ref="E283">interpoler(mat_zc,Taux_ZC,E282)</f>
        <v>2.3281430400000001E-2</v>
      </c>
      <c r="F283" s="704" cm="1">
        <f t="array" ref="F283">interpoler(mat_zc,Taux_ZC,F282)</f>
        <v>2.3281430400000001E-2</v>
      </c>
      <c r="G283" s="704" cm="1">
        <f t="array" ref="G283">interpoler(mat_zc,Taux_ZC,G282)</f>
        <v>2.3281430400000001E-2</v>
      </c>
      <c r="H283" s="704" cm="1">
        <f t="array" ref="H283">interpoler(mat_zc,Taux_ZC,H282)</f>
        <v>2.3281430400000001E-2</v>
      </c>
      <c r="I283" s="704" cm="1">
        <f t="array" ref="I283">interpoler(mat_zc,Taux_ZC,I282)</f>
        <v>2.3400722986931549E-2</v>
      </c>
      <c r="J283" s="704" cm="1">
        <f t="array" ref="J283">interpoler(mat_zc,Taux_ZC,J282)</f>
        <v>2.5463522437056779E-2</v>
      </c>
      <c r="K283" s="704" cm="1">
        <f t="array" ref="K283">interpoler(mat_zc,Taux_ZC,K282)</f>
        <v>2.7021713258974397E-2</v>
      </c>
      <c r="L283" s="704" cm="1">
        <f t="array" ref="L283">interpoler(mat_zc,Taux_ZC,L282)</f>
        <v>2.8580705571304071E-2</v>
      </c>
      <c r="M283" s="704" cm="1">
        <f t="array" ref="M283">interpoler(mat_zc,Taux_ZC,M282)</f>
        <v>3.0053352821966504E-2</v>
      </c>
    </row>
    <row r="284" spans="2:13" x14ac:dyDescent="0.3">
      <c r="B284" s="463" t="s">
        <v>1328</v>
      </c>
      <c r="C284" s="697"/>
      <c r="D284" s="705">
        <v>1.03E-2</v>
      </c>
      <c r="E284" s="705">
        <f t="shared" ref="E284:M284" si="123">D284</f>
        <v>1.03E-2</v>
      </c>
      <c r="F284" s="705">
        <f t="shared" si="123"/>
        <v>1.03E-2</v>
      </c>
      <c r="G284" s="429">
        <f t="shared" si="123"/>
        <v>1.03E-2</v>
      </c>
      <c r="H284" s="429">
        <f t="shared" si="123"/>
        <v>1.03E-2</v>
      </c>
      <c r="I284" s="429">
        <f t="shared" si="123"/>
        <v>1.03E-2</v>
      </c>
      <c r="J284" s="429">
        <f t="shared" si="123"/>
        <v>1.03E-2</v>
      </c>
      <c r="K284" s="429">
        <f t="shared" si="123"/>
        <v>1.03E-2</v>
      </c>
      <c r="L284" s="429">
        <f>K284</f>
        <v>1.03E-2</v>
      </c>
      <c r="M284" s="429">
        <f t="shared" si="123"/>
        <v>1.03E-2</v>
      </c>
    </row>
    <row r="285" spans="2:13" x14ac:dyDescent="0.3">
      <c r="B285" s="463" t="s">
        <v>1329</v>
      </c>
      <c r="C285" s="697"/>
      <c r="D285" s="706">
        <f>ROUND(D283+D284,5)</f>
        <v>3.3579999999999999E-2</v>
      </c>
      <c r="E285" s="706">
        <f t="shared" ref="E285:M285" si="124">ROUND(E283+E284,5)</f>
        <v>3.3579999999999999E-2</v>
      </c>
      <c r="F285" s="706">
        <f t="shared" si="124"/>
        <v>3.3579999999999999E-2</v>
      </c>
      <c r="G285" s="706">
        <f t="shared" si="124"/>
        <v>3.3579999999999999E-2</v>
      </c>
      <c r="H285" s="706">
        <f t="shared" si="124"/>
        <v>3.3579999999999999E-2</v>
      </c>
      <c r="I285" s="706">
        <f t="shared" si="124"/>
        <v>3.3700000000000001E-2</v>
      </c>
      <c r="J285" s="706">
        <f t="shared" si="124"/>
        <v>3.576E-2</v>
      </c>
      <c r="K285" s="706">
        <f t="shared" si="124"/>
        <v>3.7319999999999999E-2</v>
      </c>
      <c r="L285" s="706">
        <f t="shared" si="124"/>
        <v>3.8879999999999998E-2</v>
      </c>
      <c r="M285" s="706">
        <f t="shared" si="124"/>
        <v>4.0349999999999997E-2</v>
      </c>
    </row>
    <row r="286" spans="2:13" x14ac:dyDescent="0.3">
      <c r="B286" s="463"/>
      <c r="C286" s="697"/>
      <c r="D286" s="700">
        <f>ROUND(D281/(1+D285)^D282,4)</f>
        <v>0</v>
      </c>
      <c r="E286" s="700">
        <f t="shared" ref="E286:M286" si="125">ROUND(E281/(1+E285)^E282,4)</f>
        <v>0</v>
      </c>
      <c r="F286" s="700">
        <f t="shared" si="125"/>
        <v>0</v>
      </c>
      <c r="G286" s="700">
        <f t="shared" si="125"/>
        <v>0</v>
      </c>
      <c r="H286" s="1016">
        <f t="shared" si="125"/>
        <v>0</v>
      </c>
      <c r="I286" s="1016">
        <f t="shared" si="125"/>
        <v>11754.671200000001</v>
      </c>
      <c r="J286" s="700">
        <f t="shared" si="125"/>
        <v>10992.4149</v>
      </c>
      <c r="K286" s="700">
        <f t="shared" si="125"/>
        <v>10239.2196</v>
      </c>
      <c r="L286" s="700">
        <f t="shared" si="125"/>
        <v>9498.6435000000001</v>
      </c>
      <c r="M286" s="700">
        <f t="shared" si="125"/>
        <v>8778.1941999999999</v>
      </c>
    </row>
    <row r="287" spans="2:13" x14ac:dyDescent="0.3">
      <c r="B287" s="367"/>
      <c r="C287" s="367"/>
      <c r="D287" s="488"/>
      <c r="E287" s="488"/>
      <c r="F287" s="488"/>
      <c r="G287" s="488"/>
      <c r="H287" s="488"/>
      <c r="I287" s="488"/>
      <c r="J287" s="488"/>
      <c r="K287" s="488"/>
      <c r="L287" s="488"/>
      <c r="M287" s="488"/>
    </row>
    <row r="288" spans="2:13" x14ac:dyDescent="0.3">
      <c r="B288" s="585" t="s">
        <v>650</v>
      </c>
      <c r="C288" s="586">
        <f>+SUM(D286:AB286)</f>
        <v>51263.143399999994</v>
      </c>
      <c r="D288" s="500"/>
      <c r="E288" s="430"/>
      <c r="F288" s="361"/>
      <c r="G288" s="365"/>
      <c r="H288" s="365"/>
      <c r="I288" s="365"/>
      <c r="J288" s="365"/>
      <c r="K288" s="365"/>
      <c r="L288" s="365"/>
      <c r="M288" s="365"/>
    </row>
    <row r="289" spans="2:33" x14ac:dyDescent="0.3">
      <c r="B289" s="585" t="s">
        <v>1331</v>
      </c>
      <c r="C289" s="586">
        <f>+SUMPRODUCT(D282:AG282,D286:AG286)/C288</f>
        <v>2.0602147471658117</v>
      </c>
      <c r="D289" s="365"/>
      <c r="E289" s="365"/>
      <c r="F289" s="361"/>
      <c r="G289" s="363"/>
      <c r="H289" s="363"/>
      <c r="I289" s="363"/>
      <c r="J289" s="363"/>
      <c r="K289" s="363"/>
      <c r="L289" s="363"/>
      <c r="M289" s="363"/>
    </row>
    <row r="291" spans="2:33" x14ac:dyDescent="0.3">
      <c r="D291" s="461">
        <f>1.79+0.4</f>
        <v>2.19</v>
      </c>
      <c r="J291" s="572"/>
    </row>
    <row r="294" spans="2:33" x14ac:dyDescent="0.3">
      <c r="B294" s="584" t="s">
        <v>37</v>
      </c>
      <c r="C294" s="584">
        <v>9437</v>
      </c>
      <c r="D294" s="575"/>
      <c r="E294"/>
      <c r="F294"/>
      <c r="G294"/>
    </row>
    <row r="295" spans="2:33" x14ac:dyDescent="0.3">
      <c r="B295" s="364"/>
      <c r="C295" s="364" t="s">
        <v>105</v>
      </c>
      <c r="D295" s="365">
        <v>3.8699999999999998E-2</v>
      </c>
      <c r="E295" s="365"/>
      <c r="F295" s="361"/>
      <c r="G295" s="363"/>
      <c r="H295" s="363"/>
      <c r="I295" s="363"/>
      <c r="J295" s="363"/>
      <c r="K295" s="363"/>
      <c r="L295" s="363"/>
      <c r="M295" s="363"/>
    </row>
    <row r="296" spans="2:33" x14ac:dyDescent="0.3">
      <c r="B296" s="361"/>
      <c r="C296" s="731">
        <v>43886</v>
      </c>
      <c r="D296" s="731">
        <v>44252</v>
      </c>
      <c r="E296" s="731">
        <v>44617</v>
      </c>
      <c r="F296" s="731">
        <v>44982</v>
      </c>
      <c r="G296" s="731">
        <v>45347</v>
      </c>
      <c r="H296" s="731">
        <v>45713</v>
      </c>
      <c r="I296" s="731">
        <v>46078</v>
      </c>
      <c r="J296" s="731">
        <v>46443</v>
      </c>
      <c r="K296" s="731">
        <v>46808</v>
      </c>
      <c r="L296" s="731">
        <v>47174</v>
      </c>
      <c r="M296" s="731">
        <v>47539</v>
      </c>
      <c r="N296" s="731">
        <v>47904</v>
      </c>
      <c r="O296" s="731">
        <v>48269</v>
      </c>
      <c r="P296" s="731">
        <v>48635</v>
      </c>
      <c r="Q296" s="731">
        <v>49000</v>
      </c>
      <c r="R296" s="731">
        <v>49365</v>
      </c>
      <c r="S296" s="731">
        <v>49730</v>
      </c>
      <c r="T296" s="731">
        <v>50096</v>
      </c>
      <c r="U296" s="731">
        <v>50461</v>
      </c>
      <c r="V296" s="731">
        <v>50826</v>
      </c>
      <c r="W296" s="731">
        <v>51191</v>
      </c>
      <c r="X296" s="731">
        <v>51557</v>
      </c>
      <c r="Y296" s="731">
        <v>51922</v>
      </c>
      <c r="Z296" s="731">
        <v>52287</v>
      </c>
      <c r="AA296" s="731">
        <v>52652</v>
      </c>
      <c r="AB296" s="731">
        <v>53018</v>
      </c>
      <c r="AC296" s="731">
        <v>53383</v>
      </c>
      <c r="AD296" s="731">
        <v>53748</v>
      </c>
      <c r="AE296" s="731">
        <v>54113</v>
      </c>
      <c r="AF296" s="731">
        <v>54479</v>
      </c>
      <c r="AG296" s="731">
        <v>54844</v>
      </c>
    </row>
    <row r="297" spans="2:33" x14ac:dyDescent="0.3">
      <c r="B297" s="463" t="s">
        <v>1318</v>
      </c>
      <c r="C297" s="697"/>
      <c r="D297" s="698">
        <v>0</v>
      </c>
      <c r="E297" s="698">
        <v>0</v>
      </c>
      <c r="F297" s="698">
        <v>0</v>
      </c>
      <c r="G297" s="698">
        <v>0</v>
      </c>
      <c r="H297" s="698">
        <v>0</v>
      </c>
      <c r="I297" s="698">
        <v>0</v>
      </c>
      <c r="J297" s="698">
        <v>0</v>
      </c>
      <c r="K297" s="698">
        <v>0</v>
      </c>
      <c r="L297" s="698">
        <v>0</v>
      </c>
      <c r="M297" s="698">
        <v>0</v>
      </c>
      <c r="N297" s="698">
        <v>0</v>
      </c>
      <c r="O297" s="698">
        <v>0</v>
      </c>
      <c r="P297" s="698">
        <v>0</v>
      </c>
      <c r="Q297" s="698">
        <v>0</v>
      </c>
      <c r="R297" s="698">
        <v>0</v>
      </c>
      <c r="S297" s="698">
        <f>100000/15</f>
        <v>6666.666666666667</v>
      </c>
      <c r="T297" s="698">
        <f t="shared" ref="T297:AF297" si="126">100000/15</f>
        <v>6666.666666666667</v>
      </c>
      <c r="U297" s="698">
        <f t="shared" si="126"/>
        <v>6666.666666666667</v>
      </c>
      <c r="V297" s="698">
        <f t="shared" si="126"/>
        <v>6666.666666666667</v>
      </c>
      <c r="W297" s="698">
        <f t="shared" si="126"/>
        <v>6666.666666666667</v>
      </c>
      <c r="X297" s="698">
        <f t="shared" si="126"/>
        <v>6666.666666666667</v>
      </c>
      <c r="Y297" s="698">
        <f t="shared" si="126"/>
        <v>6666.666666666667</v>
      </c>
      <c r="Z297" s="698">
        <f t="shared" si="126"/>
        <v>6666.666666666667</v>
      </c>
      <c r="AA297" s="698">
        <f t="shared" si="126"/>
        <v>6666.666666666667</v>
      </c>
      <c r="AB297" s="698">
        <f t="shared" si="126"/>
        <v>6666.666666666667</v>
      </c>
      <c r="AC297" s="698">
        <f t="shared" si="126"/>
        <v>6666.666666666667</v>
      </c>
      <c r="AD297" s="698">
        <f t="shared" si="126"/>
        <v>6666.666666666667</v>
      </c>
      <c r="AE297" s="698">
        <f t="shared" si="126"/>
        <v>6666.666666666667</v>
      </c>
      <c r="AF297" s="698">
        <f t="shared" si="126"/>
        <v>6666.666666666667</v>
      </c>
      <c r="AG297" s="698">
        <f>100000-SUM(S297:AF297)</f>
        <v>6666.666666666657</v>
      </c>
    </row>
    <row r="298" spans="2:33" x14ac:dyDescent="0.3">
      <c r="B298" s="463" t="s">
        <v>1320</v>
      </c>
      <c r="C298" s="699">
        <v>100000</v>
      </c>
      <c r="D298" s="700">
        <f>+C298-D297</f>
        <v>100000</v>
      </c>
      <c r="E298" s="700">
        <f t="shared" ref="E298:AG298" si="127">+D298-E297</f>
        <v>100000</v>
      </c>
      <c r="F298" s="700">
        <f t="shared" si="127"/>
        <v>100000</v>
      </c>
      <c r="G298" s="700">
        <f t="shared" si="127"/>
        <v>100000</v>
      </c>
      <c r="H298" s="700">
        <f t="shared" si="127"/>
        <v>100000</v>
      </c>
      <c r="I298" s="700">
        <f t="shared" si="127"/>
        <v>100000</v>
      </c>
      <c r="J298" s="700">
        <f t="shared" si="127"/>
        <v>100000</v>
      </c>
      <c r="K298" s="700">
        <f t="shared" si="127"/>
        <v>100000</v>
      </c>
      <c r="L298" s="700">
        <f t="shared" si="127"/>
        <v>100000</v>
      </c>
      <c r="M298" s="700">
        <f t="shared" si="127"/>
        <v>100000</v>
      </c>
      <c r="N298" s="700">
        <f t="shared" si="127"/>
        <v>100000</v>
      </c>
      <c r="O298" s="700">
        <f t="shared" si="127"/>
        <v>100000</v>
      </c>
      <c r="P298" s="700">
        <f t="shared" si="127"/>
        <v>100000</v>
      </c>
      <c r="Q298" s="700">
        <f t="shared" si="127"/>
        <v>100000</v>
      </c>
      <c r="R298" s="700">
        <f t="shared" si="127"/>
        <v>100000</v>
      </c>
      <c r="S298" s="700">
        <f t="shared" si="127"/>
        <v>93333.333333333328</v>
      </c>
      <c r="T298" s="700">
        <f t="shared" si="127"/>
        <v>86666.666666666657</v>
      </c>
      <c r="U298" s="700">
        <f t="shared" si="127"/>
        <v>79999.999999999985</v>
      </c>
      <c r="V298" s="700">
        <f t="shared" si="127"/>
        <v>73333.333333333314</v>
      </c>
      <c r="W298" s="700">
        <f t="shared" si="127"/>
        <v>66666.666666666642</v>
      </c>
      <c r="X298" s="700">
        <f t="shared" si="127"/>
        <v>59999.999999999978</v>
      </c>
      <c r="Y298" s="700">
        <f t="shared" si="127"/>
        <v>53333.333333333314</v>
      </c>
      <c r="Z298" s="700">
        <f t="shared" si="127"/>
        <v>46666.66666666665</v>
      </c>
      <c r="AA298" s="700">
        <f t="shared" si="127"/>
        <v>39999.999999999985</v>
      </c>
      <c r="AB298" s="700">
        <f t="shared" si="127"/>
        <v>33333.333333333321</v>
      </c>
      <c r="AC298" s="700">
        <f t="shared" si="127"/>
        <v>26666.666666666653</v>
      </c>
      <c r="AD298" s="700">
        <f t="shared" si="127"/>
        <v>19999.999999999985</v>
      </c>
      <c r="AE298" s="700">
        <f t="shared" si="127"/>
        <v>13333.333333333318</v>
      </c>
      <c r="AF298" s="700">
        <f t="shared" si="127"/>
        <v>6666.6666666666506</v>
      </c>
      <c r="AG298" s="700">
        <f t="shared" si="127"/>
        <v>0</v>
      </c>
    </row>
    <row r="299" spans="2:33" x14ac:dyDescent="0.3">
      <c r="B299" s="463" t="s">
        <v>1321</v>
      </c>
      <c r="C299" s="697"/>
      <c r="D299" s="701">
        <f t="shared" ref="D299:AG299" si="128">ROUND(C298*$D$295,2)</f>
        <v>3870</v>
      </c>
      <c r="E299" s="701">
        <f t="shared" si="128"/>
        <v>3870</v>
      </c>
      <c r="F299" s="701">
        <f t="shared" si="128"/>
        <v>3870</v>
      </c>
      <c r="G299" s="701">
        <f t="shared" si="128"/>
        <v>3870</v>
      </c>
      <c r="H299" s="701">
        <f t="shared" si="128"/>
        <v>3870</v>
      </c>
      <c r="I299" s="701">
        <f t="shared" si="128"/>
        <v>3870</v>
      </c>
      <c r="J299" s="701">
        <f t="shared" si="128"/>
        <v>3870</v>
      </c>
      <c r="K299" s="701">
        <f t="shared" si="128"/>
        <v>3870</v>
      </c>
      <c r="L299" s="701">
        <f t="shared" si="128"/>
        <v>3870</v>
      </c>
      <c r="M299" s="701">
        <f t="shared" si="128"/>
        <v>3870</v>
      </c>
      <c r="N299" s="701">
        <f t="shared" si="128"/>
        <v>3870</v>
      </c>
      <c r="O299" s="701">
        <f t="shared" si="128"/>
        <v>3870</v>
      </c>
      <c r="P299" s="701">
        <f t="shared" si="128"/>
        <v>3870</v>
      </c>
      <c r="Q299" s="701">
        <f t="shared" si="128"/>
        <v>3870</v>
      </c>
      <c r="R299" s="701">
        <f t="shared" si="128"/>
        <v>3870</v>
      </c>
      <c r="S299" s="701">
        <f t="shared" si="128"/>
        <v>3870</v>
      </c>
      <c r="T299" s="701">
        <f t="shared" si="128"/>
        <v>3612</v>
      </c>
      <c r="U299" s="701">
        <f t="shared" si="128"/>
        <v>3354</v>
      </c>
      <c r="V299" s="701">
        <f t="shared" si="128"/>
        <v>3096</v>
      </c>
      <c r="W299" s="701">
        <f t="shared" si="128"/>
        <v>2838</v>
      </c>
      <c r="X299" s="701">
        <f t="shared" si="128"/>
        <v>2580</v>
      </c>
      <c r="Y299" s="701">
        <f t="shared" si="128"/>
        <v>2322</v>
      </c>
      <c r="Z299" s="701">
        <f t="shared" si="128"/>
        <v>2064</v>
      </c>
      <c r="AA299" s="701">
        <f t="shared" si="128"/>
        <v>1806</v>
      </c>
      <c r="AB299" s="701">
        <f t="shared" si="128"/>
        <v>1548</v>
      </c>
      <c r="AC299" s="701">
        <f t="shared" si="128"/>
        <v>1290</v>
      </c>
      <c r="AD299" s="701">
        <f t="shared" si="128"/>
        <v>1032</v>
      </c>
      <c r="AE299" s="701">
        <f t="shared" si="128"/>
        <v>774</v>
      </c>
      <c r="AF299" s="701">
        <f t="shared" si="128"/>
        <v>516</v>
      </c>
      <c r="AG299" s="701">
        <f t="shared" si="128"/>
        <v>258</v>
      </c>
    </row>
    <row r="300" spans="2:33" x14ac:dyDescent="0.3">
      <c r="B300" s="463" t="s">
        <v>1322</v>
      </c>
      <c r="C300" s="697"/>
      <c r="D300" s="700">
        <f>+D299+D297</f>
        <v>3870</v>
      </c>
      <c r="E300" s="700">
        <f t="shared" ref="E300:AG300" si="129">+E299+E297</f>
        <v>3870</v>
      </c>
      <c r="F300" s="700">
        <f t="shared" si="129"/>
        <v>3870</v>
      </c>
      <c r="G300" s="700">
        <f t="shared" si="129"/>
        <v>3870</v>
      </c>
      <c r="H300" s="700">
        <f t="shared" si="129"/>
        <v>3870</v>
      </c>
      <c r="I300" s="700">
        <f t="shared" si="129"/>
        <v>3870</v>
      </c>
      <c r="J300" s="700">
        <f t="shared" si="129"/>
        <v>3870</v>
      </c>
      <c r="K300" s="700">
        <f t="shared" si="129"/>
        <v>3870</v>
      </c>
      <c r="L300" s="700">
        <f t="shared" si="129"/>
        <v>3870</v>
      </c>
      <c r="M300" s="700">
        <f t="shared" si="129"/>
        <v>3870</v>
      </c>
      <c r="N300" s="700">
        <f t="shared" si="129"/>
        <v>3870</v>
      </c>
      <c r="O300" s="700">
        <f t="shared" si="129"/>
        <v>3870</v>
      </c>
      <c r="P300" s="700">
        <f t="shared" si="129"/>
        <v>3870</v>
      </c>
      <c r="Q300" s="700">
        <f t="shared" si="129"/>
        <v>3870</v>
      </c>
      <c r="R300" s="700">
        <f t="shared" si="129"/>
        <v>3870</v>
      </c>
      <c r="S300" s="700">
        <f t="shared" si="129"/>
        <v>10536.666666666668</v>
      </c>
      <c r="T300" s="700">
        <f t="shared" si="129"/>
        <v>10278.666666666668</v>
      </c>
      <c r="U300" s="700">
        <f t="shared" si="129"/>
        <v>10020.666666666668</v>
      </c>
      <c r="V300" s="700">
        <f t="shared" si="129"/>
        <v>9762.6666666666679</v>
      </c>
      <c r="W300" s="700">
        <f t="shared" si="129"/>
        <v>9504.6666666666679</v>
      </c>
      <c r="X300" s="700">
        <f t="shared" si="129"/>
        <v>9246.6666666666679</v>
      </c>
      <c r="Y300" s="700">
        <f t="shared" si="129"/>
        <v>8988.6666666666679</v>
      </c>
      <c r="Z300" s="700">
        <f t="shared" si="129"/>
        <v>8730.6666666666679</v>
      </c>
      <c r="AA300" s="700">
        <f t="shared" si="129"/>
        <v>8472.6666666666679</v>
      </c>
      <c r="AB300" s="700">
        <f t="shared" si="129"/>
        <v>8214.6666666666679</v>
      </c>
      <c r="AC300" s="700">
        <f t="shared" si="129"/>
        <v>7956.666666666667</v>
      </c>
      <c r="AD300" s="700">
        <f t="shared" si="129"/>
        <v>7698.666666666667</v>
      </c>
      <c r="AE300" s="700">
        <f t="shared" si="129"/>
        <v>7440.666666666667</v>
      </c>
      <c r="AF300" s="700">
        <f t="shared" si="129"/>
        <v>7182.666666666667</v>
      </c>
      <c r="AG300" s="700">
        <f t="shared" si="129"/>
        <v>6924.666666666657</v>
      </c>
    </row>
    <row r="301" spans="2:33" x14ac:dyDescent="0.3">
      <c r="B301" s="463" t="s">
        <v>1323</v>
      </c>
      <c r="C301" s="699"/>
      <c r="D301" s="700">
        <f t="shared" ref="D301:AG301" si="130">+IF(D296&gt;$C$1,D300,0)</f>
        <v>0</v>
      </c>
      <c r="E301" s="700">
        <f t="shared" si="130"/>
        <v>0</v>
      </c>
      <c r="F301" s="700">
        <f t="shared" si="130"/>
        <v>0</v>
      </c>
      <c r="G301" s="700">
        <f t="shared" si="130"/>
        <v>0</v>
      </c>
      <c r="H301" s="700">
        <f t="shared" si="130"/>
        <v>0</v>
      </c>
      <c r="I301" s="700">
        <f t="shared" si="130"/>
        <v>0</v>
      </c>
      <c r="J301" s="700">
        <f t="shared" si="130"/>
        <v>3870</v>
      </c>
      <c r="K301" s="700">
        <f t="shared" si="130"/>
        <v>3870</v>
      </c>
      <c r="L301" s="700">
        <f t="shared" si="130"/>
        <v>3870</v>
      </c>
      <c r="M301" s="700">
        <f t="shared" si="130"/>
        <v>3870</v>
      </c>
      <c r="N301" s="700">
        <f t="shared" si="130"/>
        <v>3870</v>
      </c>
      <c r="O301" s="700">
        <f t="shared" si="130"/>
        <v>3870</v>
      </c>
      <c r="P301" s="700">
        <f t="shared" si="130"/>
        <v>3870</v>
      </c>
      <c r="Q301" s="700">
        <f t="shared" si="130"/>
        <v>3870</v>
      </c>
      <c r="R301" s="700">
        <f t="shared" si="130"/>
        <v>3870</v>
      </c>
      <c r="S301" s="700">
        <f t="shared" si="130"/>
        <v>10536.666666666668</v>
      </c>
      <c r="T301" s="700">
        <f t="shared" si="130"/>
        <v>10278.666666666668</v>
      </c>
      <c r="U301" s="700">
        <f t="shared" si="130"/>
        <v>10020.666666666668</v>
      </c>
      <c r="V301" s="700">
        <f t="shared" si="130"/>
        <v>9762.6666666666679</v>
      </c>
      <c r="W301" s="700">
        <f t="shared" si="130"/>
        <v>9504.6666666666679</v>
      </c>
      <c r="X301" s="700">
        <f t="shared" si="130"/>
        <v>9246.6666666666679</v>
      </c>
      <c r="Y301" s="700">
        <f t="shared" si="130"/>
        <v>8988.6666666666679</v>
      </c>
      <c r="Z301" s="700">
        <f t="shared" si="130"/>
        <v>8730.6666666666679</v>
      </c>
      <c r="AA301" s="700">
        <f t="shared" si="130"/>
        <v>8472.6666666666679</v>
      </c>
      <c r="AB301" s="700">
        <f t="shared" si="130"/>
        <v>8214.6666666666679</v>
      </c>
      <c r="AC301" s="700">
        <f t="shared" si="130"/>
        <v>7956.666666666667</v>
      </c>
      <c r="AD301" s="700">
        <f t="shared" si="130"/>
        <v>7698.666666666667</v>
      </c>
      <c r="AE301" s="700">
        <f t="shared" si="130"/>
        <v>7440.666666666667</v>
      </c>
      <c r="AF301" s="700">
        <f t="shared" si="130"/>
        <v>7182.666666666667</v>
      </c>
      <c r="AG301" s="700">
        <f t="shared" si="130"/>
        <v>6924.666666666657</v>
      </c>
    </row>
    <row r="302" spans="2:33" x14ac:dyDescent="0.3">
      <c r="B302" s="463" t="s">
        <v>1324</v>
      </c>
      <c r="C302" s="702"/>
      <c r="D302" s="703">
        <f t="shared" ref="D302:AG302" si="131">+IF(C301=0,(D296-$C$1)/(D296-C296),C302+1)</f>
        <v>-5.0683060109289615</v>
      </c>
      <c r="E302" s="703">
        <f t="shared" si="131"/>
        <v>-4.0821917808219181</v>
      </c>
      <c r="F302" s="703">
        <f t="shared" si="131"/>
        <v>-3.0821917808219177</v>
      </c>
      <c r="G302" s="703">
        <f t="shared" si="131"/>
        <v>-2.0821917808219177</v>
      </c>
      <c r="H302" s="703">
        <f t="shared" si="131"/>
        <v>-1.0765027322404372</v>
      </c>
      <c r="I302" s="703">
        <f t="shared" si="131"/>
        <v>-7.9452054794520555E-2</v>
      </c>
      <c r="J302" s="703">
        <f t="shared" si="131"/>
        <v>0.92054794520547945</v>
      </c>
      <c r="K302" s="703">
        <f t="shared" si="131"/>
        <v>1.9205479452054794</v>
      </c>
      <c r="L302" s="703">
        <f t="shared" si="131"/>
        <v>2.9205479452054792</v>
      </c>
      <c r="M302" s="703">
        <f t="shared" si="131"/>
        <v>3.9205479452054792</v>
      </c>
      <c r="N302" s="703">
        <f t="shared" si="131"/>
        <v>4.9205479452054792</v>
      </c>
      <c r="O302" s="703">
        <f t="shared" si="131"/>
        <v>5.9205479452054792</v>
      </c>
      <c r="P302" s="703">
        <f t="shared" si="131"/>
        <v>6.9205479452054792</v>
      </c>
      <c r="Q302" s="703">
        <f t="shared" si="131"/>
        <v>7.9205479452054792</v>
      </c>
      <c r="R302" s="703">
        <f t="shared" si="131"/>
        <v>8.9205479452054792</v>
      </c>
      <c r="S302" s="703">
        <f t="shared" si="131"/>
        <v>9.9205479452054792</v>
      </c>
      <c r="T302" s="703">
        <f t="shared" si="131"/>
        <v>10.920547945205479</v>
      </c>
      <c r="U302" s="703">
        <f t="shared" si="131"/>
        <v>11.920547945205479</v>
      </c>
      <c r="V302" s="703">
        <f t="shared" si="131"/>
        <v>12.920547945205479</v>
      </c>
      <c r="W302" s="703">
        <f t="shared" si="131"/>
        <v>13.920547945205479</v>
      </c>
      <c r="X302" s="703">
        <f t="shared" si="131"/>
        <v>14.920547945205479</v>
      </c>
      <c r="Y302" s="703">
        <f t="shared" si="131"/>
        <v>15.920547945205479</v>
      </c>
      <c r="Z302" s="703">
        <f t="shared" si="131"/>
        <v>16.920547945205477</v>
      </c>
      <c r="AA302" s="703">
        <f t="shared" si="131"/>
        <v>17.920547945205477</v>
      </c>
      <c r="AB302" s="703">
        <f t="shared" si="131"/>
        <v>18.920547945205477</v>
      </c>
      <c r="AC302" s="703">
        <f t="shared" si="131"/>
        <v>19.920547945205477</v>
      </c>
      <c r="AD302" s="703">
        <f t="shared" si="131"/>
        <v>20.920547945205477</v>
      </c>
      <c r="AE302" s="703">
        <f t="shared" si="131"/>
        <v>21.920547945205477</v>
      </c>
      <c r="AF302" s="703">
        <f t="shared" si="131"/>
        <v>22.920547945205477</v>
      </c>
      <c r="AG302" s="703">
        <f t="shared" si="131"/>
        <v>23.920547945205477</v>
      </c>
    </row>
    <row r="303" spans="2:33" x14ac:dyDescent="0.3">
      <c r="B303" s="463" t="s">
        <v>1325</v>
      </c>
      <c r="C303" s="697"/>
      <c r="D303" s="704" cm="1">
        <f t="array" ref="D303">IF((D296-$C$1)&lt;=365,interpoler(mat_court,taux_court_act,(D296-$C$1)),interpoler(CIH!$K$72:$K$103,CIH!$L$72:$L$103,D302))</f>
        <v>2.3281430422376737E-2</v>
      </c>
      <c r="E303" s="704" cm="1">
        <f t="array" ref="E303">IF((E296-$C$1)&lt;=366,interpoler(mat_court,taux_court_act,(E296-$C$1)),interpoler(CIH!$K$72:$K$103,CIH!$L$72:$L$103,E302))</f>
        <v>2.3281430422376737E-2</v>
      </c>
      <c r="F303" s="704" cm="1">
        <f t="array" ref="F303">IF((F296-$C$1)&lt;=366,interpoler(mat_court,taux_court_act,(F296-$C$1)),interpoler(CIH!$K$72:$K$103,CIH!$L$72:$L$103,F302))</f>
        <v>2.3281430422376737E-2</v>
      </c>
      <c r="G303" s="704" cm="1">
        <f t="array" ref="G303">IF((G296-$C$1)&lt;=366,interpoler(mat_court,taux_court_act,(G296-$C$1)),interpoler(CIH!$K$72:$K$103,CIH!$L$72:$L$103,G302))</f>
        <v>2.3281430422376737E-2</v>
      </c>
      <c r="H303" s="704" cm="1">
        <f t="array" ref="H303">IF((H296-$C$1)&lt;=366,interpoler(mat_court,taux_court_act,(H296-$C$1)),interpoler(CIH!$K$72:$K$103,CIH!$L$72:$L$103,H302))</f>
        <v>2.3281430422376737E-2</v>
      </c>
      <c r="I303" s="704" cm="1">
        <f t="array" ref="I303">IF((I296-$C$1)&lt;=366,interpoler(mat_court,taux_court_act,(I296-$C$1)),interpoler(CIH!$K$72:$K$103,CIH!$L$72:$L$103,I302))</f>
        <v>2.3281430422376737E-2</v>
      </c>
      <c r="J303" s="704" cm="1">
        <f t="array" ref="J303">IF((J296-$C$1)&lt;=366,interpoler(mat_court,taux_court_act,(J296-$C$1)),interpoler(CIH!$K$72:$K$103,CIH!$L$72:$L$103,J302))</f>
        <v>2.5017887291277709E-2</v>
      </c>
      <c r="K303" s="704" cm="1">
        <f t="array" ref="K303">IF((K296-$C$1)&lt;=366,interpoler(mat_court,taux_court_act,(K296-$C$1)),interpoler(CIH!$K$72:$K$103,CIH!$L$72:$L$103,K302))</f>
        <v>2.6578696516712328E-2</v>
      </c>
      <c r="L303" s="704" cm="1">
        <f t="array" ref="L303">IF((L296-$C$1)&lt;=366,interpoler(mat_court,taux_court_act,(L296-$C$1)),interpoler(CIH!$K$72:$K$103,CIH!$L$72:$L$103,L302))</f>
        <v>2.8133501638904108E-2</v>
      </c>
      <c r="M303" s="704" cm="1">
        <f t="array" ref="M303">IF((M296-$C$1)&lt;=366,interpoler(mat_court,taux_court_act,(M296-$C$1)),interpoler(CIH!$K$72:$K$103,CIH!$L$72:$L$103,M302))</f>
        <v>2.9706848404657531E-2</v>
      </c>
      <c r="N303" s="704">
        <f>IF((N296-$C$1)&lt;=366,interpoler(mat_court,taux_court_act,(N296-$C$1)),interpoler(CIH!$K$72:$K$103,CIH!$L$72:$L$103,N302))</f>
        <v>3.0823559957808219E-2</v>
      </c>
      <c r="O303" s="704">
        <f>IF((O296-$C$1)&lt;=366,interpoler(mat_court,taux_court_act,(O296-$C$1)),interpoler(CIH!$K$72:$K$103,CIH!$L$72:$L$103,O302))</f>
        <v>3.1391608137808225E-2</v>
      </c>
      <c r="P303" s="704">
        <f>IF((P296-$C$1)&lt;=366,interpoler(mat_court,taux_court_act,(P296-$C$1)),interpoler(CIH!$K$72:$K$103,CIH!$L$72:$L$103,P302))</f>
        <v>3.1897094370136991E-2</v>
      </c>
      <c r="Q303" s="704">
        <f>IF((Q296-$C$1)&lt;=366,interpoler(mat_court,taux_court_act,(Q296-$C$1)),interpoler(CIH!$K$72:$K$103,CIH!$L$72:$L$103,Q302))</f>
        <v>3.2410269531506851E-2</v>
      </c>
      <c r="R303" s="704">
        <f>IF((R296-$C$1)&lt;=366,interpoler(mat_court,taux_court_act,(R296-$C$1)),interpoler(CIH!$K$72:$K$103,CIH!$L$72:$L$103,R302))</f>
        <v>3.2933155542191776E-2</v>
      </c>
      <c r="S303" s="704">
        <f>IF((S296-$C$1)&lt;=366,interpoler(mat_court,taux_court_act,(S296-$C$1)),interpoler(CIH!$K$72:$K$103,CIH!$L$72:$L$103,S302))</f>
        <v>3.3538065092054793E-2</v>
      </c>
      <c r="T303" s="704">
        <f>IF((T296-$C$1)&lt;=366,interpoler(mat_court,taux_court_act,(T296-$C$1)),interpoler(CIH!$K$72:$K$103,CIH!$L$72:$L$103,T302))</f>
        <v>3.418009283178082E-2</v>
      </c>
      <c r="U303" s="704">
        <f>IF((U296-$C$1)&lt;=366,interpoler(mat_court,taux_court_act,(U296-$C$1)),interpoler(CIH!$K$72:$K$103,CIH!$L$72:$L$103,U302))</f>
        <v>3.4835916661095888E-2</v>
      </c>
      <c r="V303" s="704">
        <f>IF((V296-$C$1)&lt;=366,interpoler(mat_court,taux_court_act,(V296-$C$1)),interpoler(CIH!$K$72:$K$103,CIH!$L$72:$L$103,V302))</f>
        <v>3.5504757117808219E-2</v>
      </c>
      <c r="W303" s="704">
        <f>IF((W296-$C$1)&lt;=366,interpoler(mat_court,taux_court_act,(W296-$C$1)),interpoler(CIH!$K$72:$K$103,CIH!$L$72:$L$103,W302))</f>
        <v>3.5914779452328773E-2</v>
      </c>
      <c r="X303" s="704">
        <f>IF((X296-$C$1)&lt;=366,interpoler(mat_court,taux_court_act,(X296-$C$1)),interpoler(CIH!$K$72:$K$103,CIH!$L$72:$L$103,X302))</f>
        <v>3.6183697984109586E-2</v>
      </c>
      <c r="Y303" s="704">
        <f>IF((Y296-$C$1)&lt;=366,interpoler(mat_court,taux_court_act,(Y296-$C$1)),interpoler(CIH!$K$72:$K$103,CIH!$L$72:$L$103,Y302))</f>
        <v>3.6449674365753422E-2</v>
      </c>
      <c r="Z303" s="704">
        <f>IF((Z296-$C$1)&lt;=366,interpoler(mat_court,taux_court_act,(Z296-$C$1)),interpoler(CIH!$K$72:$K$103,CIH!$L$72:$L$103,Z302))</f>
        <v>3.6723373043287676E-2</v>
      </c>
      <c r="AA303" s="704">
        <f>IF((AA296-$C$1)&lt;=366,interpoler(mat_court,taux_court_act,(AA296-$C$1)),interpoler(CIH!$K$72:$K$103,CIH!$L$72:$L$103,AA302))</f>
        <v>3.700551503671233E-2</v>
      </c>
      <c r="AB303" s="704">
        <f>IF((AB296-$C$1)&lt;=366,interpoler(mat_court,taux_court_act,(AB296-$C$1)),interpoler(CIH!$K$72:$K$103,CIH!$L$72:$L$103,AB302))</f>
        <v>3.7294517638082191E-2</v>
      </c>
      <c r="AC303" s="704">
        <f>IF((AC296-$C$1)&lt;=366,interpoler(mat_court,taux_court_act,(AC296-$C$1)),interpoler(CIH!$K$72:$K$103,CIH!$L$72:$L$103,AC302))</f>
        <v>3.7771698991506848E-2</v>
      </c>
      <c r="AD303" s="704">
        <f>IF((AD296-$C$1)&lt;=366,interpoler(mat_court,taux_court_act,(AD296-$C$1)),interpoler(CIH!$K$72:$K$103,CIH!$L$72:$L$103,AD302))</f>
        <v>3.8393659685479455E-2</v>
      </c>
      <c r="AE303" s="704">
        <f>IF((AE296-$C$1)&lt;=366,interpoler(mat_court,taux_court_act,(AE296-$C$1)),interpoler(CIH!$K$72:$K$103,CIH!$L$72:$L$103,AE302))</f>
        <v>3.9044014468767124E-2</v>
      </c>
      <c r="AF303" s="704">
        <f>IF((AF296-$C$1)&lt;=366,interpoler(mat_court,taux_court_act,(AF296-$C$1)),interpoler(CIH!$K$72:$K$103,CIH!$L$72:$L$103,AF302))</f>
        <v>3.9711106342739728E-2</v>
      </c>
      <c r="AG303" s="704">
        <f>IF((AG296-$C$1)&lt;=366,interpoler(mat_court,taux_court_act,(AG296-$C$1)),interpoler(CIH!$K$72:$K$103,CIH!$L$72:$L$103,AG302))</f>
        <v>4.0398245344383556E-2</v>
      </c>
    </row>
    <row r="304" spans="2:33" x14ac:dyDescent="0.3">
      <c r="B304" s="463" t="s">
        <v>1328</v>
      </c>
      <c r="C304" s="697"/>
      <c r="D304" s="705">
        <v>3.8300000000000001E-3</v>
      </c>
      <c r="E304" s="705">
        <f>D304</f>
        <v>3.8300000000000001E-3</v>
      </c>
      <c r="F304" s="705">
        <f t="shared" ref="F304:AG304" si="132">E304</f>
        <v>3.8300000000000001E-3</v>
      </c>
      <c r="G304" s="705">
        <f t="shared" si="132"/>
        <v>3.8300000000000001E-3</v>
      </c>
      <c r="H304" s="705">
        <f t="shared" si="132"/>
        <v>3.8300000000000001E-3</v>
      </c>
      <c r="I304" s="705">
        <f t="shared" si="132"/>
        <v>3.8300000000000001E-3</v>
      </c>
      <c r="J304" s="705">
        <f t="shared" si="132"/>
        <v>3.8300000000000001E-3</v>
      </c>
      <c r="K304" s="705">
        <f t="shared" si="132"/>
        <v>3.8300000000000001E-3</v>
      </c>
      <c r="L304" s="705">
        <f t="shared" si="132"/>
        <v>3.8300000000000001E-3</v>
      </c>
      <c r="M304" s="705">
        <f t="shared" si="132"/>
        <v>3.8300000000000001E-3</v>
      </c>
      <c r="N304" s="705">
        <f t="shared" si="132"/>
        <v>3.8300000000000001E-3</v>
      </c>
      <c r="O304" s="705">
        <f t="shared" si="132"/>
        <v>3.8300000000000001E-3</v>
      </c>
      <c r="P304" s="705">
        <f t="shared" si="132"/>
        <v>3.8300000000000001E-3</v>
      </c>
      <c r="Q304" s="705">
        <f t="shared" si="132"/>
        <v>3.8300000000000001E-3</v>
      </c>
      <c r="R304" s="705">
        <f t="shared" si="132"/>
        <v>3.8300000000000001E-3</v>
      </c>
      <c r="S304" s="705">
        <f t="shared" si="132"/>
        <v>3.8300000000000001E-3</v>
      </c>
      <c r="T304" s="705">
        <f t="shared" si="132"/>
        <v>3.8300000000000001E-3</v>
      </c>
      <c r="U304" s="705">
        <f t="shared" si="132"/>
        <v>3.8300000000000001E-3</v>
      </c>
      <c r="V304" s="705">
        <f t="shared" si="132"/>
        <v>3.8300000000000001E-3</v>
      </c>
      <c r="W304" s="705">
        <f t="shared" si="132"/>
        <v>3.8300000000000001E-3</v>
      </c>
      <c r="X304" s="705">
        <f t="shared" si="132"/>
        <v>3.8300000000000001E-3</v>
      </c>
      <c r="Y304" s="705">
        <f t="shared" si="132"/>
        <v>3.8300000000000001E-3</v>
      </c>
      <c r="Z304" s="705">
        <f t="shared" si="132"/>
        <v>3.8300000000000001E-3</v>
      </c>
      <c r="AA304" s="705">
        <f t="shared" si="132"/>
        <v>3.8300000000000001E-3</v>
      </c>
      <c r="AB304" s="705">
        <f t="shared" si="132"/>
        <v>3.8300000000000001E-3</v>
      </c>
      <c r="AC304" s="705">
        <f t="shared" si="132"/>
        <v>3.8300000000000001E-3</v>
      </c>
      <c r="AD304" s="705">
        <f t="shared" si="132"/>
        <v>3.8300000000000001E-3</v>
      </c>
      <c r="AE304" s="705">
        <f t="shared" si="132"/>
        <v>3.8300000000000001E-3</v>
      </c>
      <c r="AF304" s="705">
        <f t="shared" si="132"/>
        <v>3.8300000000000001E-3</v>
      </c>
      <c r="AG304" s="705">
        <f t="shared" si="132"/>
        <v>3.8300000000000001E-3</v>
      </c>
    </row>
    <row r="305" spans="2:33" x14ac:dyDescent="0.3">
      <c r="B305" s="463" t="s">
        <v>1329</v>
      </c>
      <c r="C305" s="697"/>
      <c r="D305" s="706">
        <f t="shared" ref="D305:AG305" si="133">ROUND(D303+D304,5)</f>
        <v>2.7109999999999999E-2</v>
      </c>
      <c r="E305" s="706">
        <f t="shared" si="133"/>
        <v>2.7109999999999999E-2</v>
      </c>
      <c r="F305" s="706">
        <f t="shared" si="133"/>
        <v>2.7109999999999999E-2</v>
      </c>
      <c r="G305" s="706">
        <f t="shared" si="133"/>
        <v>2.7109999999999999E-2</v>
      </c>
      <c r="H305" s="706">
        <f t="shared" si="133"/>
        <v>2.7109999999999999E-2</v>
      </c>
      <c r="I305" s="706">
        <f t="shared" si="133"/>
        <v>2.7109999999999999E-2</v>
      </c>
      <c r="J305" s="706">
        <f t="shared" si="133"/>
        <v>2.8850000000000001E-2</v>
      </c>
      <c r="K305" s="706">
        <f t="shared" si="133"/>
        <v>3.041E-2</v>
      </c>
      <c r="L305" s="706">
        <f t="shared" si="133"/>
        <v>3.1960000000000002E-2</v>
      </c>
      <c r="M305" s="706">
        <f t="shared" si="133"/>
        <v>3.354E-2</v>
      </c>
      <c r="N305" s="706">
        <f t="shared" si="133"/>
        <v>3.465E-2</v>
      </c>
      <c r="O305" s="706">
        <f t="shared" si="133"/>
        <v>3.5220000000000001E-2</v>
      </c>
      <c r="P305" s="706">
        <f t="shared" si="133"/>
        <v>3.5729999999999998E-2</v>
      </c>
      <c r="Q305" s="706">
        <f t="shared" si="133"/>
        <v>3.6240000000000001E-2</v>
      </c>
      <c r="R305" s="706">
        <f t="shared" si="133"/>
        <v>3.6760000000000001E-2</v>
      </c>
      <c r="S305" s="706">
        <f t="shared" si="133"/>
        <v>3.737E-2</v>
      </c>
      <c r="T305" s="706">
        <f t="shared" si="133"/>
        <v>3.8010000000000002E-2</v>
      </c>
      <c r="U305" s="706">
        <f t="shared" si="133"/>
        <v>3.8670000000000003E-2</v>
      </c>
      <c r="V305" s="706">
        <f t="shared" si="133"/>
        <v>3.9329999999999997E-2</v>
      </c>
      <c r="W305" s="706">
        <f t="shared" si="133"/>
        <v>3.9739999999999998E-2</v>
      </c>
      <c r="X305" s="706">
        <f t="shared" si="133"/>
        <v>4.0009999999999997E-2</v>
      </c>
      <c r="Y305" s="706">
        <f t="shared" si="133"/>
        <v>4.0280000000000003E-2</v>
      </c>
      <c r="Z305" s="706">
        <f t="shared" si="133"/>
        <v>4.0550000000000003E-2</v>
      </c>
      <c r="AA305" s="706">
        <f t="shared" si="133"/>
        <v>4.0840000000000001E-2</v>
      </c>
      <c r="AB305" s="706">
        <f t="shared" si="133"/>
        <v>4.1119999999999997E-2</v>
      </c>
      <c r="AC305" s="706">
        <f t="shared" si="133"/>
        <v>4.1599999999999998E-2</v>
      </c>
      <c r="AD305" s="706">
        <f t="shared" si="133"/>
        <v>4.2220000000000001E-2</v>
      </c>
      <c r="AE305" s="706">
        <f t="shared" si="133"/>
        <v>4.2869999999999998E-2</v>
      </c>
      <c r="AF305" s="706">
        <f t="shared" si="133"/>
        <v>4.3540000000000002E-2</v>
      </c>
      <c r="AG305" s="706">
        <f t="shared" si="133"/>
        <v>4.4229999999999998E-2</v>
      </c>
    </row>
    <row r="306" spans="2:33" x14ac:dyDescent="0.3">
      <c r="B306" s="463"/>
      <c r="C306" s="697"/>
      <c r="D306" s="700">
        <f t="shared" ref="D306:AG306" si="134">ROUND(D301/(1+D305)^D302,4)</f>
        <v>0</v>
      </c>
      <c r="E306" s="700">
        <f t="shared" si="134"/>
        <v>0</v>
      </c>
      <c r="F306" s="700">
        <f t="shared" si="134"/>
        <v>0</v>
      </c>
      <c r="G306" s="700">
        <f t="shared" si="134"/>
        <v>0</v>
      </c>
      <c r="H306" s="700">
        <f t="shared" si="134"/>
        <v>0</v>
      </c>
      <c r="I306" s="700">
        <f t="shared" si="134"/>
        <v>0</v>
      </c>
      <c r="J306" s="700">
        <f t="shared" si="134"/>
        <v>3769.9908999999998</v>
      </c>
      <c r="K306" s="700">
        <f t="shared" si="134"/>
        <v>3653.6296000000002</v>
      </c>
      <c r="L306" s="700">
        <f t="shared" si="134"/>
        <v>3530.27</v>
      </c>
      <c r="M306" s="700">
        <f t="shared" si="134"/>
        <v>3400.4793</v>
      </c>
      <c r="N306" s="700">
        <f t="shared" si="134"/>
        <v>3272.7966999999999</v>
      </c>
      <c r="O306" s="700">
        <f t="shared" si="134"/>
        <v>3152.8942999999999</v>
      </c>
      <c r="P306" s="700">
        <f t="shared" si="134"/>
        <v>3035.2638000000002</v>
      </c>
      <c r="Q306" s="700">
        <f t="shared" si="134"/>
        <v>2919.1505999999999</v>
      </c>
      <c r="R306" s="700">
        <f t="shared" si="134"/>
        <v>2804.4812000000002</v>
      </c>
      <c r="S306" s="700">
        <f t="shared" si="134"/>
        <v>7322.0445</v>
      </c>
      <c r="T306" s="700">
        <f t="shared" si="134"/>
        <v>6839.2285000000002</v>
      </c>
      <c r="U306" s="700">
        <f t="shared" si="134"/>
        <v>6374.92</v>
      </c>
      <c r="V306" s="700">
        <f t="shared" si="134"/>
        <v>5930.6805999999997</v>
      </c>
      <c r="W306" s="700">
        <f t="shared" si="134"/>
        <v>5525.0353999999998</v>
      </c>
      <c r="X306" s="700">
        <f t="shared" si="134"/>
        <v>5149.6313</v>
      </c>
      <c r="Y306" s="700">
        <f t="shared" si="134"/>
        <v>4793.5129999999999</v>
      </c>
      <c r="Z306" s="700">
        <f t="shared" si="134"/>
        <v>4456.0369000000001</v>
      </c>
      <c r="AA306" s="700">
        <f t="shared" si="134"/>
        <v>4135.1358</v>
      </c>
      <c r="AB306" s="700">
        <f t="shared" si="134"/>
        <v>3832.3523</v>
      </c>
      <c r="AC306" s="700">
        <f t="shared" si="134"/>
        <v>3532.7923999999998</v>
      </c>
      <c r="AD306" s="700">
        <f t="shared" si="134"/>
        <v>3241.1188999999999</v>
      </c>
      <c r="AE306" s="700">
        <f t="shared" si="134"/>
        <v>2964.8071</v>
      </c>
      <c r="AF306" s="700">
        <f t="shared" si="134"/>
        <v>2704.2509</v>
      </c>
      <c r="AG306" s="700">
        <f t="shared" si="134"/>
        <v>2459.1457999999998</v>
      </c>
    </row>
    <row r="307" spans="2:33" x14ac:dyDescent="0.3">
      <c r="B307" s="367"/>
      <c r="C307" s="367"/>
      <c r="D307" s="488"/>
      <c r="E307" s="488"/>
      <c r="F307" s="488"/>
      <c r="G307" s="488"/>
      <c r="H307" s="488"/>
      <c r="I307" s="488"/>
      <c r="J307" s="488"/>
      <c r="K307" s="488"/>
      <c r="L307" s="488"/>
      <c r="M307" s="488"/>
    </row>
    <row r="308" spans="2:33" x14ac:dyDescent="0.3">
      <c r="B308" s="585" t="s">
        <v>650</v>
      </c>
      <c r="C308" s="586">
        <f>+SUM(D306:AG306)</f>
        <v>98799.649800000014</v>
      </c>
      <c r="D308" s="500"/>
      <c r="E308" s="430"/>
      <c r="F308" s="361"/>
      <c r="G308" s="365"/>
      <c r="H308" s="365"/>
      <c r="I308" s="365"/>
      <c r="J308" s="365"/>
      <c r="K308" s="365"/>
      <c r="L308" s="365"/>
      <c r="M308" s="365"/>
    </row>
    <row r="309" spans="2:33" x14ac:dyDescent="0.3">
      <c r="B309" s="585" t="s">
        <v>1331</v>
      </c>
      <c r="C309" s="586">
        <f>+SUMPRODUCT(D302:AG302,D306:AG306)/C308</f>
        <v>12.287948711032888</v>
      </c>
      <c r="D309" s="365"/>
      <c r="E309" s="365"/>
      <c r="F309" s="361"/>
      <c r="G309" s="363"/>
      <c r="H309" s="363"/>
      <c r="I309" s="363"/>
      <c r="J309" s="363"/>
      <c r="K309" s="363"/>
      <c r="L309" s="363"/>
      <c r="M309" s="363"/>
    </row>
    <row r="312" spans="2:33" x14ac:dyDescent="0.3">
      <c r="B312" s="584" t="s">
        <v>1649</v>
      </c>
      <c r="C312" s="584">
        <v>9372</v>
      </c>
      <c r="D312" s="575"/>
      <c r="E312"/>
      <c r="F312"/>
      <c r="G312"/>
    </row>
    <row r="313" spans="2:33" x14ac:dyDescent="0.3">
      <c r="B313" s="364"/>
      <c r="C313" s="364" t="s">
        <v>105</v>
      </c>
      <c r="D313" s="365">
        <v>3.8399999999999997E-2</v>
      </c>
      <c r="E313" s="365"/>
      <c r="F313" s="361"/>
      <c r="G313" s="363"/>
      <c r="H313" s="363"/>
      <c r="I313" s="363"/>
      <c r="J313" s="363"/>
      <c r="K313" s="363"/>
      <c r="L313" s="363"/>
      <c r="M313" s="363"/>
    </row>
    <row r="314" spans="2:33" x14ac:dyDescent="0.3">
      <c r="B314" s="361"/>
      <c r="C314" s="696">
        <v>43300</v>
      </c>
      <c r="D314" s="696">
        <v>43665</v>
      </c>
      <c r="E314" s="696">
        <v>44031</v>
      </c>
      <c r="F314" s="696">
        <v>44396</v>
      </c>
      <c r="G314" s="696">
        <v>44761</v>
      </c>
      <c r="H314" s="696">
        <v>45126</v>
      </c>
      <c r="I314" s="696">
        <v>45492</v>
      </c>
      <c r="J314" s="696">
        <v>45857</v>
      </c>
      <c r="K314" s="696">
        <v>46222</v>
      </c>
      <c r="L314" s="696">
        <v>46587</v>
      </c>
      <c r="M314" s="696">
        <v>46953</v>
      </c>
      <c r="N314" s="696">
        <v>47318</v>
      </c>
      <c r="O314" s="696">
        <v>47683</v>
      </c>
      <c r="P314" s="696">
        <v>48048</v>
      </c>
      <c r="Q314" s="696">
        <v>48414</v>
      </c>
      <c r="R314" s="696">
        <v>48779</v>
      </c>
      <c r="S314" s="696"/>
      <c r="T314" s="696"/>
    </row>
    <row r="315" spans="2:33" x14ac:dyDescent="0.3">
      <c r="B315" s="463" t="s">
        <v>1318</v>
      </c>
      <c r="C315" s="697"/>
      <c r="D315" s="698">
        <f>100000/15</f>
        <v>6666.666666666667</v>
      </c>
      <c r="E315" s="698">
        <f t="shared" ref="E315:R315" si="135">100000/15</f>
        <v>6666.666666666667</v>
      </c>
      <c r="F315" s="698">
        <f t="shared" si="135"/>
        <v>6666.666666666667</v>
      </c>
      <c r="G315" s="698">
        <f t="shared" si="135"/>
        <v>6666.666666666667</v>
      </c>
      <c r="H315" s="698">
        <f t="shared" si="135"/>
        <v>6666.666666666667</v>
      </c>
      <c r="I315" s="698">
        <f t="shared" si="135"/>
        <v>6666.666666666667</v>
      </c>
      <c r="J315" s="698">
        <f t="shared" si="135"/>
        <v>6666.666666666667</v>
      </c>
      <c r="K315" s="698">
        <f t="shared" si="135"/>
        <v>6666.666666666667</v>
      </c>
      <c r="L315" s="698">
        <f t="shared" si="135"/>
        <v>6666.666666666667</v>
      </c>
      <c r="M315" s="698">
        <f t="shared" si="135"/>
        <v>6666.666666666667</v>
      </c>
      <c r="N315" s="698">
        <f t="shared" si="135"/>
        <v>6666.666666666667</v>
      </c>
      <c r="O315" s="698">
        <f t="shared" si="135"/>
        <v>6666.666666666667</v>
      </c>
      <c r="P315" s="698">
        <f t="shared" si="135"/>
        <v>6666.666666666667</v>
      </c>
      <c r="Q315" s="698">
        <f t="shared" si="135"/>
        <v>6666.666666666667</v>
      </c>
      <c r="R315" s="698">
        <f t="shared" si="135"/>
        <v>6666.666666666667</v>
      </c>
    </row>
    <row r="316" spans="2:33" x14ac:dyDescent="0.3">
      <c r="B316" s="463" t="s">
        <v>1320</v>
      </c>
      <c r="C316" s="699">
        <v>100000</v>
      </c>
      <c r="D316" s="700">
        <f>+C316-D315</f>
        <v>93333.333333333328</v>
      </c>
      <c r="E316" s="700">
        <f t="shared" ref="E316:R316" si="136">+D316-E315</f>
        <v>86666.666666666657</v>
      </c>
      <c r="F316" s="700">
        <f t="shared" si="136"/>
        <v>79999.999999999985</v>
      </c>
      <c r="G316" s="700">
        <f t="shared" si="136"/>
        <v>73333.333333333314</v>
      </c>
      <c r="H316" s="700">
        <f t="shared" si="136"/>
        <v>66666.666666666642</v>
      </c>
      <c r="I316" s="700">
        <f t="shared" si="136"/>
        <v>59999.999999999978</v>
      </c>
      <c r="J316" s="700">
        <f t="shared" si="136"/>
        <v>53333.333333333314</v>
      </c>
      <c r="K316" s="700">
        <f t="shared" si="136"/>
        <v>46666.66666666665</v>
      </c>
      <c r="L316" s="700">
        <f t="shared" si="136"/>
        <v>39999.999999999985</v>
      </c>
      <c r="M316" s="700">
        <f t="shared" si="136"/>
        <v>33333.333333333321</v>
      </c>
      <c r="N316" s="700">
        <f t="shared" si="136"/>
        <v>26666.666666666653</v>
      </c>
      <c r="O316" s="700">
        <f t="shared" si="136"/>
        <v>19999.999999999985</v>
      </c>
      <c r="P316" s="700">
        <f t="shared" si="136"/>
        <v>13333.333333333318</v>
      </c>
      <c r="Q316" s="700">
        <f t="shared" si="136"/>
        <v>6666.6666666666506</v>
      </c>
      <c r="R316" s="700">
        <f t="shared" si="136"/>
        <v>-1.6370904631912708E-11</v>
      </c>
    </row>
    <row r="317" spans="2:33" x14ac:dyDescent="0.3">
      <c r="B317" s="463" t="s">
        <v>1321</v>
      </c>
      <c r="C317" s="697"/>
      <c r="D317" s="701">
        <f t="shared" ref="D317:R317" si="137">ROUND(C316*$D$313,2)</f>
        <v>3840</v>
      </c>
      <c r="E317" s="701">
        <f t="shared" si="137"/>
        <v>3584</v>
      </c>
      <c r="F317" s="701">
        <f t="shared" si="137"/>
        <v>3328</v>
      </c>
      <c r="G317" s="701">
        <f t="shared" si="137"/>
        <v>3072</v>
      </c>
      <c r="H317" s="701">
        <f t="shared" si="137"/>
        <v>2816</v>
      </c>
      <c r="I317" s="701">
        <f t="shared" si="137"/>
        <v>2560</v>
      </c>
      <c r="J317" s="701">
        <f t="shared" si="137"/>
        <v>2304</v>
      </c>
      <c r="K317" s="701">
        <f t="shared" si="137"/>
        <v>2048</v>
      </c>
      <c r="L317" s="701">
        <f t="shared" si="137"/>
        <v>1792</v>
      </c>
      <c r="M317" s="701">
        <f t="shared" si="137"/>
        <v>1536</v>
      </c>
      <c r="N317" s="701">
        <f t="shared" si="137"/>
        <v>1280</v>
      </c>
      <c r="O317" s="701">
        <f t="shared" si="137"/>
        <v>1024</v>
      </c>
      <c r="P317" s="701">
        <f t="shared" si="137"/>
        <v>768</v>
      </c>
      <c r="Q317" s="701">
        <f t="shared" si="137"/>
        <v>512</v>
      </c>
      <c r="R317" s="701">
        <f t="shared" si="137"/>
        <v>256</v>
      </c>
    </row>
    <row r="318" spans="2:33" x14ac:dyDescent="0.3">
      <c r="B318" s="463" t="s">
        <v>1322</v>
      </c>
      <c r="C318" s="697"/>
      <c r="D318" s="700">
        <f>+D317+D315</f>
        <v>10506.666666666668</v>
      </c>
      <c r="E318" s="700">
        <f t="shared" ref="E318:R318" si="138">+E317+E315</f>
        <v>10250.666666666668</v>
      </c>
      <c r="F318" s="700">
        <f t="shared" si="138"/>
        <v>9994.6666666666679</v>
      </c>
      <c r="G318" s="700">
        <f t="shared" si="138"/>
        <v>9738.6666666666679</v>
      </c>
      <c r="H318" s="700">
        <f t="shared" si="138"/>
        <v>9482.6666666666679</v>
      </c>
      <c r="I318" s="700">
        <f t="shared" si="138"/>
        <v>9226.6666666666679</v>
      </c>
      <c r="J318" s="700">
        <f t="shared" si="138"/>
        <v>8970.6666666666679</v>
      </c>
      <c r="K318" s="700">
        <f t="shared" si="138"/>
        <v>8714.6666666666679</v>
      </c>
      <c r="L318" s="700">
        <f t="shared" si="138"/>
        <v>8458.6666666666679</v>
      </c>
      <c r="M318" s="700">
        <f t="shared" si="138"/>
        <v>8202.6666666666679</v>
      </c>
      <c r="N318" s="700">
        <f t="shared" si="138"/>
        <v>7946.666666666667</v>
      </c>
      <c r="O318" s="700">
        <f t="shared" si="138"/>
        <v>7690.666666666667</v>
      </c>
      <c r="P318" s="700">
        <f t="shared" si="138"/>
        <v>7434.666666666667</v>
      </c>
      <c r="Q318" s="700">
        <f t="shared" si="138"/>
        <v>7178.666666666667</v>
      </c>
      <c r="R318" s="700">
        <f t="shared" si="138"/>
        <v>6922.666666666667</v>
      </c>
    </row>
    <row r="319" spans="2:33" x14ac:dyDescent="0.3">
      <c r="B319" s="463" t="s">
        <v>1323</v>
      </c>
      <c r="C319" s="699"/>
      <c r="D319" s="700">
        <f t="shared" ref="D319:R319" si="139">+IF(D314&gt;$C$1,D318,0)</f>
        <v>0</v>
      </c>
      <c r="E319" s="700">
        <f t="shared" si="139"/>
        <v>0</v>
      </c>
      <c r="F319" s="700">
        <f t="shared" si="139"/>
        <v>0</v>
      </c>
      <c r="G319" s="700">
        <f t="shared" si="139"/>
        <v>0</v>
      </c>
      <c r="H319" s="700">
        <f t="shared" si="139"/>
        <v>0</v>
      </c>
      <c r="I319" s="700">
        <f t="shared" si="139"/>
        <v>0</v>
      </c>
      <c r="J319" s="700">
        <f t="shared" si="139"/>
        <v>0</v>
      </c>
      <c r="K319" s="700">
        <f t="shared" si="139"/>
        <v>8714.6666666666679</v>
      </c>
      <c r="L319" s="700">
        <f t="shared" si="139"/>
        <v>8458.6666666666679</v>
      </c>
      <c r="M319" s="700">
        <f t="shared" si="139"/>
        <v>8202.6666666666679</v>
      </c>
      <c r="N319" s="700">
        <f t="shared" si="139"/>
        <v>7946.666666666667</v>
      </c>
      <c r="O319" s="700">
        <f t="shared" si="139"/>
        <v>7690.666666666667</v>
      </c>
      <c r="P319" s="700">
        <f t="shared" si="139"/>
        <v>7434.666666666667</v>
      </c>
      <c r="Q319" s="700">
        <f t="shared" si="139"/>
        <v>7178.666666666667</v>
      </c>
      <c r="R319" s="700">
        <f t="shared" si="139"/>
        <v>6922.666666666667</v>
      </c>
    </row>
    <row r="320" spans="2:33" x14ac:dyDescent="0.3">
      <c r="B320" s="463" t="s">
        <v>1324</v>
      </c>
      <c r="C320" s="702"/>
      <c r="D320" s="703">
        <f t="shared" ref="D320:R320" si="140">+IF(C319=0,(D314-$C$1)/(D314-C314),C320+1)</f>
        <v>-6.6904109589041099</v>
      </c>
      <c r="E320" s="703">
        <f t="shared" si="140"/>
        <v>-5.6721311475409832</v>
      </c>
      <c r="F320" s="703">
        <f t="shared" si="140"/>
        <v>-4.6876712328767125</v>
      </c>
      <c r="G320" s="703">
        <f t="shared" si="140"/>
        <v>-3.6876712328767125</v>
      </c>
      <c r="H320" s="703">
        <f t="shared" si="140"/>
        <v>-2.6876712328767125</v>
      </c>
      <c r="I320" s="703">
        <f t="shared" si="140"/>
        <v>-1.680327868852459</v>
      </c>
      <c r="J320" s="703">
        <f t="shared" si="140"/>
        <v>-0.68493150684931503</v>
      </c>
      <c r="K320" s="703">
        <f t="shared" si="140"/>
        <v>0.31506849315068491</v>
      </c>
      <c r="L320" s="703">
        <f t="shared" si="140"/>
        <v>1.3150684931506849</v>
      </c>
      <c r="M320" s="703">
        <f t="shared" si="140"/>
        <v>2.3150684931506849</v>
      </c>
      <c r="N320" s="703">
        <f t="shared" si="140"/>
        <v>3.3150684931506849</v>
      </c>
      <c r="O320" s="703">
        <f t="shared" si="140"/>
        <v>4.3150684931506849</v>
      </c>
      <c r="P320" s="703">
        <f t="shared" si="140"/>
        <v>5.3150684931506849</v>
      </c>
      <c r="Q320" s="703">
        <f t="shared" si="140"/>
        <v>6.3150684931506849</v>
      </c>
      <c r="R320" s="703">
        <f t="shared" si="140"/>
        <v>7.3150684931506849</v>
      </c>
    </row>
    <row r="321" spans="2:39" x14ac:dyDescent="0.3">
      <c r="B321" s="463" t="s">
        <v>1325</v>
      </c>
      <c r="C321" s="697"/>
      <c r="D321" s="704" cm="1">
        <f t="array" ref="D321">IF((D314-$C$1)&lt;=366,interpoler(mat_court,taux_court_act,(D314-$C$1)),interpoler(CIH!$K$72:$K$103,CIH!$L$72:$L$103,D320))</f>
        <v>2.3281430422376737E-2</v>
      </c>
      <c r="E321" s="704" cm="1">
        <f t="array" ref="E321">IF((E314-$C$1)&lt;=366,interpoler(mat_court,taux_court_act,(E314-$C$1)),interpoler(CIH!$K$72:$K$103,CIH!$L$72:$L$103,E320))</f>
        <v>2.3281430422376737E-2</v>
      </c>
      <c r="F321" s="704" cm="1">
        <f t="array" ref="F321">IF((F314-$C$1)&lt;=366,interpoler(mat_court,taux_court_act,(F314-$C$1)),interpoler(CIH!$K$72:$K$103,CIH!$L$72:$L$103,F320))</f>
        <v>2.3281430422376737E-2</v>
      </c>
      <c r="G321" s="704" cm="1">
        <f t="array" ref="G321">IF((G314-$C$1)&lt;=366,interpoler(mat_court,taux_court_act,(G314-$C$1)),interpoler(CIH!$K$72:$K$103,CIH!$L$72:$L$103,G320))</f>
        <v>2.3281430422376737E-2</v>
      </c>
      <c r="H321" s="704" cm="1">
        <f t="array" ref="H321">IF((H314-$C$1)&lt;=365,interpoler(mat_court,taux_court_act,(H314-$C$1)),interpoler(CIH!$K$72:$K$103,CIH!$L$72:$L$103,H320))</f>
        <v>2.3281430422376737E-2</v>
      </c>
      <c r="I321" s="704" cm="1">
        <f t="array" ref="I321">interpoler(CIH!$K$72:$K$103,CIH!$L$72:$L$103,I320)</f>
        <v>2.3516414539908714E-2</v>
      </c>
      <c r="J321" s="704" cm="1">
        <f t="array" ref="J321">interpoler(CIH!$K$72:$K$103,CIH!$L$72:$L$103,J320)</f>
        <v>2.3516414539908714E-2</v>
      </c>
      <c r="K321" s="704" cm="1">
        <f t="array" ref="K321">interpoler(CIH!$K$72:$K$103,CIH!$L$72:$L$103,K320)</f>
        <v>2.3676439209173727E-2</v>
      </c>
      <c r="L321" s="704" cm="1">
        <f t="array" ref="L321">interpoler(CIH!$K$72:$K$103,CIH!$L$72:$L$103,L320)</f>
        <v>2.5637894309589043E-2</v>
      </c>
      <c r="M321" s="704" cm="1">
        <f t="array" ref="M321">interpoler(CIH!$K$72:$K$103,CIH!$L$72:$L$103,M320)</f>
        <v>2.7192047269863014E-2</v>
      </c>
      <c r="N321" s="704" cm="1">
        <f t="array" ref="N321">interpoler(CIH!$K$72:$K$103,CIH!$L$72:$L$103,N320)</f>
        <v>2.8753254778082191E-2</v>
      </c>
      <c r="O321" s="704" cm="1">
        <f t="array" ref="O321">interpoler(CIH!$K$72:$K$103,CIH!$L$72:$L$103,O320)</f>
        <v>3.0171360439726028E-2</v>
      </c>
      <c r="P321" s="704" cm="1">
        <f t="array" ref="P321">interpoler(CIH!$K$72:$K$103,CIH!$L$72:$L$103,P320)</f>
        <v>3.1074272239726027E-2</v>
      </c>
      <c r="Q321" s="704" cm="1">
        <f t="array" ref="Q321">interpoler(CIH!$K$72:$K$103,CIH!$L$72:$L$103,Q320)</f>
        <v>3.1592005928767125E-2</v>
      </c>
      <c r="R321" s="704" cm="1">
        <f t="array" ref="R321">interpoler(CIH!$K$72:$K$103,CIH!$L$72:$L$103,R320)</f>
        <v>3.2099066716438356E-2</v>
      </c>
    </row>
    <row r="322" spans="2:39" x14ac:dyDescent="0.3">
      <c r="B322" s="463" t="s">
        <v>1328</v>
      </c>
      <c r="C322" s="697"/>
      <c r="D322" s="705">
        <v>6.0000000000000001E-3</v>
      </c>
      <c r="E322" s="705">
        <v>6.0000000000000001E-3</v>
      </c>
      <c r="F322" s="705">
        <v>6.0000000000000001E-3</v>
      </c>
      <c r="G322" s="705">
        <v>6.0000000000000001E-3</v>
      </c>
      <c r="H322" s="705">
        <v>6.0000000000000001E-3</v>
      </c>
      <c r="I322" s="705">
        <v>6.0000000000000001E-3</v>
      </c>
      <c r="J322" s="705">
        <v>6.0000000000000001E-3</v>
      </c>
      <c r="K322" s="705">
        <v>6.0000000000000001E-3</v>
      </c>
      <c r="L322" s="705">
        <v>6.0000000000000001E-3</v>
      </c>
      <c r="M322" s="705">
        <v>6.0000000000000001E-3</v>
      </c>
      <c r="N322" s="705">
        <v>6.0000000000000001E-3</v>
      </c>
      <c r="O322" s="705">
        <v>6.0000000000000001E-3</v>
      </c>
      <c r="P322" s="705">
        <v>6.0000000000000001E-3</v>
      </c>
      <c r="Q322" s="705">
        <v>6.0000000000000001E-3</v>
      </c>
      <c r="R322" s="705">
        <v>6.0000000000000001E-3</v>
      </c>
    </row>
    <row r="323" spans="2:39" x14ac:dyDescent="0.3">
      <c r="B323" s="463" t="s">
        <v>1329</v>
      </c>
      <c r="C323" s="697"/>
      <c r="D323" s="706">
        <f t="shared" ref="D323:R323" si="141">ROUND(D321+D322,5)</f>
        <v>2.928E-2</v>
      </c>
      <c r="E323" s="706">
        <f t="shared" si="141"/>
        <v>2.928E-2</v>
      </c>
      <c r="F323" s="706">
        <f t="shared" si="141"/>
        <v>2.928E-2</v>
      </c>
      <c r="G323" s="706">
        <f t="shared" si="141"/>
        <v>2.928E-2</v>
      </c>
      <c r="H323" s="706">
        <f t="shared" si="141"/>
        <v>2.928E-2</v>
      </c>
      <c r="I323" s="706">
        <f t="shared" si="141"/>
        <v>2.9520000000000001E-2</v>
      </c>
      <c r="J323" s="706">
        <f t="shared" si="141"/>
        <v>2.9520000000000001E-2</v>
      </c>
      <c r="K323" s="706">
        <f t="shared" si="141"/>
        <v>2.9680000000000002E-2</v>
      </c>
      <c r="L323" s="706">
        <f t="shared" si="141"/>
        <v>3.1640000000000001E-2</v>
      </c>
      <c r="M323" s="706">
        <f t="shared" si="141"/>
        <v>3.3189999999999997E-2</v>
      </c>
      <c r="N323" s="706">
        <f t="shared" si="141"/>
        <v>3.4750000000000003E-2</v>
      </c>
      <c r="O323" s="706">
        <f t="shared" si="141"/>
        <v>3.6170000000000001E-2</v>
      </c>
      <c r="P323" s="706">
        <f t="shared" si="141"/>
        <v>3.7069999999999999E-2</v>
      </c>
      <c r="Q323" s="706">
        <f t="shared" si="141"/>
        <v>3.7589999999999998E-2</v>
      </c>
      <c r="R323" s="706">
        <f t="shared" si="141"/>
        <v>3.8100000000000002E-2</v>
      </c>
    </row>
    <row r="324" spans="2:39" x14ac:dyDescent="0.3">
      <c r="B324" s="463"/>
      <c r="C324" s="697"/>
      <c r="D324" s="700">
        <f t="shared" ref="D324:R324" si="142">ROUND(D319/(1+D323)^D320,4)</f>
        <v>0</v>
      </c>
      <c r="E324" s="700">
        <f t="shared" si="142"/>
        <v>0</v>
      </c>
      <c r="F324" s="700">
        <f t="shared" si="142"/>
        <v>0</v>
      </c>
      <c r="G324" s="700">
        <f t="shared" si="142"/>
        <v>0</v>
      </c>
      <c r="H324" s="700">
        <f t="shared" si="142"/>
        <v>0</v>
      </c>
      <c r="I324" s="700">
        <f t="shared" si="142"/>
        <v>0</v>
      </c>
      <c r="J324" s="700">
        <f t="shared" si="142"/>
        <v>0</v>
      </c>
      <c r="K324" s="700">
        <f t="shared" si="142"/>
        <v>8634.7286000000004</v>
      </c>
      <c r="L324" s="700">
        <f t="shared" si="142"/>
        <v>8119.1662999999999</v>
      </c>
      <c r="M324" s="700">
        <f t="shared" si="142"/>
        <v>7605.4854999999998</v>
      </c>
      <c r="N324" s="700">
        <f t="shared" si="142"/>
        <v>7095.8513999999996</v>
      </c>
      <c r="O324" s="700">
        <f t="shared" si="142"/>
        <v>6597.4804000000004</v>
      </c>
      <c r="P324" s="700">
        <f t="shared" si="142"/>
        <v>6126.8962000000001</v>
      </c>
      <c r="Q324" s="700">
        <f t="shared" si="142"/>
        <v>5686.4327000000003</v>
      </c>
      <c r="R324" s="700">
        <f t="shared" si="142"/>
        <v>5266.0214999999998</v>
      </c>
    </row>
    <row r="325" spans="2:39" x14ac:dyDescent="0.3">
      <c r="B325" s="367"/>
      <c r="C325" s="367"/>
      <c r="D325" s="488"/>
      <c r="E325" s="488"/>
      <c r="F325" s="488"/>
      <c r="G325" s="488"/>
      <c r="H325" s="488"/>
      <c r="I325" s="488"/>
      <c r="J325" s="488"/>
      <c r="K325" s="488"/>
      <c r="L325" s="488"/>
      <c r="M325" s="488"/>
    </row>
    <row r="326" spans="2:39" x14ac:dyDescent="0.3">
      <c r="B326" s="585" t="s">
        <v>650</v>
      </c>
      <c r="C326" s="586">
        <f>+SUM(D324:AB324)</f>
        <v>55132.062599999997</v>
      </c>
      <c r="D326" s="500"/>
      <c r="E326" s="430"/>
      <c r="F326" s="361"/>
      <c r="G326" s="365"/>
      <c r="H326" s="365"/>
      <c r="I326" s="365"/>
      <c r="J326" s="365"/>
      <c r="K326" s="365"/>
      <c r="L326" s="365"/>
      <c r="M326" s="365"/>
    </row>
    <row r="327" spans="2:39" x14ac:dyDescent="0.3">
      <c r="B327" s="585" t="s">
        <v>1331</v>
      </c>
      <c r="C327" s="586">
        <f>+SUMPRODUCT(D320:AG320,D324:AG324)/C326</f>
        <v>3.446147445382739</v>
      </c>
      <c r="D327" s="365"/>
      <c r="E327" s="365"/>
      <c r="F327" s="361"/>
      <c r="G327" s="363"/>
      <c r="H327" s="363"/>
      <c r="I327" s="363"/>
      <c r="J327" s="363"/>
      <c r="K327" s="363"/>
      <c r="L327" s="363"/>
      <c r="M327" s="363"/>
    </row>
    <row r="330" spans="2:39" ht="20.25" customHeight="1" x14ac:dyDescent="0.3"/>
    <row r="331" spans="2:39" x14ac:dyDescent="0.3">
      <c r="G331" s="714">
        <v>44650</v>
      </c>
    </row>
    <row r="332" spans="2:39" x14ac:dyDescent="0.3">
      <c r="B332" s="584" t="s">
        <v>2615</v>
      </c>
      <c r="C332" s="584">
        <v>9473</v>
      </c>
      <c r="D332" s="575"/>
      <c r="E332"/>
      <c r="F332"/>
      <c r="G332" s="912" t="s">
        <v>2734</v>
      </c>
      <c r="H332" s="280"/>
      <c r="I332"/>
      <c r="J332" s="907"/>
      <c r="K332"/>
      <c r="L332"/>
      <c r="M332"/>
      <c r="N332"/>
      <c r="O332"/>
      <c r="P332"/>
      <c r="Q332"/>
      <c r="R332"/>
      <c r="S332"/>
      <c r="T332"/>
      <c r="U332"/>
      <c r="V332"/>
      <c r="W332"/>
      <c r="X332"/>
      <c r="Y332"/>
      <c r="Z332"/>
      <c r="AA332"/>
      <c r="AB332"/>
      <c r="AC332"/>
      <c r="AD332"/>
      <c r="AE332"/>
      <c r="AF332"/>
      <c r="AG332"/>
      <c r="AH332"/>
      <c r="AI332"/>
      <c r="AJ332"/>
      <c r="AK332"/>
      <c r="AL332"/>
      <c r="AM332"/>
    </row>
    <row r="333" spans="2:39" x14ac:dyDescent="0.3">
      <c r="B333" s="364"/>
      <c r="C333" s="714">
        <v>43921</v>
      </c>
      <c r="D333" s="365">
        <v>3.7499999999999999E-2</v>
      </c>
      <c r="E333" s="365"/>
      <c r="F333" s="361">
        <f>F334-D334</f>
        <v>365</v>
      </c>
      <c r="G333" s="363"/>
      <c r="H333" s="363"/>
      <c r="I333" s="363"/>
      <c r="J333" s="363"/>
      <c r="K333" s="363"/>
      <c r="L333" s="363"/>
      <c r="M333" s="363"/>
    </row>
    <row r="334" spans="2:39" x14ac:dyDescent="0.3">
      <c r="B334" s="363">
        <v>43738</v>
      </c>
      <c r="C334" s="696">
        <v>43920</v>
      </c>
      <c r="D334" s="714">
        <v>44104</v>
      </c>
      <c r="E334" s="714">
        <v>44286</v>
      </c>
      <c r="F334" s="714">
        <v>44469</v>
      </c>
      <c r="G334" s="714">
        <f>G331+1</f>
        <v>44651</v>
      </c>
      <c r="H334" s="714">
        <v>44834</v>
      </c>
      <c r="I334" s="714">
        <v>45016</v>
      </c>
      <c r="J334" s="714">
        <v>45199</v>
      </c>
      <c r="K334" s="714">
        <v>45382</v>
      </c>
      <c r="L334" s="714">
        <v>45565</v>
      </c>
      <c r="M334" s="714">
        <v>45747</v>
      </c>
      <c r="N334" s="714">
        <v>45930</v>
      </c>
      <c r="O334" s="714">
        <v>46112</v>
      </c>
      <c r="P334" s="714">
        <v>46295</v>
      </c>
      <c r="Q334" s="714">
        <v>46477</v>
      </c>
      <c r="R334" s="714">
        <v>46660</v>
      </c>
      <c r="S334" s="714">
        <v>46843</v>
      </c>
      <c r="T334" s="714">
        <v>47026</v>
      </c>
      <c r="U334" s="714">
        <v>47208</v>
      </c>
      <c r="V334" s="714">
        <v>47391</v>
      </c>
      <c r="W334" s="714">
        <v>47573</v>
      </c>
      <c r="X334" s="714">
        <v>47756</v>
      </c>
      <c r="Y334" s="714">
        <v>47938</v>
      </c>
      <c r="Z334" s="714">
        <v>48121</v>
      </c>
      <c r="AA334" s="714">
        <v>48304</v>
      </c>
      <c r="AB334" s="714">
        <v>48487</v>
      </c>
      <c r="AC334" s="714">
        <v>48669</v>
      </c>
      <c r="AD334" s="714">
        <v>48852</v>
      </c>
      <c r="AE334" s="714">
        <v>49034</v>
      </c>
      <c r="AF334" s="714">
        <v>49217</v>
      </c>
      <c r="AG334" s="714">
        <v>49399</v>
      </c>
      <c r="AH334" s="714">
        <v>49582</v>
      </c>
      <c r="AI334" s="714">
        <v>49765</v>
      </c>
      <c r="AJ334" s="714">
        <v>49948</v>
      </c>
      <c r="AK334" s="714">
        <v>50130</v>
      </c>
      <c r="AL334" s="714">
        <v>50313</v>
      </c>
      <c r="AM334" s="714">
        <v>50495</v>
      </c>
    </row>
    <row r="335" spans="2:39" x14ac:dyDescent="0.3">
      <c r="B335" s="463" t="s">
        <v>1318</v>
      </c>
      <c r="C335" s="697"/>
      <c r="D335" s="698">
        <f t="shared" ref="D335:AM335" si="143">ROUND(100000/36,2)</f>
        <v>2777.78</v>
      </c>
      <c r="E335" s="698">
        <f t="shared" si="143"/>
        <v>2777.78</v>
      </c>
      <c r="F335" s="698">
        <f t="shared" si="143"/>
        <v>2777.78</v>
      </c>
      <c r="G335" s="698">
        <f t="shared" si="143"/>
        <v>2777.78</v>
      </c>
      <c r="H335" s="698">
        <f t="shared" si="143"/>
        <v>2777.78</v>
      </c>
      <c r="I335" s="698">
        <f t="shared" si="143"/>
        <v>2777.78</v>
      </c>
      <c r="J335" s="698">
        <f t="shared" si="143"/>
        <v>2777.78</v>
      </c>
      <c r="K335" s="698">
        <f t="shared" si="143"/>
        <v>2777.78</v>
      </c>
      <c r="L335" s="698">
        <f t="shared" si="143"/>
        <v>2777.78</v>
      </c>
      <c r="M335" s="698">
        <f t="shared" si="143"/>
        <v>2777.78</v>
      </c>
      <c r="N335" s="698">
        <f t="shared" si="143"/>
        <v>2777.78</v>
      </c>
      <c r="O335" s="1350">
        <f t="shared" si="143"/>
        <v>2777.78</v>
      </c>
      <c r="P335" s="698">
        <f t="shared" si="143"/>
        <v>2777.78</v>
      </c>
      <c r="Q335" s="698">
        <f t="shared" si="143"/>
        <v>2777.78</v>
      </c>
      <c r="R335" s="698">
        <f t="shared" si="143"/>
        <v>2777.78</v>
      </c>
      <c r="S335" s="698">
        <f t="shared" si="143"/>
        <v>2777.78</v>
      </c>
      <c r="T335" s="698">
        <f t="shared" si="143"/>
        <v>2777.78</v>
      </c>
      <c r="U335" s="698">
        <f t="shared" si="143"/>
        <v>2777.78</v>
      </c>
      <c r="V335" s="698">
        <f t="shared" si="143"/>
        <v>2777.78</v>
      </c>
      <c r="W335" s="698">
        <f t="shared" si="143"/>
        <v>2777.78</v>
      </c>
      <c r="X335" s="698">
        <f t="shared" si="143"/>
        <v>2777.78</v>
      </c>
      <c r="Y335" s="698">
        <f t="shared" si="143"/>
        <v>2777.78</v>
      </c>
      <c r="Z335" s="698">
        <f t="shared" si="143"/>
        <v>2777.78</v>
      </c>
      <c r="AA335" s="698">
        <f t="shared" si="143"/>
        <v>2777.78</v>
      </c>
      <c r="AB335" s="698">
        <f t="shared" si="143"/>
        <v>2777.78</v>
      </c>
      <c r="AC335" s="698">
        <f t="shared" si="143"/>
        <v>2777.78</v>
      </c>
      <c r="AD335" s="698">
        <f t="shared" si="143"/>
        <v>2777.78</v>
      </c>
      <c r="AE335" s="698">
        <f t="shared" si="143"/>
        <v>2777.78</v>
      </c>
      <c r="AF335" s="698">
        <f t="shared" si="143"/>
        <v>2777.78</v>
      </c>
      <c r="AG335" s="698">
        <f t="shared" si="143"/>
        <v>2777.78</v>
      </c>
      <c r="AH335" s="698">
        <f t="shared" si="143"/>
        <v>2777.78</v>
      </c>
      <c r="AI335" s="698">
        <f t="shared" si="143"/>
        <v>2777.78</v>
      </c>
      <c r="AJ335" s="698">
        <f t="shared" si="143"/>
        <v>2777.78</v>
      </c>
      <c r="AK335" s="698">
        <f t="shared" si="143"/>
        <v>2777.78</v>
      </c>
      <c r="AL335" s="698">
        <f t="shared" si="143"/>
        <v>2777.78</v>
      </c>
      <c r="AM335" s="698">
        <f t="shared" si="143"/>
        <v>2777.78</v>
      </c>
    </row>
    <row r="336" spans="2:39" x14ac:dyDescent="0.3">
      <c r="B336" s="463" t="s">
        <v>1320</v>
      </c>
      <c r="C336" s="699">
        <v>100000</v>
      </c>
      <c r="D336">
        <v>97222.22</v>
      </c>
      <c r="E336">
        <v>94444.44</v>
      </c>
      <c r="F336">
        <v>91666.67</v>
      </c>
      <c r="G336">
        <v>88888.89</v>
      </c>
      <c r="H336">
        <v>86111.11</v>
      </c>
      <c r="I336">
        <v>83333.33</v>
      </c>
      <c r="J336">
        <v>80555.56</v>
      </c>
      <c r="K336">
        <v>77777.78</v>
      </c>
      <c r="L336">
        <v>75000</v>
      </c>
      <c r="M336">
        <v>72222.22</v>
      </c>
      <c r="N336">
        <v>69444.44</v>
      </c>
      <c r="O336" s="1351">
        <v>66666.67</v>
      </c>
      <c r="P336">
        <v>63888.89</v>
      </c>
      <c r="Q336">
        <v>61111.11</v>
      </c>
      <c r="R336">
        <v>58333.33</v>
      </c>
      <c r="S336">
        <v>55555.56</v>
      </c>
      <c r="T336">
        <v>52777.78</v>
      </c>
      <c r="U336">
        <v>50000</v>
      </c>
      <c r="V336">
        <v>47222.22</v>
      </c>
      <c r="W336">
        <v>44444.44</v>
      </c>
      <c r="X336">
        <v>41666.67</v>
      </c>
      <c r="Y336">
        <v>38888.89</v>
      </c>
      <c r="Z336">
        <v>36111.11</v>
      </c>
      <c r="AA336">
        <v>33333.33</v>
      </c>
      <c r="AB336">
        <v>30555.56</v>
      </c>
      <c r="AC336">
        <v>27777.78</v>
      </c>
      <c r="AD336">
        <v>25000</v>
      </c>
      <c r="AE336">
        <v>22222.22</v>
      </c>
      <c r="AF336">
        <v>19444.439999999999</v>
      </c>
      <c r="AG336">
        <v>16666.669999999998</v>
      </c>
      <c r="AH336">
        <v>13888.89</v>
      </c>
      <c r="AI336">
        <v>11111.11</v>
      </c>
      <c r="AJ336">
        <v>8333.33</v>
      </c>
      <c r="AK336">
        <v>5555.56</v>
      </c>
      <c r="AL336">
        <v>2777.78</v>
      </c>
      <c r="AM336">
        <v>0</v>
      </c>
    </row>
    <row r="337" spans="2:39" x14ac:dyDescent="0.3">
      <c r="B337" s="463" t="s">
        <v>1321</v>
      </c>
      <c r="C337" s="697"/>
      <c r="D337">
        <v>235.66</v>
      </c>
      <c r="E337">
        <v>1817.92</v>
      </c>
      <c r="F337">
        <v>1775.68</v>
      </c>
      <c r="G337">
        <v>1714.04</v>
      </c>
      <c r="H337">
        <v>1671.23</v>
      </c>
      <c r="I337">
        <v>1610.16</v>
      </c>
      <c r="J337">
        <v>1566.78</v>
      </c>
      <c r="K337">
        <v>1510.42</v>
      </c>
      <c r="L337">
        <v>1458.33</v>
      </c>
      <c r="M337">
        <v>1402.4</v>
      </c>
      <c r="N337">
        <v>1357.88</v>
      </c>
      <c r="O337" s="1351">
        <v>1298.52</v>
      </c>
      <c r="P337">
        <v>1253.42</v>
      </c>
      <c r="Q337">
        <v>1194.6300000000001</v>
      </c>
      <c r="R337">
        <v>1148.97</v>
      </c>
      <c r="S337">
        <v>1093.75</v>
      </c>
      <c r="T337">
        <v>1041.67</v>
      </c>
      <c r="U337">
        <v>986.87</v>
      </c>
      <c r="V337">
        <v>940.07</v>
      </c>
      <c r="W337">
        <v>882.99</v>
      </c>
      <c r="X337">
        <v>835.62</v>
      </c>
      <c r="Y337">
        <v>779.11</v>
      </c>
      <c r="Z337">
        <v>731.16</v>
      </c>
      <c r="AA337">
        <v>677.08</v>
      </c>
      <c r="AB337">
        <v>625</v>
      </c>
      <c r="AC337">
        <v>571.35</v>
      </c>
      <c r="AD337">
        <v>522.26</v>
      </c>
      <c r="AE337">
        <v>467.47</v>
      </c>
      <c r="AF337">
        <v>417.81</v>
      </c>
      <c r="AG337">
        <v>363.58</v>
      </c>
      <c r="AH337">
        <v>313.36</v>
      </c>
      <c r="AI337">
        <v>260.42</v>
      </c>
      <c r="AJ337">
        <v>208.33</v>
      </c>
      <c r="AK337">
        <v>155.82</v>
      </c>
      <c r="AL337">
        <v>104.45</v>
      </c>
      <c r="AM337">
        <v>51.94</v>
      </c>
    </row>
    <row r="338" spans="2:39" x14ac:dyDescent="0.3">
      <c r="B338" s="463" t="s">
        <v>1322</v>
      </c>
      <c r="C338" s="697"/>
      <c r="D338" s="700">
        <f t="shared" ref="D338:AM338" si="144">ROUND(D337,2)+D335</f>
        <v>3013.44</v>
      </c>
      <c r="E338" s="700">
        <f t="shared" si="144"/>
        <v>4595.7000000000007</v>
      </c>
      <c r="F338" s="700">
        <f t="shared" si="144"/>
        <v>4553.46</v>
      </c>
      <c r="G338" s="700">
        <f t="shared" si="144"/>
        <v>4491.82</v>
      </c>
      <c r="H338" s="700">
        <f t="shared" si="144"/>
        <v>4449.01</v>
      </c>
      <c r="I338" s="700">
        <f t="shared" si="144"/>
        <v>4387.9400000000005</v>
      </c>
      <c r="J338" s="700">
        <f t="shared" si="144"/>
        <v>4344.5600000000004</v>
      </c>
      <c r="K338" s="700">
        <f t="shared" si="144"/>
        <v>4288.2000000000007</v>
      </c>
      <c r="L338" s="700">
        <f t="shared" si="144"/>
        <v>4236.1100000000006</v>
      </c>
      <c r="M338" s="700">
        <f t="shared" si="144"/>
        <v>4180.18</v>
      </c>
      <c r="N338" s="700">
        <f t="shared" si="144"/>
        <v>4135.66</v>
      </c>
      <c r="O338" s="1352">
        <f t="shared" si="144"/>
        <v>4076.3</v>
      </c>
      <c r="P338" s="700">
        <f t="shared" si="144"/>
        <v>4031.2000000000003</v>
      </c>
      <c r="Q338" s="700">
        <f t="shared" si="144"/>
        <v>3972.4100000000003</v>
      </c>
      <c r="R338" s="700">
        <f t="shared" si="144"/>
        <v>3926.75</v>
      </c>
      <c r="S338" s="700">
        <f t="shared" si="144"/>
        <v>3871.53</v>
      </c>
      <c r="T338" s="700">
        <f t="shared" si="144"/>
        <v>3819.4500000000003</v>
      </c>
      <c r="U338" s="700">
        <f t="shared" si="144"/>
        <v>3764.65</v>
      </c>
      <c r="V338" s="700">
        <f t="shared" si="144"/>
        <v>3717.8500000000004</v>
      </c>
      <c r="W338" s="700">
        <f t="shared" si="144"/>
        <v>3660.7700000000004</v>
      </c>
      <c r="X338" s="700">
        <f t="shared" si="144"/>
        <v>3613.4</v>
      </c>
      <c r="Y338" s="700">
        <f t="shared" si="144"/>
        <v>3556.8900000000003</v>
      </c>
      <c r="Z338" s="700">
        <f t="shared" si="144"/>
        <v>3508.94</v>
      </c>
      <c r="AA338" s="700">
        <f t="shared" si="144"/>
        <v>3454.86</v>
      </c>
      <c r="AB338" s="700">
        <f t="shared" si="144"/>
        <v>3402.78</v>
      </c>
      <c r="AC338" s="700">
        <f t="shared" si="144"/>
        <v>3349.13</v>
      </c>
      <c r="AD338" s="700">
        <f t="shared" si="144"/>
        <v>3300.04</v>
      </c>
      <c r="AE338" s="700">
        <f t="shared" si="144"/>
        <v>3245.25</v>
      </c>
      <c r="AF338" s="700">
        <f t="shared" si="144"/>
        <v>3195.59</v>
      </c>
      <c r="AG338" s="700">
        <f t="shared" si="144"/>
        <v>3141.36</v>
      </c>
      <c r="AH338" s="700">
        <f t="shared" si="144"/>
        <v>3091.1400000000003</v>
      </c>
      <c r="AI338" s="700">
        <f t="shared" si="144"/>
        <v>3038.2000000000003</v>
      </c>
      <c r="AJ338" s="700">
        <f t="shared" si="144"/>
        <v>2986.11</v>
      </c>
      <c r="AK338" s="700">
        <f t="shared" si="144"/>
        <v>2933.6000000000004</v>
      </c>
      <c r="AL338" s="700">
        <f t="shared" si="144"/>
        <v>2882.23</v>
      </c>
      <c r="AM338" s="700">
        <f t="shared" si="144"/>
        <v>2829.7200000000003</v>
      </c>
    </row>
    <row r="339" spans="2:39" x14ac:dyDescent="0.3">
      <c r="B339" s="463" t="s">
        <v>1323</v>
      </c>
      <c r="C339" s="699"/>
      <c r="D339" s="700">
        <f t="shared" ref="D339:AM339" si="145">+IF(D334&gt;$C$1,D338,0)</f>
        <v>0</v>
      </c>
      <c r="E339" s="700">
        <f t="shared" si="145"/>
        <v>0</v>
      </c>
      <c r="F339" s="700">
        <f t="shared" si="145"/>
        <v>0</v>
      </c>
      <c r="G339" s="700">
        <f t="shared" si="145"/>
        <v>0</v>
      </c>
      <c r="H339" s="700">
        <f t="shared" si="145"/>
        <v>0</v>
      </c>
      <c r="I339" s="700">
        <f t="shared" si="145"/>
        <v>0</v>
      </c>
      <c r="J339" s="700">
        <f t="shared" si="145"/>
        <v>0</v>
      </c>
      <c r="K339" s="700">
        <f t="shared" si="145"/>
        <v>0</v>
      </c>
      <c r="L339" s="700">
        <f t="shared" si="145"/>
        <v>0</v>
      </c>
      <c r="M339" s="700">
        <f t="shared" si="145"/>
        <v>0</v>
      </c>
      <c r="N339" s="700">
        <f t="shared" si="145"/>
        <v>0</v>
      </c>
      <c r="O339" s="1352">
        <f t="shared" si="145"/>
        <v>4076.3</v>
      </c>
      <c r="P339" s="700">
        <f t="shared" si="145"/>
        <v>4031.2000000000003</v>
      </c>
      <c r="Q339" s="700">
        <f t="shared" si="145"/>
        <v>3972.4100000000003</v>
      </c>
      <c r="R339" s="700">
        <f t="shared" si="145"/>
        <v>3926.75</v>
      </c>
      <c r="S339" s="700">
        <f t="shared" si="145"/>
        <v>3871.53</v>
      </c>
      <c r="T339" s="700">
        <f t="shared" si="145"/>
        <v>3819.4500000000003</v>
      </c>
      <c r="U339" s="700">
        <f t="shared" si="145"/>
        <v>3764.65</v>
      </c>
      <c r="V339" s="700">
        <f t="shared" si="145"/>
        <v>3717.8500000000004</v>
      </c>
      <c r="W339" s="700">
        <f t="shared" si="145"/>
        <v>3660.7700000000004</v>
      </c>
      <c r="X339" s="700">
        <f t="shared" si="145"/>
        <v>3613.4</v>
      </c>
      <c r="Y339" s="700">
        <f t="shared" si="145"/>
        <v>3556.8900000000003</v>
      </c>
      <c r="Z339" s="700">
        <f t="shared" si="145"/>
        <v>3508.94</v>
      </c>
      <c r="AA339" s="700">
        <f t="shared" si="145"/>
        <v>3454.86</v>
      </c>
      <c r="AB339" s="700">
        <f t="shared" si="145"/>
        <v>3402.78</v>
      </c>
      <c r="AC339" s="700">
        <f t="shared" si="145"/>
        <v>3349.13</v>
      </c>
      <c r="AD339" s="700">
        <f t="shared" si="145"/>
        <v>3300.04</v>
      </c>
      <c r="AE339" s="700">
        <f t="shared" si="145"/>
        <v>3245.25</v>
      </c>
      <c r="AF339" s="700">
        <f t="shared" si="145"/>
        <v>3195.59</v>
      </c>
      <c r="AG339" s="700">
        <f t="shared" si="145"/>
        <v>3141.36</v>
      </c>
      <c r="AH339" s="700">
        <f t="shared" si="145"/>
        <v>3091.1400000000003</v>
      </c>
      <c r="AI339" s="700">
        <f t="shared" si="145"/>
        <v>3038.2000000000003</v>
      </c>
      <c r="AJ339" s="700">
        <f t="shared" si="145"/>
        <v>2986.11</v>
      </c>
      <c r="AK339" s="700">
        <f t="shared" si="145"/>
        <v>2933.6000000000004</v>
      </c>
      <c r="AL339" s="700">
        <f t="shared" si="145"/>
        <v>2882.23</v>
      </c>
      <c r="AM339" s="700">
        <f t="shared" si="145"/>
        <v>2829.7200000000003</v>
      </c>
    </row>
    <row r="340" spans="2:39" x14ac:dyDescent="0.3">
      <c r="B340" s="463" t="s">
        <v>1324</v>
      </c>
      <c r="C340" s="702"/>
      <c r="D340" s="703">
        <f>(D334-$C$1)/(D334-B334)</f>
        <v>-5.472677595628415</v>
      </c>
      <c r="E340" s="703">
        <f>ROUND(((E334-$C$1)/(C334-B334))*6/12,5)</f>
        <v>-5.0027499999999998</v>
      </c>
      <c r="F340" s="823">
        <f>ROUND(((F334-$C$1)/(D334-C334))*6/12,5)</f>
        <v>-4.4510899999999998</v>
      </c>
      <c r="G340" s="823">
        <f>ROUND(((G334-$C$1)/(E334-D334))*6/12,5)</f>
        <v>-4</v>
      </c>
      <c r="H340" s="823">
        <f>(H334-$C$1)/(H334-F334)</f>
        <v>-3.4876712328767123</v>
      </c>
      <c r="I340" s="824">
        <f>ROUND(((I334-$C$1)/(G334-F334))*6/12,10)</f>
        <v>-2.9972527473000001</v>
      </c>
      <c r="J340" s="824">
        <f>ROUND(((J334-$C$1)/(H334-G334))*6/12,10)</f>
        <v>-2.4808743169</v>
      </c>
      <c r="K340" s="824">
        <f>J340+6/12</f>
        <v>-1.9808743169</v>
      </c>
      <c r="L340" s="824">
        <f>K340+6/12</f>
        <v>-1.4808743169</v>
      </c>
      <c r="M340" s="1167">
        <f>ROUND(((M334-$C$1)/91)*0.25,10)</f>
        <v>-0.98901098899999995</v>
      </c>
      <c r="N340" s="1167">
        <f>ROUND(((N334-$C$1)/183)*0.5,10)</f>
        <v>-0.48360655740000003</v>
      </c>
      <c r="O340" s="1355">
        <f>ROUND(((O334-C1)/182)*0.5,10)</f>
        <v>1.3736263699999999E-2</v>
      </c>
      <c r="P340" s="1357">
        <f>O340+0.5</f>
        <v>0.51373626370000003</v>
      </c>
      <c r="Q340" s="700">
        <f t="shared" ref="Q340:AM340" si="146">P340+0.5</f>
        <v>1.0137362637</v>
      </c>
      <c r="R340" s="1168">
        <f t="shared" si="146"/>
        <v>1.5137362637</v>
      </c>
      <c r="S340" s="700">
        <f t="shared" si="146"/>
        <v>2.0137362637000003</v>
      </c>
      <c r="T340" s="700">
        <f t="shared" si="146"/>
        <v>2.5137362637000003</v>
      </c>
      <c r="U340" s="700">
        <f t="shared" si="146"/>
        <v>3.0137362637000003</v>
      </c>
      <c r="V340" s="700">
        <f t="shared" si="146"/>
        <v>3.5137362637000003</v>
      </c>
      <c r="W340" s="700">
        <f t="shared" si="146"/>
        <v>4.0137362637000003</v>
      </c>
      <c r="X340" s="700">
        <f t="shared" si="146"/>
        <v>4.5137362637000003</v>
      </c>
      <c r="Y340" s="700">
        <f t="shared" si="146"/>
        <v>5.0137362637000003</v>
      </c>
      <c r="Z340" s="700">
        <f t="shared" si="146"/>
        <v>5.5137362637000003</v>
      </c>
      <c r="AA340" s="700">
        <f t="shared" si="146"/>
        <v>6.0137362637000003</v>
      </c>
      <c r="AB340" s="700">
        <f t="shared" si="146"/>
        <v>6.5137362637000003</v>
      </c>
      <c r="AC340" s="700">
        <f t="shared" si="146"/>
        <v>7.0137362637000003</v>
      </c>
      <c r="AD340" s="700">
        <f>AC340+0.5</f>
        <v>7.5137362637000003</v>
      </c>
      <c r="AE340" s="700">
        <f t="shared" si="146"/>
        <v>8.0137362637000003</v>
      </c>
      <c r="AF340" s="700">
        <f t="shared" si="146"/>
        <v>8.5137362637000003</v>
      </c>
      <c r="AG340" s="700">
        <f t="shared" si="146"/>
        <v>9.0137362637000003</v>
      </c>
      <c r="AH340" s="700">
        <f t="shared" si="146"/>
        <v>9.5137362637000003</v>
      </c>
      <c r="AI340" s="700">
        <f t="shared" si="146"/>
        <v>10.0137362637</v>
      </c>
      <c r="AJ340" s="700">
        <f t="shared" si="146"/>
        <v>10.5137362637</v>
      </c>
      <c r="AK340" s="700">
        <f t="shared" si="146"/>
        <v>11.0137362637</v>
      </c>
      <c r="AL340" s="700">
        <f t="shared" si="146"/>
        <v>11.5137362637</v>
      </c>
      <c r="AM340" s="700">
        <f t="shared" si="146"/>
        <v>12.0137362637</v>
      </c>
    </row>
    <row r="341" spans="2:39" x14ac:dyDescent="0.3">
      <c r="B341" s="463" t="s">
        <v>1325</v>
      </c>
      <c r="C341" s="697"/>
      <c r="D341" s="704" cm="1">
        <f t="array" ref="D341">ROUND(interpoler(mat_zc,Taux_ZC,D340),5)</f>
        <v>2.3279999999999999E-2</v>
      </c>
      <c r="E341" s="704" cm="1">
        <f t="array" ref="E341">ROUND(interpoler(mat_zc,Taux_ZC,E340),5)</f>
        <v>2.3279999999999999E-2</v>
      </c>
      <c r="F341" s="704" cm="1">
        <f t="array" ref="F341">ROUND(interpoler(mat_zc,Taux_ZC,F340),5)</f>
        <v>2.3279999999999999E-2</v>
      </c>
      <c r="G341" s="704" cm="1">
        <f t="array" ref="G341">ROUND(interpoler(mat_zc,Taux_ZC,G340),5)</f>
        <v>2.3279999999999999E-2</v>
      </c>
      <c r="H341" s="704" cm="1">
        <f t="array" ref="H341">ROUND(interpoler(mat_zc,Taux_ZC,H340),5)</f>
        <v>2.3279999999999999E-2</v>
      </c>
      <c r="I341" s="704" cm="1">
        <f t="array" ref="I341">ROUND(interpoler(mat_zc,Taux_ZC,I340),5)</f>
        <v>2.3279999999999999E-2</v>
      </c>
      <c r="J341" s="704" cm="1">
        <f t="array" ref="J341">ROUND(interpoler(mat_zc,Taux_ZC,J340),5)</f>
        <v>2.3279999999999999E-2</v>
      </c>
      <c r="K341" s="704" cm="1">
        <f t="array" ref="K341">ROUND(interpoler(mat_zc,Taux_ZC,K340),5)</f>
        <v>2.3279999999999999E-2</v>
      </c>
      <c r="L341" s="704" cm="1">
        <f t="array" ref="L341">ROUND(interpoler(mat_zc,Taux_ZC,L340),5)</f>
        <v>2.3279999999999999E-2</v>
      </c>
      <c r="M341" s="704" cm="1">
        <f t="array" ref="M341">ROUND(interpoler(mat_zc,Taux_ZC,M340),6)</f>
        <v>2.3281E-2</v>
      </c>
      <c r="N341" s="704" cm="1">
        <f t="array" ref="N341">ROUND(interpoler(mat_zc,Taux_ZC,N340),6)</f>
        <v>2.3281E-2</v>
      </c>
      <c r="O341" s="1278" cm="1">
        <f t="array" ref="O341">ROUND(interpoler(mat_zc,Taux_ZC,O340),6)</f>
        <v>2.3278E-2</v>
      </c>
      <c r="P341" s="704" cm="1">
        <f t="array" ref="P341">ROUND(interpoler(mat_zc,Taux_ZC,P340),6)</f>
        <v>2.4153999999999998E-2</v>
      </c>
      <c r="Q341" s="704" cm="1">
        <f t="array" ref="Q341">ROUND(interpoler(mat_zc,Taux_ZC,Q340),6)</f>
        <v>2.5165E-2</v>
      </c>
      <c r="R341" s="704" cm="1">
        <f t="array" ref="R341">ROUND(interpoler(mat_zc,Taux_ZC,R340),5)</f>
        <v>2.5940000000000001E-2</v>
      </c>
      <c r="S341" s="704" cm="1">
        <f t="array" ref="S341">ROUND(interpoler(mat_zc,Taux_ZC,S340),5)</f>
        <v>2.6720000000000001E-2</v>
      </c>
      <c r="T341" s="704" cm="1">
        <f t="array" ref="T341">ROUND(interpoler(mat_zc,Taux_ZC,T340),5)</f>
        <v>2.75E-2</v>
      </c>
      <c r="U341" s="704" cm="1">
        <f t="array" ref="U341">ROUND(interpoler(mat_zc,Taux_ZC,U340),5)</f>
        <v>2.828E-2</v>
      </c>
      <c r="V341" s="704" cm="1">
        <f t="array" ref="V341">ROUND(interpoler(mat_zc,Taux_ZC,V340),5)</f>
        <v>2.9069999999999999E-2</v>
      </c>
      <c r="W341" s="704" cm="1">
        <f t="array" ref="W341">ROUND(interpoler(mat_zc,Taux_ZC,W340),5)</f>
        <v>2.9850000000000002E-2</v>
      </c>
      <c r="X341" s="704" cm="1">
        <f t="array" ref="X341">ROUND(interpoler(mat_zc,Taux_ZC,X340),5)</f>
        <v>3.039E-2</v>
      </c>
      <c r="Y341" s="704" cm="1">
        <f t="array" ref="Y341">ROUND(interpoler(mat_zc,Taux_ZC,Y340),5)</f>
        <v>3.092E-2</v>
      </c>
      <c r="Z341" s="704" cm="1">
        <f t="array" ref="Z341">ROUND(interpoler(mat_zc,Taux_ZC,Z340),5)</f>
        <v>3.1179999999999999E-2</v>
      </c>
      <c r="AA341" s="704" cm="1">
        <f t="array" ref="AA341">ROUND(interpoler(mat_zc,Taux_ZC,AA340),5)</f>
        <v>3.1440000000000003E-2</v>
      </c>
      <c r="AB341" s="704" cm="1">
        <f t="array" ref="AB341">ROUND(interpoler(mat_zc,Taux_ZC,AB340),5)</f>
        <v>3.1690000000000003E-2</v>
      </c>
      <c r="AC341" s="704" cm="1">
        <f t="array" ref="AC341">ROUND(interpoler(mat_zc,Taux_ZC,AC340),5)</f>
        <v>3.1940000000000003E-2</v>
      </c>
      <c r="AD341" s="704" cm="1">
        <f t="array" ref="AD341">ROUND(interpoler(mat_zc,Taux_ZC,AD340),5)</f>
        <v>3.2199999999999999E-2</v>
      </c>
      <c r="AE341" s="704" cm="1">
        <f t="array" ref="AE341">ROUND(interpoler(mat_zc,Taux_ZC,AE340),5)</f>
        <v>3.2460000000000003E-2</v>
      </c>
      <c r="AF341" s="704" cm="1">
        <f t="array" ref="AF341">ROUND(interpoler(mat_zc,Taux_ZC,AF340),5)</f>
        <v>3.2719999999999999E-2</v>
      </c>
      <c r="AG341" s="704" cm="1">
        <f t="array" ref="AG341">ROUND(interpoler(mat_zc,Taux_ZC,AG340),5)</f>
        <v>3.2980000000000002E-2</v>
      </c>
      <c r="AH341" s="704" cm="1">
        <f t="array" ref="AH341">ROUND(interpoler(mat_zc,Taux_ZC,AH340),5)</f>
        <v>3.329E-2</v>
      </c>
      <c r="AI341" s="704" cm="1">
        <f t="array" ref="AI341">ROUND(interpoler(mat_zc,Taux_ZC,AI340),5)</f>
        <v>3.3599999999999998E-2</v>
      </c>
      <c r="AJ341" s="704" cm="1">
        <f t="array" ref="AJ341">ROUND(interpoler(mat_zc,Taux_ZC,AJ340),5)</f>
        <v>3.3919999999999999E-2</v>
      </c>
      <c r="AK341" s="704" cm="1">
        <f t="array" ref="AK341">ROUND(interpoler(mat_zc,Taux_ZC,AK340),5)</f>
        <v>3.424E-2</v>
      </c>
      <c r="AL341" s="704" cm="1">
        <f t="array" ref="AL341">ROUND(interpoler(mat_zc,Taux_ZC,AL340),5)</f>
        <v>3.4569999999999997E-2</v>
      </c>
      <c r="AM341" s="704" cm="1">
        <f t="array" ref="AM341">ROUND(interpoler(mat_zc,Taux_ZC,AM340),5)</f>
        <v>3.49E-2</v>
      </c>
    </row>
    <row r="342" spans="2:39" x14ac:dyDescent="0.3">
      <c r="B342" s="463"/>
      <c r="C342" s="697"/>
      <c r="D342" s="1166">
        <f>ROUND(D341,7)</f>
        <v>2.3279999999999999E-2</v>
      </c>
      <c r="E342" s="1166">
        <f t="shared" ref="E342:AM342" si="147">ROUND(E341,7)</f>
        <v>2.3279999999999999E-2</v>
      </c>
      <c r="F342" s="1166">
        <f t="shared" si="147"/>
        <v>2.3279999999999999E-2</v>
      </c>
      <c r="G342" s="1166">
        <f t="shared" si="147"/>
        <v>2.3279999999999999E-2</v>
      </c>
      <c r="H342" s="1166">
        <f t="shared" si="147"/>
        <v>2.3279999999999999E-2</v>
      </c>
      <c r="I342" s="1166">
        <f t="shared" si="147"/>
        <v>2.3279999999999999E-2</v>
      </c>
      <c r="J342" s="1166">
        <f t="shared" si="147"/>
        <v>2.3279999999999999E-2</v>
      </c>
      <c r="K342" s="1166">
        <f t="shared" si="147"/>
        <v>2.3279999999999999E-2</v>
      </c>
      <c r="L342" s="1166">
        <f t="shared" si="147"/>
        <v>2.3279999999999999E-2</v>
      </c>
      <c r="M342" s="1166">
        <f t="shared" si="147"/>
        <v>2.3281E-2</v>
      </c>
      <c r="N342" s="1166">
        <f t="shared" si="147"/>
        <v>2.3281E-2</v>
      </c>
      <c r="O342" s="1353">
        <f t="shared" si="147"/>
        <v>2.3278E-2</v>
      </c>
      <c r="P342" s="1166">
        <f t="shared" si="147"/>
        <v>2.4153999999999998E-2</v>
      </c>
      <c r="Q342" s="1166">
        <f t="shared" si="147"/>
        <v>2.5165E-2</v>
      </c>
      <c r="R342" s="1166">
        <f t="shared" si="147"/>
        <v>2.5940000000000001E-2</v>
      </c>
      <c r="S342" s="1166">
        <f t="shared" si="147"/>
        <v>2.6720000000000001E-2</v>
      </c>
      <c r="T342" s="1166">
        <f t="shared" si="147"/>
        <v>2.75E-2</v>
      </c>
      <c r="U342" s="1166">
        <f t="shared" si="147"/>
        <v>2.828E-2</v>
      </c>
      <c r="V342" s="1166">
        <f t="shared" si="147"/>
        <v>2.9069999999999999E-2</v>
      </c>
      <c r="W342" s="1166">
        <f t="shared" si="147"/>
        <v>2.9850000000000002E-2</v>
      </c>
      <c r="X342" s="1166">
        <f t="shared" si="147"/>
        <v>3.039E-2</v>
      </c>
      <c r="Y342" s="1166">
        <f t="shared" si="147"/>
        <v>3.092E-2</v>
      </c>
      <c r="Z342" s="1166">
        <f t="shared" si="147"/>
        <v>3.1179999999999999E-2</v>
      </c>
      <c r="AA342" s="1166">
        <f t="shared" si="147"/>
        <v>3.1440000000000003E-2</v>
      </c>
      <c r="AB342" s="1166">
        <f t="shared" si="147"/>
        <v>3.1690000000000003E-2</v>
      </c>
      <c r="AC342" s="1166">
        <f t="shared" si="147"/>
        <v>3.1940000000000003E-2</v>
      </c>
      <c r="AD342" s="1166">
        <f t="shared" si="147"/>
        <v>3.2199999999999999E-2</v>
      </c>
      <c r="AE342" s="1166">
        <f t="shared" si="147"/>
        <v>3.2460000000000003E-2</v>
      </c>
      <c r="AF342" s="1166">
        <f t="shared" si="147"/>
        <v>3.2719999999999999E-2</v>
      </c>
      <c r="AG342" s="1166">
        <f t="shared" si="147"/>
        <v>3.2980000000000002E-2</v>
      </c>
      <c r="AH342" s="1166">
        <f t="shared" si="147"/>
        <v>3.329E-2</v>
      </c>
      <c r="AI342" s="1166">
        <f t="shared" si="147"/>
        <v>3.3599999999999998E-2</v>
      </c>
      <c r="AJ342" s="1166">
        <f t="shared" si="147"/>
        <v>3.3919999999999999E-2</v>
      </c>
      <c r="AK342" s="1166">
        <f t="shared" si="147"/>
        <v>3.424E-2</v>
      </c>
      <c r="AL342" s="1166">
        <f t="shared" si="147"/>
        <v>3.4569999999999997E-2</v>
      </c>
      <c r="AM342" s="1166">
        <f t="shared" si="147"/>
        <v>3.49E-2</v>
      </c>
    </row>
    <row r="343" spans="2:39" x14ac:dyDescent="0.3">
      <c r="B343" s="463" t="s">
        <v>1328</v>
      </c>
      <c r="C343" s="697"/>
      <c r="D343" s="705">
        <v>1.2999999999999999E-2</v>
      </c>
      <c r="E343" s="705">
        <v>1.2999999999999999E-2</v>
      </c>
      <c r="F343" s="705">
        <v>1.2999999999999999E-2</v>
      </c>
      <c r="G343" s="705">
        <v>1.2999999999999999E-2</v>
      </c>
      <c r="H343" s="705">
        <v>1.2999999999999999E-2</v>
      </c>
      <c r="I343" s="705">
        <v>1.2999999999999999E-2</v>
      </c>
      <c r="J343" s="705">
        <v>1.2999999999999999E-2</v>
      </c>
      <c r="K343" s="705">
        <v>1.2999999999999999E-2</v>
      </c>
      <c r="L343" s="705">
        <v>1.2999999999999999E-2</v>
      </c>
      <c r="M343" s="705">
        <v>1.2999999999999999E-2</v>
      </c>
      <c r="N343" s="705">
        <v>1.2999999999999999E-2</v>
      </c>
      <c r="O343" s="1279">
        <v>1.2999999999999999E-2</v>
      </c>
      <c r="P343" s="705">
        <v>1.2999999999999999E-2</v>
      </c>
      <c r="Q343" s="705">
        <v>1.2999999999999999E-2</v>
      </c>
      <c r="R343" s="705">
        <v>1.2999999999999999E-2</v>
      </c>
      <c r="S343" s="705">
        <v>1.2999999999999999E-2</v>
      </c>
      <c r="T343" s="705">
        <v>1.2999999999999999E-2</v>
      </c>
      <c r="U343" s="705">
        <v>1.2999999999999999E-2</v>
      </c>
      <c r="V343" s="705">
        <v>1.2999999999999999E-2</v>
      </c>
      <c r="W343" s="705">
        <v>1.2999999999999999E-2</v>
      </c>
      <c r="X343" s="705">
        <v>1.2999999999999999E-2</v>
      </c>
      <c r="Y343" s="705">
        <v>1.2999999999999999E-2</v>
      </c>
      <c r="Z343" s="705">
        <v>1.2999999999999999E-2</v>
      </c>
      <c r="AA343" s="705">
        <v>1.2999999999999999E-2</v>
      </c>
      <c r="AB343" s="705">
        <v>1.2999999999999999E-2</v>
      </c>
      <c r="AC343" s="705">
        <v>1.2999999999999999E-2</v>
      </c>
      <c r="AD343" s="705">
        <v>1.2999999999999999E-2</v>
      </c>
      <c r="AE343" s="705">
        <v>1.2999999999999999E-2</v>
      </c>
      <c r="AF343" s="705">
        <v>1.2999999999999999E-2</v>
      </c>
      <c r="AG343" s="705">
        <v>1.2999999999999999E-2</v>
      </c>
      <c r="AH343" s="705">
        <v>1.2999999999999999E-2</v>
      </c>
      <c r="AI343" s="705">
        <v>1.2999999999999999E-2</v>
      </c>
      <c r="AJ343" s="705">
        <v>1.2999999999999999E-2</v>
      </c>
      <c r="AK343" s="705">
        <v>1.2999999999999999E-2</v>
      </c>
      <c r="AL343" s="705">
        <v>1.2999999999999999E-2</v>
      </c>
      <c r="AM343" s="705">
        <v>1.2999999999999999E-2</v>
      </c>
    </row>
    <row r="344" spans="2:39" x14ac:dyDescent="0.3">
      <c r="B344" s="463" t="s">
        <v>1329</v>
      </c>
      <c r="C344" s="697"/>
      <c r="D344" s="706">
        <f>ROUND(D342+D343,5)</f>
        <v>3.628E-2</v>
      </c>
      <c r="E344" s="706">
        <f t="shared" ref="E344:AM344" si="148">ROUND(E342+E343,5)</f>
        <v>3.628E-2</v>
      </c>
      <c r="F344" s="706">
        <f t="shared" si="148"/>
        <v>3.628E-2</v>
      </c>
      <c r="G344" s="706">
        <f t="shared" si="148"/>
        <v>3.628E-2</v>
      </c>
      <c r="H344" s="706">
        <f t="shared" si="148"/>
        <v>3.628E-2</v>
      </c>
      <c r="I344" s="706">
        <f t="shared" si="148"/>
        <v>3.628E-2</v>
      </c>
      <c r="J344" s="706">
        <f t="shared" si="148"/>
        <v>3.628E-2</v>
      </c>
      <c r="K344" s="706">
        <f t="shared" si="148"/>
        <v>3.628E-2</v>
      </c>
      <c r="L344" s="706">
        <f t="shared" si="148"/>
        <v>3.628E-2</v>
      </c>
      <c r="M344" s="706">
        <f t="shared" si="148"/>
        <v>3.628E-2</v>
      </c>
      <c r="N344" s="706">
        <f t="shared" si="148"/>
        <v>3.628E-2</v>
      </c>
      <c r="O344" s="1253">
        <f t="shared" si="148"/>
        <v>3.628E-2</v>
      </c>
      <c r="P344" s="706">
        <f t="shared" si="148"/>
        <v>3.7150000000000002E-2</v>
      </c>
      <c r="Q344" s="706">
        <f t="shared" si="148"/>
        <v>3.8170000000000003E-2</v>
      </c>
      <c r="R344" s="706">
        <f t="shared" si="148"/>
        <v>3.8940000000000002E-2</v>
      </c>
      <c r="S344" s="706">
        <f t="shared" si="148"/>
        <v>3.9719999999999998E-2</v>
      </c>
      <c r="T344" s="706">
        <f t="shared" si="148"/>
        <v>4.0500000000000001E-2</v>
      </c>
      <c r="U344" s="706">
        <f t="shared" si="148"/>
        <v>4.1279999999999997E-2</v>
      </c>
      <c r="V344" s="706">
        <f t="shared" si="148"/>
        <v>4.2070000000000003E-2</v>
      </c>
      <c r="W344" s="706">
        <f t="shared" si="148"/>
        <v>4.2849999999999999E-2</v>
      </c>
      <c r="X344" s="706">
        <f t="shared" si="148"/>
        <v>4.3389999999999998E-2</v>
      </c>
      <c r="Y344" s="706">
        <f t="shared" si="148"/>
        <v>4.3920000000000001E-2</v>
      </c>
      <c r="Z344" s="706">
        <f t="shared" si="148"/>
        <v>4.4179999999999997E-2</v>
      </c>
      <c r="AA344" s="706">
        <f t="shared" si="148"/>
        <v>4.444E-2</v>
      </c>
      <c r="AB344" s="706">
        <f t="shared" si="148"/>
        <v>4.4690000000000001E-2</v>
      </c>
      <c r="AC344" s="706">
        <f t="shared" si="148"/>
        <v>4.4940000000000001E-2</v>
      </c>
      <c r="AD344" s="706">
        <f t="shared" si="148"/>
        <v>4.5199999999999997E-2</v>
      </c>
      <c r="AE344" s="706">
        <f t="shared" si="148"/>
        <v>4.546E-2</v>
      </c>
      <c r="AF344" s="706">
        <f t="shared" si="148"/>
        <v>4.5719999999999997E-2</v>
      </c>
      <c r="AG344" s="706">
        <f t="shared" si="148"/>
        <v>4.598E-2</v>
      </c>
      <c r="AH344" s="706">
        <f t="shared" si="148"/>
        <v>4.6289999999999998E-2</v>
      </c>
      <c r="AI344" s="706">
        <f t="shared" si="148"/>
        <v>4.6600000000000003E-2</v>
      </c>
      <c r="AJ344" s="706">
        <f t="shared" si="148"/>
        <v>4.6920000000000003E-2</v>
      </c>
      <c r="AK344" s="706">
        <f t="shared" si="148"/>
        <v>4.7239999999999997E-2</v>
      </c>
      <c r="AL344" s="706">
        <f t="shared" si="148"/>
        <v>4.7570000000000001E-2</v>
      </c>
      <c r="AM344" s="706">
        <f t="shared" si="148"/>
        <v>4.7899999999999998E-2</v>
      </c>
    </row>
    <row r="345" spans="2:39" x14ac:dyDescent="0.3">
      <c r="B345" s="463"/>
      <c r="C345" s="697"/>
      <c r="D345" s="700">
        <f>ROUND(D339/(1+D344)^D340,4)</f>
        <v>0</v>
      </c>
      <c r="E345" s="771">
        <f>ROUND(E339/(1+E344)^E340,4)</f>
        <v>0</v>
      </c>
      <c r="F345" s="771">
        <f>ROUND(F339/(1+F344)^F340,5)</f>
        <v>0</v>
      </c>
      <c r="G345" s="771">
        <f t="shared" ref="G345:AM345" si="149">ROUND(G339/(1+G344)^G340,6)</f>
        <v>0</v>
      </c>
      <c r="H345" s="771">
        <f t="shared" si="149"/>
        <v>0</v>
      </c>
      <c r="I345" s="771">
        <f t="shared" si="149"/>
        <v>0</v>
      </c>
      <c r="J345" s="771">
        <f t="shared" si="149"/>
        <v>0</v>
      </c>
      <c r="K345" s="771">
        <f t="shared" si="149"/>
        <v>0</v>
      </c>
      <c r="L345" s="771">
        <f t="shared" si="149"/>
        <v>0</v>
      </c>
      <c r="M345" s="771">
        <f t="shared" si="149"/>
        <v>0</v>
      </c>
      <c r="N345" s="771">
        <f t="shared" si="149"/>
        <v>0</v>
      </c>
      <c r="O345" s="1354">
        <f>ROUND(O339/(1+O344)^O340,6)</f>
        <v>4074.3050400000002</v>
      </c>
      <c r="P345" s="771">
        <f t="shared" si="149"/>
        <v>3956.3613949999999</v>
      </c>
      <c r="Q345" s="771">
        <f t="shared" si="149"/>
        <v>3824.3895560000001</v>
      </c>
      <c r="R345" s="771">
        <f t="shared" si="149"/>
        <v>3706.121564</v>
      </c>
      <c r="S345" s="771">
        <f t="shared" si="149"/>
        <v>3579.4595960000001</v>
      </c>
      <c r="T345" s="771">
        <f t="shared" si="149"/>
        <v>3456.676809</v>
      </c>
      <c r="U345" s="771">
        <f t="shared" si="149"/>
        <v>3332.580993</v>
      </c>
      <c r="V345" s="771">
        <f t="shared" si="149"/>
        <v>3216.6729059999998</v>
      </c>
      <c r="W345" s="771">
        <f t="shared" si="149"/>
        <v>3093.3906019999999</v>
      </c>
      <c r="X345" s="771">
        <f t="shared" si="149"/>
        <v>2982.9957639999998</v>
      </c>
      <c r="Y345" s="771">
        <f t="shared" si="149"/>
        <v>2867.3316329999998</v>
      </c>
      <c r="Z345" s="771">
        <f t="shared" si="149"/>
        <v>2764.7349370000002</v>
      </c>
      <c r="AA345" s="771">
        <f t="shared" si="149"/>
        <v>2659.929267</v>
      </c>
      <c r="AB345" s="771">
        <f t="shared" si="149"/>
        <v>2559.497507</v>
      </c>
      <c r="AC345" s="771">
        <f t="shared" si="149"/>
        <v>2460.539166</v>
      </c>
      <c r="AD345" s="771">
        <f t="shared" si="149"/>
        <v>2367.336358</v>
      </c>
      <c r="AE345" s="771">
        <f t="shared" si="149"/>
        <v>2272.6030129999999</v>
      </c>
      <c r="AF345" s="771">
        <f t="shared" si="149"/>
        <v>2184.0035360000002</v>
      </c>
      <c r="AG345" s="771">
        <f t="shared" si="149"/>
        <v>2094.783316</v>
      </c>
      <c r="AH345" s="771">
        <f t="shared" si="149"/>
        <v>2009.805456</v>
      </c>
      <c r="AI345" s="771">
        <f t="shared" si="149"/>
        <v>1925.4725960000001</v>
      </c>
      <c r="AJ345" s="771">
        <f t="shared" si="149"/>
        <v>1843.9135329999999</v>
      </c>
      <c r="AK345" s="771">
        <f t="shared" si="149"/>
        <v>1764.48144</v>
      </c>
      <c r="AL345" s="771">
        <f t="shared" si="149"/>
        <v>1687.8983479999999</v>
      </c>
      <c r="AM345" s="771">
        <f t="shared" si="149"/>
        <v>1612.9698940000001</v>
      </c>
    </row>
    <row r="346" spans="2:39" x14ac:dyDescent="0.3">
      <c r="B346" s="367"/>
      <c r="C346" s="367"/>
      <c r="D346" s="488"/>
      <c r="E346" s="488"/>
      <c r="F346" s="488"/>
      <c r="G346" s="488"/>
      <c r="H346" s="488"/>
      <c r="I346" s="488"/>
      <c r="J346" s="488"/>
      <c r="K346" s="488"/>
      <c r="L346" s="488"/>
      <c r="M346" s="488"/>
    </row>
    <row r="347" spans="2:39" x14ac:dyDescent="0.3">
      <c r="B347" s="585" t="s">
        <v>650</v>
      </c>
      <c r="C347" s="825">
        <f>+SUM(D345:AM345)</f>
        <v>68298.254224999997</v>
      </c>
      <c r="D347" s="500"/>
      <c r="E347" s="430"/>
      <c r="F347" s="361"/>
      <c r="G347" s="365"/>
      <c r="H347" s="365"/>
      <c r="I347" s="365"/>
      <c r="J347" s="365"/>
      <c r="K347" s="365"/>
      <c r="L347" s="365"/>
      <c r="M347" s="365"/>
    </row>
    <row r="348" spans="2:39" x14ac:dyDescent="0.3">
      <c r="B348" s="585" t="s">
        <v>1331</v>
      </c>
      <c r="C348" s="586">
        <f>+SUMPRODUCT(D340:AG340,D345:AG345)/C347</f>
        <v>3.3342055051442308</v>
      </c>
      <c r="D348" s="365"/>
      <c r="E348" s="488"/>
      <c r="F348" s="773"/>
      <c r="G348" s="773"/>
      <c r="H348" s="773"/>
      <c r="I348" s="363"/>
      <c r="J348" s="363"/>
      <c r="K348" s="363"/>
      <c r="L348" s="363"/>
      <c r="M348" s="363"/>
    </row>
    <row r="349" spans="2:39" x14ac:dyDescent="0.3">
      <c r="C349" s="462"/>
      <c r="E349" s="615"/>
      <c r="F349" s="774"/>
      <c r="G349" s="774"/>
      <c r="H349" s="772"/>
      <c r="I349"/>
      <c r="O349" s="1356">
        <f>ROUND(((O334-C1)/182)*0.5,10)</f>
        <v>1.3736263699999999E-2</v>
      </c>
    </row>
    <row r="350" spans="2:39" x14ac:dyDescent="0.3">
      <c r="C350" s="462"/>
      <c r="E350" s="778"/>
      <c r="O350" s="461">
        <f>O334-N334</f>
        <v>182</v>
      </c>
    </row>
    <row r="351" spans="2:39" x14ac:dyDescent="0.3">
      <c r="D351" s="280"/>
      <c r="F351" s="779"/>
      <c r="G351" s="280"/>
      <c r="H351" s="280"/>
      <c r="I351" s="280"/>
      <c r="J351" s="280"/>
      <c r="K351" s="280"/>
      <c r="L351" s="323"/>
      <c r="M351" s="8"/>
      <c r="N351" s="280"/>
      <c r="O351" s="280"/>
      <c r="P351" s="280"/>
      <c r="Q351" s="280"/>
      <c r="R351" s="280"/>
      <c r="S351" s="280"/>
      <c r="T351" s="280"/>
      <c r="U351" s="280"/>
      <c r="V351" s="280"/>
      <c r="W351" s="280"/>
      <c r="X351" s="280"/>
      <c r="Y351" s="280"/>
      <c r="Z351" s="280"/>
      <c r="AA351" s="280"/>
      <c r="AB351" s="280"/>
      <c r="AC351" s="280"/>
      <c r="AD351" s="280"/>
      <c r="AE351" s="280"/>
      <c r="AF351" s="280"/>
      <c r="AG351" s="280"/>
      <c r="AH351" s="280"/>
      <c r="AI351" s="280"/>
      <c r="AJ351" s="280"/>
      <c r="AK351" s="280"/>
      <c r="AL351" s="280"/>
    </row>
    <row r="352" spans="2:39" s="462" customFormat="1" x14ac:dyDescent="0.3">
      <c r="B352" s="584" t="s">
        <v>2491</v>
      </c>
      <c r="C352" s="584">
        <v>9479</v>
      </c>
      <c r="D352" s="575"/>
      <c r="E352"/>
      <c r="F352"/>
      <c r="G352"/>
      <c r="M352" s="573"/>
    </row>
    <row r="353" spans="2:14" x14ac:dyDescent="0.3">
      <c r="B353" s="364"/>
      <c r="C353" s="364" t="s">
        <v>105</v>
      </c>
      <c r="D353" s="365">
        <v>3.3399999999999999E-2</v>
      </c>
      <c r="E353" s="365"/>
      <c r="F353" s="361"/>
      <c r="G353" s="363"/>
      <c r="M353" s="573"/>
      <c r="N353" s="462"/>
    </row>
    <row r="354" spans="2:14" x14ac:dyDescent="0.3">
      <c r="B354" s="361"/>
      <c r="C354" s="366">
        <v>44172</v>
      </c>
      <c r="D354" s="366">
        <v>44537</v>
      </c>
      <c r="E354" s="366">
        <v>44902</v>
      </c>
      <c r="F354" s="366">
        <v>45267</v>
      </c>
      <c r="G354" s="366">
        <v>45633</v>
      </c>
      <c r="H354" s="366">
        <v>45998</v>
      </c>
      <c r="M354" s="573"/>
    </row>
    <row r="355" spans="2:14" x14ac:dyDescent="0.3">
      <c r="B355" s="463" t="s">
        <v>1318</v>
      </c>
      <c r="C355" s="367"/>
      <c r="D355" s="534">
        <f>100000/5</f>
        <v>20000</v>
      </c>
      <c r="E355" s="534">
        <f>100000/5</f>
        <v>20000</v>
      </c>
      <c r="F355" s="534">
        <f>100000/5</f>
        <v>20000</v>
      </c>
      <c r="G355" s="534">
        <f>100000/5</f>
        <v>20000</v>
      </c>
      <c r="H355" s="534">
        <f>100000/5</f>
        <v>20000</v>
      </c>
    </row>
    <row r="356" spans="2:14" x14ac:dyDescent="0.3">
      <c r="B356" s="463" t="s">
        <v>1320</v>
      </c>
      <c r="C356" s="368">
        <v>100000</v>
      </c>
      <c r="D356" s="488">
        <f>+C356-D355</f>
        <v>80000</v>
      </c>
      <c r="E356" s="488">
        <f>+D356-E355</f>
        <v>60000</v>
      </c>
      <c r="F356" s="488">
        <f>+E356-F355</f>
        <v>40000</v>
      </c>
      <c r="G356" s="488">
        <f>+F356-G355</f>
        <v>20000</v>
      </c>
      <c r="H356" s="488">
        <f>+G356-H355</f>
        <v>0</v>
      </c>
    </row>
    <row r="357" spans="2:14" x14ac:dyDescent="0.3">
      <c r="B357" s="463" t="s">
        <v>1321</v>
      </c>
      <c r="C357" s="367"/>
      <c r="D357" s="654">
        <f>ROUND(C356*$D$353,2)</f>
        <v>3340</v>
      </c>
      <c r="E357" s="654">
        <f>ROUND(D356*$D$353,2)</f>
        <v>2672</v>
      </c>
      <c r="F357" s="654">
        <f>ROUND(E356*$D$353,2)</f>
        <v>2004</v>
      </c>
      <c r="G357" s="654">
        <f>ROUND(F356*$D$353,2)</f>
        <v>1336</v>
      </c>
      <c r="H357" s="654">
        <f>ROUND(G356*$D$353,2)</f>
        <v>668</v>
      </c>
      <c r="I357" s="462">
        <f ca="1">H354-TODAY()</f>
        <v>-119</v>
      </c>
    </row>
    <row r="358" spans="2:14" x14ac:dyDescent="0.3">
      <c r="B358" s="463" t="s">
        <v>1322</v>
      </c>
      <c r="C358" s="367"/>
      <c r="D358" s="488">
        <f>+D357+D355</f>
        <v>23340</v>
      </c>
      <c r="E358" s="488">
        <f>+E357+E355</f>
        <v>22672</v>
      </c>
      <c r="F358" s="488">
        <f>+F357+F355</f>
        <v>22004</v>
      </c>
      <c r="G358" s="488">
        <f>+G357+G355</f>
        <v>21336</v>
      </c>
      <c r="H358" s="488">
        <f>+H357+H355</f>
        <v>20668</v>
      </c>
    </row>
    <row r="359" spans="2:14" x14ac:dyDescent="0.3">
      <c r="B359" s="463" t="s">
        <v>1323</v>
      </c>
      <c r="C359" s="368"/>
      <c r="D359" s="488">
        <f>+IF(D354&gt;$C$1,D358,0)</f>
        <v>0</v>
      </c>
      <c r="E359" s="488">
        <f>+IF(E354&gt;$C$1,E358,0)</f>
        <v>0</v>
      </c>
      <c r="F359" s="488">
        <f>+IF(F354&gt;$C$1,F358,0)</f>
        <v>0</v>
      </c>
      <c r="G359" s="488">
        <f>+IF(G354&gt;$C$1,G358,0)</f>
        <v>0</v>
      </c>
      <c r="H359" s="488">
        <f>+IF(H354&gt;$C$1,H358,0)</f>
        <v>0</v>
      </c>
    </row>
    <row r="360" spans="2:14" x14ac:dyDescent="0.3">
      <c r="B360" s="463" t="s">
        <v>1324</v>
      </c>
      <c r="C360" s="371"/>
      <c r="D360" s="457">
        <f>+IF(C359=0,(D354-$C$1)/(D354-C354),C360+1)</f>
        <v>-4.3013698630136989</v>
      </c>
      <c r="E360" s="784">
        <f>+IF(D359=0,(E354-$C$1)/(E354-D354),D360+1)</f>
        <v>-3.3013698630136985</v>
      </c>
      <c r="F360" s="784">
        <f>+IF(E359=0,(F354-$C$1)/(F354-E354),E360+1)</f>
        <v>-2.3013698630136985</v>
      </c>
      <c r="G360" s="1169">
        <f>ROUND((G354-$C$1)/366,10)</f>
        <v>-1.2950819672</v>
      </c>
      <c r="H360" s="1170">
        <f>IF(G360&lt;=0,(H354-C1)/365,ROUND(G360+1,10))</f>
        <v>-0.29863013698630136</v>
      </c>
    </row>
    <row r="361" spans="2:14" x14ac:dyDescent="0.3">
      <c r="B361" s="463" t="s">
        <v>1325</v>
      </c>
      <c r="C361" s="367"/>
      <c r="D361" s="375" cm="1">
        <f t="array" ref="D361">ROUND(interpoler(mat_zc,Taux_ZC,D360),5)</f>
        <v>2.3279999999999999E-2</v>
      </c>
      <c r="E361" s="375" cm="1">
        <f t="array" ref="E361">ROUND(interpoler(mat_zc,Taux_ZC,E360),5)</f>
        <v>2.3279999999999999E-2</v>
      </c>
      <c r="F361" s="375" cm="1">
        <f t="array" ref="F361">ROUND(interpoler(mat_zc,Taux_ZC,F360),5)</f>
        <v>2.3279999999999999E-2</v>
      </c>
      <c r="G361" s="375" cm="1">
        <f t="array" ref="G361">ROUND(interpoler(mat_zc,Taux_ZC,G360),5)</f>
        <v>2.3279999999999999E-2</v>
      </c>
      <c r="H361" s="1079" cm="1">
        <f t="array" ref="H361">ROUND(interpoler(mat_zc,Taux_ZC,H360),5)</f>
        <v>2.3279999999999999E-2</v>
      </c>
      <c r="I361" s="955"/>
    </row>
    <row r="362" spans="2:14" x14ac:dyDescent="0.3">
      <c r="B362" s="463" t="s">
        <v>1328</v>
      </c>
      <c r="C362" s="367"/>
      <c r="D362" s="429">
        <v>1.2999999999999999E-2</v>
      </c>
      <c r="E362" s="429">
        <v>1.2999999999999999E-2</v>
      </c>
      <c r="F362" s="429">
        <v>1.2999999999999999E-2</v>
      </c>
      <c r="G362" s="429">
        <v>1.2999999999999999E-2</v>
      </c>
      <c r="H362" s="429">
        <v>1.2999999999999999E-2</v>
      </c>
      <c r="I362" s="572"/>
    </row>
    <row r="363" spans="2:14" x14ac:dyDescent="0.3">
      <c r="B363" s="463" t="s">
        <v>1329</v>
      </c>
      <c r="C363" s="367"/>
      <c r="D363" s="429">
        <f>IF(MID(D361+D362,SEARCH(",",D361+D362)+4,1)="5",ROUNDUP(D361+D362,5),ROUND(D361+D362,5))</f>
        <v>3.628E-2</v>
      </c>
      <c r="E363" s="429">
        <f>IF(MID(E361+E362,SEARCH(",",E361+E362)+4,1)="5",ROUNDUP(E361+E362,5),ROUND(E361+E362,5))</f>
        <v>3.628E-2</v>
      </c>
      <c r="F363" s="429">
        <f>IF(MID(F361+F362,SEARCH(",",F361+F362)+4,1)="5",ROUNDUP(F361+F362,5),ROUND(F361+F362,5))</f>
        <v>3.628E-2</v>
      </c>
      <c r="G363" s="429">
        <f>IF(MID(G361+G362,SEARCH(",",G361+G362)+4,1)="5",ROUNDUP(G361+G362,5),ROUND(G361+G362,5))</f>
        <v>3.628E-2</v>
      </c>
      <c r="H363" s="429">
        <f>IF(MID(H361+H362,SEARCH(",",H361+H362)+4,1)="5",ROUNDUP(H361+H362,5),ROUND(H361+H362,5))</f>
        <v>3.628E-2</v>
      </c>
    </row>
    <row r="364" spans="2:14" x14ac:dyDescent="0.3">
      <c r="B364" s="463"/>
      <c r="C364" s="367"/>
      <c r="D364" s="569">
        <f>ROUND(D359/(1+D363)^D360,4)</f>
        <v>0</v>
      </c>
      <c r="E364" s="569">
        <f>ROUND(E359/(1+E363)^E360,4)</f>
        <v>0</v>
      </c>
      <c r="F364" s="569">
        <f>ROUND(F359/(1+F363)^F360,4)</f>
        <v>0</v>
      </c>
      <c r="G364" s="569">
        <f>ROUND(G359/(1+G363)^G360,4)</f>
        <v>0</v>
      </c>
      <c r="H364" s="569">
        <f>ROUND(H359/(1+H363)^H360,4)</f>
        <v>0</v>
      </c>
    </row>
    <row r="365" spans="2:14" x14ac:dyDescent="0.3">
      <c r="B365" s="367"/>
      <c r="C365" s="367"/>
      <c r="D365" s="488"/>
      <c r="E365" s="488"/>
      <c r="F365" s="488"/>
      <c r="G365" s="488"/>
    </row>
    <row r="366" spans="2:14" x14ac:dyDescent="0.3">
      <c r="B366" s="585" t="s">
        <v>650</v>
      </c>
      <c r="C366" s="586">
        <f>+SUM(D364:H364)</f>
        <v>0</v>
      </c>
      <c r="D366" s="500"/>
      <c r="E366" s="430"/>
      <c r="F366" s="361"/>
      <c r="G366" s="365"/>
    </row>
    <row r="367" spans="2:14" x14ac:dyDescent="0.3">
      <c r="B367" s="585" t="s">
        <v>1331</v>
      </c>
      <c r="C367" s="586" t="e">
        <f>+SUMPRODUCT(D360:AG360,D364:AG364)/C366</f>
        <v>#DIV/0!</v>
      </c>
      <c r="D367" s="365"/>
      <c r="E367" s="365"/>
      <c r="F367" s="361"/>
      <c r="G367" s="363"/>
    </row>
    <row r="368" spans="2:14" x14ac:dyDescent="0.3">
      <c r="F368" s="573"/>
      <c r="I368" s="572"/>
    </row>
    <row r="369" spans="2:18" x14ac:dyDescent="0.3">
      <c r="F369" s="573"/>
    </row>
    <row r="370" spans="2:18" s="462" customFormat="1" x14ac:dyDescent="0.3">
      <c r="B370" s="584" t="s">
        <v>1649</v>
      </c>
      <c r="C370" s="584">
        <v>9487</v>
      </c>
      <c r="D370"/>
      <c r="E370"/>
      <c r="F370"/>
      <c r="G370"/>
    </row>
    <row r="371" spans="2:18" x14ac:dyDescent="0.3">
      <c r="B371" s="364"/>
      <c r="C371" s="364" t="s">
        <v>105</v>
      </c>
      <c r="D371" s="365">
        <v>2.2499999999999999E-2</v>
      </c>
      <c r="E371" s="906">
        <v>2.9600000000000001E-2</v>
      </c>
      <c r="F371" s="365">
        <v>2.9600000000000001E-2</v>
      </c>
      <c r="G371" s="365">
        <v>3.6999999999999998E-2</v>
      </c>
      <c r="H371" s="365">
        <v>3.3099999999999997E-2</v>
      </c>
    </row>
    <row r="372" spans="2:18" x14ac:dyDescent="0.3">
      <c r="B372" s="363">
        <v>44286</v>
      </c>
      <c r="C372" s="363">
        <v>44286</v>
      </c>
      <c r="D372" s="366">
        <v>44651</v>
      </c>
      <c r="E372" s="366">
        <v>45016</v>
      </c>
      <c r="F372" s="366">
        <v>45382</v>
      </c>
      <c r="G372" s="366">
        <v>45747</v>
      </c>
      <c r="H372" s="366">
        <v>46112</v>
      </c>
      <c r="I372" s="366">
        <v>46477</v>
      </c>
      <c r="J372" s="366">
        <v>46843</v>
      </c>
      <c r="K372" s="366">
        <v>47208</v>
      </c>
      <c r="L372" s="366">
        <v>47573</v>
      </c>
      <c r="M372" s="366">
        <v>47938</v>
      </c>
      <c r="N372" s="366">
        <v>48304</v>
      </c>
      <c r="O372" s="366">
        <v>48669</v>
      </c>
      <c r="P372" s="366">
        <v>49034</v>
      </c>
      <c r="Q372" s="366">
        <v>49399</v>
      </c>
      <c r="R372" s="366">
        <v>49765</v>
      </c>
    </row>
    <row r="373" spans="2:18" x14ac:dyDescent="0.3">
      <c r="B373" s="463" t="s">
        <v>1318</v>
      </c>
      <c r="C373" s="367"/>
      <c r="D373" s="534">
        <f>100000/15</f>
        <v>6666.666666666667</v>
      </c>
      <c r="E373" s="534">
        <f>100000/15</f>
        <v>6666.666666666667</v>
      </c>
      <c r="F373" s="534">
        <f t="shared" ref="F373:R373" si="150">100000/15</f>
        <v>6666.666666666667</v>
      </c>
      <c r="G373" s="534">
        <f t="shared" si="150"/>
        <v>6666.666666666667</v>
      </c>
      <c r="H373" s="534">
        <f t="shared" si="150"/>
        <v>6666.666666666667</v>
      </c>
      <c r="I373" s="534">
        <f t="shared" si="150"/>
        <v>6666.666666666667</v>
      </c>
      <c r="J373" s="534">
        <f t="shared" si="150"/>
        <v>6666.666666666667</v>
      </c>
      <c r="K373" s="534">
        <f t="shared" si="150"/>
        <v>6666.666666666667</v>
      </c>
      <c r="L373" s="534">
        <f t="shared" si="150"/>
        <v>6666.666666666667</v>
      </c>
      <c r="M373" s="534">
        <f t="shared" si="150"/>
        <v>6666.666666666667</v>
      </c>
      <c r="N373" s="534">
        <f t="shared" si="150"/>
        <v>6666.666666666667</v>
      </c>
      <c r="O373" s="534">
        <f t="shared" si="150"/>
        <v>6666.666666666667</v>
      </c>
      <c r="P373" s="534">
        <f t="shared" si="150"/>
        <v>6666.666666666667</v>
      </c>
      <c r="Q373" s="534">
        <f t="shared" si="150"/>
        <v>6666.666666666667</v>
      </c>
      <c r="R373" s="534">
        <f t="shared" si="150"/>
        <v>6666.666666666667</v>
      </c>
    </row>
    <row r="374" spans="2:18" x14ac:dyDescent="0.3">
      <c r="B374" s="463" t="s">
        <v>1320</v>
      </c>
      <c r="C374" s="368">
        <v>100000</v>
      </c>
      <c r="D374" s="488">
        <f>+C374-D373</f>
        <v>93333.333333333328</v>
      </c>
      <c r="E374" s="488">
        <f>+D374-E373</f>
        <v>86666.666666666657</v>
      </c>
      <c r="F374" s="647">
        <f>+E374-F373</f>
        <v>79999.999999999985</v>
      </c>
      <c r="G374" s="647">
        <f>+F374-G373</f>
        <v>73333.333333333314</v>
      </c>
      <c r="H374" s="647">
        <f>+G374-H373</f>
        <v>66666.666666666642</v>
      </c>
    </row>
    <row r="375" spans="2:18" x14ac:dyDescent="0.3">
      <c r="B375" s="463" t="s">
        <v>1321</v>
      </c>
      <c r="C375" s="367"/>
      <c r="D375" s="873">
        <f>C374*$D$371*(D372-C372)/360</f>
        <v>2281.25</v>
      </c>
      <c r="E375" s="873">
        <f>D374*$E$371*(E372-D372)/360</f>
        <v>2801.037037037037</v>
      </c>
      <c r="F375" s="873">
        <f>E374*$F$371*(F372-E372)/360</f>
        <v>2608.0888888888885</v>
      </c>
      <c r="G375" s="873">
        <f>F374*$G$371*(G372-F372)/360</f>
        <v>3001.1111111111104</v>
      </c>
      <c r="H375" s="873">
        <f>G374*$H$371*(H372-G372)/360</f>
        <v>2461.0462962962956</v>
      </c>
    </row>
    <row r="376" spans="2:18" x14ac:dyDescent="0.3">
      <c r="B376" s="463" t="s">
        <v>1322</v>
      </c>
      <c r="C376" s="367"/>
      <c r="D376" s="488">
        <f>+D375+D373</f>
        <v>8947.9166666666679</v>
      </c>
      <c r="E376" s="488">
        <f>+E375+E373</f>
        <v>9467.7037037037044</v>
      </c>
      <c r="F376" s="488">
        <f>+F375+F373</f>
        <v>9274.7555555555555</v>
      </c>
      <c r="G376" s="488">
        <f>+G375+G373</f>
        <v>9667.7777777777774</v>
      </c>
      <c r="H376" s="488">
        <f>+H375+H373</f>
        <v>9127.7129629629635</v>
      </c>
    </row>
    <row r="377" spans="2:18" x14ac:dyDescent="0.3">
      <c r="B377" s="463" t="s">
        <v>1323</v>
      </c>
      <c r="C377" s="368"/>
      <c r="D377" s="488">
        <f>+IF(D372&gt;$C$1,D376,0)</f>
        <v>0</v>
      </c>
      <c r="E377" s="488">
        <f>+IF(E372&gt;$C$1,E376,0)</f>
        <v>0</v>
      </c>
      <c r="F377" s="488">
        <v>0</v>
      </c>
      <c r="G377" s="488">
        <v>0</v>
      </c>
      <c r="H377" s="488">
        <v>0</v>
      </c>
    </row>
    <row r="378" spans="2:18" x14ac:dyDescent="0.3">
      <c r="B378" s="463" t="s">
        <v>1324</v>
      </c>
      <c r="C378" s="496"/>
      <c r="D378" s="784">
        <f>ROUND(((D372-$C$1)/360),510)</f>
        <v>-4.0444444444444398</v>
      </c>
      <c r="E378" s="784">
        <f>ROUND(((E372-$C$1)/360),510)</f>
        <v>-3.0305555555555599</v>
      </c>
      <c r="F378" s="784">
        <f>ROUND(((F372-$C$1)/360),510)</f>
        <v>-2.0138888888888902</v>
      </c>
      <c r="G378" s="784">
        <f>ROUND(((G372-$C$1)/360),510)</f>
        <v>-1</v>
      </c>
      <c r="H378" s="784">
        <f>ROUND(((H372-$C$1)/360),510)</f>
        <v>1.38888888888889E-2</v>
      </c>
    </row>
    <row r="379" spans="2:18" x14ac:dyDescent="0.3">
      <c r="B379" s="463" t="s">
        <v>1325</v>
      </c>
      <c r="C379" s="367"/>
      <c r="D379" s="439" cm="1">
        <f t="array" ref="D379">ROUND(IF((D372-$C$1)&lt;=365,interpoler(_mat1,taux1,(D372-$C$1)),interpoler(_mat2,taux2,D378*365)),5)</f>
        <v>2.2700000000000001E-2</v>
      </c>
      <c r="E379" s="439" cm="1">
        <f t="array" ref="E379">ROUND(IF((E372-$C$1)&lt;=366,interpoler(_mat1,taux1,(E372-$C$1)),interpoler(_mat2,taux2,E378*365)),5)</f>
        <v>2.2700000000000001E-2</v>
      </c>
      <c r="F379" s="439" cm="1">
        <f t="array" ref="F379">ROUND(IF((F372-$C$1)&lt;=366,interpoler(_mat1,taux1,(F372-$C$1)),interpoler(_mat2,taux2,F378*365)),5)</f>
        <v>2.2700000000000001E-2</v>
      </c>
      <c r="G379" s="439" cm="1">
        <f t="array" ref="G379">ROUND(IF((G372-$C$1)&lt;=366,interpoler(_mat1,taux1,(G372-$C$1)),interpoler(_mat2,taux2,G378*365)),5)</f>
        <v>2.2700000000000001E-2</v>
      </c>
      <c r="H379" s="439" cm="1">
        <f t="array" ref="H379">ROUND(IF((H372-$C$1)&lt;=366,interpoler(_mat1,taux1,(H372-$C$1)),interpoler(_mat2,taux2,H378*365)),5)</f>
        <v>2.2700000000000001E-2</v>
      </c>
      <c r="I379" s="462"/>
    </row>
    <row r="380" spans="2:18" x14ac:dyDescent="0.3">
      <c r="B380" s="463" t="s">
        <v>1328</v>
      </c>
      <c r="C380" s="367"/>
      <c r="D380" s="429">
        <v>4.8900000000000002E-3</v>
      </c>
      <c r="E380" s="429">
        <v>4.8900000000000002E-3</v>
      </c>
      <c r="F380" s="429">
        <v>4.8900000000000002E-3</v>
      </c>
      <c r="G380" s="429">
        <v>4.8900000000000002E-3</v>
      </c>
      <c r="H380" s="429">
        <v>4.8900000000000002E-3</v>
      </c>
    </row>
    <row r="381" spans="2:18" x14ac:dyDescent="0.3">
      <c r="B381" s="463" t="s">
        <v>1329</v>
      </c>
      <c r="C381" s="367"/>
      <c r="D381" s="826">
        <f>ROUND((D379+D380),5)</f>
        <v>2.759E-2</v>
      </c>
      <c r="E381" s="826">
        <f>ROUND((E379+E380),5)</f>
        <v>2.759E-2</v>
      </c>
      <c r="F381" s="826">
        <f>ROUND((F379+F380),5)</f>
        <v>2.759E-2</v>
      </c>
      <c r="G381" s="826">
        <f>ROUND((G379+G380),5)</f>
        <v>2.759E-2</v>
      </c>
      <c r="H381" s="826">
        <f>ROUND((H379+H380),5)</f>
        <v>2.759E-2</v>
      </c>
      <c r="I381" s="462"/>
    </row>
    <row r="382" spans="2:18" x14ac:dyDescent="0.3">
      <c r="B382" s="463"/>
      <c r="C382" s="367"/>
      <c r="D382" s="534">
        <f>(D377+D374)/(1+D381*D378)</f>
        <v>105056.15251351846</v>
      </c>
      <c r="E382" s="534">
        <f>(E377+E374)/(1+E381*E378)</f>
        <v>94574.311173915456</v>
      </c>
      <c r="F382" s="534">
        <f>(F376+F374)/(1+F381*F378)</f>
        <v>94526.976321131995</v>
      </c>
      <c r="G382" s="534">
        <f>(G376+G374)/(1+G381*G378)</f>
        <v>85356.085510341421</v>
      </c>
      <c r="H382" s="534">
        <f>(H376+H374)/(1+H381*H378)</f>
        <v>75765.346769666066</v>
      </c>
    </row>
    <row r="383" spans="2:18" x14ac:dyDescent="0.3">
      <c r="B383" s="367"/>
      <c r="C383" s="367"/>
      <c r="D383" s="488"/>
      <c r="E383" s="488"/>
      <c r="F383" s="488"/>
      <c r="G383" s="488"/>
      <c r="I383" s="615"/>
    </row>
    <row r="384" spans="2:18" x14ac:dyDescent="0.3">
      <c r="B384" s="585" t="s">
        <v>650</v>
      </c>
      <c r="C384" s="586">
        <f>H382</f>
        <v>75765.346769666066</v>
      </c>
      <c r="D384" s="874"/>
      <c r="E384" s="977"/>
      <c r="F384" s="361"/>
      <c r="G384" s="365"/>
      <c r="I384" s="462"/>
    </row>
    <row r="385" spans="2:13" x14ac:dyDescent="0.3">
      <c r="B385" s="585" t="s">
        <v>1331</v>
      </c>
      <c r="C385" s="827">
        <f>+SUMPRODUCT(D378:AG378,D382:AG382)/C384</f>
        <v>-13.016202458200986</v>
      </c>
      <c r="D385" s="365"/>
      <c r="E385" s="365"/>
      <c r="F385" s="361"/>
      <c r="G385" s="363"/>
      <c r="I385" s="462"/>
    </row>
    <row r="386" spans="2:13" x14ac:dyDescent="0.3">
      <c r="F386" s="462"/>
      <c r="I386" s="462"/>
    </row>
    <row r="387" spans="2:13" x14ac:dyDescent="0.3">
      <c r="E387" s="462"/>
      <c r="F387" s="462"/>
      <c r="G387" s="462"/>
    </row>
    <row r="390" spans="2:13" x14ac:dyDescent="0.3">
      <c r="B390" s="584" t="s">
        <v>527</v>
      </c>
      <c r="C390" s="584">
        <v>9488</v>
      </c>
      <c r="D390" s="575"/>
      <c r="E390"/>
      <c r="F390"/>
      <c r="G390"/>
      <c r="H390" s="462"/>
      <c r="I390" s="462"/>
      <c r="J390" s="462"/>
      <c r="K390" s="462"/>
      <c r="L390" s="462"/>
    </row>
    <row r="391" spans="2:13" x14ac:dyDescent="0.3">
      <c r="B391" s="364"/>
      <c r="C391" s="364" t="s">
        <v>105</v>
      </c>
      <c r="D391" s="365">
        <v>4.1200000000000001E-2</v>
      </c>
      <c r="E391" s="365"/>
      <c r="F391" s="361"/>
      <c r="G391" s="363"/>
    </row>
    <row r="392" spans="2:13" x14ac:dyDescent="0.3">
      <c r="B392" s="363">
        <v>44190</v>
      </c>
      <c r="C392" s="363">
        <v>44190</v>
      </c>
      <c r="D392" s="363">
        <v>44555</v>
      </c>
      <c r="E392" s="363">
        <v>44920</v>
      </c>
      <c r="F392" s="363">
        <v>45285</v>
      </c>
      <c r="G392" s="363">
        <v>45651</v>
      </c>
      <c r="H392" s="363">
        <v>46016</v>
      </c>
      <c r="I392" s="363">
        <v>46381</v>
      </c>
      <c r="J392" s="363">
        <v>46746</v>
      </c>
      <c r="K392" s="363">
        <v>47112</v>
      </c>
      <c r="L392" s="363">
        <v>47477</v>
      </c>
      <c r="M392" s="363">
        <v>47842</v>
      </c>
    </row>
    <row r="393" spans="2:13" x14ac:dyDescent="0.3">
      <c r="B393" s="463" t="s">
        <v>1318</v>
      </c>
      <c r="C393" s="367"/>
      <c r="D393" s="534">
        <v>0</v>
      </c>
      <c r="E393" s="534">
        <v>0</v>
      </c>
      <c r="F393" s="534">
        <v>0</v>
      </c>
      <c r="G393" s="534">
        <v>0</v>
      </c>
      <c r="H393" s="534">
        <v>0</v>
      </c>
      <c r="I393" s="534">
        <v>0</v>
      </c>
      <c r="J393" s="534">
        <v>0</v>
      </c>
      <c r="K393" s="534">
        <v>0</v>
      </c>
      <c r="L393" s="534">
        <v>0</v>
      </c>
      <c r="M393" s="488">
        <v>100000</v>
      </c>
    </row>
    <row r="394" spans="2:13" x14ac:dyDescent="0.3">
      <c r="B394" s="463" t="s">
        <v>1320</v>
      </c>
      <c r="C394" s="368">
        <v>100000</v>
      </c>
      <c r="D394" s="488">
        <f t="shared" ref="D394:M394" si="151">+C394-D393</f>
        <v>100000</v>
      </c>
      <c r="E394" s="488">
        <f t="shared" si="151"/>
        <v>100000</v>
      </c>
      <c r="F394" s="488">
        <f t="shared" si="151"/>
        <v>100000</v>
      </c>
      <c r="G394" s="488">
        <f t="shared" si="151"/>
        <v>100000</v>
      </c>
      <c r="H394" s="488">
        <f t="shared" si="151"/>
        <v>100000</v>
      </c>
      <c r="I394" s="488">
        <f t="shared" si="151"/>
        <v>100000</v>
      </c>
      <c r="J394" s="488">
        <f t="shared" si="151"/>
        <v>100000</v>
      </c>
      <c r="K394" s="488">
        <f t="shared" si="151"/>
        <v>100000</v>
      </c>
      <c r="L394" s="488">
        <f t="shared" si="151"/>
        <v>100000</v>
      </c>
      <c r="M394" s="488">
        <f t="shared" si="151"/>
        <v>0</v>
      </c>
    </row>
    <row r="395" spans="2:13" x14ac:dyDescent="0.3">
      <c r="B395" s="463" t="s">
        <v>1321</v>
      </c>
      <c r="C395" s="367"/>
      <c r="D395" s="654">
        <f t="shared" ref="D395:M395" si="152">ROUND(C394*$D$391*(D392-C392)/360,2)</f>
        <v>4177.22</v>
      </c>
      <c r="E395" s="654">
        <f t="shared" si="152"/>
        <v>4177.22</v>
      </c>
      <c r="F395" s="654">
        <f t="shared" si="152"/>
        <v>4177.22</v>
      </c>
      <c r="G395" s="654">
        <f t="shared" si="152"/>
        <v>4188.67</v>
      </c>
      <c r="H395" s="654">
        <f t="shared" si="152"/>
        <v>4177.22</v>
      </c>
      <c r="I395" s="654">
        <f t="shared" si="152"/>
        <v>4177.22</v>
      </c>
      <c r="J395" s="654">
        <f t="shared" si="152"/>
        <v>4177.22</v>
      </c>
      <c r="K395" s="654">
        <f t="shared" si="152"/>
        <v>4188.67</v>
      </c>
      <c r="L395" s="654">
        <f t="shared" si="152"/>
        <v>4177.22</v>
      </c>
      <c r="M395" s="654">
        <f t="shared" si="152"/>
        <v>4177.22</v>
      </c>
    </row>
    <row r="396" spans="2:13" x14ac:dyDescent="0.3">
      <c r="B396" s="463" t="s">
        <v>1322</v>
      </c>
      <c r="C396" s="367"/>
      <c r="D396" s="488">
        <f>+D395+D393</f>
        <v>4177.22</v>
      </c>
      <c r="E396" s="488">
        <f t="shared" ref="E396:M396" si="153">+E395+E393</f>
        <v>4177.22</v>
      </c>
      <c r="F396" s="488">
        <f t="shared" si="153"/>
        <v>4177.22</v>
      </c>
      <c r="G396" s="488">
        <f t="shared" si="153"/>
        <v>4188.67</v>
      </c>
      <c r="H396" s="488">
        <f t="shared" si="153"/>
        <v>4177.22</v>
      </c>
      <c r="I396" s="488">
        <f t="shared" si="153"/>
        <v>4177.22</v>
      </c>
      <c r="J396" s="488">
        <f t="shared" si="153"/>
        <v>4177.22</v>
      </c>
      <c r="K396" s="488">
        <f t="shared" si="153"/>
        <v>4188.67</v>
      </c>
      <c r="L396" s="488">
        <f t="shared" si="153"/>
        <v>4177.22</v>
      </c>
      <c r="M396" s="488">
        <f t="shared" si="153"/>
        <v>104177.22</v>
      </c>
    </row>
    <row r="397" spans="2:13" x14ac:dyDescent="0.3">
      <c r="B397" s="463" t="s">
        <v>1323</v>
      </c>
      <c r="C397" s="368"/>
      <c r="D397" s="488">
        <f t="shared" ref="D397:M397" si="154">+IF(D392&gt;$C$1,D396,0)</f>
        <v>0</v>
      </c>
      <c r="E397" s="488">
        <f t="shared" si="154"/>
        <v>0</v>
      </c>
      <c r="F397" s="488">
        <f t="shared" si="154"/>
        <v>0</v>
      </c>
      <c r="G397" s="488">
        <f t="shared" si="154"/>
        <v>0</v>
      </c>
      <c r="H397" s="488">
        <f t="shared" si="154"/>
        <v>0</v>
      </c>
      <c r="I397" s="488">
        <f t="shared" si="154"/>
        <v>4177.22</v>
      </c>
      <c r="J397" s="488">
        <f t="shared" si="154"/>
        <v>4177.22</v>
      </c>
      <c r="K397" s="488">
        <f t="shared" si="154"/>
        <v>4188.67</v>
      </c>
      <c r="L397" s="488">
        <f t="shared" si="154"/>
        <v>4177.22</v>
      </c>
      <c r="M397" s="488">
        <f t="shared" si="154"/>
        <v>104177.22</v>
      </c>
    </row>
    <row r="398" spans="2:13" x14ac:dyDescent="0.3">
      <c r="B398" s="463" t="s">
        <v>1324</v>
      </c>
      <c r="C398" s="371"/>
      <c r="D398" s="784">
        <f t="shared" ref="D398:M398" si="155">+IF(C397=0,(D392-$C$1)/(D392-C392),C398+1)</f>
        <v>-4.2520547945205482</v>
      </c>
      <c r="E398" s="784">
        <f t="shared" si="155"/>
        <v>-3.2520547945205478</v>
      </c>
      <c r="F398" s="784">
        <f t="shared" si="155"/>
        <v>-2.2520547945205478</v>
      </c>
      <c r="G398" s="784">
        <f t="shared" si="155"/>
        <v>-1.2459016393442623</v>
      </c>
      <c r="H398" s="784">
        <f t="shared" si="155"/>
        <v>-0.24931506849315069</v>
      </c>
      <c r="I398" s="784">
        <f t="shared" si="155"/>
        <v>0.75068493150684934</v>
      </c>
      <c r="J398" s="784">
        <f t="shared" si="155"/>
        <v>1.7506849315068493</v>
      </c>
      <c r="K398" s="784">
        <f t="shared" si="155"/>
        <v>2.7506849315068491</v>
      </c>
      <c r="L398" s="784">
        <f t="shared" si="155"/>
        <v>3.7506849315068491</v>
      </c>
      <c r="M398" s="784">
        <f t="shared" si="155"/>
        <v>4.7506849315068491</v>
      </c>
    </row>
    <row r="399" spans="2:13" x14ac:dyDescent="0.3">
      <c r="B399" s="463" t="s">
        <v>1325</v>
      </c>
      <c r="C399" s="367"/>
      <c r="D399" s="375" cm="1">
        <f t="array" ref="D399">IF((D392-$C$1)&lt;=366,interpoler(mat_court,taux_court_act,(D392-$C$1)),interpoler(CIH!$K$72:$K$103,CIH!$L$72:$L$103,D398))</f>
        <v>2.3281430422376737E-2</v>
      </c>
      <c r="E399" s="375" cm="1">
        <f t="array" ref="E399">IF((E392-$C$1)&lt;=365,interpoler(mat_court,taux_court_act,(E392-$C$1)),interpoler(CIH!$K$72:$K$103,CIH!$L$72:$L$103,E398))</f>
        <v>2.3281430422376737E-2</v>
      </c>
      <c r="F399" s="375" cm="1">
        <f t="array" ref="F399">IF((F392-$C$1)&lt;=365,interpoler(mat_court,taux_court_act,(F392-$C$1)),interpoler(CIH!$K$72:$K$103,CIH!$L$72:$L$103,F398))</f>
        <v>2.3281430422376737E-2</v>
      </c>
      <c r="G399" s="375" cm="1">
        <f t="array" ref="G399">IF((G392-$C$1)&lt;=365,interpoler(mat_court,taux_court_act,(G392-$C$1)),interpoler(CIH!$K$72:$K$103,CIH!$L$72:$L$103,G398))</f>
        <v>2.3281430422376737E-2</v>
      </c>
      <c r="H399" s="375" cm="1">
        <f t="array" ref="H399">IF((H392-$C$1)&lt;=365,interpoler(mat_court,taux_court_act,(H392-$C$1)),interpoler(CIH!$K$72:$K$103,CIH!$L$72:$L$103,H398))</f>
        <v>2.3281430422376737E-2</v>
      </c>
      <c r="I399" s="375" cm="1">
        <f t="array" ref="I399">IF((I392-$C$1)&lt;=365,interpoler(mat_court,taux_court_act,(I392-$C$1)),interpoler(CIH!$K$72:$K$103,CIH!$L$72:$L$103,I398))</f>
        <v>2.4666401385122865E-2</v>
      </c>
      <c r="J399" s="375" cm="1">
        <f t="array" ref="J399">IF((J392-$C$1)&lt;=365,interpoler(mat_court,taux_court_act,(J392-$C$1)),interpoler(CIH!$K$72:$K$103,CIH!$L$72:$L$103,J398))</f>
        <v>2.6314761055890413E-2</v>
      </c>
      <c r="K399" s="375" cm="1">
        <f t="array" ref="K399">IF((K392-$C$1)&lt;=365,interpoler(mat_court,taux_court_act,(K392-$C$1)),interpoler(CIH!$K$72:$K$103,CIH!$L$72:$L$103,K398))</f>
        <v>2.7869383218630136E-2</v>
      </c>
      <c r="L399" s="375" cm="1">
        <f t="array" ref="L399">IF((L392-$C$1)&lt;=365,interpoler(mat_court,taux_court_act,(L392-$C$1)),interpoler(CIH!$K$72:$K$103,CIH!$L$72:$L$103,L398))</f>
        <v>2.9439324400821917E-2</v>
      </c>
      <c r="M399" s="375" cm="1">
        <f t="array" ref="M399">IF((M392-$C$1)&lt;=365,interpoler(mat_court,taux_court_act,(M392-$C$1)),interpoler(CIH!$K$72:$K$103,CIH!$L$72:$L$103,M398))</f>
        <v>3.0640589957260274E-2</v>
      </c>
    </row>
    <row r="400" spans="2:13" x14ac:dyDescent="0.3">
      <c r="B400" s="463" t="s">
        <v>1328</v>
      </c>
      <c r="C400" s="367"/>
      <c r="D400" s="429">
        <v>2.4E-2</v>
      </c>
      <c r="E400" s="429">
        <v>2.4E-2</v>
      </c>
      <c r="F400" s="429">
        <v>2.4E-2</v>
      </c>
      <c r="G400" s="429">
        <v>2.4E-2</v>
      </c>
      <c r="H400" s="429">
        <v>2.4E-2</v>
      </c>
      <c r="I400" s="429">
        <v>2.4E-2</v>
      </c>
      <c r="J400" s="429">
        <v>2.4E-2</v>
      </c>
      <c r="K400" s="429">
        <v>2.4E-2</v>
      </c>
      <c r="L400" s="429">
        <v>2.4E-2</v>
      </c>
      <c r="M400" s="429">
        <v>2.4E-2</v>
      </c>
    </row>
    <row r="401" spans="2:13" x14ac:dyDescent="0.3">
      <c r="B401" s="463" t="s">
        <v>1329</v>
      </c>
      <c r="C401" s="367"/>
      <c r="D401" s="440">
        <f t="shared" ref="D401:M401" si="156">ROUND(D399+D400,5)</f>
        <v>4.7280000000000003E-2</v>
      </c>
      <c r="E401" s="440">
        <f t="shared" si="156"/>
        <v>4.7280000000000003E-2</v>
      </c>
      <c r="F401" s="440">
        <f t="shared" si="156"/>
        <v>4.7280000000000003E-2</v>
      </c>
      <c r="G401" s="440">
        <f t="shared" si="156"/>
        <v>4.7280000000000003E-2</v>
      </c>
      <c r="H401" s="440">
        <f t="shared" si="156"/>
        <v>4.7280000000000003E-2</v>
      </c>
      <c r="I401" s="440">
        <f t="shared" si="156"/>
        <v>4.8669999999999998E-2</v>
      </c>
      <c r="J401" s="440">
        <f t="shared" si="156"/>
        <v>5.0310000000000001E-2</v>
      </c>
      <c r="K401" s="440">
        <f t="shared" si="156"/>
        <v>5.1869999999999999E-2</v>
      </c>
      <c r="L401" s="440">
        <f t="shared" si="156"/>
        <v>5.3440000000000001E-2</v>
      </c>
      <c r="M401" s="440">
        <f t="shared" si="156"/>
        <v>5.4640000000000001E-2</v>
      </c>
    </row>
    <row r="402" spans="2:13" x14ac:dyDescent="0.3">
      <c r="B402" s="463"/>
      <c r="C402" s="367"/>
      <c r="D402" s="534">
        <f>ROUND((D397+D394)/(1+D401)^D398,4)</f>
        <v>121704.9289</v>
      </c>
      <c r="E402" s="534"/>
      <c r="F402" s="534"/>
      <c r="G402" s="534"/>
      <c r="H402" s="534"/>
      <c r="I402" s="534"/>
      <c r="J402" s="534"/>
      <c r="K402" s="534"/>
      <c r="L402" s="534"/>
      <c r="M402" s="534"/>
    </row>
    <row r="403" spans="2:13" x14ac:dyDescent="0.3">
      <c r="B403" s="367"/>
      <c r="C403" s="367"/>
      <c r="D403" s="488"/>
      <c r="E403" s="488"/>
      <c r="F403" s="488"/>
      <c r="G403" s="488"/>
    </row>
    <row r="404" spans="2:13" x14ac:dyDescent="0.3">
      <c r="B404" s="585" t="s">
        <v>650</v>
      </c>
      <c r="C404" s="787">
        <f>+D402</f>
        <v>121704.9289</v>
      </c>
      <c r="D404" s="500"/>
      <c r="E404" s="430"/>
      <c r="F404" s="361"/>
      <c r="G404" s="365"/>
    </row>
    <row r="405" spans="2:13" x14ac:dyDescent="0.3">
      <c r="B405" s="585" t="s">
        <v>1331</v>
      </c>
      <c r="C405" s="586">
        <f>+SUMPRODUCT(D398:AG398,D402:AG402)/C404</f>
        <v>-4.2520547945205482</v>
      </c>
      <c r="D405" s="365"/>
      <c r="E405" s="365"/>
      <c r="F405" s="361"/>
      <c r="G405" s="363"/>
    </row>
    <row r="409" spans="2:13" x14ac:dyDescent="0.3">
      <c r="B409" s="584" t="s">
        <v>2633</v>
      </c>
      <c r="C409" s="584">
        <v>9496</v>
      </c>
      <c r="D409" s="575"/>
      <c r="E409"/>
      <c r="F409"/>
      <c r="G409"/>
      <c r="H409" s="462"/>
      <c r="I409" s="462"/>
      <c r="J409" s="462"/>
      <c r="K409" s="462"/>
      <c r="L409" s="462"/>
    </row>
    <row r="410" spans="2:13" x14ac:dyDescent="0.3">
      <c r="B410" s="364"/>
      <c r="C410" s="364" t="s">
        <v>105</v>
      </c>
      <c r="D410" s="365">
        <v>2.87E-2</v>
      </c>
      <c r="E410" s="365"/>
      <c r="F410" s="361"/>
      <c r="G410" s="363"/>
    </row>
    <row r="411" spans="2:13" x14ac:dyDescent="0.3">
      <c r="B411" s="363"/>
      <c r="C411" s="363">
        <v>44225</v>
      </c>
      <c r="D411" s="363">
        <v>44590</v>
      </c>
      <c r="E411" s="363">
        <v>44955</v>
      </c>
      <c r="F411" s="363">
        <v>45320</v>
      </c>
      <c r="G411" s="363">
        <v>45686</v>
      </c>
      <c r="H411" s="363">
        <v>46051</v>
      </c>
      <c r="I411" s="363">
        <v>46416</v>
      </c>
      <c r="J411" s="363">
        <v>46781</v>
      </c>
      <c r="K411" s="363"/>
      <c r="L411" s="363"/>
      <c r="M411" s="363"/>
    </row>
    <row r="412" spans="2:13" x14ac:dyDescent="0.3">
      <c r="B412" s="463" t="s">
        <v>1318</v>
      </c>
      <c r="C412" s="367"/>
      <c r="D412" s="534">
        <f>100000/7</f>
        <v>14285.714285714286</v>
      </c>
      <c r="E412" s="534">
        <f t="shared" ref="E412:J412" si="157">100000/7</f>
        <v>14285.714285714286</v>
      </c>
      <c r="F412" s="534">
        <f t="shared" si="157"/>
        <v>14285.714285714286</v>
      </c>
      <c r="G412" s="534">
        <f t="shared" si="157"/>
        <v>14285.714285714286</v>
      </c>
      <c r="H412" s="534">
        <f t="shared" si="157"/>
        <v>14285.714285714286</v>
      </c>
      <c r="I412" s="534">
        <f t="shared" si="157"/>
        <v>14285.714285714286</v>
      </c>
      <c r="J412" s="534">
        <f t="shared" si="157"/>
        <v>14285.714285714286</v>
      </c>
      <c r="K412" s="534"/>
      <c r="L412" s="534"/>
      <c r="M412" s="488"/>
    </row>
    <row r="413" spans="2:13" x14ac:dyDescent="0.3">
      <c r="B413" s="463" t="s">
        <v>1320</v>
      </c>
      <c r="C413" s="368">
        <v>100000</v>
      </c>
      <c r="D413" s="488">
        <f>+C413-D412</f>
        <v>85714.28571428571</v>
      </c>
      <c r="E413" s="488">
        <f t="shared" ref="E413:J413" si="158">+D413-E412</f>
        <v>71428.57142857142</v>
      </c>
      <c r="F413" s="488">
        <f t="shared" si="158"/>
        <v>57142.85714285713</v>
      </c>
      <c r="G413" s="488">
        <f t="shared" si="158"/>
        <v>42857.142857142841</v>
      </c>
      <c r="H413" s="488">
        <f t="shared" si="158"/>
        <v>28571.428571428554</v>
      </c>
      <c r="I413" s="488">
        <f t="shared" si="158"/>
        <v>14285.714285714268</v>
      </c>
      <c r="J413" s="488">
        <f t="shared" si="158"/>
        <v>-1.8189894035458565E-11</v>
      </c>
      <c r="K413" s="488"/>
      <c r="L413" s="488"/>
      <c r="M413" s="488"/>
    </row>
    <row r="414" spans="2:13" x14ac:dyDescent="0.3">
      <c r="B414" s="463" t="s">
        <v>1321</v>
      </c>
      <c r="C414" s="367"/>
      <c r="D414" s="654">
        <f t="shared" ref="D414:J414" si="159">ROUND(C413*$D$410,2)</f>
        <v>2870</v>
      </c>
      <c r="E414" s="654">
        <f t="shared" si="159"/>
        <v>2460</v>
      </c>
      <c r="F414" s="654">
        <f t="shared" si="159"/>
        <v>2050</v>
      </c>
      <c r="G414" s="654">
        <f t="shared" si="159"/>
        <v>1640</v>
      </c>
      <c r="H414" s="654">
        <f t="shared" si="159"/>
        <v>1230</v>
      </c>
      <c r="I414" s="654">
        <f t="shared" si="159"/>
        <v>820</v>
      </c>
      <c r="J414" s="654">
        <f t="shared" si="159"/>
        <v>410</v>
      </c>
      <c r="K414" s="654"/>
      <c r="L414" s="654"/>
      <c r="M414" s="654"/>
    </row>
    <row r="415" spans="2:13" x14ac:dyDescent="0.3">
      <c r="B415" s="463" t="s">
        <v>1322</v>
      </c>
      <c r="C415" s="367"/>
      <c r="D415" s="488">
        <f t="shared" ref="D415:J415" si="160">+D414+D412</f>
        <v>17155.714285714286</v>
      </c>
      <c r="E415" s="488">
        <f t="shared" si="160"/>
        <v>16745.714285714286</v>
      </c>
      <c r="F415" s="488">
        <f t="shared" si="160"/>
        <v>16335.714285714286</v>
      </c>
      <c r="G415" s="488">
        <f t="shared" si="160"/>
        <v>15925.714285714286</v>
      </c>
      <c r="H415" s="488">
        <f t="shared" si="160"/>
        <v>15515.714285714286</v>
      </c>
      <c r="I415" s="488">
        <f t="shared" si="160"/>
        <v>15105.714285714286</v>
      </c>
      <c r="J415" s="488">
        <f t="shared" si="160"/>
        <v>14695.714285714286</v>
      </c>
      <c r="K415" s="488"/>
      <c r="L415" s="488"/>
      <c r="M415" s="488"/>
    </row>
    <row r="416" spans="2:13" x14ac:dyDescent="0.3">
      <c r="B416" s="463" t="s">
        <v>1323</v>
      </c>
      <c r="C416" s="368"/>
      <c r="D416" s="488">
        <f t="shared" ref="D416:J416" si="161">+IF(D411&gt;$C$1,D415,0)</f>
        <v>0</v>
      </c>
      <c r="E416" s="488">
        <f t="shared" si="161"/>
        <v>0</v>
      </c>
      <c r="F416" s="488">
        <f t="shared" si="161"/>
        <v>0</v>
      </c>
      <c r="G416" s="488">
        <f t="shared" si="161"/>
        <v>0</v>
      </c>
      <c r="H416" s="488">
        <f t="shared" si="161"/>
        <v>0</v>
      </c>
      <c r="I416" s="488">
        <f t="shared" si="161"/>
        <v>15105.714285714286</v>
      </c>
      <c r="J416" s="488">
        <f t="shared" si="161"/>
        <v>14695.714285714286</v>
      </c>
      <c r="K416" s="488"/>
      <c r="L416" s="488"/>
      <c r="M416" s="488"/>
    </row>
    <row r="417" spans="2:13" x14ac:dyDescent="0.3">
      <c r="B417" s="463" t="s">
        <v>1324</v>
      </c>
      <c r="C417" s="371"/>
      <c r="D417" s="784">
        <f t="shared" ref="D417:J417" si="162">ROUND(IF(C416=0,(D411-$C$1)/(D411-C411),C417+1),10)</f>
        <v>-4.1561643836000002</v>
      </c>
      <c r="E417" s="784">
        <f t="shared" si="162"/>
        <v>-3.1561643836000002</v>
      </c>
      <c r="F417" s="784">
        <f t="shared" si="162"/>
        <v>-2.1561643836000002</v>
      </c>
      <c r="G417" s="784">
        <f t="shared" si="162"/>
        <v>-1.150273224</v>
      </c>
      <c r="H417" s="784">
        <f t="shared" si="162"/>
        <v>-0.15342465750000001</v>
      </c>
      <c r="I417" s="784">
        <f t="shared" si="162"/>
        <v>0.84657534249999999</v>
      </c>
      <c r="J417" s="784">
        <f t="shared" si="162"/>
        <v>1.8465753425</v>
      </c>
      <c r="K417" s="784"/>
      <c r="L417" s="784"/>
      <c r="M417" s="784"/>
    </row>
    <row r="418" spans="2:13" x14ac:dyDescent="0.3">
      <c r="B418" s="463" t="s">
        <v>1325</v>
      </c>
      <c r="C418" s="367"/>
      <c r="D418" s="375" cm="1">
        <f t="array" ref="D418">ROUND(interpoler(mat_zc,Taux_ZC,D417),5)</f>
        <v>2.3279999999999999E-2</v>
      </c>
      <c r="E418" s="375" cm="1">
        <f t="array" ref="E418">ROUND(interpoler(mat_zc,Taux_ZC,E417),5)</f>
        <v>2.3279999999999999E-2</v>
      </c>
      <c r="F418" s="375" cm="1">
        <f t="array" ref="F418">ROUND(interpoler(mat_zc,Taux_ZC,F417),5)</f>
        <v>2.3279999999999999E-2</v>
      </c>
      <c r="G418" s="375" cm="1">
        <f t="array" ref="G418">ROUND(interpoler(mat_zc,Taux_ZC,G417),5)</f>
        <v>2.3279999999999999E-2</v>
      </c>
      <c r="H418" s="1181" cm="1">
        <f t="array" ref="H418">ROUND(interpoler(mat_zc,Taux_ZC,H417),5)</f>
        <v>2.3279999999999999E-2</v>
      </c>
      <c r="I418" s="375" cm="1">
        <f t="array" ref="I418">ROUND(interpoler(mat_zc,Taux_ZC,I417),5)</f>
        <v>2.487E-2</v>
      </c>
      <c r="J418" s="375" cm="1">
        <f t="array" ref="J418">ROUND(interpoler(mat_zc,Taux_ZC,J417),5)</f>
        <v>2.6460000000000001E-2</v>
      </c>
      <c r="K418" s="375"/>
      <c r="L418" s="375"/>
      <c r="M418" s="375"/>
    </row>
    <row r="419" spans="2:13" x14ac:dyDescent="0.3">
      <c r="B419" s="463" t="s">
        <v>1328</v>
      </c>
      <c r="C419" s="367"/>
      <c r="D419" s="429">
        <v>8.0000000000000002E-3</v>
      </c>
      <c r="E419" s="429">
        <f t="shared" ref="E419:J419" si="163">D419</f>
        <v>8.0000000000000002E-3</v>
      </c>
      <c r="F419" s="429">
        <f t="shared" si="163"/>
        <v>8.0000000000000002E-3</v>
      </c>
      <c r="G419" s="429">
        <f t="shared" si="163"/>
        <v>8.0000000000000002E-3</v>
      </c>
      <c r="H419" s="429">
        <f t="shared" si="163"/>
        <v>8.0000000000000002E-3</v>
      </c>
      <c r="I419" s="429">
        <f t="shared" si="163"/>
        <v>8.0000000000000002E-3</v>
      </c>
      <c r="J419" s="429">
        <f t="shared" si="163"/>
        <v>8.0000000000000002E-3</v>
      </c>
      <c r="K419" s="429"/>
      <c r="L419" s="429"/>
      <c r="M419" s="429"/>
    </row>
    <row r="420" spans="2:13" x14ac:dyDescent="0.3">
      <c r="B420" s="463" t="s">
        <v>1329</v>
      </c>
      <c r="C420" s="367"/>
      <c r="D420" s="440">
        <f t="shared" ref="D420:J420" si="164">ROUND(D418+D419,5)</f>
        <v>3.1280000000000002E-2</v>
      </c>
      <c r="E420" s="440">
        <f t="shared" si="164"/>
        <v>3.1280000000000002E-2</v>
      </c>
      <c r="F420" s="440">
        <f t="shared" si="164"/>
        <v>3.1280000000000002E-2</v>
      </c>
      <c r="G420" s="440">
        <f t="shared" si="164"/>
        <v>3.1280000000000002E-2</v>
      </c>
      <c r="H420" s="440">
        <f t="shared" si="164"/>
        <v>3.1280000000000002E-2</v>
      </c>
      <c r="I420" s="440">
        <f t="shared" si="164"/>
        <v>3.2870000000000003E-2</v>
      </c>
      <c r="J420" s="440">
        <f t="shared" si="164"/>
        <v>3.4459999999999998E-2</v>
      </c>
      <c r="K420" s="440"/>
      <c r="L420" s="440"/>
      <c r="M420" s="440"/>
    </row>
    <row r="421" spans="2:13" x14ac:dyDescent="0.3">
      <c r="B421" s="463"/>
      <c r="C421" s="367"/>
      <c r="D421" s="534">
        <f t="shared" ref="D421:J421" si="165">ROUND(D416/(1+D420)^D417,4)</f>
        <v>0</v>
      </c>
      <c r="E421" s="534">
        <f t="shared" si="165"/>
        <v>0</v>
      </c>
      <c r="F421" s="534">
        <f t="shared" si="165"/>
        <v>0</v>
      </c>
      <c r="G421" s="534">
        <f t="shared" si="165"/>
        <v>0</v>
      </c>
      <c r="H421" s="534">
        <f t="shared" si="165"/>
        <v>0</v>
      </c>
      <c r="I421" s="534">
        <f t="shared" si="165"/>
        <v>14697.739799999999</v>
      </c>
      <c r="J421" s="534">
        <f t="shared" si="165"/>
        <v>13804.501899999999</v>
      </c>
      <c r="K421" s="534"/>
      <c r="L421" s="534"/>
      <c r="M421" s="534"/>
    </row>
    <row r="422" spans="2:13" x14ac:dyDescent="0.3">
      <c r="B422" s="367"/>
      <c r="C422" s="367"/>
      <c r="D422" s="488"/>
      <c r="E422" s="488"/>
      <c r="F422" s="488"/>
      <c r="G422" s="488"/>
      <c r="H422" s="488"/>
      <c r="I422" s="488"/>
      <c r="J422" s="488"/>
      <c r="K422" s="488"/>
      <c r="L422" s="488"/>
      <c r="M422" s="488"/>
    </row>
    <row r="423" spans="2:13" x14ac:dyDescent="0.3">
      <c r="B423" s="585" t="s">
        <v>650</v>
      </c>
      <c r="C423" s="787">
        <f>SUM(D421:J421)</f>
        <v>28502.241699999999</v>
      </c>
      <c r="D423" s="500"/>
      <c r="E423" s="430"/>
      <c r="F423" s="361"/>
      <c r="G423" s="365"/>
      <c r="H423" s="365"/>
      <c r="I423" s="365"/>
      <c r="J423" s="365"/>
      <c r="K423" s="365"/>
      <c r="L423" s="365"/>
      <c r="M423" s="365"/>
    </row>
    <row r="424" spans="2:13" x14ac:dyDescent="0.3">
      <c r="B424" s="585" t="s">
        <v>1331</v>
      </c>
      <c r="C424" s="586">
        <f>+SUMPRODUCT(D417:AG417,D421:AG421)/C423</f>
        <v>1.3309057346599962</v>
      </c>
      <c r="D424" s="365"/>
      <c r="E424" s="365"/>
      <c r="F424" s="361"/>
      <c r="G424" s="363"/>
      <c r="H424" s="363"/>
      <c r="I424" s="363"/>
      <c r="J424" s="363"/>
      <c r="K424" s="363"/>
      <c r="L424" s="363"/>
      <c r="M424" s="363"/>
    </row>
    <row r="426" spans="2:13" x14ac:dyDescent="0.3">
      <c r="C426" s="462"/>
    </row>
    <row r="427" spans="2:13" x14ac:dyDescent="0.3">
      <c r="B427" s="584" t="s">
        <v>2640</v>
      </c>
      <c r="C427" s="584">
        <v>9475</v>
      </c>
      <c r="D427" s="575"/>
      <c r="E427"/>
      <c r="F427"/>
      <c r="G427"/>
      <c r="H427" s="462"/>
      <c r="I427" s="462"/>
      <c r="J427" s="462"/>
      <c r="K427" s="462"/>
      <c r="L427" s="462"/>
    </row>
    <row r="428" spans="2:13" x14ac:dyDescent="0.3">
      <c r="B428" s="364"/>
      <c r="C428" s="364" t="s">
        <v>105</v>
      </c>
      <c r="D428" s="365">
        <v>3.1399999999999997E-2</v>
      </c>
      <c r="E428" s="365"/>
      <c r="F428" s="361"/>
      <c r="G428" s="363"/>
    </row>
    <row r="429" spans="2:13" x14ac:dyDescent="0.3">
      <c r="B429" s="363"/>
      <c r="C429" s="363">
        <v>44172</v>
      </c>
      <c r="D429" s="363">
        <v>44537</v>
      </c>
      <c r="E429" s="363">
        <v>44902</v>
      </c>
      <c r="F429" s="363">
        <v>45267</v>
      </c>
      <c r="G429" s="363">
        <v>45633</v>
      </c>
      <c r="H429" s="363">
        <v>45998</v>
      </c>
      <c r="I429" s="363"/>
      <c r="J429" s="363"/>
      <c r="K429" s="363"/>
      <c r="L429" s="363"/>
      <c r="M429" s="363"/>
    </row>
    <row r="430" spans="2:13" x14ac:dyDescent="0.3">
      <c r="B430" s="463" t="s">
        <v>1318</v>
      </c>
      <c r="C430" s="367"/>
      <c r="D430" s="534">
        <f>100000/5</f>
        <v>20000</v>
      </c>
      <c r="E430" s="534">
        <f>100000/5</f>
        <v>20000</v>
      </c>
      <c r="F430" s="534">
        <f>100000/5</f>
        <v>20000</v>
      </c>
      <c r="G430" s="534">
        <f>100000/5</f>
        <v>20000</v>
      </c>
      <c r="H430" s="534">
        <f>100000/5</f>
        <v>20000</v>
      </c>
      <c r="I430" s="534"/>
      <c r="J430" s="534"/>
      <c r="K430" s="534"/>
      <c r="L430" s="534"/>
      <c r="M430" s="488"/>
    </row>
    <row r="431" spans="2:13" x14ac:dyDescent="0.3">
      <c r="B431" s="463" t="s">
        <v>1320</v>
      </c>
      <c r="C431" s="368">
        <v>100000</v>
      </c>
      <c r="D431" s="488">
        <f>+C431-D430</f>
        <v>80000</v>
      </c>
      <c r="E431" s="488">
        <f>+D431-E430</f>
        <v>60000</v>
      </c>
      <c r="F431" s="488">
        <f>+E431-F430</f>
        <v>40000</v>
      </c>
      <c r="G431" s="488">
        <f>+F431-G430</f>
        <v>20000</v>
      </c>
      <c r="H431" s="488">
        <f>+G431-H430</f>
        <v>0</v>
      </c>
      <c r="I431" s="488"/>
      <c r="J431" s="488"/>
      <c r="K431" s="488"/>
      <c r="L431" s="488"/>
      <c r="M431" s="488"/>
    </row>
    <row r="432" spans="2:13" x14ac:dyDescent="0.3">
      <c r="B432" s="463" t="s">
        <v>1321</v>
      </c>
      <c r="C432" s="367"/>
      <c r="D432" s="654">
        <f>ROUND(C431*$D$428,2)</f>
        <v>3140</v>
      </c>
      <c r="E432" s="654">
        <f>ROUND(D431*$D$428,2)</f>
        <v>2512</v>
      </c>
      <c r="F432" s="654">
        <f>ROUND(E431*$D$428,2)</f>
        <v>1884</v>
      </c>
      <c r="G432" s="654">
        <f>ROUND(F431*$D$428,2)</f>
        <v>1256</v>
      </c>
      <c r="H432" s="654">
        <f>ROUND(G431*$D$428,2)</f>
        <v>628</v>
      </c>
      <c r="I432" s="654"/>
      <c r="J432" s="654"/>
      <c r="K432" s="654"/>
      <c r="L432" s="654"/>
      <c r="M432" s="654"/>
    </row>
    <row r="433" spans="2:13" x14ac:dyDescent="0.3">
      <c r="B433" s="463" t="s">
        <v>1322</v>
      </c>
      <c r="C433" s="367"/>
      <c r="D433" s="488">
        <f>+D432+D430</f>
        <v>23140</v>
      </c>
      <c r="E433" s="488">
        <f>+E432+E430</f>
        <v>22512</v>
      </c>
      <c r="F433" s="488">
        <f>+F432+F430</f>
        <v>21884</v>
      </c>
      <c r="G433" s="488">
        <f>+G432+G430</f>
        <v>21256</v>
      </c>
      <c r="H433" s="488">
        <f>+H432+H430</f>
        <v>20628</v>
      </c>
      <c r="I433" s="488"/>
      <c r="J433" s="488"/>
      <c r="K433" s="488"/>
      <c r="L433" s="488"/>
      <c r="M433" s="488"/>
    </row>
    <row r="434" spans="2:13" x14ac:dyDescent="0.3">
      <c r="B434" s="463" t="s">
        <v>1323</v>
      </c>
      <c r="C434" s="368"/>
      <c r="D434" s="488">
        <f>+IF(D429&gt;$C$1,D433,0)</f>
        <v>0</v>
      </c>
      <c r="E434" s="488">
        <f>+IF(E429&gt;$C$1,E433,0)</f>
        <v>0</v>
      </c>
      <c r="F434" s="488">
        <f>+IF(F429&gt;$C$1,F433,0)</f>
        <v>0</v>
      </c>
      <c r="G434" s="488">
        <f>+IF(G429&gt;$C$1,G433,0)</f>
        <v>0</v>
      </c>
      <c r="H434" s="488">
        <f>+IF(H429&gt;$C$1,H433,0)</f>
        <v>0</v>
      </c>
      <c r="I434" s="488"/>
      <c r="J434" s="488"/>
      <c r="K434" s="488"/>
      <c r="L434" s="488"/>
      <c r="M434" s="488"/>
    </row>
    <row r="435" spans="2:13" x14ac:dyDescent="0.3">
      <c r="B435" s="463" t="s">
        <v>1324</v>
      </c>
      <c r="C435" s="371"/>
      <c r="D435" s="784">
        <f>+IF(C434=0,(D429-$C$1)/(D429-C429),C435+1)</f>
        <v>-4.3013698630136989</v>
      </c>
      <c r="E435" s="784">
        <f>+IF(D434=0,(E429-$C$1)/(E429-D429),D435+1)</f>
        <v>-3.3013698630136985</v>
      </c>
      <c r="F435" s="784">
        <f>+IF(E434=0,(F429-$C$1)/(F429-E429),E435+1)</f>
        <v>-2.3013698630136985</v>
      </c>
      <c r="G435" s="784">
        <f>+IF(F434=0,(G429-$C$1)/(G429-F429),F435+1)</f>
        <v>-1.2950819672131149</v>
      </c>
      <c r="H435" s="784">
        <f>+IF(G434=0,(H429-$C$1)/(H429-G429),G435+1)</f>
        <v>-0.29863013698630136</v>
      </c>
      <c r="I435" s="784"/>
      <c r="J435" s="784"/>
      <c r="K435" s="784"/>
      <c r="L435" s="784"/>
      <c r="M435" s="784"/>
    </row>
    <row r="436" spans="2:13" x14ac:dyDescent="0.3">
      <c r="B436" s="463" t="s">
        <v>1325</v>
      </c>
      <c r="C436" s="367"/>
      <c r="D436" s="375" cm="1">
        <f t="array" ref="D436">IF((D429-$C$1)&lt;=366,interpoler(mat_court,taux_court_act,(D429-$C$1)),interpoler(CIH!$K$72:$K$103,CIH!$L$72:$L$103,D435))</f>
        <v>2.3281430422376737E-2</v>
      </c>
      <c r="E436" s="375" cm="1">
        <f t="array" ref="E436">IF((E429-$C$1)&lt;=366,interpoler(mat_court,taux_court_act,(E429-$C$1)),interpoler(CIH!$K$72:$K$103,CIH!$L$72:$L$103,E435))</f>
        <v>2.3281430422376737E-2</v>
      </c>
      <c r="F436" s="375" cm="1">
        <f t="array" ref="F436">IF((F429-$C$1)&lt;=366,interpoler(mat_court,taux_court_act,(F429-$C$1)),interpoler(CIH!$K$72:$K$103,CIH!$L$72:$L$103,F435))</f>
        <v>2.3281430422376737E-2</v>
      </c>
      <c r="G436" s="375" cm="1">
        <f t="array" ref="G436">IF((G429-$C$1)&lt;=366,interpoler(mat_court,taux_court_act,(G429-$C$1)),interpoler(CIH!$K$72:$K$103,CIH!$L$72:$L$103,G435))</f>
        <v>2.3281430422376737E-2</v>
      </c>
      <c r="H436" s="375" cm="1">
        <f t="array" ref="H436">IF((H429-$C$1)&lt;=366,interpoler(mat_court,taux_court_act,(H429-$C$1)),interpoler(CIH!$K$72:$K$103,CIH!$L$72:$L$103,H435))</f>
        <v>2.3281430422376737E-2</v>
      </c>
      <c r="I436" s="375"/>
      <c r="J436" s="375"/>
      <c r="K436" s="375"/>
      <c r="L436" s="375"/>
      <c r="M436" s="375"/>
    </row>
    <row r="437" spans="2:13" x14ac:dyDescent="0.3">
      <c r="B437" s="463" t="s">
        <v>1328</v>
      </c>
      <c r="C437" s="367"/>
      <c r="D437" s="429">
        <v>0</v>
      </c>
      <c r="E437" s="429">
        <v>0</v>
      </c>
      <c r="F437" s="429">
        <v>0</v>
      </c>
      <c r="G437" s="429">
        <v>0</v>
      </c>
      <c r="H437" s="429">
        <v>0</v>
      </c>
      <c r="I437" s="429"/>
      <c r="J437" s="429"/>
      <c r="K437" s="429"/>
      <c r="L437" s="429"/>
      <c r="M437" s="429"/>
    </row>
    <row r="438" spans="2:13" x14ac:dyDescent="0.3">
      <c r="B438" s="463" t="s">
        <v>1329</v>
      </c>
      <c r="C438" s="367"/>
      <c r="D438" s="440">
        <f>ROUND(D436+D437,5)</f>
        <v>2.3279999999999999E-2</v>
      </c>
      <c r="E438" s="440">
        <f>ROUND(E436+E437,5)</f>
        <v>2.3279999999999999E-2</v>
      </c>
      <c r="F438" s="440">
        <f>ROUND(F436+F437,5)</f>
        <v>2.3279999999999999E-2</v>
      </c>
      <c r="G438" s="440">
        <f>ROUND(G436+G437,5)</f>
        <v>2.3279999999999999E-2</v>
      </c>
      <c r="H438" s="440">
        <f>ROUND(H436+H437,5)</f>
        <v>2.3279999999999999E-2</v>
      </c>
      <c r="I438" s="440"/>
      <c r="J438" s="440"/>
      <c r="K438" s="440"/>
      <c r="L438" s="440"/>
      <c r="M438" s="440"/>
    </row>
    <row r="439" spans="2:13" x14ac:dyDescent="0.3">
      <c r="B439" s="463"/>
      <c r="C439" s="367"/>
      <c r="D439" s="534">
        <f>ROUND(D434/(1+D438)^D435,4)</f>
        <v>0</v>
      </c>
      <c r="E439" s="534">
        <f>ROUND(E434/(1+E438)^E435,4)</f>
        <v>0</v>
      </c>
      <c r="F439" s="534">
        <f>ROUND(F434/(1+F438)^F435,4)</f>
        <v>0</v>
      </c>
      <c r="G439" s="534">
        <f>ROUND(G434/(1+G438)^G435,4)</f>
        <v>0</v>
      </c>
      <c r="H439" s="534">
        <f>ROUND(H434/(1+H438)^H435,4)</f>
        <v>0</v>
      </c>
      <c r="I439" s="534"/>
      <c r="J439" s="534"/>
      <c r="K439" s="534"/>
      <c r="L439" s="534"/>
      <c r="M439" s="534"/>
    </row>
    <row r="440" spans="2:13" x14ac:dyDescent="0.3">
      <c r="B440" s="367"/>
      <c r="C440" s="367"/>
      <c r="D440" s="488"/>
      <c r="E440" s="488"/>
      <c r="F440" s="488"/>
      <c r="G440" s="488"/>
      <c r="H440" s="488"/>
      <c r="I440" s="488"/>
      <c r="J440" s="488"/>
      <c r="K440" s="488"/>
      <c r="L440" s="488"/>
      <c r="M440" s="488"/>
    </row>
    <row r="441" spans="2:13" x14ac:dyDescent="0.3">
      <c r="B441" s="585" t="s">
        <v>650</v>
      </c>
      <c r="C441" s="787">
        <f>SUM(D439:J439)</f>
        <v>0</v>
      </c>
      <c r="D441" s="500"/>
      <c r="E441" s="430"/>
      <c r="F441" s="361"/>
      <c r="G441" s="365"/>
      <c r="H441" s="365"/>
      <c r="I441" s="365"/>
      <c r="J441" s="365"/>
      <c r="K441" s="365"/>
      <c r="L441" s="365"/>
      <c r="M441" s="365"/>
    </row>
    <row r="442" spans="2:13" x14ac:dyDescent="0.3">
      <c r="B442" s="585" t="s">
        <v>1331</v>
      </c>
      <c r="C442" s="586" t="e">
        <f>+SUMPRODUCT(D435:AG435,D439:AG439)/C441</f>
        <v>#DIV/0!</v>
      </c>
      <c r="D442" s="365"/>
      <c r="E442" s="365"/>
      <c r="F442" s="361"/>
      <c r="G442" s="363"/>
      <c r="H442" s="363"/>
      <c r="I442" s="363"/>
      <c r="J442" s="363"/>
      <c r="K442" s="363"/>
      <c r="L442" s="363"/>
      <c r="M442" s="363"/>
    </row>
    <row r="451" spans="2:13" x14ac:dyDescent="0.3">
      <c r="B451" s="584" t="s">
        <v>2663</v>
      </c>
      <c r="C451" s="584">
        <v>9502</v>
      </c>
      <c r="D451" s="575"/>
      <c r="E451"/>
      <c r="F451"/>
      <c r="G451"/>
      <c r="H451" s="462"/>
      <c r="I451" s="462"/>
      <c r="J451" s="462"/>
      <c r="K451" s="462"/>
      <c r="L451" s="462"/>
    </row>
    <row r="452" spans="2:13" x14ac:dyDescent="0.3">
      <c r="B452" s="364"/>
      <c r="C452" s="364" t="s">
        <v>105</v>
      </c>
      <c r="D452" s="365">
        <v>2.8400000000000002E-2</v>
      </c>
      <c r="E452" s="365"/>
      <c r="F452" s="361"/>
      <c r="G452" s="363"/>
    </row>
    <row r="453" spans="2:13" x14ac:dyDescent="0.3">
      <c r="B453" s="363"/>
      <c r="C453" s="363">
        <v>44361</v>
      </c>
      <c r="D453" s="363">
        <v>44726</v>
      </c>
      <c r="E453" s="363">
        <v>45091</v>
      </c>
      <c r="F453" s="363">
        <v>45457</v>
      </c>
      <c r="G453" s="363">
        <v>45822</v>
      </c>
      <c r="H453" s="363">
        <v>46187</v>
      </c>
      <c r="I453" s="363"/>
      <c r="J453" s="363"/>
      <c r="K453" s="363"/>
      <c r="L453" s="363"/>
      <c r="M453" s="363"/>
    </row>
    <row r="454" spans="2:13" x14ac:dyDescent="0.3">
      <c r="B454" s="463" t="s">
        <v>1318</v>
      </c>
      <c r="C454" s="367"/>
      <c r="D454" s="534">
        <f>$C$455/5</f>
        <v>20000</v>
      </c>
      <c r="E454" s="534">
        <f>$C$455/5</f>
        <v>20000</v>
      </c>
      <c r="F454" s="534">
        <f>$C$455/5</f>
        <v>20000</v>
      </c>
      <c r="G454" s="534">
        <f>$C$455/5</f>
        <v>20000</v>
      </c>
      <c r="H454" s="534">
        <f>$C$455/5</f>
        <v>20000</v>
      </c>
      <c r="I454" s="534"/>
      <c r="J454" s="534"/>
      <c r="K454" s="534"/>
      <c r="L454" s="534"/>
      <c r="M454" s="488"/>
    </row>
    <row r="455" spans="2:13" x14ac:dyDescent="0.3">
      <c r="B455" s="463" t="s">
        <v>1320</v>
      </c>
      <c r="C455" s="368">
        <v>100000</v>
      </c>
      <c r="D455" s="488">
        <f>+C455-D454</f>
        <v>80000</v>
      </c>
      <c r="E455" s="488">
        <f>+D455-E454</f>
        <v>60000</v>
      </c>
      <c r="F455" s="488">
        <f>+E455-F454</f>
        <v>40000</v>
      </c>
      <c r="G455" s="488">
        <f>+F455-G454</f>
        <v>20000</v>
      </c>
      <c r="H455" s="488">
        <f>+G455-H454</f>
        <v>0</v>
      </c>
      <c r="I455" s="488"/>
      <c r="J455" s="488"/>
      <c r="K455" s="488"/>
      <c r="L455" s="488"/>
      <c r="M455" s="488"/>
    </row>
    <row r="456" spans="2:13" x14ac:dyDescent="0.3">
      <c r="B456" s="463" t="s">
        <v>1321</v>
      </c>
      <c r="C456" s="367"/>
      <c r="D456" s="654">
        <f>ROUND(C455*$D$452,2)</f>
        <v>2840</v>
      </c>
      <c r="E456" s="654">
        <f>ROUND(D455*$D$452,2)</f>
        <v>2272</v>
      </c>
      <c r="F456" s="654">
        <f>ROUND(E455*$D$452,2)</f>
        <v>1704</v>
      </c>
      <c r="G456" s="654">
        <f>ROUND(F455*$D$452,2)</f>
        <v>1136</v>
      </c>
      <c r="H456" s="654">
        <f>ROUND(G455*$D$452,2)</f>
        <v>568</v>
      </c>
      <c r="I456" s="654"/>
      <c r="J456" s="654"/>
      <c r="K456" s="654"/>
      <c r="L456" s="654"/>
      <c r="M456" s="654"/>
    </row>
    <row r="457" spans="2:13" x14ac:dyDescent="0.3">
      <c r="B457" s="463" t="s">
        <v>1322</v>
      </c>
      <c r="C457" s="367"/>
      <c r="D457" s="488">
        <f>+D456+D454</f>
        <v>22840</v>
      </c>
      <c r="E457" s="488">
        <f>+E456+E454</f>
        <v>22272</v>
      </c>
      <c r="F457" s="488">
        <f>+F456+F454</f>
        <v>21704</v>
      </c>
      <c r="G457" s="488">
        <f>+G456+G454</f>
        <v>21136</v>
      </c>
      <c r="H457" s="488">
        <f>+H456+H454</f>
        <v>20568</v>
      </c>
      <c r="I457" s="488"/>
      <c r="J457" s="488"/>
      <c r="K457" s="488"/>
      <c r="L457" s="488"/>
      <c r="M457" s="488"/>
    </row>
    <row r="458" spans="2:13" x14ac:dyDescent="0.3">
      <c r="B458" s="463" t="s">
        <v>1323</v>
      </c>
      <c r="C458" s="368"/>
      <c r="D458" s="488">
        <f>+IF(D453&gt;$C$1,D457,0)</f>
        <v>0</v>
      </c>
      <c r="E458" s="488">
        <f>+IF(E453&gt;$C$1,E457,0)</f>
        <v>0</v>
      </c>
      <c r="F458" s="488">
        <f>+IF(F453&gt;$C$1,F457,0)</f>
        <v>0</v>
      </c>
      <c r="G458" s="488">
        <f>+IF(G453&gt;$C$1,G457,0)</f>
        <v>0</v>
      </c>
      <c r="H458" s="488">
        <f>+IF(H453&gt;$C$1,H457,0)</f>
        <v>20568</v>
      </c>
      <c r="I458" s="488"/>
      <c r="J458" s="488"/>
      <c r="K458" s="488"/>
      <c r="L458" s="488"/>
      <c r="M458" s="488"/>
    </row>
    <row r="459" spans="2:13" x14ac:dyDescent="0.3">
      <c r="B459" s="463" t="s">
        <v>1324</v>
      </c>
      <c r="C459" s="371"/>
      <c r="D459" s="784">
        <f>ROUND(IF(C458=0,(D453-$C$1)/(D453-C453),C459+1),10)</f>
        <v>-3.7835616438000002</v>
      </c>
      <c r="E459" s="784">
        <f>ROUND(IF(D458=0,(E453-$C$1)/(E453-D453),D459+1),10)</f>
        <v>-2.7835616438000002</v>
      </c>
      <c r="F459" s="784">
        <f>ROUND(IF(E458=0,(F453-$C$1)/(F453-E453),E459+1),10)</f>
        <v>-1.7759562842000001</v>
      </c>
      <c r="G459" s="784">
        <f>ROUND(IF(F458=0,(G453-$C$1)/(G453-F453),F459+1),10)</f>
        <v>-0.78082191779999999</v>
      </c>
      <c r="H459" s="784">
        <f>ROUND(IF(G458=0,(H453-$C$1)/(H453-G453),G459+1),10)</f>
        <v>0.21917808220000001</v>
      </c>
      <c r="I459" s="784"/>
      <c r="J459" s="784"/>
      <c r="K459" s="784"/>
      <c r="L459" s="784"/>
      <c r="M459" s="784"/>
    </row>
    <row r="460" spans="2:13" x14ac:dyDescent="0.3">
      <c r="B460" s="463" t="s">
        <v>1325</v>
      </c>
      <c r="C460" s="367"/>
      <c r="D460" s="375" cm="1">
        <f t="array" ref="D460">interpoler(mat_zc,Taux_ZC,D459)</f>
        <v>2.3281430400000001E-2</v>
      </c>
      <c r="E460" s="375" cm="1">
        <f t="array" ref="E460">interpoler(mat_zc,Taux_ZC,E459)</f>
        <v>2.3281430400000001E-2</v>
      </c>
      <c r="F460" s="375" cm="1">
        <f t="array" ref="F460">interpoler(mat_zc,Taux_ZC,F459)</f>
        <v>2.3281430400000001E-2</v>
      </c>
      <c r="G460" s="375" cm="1">
        <f t="array" ref="G460">interpoler(mat_zc,Taux_ZC,G459)</f>
        <v>2.3281430400000001E-2</v>
      </c>
      <c r="H460" s="375" cm="1">
        <f t="array" ref="H460">interpoler(mat_zc,Taux_ZC,H459)</f>
        <v>2.3436590074746796E-2</v>
      </c>
      <c r="I460" s="375"/>
      <c r="J460" s="375"/>
      <c r="K460" s="375"/>
      <c r="L460" s="375"/>
      <c r="M460" s="375"/>
    </row>
    <row r="461" spans="2:13" x14ac:dyDescent="0.3">
      <c r="B461" s="463" t="s">
        <v>1328</v>
      </c>
      <c r="C461" s="367"/>
      <c r="D461" s="429">
        <v>0.01</v>
      </c>
      <c r="E461" s="429">
        <v>0.01</v>
      </c>
      <c r="F461" s="429">
        <v>0.01</v>
      </c>
      <c r="G461" s="429">
        <v>0.01</v>
      </c>
      <c r="H461" s="429">
        <v>0.01</v>
      </c>
      <c r="I461" s="429"/>
      <c r="J461" s="429"/>
      <c r="K461" s="429"/>
      <c r="L461" s="429"/>
      <c r="M461" s="429"/>
    </row>
    <row r="462" spans="2:13" x14ac:dyDescent="0.3">
      <c r="B462" s="463" t="s">
        <v>1329</v>
      </c>
      <c r="C462" s="367"/>
      <c r="D462" s="440">
        <f>ROUND(D460+D461,5)</f>
        <v>3.3279999999999997E-2</v>
      </c>
      <c r="E462" s="440">
        <f>ROUND(E460+E461,5)</f>
        <v>3.3279999999999997E-2</v>
      </c>
      <c r="F462" s="440">
        <f>ROUND(F460+F461,5)</f>
        <v>3.3279999999999997E-2</v>
      </c>
      <c r="G462" s="440">
        <f>ROUND(G460+G461,5)</f>
        <v>3.3279999999999997E-2</v>
      </c>
      <c r="H462" s="440">
        <f>ROUND(H460+H461,5)</f>
        <v>3.3439999999999998E-2</v>
      </c>
      <c r="I462" s="440"/>
      <c r="J462" s="440"/>
      <c r="K462" s="440"/>
      <c r="L462" s="440"/>
      <c r="M462" s="440"/>
    </row>
    <row r="463" spans="2:13" x14ac:dyDescent="0.3">
      <c r="B463" s="463"/>
      <c r="C463" s="367"/>
      <c r="D463" s="534">
        <f>ROUND(D458/(1+D462)^D459,4)</f>
        <v>0</v>
      </c>
      <c r="E463" s="534">
        <f>ROUND(E458/(1+E462)^E459,4)</f>
        <v>0</v>
      </c>
      <c r="F463" s="534">
        <f>ROUND(F458/(1+F462)^F459,4)</f>
        <v>0</v>
      </c>
      <c r="G463" s="534">
        <f>ROUND(G458/(1+G462)^G459,4)</f>
        <v>0</v>
      </c>
      <c r="H463" s="534">
        <f>ROUND(H458/(1+H462)^H459,4)</f>
        <v>20420.249599999999</v>
      </c>
      <c r="I463" s="534"/>
      <c r="J463" s="534"/>
      <c r="K463" s="534"/>
      <c r="L463" s="534"/>
      <c r="M463" s="534"/>
    </row>
    <row r="464" spans="2:13" x14ac:dyDescent="0.3">
      <c r="B464" s="367"/>
      <c r="C464" s="367"/>
      <c r="D464" s="488"/>
      <c r="E464" s="488"/>
      <c r="F464" s="488"/>
      <c r="G464" s="488"/>
      <c r="H464" s="488"/>
      <c r="I464" s="488"/>
      <c r="J464" s="488"/>
      <c r="K464" s="488"/>
      <c r="L464" s="488"/>
      <c r="M464" s="488"/>
    </row>
    <row r="465" spans="2:20" x14ac:dyDescent="0.3">
      <c r="B465" s="585" t="s">
        <v>650</v>
      </c>
      <c r="C465" s="787">
        <f>SUM(D463:J463)</f>
        <v>20420.249599999999</v>
      </c>
      <c r="D465" s="500"/>
      <c r="E465" s="430"/>
      <c r="F465" s="361"/>
      <c r="G465" s="365"/>
      <c r="H465" s="365"/>
      <c r="I465" s="365"/>
      <c r="J465" s="365"/>
      <c r="K465" s="365"/>
      <c r="L465" s="365"/>
      <c r="M465" s="365"/>
    </row>
    <row r="466" spans="2:20" x14ac:dyDescent="0.3">
      <c r="B466" s="585" t="s">
        <v>1331</v>
      </c>
      <c r="C466" s="586">
        <f>+SUMPRODUCT(D459:AG459,D463:AG463)/C465</f>
        <v>0.21917808219999999</v>
      </c>
      <c r="D466" s="365"/>
      <c r="E466" s="365"/>
      <c r="F466" s="361"/>
      <c r="G466" s="363"/>
      <c r="H466" s="363"/>
      <c r="I466" s="363"/>
      <c r="J466" s="363"/>
      <c r="K466" s="363"/>
      <c r="L466" s="363"/>
      <c r="M466" s="363"/>
    </row>
    <row r="471" spans="2:20" x14ac:dyDescent="0.3">
      <c r="B471" s="584" t="s">
        <v>2695</v>
      </c>
      <c r="C471" s="584">
        <v>9518</v>
      </c>
      <c r="D471" s="575"/>
      <c r="E471"/>
      <c r="F471"/>
      <c r="G471"/>
    </row>
    <row r="472" spans="2:20" x14ac:dyDescent="0.3">
      <c r="B472" s="364"/>
      <c r="C472" s="364" t="s">
        <v>105</v>
      </c>
      <c r="D472" s="365">
        <v>3.15E-2</v>
      </c>
      <c r="E472" s="365"/>
      <c r="F472" s="361"/>
      <c r="G472" s="363"/>
      <c r="H472" s="363"/>
      <c r="I472" s="363"/>
      <c r="J472" s="363"/>
      <c r="K472" s="363"/>
      <c r="L472" s="363"/>
      <c r="M472" s="363"/>
    </row>
    <row r="473" spans="2:20" x14ac:dyDescent="0.3">
      <c r="B473" s="361"/>
      <c r="C473" s="696">
        <v>44482</v>
      </c>
      <c r="D473" s="696">
        <v>44847</v>
      </c>
      <c r="E473" s="696">
        <v>45212</v>
      </c>
      <c r="F473" s="696">
        <v>45578</v>
      </c>
      <c r="G473" s="696">
        <v>45943</v>
      </c>
      <c r="H473" s="696">
        <v>46308</v>
      </c>
      <c r="I473" s="696">
        <v>46673</v>
      </c>
      <c r="J473" s="696">
        <v>47039</v>
      </c>
      <c r="K473" s="696">
        <v>47404</v>
      </c>
      <c r="L473" s="696">
        <v>47769</v>
      </c>
      <c r="M473" s="696">
        <v>48134</v>
      </c>
      <c r="N473" s="696">
        <v>48500</v>
      </c>
      <c r="O473" s="696">
        <v>48865</v>
      </c>
      <c r="P473" s="696">
        <v>49230</v>
      </c>
      <c r="Q473" s="696">
        <v>49595</v>
      </c>
      <c r="R473" s="696">
        <v>49961</v>
      </c>
      <c r="S473" s="696"/>
      <c r="T473" s="696"/>
    </row>
    <row r="474" spans="2:20" x14ac:dyDescent="0.3">
      <c r="B474" s="463" t="s">
        <v>1318</v>
      </c>
      <c r="C474" s="697"/>
      <c r="D474" s="698">
        <f>100000/15</f>
        <v>6666.666666666667</v>
      </c>
      <c r="E474" s="698">
        <f t="shared" ref="E474:R474" si="166">100000/15</f>
        <v>6666.666666666667</v>
      </c>
      <c r="F474" s="698">
        <f t="shared" si="166"/>
        <v>6666.666666666667</v>
      </c>
      <c r="G474" s="698">
        <f t="shared" si="166"/>
        <v>6666.666666666667</v>
      </c>
      <c r="H474" s="698">
        <f t="shared" si="166"/>
        <v>6666.666666666667</v>
      </c>
      <c r="I474" s="698">
        <f t="shared" si="166"/>
        <v>6666.666666666667</v>
      </c>
      <c r="J474" s="698">
        <f t="shared" si="166"/>
        <v>6666.666666666667</v>
      </c>
      <c r="K474" s="698">
        <f t="shared" si="166"/>
        <v>6666.666666666667</v>
      </c>
      <c r="L474" s="698">
        <f t="shared" si="166"/>
        <v>6666.666666666667</v>
      </c>
      <c r="M474" s="698">
        <f t="shared" si="166"/>
        <v>6666.666666666667</v>
      </c>
      <c r="N474" s="698">
        <f t="shared" si="166"/>
        <v>6666.666666666667</v>
      </c>
      <c r="O474" s="698">
        <f t="shared" si="166"/>
        <v>6666.666666666667</v>
      </c>
      <c r="P474" s="698">
        <f t="shared" si="166"/>
        <v>6666.666666666667</v>
      </c>
      <c r="Q474" s="698">
        <f t="shared" si="166"/>
        <v>6666.666666666667</v>
      </c>
      <c r="R474" s="698">
        <f t="shared" si="166"/>
        <v>6666.666666666667</v>
      </c>
    </row>
    <row r="475" spans="2:20" x14ac:dyDescent="0.3">
      <c r="B475" s="463" t="s">
        <v>1320</v>
      </c>
      <c r="C475" s="699">
        <v>100000</v>
      </c>
      <c r="D475" s="700">
        <f t="shared" ref="D475:R475" si="167">+C475-D474</f>
        <v>93333.333333333328</v>
      </c>
      <c r="E475" s="700">
        <f t="shared" si="167"/>
        <v>86666.666666666657</v>
      </c>
      <c r="F475" s="700">
        <f t="shared" si="167"/>
        <v>79999.999999999985</v>
      </c>
      <c r="G475" s="700">
        <f t="shared" si="167"/>
        <v>73333.333333333314</v>
      </c>
      <c r="H475" s="700">
        <f t="shared" si="167"/>
        <v>66666.666666666642</v>
      </c>
      <c r="I475" s="700">
        <f t="shared" si="167"/>
        <v>59999.999999999978</v>
      </c>
      <c r="J475" s="700">
        <f t="shared" si="167"/>
        <v>53333.333333333314</v>
      </c>
      <c r="K475" s="700">
        <f t="shared" si="167"/>
        <v>46666.66666666665</v>
      </c>
      <c r="L475" s="700">
        <f t="shared" si="167"/>
        <v>39999.999999999985</v>
      </c>
      <c r="M475" s="700">
        <f t="shared" si="167"/>
        <v>33333.333333333321</v>
      </c>
      <c r="N475" s="700">
        <f t="shared" si="167"/>
        <v>26666.666666666653</v>
      </c>
      <c r="O475" s="700">
        <f t="shared" si="167"/>
        <v>19999.999999999985</v>
      </c>
      <c r="P475" s="700">
        <f t="shared" si="167"/>
        <v>13333.333333333318</v>
      </c>
      <c r="Q475" s="700">
        <f t="shared" si="167"/>
        <v>6666.6666666666506</v>
      </c>
      <c r="R475" s="700">
        <f t="shared" si="167"/>
        <v>-1.6370904631912708E-11</v>
      </c>
    </row>
    <row r="476" spans="2:20" x14ac:dyDescent="0.3">
      <c r="B476" s="463" t="s">
        <v>1321</v>
      </c>
      <c r="C476" s="697"/>
      <c r="D476" s="701">
        <f t="shared" ref="D476:R476" si="168">ROUND(C475*$D$472,2)</f>
        <v>3150</v>
      </c>
      <c r="E476" s="701">
        <f t="shared" si="168"/>
        <v>2940</v>
      </c>
      <c r="F476" s="701">
        <f t="shared" si="168"/>
        <v>2730</v>
      </c>
      <c r="G476" s="701">
        <f t="shared" si="168"/>
        <v>2520</v>
      </c>
      <c r="H476" s="701">
        <f t="shared" si="168"/>
        <v>2310</v>
      </c>
      <c r="I476" s="701">
        <f t="shared" si="168"/>
        <v>2100</v>
      </c>
      <c r="J476" s="701">
        <f t="shared" si="168"/>
        <v>1890</v>
      </c>
      <c r="K476" s="701">
        <f t="shared" si="168"/>
        <v>1680</v>
      </c>
      <c r="L476" s="701">
        <f t="shared" si="168"/>
        <v>1470</v>
      </c>
      <c r="M476" s="701">
        <f t="shared" si="168"/>
        <v>1260</v>
      </c>
      <c r="N476" s="701">
        <f t="shared" si="168"/>
        <v>1050</v>
      </c>
      <c r="O476" s="701">
        <f t="shared" si="168"/>
        <v>840</v>
      </c>
      <c r="P476" s="701">
        <f t="shared" si="168"/>
        <v>630</v>
      </c>
      <c r="Q476" s="701">
        <f t="shared" si="168"/>
        <v>420</v>
      </c>
      <c r="R476" s="701">
        <f t="shared" si="168"/>
        <v>210</v>
      </c>
    </row>
    <row r="477" spans="2:20" x14ac:dyDescent="0.3">
      <c r="B477" s="463" t="s">
        <v>1322</v>
      </c>
      <c r="C477" s="697"/>
      <c r="D477" s="700">
        <f>+D476+D474</f>
        <v>9816.6666666666679</v>
      </c>
      <c r="E477" s="700">
        <f t="shared" ref="E477:R477" si="169">+E476+E474</f>
        <v>9606.6666666666679</v>
      </c>
      <c r="F477" s="700">
        <f t="shared" si="169"/>
        <v>9396.6666666666679</v>
      </c>
      <c r="G477" s="700">
        <f t="shared" si="169"/>
        <v>9186.6666666666679</v>
      </c>
      <c r="H477" s="700">
        <f t="shared" si="169"/>
        <v>8976.6666666666679</v>
      </c>
      <c r="I477" s="700">
        <f t="shared" si="169"/>
        <v>8766.6666666666679</v>
      </c>
      <c r="J477" s="700">
        <f t="shared" si="169"/>
        <v>8556.6666666666679</v>
      </c>
      <c r="K477" s="700">
        <f t="shared" si="169"/>
        <v>8346.6666666666679</v>
      </c>
      <c r="L477" s="700">
        <f t="shared" si="169"/>
        <v>8136.666666666667</v>
      </c>
      <c r="M477" s="700">
        <f t="shared" si="169"/>
        <v>7926.666666666667</v>
      </c>
      <c r="N477" s="700">
        <f t="shared" si="169"/>
        <v>7716.666666666667</v>
      </c>
      <c r="O477" s="700">
        <f t="shared" si="169"/>
        <v>7506.666666666667</v>
      </c>
      <c r="P477" s="700">
        <f t="shared" si="169"/>
        <v>7296.666666666667</v>
      </c>
      <c r="Q477" s="700">
        <f t="shared" si="169"/>
        <v>7086.666666666667</v>
      </c>
      <c r="R477" s="700">
        <f t="shared" si="169"/>
        <v>6876.666666666667</v>
      </c>
    </row>
    <row r="478" spans="2:20" x14ac:dyDescent="0.3">
      <c r="B478" s="463" t="s">
        <v>1323</v>
      </c>
      <c r="C478" s="699"/>
      <c r="D478" s="700">
        <f t="shared" ref="D478:R478" si="170">+IF(D473&gt;$C$1,D477,0)</f>
        <v>0</v>
      </c>
      <c r="E478" s="700">
        <f t="shared" si="170"/>
        <v>0</v>
      </c>
      <c r="F478" s="700">
        <f t="shared" si="170"/>
        <v>0</v>
      </c>
      <c r="G478" s="700">
        <f t="shared" si="170"/>
        <v>0</v>
      </c>
      <c r="H478" s="700">
        <f t="shared" si="170"/>
        <v>8976.6666666666679</v>
      </c>
      <c r="I478" s="700">
        <f t="shared" si="170"/>
        <v>8766.6666666666679</v>
      </c>
      <c r="J478" s="700">
        <f t="shared" si="170"/>
        <v>8556.6666666666679</v>
      </c>
      <c r="K478" s="700">
        <f t="shared" si="170"/>
        <v>8346.6666666666679</v>
      </c>
      <c r="L478" s="700">
        <f t="shared" si="170"/>
        <v>8136.666666666667</v>
      </c>
      <c r="M478" s="700">
        <f t="shared" si="170"/>
        <v>7926.666666666667</v>
      </c>
      <c r="N478" s="700">
        <f t="shared" si="170"/>
        <v>7716.666666666667</v>
      </c>
      <c r="O478" s="700">
        <f t="shared" si="170"/>
        <v>7506.666666666667</v>
      </c>
      <c r="P478" s="700">
        <f t="shared" si="170"/>
        <v>7296.666666666667</v>
      </c>
      <c r="Q478" s="700">
        <f t="shared" si="170"/>
        <v>7086.666666666667</v>
      </c>
      <c r="R478" s="700">
        <f t="shared" si="170"/>
        <v>6876.666666666667</v>
      </c>
    </row>
    <row r="479" spans="2:20" x14ac:dyDescent="0.3">
      <c r="B479" s="463" t="s">
        <v>1324</v>
      </c>
      <c r="C479" s="702"/>
      <c r="D479" s="703">
        <f t="shared" ref="D479:R479" si="171">ROUND(IF(C478=0,(D473-$C$1)/(D473-C473),C479+1),10)</f>
        <v>-3.4520547945</v>
      </c>
      <c r="E479" s="824">
        <f t="shared" si="171"/>
        <v>-2.4520547945</v>
      </c>
      <c r="F479" s="703">
        <f t="shared" si="171"/>
        <v>-1.4453551913</v>
      </c>
      <c r="G479" s="703">
        <f t="shared" si="171"/>
        <v>-0.44931506850000003</v>
      </c>
      <c r="H479" s="1357">
        <f t="shared" si="171"/>
        <v>0.55068493149999997</v>
      </c>
      <c r="I479" s="703">
        <f t="shared" si="171"/>
        <v>1.5506849315</v>
      </c>
      <c r="J479" s="703">
        <f t="shared" si="171"/>
        <v>2.5506849315000002</v>
      </c>
      <c r="K479" s="703">
        <f t="shared" si="171"/>
        <v>3.5506849315000002</v>
      </c>
      <c r="L479" s="703">
        <f t="shared" si="171"/>
        <v>4.5506849315000002</v>
      </c>
      <c r="M479" s="703">
        <f t="shared" si="171"/>
        <v>5.5506849315000002</v>
      </c>
      <c r="N479" s="703">
        <f t="shared" si="171"/>
        <v>6.5506849315000002</v>
      </c>
      <c r="O479" s="703">
        <f t="shared" si="171"/>
        <v>7.5506849315000002</v>
      </c>
      <c r="P479" s="703">
        <f t="shared" si="171"/>
        <v>8.5506849314999993</v>
      </c>
      <c r="Q479" s="703">
        <f t="shared" si="171"/>
        <v>9.5506849314999993</v>
      </c>
      <c r="R479" s="1021">
        <f t="shared" si="171"/>
        <v>10.550684931499999</v>
      </c>
    </row>
    <row r="480" spans="2:20" x14ac:dyDescent="0.3">
      <c r="B480" s="463" t="s">
        <v>1325</v>
      </c>
      <c r="C480" s="697"/>
      <c r="D480" s="704" cm="1">
        <f t="array" ref="D480">IF((D473-$C$1)&lt;=366,interpoler(mat_court,taux_court_act,(D473-$C$1)),interpoler(CIH!$K$72:$K$103,CIH!$L$72:$L$103,D479))</f>
        <v>2.3281430422376737E-2</v>
      </c>
      <c r="E480" s="704" cm="1">
        <f t="array" ref="E480">IF((E473-$C$1)&lt;=366,interpoler(mat_court,taux_court_act,(E473-$C$1)),interpoler(CIH!$K$72:$K$103,CIH!$L$72:$L$103,E479))</f>
        <v>2.3281430422376737E-2</v>
      </c>
      <c r="F480" s="704" cm="1">
        <f t="array" ref="F480">IF((F473-$C$1)&lt;=366,interpoler(mat_court,taux_court_act,(F473-$C$1)),interpoler(CIH!$K$72:$K$103,CIH!$L$72:$L$103,F479))</f>
        <v>2.3281430422376737E-2</v>
      </c>
      <c r="G480" s="704" cm="1">
        <f t="array" ref="G480">IF((G473-$C$1)&lt;=366,interpoler(mat_court,taux_court_act,(G473-$C$1)),interpoler(CIH!$K$72:$K$103,CIH!$L$72:$L$103,G479))</f>
        <v>2.3281430422376737E-2</v>
      </c>
      <c r="H480" s="704" cm="1">
        <f t="array" ref="H480">IF((H473-$C$1)&lt;=366,interpoler(mat_court,taux_court_act,(H473-$C$1)),interpoler(CIH!$K$72:$K$103,CIH!$L$72:$L$103,H479))</f>
        <v>2.4233616623455204E-2</v>
      </c>
      <c r="I480" s="704" cm="1">
        <f t="array" ref="I480">IF((I473-$C$1)&lt;=366,interpoler(mat_court,taux_court_act,(I473-$C$1)),interpoler(CIH!$K$72:$K$103,CIH!$L$72:$L$103,I479))</f>
        <v>2.6003998335879769E-2</v>
      </c>
      <c r="J480" s="704" cm="1">
        <f t="array" ref="J480">IF((J473-$C$1)&lt;=366,interpoler(mat_court,taux_court_act,(J473-$C$1)),interpoler(CIH!$K$72:$K$103,CIH!$L$72:$L$103,J479))</f>
        <v>2.7558405078619487E-2</v>
      </c>
      <c r="K480" s="704" cm="1">
        <f t="array" ref="K480">IF((K473-$C$1)&lt;=366,interpoler(mat_court,taux_court_act,(K473-$C$1)),interpoler(CIH!$K$72:$K$103,CIH!$L$72:$L$103,K479))</f>
        <v>2.912433646081113E-2</v>
      </c>
      <c r="L480" s="704" cm="1">
        <f t="array" ref="L480">IF((L473-$C$1)&lt;=366,interpoler(mat_court,taux_court_act,(L473-$C$1)),interpoler(CIH!$K$72:$K$103,CIH!$L$72:$L$103,L479))</f>
        <v>3.0425157537252896E-2</v>
      </c>
      <c r="M480" s="704" cm="1">
        <f t="array" ref="M480">IF((M473-$C$1)&lt;=366,interpoler(mat_court,taux_court_act,(M473-$C$1)),interpoler(CIH!$K$72:$K$103,CIH!$L$72:$L$103,M479))</f>
        <v>3.1197760417256686E-2</v>
      </c>
      <c r="N480" s="704" cm="1">
        <f t="array" ref="N480">IF((N473-$C$1)&lt;=366,interpoler(mat_court,taux_court_act,(N473-$C$1)),interpoler(CIH!$K$72:$K$103,CIH!$L$72:$L$103,N479))</f>
        <v>3.1710728127667787E-2</v>
      </c>
      <c r="O480" s="704" cm="1">
        <f t="array" ref="O480">IF((O473-$C$1)&lt;=366,interpoler(mat_court,taux_court_act,(O473-$C$1)),interpoler(CIH!$K$72:$K$103,CIH!$L$72:$L$103,O479))</f>
        <v>3.2220168264380046E-2</v>
      </c>
      <c r="P480" s="704" cm="1">
        <f t="array" ref="P480">IF((P473-$C$1)&lt;=366,interpoler(mat_court,taux_court_act,(P473-$C$1)),interpoler(CIH!$K$72:$K$103,CIH!$L$72:$L$103,P479))</f>
        <v>3.2739474962736138E-2</v>
      </c>
      <c r="Q480" s="704" cm="1">
        <f t="array" ref="Q480">IF((Q473-$C$1)&lt;=366,interpoler(mat_court,taux_court_act,(Q473-$C$1)),interpoler(CIH!$K$72:$K$103,CIH!$L$72:$L$103,Q479))</f>
        <v>3.3311737555064301E-2</v>
      </c>
      <c r="R480" s="704" cm="1">
        <f t="array" ref="R480">IF((R473-$C$1)&lt;=366,interpoler(mat_court,taux_court_act,(R473-$C$1)),interpoler(CIH!$K$72:$K$103,CIH!$L$72:$L$103,R479))</f>
        <v>3.394166947972161E-2</v>
      </c>
      <c r="S480" s="704"/>
      <c r="T480" s="704"/>
    </row>
    <row r="481" spans="2:18" x14ac:dyDescent="0.3">
      <c r="B481" s="463" t="s">
        <v>1328</v>
      </c>
      <c r="C481" s="697"/>
      <c r="D481" s="705">
        <v>8.0000000000000002E-3</v>
      </c>
      <c r="E481" s="705">
        <v>8.0000000000000002E-3</v>
      </c>
      <c r="F481" s="705">
        <v>8.0000000000000002E-3</v>
      </c>
      <c r="G481" s="705">
        <v>8.0000000000000002E-3</v>
      </c>
      <c r="H481" s="705">
        <v>8.0000000000000002E-3</v>
      </c>
      <c r="I481" s="705">
        <v>8.0000000000000002E-3</v>
      </c>
      <c r="J481" s="705">
        <v>8.0000000000000002E-3</v>
      </c>
      <c r="K481" s="705">
        <v>8.0000000000000002E-3</v>
      </c>
      <c r="L481" s="705">
        <v>8.0000000000000002E-3</v>
      </c>
      <c r="M481" s="705">
        <v>8.0000000000000002E-3</v>
      </c>
      <c r="N481" s="705">
        <v>8.0000000000000002E-3</v>
      </c>
      <c r="O481" s="705">
        <v>8.0000000000000002E-3</v>
      </c>
      <c r="P481" s="705">
        <v>8.0000000000000002E-3</v>
      </c>
      <c r="Q481" s="705">
        <v>8.0000000000000002E-3</v>
      </c>
      <c r="R481" s="705">
        <v>8.0000000000000002E-3</v>
      </c>
    </row>
    <row r="482" spans="2:18" x14ac:dyDescent="0.3">
      <c r="B482" s="463" t="s">
        <v>1329</v>
      </c>
      <c r="C482" s="697"/>
      <c r="D482" s="706">
        <f t="shared" ref="D482:R482" si="172">ROUND(D480+D481,5)</f>
        <v>3.1280000000000002E-2</v>
      </c>
      <c r="E482" s="706">
        <f t="shared" si="172"/>
        <v>3.1280000000000002E-2</v>
      </c>
      <c r="F482" s="706">
        <f t="shared" si="172"/>
        <v>3.1280000000000002E-2</v>
      </c>
      <c r="G482" s="706">
        <f t="shared" si="172"/>
        <v>3.1280000000000002E-2</v>
      </c>
      <c r="H482" s="706">
        <f t="shared" si="172"/>
        <v>3.2230000000000002E-2</v>
      </c>
      <c r="I482" s="706">
        <f t="shared" si="172"/>
        <v>3.4000000000000002E-2</v>
      </c>
      <c r="J482" s="706">
        <f t="shared" si="172"/>
        <v>3.5560000000000001E-2</v>
      </c>
      <c r="K482" s="706">
        <f t="shared" si="172"/>
        <v>3.712E-2</v>
      </c>
      <c r="L482" s="706">
        <f t="shared" si="172"/>
        <v>3.8429999999999999E-2</v>
      </c>
      <c r="M482" s="706">
        <f t="shared" si="172"/>
        <v>3.9199999999999999E-2</v>
      </c>
      <c r="N482" s="706">
        <f t="shared" si="172"/>
        <v>3.9710000000000002E-2</v>
      </c>
      <c r="O482" s="706">
        <f t="shared" si="172"/>
        <v>4.0219999999999999E-2</v>
      </c>
      <c r="P482" s="706">
        <f t="shared" si="172"/>
        <v>4.0739999999999998E-2</v>
      </c>
      <c r="Q482" s="706">
        <f t="shared" si="172"/>
        <v>4.1309999999999999E-2</v>
      </c>
      <c r="R482" s="706">
        <f t="shared" si="172"/>
        <v>4.1939999999999998E-2</v>
      </c>
    </row>
    <row r="483" spans="2:18" x14ac:dyDescent="0.3">
      <c r="B483" s="463"/>
      <c r="C483" s="697"/>
      <c r="D483" s="700">
        <f t="shared" ref="D483:R483" si="173">ROUND(D478/(1+D482)^D479,4)</f>
        <v>0</v>
      </c>
      <c r="E483" s="771">
        <f t="shared" si="173"/>
        <v>0</v>
      </c>
      <c r="F483" s="700">
        <f t="shared" si="173"/>
        <v>0</v>
      </c>
      <c r="G483" s="700">
        <f t="shared" si="173"/>
        <v>0</v>
      </c>
      <c r="H483" s="1016">
        <f t="shared" si="173"/>
        <v>8821.2188999999998</v>
      </c>
      <c r="I483" s="700">
        <f t="shared" si="173"/>
        <v>8323.7248</v>
      </c>
      <c r="J483" s="700">
        <f t="shared" si="173"/>
        <v>7827.0352000000003</v>
      </c>
      <c r="K483" s="700">
        <f t="shared" si="173"/>
        <v>7333.4654</v>
      </c>
      <c r="L483" s="700">
        <f t="shared" si="173"/>
        <v>6853.6027000000004</v>
      </c>
      <c r="M483" s="700">
        <f t="shared" si="173"/>
        <v>6403.2276000000002</v>
      </c>
      <c r="N483" s="700">
        <f t="shared" si="173"/>
        <v>5979.2003999999997</v>
      </c>
      <c r="O483" s="700">
        <f t="shared" si="173"/>
        <v>5573.6558000000005</v>
      </c>
      <c r="P483" s="700">
        <f t="shared" si="173"/>
        <v>5186.0466999999999</v>
      </c>
      <c r="Q483" s="700">
        <f t="shared" si="173"/>
        <v>4814.3824999999997</v>
      </c>
      <c r="R483" s="771">
        <f t="shared" si="173"/>
        <v>4457.8468999999996</v>
      </c>
    </row>
    <row r="484" spans="2:18" x14ac:dyDescent="0.3">
      <c r="B484" s="367"/>
      <c r="C484" s="367"/>
      <c r="D484" s="488"/>
      <c r="E484" s="488"/>
      <c r="F484" s="488"/>
      <c r="G484" s="488"/>
      <c r="H484" s="488"/>
      <c r="I484" s="488"/>
      <c r="J484" s="488"/>
      <c r="K484" s="488"/>
      <c r="L484" s="488"/>
      <c r="M484" s="488"/>
    </row>
    <row r="485" spans="2:18" x14ac:dyDescent="0.3">
      <c r="B485" s="585" t="s">
        <v>650</v>
      </c>
      <c r="C485" s="586">
        <f>+SUM(D483:AB483)</f>
        <v>71573.406900000002</v>
      </c>
      <c r="D485" s="500"/>
      <c r="E485" s="430"/>
      <c r="F485" s="361"/>
      <c r="G485" s="365"/>
      <c r="H485" s="365"/>
      <c r="I485" s="365"/>
      <c r="J485" s="365"/>
      <c r="K485" s="365"/>
      <c r="L485" s="365"/>
      <c r="M485" s="365"/>
    </row>
    <row r="486" spans="2:18" x14ac:dyDescent="0.3">
      <c r="B486" s="585" t="s">
        <v>1331</v>
      </c>
      <c r="C486" s="586">
        <f>+SUMPRODUCT(D479:AG479,D483:AG483)/C485</f>
        <v>4.8776526100498936</v>
      </c>
      <c r="D486" s="365"/>
      <c r="E486" s="365"/>
      <c r="F486" s="361"/>
      <c r="G486" s="363"/>
      <c r="H486" s="363"/>
      <c r="I486" s="363"/>
      <c r="J486" s="363"/>
      <c r="K486" s="363"/>
      <c r="L486" s="363"/>
      <c r="M486" s="363"/>
    </row>
    <row r="494" spans="2:18" s="462" customFormat="1" x14ac:dyDescent="0.3">
      <c r="B494" s="584" t="s">
        <v>1649</v>
      </c>
      <c r="C494" s="584">
        <v>9532</v>
      </c>
      <c r="D494" s="575"/>
      <c r="E494"/>
      <c r="F494"/>
      <c r="G494"/>
    </row>
    <row r="495" spans="2:18" x14ac:dyDescent="0.3">
      <c r="B495" s="364"/>
      <c r="C495" s="364" t="s">
        <v>105</v>
      </c>
      <c r="D495" s="365">
        <v>2.1999999999999999E-2</v>
      </c>
      <c r="E495" s="365">
        <v>2.5100000000000001E-2</v>
      </c>
      <c r="F495" s="365">
        <v>3.6999999999999998E-2</v>
      </c>
      <c r="G495" s="365">
        <v>3.4200000000000001E-2</v>
      </c>
      <c r="H495" s="721">
        <v>2.9499999999999998E-2</v>
      </c>
    </row>
    <row r="496" spans="2:18" x14ac:dyDescent="0.3">
      <c r="B496" s="363"/>
      <c r="C496" s="366">
        <v>44573</v>
      </c>
      <c r="D496" s="366">
        <v>44938</v>
      </c>
      <c r="E496" s="366">
        <v>45303</v>
      </c>
      <c r="F496" s="366">
        <v>45669</v>
      </c>
      <c r="G496" s="366">
        <v>46034</v>
      </c>
      <c r="H496" s="366">
        <v>46399</v>
      </c>
      <c r="I496" s="366">
        <v>46764</v>
      </c>
      <c r="J496" s="366">
        <v>47130</v>
      </c>
      <c r="K496" s="366">
        <v>47495</v>
      </c>
      <c r="L496" s="366">
        <v>47860</v>
      </c>
      <c r="M496" s="366">
        <v>48225</v>
      </c>
      <c r="N496" s="366">
        <v>48591</v>
      </c>
      <c r="O496" s="366">
        <v>48956</v>
      </c>
      <c r="P496" s="366">
        <v>49321</v>
      </c>
      <c r="Q496" s="366">
        <v>49686</v>
      </c>
      <c r="R496" s="366">
        <v>50052</v>
      </c>
    </row>
    <row r="497" spans="2:18" x14ac:dyDescent="0.3">
      <c r="B497" s="463" t="s">
        <v>1318</v>
      </c>
      <c r="C497" s="367"/>
      <c r="D497" s="534">
        <f>ROUND(100000/15,2)</f>
        <v>6666.67</v>
      </c>
      <c r="E497" s="534">
        <f>ROUND(100000/15,2)</f>
        <v>6666.67</v>
      </c>
      <c r="F497" s="534">
        <f>ROUND(100000/15,2)</f>
        <v>6666.67</v>
      </c>
      <c r="G497" s="534">
        <f>ROUND(100000/15,2)</f>
        <v>6666.67</v>
      </c>
      <c r="H497" s="534">
        <f>ROUND(100000/15,2)</f>
        <v>6666.67</v>
      </c>
      <c r="I497" s="534"/>
      <c r="J497" s="534"/>
      <c r="K497" s="534"/>
      <c r="L497" s="534"/>
      <c r="M497" s="534"/>
      <c r="N497" s="534"/>
      <c r="O497" s="534"/>
      <c r="P497" s="534"/>
      <c r="Q497" s="534"/>
      <c r="R497" s="534"/>
    </row>
    <row r="498" spans="2:18" x14ac:dyDescent="0.3">
      <c r="B498" s="463" t="s">
        <v>1320</v>
      </c>
      <c r="C498" s="368">
        <v>100000</v>
      </c>
      <c r="D498" s="773">
        <f>ROUND(C498-D497,2)</f>
        <v>93333.33</v>
      </c>
      <c r="E498" s="773">
        <f>ROUND(D498-D497,2)</f>
        <v>86666.66</v>
      </c>
      <c r="F498" s="773">
        <f>ROUND(E498-E497,2)</f>
        <v>79999.990000000005</v>
      </c>
      <c r="G498" s="773">
        <f>ROUND(F498-F497,2)</f>
        <v>73333.320000000007</v>
      </c>
      <c r="H498" s="773">
        <f>ROUND(G498-G497,2)</f>
        <v>66666.649999999994</v>
      </c>
    </row>
    <row r="499" spans="2:18" x14ac:dyDescent="0.3">
      <c r="B499" s="463" t="s">
        <v>1321</v>
      </c>
      <c r="C499" s="367"/>
      <c r="D499" s="954">
        <f>ROUND(C498*$D$495*(D496-C496)/360,2)</f>
        <v>2230.56</v>
      </c>
      <c r="E499" s="954">
        <f>ROUND(D498*$E$495*(E496-D496)/360,2)</f>
        <v>2375.1999999999998</v>
      </c>
      <c r="F499" s="954">
        <f>ROUND(E498*$F$495*(F496-E496)/360,2)</f>
        <v>3260.11</v>
      </c>
      <c r="G499" s="954">
        <f>ROUND(F498*$G$495*(G496-F496)/360,2)</f>
        <v>2774</v>
      </c>
      <c r="H499" s="954">
        <f>ROUND(G498*$H$495*(H496-G496)/360,2)</f>
        <v>2193.38</v>
      </c>
    </row>
    <row r="500" spans="2:18" x14ac:dyDescent="0.3">
      <c r="B500" s="463" t="s">
        <v>1322</v>
      </c>
      <c r="C500" s="367"/>
      <c r="D500" s="488">
        <f>ROUND(D499+D497,4)</f>
        <v>8897.23</v>
      </c>
      <c r="E500" s="488">
        <f>ROUND(E499+E497,4)</f>
        <v>9041.8700000000008</v>
      </c>
      <c r="F500" s="488">
        <f>ROUND(F499+F497,4)</f>
        <v>9926.7800000000007</v>
      </c>
      <c r="G500" s="488">
        <f>ROUND(G499+G497,4)</f>
        <v>9440.67</v>
      </c>
      <c r="H500" s="488">
        <f>ROUND(H499+H497,4)</f>
        <v>8860.0499999999993</v>
      </c>
    </row>
    <row r="501" spans="2:18" x14ac:dyDescent="0.3">
      <c r="B501" s="463" t="s">
        <v>1323</v>
      </c>
      <c r="C501" s="368"/>
      <c r="D501" s="488">
        <f>+IF(D496&gt;$C$1,D500,0)</f>
        <v>0</v>
      </c>
      <c r="E501" s="488">
        <f>+IF(E496&gt;$C$1,E500,0)</f>
        <v>0</v>
      </c>
      <c r="F501" s="488">
        <f>+IF(F496&gt;$C$1,F500,0)</f>
        <v>0</v>
      </c>
      <c r="G501" s="488">
        <f>+IF(G496&gt;$C$1,G500,0)</f>
        <v>0</v>
      </c>
      <c r="H501" s="488">
        <f>+IF(H496&gt;$C$1,H500,0)</f>
        <v>8860.0499999999993</v>
      </c>
    </row>
    <row r="502" spans="2:18" x14ac:dyDescent="0.3">
      <c r="B502" s="463" t="s">
        <v>1324</v>
      </c>
      <c r="C502" s="496"/>
      <c r="D502" s="852">
        <f>ROUND((D496-$C$1)/360,10)</f>
        <v>-3.2472222222</v>
      </c>
      <c r="E502" s="852">
        <f>ROUND((E496-$C$1)/360,10)</f>
        <v>-2.2333333333000001</v>
      </c>
      <c r="F502" s="852">
        <f>ROUND((F496-$C$1)/360,10)</f>
        <v>-1.2166666666999999</v>
      </c>
      <c r="G502" s="852">
        <f>ROUND((G496-$C$1)/360,10)</f>
        <v>-0.2027777778</v>
      </c>
      <c r="H502" s="852">
        <f>ROUND((H496-$C$1)/360,10)</f>
        <v>0.8111111111</v>
      </c>
    </row>
    <row r="503" spans="2:18" x14ac:dyDescent="0.3">
      <c r="B503" s="463" t="s">
        <v>1325</v>
      </c>
      <c r="C503" s="367"/>
      <c r="D503" s="439" cm="1">
        <f t="array" ref="D503">ROUND(IF((D496-$C$1)&lt;=365,interpoler(_mat1,taux1,(D496-$C$1)),interpoler(_mat2,taux2,D502*365)),5)</f>
        <v>2.2700000000000001E-2</v>
      </c>
      <c r="E503" s="439" cm="1">
        <f t="array" ref="E503">ROUND(IF((E496-$C$1)&lt;=365,interpoler(_mat1,taux1,(E496-$C$1)),interpoler(_mat2,taux2,E502*365)),5)</f>
        <v>2.2700000000000001E-2</v>
      </c>
      <c r="F503" s="439" cm="1">
        <f t="array" ref="F503">ROUND(IF((F496-$C$1)&lt;=366,interpoler(_mat1,taux1,(F496-$C$1)),interpoler(_mat2,taux2,F502*366)),5)</f>
        <v>2.2700000000000001E-2</v>
      </c>
      <c r="G503" s="439" cm="1">
        <f t="array" ref="G503">ROUND(IF((G496-$C$1)&lt;=366,interpoler(_mat1,taux1,(G496-$C$1)),interpoler(_mat2,taux2,G502*366)),5)</f>
        <v>2.2700000000000001E-2</v>
      </c>
      <c r="H503" s="439" cm="1">
        <f t="array" ref="H503">ROUND(IF((H496-$C$1)&lt;=366,interpoler(_mat1,taux1,(H496-$C$1)),interpoler(_mat2,taux2,H502*366)),5)</f>
        <v>2.4379999999999999E-2</v>
      </c>
      <c r="I503" s="462"/>
    </row>
    <row r="504" spans="2:18" x14ac:dyDescent="0.3">
      <c r="B504" s="463" t="s">
        <v>1328</v>
      </c>
      <c r="C504" s="367"/>
      <c r="D504" s="429">
        <v>6.0400000000000002E-3</v>
      </c>
      <c r="E504" s="429">
        <v>6.0400000000000002E-3</v>
      </c>
      <c r="F504" s="429">
        <v>6.0400000000000002E-3</v>
      </c>
      <c r="G504" s="429">
        <v>6.0400000000000002E-3</v>
      </c>
      <c r="H504" s="429">
        <v>6.0400000000000002E-3</v>
      </c>
    </row>
    <row r="505" spans="2:18" x14ac:dyDescent="0.3">
      <c r="B505" s="463" t="s">
        <v>1329</v>
      </c>
      <c r="C505" s="367"/>
      <c r="D505" s="826">
        <f>ROUND((D503+D504),5)</f>
        <v>2.8740000000000002E-2</v>
      </c>
      <c r="E505" s="826">
        <f>ROUND((E503+E504),5)</f>
        <v>2.8740000000000002E-2</v>
      </c>
      <c r="F505" s="826">
        <f>ROUND((F503+F504),5)</f>
        <v>2.8740000000000002E-2</v>
      </c>
      <c r="G505" s="826">
        <f>ROUND((G503+G504),5)</f>
        <v>2.8740000000000002E-2</v>
      </c>
      <c r="H505" s="826">
        <f>ROUND((H503+H504),5)</f>
        <v>3.0419999999999999E-2</v>
      </c>
      <c r="I505" s="462"/>
    </row>
    <row r="506" spans="2:18" x14ac:dyDescent="0.3">
      <c r="B506" s="463"/>
      <c r="C506" s="367"/>
      <c r="D506" s="624">
        <f>ROUND((D501+D498)/(1+D505*D502),4)</f>
        <v>102940.24559999999</v>
      </c>
      <c r="E506" s="624">
        <f>ROUND((E501+E498)/(1+E505*E502),4)</f>
        <v>92610.988899999997</v>
      </c>
      <c r="F506" s="624">
        <f>ROUND((F501+F498)/(1+F505*F502),4)</f>
        <v>82898.709199999998</v>
      </c>
      <c r="G506" s="624">
        <f>ROUND((G501+G498)/(1+G505*G502),4)</f>
        <v>73763.199600000007</v>
      </c>
      <c r="H506" s="624">
        <f>ROUND((H501+H498)/(1+H505*H502),4)</f>
        <v>73708.028099999996</v>
      </c>
    </row>
    <row r="507" spans="2:18" x14ac:dyDescent="0.3">
      <c r="B507" s="367"/>
      <c r="C507" s="367"/>
      <c r="D507" s="488"/>
      <c r="E507" s="488"/>
      <c r="F507" s="488"/>
      <c r="G507" s="488"/>
      <c r="I507" s="615"/>
    </row>
    <row r="508" spans="2:18" x14ac:dyDescent="0.3">
      <c r="B508" s="585" t="s">
        <v>650</v>
      </c>
      <c r="C508" s="872">
        <f>+H506</f>
        <v>73708.028099999996</v>
      </c>
      <c r="D508" s="500"/>
      <c r="E508" s="430"/>
      <c r="F508" s="361"/>
      <c r="G508" s="365"/>
      <c r="I508" s="462"/>
    </row>
    <row r="509" spans="2:18" x14ac:dyDescent="0.3">
      <c r="B509" s="585" t="s">
        <v>1331</v>
      </c>
      <c r="C509" s="827">
        <f>+SUMPRODUCT(D502:AG502,D506:AG506)/C508</f>
        <v>-8.1013331970620648</v>
      </c>
      <c r="D509" s="365"/>
      <c r="E509" s="365"/>
      <c r="F509" s="361"/>
      <c r="G509" s="363"/>
      <c r="I509" s="462"/>
    </row>
    <row r="510" spans="2:18" x14ac:dyDescent="0.3">
      <c r="H510" s="911"/>
    </row>
    <row r="517" spans="2:13" s="462" customFormat="1" ht="13.5" customHeight="1" x14ac:dyDescent="0.3">
      <c r="B517" s="584" t="s">
        <v>367</v>
      </c>
      <c r="C517" s="584">
        <v>5129</v>
      </c>
      <c r="D517" s="575"/>
      <c r="E517"/>
      <c r="F517"/>
      <c r="G517"/>
    </row>
    <row r="518" spans="2:13" x14ac:dyDescent="0.3">
      <c r="B518" s="364"/>
      <c r="C518" s="364" t="s">
        <v>105</v>
      </c>
      <c r="D518" s="365">
        <v>2.1000000000000001E-2</v>
      </c>
      <c r="E518" s="365"/>
      <c r="F518" s="361"/>
      <c r="G518" s="363"/>
    </row>
    <row r="519" spans="2:13" x14ac:dyDescent="0.3">
      <c r="B519" s="363"/>
      <c r="C519" s="366">
        <v>44210</v>
      </c>
      <c r="D519" s="366">
        <v>44897</v>
      </c>
      <c r="E519" s="366">
        <v>45262</v>
      </c>
      <c r="F519" s="366">
        <v>45628</v>
      </c>
      <c r="G519" s="366">
        <v>45993</v>
      </c>
      <c r="H519" s="366">
        <v>46358</v>
      </c>
      <c r="I519" s="366">
        <v>46723</v>
      </c>
      <c r="J519" s="366">
        <v>47089</v>
      </c>
      <c r="K519" s="366">
        <v>47454</v>
      </c>
      <c r="L519" s="366">
        <v>47819</v>
      </c>
      <c r="M519" s="366">
        <v>48184</v>
      </c>
    </row>
    <row r="520" spans="2:13" x14ac:dyDescent="0.3">
      <c r="B520" s="463" t="s">
        <v>1318</v>
      </c>
      <c r="C520" s="367"/>
      <c r="D520" s="534">
        <v>0</v>
      </c>
      <c r="E520" s="534">
        <v>0</v>
      </c>
      <c r="F520" s="534">
        <v>0</v>
      </c>
      <c r="G520" s="534">
        <v>0</v>
      </c>
      <c r="H520" s="534">
        <v>0</v>
      </c>
      <c r="I520" s="534">
        <v>0</v>
      </c>
      <c r="J520" s="534">
        <v>0</v>
      </c>
      <c r="K520" s="534">
        <v>0</v>
      </c>
      <c r="L520" s="534">
        <v>0</v>
      </c>
      <c r="M520" s="534">
        <v>100000</v>
      </c>
    </row>
    <row r="521" spans="2:13" x14ac:dyDescent="0.3">
      <c r="B521" s="463" t="s">
        <v>1320</v>
      </c>
      <c r="C521" s="368">
        <v>100000</v>
      </c>
      <c r="D521" s="488">
        <f>+C521-D520</f>
        <v>100000</v>
      </c>
      <c r="E521" s="488"/>
      <c r="F521" s="488"/>
      <c r="G521" s="488"/>
      <c r="H521" s="488"/>
    </row>
    <row r="522" spans="2:13" x14ac:dyDescent="0.3">
      <c r="B522" s="463" t="s">
        <v>1321</v>
      </c>
      <c r="C522" s="367"/>
      <c r="D522" s="654">
        <f>ROUND(C521*$D$495*(D519-C519)/365,2)</f>
        <v>4140.82</v>
      </c>
      <c r="E522" s="654">
        <f>+D518*(D519-C519)/360*C521</f>
        <v>4007.5000000000005</v>
      </c>
      <c r="F522" s="654"/>
      <c r="G522" s="654"/>
      <c r="H522" s="654"/>
    </row>
    <row r="523" spans="2:13" x14ac:dyDescent="0.3">
      <c r="B523" s="463" t="s">
        <v>1322</v>
      </c>
      <c r="C523" s="367"/>
      <c r="D523" s="488">
        <f>+D522+D520</f>
        <v>4140.82</v>
      </c>
      <c r="E523" s="488"/>
      <c r="F523" s="488"/>
      <c r="G523" s="488"/>
      <c r="H523" s="488"/>
    </row>
    <row r="524" spans="2:13" x14ac:dyDescent="0.3">
      <c r="B524" s="463" t="s">
        <v>1323</v>
      </c>
      <c r="C524" s="368"/>
      <c r="D524" s="488">
        <f>+IF(D519&gt;$C$1,D523,0)</f>
        <v>0</v>
      </c>
      <c r="E524" s="488"/>
      <c r="F524" s="488"/>
      <c r="G524" s="488"/>
      <c r="H524" s="488"/>
    </row>
    <row r="525" spans="2:13" x14ac:dyDescent="0.3">
      <c r="B525" s="463" t="s">
        <v>1324</v>
      </c>
      <c r="C525" s="496"/>
      <c r="D525" s="784">
        <f>ROUND(((D519-$C$1)/360),4)</f>
        <v>-3.3611</v>
      </c>
      <c r="E525" s="457">
        <f>D519-$C$1</f>
        <v>-1210</v>
      </c>
      <c r="F525" s="457"/>
      <c r="G525" s="457"/>
      <c r="H525" s="457"/>
    </row>
    <row r="526" spans="2:13" x14ac:dyDescent="0.3">
      <c r="B526" s="463" t="s">
        <v>1325</v>
      </c>
      <c r="C526" s="367"/>
      <c r="D526" s="439" cm="1">
        <f t="array" ref="D526">ROUND(IF((D519-$C$1)&lt;=365,interpoler(_mat1,taux1,(D519-$C$1)),interpoler(_mat2,taux2,D525*365)),5)</f>
        <v>2.2700000000000001E-2</v>
      </c>
      <c r="E526" s="375"/>
      <c r="F526" s="375"/>
      <c r="G526" s="375"/>
      <c r="H526" s="375"/>
      <c r="I526" s="462"/>
    </row>
    <row r="527" spans="2:13" x14ac:dyDescent="0.3">
      <c r="B527" s="463" t="s">
        <v>1328</v>
      </c>
      <c r="C527" s="367"/>
      <c r="D527" s="429">
        <v>3.1099999999999999E-2</v>
      </c>
      <c r="E527" s="429"/>
      <c r="F527" s="429"/>
      <c r="G527" s="429"/>
      <c r="H527" s="429"/>
    </row>
    <row r="528" spans="2:13" x14ac:dyDescent="0.3">
      <c r="B528" s="463" t="s">
        <v>1329</v>
      </c>
      <c r="C528" s="367"/>
      <c r="D528" s="826">
        <f>ROUND((D526+D527),5)</f>
        <v>5.3800000000000001E-2</v>
      </c>
      <c r="E528" s="440"/>
      <c r="F528" s="440"/>
      <c r="G528" s="440"/>
      <c r="H528" s="440"/>
      <c r="I528" s="462"/>
    </row>
    <row r="529" spans="1:87" x14ac:dyDescent="0.3">
      <c r="B529" s="463"/>
      <c r="C529" s="367"/>
      <c r="D529" s="534">
        <f>(D524+D521)/(1+D528*D525)</f>
        <v>122074.36276999522</v>
      </c>
      <c r="E529" s="569"/>
      <c r="F529" s="569"/>
      <c r="G529" s="569"/>
      <c r="H529" s="569"/>
    </row>
    <row r="530" spans="1:87" x14ac:dyDescent="0.3">
      <c r="B530" s="367"/>
      <c r="C530" s="367"/>
      <c r="D530" s="488"/>
      <c r="E530" s="488"/>
      <c r="F530" s="488"/>
      <c r="G530" s="488"/>
      <c r="I530" s="615"/>
    </row>
    <row r="531" spans="1:87" x14ac:dyDescent="0.3">
      <c r="B531" s="585" t="s">
        <v>650</v>
      </c>
      <c r="C531" s="872">
        <f>+D529</f>
        <v>122074.36276999522</v>
      </c>
      <c r="D531" s="500"/>
      <c r="E531" s="430"/>
      <c r="F531" s="361"/>
      <c r="G531" s="365"/>
      <c r="I531" s="462"/>
    </row>
    <row r="532" spans="1:87" x14ac:dyDescent="0.3">
      <c r="B532" s="585" t="s">
        <v>1331</v>
      </c>
      <c r="C532" s="827">
        <f>+SUMPRODUCT(D525:AG525,D529:AG529)/C531</f>
        <v>-3.3611</v>
      </c>
      <c r="D532" s="365"/>
      <c r="E532" s="365"/>
      <c r="F532" s="361"/>
      <c r="G532" s="363"/>
      <c r="I532" s="462"/>
      <c r="M532" s="713"/>
    </row>
    <row r="534" spans="1:87" x14ac:dyDescent="0.3">
      <c r="B534" s="878"/>
      <c r="C534" s="878"/>
    </row>
    <row r="535" spans="1:87" s="462" customFormat="1" ht="13.5" customHeight="1" x14ac:dyDescent="0.3">
      <c r="A535" s="461"/>
      <c r="B535" s="879" t="s">
        <v>2727</v>
      </c>
      <c r="C535" s="879">
        <v>9533</v>
      </c>
      <c r="D535" s="691">
        <v>6.0099999999999997E-3</v>
      </c>
      <c r="E535"/>
      <c r="F535"/>
      <c r="G535"/>
      <c r="H535" s="461"/>
      <c r="I535" s="461"/>
      <c r="J535" s="461"/>
      <c r="K535" s="461"/>
      <c r="L535" s="461"/>
      <c r="M535" s="461"/>
      <c r="N535" s="461"/>
      <c r="O535" s="461"/>
      <c r="P535" s="461"/>
      <c r="Q535" s="461"/>
      <c r="R535" s="461"/>
      <c r="S535" s="461"/>
      <c r="T535" s="461"/>
      <c r="U535" s="461"/>
      <c r="V535" s="461"/>
      <c r="W535" s="461"/>
      <c r="X535" s="461"/>
      <c r="Y535" s="461"/>
      <c r="Z535" s="461"/>
      <c r="AA535" s="461"/>
      <c r="AB535" s="461"/>
      <c r="AC535" s="461"/>
      <c r="AD535" s="461"/>
      <c r="AE535" s="461"/>
      <c r="AF535" s="461"/>
      <c r="AG535" s="461"/>
      <c r="AH535" s="461"/>
      <c r="AI535" s="461"/>
      <c r="AJ535" s="461"/>
      <c r="AK535" s="461"/>
      <c r="AL535" s="461"/>
      <c r="AM535" s="461"/>
      <c r="AN535" s="461"/>
      <c r="AO535" s="461"/>
      <c r="AP535" s="461"/>
      <c r="AQ535" s="461"/>
      <c r="AR535" s="461"/>
      <c r="AS535" s="461"/>
      <c r="AT535" s="461"/>
      <c r="AU535" s="461"/>
      <c r="AV535" s="461"/>
      <c r="AW535" s="461"/>
      <c r="AX535" s="461"/>
      <c r="AY535" s="461"/>
      <c r="AZ535" s="461"/>
      <c r="BA535" s="461"/>
      <c r="BB535" s="461"/>
      <c r="BC535" s="461"/>
      <c r="BD535" s="461"/>
      <c r="BE535" s="461"/>
      <c r="BF535" s="461"/>
      <c r="BG535" s="461"/>
      <c r="BH535" s="461"/>
      <c r="BI535" s="461"/>
      <c r="BJ535" s="461"/>
      <c r="BK535" s="461"/>
      <c r="BL535" s="461"/>
      <c r="BM535" s="461"/>
      <c r="BN535" s="461"/>
      <c r="BO535" s="461"/>
      <c r="BP535" s="461"/>
      <c r="BQ535" s="461"/>
      <c r="BR535" s="461"/>
      <c r="BS535" s="461"/>
      <c r="BT535" s="461"/>
      <c r="BU535" s="461"/>
      <c r="BV535" s="461"/>
      <c r="BW535" s="461"/>
      <c r="BX535" s="461"/>
      <c r="BY535" s="461"/>
      <c r="BZ535" s="461"/>
      <c r="CA535" s="461"/>
      <c r="CB535" s="461"/>
      <c r="CC535" s="461"/>
      <c r="CD535" s="461"/>
      <c r="CE535" s="461"/>
      <c r="CF535" s="461"/>
      <c r="CG535" s="461"/>
      <c r="CH535" s="461"/>
      <c r="CI535" s="461"/>
    </row>
    <row r="536" spans="1:87" x14ac:dyDescent="0.3">
      <c r="B536" s="364"/>
      <c r="C536" s="364" t="s">
        <v>105</v>
      </c>
      <c r="D536" s="365">
        <v>2.6499999999999999E-2</v>
      </c>
      <c r="E536" s="365"/>
      <c r="F536" s="488">
        <f>+F537-C1</f>
        <v>-377</v>
      </c>
      <c r="G536" s="363"/>
      <c r="H536" s="573"/>
      <c r="I536" s="573"/>
      <c r="J536" s="573"/>
      <c r="K536" s="573"/>
      <c r="L536" s="573"/>
      <c r="M536" s="573"/>
    </row>
    <row r="537" spans="1:87" x14ac:dyDescent="0.3">
      <c r="B537" s="882"/>
      <c r="C537" s="883">
        <v>44634</v>
      </c>
      <c r="D537" s="883">
        <v>44999</v>
      </c>
      <c r="E537" s="883">
        <v>45365</v>
      </c>
      <c r="F537" s="883">
        <v>45730</v>
      </c>
      <c r="G537" s="883">
        <v>46095</v>
      </c>
      <c r="H537" s="883">
        <v>46460</v>
      </c>
      <c r="I537" s="883">
        <v>46826</v>
      </c>
      <c r="J537" s="883">
        <v>47191</v>
      </c>
      <c r="K537" s="883"/>
      <c r="L537" s="883"/>
      <c r="M537" s="883"/>
      <c r="N537" s="573"/>
      <c r="O537" s="573"/>
      <c r="P537" s="573"/>
      <c r="Q537" s="573"/>
      <c r="R537" s="573"/>
      <c r="S537" s="573"/>
      <c r="T537" s="573"/>
    </row>
    <row r="538" spans="1:87" x14ac:dyDescent="0.3">
      <c r="B538" s="884" t="s">
        <v>1318</v>
      </c>
      <c r="C538" s="885"/>
      <c r="D538" s="886">
        <f t="shared" ref="D538:J538" si="174">100000/7</f>
        <v>14285.714285714286</v>
      </c>
      <c r="E538" s="886">
        <f t="shared" si="174"/>
        <v>14285.714285714286</v>
      </c>
      <c r="F538" s="886">
        <f t="shared" si="174"/>
        <v>14285.714285714286</v>
      </c>
      <c r="G538" s="886">
        <f t="shared" si="174"/>
        <v>14285.714285714286</v>
      </c>
      <c r="H538" s="886">
        <f t="shared" si="174"/>
        <v>14285.714285714286</v>
      </c>
      <c r="I538" s="886">
        <f t="shared" si="174"/>
        <v>14285.714285714286</v>
      </c>
      <c r="J538" s="886">
        <f t="shared" si="174"/>
        <v>14285.714285714286</v>
      </c>
      <c r="K538" s="886"/>
      <c r="L538" s="886"/>
      <c r="M538" s="886"/>
      <c r="N538" s="462"/>
      <c r="O538" s="462"/>
      <c r="P538" s="462"/>
      <c r="Q538" s="462"/>
      <c r="R538" s="462"/>
    </row>
    <row r="539" spans="1:87" x14ac:dyDescent="0.3">
      <c r="B539" s="884" t="s">
        <v>1320</v>
      </c>
      <c r="C539" s="887">
        <v>100000</v>
      </c>
      <c r="D539" s="888">
        <f t="shared" ref="D539:J539" si="175">+C539-D538</f>
        <v>85714.28571428571</v>
      </c>
      <c r="E539" s="888">
        <f>+D539-E538</f>
        <v>71428.57142857142</v>
      </c>
      <c r="F539" s="888">
        <f t="shared" si="175"/>
        <v>57142.85714285713</v>
      </c>
      <c r="G539" s="888">
        <f t="shared" si="175"/>
        <v>42857.142857142841</v>
      </c>
      <c r="H539" s="888">
        <f t="shared" si="175"/>
        <v>28571.428571428554</v>
      </c>
      <c r="I539" s="889">
        <f t="shared" si="175"/>
        <v>14285.714285714268</v>
      </c>
      <c r="J539" s="889">
        <f t="shared" si="175"/>
        <v>-1.8189894035458565E-11</v>
      </c>
      <c r="K539" s="889"/>
      <c r="L539" s="889"/>
      <c r="M539" s="889"/>
      <c r="N539" s="462"/>
      <c r="O539" s="462"/>
      <c r="P539" s="462"/>
      <c r="Q539" s="462"/>
      <c r="R539" s="462"/>
    </row>
    <row r="540" spans="1:87" x14ac:dyDescent="0.3">
      <c r="B540" s="884" t="s">
        <v>1321</v>
      </c>
      <c r="C540" s="885"/>
      <c r="D540" s="890">
        <f t="shared" ref="D540:J540" si="176">ROUND(C539*$D$536,2)</f>
        <v>2650</v>
      </c>
      <c r="E540" s="890">
        <f t="shared" si="176"/>
        <v>2271.4299999999998</v>
      </c>
      <c r="F540" s="890">
        <f t="shared" si="176"/>
        <v>1892.86</v>
      </c>
      <c r="G540" s="890">
        <f t="shared" si="176"/>
        <v>1514.29</v>
      </c>
      <c r="H540" s="890">
        <f t="shared" si="176"/>
        <v>1135.71</v>
      </c>
      <c r="I540" s="890">
        <f t="shared" si="176"/>
        <v>757.14</v>
      </c>
      <c r="J540" s="890">
        <f t="shared" si="176"/>
        <v>378.57</v>
      </c>
      <c r="K540" s="889"/>
      <c r="L540" s="889"/>
      <c r="M540" s="889"/>
      <c r="N540" s="462"/>
      <c r="O540" s="462"/>
      <c r="P540" s="462"/>
      <c r="Q540" s="462"/>
      <c r="R540" s="462"/>
    </row>
    <row r="541" spans="1:87" x14ac:dyDescent="0.3">
      <c r="B541" s="884" t="s">
        <v>1322</v>
      </c>
      <c r="C541" s="885"/>
      <c r="D541" s="888">
        <f>+D540+D538</f>
        <v>16935.714285714286</v>
      </c>
      <c r="E541" s="888">
        <f t="shared" ref="E541:J541" si="177">+E540+E538</f>
        <v>16557.144285714287</v>
      </c>
      <c r="F541" s="888">
        <f t="shared" si="177"/>
        <v>16178.574285714287</v>
      </c>
      <c r="G541" s="888">
        <f t="shared" si="177"/>
        <v>15800.004285714287</v>
      </c>
      <c r="H541" s="888">
        <f t="shared" si="177"/>
        <v>15421.424285714285</v>
      </c>
      <c r="I541" s="889">
        <f t="shared" si="177"/>
        <v>15042.854285714286</v>
      </c>
      <c r="J541" s="889">
        <f t="shared" si="177"/>
        <v>14664.284285714286</v>
      </c>
      <c r="K541" s="889"/>
      <c r="L541" s="889"/>
      <c r="M541" s="889"/>
      <c r="N541" s="462"/>
      <c r="O541" s="462"/>
      <c r="P541" s="462"/>
      <c r="Q541" s="462"/>
      <c r="R541" s="462"/>
    </row>
    <row r="542" spans="1:87" x14ac:dyDescent="0.3">
      <c r="B542" s="884" t="s">
        <v>1323</v>
      </c>
      <c r="C542" s="887"/>
      <c r="D542" s="888">
        <f t="shared" ref="D542:J542" si="178">+IF(D537&gt;$C$1,D541,0)</f>
        <v>0</v>
      </c>
      <c r="E542" s="888">
        <f t="shared" si="178"/>
        <v>0</v>
      </c>
      <c r="F542" s="888">
        <f t="shared" si="178"/>
        <v>0</v>
      </c>
      <c r="G542" s="888">
        <f t="shared" si="178"/>
        <v>0</v>
      </c>
      <c r="H542" s="888">
        <f t="shared" si="178"/>
        <v>15421.424285714285</v>
      </c>
      <c r="I542" s="889">
        <f t="shared" si="178"/>
        <v>15042.854285714286</v>
      </c>
      <c r="J542" s="889">
        <f t="shared" si="178"/>
        <v>14664.284285714286</v>
      </c>
      <c r="K542" s="889"/>
      <c r="L542" s="889"/>
      <c r="M542" s="889"/>
      <c r="N542" s="462"/>
      <c r="O542" s="462"/>
      <c r="P542" s="462"/>
      <c r="Q542" s="462"/>
      <c r="R542" s="462"/>
    </row>
    <row r="543" spans="1:87" x14ac:dyDescent="0.3">
      <c r="B543" s="884" t="s">
        <v>1324</v>
      </c>
      <c r="C543" s="891"/>
      <c r="D543" s="892">
        <f t="shared" ref="D543:J543" si="179">+IF(C542=0,(D537-$C$1)/(D537-C537),C543+1)</f>
        <v>-3.0356164383561643</v>
      </c>
      <c r="E543" s="892">
        <f t="shared" si="179"/>
        <v>-2.0273224043715845</v>
      </c>
      <c r="F543" s="961">
        <f t="shared" si="179"/>
        <v>-1.0328767123287672</v>
      </c>
      <c r="G543" s="892">
        <f t="shared" si="179"/>
        <v>-3.287671232876712E-2</v>
      </c>
      <c r="H543" s="892">
        <f t="shared" si="179"/>
        <v>0.9671232876712329</v>
      </c>
      <c r="I543" s="893">
        <f t="shared" si="179"/>
        <v>1.967123287671233</v>
      </c>
      <c r="J543" s="893">
        <f t="shared" si="179"/>
        <v>2.967123287671233</v>
      </c>
      <c r="K543" s="893"/>
      <c r="L543" s="893"/>
      <c r="M543" s="893"/>
      <c r="N543" s="880"/>
      <c r="O543" s="880"/>
      <c r="P543" s="880"/>
      <c r="Q543" s="880"/>
      <c r="R543" s="880"/>
    </row>
    <row r="544" spans="1:87" x14ac:dyDescent="0.3">
      <c r="B544" s="884" t="s">
        <v>1325</v>
      </c>
      <c r="C544" s="885"/>
      <c r="D544" s="894" cm="1">
        <f t="array" ref="D544">ROUND(interpoler(mat_zc,Taux_ZC,D543),5)</f>
        <v>2.3279999999999999E-2</v>
      </c>
      <c r="E544" s="894" cm="1">
        <f t="array" ref="E544">ROUND(interpoler(mat_zc,Taux_ZC,E543),5)</f>
        <v>2.3279999999999999E-2</v>
      </c>
      <c r="F544" s="894" cm="1">
        <f t="array" ref="F544">ROUND(interpoler(mat_zc,Taux_ZC,F543),5)</f>
        <v>2.3279999999999999E-2</v>
      </c>
      <c r="G544" s="894" cm="1">
        <f t="array" ref="G544">ROUND(interpoler(mat_zc,Taux_ZC,G543),5)</f>
        <v>2.3279999999999999E-2</v>
      </c>
      <c r="H544" s="894" cm="1">
        <f t="array" ref="H544">ROUND(interpoler(mat_zc,Taux_ZC,H543),5)</f>
        <v>2.5090000000000001E-2</v>
      </c>
      <c r="I544" s="894" cm="1">
        <f t="array" ref="I544">ROUND(interpoler(mat_zc,Taux_ZC,I543),5)</f>
        <v>2.665E-2</v>
      </c>
      <c r="J544" s="894" cm="1">
        <f t="array" ref="J544">ROUND(interpoler(mat_zc,Taux_ZC,J543),5)</f>
        <v>2.8209999999999999E-2</v>
      </c>
      <c r="K544" s="895"/>
      <c r="L544" s="895"/>
      <c r="M544" s="895"/>
      <c r="N544" s="572"/>
      <c r="O544" s="572"/>
      <c r="P544" s="572"/>
      <c r="Q544" s="572"/>
      <c r="R544" s="572"/>
    </row>
    <row r="545" spans="2:18" x14ac:dyDescent="0.3">
      <c r="B545" s="884" t="s">
        <v>1328</v>
      </c>
      <c r="C545" s="885"/>
      <c r="D545" s="896">
        <f>D535</f>
        <v>6.0099999999999997E-3</v>
      </c>
      <c r="E545" s="896">
        <f t="shared" ref="E545:J545" si="180">+$D$535</f>
        <v>6.0099999999999997E-3</v>
      </c>
      <c r="F545" s="896">
        <f t="shared" si="180"/>
        <v>6.0099999999999997E-3</v>
      </c>
      <c r="G545" s="896">
        <f t="shared" si="180"/>
        <v>6.0099999999999997E-3</v>
      </c>
      <c r="H545" s="896">
        <f t="shared" si="180"/>
        <v>6.0099999999999997E-3</v>
      </c>
      <c r="I545" s="896">
        <f t="shared" si="180"/>
        <v>6.0099999999999997E-3</v>
      </c>
      <c r="J545" s="896">
        <f t="shared" si="180"/>
        <v>6.0099999999999997E-3</v>
      </c>
      <c r="K545" s="895"/>
      <c r="L545" s="895"/>
      <c r="M545" s="895"/>
      <c r="N545" s="572"/>
      <c r="O545" s="572"/>
      <c r="P545" s="572"/>
      <c r="Q545" s="572"/>
      <c r="R545" s="572"/>
    </row>
    <row r="546" spans="2:18" x14ac:dyDescent="0.3">
      <c r="B546" s="884" t="s">
        <v>1329</v>
      </c>
      <c r="C546" s="885"/>
      <c r="D546" s="897">
        <f t="shared" ref="D546:J546" si="181">ROUND(D544+D545,5)</f>
        <v>2.929E-2</v>
      </c>
      <c r="E546" s="897">
        <f t="shared" si="181"/>
        <v>2.929E-2</v>
      </c>
      <c r="F546" s="897">
        <f t="shared" si="181"/>
        <v>2.929E-2</v>
      </c>
      <c r="G546" s="897">
        <f t="shared" si="181"/>
        <v>2.929E-2</v>
      </c>
      <c r="H546" s="897">
        <f t="shared" si="181"/>
        <v>3.1099999999999999E-2</v>
      </c>
      <c r="I546" s="898">
        <f t="shared" si="181"/>
        <v>3.2660000000000002E-2</v>
      </c>
      <c r="J546" s="898">
        <f t="shared" si="181"/>
        <v>3.422E-2</v>
      </c>
      <c r="K546" s="898"/>
      <c r="L546" s="898"/>
      <c r="M546" s="898"/>
      <c r="N546" s="881"/>
      <c r="O546" s="881"/>
      <c r="P546" s="881"/>
      <c r="Q546" s="881"/>
      <c r="R546" s="881"/>
    </row>
    <row r="547" spans="2:18" x14ac:dyDescent="0.3">
      <c r="B547" s="884"/>
      <c r="C547" s="885"/>
      <c r="D547" s="886">
        <f t="shared" ref="D547:J547" si="182">ROUND(D542/(1+($D$535+D544))^D543,4)</f>
        <v>0</v>
      </c>
      <c r="E547" s="886">
        <f t="shared" si="182"/>
        <v>0</v>
      </c>
      <c r="F547" s="886">
        <f t="shared" si="182"/>
        <v>0</v>
      </c>
      <c r="G547" s="886">
        <f t="shared" si="182"/>
        <v>0</v>
      </c>
      <c r="H547" s="886">
        <f t="shared" si="182"/>
        <v>14971.3508</v>
      </c>
      <c r="I547" s="886">
        <f t="shared" si="182"/>
        <v>14121.291300000001</v>
      </c>
      <c r="J547" s="886">
        <f t="shared" si="182"/>
        <v>13270.964900000001</v>
      </c>
      <c r="K547" s="889"/>
      <c r="L547" s="889"/>
      <c r="M547" s="889"/>
      <c r="N547" s="462"/>
      <c r="O547" s="462"/>
      <c r="P547" s="462"/>
      <c r="Q547" s="462"/>
      <c r="R547" s="462"/>
    </row>
    <row r="548" spans="2:18" x14ac:dyDescent="0.3">
      <c r="B548" s="367"/>
      <c r="C548" s="367"/>
      <c r="D548" s="488"/>
      <c r="E548" s="488"/>
      <c r="F548" s="488"/>
      <c r="G548" s="488"/>
      <c r="H548" s="462"/>
      <c r="I548" s="462"/>
      <c r="J548" s="462"/>
      <c r="K548" s="462"/>
      <c r="L548" s="462"/>
      <c r="M548" s="462"/>
    </row>
    <row r="549" spans="2:18" x14ac:dyDescent="0.3">
      <c r="B549" s="585" t="s">
        <v>650</v>
      </c>
      <c r="C549" s="586">
        <f>SUM(D547:J547)</f>
        <v>42363.607000000004</v>
      </c>
      <c r="D549" s="500"/>
      <c r="E549" s="430"/>
      <c r="F549" s="361"/>
      <c r="G549" s="365"/>
      <c r="H549" s="721"/>
      <c r="I549" s="721"/>
      <c r="J549" s="721"/>
      <c r="K549" s="721"/>
      <c r="L549" s="721"/>
      <c r="M549" s="721"/>
    </row>
    <row r="550" spans="2:18" x14ac:dyDescent="0.3">
      <c r="B550" s="585" t="s">
        <v>1331</v>
      </c>
      <c r="C550" s="586">
        <f>+SUMPRODUCT(D543:AG543,D547:AG547)/C549</f>
        <v>1.9269853952580582</v>
      </c>
      <c r="D550" s="365"/>
      <c r="E550" s="365"/>
      <c r="F550" s="361"/>
      <c r="G550" s="363"/>
      <c r="H550" s="573"/>
      <c r="I550" s="573"/>
      <c r="J550" s="573"/>
      <c r="K550" s="573"/>
      <c r="L550" s="573"/>
      <c r="M550" s="573"/>
    </row>
    <row r="551" spans="2:18" x14ac:dyDescent="0.3">
      <c r="B551" s="585"/>
      <c r="C551" s="586"/>
      <c r="D551" s="365"/>
      <c r="E551" s="365"/>
      <c r="F551" s="361"/>
      <c r="G551" s="363"/>
      <c r="H551" s="573"/>
      <c r="I551" s="573"/>
      <c r="J551" s="573"/>
      <c r="K551" s="573"/>
      <c r="L551" s="573"/>
      <c r="M551" s="573"/>
    </row>
    <row r="552" spans="2:18" ht="15" thickBot="1" x14ac:dyDescent="0.35">
      <c r="D552" s="999">
        <v>2.3E-2</v>
      </c>
      <c r="E552" s="461">
        <f>(E554-D554)/366</f>
        <v>0.49726775956284153</v>
      </c>
      <c r="J552" s="721">
        <v>2.69E-2</v>
      </c>
    </row>
    <row r="553" spans="2:18" ht="21.75" thickBot="1" x14ac:dyDescent="0.35">
      <c r="B553" s="913" t="s">
        <v>2746</v>
      </c>
      <c r="C553" s="914">
        <v>9538</v>
      </c>
      <c r="D553" s="916">
        <v>3.6600000000000001E-2</v>
      </c>
      <c r="E553" s="461" t="s">
        <v>2748</v>
      </c>
      <c r="J553" s="1295" t="s">
        <v>3185</v>
      </c>
    </row>
    <row r="554" spans="2:18" x14ac:dyDescent="0.3">
      <c r="B554" s="363">
        <v>44715</v>
      </c>
      <c r="C554" s="696">
        <v>44715</v>
      </c>
      <c r="D554" s="714">
        <v>44898</v>
      </c>
      <c r="E554" s="696">
        <v>45080</v>
      </c>
      <c r="F554" s="714">
        <v>45263</v>
      </c>
      <c r="G554" s="696">
        <v>45446</v>
      </c>
      <c r="H554" s="714">
        <v>45629</v>
      </c>
      <c r="I554" s="714">
        <v>45811</v>
      </c>
      <c r="J554" s="714">
        <v>45994</v>
      </c>
      <c r="K554" s="714">
        <v>46176</v>
      </c>
    </row>
    <row r="555" spans="2:18" x14ac:dyDescent="0.3">
      <c r="B555" s="463" t="s">
        <v>1318</v>
      </c>
      <c r="C555" s="697"/>
      <c r="D555" s="915">
        <f>$C$556/8</f>
        <v>12500</v>
      </c>
      <c r="E555" s="699">
        <v>12500</v>
      </c>
      <c r="F555" s="915">
        <v>12500</v>
      </c>
      <c r="G555" s="915">
        <v>12500</v>
      </c>
      <c r="H555" s="915">
        <v>12500</v>
      </c>
      <c r="I555" s="915">
        <v>12500</v>
      </c>
      <c r="J555" s="915">
        <v>12500</v>
      </c>
      <c r="K555" s="915">
        <v>12500</v>
      </c>
    </row>
    <row r="556" spans="2:18" x14ac:dyDescent="0.3">
      <c r="B556" s="463" t="s">
        <v>1320</v>
      </c>
      <c r="C556" s="699">
        <v>100000</v>
      </c>
      <c r="D556" s="699">
        <v>87500</v>
      </c>
      <c r="E556" s="699">
        <f t="shared" ref="E556:K556" si="183">D556-E555</f>
        <v>75000</v>
      </c>
      <c r="F556" s="699">
        <f t="shared" si="183"/>
        <v>62500</v>
      </c>
      <c r="G556" s="699">
        <f t="shared" si="183"/>
        <v>50000</v>
      </c>
      <c r="H556" s="699">
        <f t="shared" si="183"/>
        <v>37500</v>
      </c>
      <c r="I556" s="699">
        <f t="shared" si="183"/>
        <v>25000</v>
      </c>
      <c r="J556" s="699">
        <f t="shared" si="183"/>
        <v>12500</v>
      </c>
      <c r="K556" s="699">
        <f t="shared" si="183"/>
        <v>0</v>
      </c>
    </row>
    <row r="557" spans="2:18" x14ac:dyDescent="0.3">
      <c r="B557" s="463" t="s">
        <v>1321</v>
      </c>
      <c r="C557" s="697"/>
      <c r="D557" s="915">
        <f>ROUND(C556*$D$553*(D554-C554)/360,4)</f>
        <v>1860.5</v>
      </c>
      <c r="E557" s="915">
        <f>ROUND(D556*$D$553*(E554-D554)/360,4)</f>
        <v>1619.0417</v>
      </c>
      <c r="F557" s="915">
        <f>E556*D553*(F554-E554)/360</f>
        <v>1395.375</v>
      </c>
      <c r="G557" s="915">
        <f>F556*$D$553*(G554-F554)/360</f>
        <v>1162.8125</v>
      </c>
      <c r="H557" s="915">
        <f>G556*$D$553*(H554-G554)/360</f>
        <v>930.25</v>
      </c>
      <c r="I557" s="915">
        <f>I556*$D$553*(I554-H554)/360</f>
        <v>462.58333333333331</v>
      </c>
      <c r="J557" s="1290">
        <f>I556*J552*(J554-I554)/360</f>
        <v>341.85416666666669</v>
      </c>
      <c r="K557" s="1290">
        <f>J556*J552*(K554-J554)/360</f>
        <v>169.99305555555554</v>
      </c>
    </row>
    <row r="558" spans="2:18" x14ac:dyDescent="0.3">
      <c r="B558" s="463" t="s">
        <v>1322</v>
      </c>
      <c r="C558" s="697"/>
      <c r="D558" s="915">
        <f t="shared" ref="D558:I558" si="184">+D557+D555</f>
        <v>14360.5</v>
      </c>
      <c r="E558" s="915">
        <f t="shared" si="184"/>
        <v>14119.0417</v>
      </c>
      <c r="F558" s="915">
        <f t="shared" si="184"/>
        <v>13895.375</v>
      </c>
      <c r="G558" s="915">
        <f t="shared" si="184"/>
        <v>13662.8125</v>
      </c>
      <c r="H558" s="915">
        <f t="shared" si="184"/>
        <v>13430.25</v>
      </c>
      <c r="I558" s="915">
        <f t="shared" si="184"/>
        <v>12962.583333333334</v>
      </c>
      <c r="J558" s="915">
        <f t="shared" ref="J558" si="185">+J557+J555</f>
        <v>12841.854166666666</v>
      </c>
      <c r="K558" s="915">
        <f>+K557+K555</f>
        <v>12669.993055555555</v>
      </c>
    </row>
    <row r="559" spans="2:18" x14ac:dyDescent="0.3">
      <c r="B559" s="463" t="s">
        <v>1323</v>
      </c>
      <c r="C559" s="699"/>
      <c r="D559" s="699">
        <f>+IF(D554&gt;$C$1,D558,0)</f>
        <v>0</v>
      </c>
      <c r="E559" s="699">
        <f>+IF(E554&gt;$C$1,E558,0)</f>
        <v>0</v>
      </c>
      <c r="F559" s="699"/>
      <c r="G559" s="699"/>
      <c r="H559" s="699"/>
      <c r="I559" s="699"/>
      <c r="J559" s="699"/>
      <c r="K559" s="699"/>
      <c r="M559" s="1190" t="s">
        <v>3134</v>
      </c>
    </row>
    <row r="560" spans="2:18" x14ac:dyDescent="0.3">
      <c r="B560" s="463" t="s">
        <v>1324</v>
      </c>
      <c r="C560" s="702"/>
      <c r="D560" s="919">
        <f>(D554-C1)/366</f>
        <v>-3.3032786885245899</v>
      </c>
      <c r="E560" s="917">
        <f>(E554-$C$1)/364</f>
        <v>-2.8214285714285716</v>
      </c>
      <c r="F560" s="919" t="s">
        <v>2621</v>
      </c>
      <c r="G560" s="919">
        <f>(G554-$C$1)/366</f>
        <v>-1.8060109289617485</v>
      </c>
      <c r="H560" s="919">
        <f>(H554-$C$1)/366</f>
        <v>-1.3060109289617485</v>
      </c>
      <c r="I560" s="919">
        <f>((I554-$C$1)/182)*0.5</f>
        <v>-0.81318681318681318</v>
      </c>
      <c r="J560" s="919">
        <f>ROUND(((J554-$C$1)/183)*0.5,10)</f>
        <v>-0.30874316940000002</v>
      </c>
      <c r="K560" s="919">
        <f>J560+0.5</f>
        <v>0.19125683059999998</v>
      </c>
      <c r="M560" s="1190" t="s">
        <v>3135</v>
      </c>
    </row>
    <row r="561" spans="2:18" x14ac:dyDescent="0.3">
      <c r="B561" s="463" t="s">
        <v>1325</v>
      </c>
      <c r="C561" s="697"/>
      <c r="D561" s="375" cm="1">
        <f t="array" ref="D561">IF((D554-$C$1)&lt;=365,interpoler(mat_court,taux_court_act,(D554-$C$1)),interpoler(CIH!$K$72:$K$103,CIH!$L$72:$L$103,D560))</f>
        <v>2.3281430422376737E-2</v>
      </c>
      <c r="E561" s="375" cm="1">
        <f t="array" ref="E561">IF((E554-$C$1)&lt;=365,interpoler(mat_court,taux_court_act,(E554-$C$1)),interpoler(CIH!$K$72:$K$103,CIH!$L$72:$L$103,E560))</f>
        <v>2.3281430422376737E-2</v>
      </c>
      <c r="F561" s="375" cm="1">
        <f t="array" ref="F561">ROUND(IF((F554-$C$1)&lt;=365,interpoler(mat_court,taux_court_act,(F554-$C$1)),interpoler(CIH!$K$72:$K$103,CIH!$L$72:$L$103,F560)),5)</f>
        <v>2.3279999999999999E-2</v>
      </c>
      <c r="G561" s="375" cm="1">
        <f t="array" ref="G561">ROUND(IF((G554-$C$1)&lt;=365,interpoler(mat_court,taux_court_act,(G554-$C$1)),interpoler(CIH!$K$72:$K$103,CIH!$L$72:$L$103,G560)),5)</f>
        <v>2.3279999999999999E-2</v>
      </c>
      <c r="H561" s="375" cm="1">
        <f t="array" ref="H561">ROUND(IF((H554-$C$1)&lt;=365,interpoler(mat_court,taux_court_act,(H554-$C$1)),interpoler(CIH!$K$72:$K$103,CIH!$L$72:$L$103,H560)),5)</f>
        <v>2.3279999999999999E-2</v>
      </c>
      <c r="I561" s="375" cm="1">
        <f t="array" ref="I561">ROUND(IF((I554-$C$1)&lt;=365,interpoler(mat_court,taux_court_act,(I554-$C$1)),interpoler(CIH!$K$72:$K$103,CIH!$L$72:$L$103,I560)),5)</f>
        <v>2.3279999999999999E-2</v>
      </c>
      <c r="J561" s="375" cm="1">
        <f t="array" ref="J561">interpoler(mat_zc,Taux_ZC,J560)</f>
        <v>2.3281430400000001E-2</v>
      </c>
      <c r="K561" s="375" cm="1">
        <f t="array" ref="K561">interpoler(mat_zc,Taux_ZC,K560)</f>
        <v>2.3363483933786847E-2</v>
      </c>
    </row>
    <row r="562" spans="2:18" x14ac:dyDescent="0.3">
      <c r="B562" s="463" t="s">
        <v>1328</v>
      </c>
      <c r="C562" s="697"/>
      <c r="D562" s="697">
        <v>5.4999999999999997E-3</v>
      </c>
      <c r="E562" s="697">
        <v>5.4999999999999997E-3</v>
      </c>
      <c r="F562" s="697">
        <v>5.4999999999999997E-3</v>
      </c>
      <c r="G562" s="697">
        <v>5.4999999999999997E-3</v>
      </c>
      <c r="H562" s="697">
        <v>5.4999999999999997E-3</v>
      </c>
      <c r="I562" s="697">
        <v>5.4999999999999997E-3</v>
      </c>
      <c r="J562" s="697">
        <v>5.4999999999999997E-3</v>
      </c>
      <c r="K562" s="697">
        <v>5.4999999999999997E-3</v>
      </c>
    </row>
    <row r="563" spans="2:18" x14ac:dyDescent="0.3">
      <c r="B563" s="463" t="s">
        <v>1329</v>
      </c>
      <c r="C563" s="697"/>
      <c r="D563" s="918">
        <f t="shared" ref="D563:I563" si="186">ROUND((D561+D562),5)</f>
        <v>2.878E-2</v>
      </c>
      <c r="E563" s="918">
        <f t="shared" si="186"/>
        <v>2.878E-2</v>
      </c>
      <c r="F563" s="1002">
        <f t="shared" si="186"/>
        <v>2.878E-2</v>
      </c>
      <c r="G563" s="918">
        <f t="shared" si="186"/>
        <v>2.878E-2</v>
      </c>
      <c r="H563" s="918">
        <f t="shared" si="186"/>
        <v>2.878E-2</v>
      </c>
      <c r="I563" s="918">
        <f t="shared" si="186"/>
        <v>2.878E-2</v>
      </c>
      <c r="J563" s="918">
        <f>ROUND((J561+J562),5)</f>
        <v>2.878E-2</v>
      </c>
      <c r="K563" s="918">
        <f>ROUND((K561+K562),5)</f>
        <v>2.886E-2</v>
      </c>
    </row>
    <row r="564" spans="2:18" x14ac:dyDescent="0.3">
      <c r="B564" s="463"/>
      <c r="C564" s="697"/>
      <c r="D564" s="699">
        <f>ROUND(D559/(1+($D$563))^D560,4)</f>
        <v>0</v>
      </c>
      <c r="E564" s="699">
        <f>ROUND(E559/(1+($E$563))^E560,4)</f>
        <v>0</v>
      </c>
      <c r="F564" s="915">
        <f>(F558+F556)/(1+F563)^(F554-$C$1)/366</f>
        <v>5245498298832.9531</v>
      </c>
      <c r="G564" s="915">
        <f>(G558+G556)/(1+G563)^((G554-$C$1)/366)</f>
        <v>67010.122785846455</v>
      </c>
      <c r="H564" s="915">
        <f>(H558)/(1+H563)^((H554-$C$1)/366)</f>
        <v>13937.261009132753</v>
      </c>
      <c r="I564" s="915">
        <f>(I556+I557)/(1+I563)^I560</f>
        <v>26056.913318519812</v>
      </c>
      <c r="J564" s="1294">
        <f>(J558)/(1+J563)^J560</f>
        <v>12954.845124839416</v>
      </c>
      <c r="K564" s="915">
        <f>(K556+K558)/(1+K563)^K560</f>
        <v>12601.236233909454</v>
      </c>
    </row>
    <row r="565" spans="2:18" x14ac:dyDescent="0.3">
      <c r="B565" s="367"/>
      <c r="C565" s="367"/>
      <c r="D565" s="488"/>
      <c r="E565" s="488"/>
      <c r="F565" s="488"/>
      <c r="G565" s="488"/>
      <c r="H565" s="488"/>
    </row>
    <row r="566" spans="2:18" x14ac:dyDescent="0.3">
      <c r="B566" s="585" t="s">
        <v>650</v>
      </c>
      <c r="C566" s="920">
        <f>K564</f>
        <v>12601.236233909454</v>
      </c>
      <c r="D566" s="500"/>
      <c r="E566" s="430"/>
      <c r="F566" s="361"/>
      <c r="G566" s="365"/>
      <c r="H566" s="365"/>
      <c r="J566" s="1293"/>
    </row>
    <row r="567" spans="2:18" x14ac:dyDescent="0.3">
      <c r="B567" s="585" t="s">
        <v>1331</v>
      </c>
      <c r="C567" s="586">
        <v>5.0299487597405603</v>
      </c>
      <c r="D567" s="365"/>
      <c r="E567" s="488"/>
      <c r="F567" s="773"/>
      <c r="G567" s="773"/>
      <c r="H567" s="773"/>
      <c r="K567" s="1292"/>
      <c r="L567" s="1292"/>
      <c r="M567" s="1292"/>
      <c r="N567" s="1292"/>
    </row>
    <row r="568" spans="2:18" x14ac:dyDescent="0.3">
      <c r="C568" s="462"/>
      <c r="E568" s="615"/>
      <c r="F568" s="774"/>
      <c r="G568" s="774"/>
      <c r="I568"/>
      <c r="K568" s="1292"/>
      <c r="L568" s="1292"/>
      <c r="M568" s="1292"/>
      <c r="N568" s="1292"/>
    </row>
    <row r="569" spans="2:18" x14ac:dyDescent="0.3">
      <c r="C569" s="462"/>
      <c r="E569" s="778"/>
      <c r="G569" s="462"/>
      <c r="H569" s="462"/>
    </row>
    <row r="570" spans="2:18" x14ac:dyDescent="0.3">
      <c r="H570" s="462"/>
      <c r="I570" s="462"/>
      <c r="J570" s="462"/>
    </row>
    <row r="571" spans="2:18" ht="15" thickBot="1" x14ac:dyDescent="0.35"/>
    <row r="572" spans="2:18" ht="16.5" thickBot="1" x14ac:dyDescent="0.35">
      <c r="B572" s="913"/>
      <c r="C572" s="914" t="s">
        <v>2756</v>
      </c>
      <c r="D572" s="916">
        <v>0.05</v>
      </c>
      <c r="E572" s="461" t="s">
        <v>2748</v>
      </c>
    </row>
    <row r="573" spans="2:18" x14ac:dyDescent="0.3">
      <c r="B573" s="363">
        <v>44771</v>
      </c>
      <c r="C573" s="363">
        <v>44771</v>
      </c>
      <c r="D573" s="363">
        <v>45136</v>
      </c>
      <c r="E573" s="363">
        <v>45502</v>
      </c>
      <c r="F573" s="363">
        <v>45867</v>
      </c>
      <c r="G573" s="363">
        <v>46232</v>
      </c>
      <c r="H573" s="363">
        <v>46597</v>
      </c>
      <c r="I573" s="363">
        <v>46963</v>
      </c>
      <c r="J573" s="363">
        <v>47328</v>
      </c>
      <c r="K573" s="363">
        <v>47693</v>
      </c>
      <c r="L573" s="363">
        <v>48058</v>
      </c>
      <c r="M573" s="363">
        <v>48424</v>
      </c>
      <c r="N573" s="363">
        <v>48789</v>
      </c>
      <c r="O573" s="363">
        <v>49154</v>
      </c>
    </row>
    <row r="574" spans="2:18" x14ac:dyDescent="0.3">
      <c r="B574" s="463" t="s">
        <v>1318</v>
      </c>
      <c r="C574" s="915">
        <v>0</v>
      </c>
      <c r="D574" s="930">
        <v>34246406.25</v>
      </c>
      <c r="E574" s="930">
        <v>34246406.25</v>
      </c>
      <c r="F574" s="930">
        <v>34246406.25</v>
      </c>
      <c r="G574" s="930">
        <v>34246406.25</v>
      </c>
      <c r="H574" s="930">
        <v>34246406.25</v>
      </c>
      <c r="I574" s="930">
        <v>34246406.25</v>
      </c>
      <c r="J574" s="930">
        <v>34246406.25</v>
      </c>
      <c r="K574" s="930">
        <v>34246406.25</v>
      </c>
      <c r="L574" s="930">
        <v>34246406.25</v>
      </c>
      <c r="M574" s="930">
        <v>34246406.25</v>
      </c>
      <c r="N574" s="930">
        <v>34246406.25</v>
      </c>
      <c r="O574" s="930">
        <v>34246406.25</v>
      </c>
      <c r="P574" s="929"/>
      <c r="Q574" s="929"/>
      <c r="R574" s="929"/>
    </row>
    <row r="575" spans="2:18" x14ac:dyDescent="0.3">
      <c r="B575" s="463" t="s">
        <v>1320</v>
      </c>
      <c r="C575" s="928">
        <v>410956875</v>
      </c>
      <c r="D575" s="928">
        <v>376710468.75</v>
      </c>
      <c r="E575" s="928">
        <v>342464062.5</v>
      </c>
      <c r="F575" s="928">
        <v>308217656.25</v>
      </c>
      <c r="G575" s="928">
        <v>273971250</v>
      </c>
      <c r="H575" s="928">
        <v>239724843.75</v>
      </c>
      <c r="I575" s="928">
        <v>205478437.5</v>
      </c>
      <c r="J575" s="928">
        <v>171232031.25</v>
      </c>
      <c r="K575" s="928">
        <v>136985625</v>
      </c>
      <c r="L575" s="928">
        <v>102739218.75</v>
      </c>
      <c r="M575" s="928">
        <v>68492812.5</v>
      </c>
      <c r="N575" s="928">
        <v>34246406.25</v>
      </c>
      <c r="O575" s="928">
        <v>0</v>
      </c>
      <c r="P575" s="929"/>
      <c r="Q575" s="929"/>
      <c r="R575" s="929"/>
    </row>
    <row r="576" spans="2:18" x14ac:dyDescent="0.3">
      <c r="B576" s="463" t="s">
        <v>1321</v>
      </c>
      <c r="C576" s="931">
        <v>20547843.75</v>
      </c>
      <c r="D576" s="930">
        <v>20547843.75</v>
      </c>
      <c r="E576" s="930">
        <v>18835523.4375</v>
      </c>
      <c r="F576" s="930">
        <v>17123203.125</v>
      </c>
      <c r="G576" s="930">
        <v>15410882.8125</v>
      </c>
      <c r="H576" s="930">
        <v>13698562.5</v>
      </c>
      <c r="I576" s="930">
        <v>11986242.1875</v>
      </c>
      <c r="J576" s="930">
        <v>10273921.875</v>
      </c>
      <c r="K576" s="930">
        <v>8561601.5625</v>
      </c>
      <c r="L576" s="930">
        <v>6849281.25</v>
      </c>
      <c r="M576" s="930">
        <v>5136960.9375</v>
      </c>
      <c r="N576" s="930">
        <v>3424640.625</v>
      </c>
      <c r="O576" s="930">
        <v>1712320.3125</v>
      </c>
      <c r="P576" s="929">
        <v>0</v>
      </c>
      <c r="Q576" s="929">
        <v>0</v>
      </c>
      <c r="R576" s="929"/>
    </row>
    <row r="577" spans="1:87" x14ac:dyDescent="0.3">
      <c r="B577" s="463" t="s">
        <v>1322</v>
      </c>
      <c r="C577" s="915">
        <f>+C576+C574</f>
        <v>20547843.75</v>
      </c>
      <c r="D577" s="915">
        <f>+D576+D574</f>
        <v>54794250</v>
      </c>
      <c r="E577" s="915">
        <f>+E576+E574</f>
        <v>53081929.6875</v>
      </c>
      <c r="F577" s="915">
        <f t="shared" ref="F577:O577" si="187">+F576+F574</f>
        <v>51369609.375</v>
      </c>
      <c r="G577" s="915">
        <f t="shared" si="187"/>
        <v>49657289.0625</v>
      </c>
      <c r="H577" s="915">
        <f t="shared" si="187"/>
        <v>47944968.75</v>
      </c>
      <c r="I577" s="915">
        <f t="shared" si="187"/>
        <v>46232648.4375</v>
      </c>
      <c r="J577" s="915">
        <f t="shared" si="187"/>
        <v>44520328.125</v>
      </c>
      <c r="K577" s="915">
        <f t="shared" si="187"/>
        <v>42808007.8125</v>
      </c>
      <c r="L577" s="915">
        <f t="shared" si="187"/>
        <v>41095687.5</v>
      </c>
      <c r="M577" s="915">
        <f t="shared" si="187"/>
        <v>39383367.1875</v>
      </c>
      <c r="N577" s="915">
        <f t="shared" si="187"/>
        <v>37671046.875</v>
      </c>
      <c r="O577" s="915">
        <f t="shared" si="187"/>
        <v>35958726.5625</v>
      </c>
    </row>
    <row r="578" spans="1:87" x14ac:dyDescent="0.3">
      <c r="B578" s="463" t="s">
        <v>1323</v>
      </c>
      <c r="C578" s="699">
        <f t="shared" ref="C578:O578" si="188">+IF(C573&gt;$C$1,C577,0)</f>
        <v>0</v>
      </c>
      <c r="D578" s="699">
        <f t="shared" si="188"/>
        <v>0</v>
      </c>
      <c r="E578" s="699">
        <f t="shared" si="188"/>
        <v>0</v>
      </c>
      <c r="F578" s="699">
        <f t="shared" si="188"/>
        <v>0</v>
      </c>
      <c r="G578" s="699">
        <f t="shared" si="188"/>
        <v>49657289.0625</v>
      </c>
      <c r="H578" s="699">
        <f t="shared" si="188"/>
        <v>47944968.75</v>
      </c>
      <c r="I578" s="699">
        <f t="shared" si="188"/>
        <v>46232648.4375</v>
      </c>
      <c r="J578" s="699">
        <f t="shared" si="188"/>
        <v>44520328.125</v>
      </c>
      <c r="K578" s="699">
        <f t="shared" si="188"/>
        <v>42808007.8125</v>
      </c>
      <c r="L578" s="699">
        <f t="shared" si="188"/>
        <v>41095687.5</v>
      </c>
      <c r="M578" s="699">
        <f t="shared" si="188"/>
        <v>39383367.1875</v>
      </c>
      <c r="N578" s="699">
        <f t="shared" si="188"/>
        <v>37671046.875</v>
      </c>
      <c r="O578" s="699">
        <f t="shared" si="188"/>
        <v>35958726.5625</v>
      </c>
    </row>
    <row r="579" spans="1:87" x14ac:dyDescent="0.3">
      <c r="B579" s="463" t="s">
        <v>1324</v>
      </c>
      <c r="C579" s="915">
        <f t="shared" ref="C579:O579" si="189">+(C573-$C$1)/365</f>
        <v>-3.6602739726027398</v>
      </c>
      <c r="D579" s="919">
        <f t="shared" si="189"/>
        <v>-2.6602739726027398</v>
      </c>
      <c r="E579" s="919">
        <f t="shared" si="189"/>
        <v>-1.6575342465753424</v>
      </c>
      <c r="F579" s="919">
        <f t="shared" si="189"/>
        <v>-0.65753424657534243</v>
      </c>
      <c r="G579" s="919">
        <f t="shared" si="189"/>
        <v>0.34246575342465752</v>
      </c>
      <c r="H579" s="919">
        <f t="shared" si="189"/>
        <v>1.3424657534246576</v>
      </c>
      <c r="I579" s="919">
        <f t="shared" si="189"/>
        <v>2.3452054794520549</v>
      </c>
      <c r="J579" s="919">
        <f t="shared" si="189"/>
        <v>3.3452054794520549</v>
      </c>
      <c r="K579" s="919">
        <f t="shared" si="189"/>
        <v>4.3452054794520549</v>
      </c>
      <c r="L579" s="919">
        <f t="shared" si="189"/>
        <v>5.3452054794520549</v>
      </c>
      <c r="M579" s="919">
        <f t="shared" si="189"/>
        <v>6.3479452054794523</v>
      </c>
      <c r="N579" s="919">
        <f t="shared" si="189"/>
        <v>7.3479452054794523</v>
      </c>
      <c r="O579" s="919">
        <f t="shared" si="189"/>
        <v>8.3479452054794514</v>
      </c>
    </row>
    <row r="580" spans="1:87" x14ac:dyDescent="0.3">
      <c r="B580" s="463" t="s">
        <v>1325</v>
      </c>
      <c r="C580" s="918" cm="1">
        <f t="array" ref="C580">ROUND(IF((C573-$C$1)&lt;=365,interpoler(mat_court,taux_court_act,(C573-$C$1)),interpoler(CIH!$K$72:$K$103,CIH!$L$72:$L$103,C579)),5)</f>
        <v>2.3279999999999999E-2</v>
      </c>
      <c r="D580" s="918" cm="1">
        <f t="array" ref="D580">ROUND(IF((D573-$C$1)&lt;=365,interpoler(mat_court,taux_court_act,(D573-$C$1)),interpoler(CIH!$K$72:$K$103,CIH!$L$72:$L$103,D579)),5)</f>
        <v>2.3279999999999999E-2</v>
      </c>
      <c r="E580" s="918" cm="1">
        <f t="array" ref="E580">ROUND(IF((E573-$C$1)&lt;=365,interpoler(mat_court,taux_court_act,(E573-$C$1)),interpoler(CIH!$K$72:$K$103,CIH!$L$72:$L$103,E579)),5)</f>
        <v>2.3279999999999999E-2</v>
      </c>
      <c r="F580" s="918" cm="1">
        <f t="array" ref="F580">ROUND(IF((F573-$C$1)&lt;=365,interpoler(mat_court,taux_court_act,(F573-$C$1)),interpoler(CIH!$K$72:$K$103,CIH!$L$72:$L$103,F579)),5)</f>
        <v>2.3279999999999999E-2</v>
      </c>
      <c r="G580" s="918" cm="1">
        <f t="array" ref="G580">ROUND(IF((G573-$C$1)&lt;=365,interpoler(mat_court,taux_court_act,(G573-$C$1)),interpoler(CIH!$K$72:$K$103,CIH!$L$72:$L$103,G579)),5)</f>
        <v>2.376E-2</v>
      </c>
      <c r="H580" s="918" cm="1">
        <f t="array" ref="H580">ROUND(IF((H573-$C$1)&lt;=365,interpoler(mat_court,taux_court_act,(H573-$C$1)),interpoler(CIH!$K$72:$K$103,CIH!$L$72:$L$103,H579)),5)</f>
        <v>2.5680000000000001E-2</v>
      </c>
      <c r="I580" s="918" cm="1">
        <f t="array" ref="I580">ROUND(IF((I573-$C$1)&lt;=365,interpoler(mat_court,taux_court_act,(I573-$C$1)),interpoler(CIH!$K$72:$K$103,CIH!$L$72:$L$103,I579)),5)</f>
        <v>2.724E-2</v>
      </c>
      <c r="J580" s="918" cm="1">
        <f t="array" ref="J580">ROUND(IF((J573-$C$1)&lt;=365,interpoler(mat_court,taux_court_act,(J573-$C$1)),interpoler(CIH!$K$72:$K$103,CIH!$L$72:$L$103,J579)),5)</f>
        <v>2.8799999999999999E-2</v>
      </c>
      <c r="K580" s="918" cm="1">
        <f t="array" ref="K580">ROUND(IF((K573-$C$1)&lt;=365,interpoler(mat_court,taux_court_act,(K573-$C$1)),interpoler(CIH!$K$72:$K$103,CIH!$L$72:$L$103,K579)),5)</f>
        <v>3.0200000000000001E-2</v>
      </c>
      <c r="L580" s="918" cm="1">
        <f t="array" ref="L580">ROUND(IF((L573-$C$1)&lt;=365,interpoler(mat_court,taux_court_act,(L573-$C$1)),interpoler(CIH!$K$72:$K$103,CIH!$L$72:$L$103,L579)),5)</f>
        <v>3.109E-2</v>
      </c>
      <c r="M580" s="918" cm="1">
        <f t="array" ref="M580">ROUND(IF((M573-$C$1)&lt;=365,interpoler(mat_court,taux_court_act,(M573-$C$1)),interpoler(CIH!$K$72:$K$103,CIH!$L$72:$L$103,M579)),5)</f>
        <v>3.1609999999999999E-2</v>
      </c>
      <c r="N580" s="918">
        <f>ROUND(IF((N573-$C$1)&lt;=365,interpoler(mat_court,taux_court_act,(N573-$C$1)),interpoler(CIH!$K$72:$K$103,CIH!$L$72:$L$103,N579)),5)</f>
        <v>3.2120000000000003E-2</v>
      </c>
      <c r="O580" s="918">
        <f>ROUND(IF((O573-$C$1)&lt;=365,interpoler(mat_court,taux_court_act,(O573-$C$1)),interpoler(CIH!$K$72:$K$103,CIH!$L$72:$L$103,O579)),5)</f>
        <v>3.2629999999999999E-2</v>
      </c>
    </row>
    <row r="581" spans="1:87" x14ac:dyDescent="0.3">
      <c r="B581" s="463" t="s">
        <v>1328</v>
      </c>
      <c r="C581" s="697"/>
      <c r="D581" s="697"/>
      <c r="E581" s="697"/>
      <c r="F581" s="697"/>
      <c r="G581" s="697"/>
      <c r="H581" s="697"/>
      <c r="I581" s="697"/>
      <c r="J581" s="697"/>
    </row>
    <row r="582" spans="1:87" x14ac:dyDescent="0.3">
      <c r="B582" s="463" t="s">
        <v>1329</v>
      </c>
      <c r="C582" s="697">
        <f t="shared" ref="C582:O582" si="190">ROUND((C580+C581),5)</f>
        <v>2.3279999999999999E-2</v>
      </c>
      <c r="D582" s="697">
        <f t="shared" si="190"/>
        <v>2.3279999999999999E-2</v>
      </c>
      <c r="E582" s="697">
        <f t="shared" si="190"/>
        <v>2.3279999999999999E-2</v>
      </c>
      <c r="F582" s="697">
        <f t="shared" si="190"/>
        <v>2.3279999999999999E-2</v>
      </c>
      <c r="G582" s="697">
        <f t="shared" si="190"/>
        <v>2.376E-2</v>
      </c>
      <c r="H582" s="697">
        <f t="shared" si="190"/>
        <v>2.5680000000000001E-2</v>
      </c>
      <c r="I582" s="697">
        <f t="shared" si="190"/>
        <v>2.724E-2</v>
      </c>
      <c r="J582" s="697">
        <f t="shared" si="190"/>
        <v>2.8799999999999999E-2</v>
      </c>
      <c r="K582" s="697">
        <f t="shared" si="190"/>
        <v>3.0200000000000001E-2</v>
      </c>
      <c r="L582" s="697">
        <f t="shared" si="190"/>
        <v>3.109E-2</v>
      </c>
      <c r="M582" s="697">
        <f t="shared" si="190"/>
        <v>3.1609999999999999E-2</v>
      </c>
      <c r="N582" s="697">
        <f t="shared" si="190"/>
        <v>3.2120000000000003E-2</v>
      </c>
      <c r="O582" s="697">
        <f t="shared" si="190"/>
        <v>3.2629999999999999E-2</v>
      </c>
    </row>
    <row r="583" spans="1:87" x14ac:dyDescent="0.3">
      <c r="B583" s="463"/>
      <c r="C583" s="915">
        <f t="shared" ref="C583:O583" si="191">ROUND(C578/(1+($C$582))^C579,4)</f>
        <v>0</v>
      </c>
      <c r="D583" s="915">
        <f t="shared" si="191"/>
        <v>0</v>
      </c>
      <c r="E583" s="915">
        <f t="shared" si="191"/>
        <v>0</v>
      </c>
      <c r="F583" s="915">
        <f t="shared" si="191"/>
        <v>0</v>
      </c>
      <c r="G583" s="915">
        <f t="shared" si="191"/>
        <v>49267467.332999997</v>
      </c>
      <c r="H583" s="915">
        <f t="shared" si="191"/>
        <v>46486386.081200004</v>
      </c>
      <c r="I583" s="915">
        <f t="shared" si="191"/>
        <v>43803584.374200001</v>
      </c>
      <c r="J583" s="915">
        <f t="shared" si="191"/>
        <v>41221590.764399998</v>
      </c>
      <c r="K583" s="915">
        <f t="shared" si="191"/>
        <v>38734407.948700003</v>
      </c>
      <c r="L583" s="915">
        <f t="shared" si="191"/>
        <v>36339058.352300003</v>
      </c>
      <c r="M583" s="915">
        <f t="shared" si="191"/>
        <v>34030505.127999999</v>
      </c>
      <c r="N583" s="915">
        <f t="shared" si="191"/>
        <v>31810372.477299999</v>
      </c>
      <c r="O583" s="915">
        <f t="shared" si="191"/>
        <v>29673644.022700001</v>
      </c>
    </row>
    <row r="584" spans="1:87" x14ac:dyDescent="0.3">
      <c r="B584" s="367"/>
      <c r="C584" s="367"/>
      <c r="D584" s="488"/>
      <c r="E584" s="488"/>
      <c r="F584" s="488"/>
      <c r="G584" s="488"/>
      <c r="H584" s="488"/>
      <c r="I584" s="488"/>
      <c r="J584" s="488"/>
    </row>
    <row r="585" spans="1:87" x14ac:dyDescent="0.3">
      <c r="B585" s="585" t="s">
        <v>650</v>
      </c>
      <c r="C585" s="920">
        <f>SUM(C583:O583)</f>
        <v>351367016.48180002</v>
      </c>
      <c r="D585" s="500"/>
      <c r="E585" s="430"/>
      <c r="F585" s="361"/>
      <c r="G585" s="365"/>
      <c r="H585" s="365"/>
      <c r="I585" s="365"/>
      <c r="J585" s="365"/>
    </row>
    <row r="586" spans="1:87" ht="15" thickBot="1" x14ac:dyDescent="0.35">
      <c r="B586" s="585" t="s">
        <v>1331</v>
      </c>
      <c r="C586" s="586">
        <v>5.0299487597405603</v>
      </c>
      <c r="D586" s="365"/>
      <c r="E586" s="488"/>
      <c r="F586" s="773"/>
      <c r="G586" s="773"/>
      <c r="H586" s="773"/>
      <c r="I586" s="363"/>
      <c r="J586" s="363"/>
    </row>
    <row r="587" spans="1:87" x14ac:dyDescent="0.3">
      <c r="N587" s="1644" t="s">
        <v>3173</v>
      </c>
      <c r="O587" s="1644"/>
      <c r="P587" s="1249"/>
    </row>
    <row r="588" spans="1:87" ht="15" thickBot="1" x14ac:dyDescent="0.35">
      <c r="N588" s="1250" t="s">
        <v>3174</v>
      </c>
      <c r="O588" s="1251">
        <f>O597</f>
        <v>-0.73424657530000004</v>
      </c>
      <c r="P588" s="1252">
        <f>O600</f>
        <v>3.0700000000000002E-2</v>
      </c>
    </row>
    <row r="589" spans="1:87" s="1236" customFormat="1" ht="13.5" customHeight="1" x14ac:dyDescent="0.3">
      <c r="A589" s="1230"/>
      <c r="B589" s="1231" t="s">
        <v>2790</v>
      </c>
      <c r="C589" s="1232">
        <v>5132</v>
      </c>
      <c r="D589" s="1233">
        <v>8.0000000000000002E-3</v>
      </c>
      <c r="E589" s="1234">
        <v>8.0000000000000002E-3</v>
      </c>
      <c r="F589" s="1234">
        <v>8.0000000000000002E-3</v>
      </c>
      <c r="G589" s="1234">
        <f>F589</f>
        <v>8.0000000000000002E-3</v>
      </c>
      <c r="H589" s="1235">
        <v>0.8</v>
      </c>
      <c r="I589" s="1230"/>
      <c r="J589" s="1230"/>
      <c r="K589" s="1230"/>
      <c r="L589" s="1230"/>
      <c r="M589" s="1230"/>
      <c r="N589" s="1644" t="s">
        <v>3173</v>
      </c>
      <c r="O589" s="1644"/>
      <c r="P589" s="1230"/>
      <c r="Q589" s="1230"/>
      <c r="R589" s="1230"/>
      <c r="S589" s="1230"/>
      <c r="T589" s="1230"/>
      <c r="U589" s="1230"/>
      <c r="V589" s="1230"/>
      <c r="W589" s="1230"/>
      <c r="X589" s="1230"/>
      <c r="Y589" s="1230"/>
      <c r="Z589" s="1230"/>
      <c r="AA589" s="1230"/>
      <c r="AB589" s="1230"/>
      <c r="AC589" s="1230"/>
      <c r="AD589" s="1230"/>
      <c r="AE589" s="1230"/>
      <c r="AF589" s="1230"/>
      <c r="AG589" s="1230"/>
      <c r="AH589" s="1230"/>
      <c r="AI589" s="1230"/>
      <c r="AJ589" s="1230"/>
      <c r="AK589" s="1230"/>
      <c r="AL589" s="1230"/>
      <c r="AM589" s="1230"/>
      <c r="AN589" s="1230"/>
      <c r="AO589" s="1230"/>
      <c r="AP589" s="1230"/>
      <c r="AQ589" s="1230"/>
      <c r="AR589" s="1230"/>
      <c r="AS589" s="1230"/>
      <c r="AT589" s="1230"/>
      <c r="AU589" s="1230"/>
      <c r="AV589" s="1230"/>
      <c r="AW589" s="1230"/>
      <c r="AX589" s="1230"/>
      <c r="AY589" s="1230"/>
      <c r="AZ589" s="1230"/>
      <c r="BA589" s="1230"/>
      <c r="BB589" s="1230"/>
      <c r="BC589" s="1230"/>
      <c r="BD589" s="1230"/>
      <c r="BE589" s="1230"/>
      <c r="BF589" s="1230"/>
      <c r="BG589" s="1230"/>
      <c r="BH589" s="1230"/>
      <c r="BI589" s="1230"/>
      <c r="BJ589" s="1230"/>
      <c r="BK589" s="1230"/>
      <c r="BL589" s="1230"/>
      <c r="BM589" s="1230"/>
      <c r="BN589" s="1230"/>
      <c r="BO589" s="1230"/>
      <c r="BP589" s="1230"/>
      <c r="BQ589" s="1230"/>
      <c r="BR589" s="1230"/>
      <c r="BS589" s="1230"/>
      <c r="BT589" s="1230"/>
      <c r="BU589" s="1230"/>
      <c r="BV589" s="1230"/>
      <c r="BW589" s="1230"/>
      <c r="BX589" s="1230"/>
      <c r="BY589" s="1230"/>
      <c r="BZ589" s="1230"/>
      <c r="CA589" s="1230"/>
      <c r="CB589" s="1230"/>
      <c r="CC589" s="1230"/>
      <c r="CD589" s="1230"/>
      <c r="CE589" s="1230"/>
      <c r="CF589" s="1230"/>
      <c r="CG589" s="1230"/>
      <c r="CH589" s="1230"/>
      <c r="CI589" s="1230"/>
    </row>
    <row r="590" spans="1:87" x14ac:dyDescent="0.3">
      <c r="B590" s="364"/>
      <c r="C590" s="364" t="s">
        <v>105</v>
      </c>
      <c r="D590" s="365">
        <v>3.15E-2</v>
      </c>
      <c r="E590" s="365">
        <v>3.7600000000000001E-2</v>
      </c>
      <c r="F590" s="365">
        <v>3.85E-2</v>
      </c>
      <c r="G590" s="365">
        <v>3.7999999999999999E-2</v>
      </c>
      <c r="H590" s="365">
        <v>3.8199999999999998E-2</v>
      </c>
      <c r="I590" s="365">
        <v>3.7999999999999999E-2</v>
      </c>
      <c r="J590" s="365">
        <v>3.8100000000000002E-2</v>
      </c>
      <c r="K590" s="365">
        <v>3.5900000000000001E-2</v>
      </c>
      <c r="L590" s="721">
        <v>3.5499999999999997E-2</v>
      </c>
      <c r="M590" s="721">
        <v>3.32E-2</v>
      </c>
      <c r="N590" s="1237">
        <v>3.1E-2</v>
      </c>
      <c r="O590" s="1237">
        <v>3.1E-2</v>
      </c>
      <c r="P590" s="721">
        <v>3.0499999999999999E-2</v>
      </c>
    </row>
    <row r="591" spans="1:87" x14ac:dyDescent="0.3">
      <c r="B591" s="882"/>
      <c r="C591" s="883">
        <v>44879</v>
      </c>
      <c r="D591" s="883">
        <v>44927</v>
      </c>
      <c r="E591" s="883">
        <v>45017</v>
      </c>
      <c r="F591" s="883">
        <v>45108</v>
      </c>
      <c r="G591" s="883">
        <v>45200</v>
      </c>
      <c r="H591" s="883">
        <v>45292</v>
      </c>
      <c r="I591" s="883">
        <v>45383</v>
      </c>
      <c r="J591" s="883">
        <v>45474</v>
      </c>
      <c r="K591" s="883">
        <v>45566</v>
      </c>
      <c r="L591" s="883">
        <v>45658</v>
      </c>
      <c r="M591" s="883">
        <v>45748</v>
      </c>
      <c r="N591" s="1238">
        <v>45809</v>
      </c>
      <c r="O591" s="1239">
        <v>45839</v>
      </c>
      <c r="P591" s="573">
        <v>45870</v>
      </c>
      <c r="Q591" s="573">
        <v>45901</v>
      </c>
      <c r="R591" s="573">
        <v>45931</v>
      </c>
      <c r="S591" s="573">
        <v>45962</v>
      </c>
      <c r="T591" s="573"/>
    </row>
    <row r="592" spans="1:87" x14ac:dyDescent="0.3">
      <c r="B592" s="884" t="s">
        <v>1318</v>
      </c>
      <c r="C592" s="885"/>
      <c r="D592" s="886">
        <v>0</v>
      </c>
      <c r="E592" s="886">
        <v>0</v>
      </c>
      <c r="F592" s="886">
        <v>0</v>
      </c>
      <c r="G592" s="886">
        <v>0</v>
      </c>
      <c r="H592" s="886">
        <v>0</v>
      </c>
      <c r="I592" s="886">
        <v>0</v>
      </c>
      <c r="J592" s="886">
        <v>0</v>
      </c>
      <c r="K592" s="886">
        <v>0</v>
      </c>
      <c r="L592" s="886">
        <v>0</v>
      </c>
      <c r="M592" s="886">
        <v>0</v>
      </c>
      <c r="N592" s="1240">
        <v>32086</v>
      </c>
      <c r="O592">
        <v>26509.40265</v>
      </c>
      <c r="P592">
        <v>23221.896639999999</v>
      </c>
      <c r="Q592">
        <v>18182.27</v>
      </c>
      <c r="R592" s="462"/>
    </row>
    <row r="593" spans="2:18" x14ac:dyDescent="0.3">
      <c r="B593" s="884" t="s">
        <v>1320</v>
      </c>
      <c r="C593" s="887">
        <v>100000</v>
      </c>
      <c r="D593" s="888">
        <f t="shared" ref="D593:K593" si="192">C593</f>
        <v>100000</v>
      </c>
      <c r="E593" s="888">
        <f t="shared" si="192"/>
        <v>100000</v>
      </c>
      <c r="F593" s="888">
        <f t="shared" si="192"/>
        <v>100000</v>
      </c>
      <c r="G593" s="888">
        <f t="shared" si="192"/>
        <v>100000</v>
      </c>
      <c r="H593" s="888">
        <f t="shared" si="192"/>
        <v>100000</v>
      </c>
      <c r="I593" s="888">
        <f t="shared" si="192"/>
        <v>100000</v>
      </c>
      <c r="J593" s="888">
        <f t="shared" si="192"/>
        <v>100000</v>
      </c>
      <c r="K593" s="888">
        <f t="shared" si="192"/>
        <v>100000</v>
      </c>
      <c r="L593" s="888">
        <f>K593</f>
        <v>100000</v>
      </c>
      <c r="M593" s="888">
        <f>L593</f>
        <v>100000</v>
      </c>
      <c r="N593" s="1240">
        <f>M593</f>
        <v>100000</v>
      </c>
      <c r="O593">
        <v>67914</v>
      </c>
      <c r="P593">
        <v>41404.6</v>
      </c>
      <c r="Q593">
        <v>18182.27</v>
      </c>
      <c r="R593" s="462"/>
    </row>
    <row r="594" spans="2:18" x14ac:dyDescent="0.3">
      <c r="B594" s="884" t="s">
        <v>1321</v>
      </c>
      <c r="C594" s="885"/>
      <c r="D594" s="890">
        <f>ROUND(C593*D590*(D591-C591)/360,4)</f>
        <v>420</v>
      </c>
      <c r="E594" s="890">
        <f>ROUND(D593*E590*(E591-D591)/360,4)</f>
        <v>940</v>
      </c>
      <c r="F594" s="890">
        <f>ROUND(E593*F590*(F591-E591)/360,4)</f>
        <v>973.19439999999997</v>
      </c>
      <c r="G594" s="890">
        <f>ROUND(F593*G590*(G591-F591)/360,4)</f>
        <v>971.11109999999996</v>
      </c>
      <c r="H594" s="890">
        <f>ROUND(G593*H590*(H591-G591)/360,4)</f>
        <v>976.22220000000004</v>
      </c>
      <c r="I594" s="890">
        <f t="shared" ref="I594:N594" si="193">H593*I590*(I591-H591)/360</f>
        <v>960.55555555555554</v>
      </c>
      <c r="J594" s="890">
        <f t="shared" si="193"/>
        <v>963.08333333333337</v>
      </c>
      <c r="K594" s="890">
        <f t="shared" si="193"/>
        <v>917.44444444444446</v>
      </c>
      <c r="L594" s="890">
        <f t="shared" si="193"/>
        <v>907.22222222222206</v>
      </c>
      <c r="M594" s="890">
        <f t="shared" si="193"/>
        <v>830</v>
      </c>
      <c r="N594" s="1242">
        <f t="shared" si="193"/>
        <v>525.27777777777783</v>
      </c>
      <c r="O594">
        <v>175.44</v>
      </c>
      <c r="P594">
        <v>108.74</v>
      </c>
      <c r="Q594">
        <v>57.16</v>
      </c>
      <c r="R594" s="462"/>
    </row>
    <row r="595" spans="2:18" x14ac:dyDescent="0.3">
      <c r="B595" s="884" t="s">
        <v>1322</v>
      </c>
      <c r="C595" s="885"/>
      <c r="D595" s="888">
        <f>+D594+D592</f>
        <v>420</v>
      </c>
      <c r="E595" s="888">
        <f t="shared" ref="E595:J595" si="194">E592+E594</f>
        <v>940</v>
      </c>
      <c r="F595" s="888">
        <f t="shared" si="194"/>
        <v>973.19439999999997</v>
      </c>
      <c r="G595" s="888">
        <f t="shared" si="194"/>
        <v>971.11109999999996</v>
      </c>
      <c r="H595" s="888">
        <f t="shared" si="194"/>
        <v>976.22220000000004</v>
      </c>
      <c r="I595" s="888">
        <f t="shared" si="194"/>
        <v>960.55555555555554</v>
      </c>
      <c r="J595" s="888">
        <f t="shared" si="194"/>
        <v>963.08333333333337</v>
      </c>
      <c r="K595" s="888">
        <f t="shared" ref="K595:Q595" si="195">K592+K594</f>
        <v>917.44444444444446</v>
      </c>
      <c r="L595" s="888">
        <f t="shared" si="195"/>
        <v>907.22222222222206</v>
      </c>
      <c r="M595" s="888">
        <f t="shared" si="195"/>
        <v>830</v>
      </c>
      <c r="N595" s="1241">
        <f t="shared" si="195"/>
        <v>32611.277777777777</v>
      </c>
      <c r="O595" s="1241">
        <f t="shared" si="195"/>
        <v>26684.842649999999</v>
      </c>
      <c r="P595" s="1241">
        <f t="shared" si="195"/>
        <v>23330.636640000001</v>
      </c>
      <c r="Q595" s="1241">
        <f t="shared" si="195"/>
        <v>18239.43</v>
      </c>
      <c r="R595" s="462"/>
    </row>
    <row r="596" spans="2:18" x14ac:dyDescent="0.3">
      <c r="B596" s="884" t="s">
        <v>1323</v>
      </c>
      <c r="C596" s="887"/>
      <c r="D596" s="888">
        <f t="shared" ref="D596:J596" si="196">+IF(D591&gt;$C$1,D595,0)</f>
        <v>0</v>
      </c>
      <c r="E596" s="888">
        <f t="shared" si="196"/>
        <v>0</v>
      </c>
      <c r="F596" s="888">
        <f t="shared" si="196"/>
        <v>0</v>
      </c>
      <c r="G596" s="888">
        <f t="shared" si="196"/>
        <v>0</v>
      </c>
      <c r="H596" s="888">
        <f t="shared" si="196"/>
        <v>0</v>
      </c>
      <c r="I596" s="888">
        <f t="shared" si="196"/>
        <v>0</v>
      </c>
      <c r="J596" s="888">
        <f t="shared" si="196"/>
        <v>0</v>
      </c>
      <c r="K596" s="888">
        <f t="shared" ref="K596:Q596" si="197">+IF(K591&gt;$C$1,K595,0)</f>
        <v>0</v>
      </c>
      <c r="L596" s="888">
        <f t="shared" si="197"/>
        <v>0</v>
      </c>
      <c r="M596" s="888">
        <f t="shared" si="197"/>
        <v>0</v>
      </c>
      <c r="N596" s="1241">
        <f t="shared" si="197"/>
        <v>0</v>
      </c>
      <c r="O596" s="1241">
        <f t="shared" si="197"/>
        <v>0</v>
      </c>
      <c r="P596" s="1241">
        <f t="shared" si="197"/>
        <v>0</v>
      </c>
      <c r="Q596" s="1241">
        <f t="shared" si="197"/>
        <v>0</v>
      </c>
      <c r="R596" s="462"/>
    </row>
    <row r="597" spans="2:18" x14ac:dyDescent="0.3">
      <c r="B597" s="884" t="s">
        <v>1324</v>
      </c>
      <c r="C597" s="891"/>
      <c r="D597" s="892">
        <f>(D591-C591)/365</f>
        <v>0.13150684931506848</v>
      </c>
      <c r="E597" s="961">
        <f>(E591-C1)/365</f>
        <v>-2.9863013698630136</v>
      </c>
      <c r="F597" s="961">
        <f>(F591-$C$1)/360</f>
        <v>-2.7749999999999999</v>
      </c>
      <c r="G597" s="961">
        <f>ROUND((G591-$C$1)/365,10)</f>
        <v>-2.4849315068000002</v>
      </c>
      <c r="H597" s="961">
        <f>ROUND((H591-$C$1)/366,10)</f>
        <v>-2.2267759563</v>
      </c>
      <c r="I597" s="961">
        <f>ROUND((I591-$C$1)/366,10)</f>
        <v>-1.9781420765</v>
      </c>
      <c r="J597" s="961">
        <f>ROUND((J591-$C$1)/366,10)</f>
        <v>-1.7295081966999999</v>
      </c>
      <c r="K597" s="961">
        <f>ROUND((K591-$C$1)/366,10)</f>
        <v>-1.4781420765</v>
      </c>
      <c r="L597" s="961">
        <f t="shared" ref="L597:Q597" si="198">ROUND((L591-$C$1)/365,10)</f>
        <v>-1.2301369863</v>
      </c>
      <c r="M597" s="961">
        <f t="shared" si="198"/>
        <v>-0.9835616438</v>
      </c>
      <c r="N597" s="1248">
        <f t="shared" si="198"/>
        <v>-0.81643835620000005</v>
      </c>
      <c r="O597" s="1243">
        <f t="shared" si="198"/>
        <v>-0.73424657530000004</v>
      </c>
      <c r="P597" s="1243">
        <f t="shared" si="198"/>
        <v>-0.64931506849999998</v>
      </c>
      <c r="Q597" s="1243">
        <f t="shared" si="198"/>
        <v>-0.56438356160000003</v>
      </c>
      <c r="R597" s="880"/>
    </row>
    <row r="598" spans="2:18" x14ac:dyDescent="0.3">
      <c r="B598" s="707" t="s">
        <v>3007</v>
      </c>
      <c r="C598" s="885"/>
      <c r="D598" s="894" cm="1">
        <f t="array" ref="D598">ROUND(IF(D597*365&gt;365,interpoler(_mat2,taux2,D597*365),interpoler(_mat1,taux1,D597*365)),5)</f>
        <v>2.2700000000000001E-2</v>
      </c>
      <c r="E598" s="894" cm="1">
        <f t="array" ref="E598">ROUND(IF(E597*365&gt;365,interpoler(_mat2,taux2,E597*365),interpoler(_mat1,taux1,E597*365)),5)</f>
        <v>2.2700000000000001E-2</v>
      </c>
      <c r="F598" s="894" cm="1">
        <f t="array" ref="F598">ROUND(IF(F597*365&gt;366,interpoler(_mat2,taux2,F597*365),interpoler(_mat1,taux1,F597*365)),5)</f>
        <v>2.2700000000000001E-2</v>
      </c>
      <c r="G598" s="1020" cm="1">
        <f t="array" ref="G598">ROUND(IF(G597*365&gt;366,interpoler(_mat2,taux2,G597*365),interpoler(_mat1,taux1,G597*365)),5)</f>
        <v>2.2700000000000001E-2</v>
      </c>
      <c r="H598" s="1020" cm="1">
        <f t="array" ref="H598">ROUND(IF(H597*365&gt;366,interpoler(_mat2,taux2,H597*365),interpoler(_mat1,taux1,H597*365)),5)</f>
        <v>2.2700000000000001E-2</v>
      </c>
      <c r="I598" s="1020" cm="1">
        <f t="array" ref="I598">ROUND(IF(I597*365&gt;366,interpoler(_mat2,taux2,I597*365),interpoler(_mat1,taux1,I597*365)),5)</f>
        <v>2.2700000000000001E-2</v>
      </c>
      <c r="J598" s="1020" cm="1">
        <f t="array" ref="J598">ROUND(IF(J597*365&gt;366,interpoler(_mat2,taux2,J597*365),interpoler(_mat1,taux1,J597*365)),5)</f>
        <v>2.2700000000000001E-2</v>
      </c>
      <c r="K598" s="1020" cm="1">
        <f t="array" ref="K598">ROUND(IF(K597*365&gt;366,interpoler(_mat2,taux2,K597*365),interpoler(_mat1,taux1,K597*365)),5)</f>
        <v>2.2700000000000001E-2</v>
      </c>
      <c r="L598" s="1020" cm="1">
        <f t="array" ref="L598">ROUND(IF(L597*365&gt;366,interpoler(_mat2,taux2,L597*365),interpoler(_mat1,taux1,L597*365)),5)</f>
        <v>2.2700000000000001E-2</v>
      </c>
      <c r="M598" s="1020" cm="1">
        <f t="array" ref="M598">ROUND(IF(M597*365&gt;366,interpoler(_mat2,taux2,M597*365),interpoler(_mat1,taux1,M597*365)),5)</f>
        <v>2.2700000000000001E-2</v>
      </c>
      <c r="N598" s="1244" cm="1">
        <f t="array" ref="N598">ROUND(IF(N597*365&gt;365,interpoler(_mat2,taux2,N597*365),interpoler(_mat1,taux1,N597*365)),5)</f>
        <v>2.2700000000000001E-2</v>
      </c>
      <c r="O598" s="1244" cm="1">
        <f t="array" ref="O598">ROUND(IF(O597*365&gt;366,interpoler(_mat2,taux2,O597*365),interpoler(_mat1,taux1,O597*365)),5)</f>
        <v>2.2700000000000001E-2</v>
      </c>
      <c r="P598" s="1244" cm="1">
        <f t="array" ref="P598">ROUND(IF(P597*365&gt;366,interpoler(_mat2,taux2,P597*365),interpoler(_mat1,taux1,P597*365)),5)</f>
        <v>2.2700000000000001E-2</v>
      </c>
      <c r="Q598" s="1244" cm="1">
        <f t="array" ref="Q598">ROUND(IF(Q597*365&gt;366,interpoler(_mat2,taux2,Q597*365),interpoler(_mat1,taux1,Q597*365)),5)</f>
        <v>2.2700000000000001E-2</v>
      </c>
      <c r="R598" s="572"/>
    </row>
    <row r="599" spans="2:18" x14ac:dyDescent="0.3">
      <c r="B599" s="884" t="s">
        <v>1328</v>
      </c>
      <c r="C599" s="885"/>
      <c r="D599" s="896">
        <f>D589</f>
        <v>8.0000000000000002E-3</v>
      </c>
      <c r="E599" s="896">
        <f>E589</f>
        <v>8.0000000000000002E-3</v>
      </c>
      <c r="F599" s="896">
        <f>F589</f>
        <v>8.0000000000000002E-3</v>
      </c>
      <c r="G599" s="896">
        <f>G589</f>
        <v>8.0000000000000002E-3</v>
      </c>
      <c r="H599" s="1029">
        <v>8.0000000000000002E-3</v>
      </c>
      <c r="I599" s="1029">
        <v>8.0000000000000002E-3</v>
      </c>
      <c r="J599" s="1029">
        <v>8.0000000000000002E-3</v>
      </c>
      <c r="K599" s="1029">
        <v>8.0000000000000002E-3</v>
      </c>
      <c r="L599" s="1029">
        <v>8.0000000000000002E-3</v>
      </c>
      <c r="M599" s="1029">
        <v>8.0000000000000002E-3</v>
      </c>
      <c r="N599" s="1245">
        <v>8.0000000000000002E-3</v>
      </c>
      <c r="O599" s="1245">
        <v>8.0000000000000002E-3</v>
      </c>
      <c r="P599" s="1245">
        <v>8.0000000000000002E-3</v>
      </c>
      <c r="Q599" s="1245">
        <v>8.0000000000000002E-3</v>
      </c>
      <c r="R599" s="572"/>
    </row>
    <row r="600" spans="2:18" x14ac:dyDescent="0.3">
      <c r="B600" s="884" t="s">
        <v>1329</v>
      </c>
      <c r="C600" s="885"/>
      <c r="D600" s="897">
        <f t="shared" ref="D600:J600" si="199">ROUND(D598+D599,5)</f>
        <v>3.0700000000000002E-2</v>
      </c>
      <c r="E600" s="897">
        <f t="shared" si="199"/>
        <v>3.0700000000000002E-2</v>
      </c>
      <c r="F600" s="897">
        <f t="shared" si="199"/>
        <v>3.0700000000000002E-2</v>
      </c>
      <c r="G600" s="897">
        <f t="shared" si="199"/>
        <v>3.0700000000000002E-2</v>
      </c>
      <c r="H600" s="897">
        <f t="shared" si="199"/>
        <v>3.0700000000000002E-2</v>
      </c>
      <c r="I600" s="897">
        <f t="shared" si="199"/>
        <v>3.0700000000000002E-2</v>
      </c>
      <c r="J600" s="897">
        <f t="shared" si="199"/>
        <v>3.0700000000000002E-2</v>
      </c>
      <c r="K600" s="897">
        <f>ROUND(K598+K599,5)</f>
        <v>3.0700000000000002E-2</v>
      </c>
      <c r="L600" s="897">
        <f>ROUND(L598+L599,5)</f>
        <v>3.0700000000000002E-2</v>
      </c>
      <c r="M600" s="897">
        <f>ROUND(M598+M599,5)</f>
        <v>3.0700000000000002E-2</v>
      </c>
      <c r="N600" s="1253">
        <f>P588</f>
        <v>3.0700000000000002E-2</v>
      </c>
      <c r="O600" s="1253">
        <f>ROUND(O598+O599,5)</f>
        <v>3.0700000000000002E-2</v>
      </c>
      <c r="P600" s="1253">
        <f>ROUND(P598+P599,5)</f>
        <v>3.0700000000000002E-2</v>
      </c>
      <c r="Q600" s="1253">
        <f>ROUND(Q598+Q599,5)</f>
        <v>3.0700000000000002E-2</v>
      </c>
      <c r="R600" s="881"/>
    </row>
    <row r="601" spans="2:18" x14ac:dyDescent="0.3">
      <c r="B601" s="884"/>
      <c r="C601" s="885"/>
      <c r="D601" s="886">
        <f>ROUND(D596/(1+($D$535+D598)*D597),4)</f>
        <v>0</v>
      </c>
      <c r="E601" s="886">
        <f>ROUND(E596/(1+($D$535+E598)*E597),4)</f>
        <v>0</v>
      </c>
      <c r="F601" s="886">
        <v>0</v>
      </c>
      <c r="G601" s="886">
        <f>(G593+G594)/(1+G600*(G591-C1)/360)</f>
        <v>109435.62208137102</v>
      </c>
      <c r="H601" s="886">
        <f t="shared" ref="H601:L601" si="200">(H593+H594)/(1+H600*(H591-$C$1)/360)</f>
        <v>108518.40184847133</v>
      </c>
      <c r="I601" s="886">
        <f t="shared" si="200"/>
        <v>107604.15568789946</v>
      </c>
      <c r="J601" s="886">
        <f t="shared" si="200"/>
        <v>106724.14142419594</v>
      </c>
      <c r="K601" s="886">
        <f t="shared" si="200"/>
        <v>105798.48703214088</v>
      </c>
      <c r="L601" s="886">
        <f t="shared" si="200"/>
        <v>104924.76222193275</v>
      </c>
      <c r="M601" s="886">
        <f>(M593+M594)/(1+M600*(M591-$C$1)/360)</f>
        <v>104014.37107766175</v>
      </c>
      <c r="N601" s="1240">
        <f>(N595)/(1+N600*(N591-$C$1)/360)</f>
        <v>33461.630764477493</v>
      </c>
      <c r="O601" s="886">
        <f t="shared" ref="O601:P601" si="201">(O593+O594)/(1+O600*(O591-$C$1)/360)</f>
        <v>69681.983009468619</v>
      </c>
      <c r="P601" s="886">
        <f t="shared" si="201"/>
        <v>42369.666263235194</v>
      </c>
      <c r="Q601" s="886">
        <f t="shared" ref="Q601" si="202">(Q593+Q594)/(1+Q600*(Q591-$C$1)/360)</f>
        <v>18565.575592110061</v>
      </c>
      <c r="R601" s="462"/>
    </row>
    <row r="602" spans="2:18" x14ac:dyDescent="0.3">
      <c r="B602" s="367"/>
      <c r="C602" s="367"/>
      <c r="D602" s="488"/>
      <c r="E602" s="488"/>
      <c r="F602" s="488"/>
      <c r="G602" s="488"/>
      <c r="H602" s="488"/>
      <c r="I602" s="462"/>
      <c r="J602" s="462"/>
      <c r="K602" s="462"/>
      <c r="L602" s="462"/>
      <c r="M602" s="462"/>
    </row>
    <row r="603" spans="2:18" x14ac:dyDescent="0.3">
      <c r="B603" s="585" t="s">
        <v>650</v>
      </c>
      <c r="C603" s="586">
        <f>P601</f>
        <v>42369.666263235194</v>
      </c>
      <c r="D603" s="500"/>
      <c r="E603" s="430"/>
      <c r="F603" s="361"/>
      <c r="G603" s="365"/>
      <c r="H603" s="721"/>
      <c r="I603" s="721"/>
      <c r="J603" s="721"/>
      <c r="K603" s="721"/>
      <c r="L603" s="721"/>
      <c r="M603" s="721"/>
    </row>
    <row r="604" spans="2:18" x14ac:dyDescent="0.3">
      <c r="B604" s="585" t="s">
        <v>1331</v>
      </c>
      <c r="C604" s="586">
        <f>+SUMPRODUCT(D597:AG597,D601:AG601)/C603</f>
        <v>-33.402595772483807</v>
      </c>
      <c r="D604" s="365"/>
      <c r="E604" s="365"/>
      <c r="F604" s="361"/>
      <c r="G604" s="363"/>
      <c r="H604" s="573"/>
      <c r="I604" s="573"/>
      <c r="J604" s="573"/>
      <c r="K604" s="573"/>
      <c r="L604" s="573"/>
      <c r="M604" s="573"/>
    </row>
    <row r="605" spans="2:18" x14ac:dyDescent="0.3">
      <c r="B605" s="585"/>
      <c r="C605" s="586"/>
      <c r="D605" s="365"/>
      <c r="E605" s="365"/>
      <c r="F605" s="361"/>
      <c r="G605" s="363"/>
      <c r="H605" s="573"/>
      <c r="I605" s="573"/>
      <c r="J605" s="573"/>
      <c r="K605" s="573"/>
      <c r="L605" s="573"/>
      <c r="M605" s="573"/>
    </row>
    <row r="606" spans="2:18" ht="14.25" customHeight="1" thickBot="1" x14ac:dyDescent="0.35"/>
    <row r="607" spans="2:18" ht="16.5" thickBot="1" x14ac:dyDescent="0.35">
      <c r="B607" s="913"/>
      <c r="C607" s="914" t="s">
        <v>2756</v>
      </c>
      <c r="D607" s="916">
        <v>0.05</v>
      </c>
      <c r="E607" s="461" t="s">
        <v>2748</v>
      </c>
    </row>
    <row r="608" spans="2:18" x14ac:dyDescent="0.3">
      <c r="B608" s="363"/>
      <c r="C608" s="363">
        <v>44771</v>
      </c>
      <c r="D608" s="363">
        <v>45136</v>
      </c>
      <c r="E608" s="363">
        <v>45502</v>
      </c>
      <c r="F608" s="363">
        <v>45867</v>
      </c>
      <c r="G608" s="363">
        <v>46232</v>
      </c>
      <c r="H608" s="363">
        <v>46597</v>
      </c>
      <c r="I608" s="363">
        <v>46963</v>
      </c>
      <c r="J608" s="363">
        <v>47328</v>
      </c>
      <c r="K608" s="363">
        <v>47693</v>
      </c>
      <c r="L608" s="363">
        <v>48058</v>
      </c>
      <c r="M608" s="363">
        <v>48424</v>
      </c>
      <c r="N608" s="363">
        <v>48789</v>
      </c>
      <c r="O608" s="363">
        <v>49154</v>
      </c>
    </row>
    <row r="609" spans="2:18" x14ac:dyDescent="0.3">
      <c r="B609" s="463" t="s">
        <v>1318</v>
      </c>
      <c r="C609" s="915">
        <v>0</v>
      </c>
      <c r="D609" s="930">
        <v>34246406.25</v>
      </c>
      <c r="E609" s="930">
        <v>34246406.25</v>
      </c>
      <c r="F609" s="930">
        <v>34246406.25</v>
      </c>
      <c r="G609" s="930">
        <v>34246406.25</v>
      </c>
      <c r="H609" s="930">
        <v>34246406.25</v>
      </c>
      <c r="I609" s="930">
        <v>34246406.25</v>
      </c>
      <c r="J609" s="930">
        <v>34246406.25</v>
      </c>
      <c r="K609" s="930">
        <v>34246406.25</v>
      </c>
      <c r="L609" s="930">
        <v>34246406.25</v>
      </c>
      <c r="M609" s="930">
        <v>34246406.25</v>
      </c>
      <c r="N609" s="930">
        <v>34246406.25</v>
      </c>
      <c r="O609" s="930">
        <v>34246406.25</v>
      </c>
      <c r="P609" s="929"/>
      <c r="Q609" s="929"/>
      <c r="R609" s="929"/>
    </row>
    <row r="610" spans="2:18" x14ac:dyDescent="0.3">
      <c r="B610" s="463" t="s">
        <v>1320</v>
      </c>
      <c r="C610" s="928">
        <v>410956875</v>
      </c>
      <c r="D610" s="928">
        <v>376710468.75</v>
      </c>
      <c r="E610" s="928">
        <v>342464062.5</v>
      </c>
      <c r="F610" s="928">
        <v>308217656.25</v>
      </c>
      <c r="G610" s="928">
        <v>273971250</v>
      </c>
      <c r="H610" s="928">
        <v>239724843.75</v>
      </c>
      <c r="I610" s="928">
        <v>205478437.5</v>
      </c>
      <c r="J610" s="928">
        <v>171232031.25</v>
      </c>
      <c r="K610" s="928">
        <v>136985625</v>
      </c>
      <c r="L610" s="928">
        <v>102739218.75</v>
      </c>
      <c r="M610" s="928">
        <v>68492812.5</v>
      </c>
      <c r="N610" s="928">
        <v>34246406.25</v>
      </c>
      <c r="O610" s="928">
        <v>0</v>
      </c>
      <c r="P610" s="929"/>
      <c r="Q610" s="929"/>
      <c r="R610" s="929"/>
    </row>
    <row r="611" spans="2:18" x14ac:dyDescent="0.3">
      <c r="B611" s="463" t="s">
        <v>1321</v>
      </c>
      <c r="C611" s="931">
        <v>20547843.75</v>
      </c>
      <c r="D611" s="930">
        <v>20547843.75</v>
      </c>
      <c r="E611" s="930">
        <v>18835523.4375</v>
      </c>
      <c r="F611" s="930">
        <v>17123203.125</v>
      </c>
      <c r="G611" s="930">
        <v>15410882.8125</v>
      </c>
      <c r="H611" s="930">
        <v>13698562.5</v>
      </c>
      <c r="I611" s="930">
        <v>11986242.1875</v>
      </c>
      <c r="J611" s="930">
        <v>10273921.875</v>
      </c>
      <c r="K611" s="930">
        <v>8561601.5625</v>
      </c>
      <c r="L611" s="930">
        <v>6849281.25</v>
      </c>
      <c r="M611" s="930">
        <v>5136960.9375</v>
      </c>
      <c r="N611" s="930">
        <v>3424640.625</v>
      </c>
      <c r="O611" s="930">
        <v>1712320.3125</v>
      </c>
      <c r="P611" s="929">
        <v>0</v>
      </c>
      <c r="Q611" s="929">
        <v>0</v>
      </c>
      <c r="R611" s="929"/>
    </row>
    <row r="612" spans="2:18" x14ac:dyDescent="0.3">
      <c r="B612" s="463" t="s">
        <v>1322</v>
      </c>
      <c r="C612" s="915">
        <f>+C611+C609</f>
        <v>20547843.75</v>
      </c>
      <c r="D612" s="915">
        <f>+D611+D609</f>
        <v>54794250</v>
      </c>
      <c r="E612" s="915">
        <f>+E611+E609</f>
        <v>53081929.6875</v>
      </c>
      <c r="F612" s="915">
        <f t="shared" ref="F612:O612" si="203">+F611+F609</f>
        <v>51369609.375</v>
      </c>
      <c r="G612" s="915">
        <f t="shared" si="203"/>
        <v>49657289.0625</v>
      </c>
      <c r="H612" s="915">
        <f t="shared" si="203"/>
        <v>47944968.75</v>
      </c>
      <c r="I612" s="915">
        <f t="shared" si="203"/>
        <v>46232648.4375</v>
      </c>
      <c r="J612" s="915">
        <f t="shared" si="203"/>
        <v>44520328.125</v>
      </c>
      <c r="K612" s="915">
        <f t="shared" si="203"/>
        <v>42808007.8125</v>
      </c>
      <c r="L612" s="915">
        <f t="shared" si="203"/>
        <v>41095687.5</v>
      </c>
      <c r="M612" s="915">
        <f t="shared" si="203"/>
        <v>39383367.1875</v>
      </c>
      <c r="N612" s="915">
        <f t="shared" si="203"/>
        <v>37671046.875</v>
      </c>
      <c r="O612" s="915">
        <f t="shared" si="203"/>
        <v>35958726.5625</v>
      </c>
    </row>
    <row r="613" spans="2:18" x14ac:dyDescent="0.3">
      <c r="B613" s="463" t="s">
        <v>1323</v>
      </c>
      <c r="C613" s="699">
        <f t="shared" ref="C613:O613" si="204">+IF(C608&gt;$C$1,C612,0)</f>
        <v>0</v>
      </c>
      <c r="D613" s="699">
        <f t="shared" si="204"/>
        <v>0</v>
      </c>
      <c r="E613" s="699">
        <f t="shared" si="204"/>
        <v>0</v>
      </c>
      <c r="F613" s="699">
        <f t="shared" si="204"/>
        <v>0</v>
      </c>
      <c r="G613" s="699">
        <f t="shared" si="204"/>
        <v>49657289.0625</v>
      </c>
      <c r="H613" s="699">
        <f t="shared" si="204"/>
        <v>47944968.75</v>
      </c>
      <c r="I613" s="699">
        <f t="shared" si="204"/>
        <v>46232648.4375</v>
      </c>
      <c r="J613" s="699">
        <f t="shared" si="204"/>
        <v>44520328.125</v>
      </c>
      <c r="K613" s="699">
        <f t="shared" si="204"/>
        <v>42808007.8125</v>
      </c>
      <c r="L613" s="699">
        <f t="shared" si="204"/>
        <v>41095687.5</v>
      </c>
      <c r="M613" s="699">
        <f t="shared" si="204"/>
        <v>39383367.1875</v>
      </c>
      <c r="N613" s="699">
        <f t="shared" si="204"/>
        <v>37671046.875</v>
      </c>
      <c r="O613" s="699">
        <f t="shared" si="204"/>
        <v>35958726.5625</v>
      </c>
    </row>
    <row r="614" spans="2:18" x14ac:dyDescent="0.3">
      <c r="B614" s="463" t="s">
        <v>1324</v>
      </c>
      <c r="C614" s="915">
        <f t="shared" ref="C614:O614" si="205">+(C608-$C$1)/365</f>
        <v>-3.6602739726027398</v>
      </c>
      <c r="D614" s="919">
        <f t="shared" si="205"/>
        <v>-2.6602739726027398</v>
      </c>
      <c r="E614" s="919">
        <f t="shared" si="205"/>
        <v>-1.6575342465753424</v>
      </c>
      <c r="F614" s="919">
        <f t="shared" si="205"/>
        <v>-0.65753424657534243</v>
      </c>
      <c r="G614" s="919">
        <f t="shared" si="205"/>
        <v>0.34246575342465752</v>
      </c>
      <c r="H614" s="919">
        <f t="shared" si="205"/>
        <v>1.3424657534246576</v>
      </c>
      <c r="I614" s="919">
        <f t="shared" si="205"/>
        <v>2.3452054794520549</v>
      </c>
      <c r="J614" s="919">
        <f t="shared" si="205"/>
        <v>3.3452054794520549</v>
      </c>
      <c r="K614" s="919">
        <f t="shared" si="205"/>
        <v>4.3452054794520549</v>
      </c>
      <c r="L614" s="919">
        <f t="shared" si="205"/>
        <v>5.3452054794520549</v>
      </c>
      <c r="M614" s="919">
        <f t="shared" si="205"/>
        <v>6.3479452054794523</v>
      </c>
      <c r="N614" s="919">
        <f t="shared" si="205"/>
        <v>7.3479452054794523</v>
      </c>
      <c r="O614" s="919">
        <f t="shared" si="205"/>
        <v>8.3479452054794514</v>
      </c>
    </row>
    <row r="615" spans="2:18" x14ac:dyDescent="0.3">
      <c r="B615" s="463" t="s">
        <v>1325</v>
      </c>
      <c r="C615" s="918" cm="1">
        <f t="array" ref="C615">ROUND(IF((C608-$C$1)&lt;=365,interpoler(mat_court,taux_court_act,(C608-$C$1)),interpoler(CIH!$K$72:$K$103,CIH!$L$72:$L$103,C614)),5)</f>
        <v>2.3279999999999999E-2</v>
      </c>
      <c r="D615" s="918" cm="1">
        <f t="array" ref="D615">ROUND(IF((D608-$C$1)&lt;=365,interpoler(mat_court,taux_court_act,(D608-$C$1)),interpoler(CIH!$K$72:$K$103,CIH!$L$72:$L$103,D614)),5)</f>
        <v>2.3279999999999999E-2</v>
      </c>
      <c r="E615" s="918" cm="1">
        <f t="array" ref="E615">ROUND(IF((E608-$C$1)&lt;=365,interpoler(mat_court,taux_court_act,(E608-$C$1)),interpoler(CIH!$K$72:$K$103,CIH!$L$72:$L$103,E614)),5)</f>
        <v>2.3279999999999999E-2</v>
      </c>
      <c r="F615" s="918" cm="1">
        <f t="array" ref="F615">ROUND(IF((F608-$C$1)&lt;=365,interpoler(mat_court,taux_court_act,(F608-$C$1)),interpoler(CIH!$K$72:$K$103,CIH!$L$72:$L$103,F614)),5)</f>
        <v>2.3279999999999999E-2</v>
      </c>
      <c r="G615" s="918" cm="1">
        <f t="array" ref="G615">ROUND(IF((G608-$C$1)&lt;=365,interpoler(mat_court,taux_court_act,(G608-$C$1)),interpoler(CIH!$K$72:$K$103,CIH!$L$72:$L$103,G614)),5)</f>
        <v>2.376E-2</v>
      </c>
      <c r="H615" s="918" cm="1">
        <f t="array" ref="H615">ROUND(IF((H608-$C$1)&lt;=365,interpoler(mat_court,taux_court_act,(H608-$C$1)),interpoler(CIH!$K$72:$K$103,CIH!$L$72:$L$103,H614)),5)</f>
        <v>2.5680000000000001E-2</v>
      </c>
      <c r="I615" s="918" cm="1">
        <f t="array" ref="I615">ROUND(IF((I608-$C$1)&lt;=365,interpoler(mat_court,taux_court_act,(I608-$C$1)),interpoler(CIH!$K$72:$K$103,CIH!$L$72:$L$103,I614)),5)</f>
        <v>2.724E-2</v>
      </c>
      <c r="J615" s="918" cm="1">
        <f t="array" ref="J615">ROUND(IF((J608-$C$1)&lt;=365,interpoler(mat_court,taux_court_act,(J608-$C$1)),interpoler(CIH!$K$72:$K$103,CIH!$L$72:$L$103,J614)),5)</f>
        <v>2.8799999999999999E-2</v>
      </c>
      <c r="K615" s="918" cm="1">
        <f t="array" ref="K615">ROUND(IF((K608-$C$1)&lt;=365,interpoler(mat_court,taux_court_act,(K608-$C$1)),interpoler(CIH!$K$72:$K$103,CIH!$L$72:$L$103,K614)),5)</f>
        <v>3.0200000000000001E-2</v>
      </c>
      <c r="L615" s="918" cm="1">
        <f t="array" ref="L615">ROUND(IF((L608-$C$1)&lt;=365,interpoler(mat_court,taux_court_act,(L608-$C$1)),interpoler(CIH!$K$72:$K$103,CIH!$L$72:$L$103,L614)),5)</f>
        <v>3.109E-2</v>
      </c>
      <c r="M615" s="918" cm="1">
        <f t="array" ref="M615">ROUND(IF((M608-$C$1)&lt;=365,interpoler(mat_court,taux_court_act,(M608-$C$1)),interpoler(CIH!$K$72:$K$103,CIH!$L$72:$L$103,M614)),5)</f>
        <v>3.1609999999999999E-2</v>
      </c>
      <c r="N615" s="918">
        <f>ROUND(IF((N608-$C$1)&lt;=365,interpoler(mat_court,taux_court_act,(N608-$C$1)),interpoler(CIH!$K$72:$K$103,CIH!$L$72:$L$103,N614)),5)</f>
        <v>3.2120000000000003E-2</v>
      </c>
      <c r="O615" s="918">
        <f>ROUND(IF((O608-$C$1)&lt;=365,interpoler(mat_court,taux_court_act,(O608-$C$1)),interpoler(CIH!$K$72:$K$103,CIH!$L$72:$L$103,O614)),5)</f>
        <v>3.2629999999999999E-2</v>
      </c>
    </row>
    <row r="616" spans="2:18" x14ac:dyDescent="0.3">
      <c r="B616" s="463" t="s">
        <v>1328</v>
      </c>
      <c r="C616" s="697"/>
      <c r="D616" s="697"/>
      <c r="E616" s="697"/>
      <c r="F616" s="697"/>
      <c r="G616" s="697"/>
      <c r="H616" s="697"/>
      <c r="I616" s="697"/>
      <c r="J616" s="697"/>
    </row>
    <row r="617" spans="2:18" x14ac:dyDescent="0.3">
      <c r="B617" s="463" t="s">
        <v>1329</v>
      </c>
      <c r="C617" s="697">
        <f t="shared" ref="C617:O617" si="206">ROUND((C615+C616),5)</f>
        <v>2.3279999999999999E-2</v>
      </c>
      <c r="D617" s="697">
        <f t="shared" si="206"/>
        <v>2.3279999999999999E-2</v>
      </c>
      <c r="E617" s="697">
        <f t="shared" si="206"/>
        <v>2.3279999999999999E-2</v>
      </c>
      <c r="F617" s="697">
        <f t="shared" si="206"/>
        <v>2.3279999999999999E-2</v>
      </c>
      <c r="G617" s="697">
        <f t="shared" si="206"/>
        <v>2.376E-2</v>
      </c>
      <c r="H617" s="697">
        <f t="shared" si="206"/>
        <v>2.5680000000000001E-2</v>
      </c>
      <c r="I617" s="697">
        <f t="shared" si="206"/>
        <v>2.724E-2</v>
      </c>
      <c r="J617" s="697">
        <f t="shared" si="206"/>
        <v>2.8799999999999999E-2</v>
      </c>
      <c r="K617" s="697">
        <f t="shared" si="206"/>
        <v>3.0200000000000001E-2</v>
      </c>
      <c r="L617" s="697">
        <f t="shared" si="206"/>
        <v>3.109E-2</v>
      </c>
      <c r="M617" s="697">
        <f t="shared" si="206"/>
        <v>3.1609999999999999E-2</v>
      </c>
      <c r="N617" s="697">
        <f t="shared" si="206"/>
        <v>3.2120000000000003E-2</v>
      </c>
      <c r="O617" s="697">
        <f t="shared" si="206"/>
        <v>3.2629999999999999E-2</v>
      </c>
    </row>
    <row r="618" spans="2:18" x14ac:dyDescent="0.3">
      <c r="B618" s="463"/>
      <c r="C618" s="915">
        <f t="shared" ref="C618:O618" si="207">ROUND(C613/(1+($C$582))^C614,4)</f>
        <v>0</v>
      </c>
      <c r="D618" s="915">
        <f t="shared" si="207"/>
        <v>0</v>
      </c>
      <c r="E618" s="915">
        <f t="shared" si="207"/>
        <v>0</v>
      </c>
      <c r="F618" s="915">
        <f t="shared" si="207"/>
        <v>0</v>
      </c>
      <c r="G618" s="915">
        <f t="shared" si="207"/>
        <v>49267467.332999997</v>
      </c>
      <c r="H618" s="915">
        <f t="shared" si="207"/>
        <v>46486386.081200004</v>
      </c>
      <c r="I618" s="915">
        <f t="shared" si="207"/>
        <v>43803584.374200001</v>
      </c>
      <c r="J618" s="915">
        <f t="shared" si="207"/>
        <v>41221590.764399998</v>
      </c>
      <c r="K618" s="915">
        <f t="shared" si="207"/>
        <v>38734407.948700003</v>
      </c>
      <c r="L618" s="915">
        <f t="shared" si="207"/>
        <v>36339058.352300003</v>
      </c>
      <c r="M618" s="915">
        <f t="shared" si="207"/>
        <v>34030505.127999999</v>
      </c>
      <c r="N618" s="915">
        <f t="shared" si="207"/>
        <v>31810372.477299999</v>
      </c>
      <c r="O618" s="915">
        <f t="shared" si="207"/>
        <v>29673644.022700001</v>
      </c>
    </row>
    <row r="619" spans="2:18" x14ac:dyDescent="0.3">
      <c r="B619" s="367"/>
      <c r="C619" s="367"/>
      <c r="D619" s="488"/>
      <c r="E619" s="488"/>
      <c r="F619" s="488"/>
      <c r="G619" s="488"/>
      <c r="H619" s="488"/>
      <c r="I619" s="488"/>
      <c r="J619" s="488"/>
    </row>
    <row r="620" spans="2:18" x14ac:dyDescent="0.3">
      <c r="B620" s="585" t="s">
        <v>650</v>
      </c>
      <c r="C620" s="920">
        <f>SUM(C618:O618)</f>
        <v>351367016.48180002</v>
      </c>
      <c r="D620" s="500"/>
      <c r="E620" s="430"/>
      <c r="F620" s="361"/>
      <c r="G620" s="365"/>
      <c r="H620" s="365"/>
      <c r="I620" s="365"/>
      <c r="J620" s="365"/>
    </row>
    <row r="621" spans="2:18" x14ac:dyDescent="0.3">
      <c r="B621" s="585" t="s">
        <v>1331</v>
      </c>
      <c r="C621" s="586">
        <v>5.0299487597405603</v>
      </c>
      <c r="D621" s="365"/>
      <c r="E621" s="488"/>
      <c r="F621" s="773"/>
      <c r="G621" s="773"/>
      <c r="H621" s="773"/>
      <c r="I621" s="363"/>
      <c r="J621" s="363"/>
    </row>
    <row r="625" spans="1:87" s="462" customFormat="1" ht="13.5" customHeight="1" x14ac:dyDescent="0.3">
      <c r="A625" s="461"/>
      <c r="B625" s="879" t="s">
        <v>2727</v>
      </c>
      <c r="C625" s="879">
        <v>9467</v>
      </c>
      <c r="D625" s="691">
        <v>5.0000000000000001E-3</v>
      </c>
      <c r="E625"/>
      <c r="F625"/>
      <c r="G625"/>
      <c r="H625" s="461"/>
      <c r="I625" s="461"/>
      <c r="J625" s="461"/>
      <c r="K625" s="461"/>
      <c r="L625" s="461"/>
      <c r="M625" s="461"/>
      <c r="N625" s="461"/>
      <c r="O625" s="461"/>
      <c r="P625" s="461"/>
      <c r="Q625" s="461"/>
      <c r="R625" s="461"/>
      <c r="S625" s="461"/>
      <c r="T625" s="461"/>
      <c r="U625" s="461"/>
      <c r="V625" s="461"/>
      <c r="W625" s="461"/>
      <c r="X625" s="461"/>
      <c r="Y625" s="461"/>
      <c r="Z625" s="461"/>
      <c r="AA625" s="461"/>
      <c r="AB625" s="461"/>
      <c r="AC625" s="461"/>
      <c r="AD625" s="461"/>
      <c r="AE625" s="461"/>
      <c r="AF625" s="461"/>
      <c r="AG625" s="461"/>
      <c r="AH625" s="461"/>
      <c r="AI625" s="461"/>
      <c r="AJ625" s="461"/>
      <c r="AK625" s="461"/>
      <c r="AL625" s="461"/>
      <c r="AM625" s="461"/>
      <c r="AN625" s="461"/>
      <c r="AO625" s="461"/>
      <c r="AP625" s="461"/>
      <c r="AQ625" s="461"/>
      <c r="AR625" s="461"/>
      <c r="AS625" s="461"/>
      <c r="AT625" s="461"/>
      <c r="AU625" s="461"/>
      <c r="AV625" s="461"/>
      <c r="AW625" s="461"/>
      <c r="AX625" s="461"/>
      <c r="AY625" s="461"/>
      <c r="AZ625" s="461"/>
      <c r="BA625" s="461"/>
      <c r="BB625" s="461"/>
      <c r="BC625" s="461"/>
      <c r="BD625" s="461"/>
      <c r="BE625" s="461"/>
      <c r="BF625" s="461"/>
      <c r="BG625" s="461"/>
      <c r="BH625" s="461"/>
      <c r="BI625" s="461"/>
      <c r="BJ625" s="461"/>
      <c r="BK625" s="461"/>
      <c r="BL625" s="461"/>
      <c r="BM625" s="461"/>
      <c r="BN625" s="461"/>
      <c r="BO625" s="461"/>
      <c r="BP625" s="461"/>
      <c r="BQ625" s="461"/>
      <c r="BR625" s="461"/>
      <c r="BS625" s="461"/>
      <c r="BT625" s="461"/>
      <c r="BU625" s="461"/>
      <c r="BV625" s="461"/>
      <c r="BW625" s="461"/>
      <c r="BX625" s="461"/>
      <c r="BY625" s="461"/>
      <c r="BZ625" s="461"/>
      <c r="CA625" s="461"/>
      <c r="CB625" s="461"/>
      <c r="CC625" s="461"/>
      <c r="CD625" s="461"/>
      <c r="CE625" s="461"/>
      <c r="CF625" s="461"/>
      <c r="CG625" s="461"/>
      <c r="CH625" s="461"/>
      <c r="CI625" s="461"/>
    </row>
    <row r="626" spans="1:87" x14ac:dyDescent="0.3">
      <c r="B626" s="364"/>
      <c r="C626" s="364" t="s">
        <v>105</v>
      </c>
      <c r="D626" s="365">
        <v>3.61E-2</v>
      </c>
      <c r="E626" s="365"/>
      <c r="F626" s="361"/>
      <c r="G626" s="363"/>
      <c r="H626" s="573"/>
      <c r="I626" s="573"/>
      <c r="J626" s="573"/>
      <c r="K626" s="573"/>
      <c r="L626" s="573"/>
      <c r="M626" s="573"/>
    </row>
    <row r="627" spans="1:87" x14ac:dyDescent="0.3">
      <c r="B627" s="882"/>
      <c r="C627" s="883">
        <v>44046</v>
      </c>
      <c r="D627" s="883">
        <v>44411</v>
      </c>
      <c r="E627" s="883">
        <v>44776</v>
      </c>
      <c r="F627" s="883">
        <v>45141</v>
      </c>
      <c r="G627" s="883">
        <v>45507</v>
      </c>
      <c r="H627" s="883">
        <v>45872</v>
      </c>
      <c r="I627" s="883">
        <v>46237</v>
      </c>
      <c r="J627" s="883">
        <v>46602</v>
      </c>
      <c r="K627" s="883">
        <v>46968</v>
      </c>
      <c r="L627" s="883">
        <v>47333</v>
      </c>
      <c r="M627" s="883">
        <v>47698</v>
      </c>
      <c r="N627" s="883">
        <v>48063</v>
      </c>
      <c r="O627" s="883">
        <v>48429</v>
      </c>
      <c r="P627" s="883">
        <v>48794</v>
      </c>
      <c r="Q627" s="883">
        <v>49159</v>
      </c>
      <c r="R627" s="883">
        <v>49524</v>
      </c>
      <c r="S627" s="883">
        <v>49890</v>
      </c>
      <c r="T627" s="883">
        <v>50255</v>
      </c>
      <c r="U627" s="883">
        <v>50620</v>
      </c>
      <c r="V627" s="883">
        <v>50985</v>
      </c>
      <c r="W627" s="883">
        <v>51351</v>
      </c>
      <c r="X627" s="883">
        <v>51716</v>
      </c>
      <c r="Y627" s="883">
        <v>52081</v>
      </c>
      <c r="Z627" s="883">
        <v>52446</v>
      </c>
      <c r="AA627" s="883">
        <v>52812</v>
      </c>
      <c r="AB627" s="883">
        <v>53177</v>
      </c>
      <c r="AC627" s="883">
        <v>53542</v>
      </c>
      <c r="AD627" s="883">
        <v>53907</v>
      </c>
      <c r="AE627" s="883">
        <v>54273</v>
      </c>
      <c r="AF627" s="883">
        <v>54638</v>
      </c>
      <c r="AG627" s="883">
        <v>55003</v>
      </c>
    </row>
    <row r="628" spans="1:87" x14ac:dyDescent="0.3">
      <c r="B628" s="884" t="s">
        <v>1318</v>
      </c>
      <c r="C628" s="885"/>
      <c r="D628" s="886">
        <f>100000/30</f>
        <v>3333.3333333333335</v>
      </c>
      <c r="E628" s="886">
        <f t="shared" ref="E628:AG628" si="208">100000/30</f>
        <v>3333.3333333333335</v>
      </c>
      <c r="F628" s="886">
        <f t="shared" si="208"/>
        <v>3333.3333333333335</v>
      </c>
      <c r="G628" s="886">
        <f t="shared" si="208"/>
        <v>3333.3333333333335</v>
      </c>
      <c r="H628" s="886">
        <f t="shared" si="208"/>
        <v>3333.3333333333335</v>
      </c>
      <c r="I628" s="886">
        <f t="shared" si="208"/>
        <v>3333.3333333333335</v>
      </c>
      <c r="J628" s="886">
        <f t="shared" si="208"/>
        <v>3333.3333333333335</v>
      </c>
      <c r="K628" s="886">
        <f t="shared" si="208"/>
        <v>3333.3333333333335</v>
      </c>
      <c r="L628" s="886">
        <f t="shared" si="208"/>
        <v>3333.3333333333335</v>
      </c>
      <c r="M628" s="886">
        <f t="shared" si="208"/>
        <v>3333.3333333333335</v>
      </c>
      <c r="N628" s="886">
        <f t="shared" si="208"/>
        <v>3333.3333333333335</v>
      </c>
      <c r="O628" s="886">
        <f t="shared" si="208"/>
        <v>3333.3333333333335</v>
      </c>
      <c r="P628" s="886">
        <f t="shared" si="208"/>
        <v>3333.3333333333335</v>
      </c>
      <c r="Q628" s="886">
        <f t="shared" si="208"/>
        <v>3333.3333333333335</v>
      </c>
      <c r="R628" s="886">
        <f t="shared" si="208"/>
        <v>3333.3333333333335</v>
      </c>
      <c r="S628" s="886">
        <f t="shared" si="208"/>
        <v>3333.3333333333335</v>
      </c>
      <c r="T628" s="886">
        <f t="shared" si="208"/>
        <v>3333.3333333333335</v>
      </c>
      <c r="U628" s="886">
        <f t="shared" si="208"/>
        <v>3333.3333333333335</v>
      </c>
      <c r="V628" s="886">
        <f t="shared" si="208"/>
        <v>3333.3333333333335</v>
      </c>
      <c r="W628" s="886">
        <f t="shared" si="208"/>
        <v>3333.3333333333335</v>
      </c>
      <c r="X628" s="886">
        <f t="shared" si="208"/>
        <v>3333.3333333333335</v>
      </c>
      <c r="Y628" s="886">
        <f t="shared" si="208"/>
        <v>3333.3333333333335</v>
      </c>
      <c r="Z628" s="886">
        <f t="shared" si="208"/>
        <v>3333.3333333333335</v>
      </c>
      <c r="AA628" s="886">
        <f t="shared" si="208"/>
        <v>3333.3333333333335</v>
      </c>
      <c r="AB628" s="886">
        <f t="shared" si="208"/>
        <v>3333.3333333333335</v>
      </c>
      <c r="AC628" s="886">
        <f t="shared" si="208"/>
        <v>3333.3333333333335</v>
      </c>
      <c r="AD628" s="886">
        <f t="shared" si="208"/>
        <v>3333.3333333333335</v>
      </c>
      <c r="AE628" s="886">
        <f t="shared" si="208"/>
        <v>3333.3333333333335</v>
      </c>
      <c r="AF628" s="886">
        <f t="shared" si="208"/>
        <v>3333.3333333333335</v>
      </c>
      <c r="AG628" s="886">
        <f t="shared" si="208"/>
        <v>3333.3333333333335</v>
      </c>
    </row>
    <row r="629" spans="1:87" x14ac:dyDescent="0.3">
      <c r="B629" s="884" t="s">
        <v>1320</v>
      </c>
      <c r="C629" s="887">
        <v>100000</v>
      </c>
      <c r="D629" s="888">
        <f t="shared" ref="D629:AG629" si="209">+C629-D628</f>
        <v>96666.666666666672</v>
      </c>
      <c r="E629" s="888">
        <f t="shared" si="209"/>
        <v>93333.333333333343</v>
      </c>
      <c r="F629" s="888">
        <f t="shared" si="209"/>
        <v>90000.000000000015</v>
      </c>
      <c r="G629" s="888">
        <f t="shared" si="209"/>
        <v>86666.666666666686</v>
      </c>
      <c r="H629" s="888">
        <f t="shared" si="209"/>
        <v>83333.333333333358</v>
      </c>
      <c r="I629" s="888">
        <f t="shared" si="209"/>
        <v>80000.000000000029</v>
      </c>
      <c r="J629" s="888">
        <f t="shared" si="209"/>
        <v>76666.666666666701</v>
      </c>
      <c r="K629" s="888">
        <f t="shared" si="209"/>
        <v>73333.333333333372</v>
      </c>
      <c r="L629" s="888">
        <f t="shared" si="209"/>
        <v>70000.000000000044</v>
      </c>
      <c r="M629" s="888">
        <f t="shared" si="209"/>
        <v>66666.666666666715</v>
      </c>
      <c r="N629" s="888">
        <f t="shared" si="209"/>
        <v>63333.333333333379</v>
      </c>
      <c r="O629" s="888">
        <f t="shared" si="209"/>
        <v>60000.000000000044</v>
      </c>
      <c r="P629" s="888">
        <f t="shared" si="209"/>
        <v>56666.666666666708</v>
      </c>
      <c r="Q629" s="888">
        <f t="shared" si="209"/>
        <v>53333.333333333372</v>
      </c>
      <c r="R629" s="888">
        <f t="shared" si="209"/>
        <v>50000.000000000036</v>
      </c>
      <c r="S629" s="888">
        <f t="shared" si="209"/>
        <v>46666.666666666701</v>
      </c>
      <c r="T629" s="888">
        <f t="shared" si="209"/>
        <v>43333.333333333365</v>
      </c>
      <c r="U629" s="888">
        <f t="shared" si="209"/>
        <v>40000.000000000029</v>
      </c>
      <c r="V629" s="888">
        <f t="shared" si="209"/>
        <v>36666.666666666693</v>
      </c>
      <c r="W629" s="888">
        <f t="shared" si="209"/>
        <v>33333.333333333358</v>
      </c>
      <c r="X629" s="888">
        <f t="shared" si="209"/>
        <v>30000.000000000025</v>
      </c>
      <c r="Y629" s="888">
        <f t="shared" si="209"/>
        <v>26666.666666666693</v>
      </c>
      <c r="Z629" s="888">
        <f t="shared" si="209"/>
        <v>23333.333333333361</v>
      </c>
      <c r="AA629" s="888">
        <f t="shared" si="209"/>
        <v>20000.000000000029</v>
      </c>
      <c r="AB629" s="888">
        <f t="shared" si="209"/>
        <v>16666.666666666697</v>
      </c>
      <c r="AC629" s="888">
        <f t="shared" si="209"/>
        <v>13333.333333333363</v>
      </c>
      <c r="AD629" s="888">
        <f t="shared" si="209"/>
        <v>10000.000000000029</v>
      </c>
      <c r="AE629" s="888">
        <f t="shared" si="209"/>
        <v>6666.6666666666952</v>
      </c>
      <c r="AF629" s="888">
        <f t="shared" si="209"/>
        <v>3333.3333333333617</v>
      </c>
      <c r="AG629" s="888">
        <f t="shared" si="209"/>
        <v>2.8194335754960775E-11</v>
      </c>
    </row>
    <row r="630" spans="1:87" x14ac:dyDescent="0.3">
      <c r="B630" s="884" t="s">
        <v>1321</v>
      </c>
      <c r="C630" s="885"/>
      <c r="D630" s="890">
        <f t="shared" ref="D630:AG630" si="210">ROUND(C629*$D$626,2)</f>
        <v>3610</v>
      </c>
      <c r="E630" s="890">
        <f t="shared" si="210"/>
        <v>3489.67</v>
      </c>
      <c r="F630" s="890">
        <f t="shared" si="210"/>
        <v>3369.33</v>
      </c>
      <c r="G630" s="890">
        <f t="shared" si="210"/>
        <v>3249</v>
      </c>
      <c r="H630" s="890">
        <f t="shared" si="210"/>
        <v>3128.67</v>
      </c>
      <c r="I630" s="890">
        <f t="shared" si="210"/>
        <v>3008.33</v>
      </c>
      <c r="J630" s="890">
        <f t="shared" si="210"/>
        <v>2888</v>
      </c>
      <c r="K630" s="890">
        <f t="shared" si="210"/>
        <v>2767.67</v>
      </c>
      <c r="L630" s="890">
        <f t="shared" si="210"/>
        <v>2647.33</v>
      </c>
      <c r="M630" s="890">
        <f t="shared" si="210"/>
        <v>2527</v>
      </c>
      <c r="N630" s="890">
        <f t="shared" si="210"/>
        <v>2406.67</v>
      </c>
      <c r="O630" s="890">
        <f t="shared" si="210"/>
        <v>2286.33</v>
      </c>
      <c r="P630" s="890">
        <f t="shared" si="210"/>
        <v>2166</v>
      </c>
      <c r="Q630" s="890">
        <f t="shared" si="210"/>
        <v>2045.67</v>
      </c>
      <c r="R630" s="890">
        <f t="shared" si="210"/>
        <v>1925.33</v>
      </c>
      <c r="S630" s="890">
        <f t="shared" si="210"/>
        <v>1805</v>
      </c>
      <c r="T630" s="890">
        <f t="shared" si="210"/>
        <v>1684.67</v>
      </c>
      <c r="U630" s="890">
        <f t="shared" si="210"/>
        <v>1564.33</v>
      </c>
      <c r="V630" s="890">
        <f t="shared" si="210"/>
        <v>1444</v>
      </c>
      <c r="W630" s="890">
        <f t="shared" si="210"/>
        <v>1323.67</v>
      </c>
      <c r="X630" s="890">
        <f t="shared" si="210"/>
        <v>1203.33</v>
      </c>
      <c r="Y630" s="890">
        <f t="shared" si="210"/>
        <v>1083</v>
      </c>
      <c r="Z630" s="890">
        <f t="shared" si="210"/>
        <v>962.67</v>
      </c>
      <c r="AA630" s="890">
        <f t="shared" si="210"/>
        <v>842.33</v>
      </c>
      <c r="AB630" s="890">
        <f t="shared" si="210"/>
        <v>722</v>
      </c>
      <c r="AC630" s="890">
        <f t="shared" si="210"/>
        <v>601.66999999999996</v>
      </c>
      <c r="AD630" s="890">
        <f t="shared" si="210"/>
        <v>481.33</v>
      </c>
      <c r="AE630" s="890">
        <f t="shared" si="210"/>
        <v>361</v>
      </c>
      <c r="AF630" s="890">
        <f t="shared" si="210"/>
        <v>240.67</v>
      </c>
      <c r="AG630" s="890">
        <f t="shared" si="210"/>
        <v>120.33</v>
      </c>
    </row>
    <row r="631" spans="1:87" x14ac:dyDescent="0.3">
      <c r="B631" s="884" t="s">
        <v>1322</v>
      </c>
      <c r="C631" s="885"/>
      <c r="D631" s="888">
        <f>+D630+D628</f>
        <v>6943.3333333333339</v>
      </c>
      <c r="E631" s="888">
        <f t="shared" ref="E631:AG631" si="211">+E630+E628</f>
        <v>6823.003333333334</v>
      </c>
      <c r="F631" s="888">
        <f>+F630+F628</f>
        <v>6702.6633333333339</v>
      </c>
      <c r="G631" s="888">
        <f t="shared" si="211"/>
        <v>6582.3333333333339</v>
      </c>
      <c r="H631" s="888">
        <f t="shared" si="211"/>
        <v>6462.003333333334</v>
      </c>
      <c r="I631" s="888">
        <f t="shared" si="211"/>
        <v>6341.6633333333339</v>
      </c>
      <c r="J631" s="888">
        <f t="shared" si="211"/>
        <v>6221.3333333333339</v>
      </c>
      <c r="K631" s="888">
        <f t="shared" si="211"/>
        <v>6101.003333333334</v>
      </c>
      <c r="L631" s="888">
        <f t="shared" si="211"/>
        <v>5980.6633333333339</v>
      </c>
      <c r="M631" s="888">
        <f t="shared" si="211"/>
        <v>5860.3333333333339</v>
      </c>
      <c r="N631" s="888">
        <f t="shared" si="211"/>
        <v>5740.003333333334</v>
      </c>
      <c r="O631" s="888">
        <f t="shared" si="211"/>
        <v>5619.6633333333339</v>
      </c>
      <c r="P631" s="888">
        <f t="shared" si="211"/>
        <v>5499.3333333333339</v>
      </c>
      <c r="Q631" s="888">
        <f t="shared" si="211"/>
        <v>5379.003333333334</v>
      </c>
      <c r="R631" s="888">
        <f t="shared" si="211"/>
        <v>5258.6633333333339</v>
      </c>
      <c r="S631" s="888">
        <f t="shared" si="211"/>
        <v>5138.3333333333339</v>
      </c>
      <c r="T631" s="888">
        <f t="shared" si="211"/>
        <v>5018.003333333334</v>
      </c>
      <c r="U631" s="888">
        <f t="shared" si="211"/>
        <v>4897.6633333333339</v>
      </c>
      <c r="V631" s="888">
        <f t="shared" si="211"/>
        <v>4777.3333333333339</v>
      </c>
      <c r="W631" s="888">
        <f t="shared" si="211"/>
        <v>4657.003333333334</v>
      </c>
      <c r="X631" s="888">
        <f t="shared" si="211"/>
        <v>4536.6633333333339</v>
      </c>
      <c r="Y631" s="888">
        <f t="shared" si="211"/>
        <v>4416.3333333333339</v>
      </c>
      <c r="Z631" s="888">
        <f t="shared" si="211"/>
        <v>4296.0033333333331</v>
      </c>
      <c r="AA631" s="888">
        <f t="shared" si="211"/>
        <v>4175.6633333333339</v>
      </c>
      <c r="AB631" s="888">
        <f t="shared" si="211"/>
        <v>4055.3333333333335</v>
      </c>
      <c r="AC631" s="888">
        <f t="shared" si="211"/>
        <v>3935.0033333333336</v>
      </c>
      <c r="AD631" s="888">
        <f t="shared" si="211"/>
        <v>3814.6633333333334</v>
      </c>
      <c r="AE631" s="888">
        <f t="shared" si="211"/>
        <v>3694.3333333333335</v>
      </c>
      <c r="AF631" s="888">
        <f t="shared" si="211"/>
        <v>3574.0033333333336</v>
      </c>
      <c r="AG631" s="888">
        <f t="shared" si="211"/>
        <v>3453.6633333333334</v>
      </c>
    </row>
    <row r="632" spans="1:87" x14ac:dyDescent="0.3">
      <c r="B632" s="884" t="s">
        <v>1323</v>
      </c>
      <c r="C632" s="887"/>
      <c r="D632" s="888">
        <f t="shared" ref="D632:AG632" si="212">+IF(D627&gt;$C$1,D631,0)</f>
        <v>0</v>
      </c>
      <c r="E632" s="888">
        <f t="shared" si="212"/>
        <v>0</v>
      </c>
      <c r="F632" s="888">
        <f t="shared" si="212"/>
        <v>0</v>
      </c>
      <c r="G632" s="888">
        <f t="shared" si="212"/>
        <v>0</v>
      </c>
      <c r="H632" s="888">
        <f t="shared" si="212"/>
        <v>0</v>
      </c>
      <c r="I632" s="888">
        <f t="shared" si="212"/>
        <v>6341.6633333333339</v>
      </c>
      <c r="J632" s="888">
        <f t="shared" si="212"/>
        <v>6221.3333333333339</v>
      </c>
      <c r="K632" s="888">
        <f t="shared" si="212"/>
        <v>6101.003333333334</v>
      </c>
      <c r="L632" s="888">
        <f t="shared" si="212"/>
        <v>5980.6633333333339</v>
      </c>
      <c r="M632" s="888">
        <f t="shared" si="212"/>
        <v>5860.3333333333339</v>
      </c>
      <c r="N632" s="888">
        <f t="shared" si="212"/>
        <v>5740.003333333334</v>
      </c>
      <c r="O632" s="888">
        <f t="shared" si="212"/>
        <v>5619.6633333333339</v>
      </c>
      <c r="P632" s="888">
        <f t="shared" si="212"/>
        <v>5499.3333333333339</v>
      </c>
      <c r="Q632" s="888">
        <f t="shared" si="212"/>
        <v>5379.003333333334</v>
      </c>
      <c r="R632" s="888">
        <f t="shared" si="212"/>
        <v>5258.6633333333339</v>
      </c>
      <c r="S632" s="888">
        <f t="shared" si="212"/>
        <v>5138.3333333333339</v>
      </c>
      <c r="T632" s="888">
        <f t="shared" si="212"/>
        <v>5018.003333333334</v>
      </c>
      <c r="U632" s="888">
        <f t="shared" si="212"/>
        <v>4897.6633333333339</v>
      </c>
      <c r="V632" s="888">
        <f t="shared" si="212"/>
        <v>4777.3333333333339</v>
      </c>
      <c r="W632" s="888">
        <f t="shared" si="212"/>
        <v>4657.003333333334</v>
      </c>
      <c r="X632" s="888">
        <f t="shared" si="212"/>
        <v>4536.6633333333339</v>
      </c>
      <c r="Y632" s="888">
        <f t="shared" si="212"/>
        <v>4416.3333333333339</v>
      </c>
      <c r="Z632" s="888">
        <f t="shared" si="212"/>
        <v>4296.0033333333331</v>
      </c>
      <c r="AA632" s="888">
        <f t="shared" si="212"/>
        <v>4175.6633333333339</v>
      </c>
      <c r="AB632" s="888">
        <f t="shared" si="212"/>
        <v>4055.3333333333335</v>
      </c>
      <c r="AC632" s="888">
        <f t="shared" si="212"/>
        <v>3935.0033333333336</v>
      </c>
      <c r="AD632" s="888">
        <f t="shared" si="212"/>
        <v>3814.6633333333334</v>
      </c>
      <c r="AE632" s="888">
        <f t="shared" si="212"/>
        <v>3694.3333333333335</v>
      </c>
      <c r="AF632" s="888">
        <f t="shared" si="212"/>
        <v>3574.0033333333336</v>
      </c>
      <c r="AG632" s="888">
        <f t="shared" si="212"/>
        <v>3453.6633333333334</v>
      </c>
    </row>
    <row r="633" spans="1:87" x14ac:dyDescent="0.3">
      <c r="B633" s="884" t="s">
        <v>1324</v>
      </c>
      <c r="C633" s="891"/>
      <c r="D633" s="892">
        <f t="shared" ref="D633:AG633" si="213">+IF(C632=0,(D627-$C$1)/(D627-C627),C633+1)</f>
        <v>-4.646575342465753</v>
      </c>
      <c r="E633" s="892">
        <f t="shared" si="213"/>
        <v>-3.6465753424657534</v>
      </c>
      <c r="F633" s="892">
        <f t="shared" si="213"/>
        <v>-2.6465753424657534</v>
      </c>
      <c r="G633" s="892">
        <f t="shared" si="213"/>
        <v>-1.639344262295082</v>
      </c>
      <c r="H633" s="892">
        <f t="shared" si="213"/>
        <v>-0.64383561643835618</v>
      </c>
      <c r="I633" s="892">
        <f t="shared" si="213"/>
        <v>0.35616438356164382</v>
      </c>
      <c r="J633" s="892">
        <f t="shared" si="213"/>
        <v>1.3561643835616439</v>
      </c>
      <c r="K633" s="892">
        <f t="shared" si="213"/>
        <v>2.3561643835616439</v>
      </c>
      <c r="L633" s="892">
        <f t="shared" si="213"/>
        <v>3.3561643835616439</v>
      </c>
      <c r="M633" s="892">
        <f t="shared" si="213"/>
        <v>4.3561643835616444</v>
      </c>
      <c r="N633" s="892">
        <f t="shared" si="213"/>
        <v>5.3561643835616444</v>
      </c>
      <c r="O633" s="892">
        <f t="shared" si="213"/>
        <v>6.3561643835616444</v>
      </c>
      <c r="P633" s="892">
        <f t="shared" si="213"/>
        <v>7.3561643835616444</v>
      </c>
      <c r="Q633" s="892">
        <f t="shared" si="213"/>
        <v>8.3561643835616444</v>
      </c>
      <c r="R633" s="892">
        <f t="shared" si="213"/>
        <v>9.3561643835616444</v>
      </c>
      <c r="S633" s="892">
        <f t="shared" si="213"/>
        <v>10.356164383561644</v>
      </c>
      <c r="T633" s="892">
        <f t="shared" si="213"/>
        <v>11.356164383561644</v>
      </c>
      <c r="U633" s="892">
        <f t="shared" si="213"/>
        <v>12.356164383561644</v>
      </c>
      <c r="V633" s="892">
        <f t="shared" si="213"/>
        <v>13.356164383561644</v>
      </c>
      <c r="W633" s="892">
        <f t="shared" si="213"/>
        <v>14.356164383561644</v>
      </c>
      <c r="X633" s="892">
        <f t="shared" si="213"/>
        <v>15.356164383561644</v>
      </c>
      <c r="Y633" s="892">
        <f t="shared" si="213"/>
        <v>16.356164383561644</v>
      </c>
      <c r="Z633" s="892">
        <f t="shared" si="213"/>
        <v>17.356164383561644</v>
      </c>
      <c r="AA633" s="892">
        <f t="shared" si="213"/>
        <v>18.356164383561644</v>
      </c>
      <c r="AB633" s="892">
        <f t="shared" si="213"/>
        <v>19.356164383561644</v>
      </c>
      <c r="AC633" s="892">
        <f t="shared" si="213"/>
        <v>20.356164383561644</v>
      </c>
      <c r="AD633" s="892">
        <f t="shared" si="213"/>
        <v>21.356164383561644</v>
      </c>
      <c r="AE633" s="892">
        <f t="shared" si="213"/>
        <v>22.356164383561644</v>
      </c>
      <c r="AF633" s="892">
        <f t="shared" si="213"/>
        <v>23.356164383561644</v>
      </c>
      <c r="AG633" s="892">
        <f t="shared" si="213"/>
        <v>24.356164383561644</v>
      </c>
    </row>
    <row r="634" spans="1:87" x14ac:dyDescent="0.3">
      <c r="B634" s="884" t="s">
        <v>1325</v>
      </c>
      <c r="C634" s="885"/>
      <c r="D634" s="894" cm="1">
        <f t="array" ref="D634">ROUND(IF((D627-$C$1)&lt;=365,interpoler(mat_court,taux_court_act,(D627-$C$1)),interpoler(CIH!$K$72:$K$103,CIH!$L$72:$L$103,D633)),5)</f>
        <v>2.3279999999999999E-2</v>
      </c>
      <c r="E634" s="894" cm="1">
        <f t="array" ref="E634">ROUND(IF((E627-$C$1)&lt;=365,interpoler(mat_court,taux_court_act,(E627-$C$1)),interpoler(CIH!$K$72:$K$103,CIH!$L$72:$L$103,E633)),5)</f>
        <v>2.3279999999999999E-2</v>
      </c>
      <c r="F634" s="894" cm="1">
        <f t="array" ref="F634">ROUND(IF((F627-$C$1)&lt;=365,interpoler(mat_court,taux_court_act,(F627-$C$1)),interpoler(CIH!$K$72:$K$103,CIH!$L$72:$L$103,F633)),5)</f>
        <v>2.3279999999999999E-2</v>
      </c>
      <c r="G634" s="894" cm="1">
        <f t="array" ref="G634">ROUND(IF((G627-$C$1)&lt;=366,interpoler(mat_court,taux_court_act,(G627-$C$1)),interpoler(CIH!$K$72:$K$103,CIH!$L$72:$L$103,G633)),5)</f>
        <v>2.3279999999999999E-2</v>
      </c>
      <c r="H634" s="894" cm="1">
        <f t="array" ref="H634">ROUND(IF((H627-$C$1)&lt;=365,interpoler(mat_court,taux_court_act,(H627-$C$1)),interpoler(CIH!$K$72:$K$103,CIH!$L$72:$L$103,H633)),5)</f>
        <v>2.3279999999999999E-2</v>
      </c>
      <c r="I634" s="894" cm="1">
        <f t="array" ref="I634">ROUND(IF((I627-$C$1)&lt;=365,interpoler(mat_court,taux_court_act,(I627-$C$1)),interpoler(CIH!$K$72:$K$103,CIH!$L$72:$L$103,I633)),5)</f>
        <v>2.3800000000000002E-2</v>
      </c>
      <c r="J634" s="894" cm="1">
        <f t="array" ref="J634">ROUND(IF((J627-$C$1)&lt;=365,interpoler(mat_court,taux_court_act,(J627-$C$1)),interpoler(CIH!$K$72:$K$103,CIH!$L$72:$L$103,J633)),5)</f>
        <v>2.5700000000000001E-2</v>
      </c>
      <c r="K634" s="894" cm="1">
        <f t="array" ref="K634">ROUND(IF((K627-$C$1)&lt;=365,interpoler(mat_court,taux_court_act,(K627-$C$1)),interpoler(CIH!$K$72:$K$103,CIH!$L$72:$L$103,K633)),5)</f>
        <v>2.726E-2</v>
      </c>
      <c r="L634" s="894" cm="1">
        <f t="array" ref="L634">ROUND(IF((L627-$C$1)&lt;=365,interpoler(mat_court,taux_court_act,(L627-$C$1)),interpoler(CIH!$K$72:$K$103,CIH!$L$72:$L$103,L633)),5)</f>
        <v>2.8819999999999998E-2</v>
      </c>
      <c r="M634" s="894" cm="1">
        <f t="array" ref="M634">ROUND(IF((M627-$C$1)&lt;=365,interpoler(mat_court,taux_court_act,(M627-$C$1)),interpoler(CIH!$K$72:$K$103,CIH!$L$72:$L$103,M633)),5)</f>
        <v>3.022E-2</v>
      </c>
      <c r="N634" s="894" cm="1">
        <f t="array" ref="N634">ROUND(IF((N627-$C$1)&lt;=365,interpoler(mat_court,taux_court_act,(N627-$C$1)),interpoler(CIH!$K$72:$K$103,CIH!$L$72:$L$103,N633)),5)</f>
        <v>3.1099999999999999E-2</v>
      </c>
      <c r="O634" s="894" cm="1">
        <f t="array" ref="O634">ROUND(IF((O627-$C$1)&lt;=365,interpoler(mat_court,taux_court_act,(O627-$C$1)),interpoler(CIH!$K$72:$K$103,CIH!$L$72:$L$103,O633)),5)</f>
        <v>3.1609999999999999E-2</v>
      </c>
      <c r="P634" s="894" cm="1">
        <f t="array" ref="P634">ROUND(IF((P627-$C$1)&lt;=365,interpoler(mat_court,taux_court_act,(P627-$C$1)),interpoler(CIH!$K$72:$K$103,CIH!$L$72:$L$103,P633)),5)</f>
        <v>3.2120000000000003E-2</v>
      </c>
      <c r="Q634" s="894" cm="1">
        <f t="array" ref="Q634">ROUND(IF((Q627-$C$1)&lt;=365,interpoler(mat_court,taux_court_act,(Q627-$C$1)),interpoler(CIH!$K$72:$K$103,CIH!$L$72:$L$103,Q633)),5)</f>
        <v>3.2640000000000002E-2</v>
      </c>
      <c r="R634" s="894" cm="1">
        <f t="array" ref="R634">ROUND(IF((R627-$C$1)&lt;=365,interpoler(mat_court,taux_court_act,(R627-$C$1)),interpoler(CIH!$K$72:$K$103,CIH!$L$72:$L$103,R633)),5)</f>
        <v>3.3189999999999997E-2</v>
      </c>
      <c r="S634" s="894" cm="1">
        <f t="array" ref="S634">ROUND(IF((S627-$C$1)&lt;=365,interpoler(mat_court,taux_court_act,(S627-$C$1)),interpoler(CIH!$K$72:$K$103,CIH!$L$72:$L$103,S633)),5)</f>
        <v>3.3820000000000003E-2</v>
      </c>
      <c r="T634" s="894" cm="1">
        <f t="array" ref="T634">ROUND(IF((T627-$C$1)&lt;=365,interpoler(mat_court,taux_court_act,(T627-$C$1)),interpoler(CIH!$K$72:$K$103,CIH!$L$72:$L$103,T633)),5)</f>
        <v>3.4470000000000001E-2</v>
      </c>
      <c r="U634" s="894" cm="1">
        <f t="array" ref="U634">ROUND(IF((U627-$C$1)&lt;=365,interpoler(mat_court,taux_court_act,(U627-$C$1)),interpoler(CIH!$K$72:$K$103,CIH!$L$72:$L$103,U633)),5)</f>
        <v>3.5130000000000002E-2</v>
      </c>
      <c r="V634" s="894" cm="1">
        <f t="array" ref="V634">ROUND(IF((V627-$C$1)&lt;=365,interpoler(mat_court,taux_court_act,(V627-$C$1)),interpoler(CIH!$K$72:$K$103,CIH!$L$72:$L$103,V633)),5)</f>
        <v>3.5700000000000003E-2</v>
      </c>
      <c r="W634" s="894" cm="1">
        <f t="array" ref="W634">ROUND(IF((W627-$C$1)&lt;=365,interpoler(mat_court,taux_court_act,(W627-$C$1)),interpoler(CIH!$K$72:$K$103,CIH!$L$72:$L$103,W633)),5)</f>
        <v>3.6040000000000003E-2</v>
      </c>
      <c r="X634" s="894" cm="1">
        <f t="array" ref="X634">ROUND(IF((X627-$C$1)&lt;=365,interpoler(mat_court,taux_court_act,(X627-$C$1)),interpoler(CIH!$K$72:$K$103,CIH!$L$72:$L$103,X633)),5)</f>
        <v>3.6299999999999999E-2</v>
      </c>
      <c r="Y634" s="894" cm="1">
        <f t="array" ref="Y634">ROUND(IF((Y627-$C$1)&lt;=365,interpoler(mat_court,taux_court_act,(Y627-$C$1)),interpoler(CIH!$K$72:$K$103,CIH!$L$72:$L$103,Y633)),5)</f>
        <v>3.6569999999999998E-2</v>
      </c>
      <c r="Z634" s="894" cm="1">
        <f t="array" ref="Z634">ROUND(IF((Z627-$C$1)&lt;=365,interpoler(mat_court,taux_court_act,(Z627-$C$1)),interpoler(CIH!$K$72:$K$103,CIH!$L$72:$L$103,Z633)),5)</f>
        <v>3.6850000000000001E-2</v>
      </c>
      <c r="AA634" s="894" cm="1">
        <f t="array" ref="AA634">ROUND(IF((AA627-$C$1)&lt;=365,interpoler(mat_court,taux_court_act,(AA627-$C$1)),interpoler(CIH!$K$72:$K$103,CIH!$L$72:$L$103,AA633)),5)</f>
        <v>3.7130000000000003E-2</v>
      </c>
      <c r="AB634" s="894" cm="1">
        <f t="array" ref="AB634">ROUND(IF((AB627-$C$1)&lt;=365,interpoler(mat_court,taux_court_act,(AB627-$C$1)),interpoler(CIH!$K$72:$K$103,CIH!$L$72:$L$103,AB633)),5)</f>
        <v>3.7490000000000002E-2</v>
      </c>
      <c r="AC634" s="894" cm="1">
        <f t="array" ref="AC634">ROUND(IF((AC627-$C$1)&lt;=365,interpoler(mat_court,taux_court_act,(AC627-$C$1)),interpoler(CIH!$K$72:$K$103,CIH!$L$72:$L$103,AC633)),5)</f>
        <v>3.8039999999999997E-2</v>
      </c>
      <c r="AD634" s="894" cm="1">
        <f t="array" ref="AD634">ROUND(IF((AD627-$C$1)&lt;=365,interpoler(mat_court,taux_court_act,(AD627-$C$1)),interpoler(CIH!$K$72:$K$103,CIH!$L$72:$L$103,AD633)),5)</f>
        <v>3.8679999999999999E-2</v>
      </c>
      <c r="AE634" s="894" cm="1">
        <f t="array" ref="AE634">ROUND(IF((AE627-$C$1)&lt;=365,interpoler(mat_court,taux_court_act,(AE627-$C$1)),interpoler(CIH!$K$72:$K$103,CIH!$L$72:$L$103,AE633)),5)</f>
        <v>3.9329999999999997E-2</v>
      </c>
      <c r="AF634" s="894" cm="1">
        <f t="array" ref="AF634">ROUND(IF((AF627-$C$1)&lt;=365,interpoler(mat_court,taux_court_act,(AF627-$C$1)),interpoler(CIH!$K$72:$K$103,CIH!$L$72:$L$103,AF633)),5)</f>
        <v>4.0009999999999997E-2</v>
      </c>
      <c r="AG634" s="894" cm="1">
        <f t="array" ref="AG634">ROUND(IF((AG627-$C$1)&lt;=365,interpoler(mat_court,taux_court_act,(AG627-$C$1)),interpoler(CIH!$K$72:$K$103,CIH!$L$72:$L$103,AG633)),5)</f>
        <v>4.0710000000000003E-2</v>
      </c>
    </row>
    <row r="635" spans="1:87" x14ac:dyDescent="0.3">
      <c r="B635" s="884" t="s">
        <v>1328</v>
      </c>
      <c r="C635" s="885"/>
      <c r="D635" s="896">
        <f>$D$625</f>
        <v>5.0000000000000001E-3</v>
      </c>
      <c r="E635" s="896">
        <f t="shared" ref="E635:AG635" si="214">$D$625</f>
        <v>5.0000000000000001E-3</v>
      </c>
      <c r="F635" s="896">
        <f t="shared" si="214"/>
        <v>5.0000000000000001E-3</v>
      </c>
      <c r="G635" s="896">
        <f t="shared" si="214"/>
        <v>5.0000000000000001E-3</v>
      </c>
      <c r="H635" s="896">
        <f t="shared" si="214"/>
        <v>5.0000000000000001E-3</v>
      </c>
      <c r="I635" s="896">
        <f t="shared" si="214"/>
        <v>5.0000000000000001E-3</v>
      </c>
      <c r="J635" s="896">
        <f t="shared" si="214"/>
        <v>5.0000000000000001E-3</v>
      </c>
      <c r="K635" s="896">
        <f t="shared" si="214"/>
        <v>5.0000000000000001E-3</v>
      </c>
      <c r="L635" s="896">
        <f t="shared" si="214"/>
        <v>5.0000000000000001E-3</v>
      </c>
      <c r="M635" s="896">
        <f t="shared" si="214"/>
        <v>5.0000000000000001E-3</v>
      </c>
      <c r="N635" s="896">
        <f t="shared" si="214"/>
        <v>5.0000000000000001E-3</v>
      </c>
      <c r="O635" s="896">
        <f t="shared" si="214"/>
        <v>5.0000000000000001E-3</v>
      </c>
      <c r="P635" s="896">
        <f t="shared" si="214"/>
        <v>5.0000000000000001E-3</v>
      </c>
      <c r="Q635" s="896">
        <f t="shared" si="214"/>
        <v>5.0000000000000001E-3</v>
      </c>
      <c r="R635" s="896">
        <f t="shared" si="214"/>
        <v>5.0000000000000001E-3</v>
      </c>
      <c r="S635" s="896">
        <f t="shared" si="214"/>
        <v>5.0000000000000001E-3</v>
      </c>
      <c r="T635" s="896">
        <f t="shared" si="214"/>
        <v>5.0000000000000001E-3</v>
      </c>
      <c r="U635" s="896">
        <f t="shared" si="214"/>
        <v>5.0000000000000001E-3</v>
      </c>
      <c r="V635" s="896">
        <f t="shared" si="214"/>
        <v>5.0000000000000001E-3</v>
      </c>
      <c r="W635" s="896">
        <f t="shared" si="214"/>
        <v>5.0000000000000001E-3</v>
      </c>
      <c r="X635" s="896">
        <f t="shared" si="214"/>
        <v>5.0000000000000001E-3</v>
      </c>
      <c r="Y635" s="896">
        <f t="shared" si="214"/>
        <v>5.0000000000000001E-3</v>
      </c>
      <c r="Z635" s="896">
        <f t="shared" si="214"/>
        <v>5.0000000000000001E-3</v>
      </c>
      <c r="AA635" s="896">
        <f t="shared" si="214"/>
        <v>5.0000000000000001E-3</v>
      </c>
      <c r="AB635" s="896">
        <f t="shared" si="214"/>
        <v>5.0000000000000001E-3</v>
      </c>
      <c r="AC635" s="896">
        <f t="shared" si="214"/>
        <v>5.0000000000000001E-3</v>
      </c>
      <c r="AD635" s="896">
        <f t="shared" si="214"/>
        <v>5.0000000000000001E-3</v>
      </c>
      <c r="AE635" s="896">
        <f t="shared" si="214"/>
        <v>5.0000000000000001E-3</v>
      </c>
      <c r="AF635" s="896">
        <f t="shared" si="214"/>
        <v>5.0000000000000001E-3</v>
      </c>
      <c r="AG635" s="896">
        <f t="shared" si="214"/>
        <v>5.0000000000000001E-3</v>
      </c>
    </row>
    <row r="636" spans="1:87" x14ac:dyDescent="0.3">
      <c r="B636" s="884" t="s">
        <v>1329</v>
      </c>
      <c r="C636" s="885"/>
      <c r="D636" s="897">
        <f t="shared" ref="D636:AG636" si="215">ROUND(D634+D635,5)</f>
        <v>2.828E-2</v>
      </c>
      <c r="E636" s="897">
        <f t="shared" si="215"/>
        <v>2.828E-2</v>
      </c>
      <c r="F636" s="897">
        <f t="shared" si="215"/>
        <v>2.828E-2</v>
      </c>
      <c r="G636" s="897">
        <f t="shared" si="215"/>
        <v>2.828E-2</v>
      </c>
      <c r="H636" s="897">
        <f t="shared" si="215"/>
        <v>2.828E-2</v>
      </c>
      <c r="I636" s="897">
        <f t="shared" si="215"/>
        <v>2.8799999999999999E-2</v>
      </c>
      <c r="J636" s="897">
        <f t="shared" si="215"/>
        <v>3.0700000000000002E-2</v>
      </c>
      <c r="K636" s="897">
        <f t="shared" si="215"/>
        <v>3.2259999999999997E-2</v>
      </c>
      <c r="L636" s="897">
        <f t="shared" si="215"/>
        <v>3.3820000000000003E-2</v>
      </c>
      <c r="M636" s="897">
        <f t="shared" si="215"/>
        <v>3.5220000000000001E-2</v>
      </c>
      <c r="N636" s="897">
        <f t="shared" si="215"/>
        <v>3.61E-2</v>
      </c>
      <c r="O636" s="897">
        <f t="shared" si="215"/>
        <v>3.6609999999999997E-2</v>
      </c>
      <c r="P636" s="897">
        <f t="shared" si="215"/>
        <v>3.712E-2</v>
      </c>
      <c r="Q636" s="897">
        <f t="shared" si="215"/>
        <v>3.764E-2</v>
      </c>
      <c r="R636" s="897">
        <f t="shared" si="215"/>
        <v>3.8190000000000002E-2</v>
      </c>
      <c r="S636" s="897">
        <f t="shared" si="215"/>
        <v>3.882E-2</v>
      </c>
      <c r="T636" s="897">
        <f t="shared" si="215"/>
        <v>3.9469999999999998E-2</v>
      </c>
      <c r="U636" s="897">
        <f t="shared" si="215"/>
        <v>4.0129999999999999E-2</v>
      </c>
      <c r="V636" s="897">
        <f t="shared" si="215"/>
        <v>4.07E-2</v>
      </c>
      <c r="W636" s="897">
        <f t="shared" si="215"/>
        <v>4.104E-2</v>
      </c>
      <c r="X636" s="897">
        <f t="shared" si="215"/>
        <v>4.1300000000000003E-2</v>
      </c>
      <c r="Y636" s="897">
        <f t="shared" si="215"/>
        <v>4.1570000000000003E-2</v>
      </c>
      <c r="Z636" s="897">
        <f t="shared" si="215"/>
        <v>4.1849999999999998E-2</v>
      </c>
      <c r="AA636" s="897">
        <f t="shared" si="215"/>
        <v>4.2130000000000001E-2</v>
      </c>
      <c r="AB636" s="897">
        <f t="shared" si="215"/>
        <v>4.249E-2</v>
      </c>
      <c r="AC636" s="897">
        <f t="shared" si="215"/>
        <v>4.3040000000000002E-2</v>
      </c>
      <c r="AD636" s="897">
        <f t="shared" si="215"/>
        <v>4.3679999999999997E-2</v>
      </c>
      <c r="AE636" s="897">
        <f t="shared" si="215"/>
        <v>4.4330000000000001E-2</v>
      </c>
      <c r="AF636" s="897">
        <f t="shared" si="215"/>
        <v>4.5010000000000001E-2</v>
      </c>
      <c r="AG636" s="897">
        <f t="shared" si="215"/>
        <v>4.5710000000000001E-2</v>
      </c>
    </row>
    <row r="637" spans="1:87" x14ac:dyDescent="0.3">
      <c r="B637" s="884"/>
      <c r="C637" s="885"/>
      <c r="D637" s="886">
        <f t="shared" ref="D637:AG637" si="216">ROUND(D632/(1+($D$535+D634))^D633,4)</f>
        <v>0</v>
      </c>
      <c r="E637" s="886">
        <f t="shared" si="216"/>
        <v>0</v>
      </c>
      <c r="F637" s="886">
        <f t="shared" si="216"/>
        <v>0</v>
      </c>
      <c r="G637" s="886">
        <f t="shared" si="216"/>
        <v>0</v>
      </c>
      <c r="H637" s="886">
        <f t="shared" si="216"/>
        <v>0</v>
      </c>
      <c r="I637" s="886">
        <f t="shared" si="216"/>
        <v>6275.6621999999998</v>
      </c>
      <c r="J637" s="886">
        <f t="shared" si="216"/>
        <v>5963.4431000000004</v>
      </c>
      <c r="K637" s="886">
        <f t="shared" si="216"/>
        <v>5648.2142999999996</v>
      </c>
      <c r="L637" s="886">
        <f t="shared" si="216"/>
        <v>5331.4643999999998</v>
      </c>
      <c r="M637" s="886">
        <f t="shared" si="216"/>
        <v>5018.7174000000005</v>
      </c>
      <c r="N637" s="886">
        <f t="shared" si="216"/>
        <v>4722.2807000000003</v>
      </c>
      <c r="O637" s="886">
        <f t="shared" si="216"/>
        <v>4443.9381999999996</v>
      </c>
      <c r="P637" s="886">
        <f t="shared" si="216"/>
        <v>4175.9911000000002</v>
      </c>
      <c r="Q637" s="886">
        <f t="shared" si="216"/>
        <v>3918.1608000000001</v>
      </c>
      <c r="R637" s="886">
        <f t="shared" si="216"/>
        <v>3669.7415999999998</v>
      </c>
      <c r="S637" s="886">
        <f t="shared" si="216"/>
        <v>3428.9209000000001</v>
      </c>
      <c r="T637" s="886">
        <f t="shared" si="216"/>
        <v>3197.5828000000001</v>
      </c>
      <c r="U637" s="886">
        <f t="shared" si="216"/>
        <v>2976.0704999999998</v>
      </c>
      <c r="V637" s="886">
        <f t="shared" si="216"/>
        <v>2767.9351999999999</v>
      </c>
      <c r="W637" s="886">
        <f t="shared" si="216"/>
        <v>2578.0745000000002</v>
      </c>
      <c r="X637" s="886">
        <f t="shared" si="216"/>
        <v>2400.8948</v>
      </c>
      <c r="Y637" s="886">
        <f t="shared" si="216"/>
        <v>2232.8609999999999</v>
      </c>
      <c r="Z637" s="886">
        <f t="shared" si="216"/>
        <v>2073.6287000000002</v>
      </c>
      <c r="AA637" s="886">
        <f t="shared" si="216"/>
        <v>1923.2056</v>
      </c>
      <c r="AB637" s="886">
        <f t="shared" si="216"/>
        <v>1778.6216999999999</v>
      </c>
      <c r="AC637" s="886">
        <f t="shared" si="216"/>
        <v>1636.2561000000001</v>
      </c>
      <c r="AD637" s="886">
        <f t="shared" si="216"/>
        <v>1499.5377000000001</v>
      </c>
      <c r="AE637" s="886">
        <f t="shared" si="216"/>
        <v>1370.9155000000001</v>
      </c>
      <c r="AF637" s="886">
        <f t="shared" si="216"/>
        <v>1249.6137000000001</v>
      </c>
      <c r="AG637" s="886">
        <f t="shared" si="216"/>
        <v>1135.7547</v>
      </c>
    </row>
    <row r="638" spans="1:87" x14ac:dyDescent="0.3">
      <c r="B638" s="367"/>
      <c r="C638" s="367"/>
      <c r="D638" s="488"/>
      <c r="E638" s="488"/>
      <c r="F638" s="488"/>
      <c r="G638" s="488"/>
      <c r="H638" s="462"/>
      <c r="I638" s="462"/>
      <c r="J638" s="462"/>
      <c r="K638" s="462"/>
      <c r="L638" s="462"/>
      <c r="M638" s="462"/>
    </row>
    <row r="639" spans="1:87" x14ac:dyDescent="0.3">
      <c r="B639" s="585" t="s">
        <v>650</v>
      </c>
      <c r="C639" s="586">
        <f>SUM(D637:AG637)</f>
        <v>81417.487200000018</v>
      </c>
      <c r="D639" s="500"/>
      <c r="E639" s="430"/>
      <c r="F639" s="361"/>
      <c r="G639" s="365"/>
      <c r="H639" s="721"/>
      <c r="I639" s="721"/>
      <c r="J639" s="721"/>
      <c r="K639" s="721"/>
      <c r="L639" s="721"/>
      <c r="M639" s="721"/>
    </row>
    <row r="640" spans="1:87" x14ac:dyDescent="0.3">
      <c r="B640" s="585" t="s">
        <v>1331</v>
      </c>
      <c r="C640" s="586">
        <f>+SUMPRODUCT(D633:AG633,D637:AG637)/C639</f>
        <v>8.9567480883851935</v>
      </c>
      <c r="D640" s="365"/>
      <c r="E640" s="365"/>
      <c r="F640" s="361"/>
      <c r="G640" s="363"/>
      <c r="H640" s="573"/>
      <c r="I640" s="573"/>
      <c r="J640" s="573"/>
      <c r="K640" s="573"/>
      <c r="L640" s="573"/>
      <c r="M640" s="573"/>
    </row>
    <row r="643" spans="1:87" s="462" customFormat="1" ht="13.5" customHeight="1" x14ac:dyDescent="0.3">
      <c r="A643" s="461"/>
      <c r="B643" s="1003" t="s">
        <v>2851</v>
      </c>
      <c r="C643" s="1003">
        <v>9580</v>
      </c>
      <c r="D643" s="691">
        <v>1.0999999999999999E-2</v>
      </c>
      <c r="E643" s="691">
        <v>1.0999999999999999E-2</v>
      </c>
      <c r="F643" s="13">
        <v>1.0999999999999999E-2</v>
      </c>
      <c r="G643" s="13">
        <v>1.0999999999999999E-2</v>
      </c>
      <c r="I643" s="461"/>
      <c r="J643" s="461"/>
      <c r="K643" s="461"/>
      <c r="L643" s="461"/>
      <c r="M643" s="461"/>
      <c r="N643" s="461"/>
      <c r="O643" s="461"/>
      <c r="P643" s="461"/>
      <c r="Q643" s="461"/>
      <c r="R643" s="461"/>
      <c r="S643" s="461"/>
      <c r="T643" s="461"/>
      <c r="U643" s="461"/>
      <c r="V643" s="461"/>
      <c r="W643" s="461"/>
      <c r="X643" s="461"/>
      <c r="Y643" s="461"/>
      <c r="Z643" s="461"/>
      <c r="AA643" s="461"/>
      <c r="AB643" s="461"/>
      <c r="AC643" s="461"/>
      <c r="AD643" s="461"/>
      <c r="AE643" s="461"/>
      <c r="AF643" s="461"/>
      <c r="AG643" s="461"/>
      <c r="AH643" s="461"/>
      <c r="AI643" s="461"/>
      <c r="AJ643" s="461"/>
      <c r="AK643" s="461"/>
      <c r="AL643" s="461"/>
      <c r="AM643" s="461"/>
      <c r="AN643" s="461"/>
      <c r="AO643" s="461"/>
      <c r="AP643" s="461"/>
      <c r="AQ643" s="461"/>
      <c r="AR643" s="461"/>
      <c r="AS643" s="461"/>
      <c r="AT643" s="461"/>
      <c r="AU643" s="461"/>
      <c r="AV643" s="461"/>
      <c r="AW643" s="461"/>
      <c r="AX643" s="461"/>
      <c r="AY643" s="461"/>
      <c r="AZ643" s="461"/>
      <c r="BA643" s="461"/>
      <c r="BB643" s="461"/>
      <c r="BC643" s="461"/>
      <c r="BD643" s="461"/>
      <c r="BE643" s="461"/>
      <c r="BF643" s="461"/>
      <c r="BG643" s="461"/>
      <c r="BH643" s="461"/>
      <c r="BI643" s="461"/>
      <c r="BJ643" s="461"/>
      <c r="BK643" s="461"/>
      <c r="BL643" s="461"/>
      <c r="BM643" s="461"/>
      <c r="BN643" s="461"/>
      <c r="BO643" s="461"/>
      <c r="BP643" s="461"/>
      <c r="BQ643" s="461"/>
      <c r="BR643" s="461"/>
      <c r="BS643" s="461"/>
      <c r="BT643" s="461"/>
      <c r="BU643" s="461"/>
      <c r="BV643" s="461"/>
      <c r="BW643" s="461"/>
      <c r="BX643" s="461"/>
      <c r="BY643" s="461"/>
      <c r="BZ643" s="461"/>
      <c r="CA643" s="461"/>
      <c r="CB643" s="461"/>
      <c r="CC643" s="461"/>
      <c r="CD643" s="461"/>
      <c r="CE643" s="461"/>
      <c r="CF643" s="461"/>
      <c r="CG643" s="461"/>
      <c r="CH643" s="461"/>
      <c r="CI643" s="461"/>
    </row>
    <row r="644" spans="1:87" x14ac:dyDescent="0.3">
      <c r="B644" s="364"/>
      <c r="C644" s="364" t="s">
        <v>105</v>
      </c>
      <c r="D644" s="365">
        <v>4.1200000000000001E-2</v>
      </c>
      <c r="E644" s="365">
        <v>4.1000000000000002E-2</v>
      </c>
      <c r="F644" s="365">
        <v>4.0399999999999998E-2</v>
      </c>
      <c r="G644" s="365">
        <v>4.0899999999999999E-2</v>
      </c>
      <c r="H644" s="721">
        <v>4.1599999999999998E-2</v>
      </c>
      <c r="I644" s="1078">
        <v>3.73E-2</v>
      </c>
      <c r="J644" s="721">
        <v>3.7999999999999999E-2</v>
      </c>
      <c r="K644" s="487">
        <v>3.6400000000000002E-2</v>
      </c>
      <c r="L644" s="1299">
        <v>3.1699999999999999E-2</v>
      </c>
      <c r="M644" s="721">
        <v>3.2500000000000001E-2</v>
      </c>
      <c r="N644" s="721">
        <v>3.4000000000000002E-2</v>
      </c>
    </row>
    <row r="645" spans="1:87" x14ac:dyDescent="0.3">
      <c r="B645" s="882"/>
      <c r="C645" s="883">
        <v>45091</v>
      </c>
      <c r="D645" s="883">
        <v>45183</v>
      </c>
      <c r="E645" s="883">
        <v>45274</v>
      </c>
      <c r="F645" s="883">
        <v>45365</v>
      </c>
      <c r="G645" s="883">
        <v>45457</v>
      </c>
      <c r="H645" s="883">
        <v>45549</v>
      </c>
      <c r="I645" s="883">
        <v>45640</v>
      </c>
      <c r="J645" s="883">
        <v>45730</v>
      </c>
      <c r="K645" s="883">
        <v>45822</v>
      </c>
      <c r="L645" s="883">
        <v>45914</v>
      </c>
      <c r="M645" s="883">
        <v>46005</v>
      </c>
      <c r="N645" s="883">
        <v>46095</v>
      </c>
      <c r="O645" s="573"/>
      <c r="P645" s="573"/>
      <c r="Q645" s="573"/>
      <c r="R645" s="573"/>
      <c r="S645" s="573"/>
      <c r="T645" s="573"/>
    </row>
    <row r="646" spans="1:87" x14ac:dyDescent="0.3">
      <c r="B646" s="884" t="s">
        <v>1318</v>
      </c>
      <c r="C646" s="885"/>
      <c r="D646" s="886">
        <f t="shared" ref="D646:L646" si="217">$C$647/12</f>
        <v>8333.3333333333339</v>
      </c>
      <c r="E646" s="886">
        <f t="shared" si="217"/>
        <v>8333.3333333333339</v>
      </c>
      <c r="F646" s="886">
        <f t="shared" si="217"/>
        <v>8333.3333333333339</v>
      </c>
      <c r="G646" s="886">
        <f t="shared" si="217"/>
        <v>8333.3333333333339</v>
      </c>
      <c r="H646" s="886">
        <f t="shared" si="217"/>
        <v>8333.3333333333339</v>
      </c>
      <c r="I646" s="886">
        <f t="shared" si="217"/>
        <v>8333.3333333333339</v>
      </c>
      <c r="J646" s="886">
        <f t="shared" si="217"/>
        <v>8333.3333333333339</v>
      </c>
      <c r="K646" s="886">
        <f t="shared" si="217"/>
        <v>8333.3333333333339</v>
      </c>
      <c r="L646" s="886">
        <f t="shared" si="217"/>
        <v>8333.3333333333339</v>
      </c>
      <c r="M646" s="886">
        <f>$C$647/12</f>
        <v>8333.3333333333339</v>
      </c>
      <c r="N646" s="886">
        <f>$C$647/12</f>
        <v>8333.3333333333339</v>
      </c>
      <c r="O646" s="462"/>
      <c r="P646" s="462"/>
      <c r="Q646" s="462"/>
      <c r="R646" s="462"/>
    </row>
    <row r="647" spans="1:87" x14ac:dyDescent="0.3">
      <c r="B647" s="884" t="s">
        <v>1320</v>
      </c>
      <c r="C647" s="887">
        <v>100000</v>
      </c>
      <c r="D647" s="888">
        <f t="shared" ref="D647:L647" si="218">C647-D646</f>
        <v>91666.666666666672</v>
      </c>
      <c r="E647" s="888">
        <f t="shared" si="218"/>
        <v>83333.333333333343</v>
      </c>
      <c r="F647" s="888">
        <f t="shared" si="218"/>
        <v>75000.000000000015</v>
      </c>
      <c r="G647" s="888">
        <f t="shared" si="218"/>
        <v>66666.666666666686</v>
      </c>
      <c r="H647" s="888">
        <f>G647-H646</f>
        <v>58333.33333333335</v>
      </c>
      <c r="I647" s="888">
        <f t="shared" si="218"/>
        <v>50000.000000000015</v>
      </c>
      <c r="J647" s="888">
        <f t="shared" si="218"/>
        <v>41666.666666666679</v>
      </c>
      <c r="K647" s="888">
        <f t="shared" si="218"/>
        <v>33333.333333333343</v>
      </c>
      <c r="L647" s="888">
        <f t="shared" si="218"/>
        <v>25000.000000000007</v>
      </c>
      <c r="M647" s="888">
        <f>L647-M646</f>
        <v>16666.666666666672</v>
      </c>
      <c r="N647" s="888">
        <f>M647-N646</f>
        <v>8333.3333333333376</v>
      </c>
      <c r="O647" s="462"/>
      <c r="P647" s="462"/>
      <c r="Q647" s="462"/>
      <c r="R647" s="462"/>
    </row>
    <row r="648" spans="1:87" x14ac:dyDescent="0.3">
      <c r="B648" s="884" t="s">
        <v>1321</v>
      </c>
      <c r="C648" s="885"/>
      <c r="D648" s="890">
        <f t="shared" ref="D648:I648" si="219">ROUND(C647*D644*(D645-C645)/360,4)</f>
        <v>1052.8888999999999</v>
      </c>
      <c r="E648" s="890">
        <f t="shared" si="219"/>
        <v>950.0231</v>
      </c>
      <c r="F648" s="890">
        <f t="shared" si="219"/>
        <v>851.01850000000002</v>
      </c>
      <c r="G648" s="890">
        <f t="shared" si="219"/>
        <v>783.91669999999999</v>
      </c>
      <c r="H648" s="890">
        <f>ROUND(G647*H644*(H645-G645)/360,4)</f>
        <v>708.74069999999995</v>
      </c>
      <c r="I648" s="890">
        <f t="shared" si="219"/>
        <v>550.00229999999999</v>
      </c>
      <c r="J648" s="890">
        <f>(J645-I645)*I647*J644/360</f>
        <v>475.00000000000006</v>
      </c>
      <c r="K648" s="890">
        <f>(K645-J645)*J647*K644/360</f>
        <v>387.59259259259272</v>
      </c>
      <c r="L648" s="890">
        <f>(L645-K645)*K647*L644/360</f>
        <v>270.03703703703712</v>
      </c>
      <c r="M648" s="890">
        <f>(M645-L645)*L647*M644/360</f>
        <v>205.38194444444449</v>
      </c>
      <c r="N648" s="890">
        <f>(N645-M645)*M647*N644/360</f>
        <v>141.66666666666671</v>
      </c>
      <c r="O648" s="462"/>
      <c r="P648" s="462"/>
      <c r="Q648" s="462"/>
      <c r="R648" s="462"/>
    </row>
    <row r="649" spans="1:87" x14ac:dyDescent="0.3">
      <c r="B649" s="884" t="s">
        <v>1322</v>
      </c>
      <c r="C649" s="885"/>
      <c r="D649" s="888">
        <f t="shared" ref="D649:I649" si="220">+D648+D646</f>
        <v>9386.2222333333339</v>
      </c>
      <c r="E649" s="888">
        <f t="shared" si="220"/>
        <v>9283.3564333333343</v>
      </c>
      <c r="F649" s="888">
        <f t="shared" si="220"/>
        <v>9184.3518333333341</v>
      </c>
      <c r="G649" s="888">
        <f t="shared" si="220"/>
        <v>9117.2500333333337</v>
      </c>
      <c r="H649" s="888">
        <f t="shared" si="220"/>
        <v>9042.0740333333342</v>
      </c>
      <c r="I649" s="888">
        <f t="shared" si="220"/>
        <v>8883.335633333334</v>
      </c>
      <c r="J649" s="888">
        <f>+J648+J646</f>
        <v>8808.3333333333339</v>
      </c>
      <c r="K649" s="888">
        <f>+K648+K646</f>
        <v>8720.925925925927</v>
      </c>
      <c r="L649" s="888">
        <f>+L648+L646</f>
        <v>8603.3703703703704</v>
      </c>
      <c r="M649" s="888">
        <f>+M648+M646</f>
        <v>8538.7152777777792</v>
      </c>
      <c r="N649" s="888">
        <f>+N648+N646</f>
        <v>8475</v>
      </c>
      <c r="O649" s="462"/>
      <c r="P649" s="462"/>
      <c r="Q649" s="462"/>
      <c r="R649" s="462"/>
    </row>
    <row r="650" spans="1:87" x14ac:dyDescent="0.3">
      <c r="B650" s="884" t="s">
        <v>1323</v>
      </c>
      <c r="C650" s="887"/>
      <c r="D650" s="888">
        <f t="shared" ref="D650:I650" si="221">+IF(D645&gt;$C$1,D649,0)</f>
        <v>0</v>
      </c>
      <c r="E650" s="888">
        <f t="shared" si="221"/>
        <v>0</v>
      </c>
      <c r="F650" s="888">
        <f t="shared" si="221"/>
        <v>0</v>
      </c>
      <c r="G650" s="888">
        <f t="shared" si="221"/>
        <v>0</v>
      </c>
      <c r="H650" s="888">
        <f t="shared" si="221"/>
        <v>0</v>
      </c>
      <c r="I650" s="888">
        <f t="shared" si="221"/>
        <v>0</v>
      </c>
      <c r="J650" s="888">
        <f>+IF(J645&gt;$C$1,J649,0)</f>
        <v>0</v>
      </c>
      <c r="K650" s="888">
        <f>+IF(K645&gt;$C$1,K649,0)</f>
        <v>0</v>
      </c>
      <c r="L650" s="888">
        <f>+IF(L645&gt;$C$1,L649,0)</f>
        <v>0</v>
      </c>
      <c r="M650" s="888">
        <f>+IF(M645&gt;$C$1,M649,0)</f>
        <v>0</v>
      </c>
      <c r="N650" s="888">
        <f>+IF(N645&gt;$C$1,N649,0)</f>
        <v>0</v>
      </c>
      <c r="O650" s="462"/>
      <c r="P650" s="462"/>
      <c r="Q650" s="462"/>
      <c r="R650" s="462"/>
    </row>
    <row r="651" spans="1:87" x14ac:dyDescent="0.3">
      <c r="B651" s="884" t="s">
        <v>1324</v>
      </c>
      <c r="C651" s="891"/>
      <c r="D651" s="1004">
        <f t="shared" ref="D651:I651" si="222">(D645-$C$1)/360</f>
        <v>-2.5666666666666669</v>
      </c>
      <c r="E651" s="1004">
        <f t="shared" si="222"/>
        <v>-2.3138888888888891</v>
      </c>
      <c r="F651" s="1004">
        <f t="shared" si="222"/>
        <v>-2.0611111111111109</v>
      </c>
      <c r="G651" s="1004">
        <f t="shared" si="222"/>
        <v>-1.8055555555555556</v>
      </c>
      <c r="H651" s="1004">
        <f t="shared" si="222"/>
        <v>-1.55</v>
      </c>
      <c r="I651" s="1004">
        <f t="shared" si="222"/>
        <v>-1.2972222222222223</v>
      </c>
      <c r="J651" s="1004">
        <f>(J645-$C$1)/360</f>
        <v>-1.0472222222222223</v>
      </c>
      <c r="K651" s="1004">
        <f>(K645-$C$1)/360</f>
        <v>-0.79166666666666663</v>
      </c>
      <c r="L651" s="1004">
        <f>(L645-$C$1)/360</f>
        <v>-0.53611111111111109</v>
      </c>
      <c r="M651" s="1004">
        <f>(M645-$C$1)/360</f>
        <v>-0.28333333333333333</v>
      </c>
      <c r="N651" s="1004">
        <f>(N645-$C$1)/360</f>
        <v>-3.3333333333333333E-2</v>
      </c>
      <c r="O651" s="880"/>
      <c r="P651" s="880"/>
      <c r="Q651" s="880"/>
      <c r="R651" s="880"/>
    </row>
    <row r="652" spans="1:87" x14ac:dyDescent="0.3">
      <c r="B652" s="1175" t="s">
        <v>3097</v>
      </c>
      <c r="C652" s="885"/>
      <c r="D652" s="375" cm="1">
        <f t="array" ref="D652">ROUND(interpoler(mat_zc,Taux_ZC,D651),5)</f>
        <v>2.3279999999999999E-2</v>
      </c>
      <c r="E652" s="894" cm="1">
        <f t="array" ref="E652">ROUND(IF(E651*360&gt;366,interpoler(_mat2,taux2,E651*360),interpoler(_mat1,taux1,E651*360)),5)</f>
        <v>2.2700000000000001E-2</v>
      </c>
      <c r="F652" s="894" cm="1">
        <f t="array" ref="F652">ROUND(IF(F651*360&gt;366,interpoler(_mat2,taux2,F651*360),interpoler(_mat1,taux1,F651*360)),5)</f>
        <v>2.2700000000000001E-2</v>
      </c>
      <c r="G652" s="894" cm="1">
        <f t="array" ref="G652">ROUND(IF(G651*360&gt;366,interpoler(_mat2,taux2,G651*360),interpoler(_mat1,taux1,G651*360)),5)</f>
        <v>2.2700000000000001E-2</v>
      </c>
      <c r="H652" s="894" cm="1">
        <f t="array" ref="H652">ROUND(IF(H651*360&gt;366,interpoler(_mat2,taux2,H651*360),interpoler(_mat1,taux1,H651*360)),5)</f>
        <v>2.2700000000000001E-2</v>
      </c>
      <c r="I652" s="894" cm="1">
        <f t="array" ref="I652">ROUND(IF(I651*360&gt;366,interpoler(_mat2,taux2,I651*360),interpoler(_mat1,taux1,I651*360)),5)</f>
        <v>2.2700000000000001E-2</v>
      </c>
      <c r="J652" s="894" cm="1">
        <f t="array" ref="J652">ROUND(IF(J651*360&gt;366,interpoler(_mat2,taux2,J651*360),interpoler(_mat1,taux1,J651*360)),5)</f>
        <v>2.2700000000000001E-2</v>
      </c>
      <c r="K652" s="894" cm="1">
        <f t="array" ref="K652">ROUND(IF(K651*360&gt;366,interpoler(_mat2,taux2,K651*360),interpoler(_mat1,taux1,K651*360)),5)</f>
        <v>2.2700000000000001E-2</v>
      </c>
      <c r="L652" s="894" cm="1">
        <f t="array" ref="L652">ROUND(IF(L651*360&gt;366,interpoler(_mat2,taux2,L651*360),interpoler(_mat1,taux1,L651*360)),5)</f>
        <v>2.2700000000000001E-2</v>
      </c>
      <c r="M652" s="894" cm="1">
        <f t="array" ref="M652">ROUND(IF(M651*360&gt;366,interpoler(_mat2,taux2,M651*360),interpoler(_mat1,taux1,M651*360)),5)</f>
        <v>2.2700000000000001E-2</v>
      </c>
      <c r="N652" s="894" cm="1">
        <f t="array" ref="N652">ROUND(IF(N651*360&gt;366,interpoler(_mat2,taux2,N651*360),interpoler(_mat1,taux1,N651*360)),5)</f>
        <v>2.2700000000000001E-2</v>
      </c>
      <c r="O652" s="572"/>
      <c r="P652" s="572"/>
      <c r="Q652" s="572"/>
      <c r="R652" s="572"/>
    </row>
    <row r="653" spans="1:87" x14ac:dyDescent="0.3">
      <c r="B653" s="884" t="s">
        <v>1328</v>
      </c>
      <c r="C653" s="885"/>
      <c r="D653" s="896">
        <v>1.0999999999999999E-2</v>
      </c>
      <c r="E653" s="896">
        <f t="shared" ref="E653:L653" si="223">D653</f>
        <v>1.0999999999999999E-2</v>
      </c>
      <c r="F653" s="896">
        <f t="shared" si="223"/>
        <v>1.0999999999999999E-2</v>
      </c>
      <c r="G653" s="896">
        <f t="shared" si="223"/>
        <v>1.0999999999999999E-2</v>
      </c>
      <c r="H653" s="896">
        <f t="shared" si="223"/>
        <v>1.0999999999999999E-2</v>
      </c>
      <c r="I653" s="896">
        <f t="shared" si="223"/>
        <v>1.0999999999999999E-2</v>
      </c>
      <c r="J653" s="896">
        <f t="shared" si="223"/>
        <v>1.0999999999999999E-2</v>
      </c>
      <c r="K653" s="896">
        <f t="shared" si="223"/>
        <v>1.0999999999999999E-2</v>
      </c>
      <c r="L653" s="896">
        <f t="shared" si="223"/>
        <v>1.0999999999999999E-2</v>
      </c>
      <c r="M653" s="896">
        <f>L653</f>
        <v>1.0999999999999999E-2</v>
      </c>
      <c r="N653" s="896">
        <f>M653</f>
        <v>1.0999999999999999E-2</v>
      </c>
      <c r="O653" s="572"/>
      <c r="P653" s="572"/>
      <c r="Q653" s="572"/>
      <c r="R653" s="572"/>
    </row>
    <row r="654" spans="1:87" x14ac:dyDescent="0.3">
      <c r="B654" s="884" t="s">
        <v>1329</v>
      </c>
      <c r="C654" s="885"/>
      <c r="D654" s="897">
        <f t="shared" ref="D654:I654" si="224">ROUND(D652+D653,5)</f>
        <v>3.4279999999999998E-2</v>
      </c>
      <c r="E654" s="897">
        <f t="shared" si="224"/>
        <v>3.3700000000000001E-2</v>
      </c>
      <c r="F654" s="897">
        <f t="shared" si="224"/>
        <v>3.3700000000000001E-2</v>
      </c>
      <c r="G654" s="897">
        <f t="shared" si="224"/>
        <v>3.3700000000000001E-2</v>
      </c>
      <c r="H654" s="897">
        <f t="shared" si="224"/>
        <v>3.3700000000000001E-2</v>
      </c>
      <c r="I654" s="897">
        <f t="shared" si="224"/>
        <v>3.3700000000000001E-2</v>
      </c>
      <c r="J654" s="897">
        <f>ROUND(J652+J653,5)</f>
        <v>3.3700000000000001E-2</v>
      </c>
      <c r="K654" s="897">
        <f>ROUND(K652+K653,5)</f>
        <v>3.3700000000000001E-2</v>
      </c>
      <c r="L654" s="897">
        <f>ROUND(L652+L653,5)</f>
        <v>3.3700000000000001E-2</v>
      </c>
      <c r="M654" s="897">
        <f>ROUND(M652+M653,5)</f>
        <v>3.3700000000000001E-2</v>
      </c>
      <c r="N654" s="897">
        <f>ROUND(N652+N653,5)</f>
        <v>3.3700000000000001E-2</v>
      </c>
      <c r="O654" s="881"/>
      <c r="P654" s="881"/>
      <c r="Q654" s="881"/>
      <c r="R654" s="881"/>
    </row>
    <row r="655" spans="1:87" x14ac:dyDescent="0.3">
      <c r="B655" s="884"/>
      <c r="C655" s="885"/>
      <c r="D655" s="886">
        <f t="shared" ref="D655:I655" si="225">ROUND((D650+D647)/(1+(D654)*D651),4)</f>
        <v>100510.07950000001</v>
      </c>
      <c r="E655" s="886">
        <f t="shared" si="225"/>
        <v>90381.073699999994</v>
      </c>
      <c r="F655" s="886">
        <f t="shared" si="225"/>
        <v>80598.314100000003</v>
      </c>
      <c r="G655" s="886">
        <f t="shared" si="225"/>
        <v>70985.965500000006</v>
      </c>
      <c r="H655" s="886">
        <f t="shared" si="225"/>
        <v>61548.309300000001</v>
      </c>
      <c r="I655" s="886">
        <f t="shared" si="225"/>
        <v>52285.743900000001</v>
      </c>
      <c r="J655" s="886">
        <f>ROUND((J650+J647)/(1+(J654)*J651),4)</f>
        <v>43190.934699999998</v>
      </c>
      <c r="K655" s="886">
        <f>ROUND((K650+K647)/(1+(K654)*K651),4)</f>
        <v>34247.015200000002</v>
      </c>
      <c r="L655" s="886">
        <f>ROUND((L650+L647)/(1+(L654)*L651),4)</f>
        <v>25459.984100000001</v>
      </c>
      <c r="M655" s="886">
        <f>ROUND((M650+M647)/(1+(M654)*M651),4)</f>
        <v>16827.3397</v>
      </c>
      <c r="N655" s="886">
        <f>ROUND((N650+N647)/(1+(N654)*N651),4)</f>
        <v>8342.7049999999999</v>
      </c>
      <c r="O655" s="462"/>
      <c r="P655" s="462"/>
      <c r="Q655" s="462"/>
      <c r="R655" s="462"/>
    </row>
    <row r="656" spans="1:87" x14ac:dyDescent="0.3">
      <c r="B656" s="367"/>
      <c r="C656" s="367"/>
      <c r="D656" s="488"/>
      <c r="E656" s="488"/>
      <c r="F656" s="488"/>
      <c r="G656" s="488"/>
      <c r="H656" s="462"/>
      <c r="I656" s="462"/>
      <c r="J656" s="462"/>
      <c r="K656" s="462"/>
      <c r="L656" s="462"/>
      <c r="M656" s="462"/>
    </row>
    <row r="657" spans="1:87" x14ac:dyDescent="0.3">
      <c r="B657" s="585" t="s">
        <v>650</v>
      </c>
      <c r="C657" s="586">
        <f>N655</f>
        <v>8342.7049999999999</v>
      </c>
      <c r="D657" s="500"/>
      <c r="E657" s="430"/>
      <c r="F657" s="361"/>
      <c r="G657" s="365"/>
      <c r="H657" s="721"/>
      <c r="I657" s="721"/>
      <c r="J657" s="721"/>
      <c r="K657" s="721"/>
      <c r="L657" s="721"/>
      <c r="M657" s="721"/>
    </row>
    <row r="658" spans="1:87" x14ac:dyDescent="0.3">
      <c r="B658" s="585" t="s">
        <v>1331</v>
      </c>
      <c r="C658" s="586">
        <f>+SUMPRODUCT(D651:AG651,D655:AG655)/C657</f>
        <v>-121.74263264619277</v>
      </c>
      <c r="D658" s="365"/>
      <c r="E658" s="365"/>
      <c r="F658" s="361"/>
      <c r="G658" s="363"/>
      <c r="H658" s="573"/>
      <c r="I658" s="573"/>
      <c r="J658" s="573"/>
      <c r="K658" s="573"/>
      <c r="L658" s="573"/>
      <c r="M658" s="573"/>
    </row>
    <row r="659" spans="1:87" x14ac:dyDescent="0.3">
      <c r="B659" s="585"/>
      <c r="C659" s="586"/>
      <c r="D659" s="365"/>
      <c r="E659" s="365"/>
      <c r="F659" s="361"/>
      <c r="G659" s="363"/>
      <c r="H659" s="573"/>
      <c r="I659" s="573"/>
      <c r="J659" s="573"/>
      <c r="K659" s="573"/>
      <c r="L659" s="573"/>
      <c r="M659" s="573"/>
    </row>
    <row r="660" spans="1:87" ht="15" thickBot="1" x14ac:dyDescent="0.35"/>
    <row r="661" spans="1:87" ht="15" thickBot="1" x14ac:dyDescent="0.35">
      <c r="B661" s="1641">
        <v>2024</v>
      </c>
      <c r="C661" s="1642"/>
      <c r="D661" s="1642"/>
      <c r="E661" s="1642"/>
      <c r="F661" s="1642"/>
      <c r="G661" s="1642"/>
      <c r="H661" s="1642"/>
      <c r="I661" s="1642"/>
      <c r="J661" s="1643"/>
    </row>
    <row r="663" spans="1:87" s="462" customFormat="1" ht="13.5" customHeight="1" x14ac:dyDescent="0.3">
      <c r="A663" s="461"/>
      <c r="B663" s="1003" t="s">
        <v>2924</v>
      </c>
      <c r="C663" s="1003">
        <v>100925</v>
      </c>
      <c r="D663" s="713">
        <v>5.0000000000000001E-3</v>
      </c>
      <c r="E663" s="691"/>
      <c r="F663" s="13"/>
      <c r="G663"/>
      <c r="H663" s="461"/>
      <c r="I663" s="461"/>
      <c r="J663" s="461"/>
      <c r="K663" s="461"/>
      <c r="L663" s="461"/>
      <c r="M663" s="461"/>
      <c r="N663" s="461"/>
      <c r="O663" s="461"/>
      <c r="P663" s="461"/>
      <c r="Q663" s="461"/>
      <c r="R663" s="461"/>
      <c r="S663" s="461"/>
      <c r="T663" s="461"/>
      <c r="U663" s="461"/>
      <c r="V663" s="461"/>
      <c r="W663" s="461"/>
      <c r="X663" s="461"/>
      <c r="Y663" s="461"/>
      <c r="Z663" s="461"/>
      <c r="AA663" s="461"/>
      <c r="AB663" s="461"/>
      <c r="AC663" s="461"/>
      <c r="AD663" s="461"/>
      <c r="AE663" s="461"/>
      <c r="AF663" s="461"/>
      <c r="AG663" s="461"/>
      <c r="AH663" s="461"/>
      <c r="AI663" s="461"/>
      <c r="AJ663" s="461"/>
      <c r="AK663" s="461"/>
      <c r="AL663" s="461"/>
      <c r="AM663" s="461"/>
      <c r="AN663" s="461"/>
      <c r="AO663" s="461"/>
      <c r="AP663" s="461"/>
      <c r="AQ663" s="461"/>
      <c r="AR663" s="461"/>
      <c r="AS663" s="461"/>
      <c r="AT663" s="461"/>
      <c r="AU663" s="461"/>
      <c r="AV663" s="461"/>
      <c r="AW663" s="461"/>
      <c r="AX663" s="461"/>
      <c r="AY663" s="461"/>
      <c r="AZ663" s="461"/>
      <c r="BA663" s="461"/>
      <c r="BB663" s="461"/>
      <c r="BC663" s="461"/>
      <c r="BD663" s="461"/>
      <c r="BE663" s="461"/>
      <c r="BF663" s="461"/>
      <c r="BG663" s="461"/>
      <c r="BH663" s="461"/>
      <c r="BI663" s="461"/>
      <c r="BJ663" s="461"/>
      <c r="BK663" s="461"/>
      <c r="BL663" s="461"/>
      <c r="BM663" s="461"/>
      <c r="BN663" s="461"/>
      <c r="BO663" s="461"/>
      <c r="BP663" s="461"/>
      <c r="BQ663" s="461"/>
      <c r="BR663" s="461"/>
      <c r="BS663" s="461"/>
      <c r="BT663" s="461"/>
      <c r="BU663" s="461"/>
      <c r="BV663" s="461"/>
      <c r="BW663" s="461"/>
      <c r="BX663" s="461"/>
      <c r="BY663" s="461"/>
      <c r="BZ663" s="461"/>
      <c r="CA663" s="461"/>
      <c r="CB663" s="461"/>
      <c r="CC663" s="461"/>
      <c r="CD663" s="461"/>
      <c r="CE663" s="461"/>
      <c r="CF663" s="461"/>
      <c r="CG663" s="461"/>
      <c r="CH663" s="461"/>
      <c r="CI663" s="461"/>
    </row>
    <row r="664" spans="1:87" x14ac:dyDescent="0.3">
      <c r="B664" s="364"/>
      <c r="C664" s="364" t="s">
        <v>105</v>
      </c>
      <c r="D664" s="365">
        <v>3.6799999999999999E-2</v>
      </c>
      <c r="E664" s="365">
        <v>3.6799999999999999E-2</v>
      </c>
      <c r="F664" s="365">
        <v>3.6799999999999999E-2</v>
      </c>
      <c r="G664" s="363"/>
      <c r="H664" s="573"/>
      <c r="I664" s="573"/>
      <c r="J664" s="573"/>
      <c r="K664" s="573"/>
      <c r="L664" s="573"/>
      <c r="M664" s="573"/>
    </row>
    <row r="665" spans="1:87" x14ac:dyDescent="0.3">
      <c r="B665" s="882"/>
      <c r="C665" s="883">
        <v>45310</v>
      </c>
      <c r="D665" s="883">
        <v>45676</v>
      </c>
      <c r="E665" s="883">
        <v>46041</v>
      </c>
      <c r="F665" s="883">
        <v>46406</v>
      </c>
      <c r="G665" s="885"/>
      <c r="H665" s="883"/>
      <c r="I665" s="883"/>
      <c r="J665" s="883"/>
      <c r="K665" s="883"/>
      <c r="L665" s="883"/>
      <c r="M665" s="883"/>
      <c r="N665" s="573"/>
      <c r="O665" s="573"/>
      <c r="P665" s="573"/>
      <c r="Q665" s="573"/>
      <c r="R665" s="573"/>
      <c r="S665" s="573"/>
      <c r="T665" s="573"/>
    </row>
    <row r="666" spans="1:87" x14ac:dyDescent="0.3">
      <c r="B666" s="884" t="s">
        <v>1318</v>
      </c>
      <c r="C666" s="885"/>
      <c r="D666" s="886">
        <f>$C$667/3</f>
        <v>33333.333333333336</v>
      </c>
      <c r="E666" s="886">
        <f>$C$667/3</f>
        <v>33333.333333333336</v>
      </c>
      <c r="F666" s="886">
        <f>$C$667/3</f>
        <v>33333.333333333336</v>
      </c>
      <c r="G666" s="886"/>
      <c r="H666" s="886"/>
      <c r="I666" s="886"/>
      <c r="J666" s="886"/>
      <c r="K666" s="886"/>
      <c r="L666" s="886"/>
      <c r="M666" s="886"/>
      <c r="N666" s="462"/>
      <c r="O666" s="462"/>
      <c r="P666" s="462"/>
      <c r="Q666" s="462"/>
      <c r="R666" s="462"/>
    </row>
    <row r="667" spans="1:87" x14ac:dyDescent="0.3">
      <c r="B667" s="884" t="s">
        <v>1320</v>
      </c>
      <c r="C667" s="887">
        <v>100000</v>
      </c>
      <c r="D667" s="888">
        <f>C667-D666</f>
        <v>66666.666666666657</v>
      </c>
      <c r="E667" s="888">
        <f>D667-E666</f>
        <v>33333.333333333321</v>
      </c>
      <c r="F667" s="888">
        <f>E667-F666</f>
        <v>0</v>
      </c>
      <c r="G667" s="888"/>
      <c r="H667" s="888"/>
      <c r="I667" s="889"/>
      <c r="J667" s="889"/>
      <c r="K667" s="889"/>
      <c r="L667" s="889"/>
      <c r="M667" s="889"/>
      <c r="N667" s="462"/>
      <c r="O667" s="462"/>
      <c r="P667" s="462"/>
      <c r="Q667" s="462"/>
      <c r="R667" s="462"/>
    </row>
    <row r="668" spans="1:87" x14ac:dyDescent="0.3">
      <c r="B668" s="884" t="s">
        <v>1321</v>
      </c>
      <c r="C668" s="885"/>
      <c r="D668" s="890">
        <f>ROUND(C667*D664,4)</f>
        <v>3680</v>
      </c>
      <c r="E668" s="890">
        <f>ROUND(D667*E664,4)</f>
        <v>2453.3332999999998</v>
      </c>
      <c r="F668" s="890">
        <f>ROUND(E667*F664,4)</f>
        <v>1226.6667</v>
      </c>
      <c r="G668" s="890"/>
      <c r="H668" s="890"/>
      <c r="I668" s="890"/>
      <c r="J668" s="890"/>
      <c r="K668" s="889"/>
      <c r="L668" s="889"/>
      <c r="M668" s="889"/>
      <c r="N668" s="462"/>
      <c r="O668" s="462"/>
      <c r="P668" s="462"/>
      <c r="Q668" s="462"/>
      <c r="R668" s="462"/>
    </row>
    <row r="669" spans="1:87" x14ac:dyDescent="0.3">
      <c r="B669" s="884" t="s">
        <v>1322</v>
      </c>
      <c r="C669" s="885"/>
      <c r="D669" s="888">
        <f>+D668+D666</f>
        <v>37013.333333333336</v>
      </c>
      <c r="E669" s="888">
        <f>+E668+E666</f>
        <v>35786.666633333334</v>
      </c>
      <c r="F669" s="888">
        <f>+F668+F666</f>
        <v>34560.000033333337</v>
      </c>
      <c r="G669" s="888"/>
      <c r="H669" s="888"/>
      <c r="I669" s="889"/>
      <c r="J669" s="889"/>
      <c r="K669" s="889"/>
      <c r="L669" s="889"/>
      <c r="M669" s="889"/>
      <c r="N669" s="462"/>
      <c r="O669" s="462"/>
      <c r="P669" s="462"/>
      <c r="Q669" s="462"/>
      <c r="R669" s="462"/>
    </row>
    <row r="670" spans="1:87" x14ac:dyDescent="0.3">
      <c r="B670" s="884" t="s">
        <v>1323</v>
      </c>
      <c r="C670" s="887"/>
      <c r="D670" s="888">
        <f>+IF(D665&gt;$C$1,D669,0)</f>
        <v>0</v>
      </c>
      <c r="E670" s="888">
        <f>+IF(E665&gt;$C$1,E669,0)</f>
        <v>0</v>
      </c>
      <c r="F670" s="888">
        <f>+IF(F665&gt;$C$1,F669,0)</f>
        <v>34560.000033333337</v>
      </c>
      <c r="G670" s="888"/>
      <c r="H670" s="888"/>
      <c r="I670" s="889"/>
      <c r="J670" s="889"/>
      <c r="K670" s="889"/>
      <c r="L670" s="889"/>
      <c r="M670" s="889"/>
      <c r="N670" s="462"/>
      <c r="O670" s="462"/>
      <c r="P670" s="462"/>
      <c r="Q670" s="462"/>
      <c r="R670" s="462"/>
    </row>
    <row r="671" spans="1:87" x14ac:dyDescent="0.3">
      <c r="B671" s="884" t="s">
        <v>1324</v>
      </c>
      <c r="C671" s="891"/>
      <c r="D671" s="1004">
        <f>ROUND((D665-$C$1)/366,10)</f>
        <v>-1.1775956284</v>
      </c>
      <c r="E671" s="1038">
        <f>IF(D671&lt;=0,(E665-C1)/365,D671+1)</f>
        <v>-0.18082191780821918</v>
      </c>
      <c r="F671" s="1038">
        <f>IF(E671&lt;=0,(F665-C1)/365,E671+1)</f>
        <v>0.81917808219178079</v>
      </c>
      <c r="G671" s="892"/>
      <c r="H671" s="892"/>
      <c r="I671" s="893"/>
      <c r="J671" s="893"/>
      <c r="K671" s="893"/>
      <c r="L671" s="893"/>
      <c r="M671" s="893"/>
      <c r="N671" s="880"/>
      <c r="O671" s="880"/>
      <c r="P671" s="880"/>
      <c r="Q671" s="880"/>
      <c r="R671" s="880"/>
    </row>
    <row r="672" spans="1:87" x14ac:dyDescent="0.3">
      <c r="B672" s="884" t="s">
        <v>1325</v>
      </c>
      <c r="C672" s="885"/>
      <c r="D672" s="439" cm="1">
        <f t="array" ref="D672">ROUND(interpoler(mat_zc,Taux_ZC,D671),5)</f>
        <v>2.3279999999999999E-2</v>
      </c>
      <c r="E672" s="375" cm="1">
        <f t="array" ref="E672">ROUND(interpoler(mat_zc,Taux_ZC,E671),5)</f>
        <v>2.3279999999999999E-2</v>
      </c>
      <c r="F672" s="375" cm="1">
        <f t="array" ref="F672">ROUND(interpoler(mat_zc,Taux_ZC,F671),5)</f>
        <v>2.4809999999999999E-2</v>
      </c>
      <c r="G672" s="894"/>
      <c r="H672" s="894"/>
      <c r="I672" s="894"/>
      <c r="J672" s="894"/>
      <c r="K672" s="895"/>
      <c r="L672" s="895"/>
      <c r="M672" s="895"/>
      <c r="N672" s="572"/>
      <c r="O672" s="572"/>
      <c r="P672" s="572"/>
      <c r="Q672" s="572"/>
      <c r="R672" s="572"/>
    </row>
    <row r="673" spans="2:18" x14ac:dyDescent="0.3">
      <c r="B673" s="884" t="s">
        <v>1328</v>
      </c>
      <c r="C673" s="885"/>
      <c r="D673" s="896">
        <v>5.0000000000000001E-3</v>
      </c>
      <c r="E673" s="896">
        <v>5.0000000000000001E-3</v>
      </c>
      <c r="F673" s="896">
        <v>5.0000000000000001E-3</v>
      </c>
      <c r="G673" s="896"/>
      <c r="H673" s="896"/>
      <c r="I673" s="896"/>
      <c r="J673" s="896"/>
      <c r="K673" s="895"/>
      <c r="L673" s="895"/>
      <c r="M673" s="895"/>
      <c r="N673" s="572"/>
      <c r="O673" s="572"/>
      <c r="P673" s="572"/>
      <c r="Q673" s="572"/>
      <c r="R673" s="572"/>
    </row>
    <row r="674" spans="2:18" x14ac:dyDescent="0.3">
      <c r="B674" s="884" t="s">
        <v>1329</v>
      </c>
      <c r="C674" s="885"/>
      <c r="D674" s="897">
        <f>ROUND(D672+D673,5)</f>
        <v>2.828E-2</v>
      </c>
      <c r="E674" s="897">
        <f>ROUND(E672+E673,5)</f>
        <v>2.828E-2</v>
      </c>
      <c r="F674" s="897">
        <f>ROUND(F672+F673,5)</f>
        <v>2.981E-2</v>
      </c>
      <c r="G674" s="897"/>
      <c r="H674" s="897"/>
      <c r="I674" s="898"/>
      <c r="J674" s="898"/>
      <c r="K674" s="898"/>
      <c r="L674" s="898"/>
      <c r="M674" s="898"/>
      <c r="N674" s="881"/>
      <c r="O674" s="881"/>
      <c r="P674" s="881"/>
      <c r="Q674" s="881"/>
      <c r="R674" s="881"/>
    </row>
    <row r="675" spans="2:18" x14ac:dyDescent="0.3">
      <c r="B675" s="884"/>
      <c r="C675" s="885"/>
      <c r="D675" s="886">
        <f>ROUND((D670)/(1+(D674))^D671,4)</f>
        <v>0</v>
      </c>
      <c r="E675" s="886">
        <f>ROUND((E670)/(1+(E674))^E671,4)</f>
        <v>0</v>
      </c>
      <c r="F675" s="886">
        <f>ROUND((F670)/(1+(F674))^F671,4)</f>
        <v>33738.315399999999</v>
      </c>
      <c r="G675" s="886"/>
      <c r="H675" s="886"/>
      <c r="I675" s="886"/>
      <c r="J675" s="886"/>
      <c r="K675" s="889"/>
      <c r="L675" s="889"/>
      <c r="M675" s="889"/>
      <c r="N675" s="462"/>
      <c r="O675" s="462"/>
      <c r="P675" s="462"/>
      <c r="Q675" s="462"/>
      <c r="R675" s="462"/>
    </row>
    <row r="676" spans="2:18" x14ac:dyDescent="0.3">
      <c r="B676" s="367"/>
      <c r="C676" s="367"/>
      <c r="D676" s="488"/>
      <c r="E676" s="488"/>
      <c r="F676" s="488"/>
      <c r="G676" s="488"/>
      <c r="H676" s="462"/>
      <c r="I676" s="462"/>
      <c r="J676" s="462"/>
      <c r="K676" s="462"/>
      <c r="L676" s="462"/>
      <c r="M676" s="462"/>
    </row>
    <row r="677" spans="2:18" x14ac:dyDescent="0.3">
      <c r="B677" s="585" t="s">
        <v>650</v>
      </c>
      <c r="C677" s="586">
        <f>F675</f>
        <v>33738.315399999999</v>
      </c>
      <c r="D677" s="500"/>
      <c r="E677" s="430"/>
      <c r="F677" s="361"/>
      <c r="G677" s="365"/>
      <c r="H677" s="721"/>
      <c r="I677" s="721"/>
      <c r="J677" s="721"/>
      <c r="K677" s="721"/>
      <c r="L677" s="721"/>
      <c r="M677" s="721"/>
    </row>
    <row r="678" spans="2:18" x14ac:dyDescent="0.3">
      <c r="B678" s="585" t="s">
        <v>1331</v>
      </c>
      <c r="C678" s="586">
        <f>+SUMPRODUCT(D671:AG671,D675:AG675)/C677</f>
        <v>0.81917808219178079</v>
      </c>
      <c r="D678" s="365"/>
      <c r="E678" s="365"/>
      <c r="F678" s="361"/>
      <c r="G678" s="363"/>
      <c r="H678" s="573"/>
      <c r="I678" s="573"/>
      <c r="J678" s="573"/>
      <c r="K678" s="573"/>
      <c r="L678" s="573"/>
      <c r="M678" s="573"/>
    </row>
    <row r="679" spans="2:18" x14ac:dyDescent="0.3">
      <c r="B679" s="585"/>
      <c r="C679" s="586"/>
      <c r="D679" s="365"/>
      <c r="E679" s="365"/>
      <c r="F679" s="361"/>
      <c r="G679" s="363"/>
      <c r="H679" s="573"/>
      <c r="I679" s="573"/>
      <c r="J679" s="573"/>
      <c r="K679" s="573"/>
      <c r="L679" s="573"/>
      <c r="M679" s="573"/>
    </row>
    <row r="690" spans="2:13" x14ac:dyDescent="0.3">
      <c r="B690" s="1003" t="s">
        <v>2924</v>
      </c>
      <c r="C690" s="1003">
        <v>100937</v>
      </c>
      <c r="D690" s="713">
        <v>3.7199999999999997E-2</v>
      </c>
      <c r="E690" s="691"/>
      <c r="F690" s="13"/>
      <c r="G690"/>
    </row>
    <row r="691" spans="2:13" x14ac:dyDescent="0.3">
      <c r="B691" s="364"/>
      <c r="C691" s="364" t="s">
        <v>105</v>
      </c>
      <c r="D691" s="365"/>
      <c r="E691" s="365"/>
      <c r="F691" s="365"/>
      <c r="G691" s="363"/>
      <c r="H691" s="573"/>
      <c r="I691" s="573"/>
      <c r="J691" s="573"/>
      <c r="K691" s="573"/>
      <c r="L691" s="573"/>
      <c r="M691" s="573"/>
    </row>
    <row r="692" spans="2:13" x14ac:dyDescent="0.3">
      <c r="B692" s="882"/>
      <c r="C692" s="883">
        <v>45407</v>
      </c>
      <c r="D692" s="883">
        <v>45772</v>
      </c>
      <c r="E692" s="883">
        <v>46137</v>
      </c>
      <c r="F692" s="883">
        <v>46503</v>
      </c>
      <c r="G692" s="885"/>
      <c r="H692" s="883"/>
      <c r="I692" s="883"/>
      <c r="J692" s="883"/>
      <c r="K692" s="883"/>
      <c r="L692" s="883"/>
      <c r="M692" s="883"/>
    </row>
    <row r="693" spans="2:13" x14ac:dyDescent="0.3">
      <c r="B693" s="884" t="s">
        <v>1318</v>
      </c>
      <c r="C693" s="885"/>
      <c r="D693" s="886">
        <f>$C$694/3</f>
        <v>33333.333333333336</v>
      </c>
      <c r="E693" s="886">
        <f>$C$694/3</f>
        <v>33333.333333333336</v>
      </c>
      <c r="F693" s="886">
        <f>$C$694/3</f>
        <v>33333.333333333336</v>
      </c>
      <c r="G693" s="886"/>
      <c r="H693" s="886"/>
      <c r="I693" s="886"/>
      <c r="J693" s="886"/>
      <c r="K693" s="886"/>
      <c r="L693" s="886"/>
      <c r="M693" s="886"/>
    </row>
    <row r="694" spans="2:13" x14ac:dyDescent="0.3">
      <c r="B694" s="884" t="s">
        <v>1320</v>
      </c>
      <c r="C694" s="887">
        <v>100000</v>
      </c>
      <c r="D694" s="888">
        <f>C694-D693</f>
        <v>66666.666666666657</v>
      </c>
      <c r="E694" s="888">
        <f>D694-E693</f>
        <v>33333.333333333321</v>
      </c>
      <c r="F694" s="888">
        <f>E694-F693</f>
        <v>0</v>
      </c>
      <c r="G694" s="888"/>
      <c r="H694" s="888"/>
      <c r="I694" s="889"/>
      <c r="J694" s="889"/>
      <c r="K694" s="889"/>
      <c r="L694" s="889"/>
      <c r="M694" s="889"/>
    </row>
    <row r="695" spans="2:13" x14ac:dyDescent="0.3">
      <c r="B695" s="884" t="s">
        <v>1321</v>
      </c>
      <c r="C695" s="885"/>
      <c r="D695" s="890">
        <f>ROUND(C694*$D$690,4)</f>
        <v>3720</v>
      </c>
      <c r="E695" s="890">
        <f>ROUND(D694*$D$690,4)</f>
        <v>2480</v>
      </c>
      <c r="F695" s="890">
        <f>ROUND(E694*$D$690,4)</f>
        <v>1240</v>
      </c>
      <c r="G695" s="890"/>
      <c r="H695" s="890"/>
      <c r="I695" s="890"/>
      <c r="J695" s="890"/>
      <c r="K695" s="889"/>
      <c r="L695" s="889"/>
      <c r="M695" s="889"/>
    </row>
    <row r="696" spans="2:13" x14ac:dyDescent="0.3">
      <c r="B696" s="884" t="s">
        <v>1322</v>
      </c>
      <c r="C696" s="885"/>
      <c r="D696" s="888">
        <f>+D695+D693</f>
        <v>37053.333333333336</v>
      </c>
      <c r="E696" s="888">
        <f>+E695+E693</f>
        <v>35813.333333333336</v>
      </c>
      <c r="F696" s="888">
        <f>+F695+F693</f>
        <v>34573.333333333336</v>
      </c>
      <c r="G696" s="888"/>
      <c r="H696" s="888"/>
      <c r="I696" s="889"/>
      <c r="J696" s="889"/>
      <c r="K696" s="889"/>
      <c r="L696" s="889"/>
      <c r="M696" s="889"/>
    </row>
    <row r="697" spans="2:13" x14ac:dyDescent="0.3">
      <c r="B697" s="884" t="s">
        <v>1323</v>
      </c>
      <c r="C697" s="887"/>
      <c r="D697" s="888">
        <f>+IF(D692&gt;$C$1,D696,0)</f>
        <v>0</v>
      </c>
      <c r="E697" s="888">
        <f>+IF(E692&gt;$C$1,E696,0)</f>
        <v>35813.333333333336</v>
      </c>
      <c r="F697" s="888">
        <f>+IF(F692&gt;$C$1,F696,0)</f>
        <v>34573.333333333336</v>
      </c>
      <c r="G697" s="888"/>
      <c r="H697" s="888"/>
      <c r="I697" s="889"/>
      <c r="J697" s="889"/>
      <c r="K697" s="889"/>
      <c r="L697" s="889"/>
      <c r="M697" s="889"/>
    </row>
    <row r="698" spans="2:13" x14ac:dyDescent="0.3">
      <c r="B698" s="884" t="s">
        <v>1324</v>
      </c>
      <c r="C698" s="891"/>
      <c r="D698" s="1004">
        <f>ROUND((D692-$C$1)/365,10)</f>
        <v>-0.9178082192</v>
      </c>
      <c r="E698" s="1247">
        <f>D698+1</f>
        <v>8.2191780800000003E-2</v>
      </c>
      <c r="F698" s="1004">
        <f>E698+1</f>
        <v>1.0821917808000001</v>
      </c>
      <c r="G698" s="892"/>
      <c r="H698" s="892"/>
      <c r="I698" s="893"/>
      <c r="J698" s="893"/>
      <c r="K698" s="893"/>
      <c r="L698" s="893"/>
      <c r="M698" s="893"/>
    </row>
    <row r="699" spans="2:13" x14ac:dyDescent="0.3">
      <c r="B699" s="884" t="s">
        <v>1325</v>
      </c>
      <c r="C699" s="885"/>
      <c r="D699" s="375" cm="1">
        <f t="array" ref="D699">ROUND(interpoler(mat_zc,Taux_ZC,D698),5)</f>
        <v>2.3279999999999999E-2</v>
      </c>
      <c r="E699" s="375" cm="1">
        <f t="array" ref="E699">ROUND(interpoler(mat_zc,Taux_ZC,E698),5)</f>
        <v>2.3259999999999999E-2</v>
      </c>
      <c r="F699" s="375" cm="1">
        <f t="array" ref="F699">ROUND(interpoler(mat_zc,Taux_ZC,F698),5)</f>
        <v>2.5270000000000001E-2</v>
      </c>
      <c r="G699" s="894"/>
      <c r="H699" s="894"/>
      <c r="I699" s="894"/>
      <c r="J699" s="894"/>
      <c r="K699" s="895"/>
      <c r="L699" s="895"/>
      <c r="M699" s="895"/>
    </row>
    <row r="700" spans="2:13" x14ac:dyDescent="0.3">
      <c r="B700" s="884" t="s">
        <v>1328</v>
      </c>
      <c r="C700" s="885"/>
      <c r="D700" s="896">
        <v>4.4999999999999997E-3</v>
      </c>
      <c r="E700" s="896">
        <v>4.4999999999999997E-3</v>
      </c>
      <c r="F700" s="896">
        <v>4.4999999999999997E-3</v>
      </c>
      <c r="G700" s="896"/>
      <c r="H700" s="896"/>
      <c r="I700" s="896"/>
      <c r="J700" s="896"/>
      <c r="K700" s="895"/>
      <c r="L700" s="895"/>
      <c r="M700" s="895"/>
    </row>
    <row r="701" spans="2:13" x14ac:dyDescent="0.3">
      <c r="B701" s="884" t="s">
        <v>1329</v>
      </c>
      <c r="C701" s="885"/>
      <c r="D701" s="897">
        <f>ROUND(D699+D700,5)</f>
        <v>2.7779999999999999E-2</v>
      </c>
      <c r="E701" s="897">
        <f>ROUND(E699+E700,5)</f>
        <v>2.776E-2</v>
      </c>
      <c r="F701" s="897">
        <f>ROUND(F699+F700,5)</f>
        <v>2.9770000000000001E-2</v>
      </c>
      <c r="G701" s="897"/>
      <c r="H701" s="897"/>
      <c r="I701" s="898"/>
      <c r="J701" s="898"/>
      <c r="K701" s="898"/>
      <c r="L701" s="898"/>
      <c r="M701" s="898"/>
    </row>
    <row r="702" spans="2:13" x14ac:dyDescent="0.3">
      <c r="B702" s="884"/>
      <c r="C702" s="885"/>
      <c r="D702" s="886">
        <f>ROUND((D697)/(1+(D701))^D698,4)</f>
        <v>0</v>
      </c>
      <c r="E702" s="886">
        <f>ROUND((E697)/(1+(E701))^E698,4)</f>
        <v>35732.8243</v>
      </c>
      <c r="F702" s="886">
        <f>ROUND((F697)/(1+(F701))^F698,4)</f>
        <v>33492.986599999997</v>
      </c>
      <c r="G702" s="886"/>
      <c r="H702" s="886"/>
      <c r="I702" s="886"/>
      <c r="J702" s="886"/>
      <c r="K702" s="889"/>
      <c r="L702" s="889"/>
      <c r="M702" s="889"/>
    </row>
    <row r="703" spans="2:13" x14ac:dyDescent="0.3">
      <c r="B703" s="367"/>
      <c r="C703" s="367"/>
      <c r="D703" s="488"/>
      <c r="E703" s="488"/>
      <c r="F703" s="488"/>
      <c r="G703" s="488"/>
      <c r="H703" s="462"/>
      <c r="I703" s="462"/>
      <c r="J703" s="462"/>
      <c r="K703" s="462"/>
      <c r="L703" s="462"/>
      <c r="M703" s="462"/>
    </row>
    <row r="704" spans="2:13" x14ac:dyDescent="0.3">
      <c r="B704" s="585" t="s">
        <v>650</v>
      </c>
      <c r="C704" s="872">
        <f>+D702+E702+F702</f>
        <v>69225.810899999997</v>
      </c>
      <c r="D704" s="500"/>
      <c r="E704" s="430"/>
      <c r="F704" s="361"/>
      <c r="G704" s="365"/>
      <c r="H704" s="721"/>
      <c r="I704" s="721"/>
      <c r="J704" s="721"/>
      <c r="K704" s="721"/>
      <c r="L704" s="721"/>
      <c r="M704" s="721"/>
    </row>
    <row r="705" spans="2:13" x14ac:dyDescent="0.3">
      <c r="B705" s="585" t="s">
        <v>1331</v>
      </c>
      <c r="C705" s="586">
        <f>+SUMPRODUCT(D698:AG698,D702:AG702)/C704</f>
        <v>0.56601401653201955</v>
      </c>
      <c r="D705" s="365"/>
      <c r="E705" s="365"/>
      <c r="F705" s="361"/>
      <c r="G705" s="363"/>
      <c r="H705" s="573"/>
      <c r="I705" s="573"/>
      <c r="J705" s="573"/>
      <c r="K705" s="573"/>
      <c r="L705" s="573"/>
      <c r="M705" s="573"/>
    </row>
    <row r="706" spans="2:13" x14ac:dyDescent="0.3">
      <c r="B706" s="585"/>
      <c r="C706" s="586"/>
      <c r="D706" s="365"/>
      <c r="E706" s="365"/>
      <c r="F706" s="361"/>
      <c r="G706" s="363"/>
      <c r="H706" s="573"/>
      <c r="I706" s="573"/>
      <c r="J706" s="573"/>
      <c r="K706" s="573"/>
      <c r="L706" s="573"/>
      <c r="M706" s="573"/>
    </row>
    <row r="711" spans="2:13" x14ac:dyDescent="0.3">
      <c r="B711" s="879" t="s">
        <v>2976</v>
      </c>
      <c r="C711" s="879">
        <v>9626</v>
      </c>
      <c r="D711" s="691">
        <v>5.0000000000000001E-3</v>
      </c>
      <c r="E711"/>
      <c r="F711"/>
      <c r="G711"/>
    </row>
    <row r="712" spans="2:13" x14ac:dyDescent="0.3">
      <c r="B712" s="364"/>
      <c r="C712" s="364" t="s">
        <v>105</v>
      </c>
      <c r="D712" s="365">
        <v>3.9600000000000003E-2</v>
      </c>
      <c r="E712" s="365"/>
      <c r="F712" s="361"/>
      <c r="G712" s="363"/>
      <c r="H712" s="573"/>
      <c r="I712" s="573"/>
      <c r="J712" s="573"/>
    </row>
    <row r="713" spans="2:13" x14ac:dyDescent="0.3">
      <c r="B713" s="882"/>
      <c r="C713" s="883">
        <v>45471</v>
      </c>
      <c r="D713" s="883">
        <v>45836</v>
      </c>
      <c r="E713" s="883">
        <v>46201</v>
      </c>
      <c r="F713" s="883">
        <v>46566</v>
      </c>
      <c r="G713" s="883">
        <v>46932</v>
      </c>
      <c r="H713" s="883">
        <v>47297</v>
      </c>
      <c r="I713" s="883">
        <v>47662</v>
      </c>
      <c r="J713" s="883">
        <v>48027</v>
      </c>
    </row>
    <row r="714" spans="2:13" x14ac:dyDescent="0.3">
      <c r="B714" s="884" t="s">
        <v>1318</v>
      </c>
      <c r="C714" s="885"/>
      <c r="D714" s="886">
        <v>0</v>
      </c>
      <c r="E714" s="886">
        <v>0</v>
      </c>
      <c r="F714" s="886">
        <f>100000/5</f>
        <v>20000</v>
      </c>
      <c r="G714" s="886">
        <f>100000/5</f>
        <v>20000</v>
      </c>
      <c r="H714" s="886">
        <f>100000/5</f>
        <v>20000</v>
      </c>
      <c r="I714" s="886">
        <f>100000/5</f>
        <v>20000</v>
      </c>
      <c r="J714" s="886">
        <f>100000/5</f>
        <v>20000</v>
      </c>
    </row>
    <row r="715" spans="2:13" x14ac:dyDescent="0.3">
      <c r="B715" s="884" t="s">
        <v>1320</v>
      </c>
      <c r="C715" s="887">
        <v>100000</v>
      </c>
      <c r="D715" s="888">
        <f>+C715-D714</f>
        <v>100000</v>
      </c>
      <c r="E715" s="888">
        <f t="shared" ref="E715:J715" si="226">+D715-E714</f>
        <v>100000</v>
      </c>
      <c r="F715" s="888">
        <f t="shared" si="226"/>
        <v>80000</v>
      </c>
      <c r="G715" s="888">
        <f t="shared" si="226"/>
        <v>60000</v>
      </c>
      <c r="H715" s="888">
        <f t="shared" si="226"/>
        <v>40000</v>
      </c>
      <c r="I715" s="888">
        <f t="shared" si="226"/>
        <v>20000</v>
      </c>
      <c r="J715" s="888">
        <f t="shared" si="226"/>
        <v>0</v>
      </c>
    </row>
    <row r="716" spans="2:13" x14ac:dyDescent="0.3">
      <c r="B716" s="884" t="s">
        <v>1321</v>
      </c>
      <c r="C716" s="885"/>
      <c r="D716" s="890">
        <f>ROUND(C715*$D$712,2)</f>
        <v>3960</v>
      </c>
      <c r="E716" s="890">
        <f t="shared" ref="E716:J716" si="227">ROUND(D715*$D$712,2)</f>
        <v>3960</v>
      </c>
      <c r="F716" s="890">
        <f t="shared" si="227"/>
        <v>3960</v>
      </c>
      <c r="G716" s="890">
        <f t="shared" si="227"/>
        <v>3168</v>
      </c>
      <c r="H716" s="890">
        <f t="shared" si="227"/>
        <v>2376</v>
      </c>
      <c r="I716" s="890">
        <f t="shared" si="227"/>
        <v>1584</v>
      </c>
      <c r="J716" s="890">
        <f t="shared" si="227"/>
        <v>792</v>
      </c>
    </row>
    <row r="717" spans="2:13" x14ac:dyDescent="0.3">
      <c r="B717" s="884" t="s">
        <v>1322</v>
      </c>
      <c r="C717" s="885"/>
      <c r="D717" s="888">
        <f t="shared" ref="D717:J717" si="228">+D716+D714</f>
        <v>3960</v>
      </c>
      <c r="E717" s="888">
        <f t="shared" si="228"/>
        <v>3960</v>
      </c>
      <c r="F717" s="888">
        <f t="shared" si="228"/>
        <v>23960</v>
      </c>
      <c r="G717" s="888">
        <f t="shared" si="228"/>
        <v>23168</v>
      </c>
      <c r="H717" s="888">
        <f t="shared" si="228"/>
        <v>22376</v>
      </c>
      <c r="I717" s="888">
        <f t="shared" si="228"/>
        <v>21584</v>
      </c>
      <c r="J717" s="888">
        <f t="shared" si="228"/>
        <v>20792</v>
      </c>
    </row>
    <row r="718" spans="2:13" x14ac:dyDescent="0.3">
      <c r="B718" s="884" t="s">
        <v>1323</v>
      </c>
      <c r="C718" s="887"/>
      <c r="D718" s="888">
        <f t="shared" ref="D718:J718" si="229">+IF(D713&gt;$C$1,D717,0)</f>
        <v>0</v>
      </c>
      <c r="E718" s="888">
        <f t="shared" si="229"/>
        <v>3960</v>
      </c>
      <c r="F718" s="888">
        <f t="shared" si="229"/>
        <v>23960</v>
      </c>
      <c r="G718" s="888">
        <f t="shared" si="229"/>
        <v>23168</v>
      </c>
      <c r="H718" s="888">
        <f t="shared" si="229"/>
        <v>22376</v>
      </c>
      <c r="I718" s="888">
        <f t="shared" si="229"/>
        <v>21584</v>
      </c>
      <c r="J718" s="888">
        <f t="shared" si="229"/>
        <v>20792</v>
      </c>
    </row>
    <row r="719" spans="2:13" x14ac:dyDescent="0.3">
      <c r="B719" s="884" t="s">
        <v>1324</v>
      </c>
      <c r="C719" s="891"/>
      <c r="D719" s="892">
        <f t="shared" ref="D719:J719" si="230">+IF(C718=0,(D713-$C$1)/(D713-C713),C719+1)</f>
        <v>-0.74246575342465748</v>
      </c>
      <c r="E719" s="892">
        <f t="shared" si="230"/>
        <v>0.25753424657534246</v>
      </c>
      <c r="F719" s="892">
        <f t="shared" si="230"/>
        <v>1.2575342465753425</v>
      </c>
      <c r="G719" s="892">
        <f t="shared" si="230"/>
        <v>2.2575342465753425</v>
      </c>
      <c r="H719" s="892">
        <f t="shared" si="230"/>
        <v>3.2575342465753425</v>
      </c>
      <c r="I719" s="892">
        <f t="shared" si="230"/>
        <v>4.257534246575343</v>
      </c>
      <c r="J719" s="892">
        <f t="shared" si="230"/>
        <v>5.257534246575343</v>
      </c>
    </row>
    <row r="720" spans="2:13" x14ac:dyDescent="0.3">
      <c r="B720" s="884" t="s">
        <v>1325</v>
      </c>
      <c r="C720" s="885"/>
      <c r="D720" s="375" cm="1">
        <f t="array" ref="D720">ROUND(interpoler(mat_zc,Taux_ZC,D719),5)</f>
        <v>2.3279999999999999E-2</v>
      </c>
      <c r="E720" s="375" cm="1">
        <f t="array" ref="E720">ROUND(interpoler(mat_zc,Taux_ZC,E719),5)</f>
        <v>2.3539999999999998E-2</v>
      </c>
      <c r="F720" s="375" cm="1">
        <f t="array" ref="F720">ROUND(interpoler(mat_zc,Taux_ZC,F719),5)</f>
        <v>2.554E-2</v>
      </c>
      <c r="G720" s="375" cm="1">
        <f t="array" ref="G720">ROUND(interpoler(mat_zc,Taux_ZC,G719),5)</f>
        <v>2.7099999999999999E-2</v>
      </c>
      <c r="H720" s="375" cm="1">
        <f t="array" ref="H720">ROUND(interpoler(mat_zc,Taux_ZC,H719),5)</f>
        <v>2.8660000000000001E-2</v>
      </c>
      <c r="I720" s="375" cm="1">
        <f t="array" ref="I720">ROUND(interpoler(mat_zc,Taux_ZC,I719),5)</f>
        <v>3.0110000000000001E-2</v>
      </c>
      <c r="J720" s="375" cm="1">
        <f t="array" ref="J720">ROUND(interpoler(mat_zc,Taux_ZC,J719),5)</f>
        <v>3.1040000000000002E-2</v>
      </c>
    </row>
    <row r="721" spans="2:13" x14ac:dyDescent="0.3">
      <c r="B721" s="884" t="s">
        <v>1328</v>
      </c>
      <c r="C721" s="885"/>
      <c r="D721" s="896">
        <f>$D$625</f>
        <v>5.0000000000000001E-3</v>
      </c>
      <c r="E721" s="896">
        <f t="shared" ref="E721:J721" si="231">$D$625</f>
        <v>5.0000000000000001E-3</v>
      </c>
      <c r="F721" s="896">
        <f t="shared" si="231"/>
        <v>5.0000000000000001E-3</v>
      </c>
      <c r="G721" s="896">
        <f t="shared" si="231"/>
        <v>5.0000000000000001E-3</v>
      </c>
      <c r="H721" s="896">
        <f t="shared" si="231"/>
        <v>5.0000000000000001E-3</v>
      </c>
      <c r="I721" s="896">
        <f t="shared" si="231"/>
        <v>5.0000000000000001E-3</v>
      </c>
      <c r="J721" s="896">
        <f t="shared" si="231"/>
        <v>5.0000000000000001E-3</v>
      </c>
    </row>
    <row r="722" spans="2:13" x14ac:dyDescent="0.3">
      <c r="B722" s="884" t="s">
        <v>1329</v>
      </c>
      <c r="C722" s="885"/>
      <c r="D722" s="897">
        <f t="shared" ref="D722:J722" si="232">ROUND(D720+D721,5)</f>
        <v>2.828E-2</v>
      </c>
      <c r="E722" s="897">
        <f t="shared" si="232"/>
        <v>2.8539999999999999E-2</v>
      </c>
      <c r="F722" s="897">
        <f t="shared" si="232"/>
        <v>3.0540000000000001E-2</v>
      </c>
      <c r="G722" s="897">
        <f t="shared" si="232"/>
        <v>3.2099999999999997E-2</v>
      </c>
      <c r="H722" s="897">
        <f t="shared" si="232"/>
        <v>3.3660000000000002E-2</v>
      </c>
      <c r="I722" s="897">
        <f t="shared" si="232"/>
        <v>3.5110000000000002E-2</v>
      </c>
      <c r="J722" s="897">
        <f t="shared" si="232"/>
        <v>3.6040000000000003E-2</v>
      </c>
    </row>
    <row r="723" spans="2:13" x14ac:dyDescent="0.3">
      <c r="B723" s="884"/>
      <c r="C723" s="885"/>
      <c r="D723" s="886">
        <f>ROUND(D718/(1+D722)^D719,4)</f>
        <v>0</v>
      </c>
      <c r="E723" s="886">
        <f t="shared" ref="E723:J723" si="233">ROUND(E718/(1+E722)^E719,4)</f>
        <v>3931.4052000000001</v>
      </c>
      <c r="F723" s="886">
        <f t="shared" si="233"/>
        <v>23070.516299999999</v>
      </c>
      <c r="G723" s="886">
        <f t="shared" si="233"/>
        <v>21573.030699999999</v>
      </c>
      <c r="H723" s="886">
        <f t="shared" si="233"/>
        <v>20088.4565</v>
      </c>
      <c r="I723" s="886">
        <f t="shared" si="233"/>
        <v>18634.8704</v>
      </c>
      <c r="J723" s="886">
        <f t="shared" si="233"/>
        <v>17260.5118</v>
      </c>
    </row>
    <row r="724" spans="2:13" x14ac:dyDescent="0.3">
      <c r="B724" s="367"/>
      <c r="C724" s="367"/>
      <c r="D724" s="488"/>
      <c r="E724" s="488"/>
      <c r="F724" s="488"/>
      <c r="G724" s="488"/>
      <c r="H724" s="462"/>
      <c r="I724" s="462"/>
      <c r="J724" s="462"/>
    </row>
    <row r="725" spans="2:13" x14ac:dyDescent="0.3">
      <c r="B725" s="585" t="s">
        <v>650</v>
      </c>
      <c r="C725" s="586">
        <f>SUM(D723:AG723)</f>
        <v>104558.79089999999</v>
      </c>
      <c r="D725" s="500"/>
      <c r="E725" s="430"/>
      <c r="F725" s="361"/>
      <c r="G725" s="365"/>
      <c r="H725" s="721"/>
      <c r="I725" s="721"/>
      <c r="J725" s="721"/>
      <c r="K725" s="721"/>
      <c r="L725" s="721"/>
      <c r="M725" s="721"/>
    </row>
    <row r="726" spans="2:13" x14ac:dyDescent="0.3">
      <c r="B726" s="585" t="s">
        <v>1331</v>
      </c>
      <c r="C726" s="586">
        <f>+SUMPRODUCT(D719:AG719,D723:AG723)/C725</f>
        <v>3.0055001069954064</v>
      </c>
      <c r="D726" s="365"/>
      <c r="E726" s="365"/>
      <c r="F726" s="361"/>
      <c r="G726" s="363"/>
      <c r="H726" s="573"/>
      <c r="I726" s="573"/>
      <c r="J726" s="573"/>
      <c r="K726" s="573"/>
      <c r="L726" s="573"/>
      <c r="M726" s="573"/>
    </row>
    <row r="729" spans="2:13" x14ac:dyDescent="0.3">
      <c r="B729" s="879" t="s">
        <v>2993</v>
      </c>
      <c r="C729" s="879">
        <v>100948</v>
      </c>
      <c r="D729" s="691">
        <v>5.0000000000000001E-3</v>
      </c>
      <c r="E729"/>
      <c r="F729"/>
      <c r="G729"/>
    </row>
    <row r="730" spans="2:13" x14ac:dyDescent="0.3">
      <c r="B730" s="364"/>
      <c r="C730" s="364" t="s">
        <v>105</v>
      </c>
      <c r="D730" s="365">
        <v>3.5200000000000002E-2</v>
      </c>
      <c r="E730" s="365"/>
      <c r="F730" s="361"/>
      <c r="G730" s="363"/>
      <c r="H730" s="573"/>
      <c r="I730" s="573"/>
      <c r="J730" s="573"/>
    </row>
    <row r="731" spans="2:13" x14ac:dyDescent="0.3">
      <c r="B731" s="882"/>
      <c r="C731" s="883">
        <v>45491</v>
      </c>
      <c r="D731" s="883">
        <v>45856</v>
      </c>
      <c r="E731" s="883">
        <v>46221</v>
      </c>
      <c r="F731" s="883">
        <v>46586</v>
      </c>
      <c r="G731" s="883">
        <v>46952</v>
      </c>
    </row>
    <row r="732" spans="2:13" x14ac:dyDescent="0.3">
      <c r="B732" s="884" t="s">
        <v>1318</v>
      </c>
      <c r="C732" s="885"/>
      <c r="D732" s="886">
        <f>+$C$733/4</f>
        <v>25000</v>
      </c>
      <c r="E732" s="886">
        <f>+$C$733/4</f>
        <v>25000</v>
      </c>
      <c r="F732" s="886">
        <f>+$C$733/4</f>
        <v>25000</v>
      </c>
      <c r="G732" s="886">
        <f>+$C$733/4</f>
        <v>25000</v>
      </c>
    </row>
    <row r="733" spans="2:13" x14ac:dyDescent="0.3">
      <c r="B733" s="884" t="s">
        <v>1320</v>
      </c>
      <c r="C733" s="887">
        <v>100000</v>
      </c>
      <c r="D733" s="888">
        <f>+C733-D732</f>
        <v>75000</v>
      </c>
      <c r="E733" s="888">
        <f>+D733-E732</f>
        <v>50000</v>
      </c>
      <c r="F733" s="888">
        <f>+E733-F732</f>
        <v>25000</v>
      </c>
      <c r="G733" s="888">
        <f>+F733-G732</f>
        <v>0</v>
      </c>
    </row>
    <row r="734" spans="2:13" x14ac:dyDescent="0.3">
      <c r="B734" s="884" t="s">
        <v>1321</v>
      </c>
      <c r="C734" s="885"/>
      <c r="D734" s="890">
        <f>ROUND(C733*$D$730,2)</f>
        <v>3520</v>
      </c>
      <c r="E734" s="890">
        <f>ROUND(D733*$D$730,2)</f>
        <v>2640</v>
      </c>
      <c r="F734" s="890">
        <f>ROUND(E733*$D$730,2)</f>
        <v>1760</v>
      </c>
      <c r="G734" s="890">
        <f>ROUND(F733*$D$730,2)</f>
        <v>880</v>
      </c>
    </row>
    <row r="735" spans="2:13" x14ac:dyDescent="0.3">
      <c r="B735" s="884" t="s">
        <v>1322</v>
      </c>
      <c r="C735" s="885"/>
      <c r="D735" s="888">
        <f>+D734+D732</f>
        <v>28520</v>
      </c>
      <c r="E735" s="888">
        <f>+E734+E732</f>
        <v>27640</v>
      </c>
      <c r="F735" s="888">
        <f>+F734+F732</f>
        <v>26760</v>
      </c>
      <c r="G735" s="888">
        <f>+G734+G732</f>
        <v>25880</v>
      </c>
    </row>
    <row r="736" spans="2:13" x14ac:dyDescent="0.3">
      <c r="B736" s="884" t="s">
        <v>1323</v>
      </c>
      <c r="C736" s="887"/>
      <c r="D736" s="888">
        <f>+IF(D731&gt;$C$1,D735,0)</f>
        <v>0</v>
      </c>
      <c r="E736" s="888">
        <f>+IF(E731&gt;$C$1,E735,0)</f>
        <v>27640</v>
      </c>
      <c r="F736" s="888">
        <f>+IF(F731&gt;$C$1,F735,0)</f>
        <v>26760</v>
      </c>
      <c r="G736" s="888">
        <f>+IF(G731&gt;$C$1,G735,0)</f>
        <v>25880</v>
      </c>
    </row>
    <row r="737" spans="2:7" x14ac:dyDescent="0.3">
      <c r="B737" s="884" t="s">
        <v>1324</v>
      </c>
      <c r="C737" s="891"/>
      <c r="D737" s="892">
        <f>(D731-C1)/365</f>
        <v>-0.68767123287671228</v>
      </c>
      <c r="E737" s="892">
        <f>+IF(D736=0,(E731-$C$1)/(E731-D731),D737+1)</f>
        <v>0.31232876712328766</v>
      </c>
      <c r="F737" s="892">
        <f>+IF(E736=0,(F731-$C$1)/(F731-E731),E737+1)</f>
        <v>1.3123287671232877</v>
      </c>
      <c r="G737" s="892">
        <f>+IF(F736=0,(G731-$C$1)/(G731-F731),F737+1)</f>
        <v>2.3123287671232875</v>
      </c>
    </row>
    <row r="738" spans="2:7" x14ac:dyDescent="0.3">
      <c r="B738" s="884" t="s">
        <v>1325</v>
      </c>
      <c r="C738" s="885"/>
      <c r="D738" s="375" cm="1">
        <f t="array" ref="D738">ROUND(interpoler(mat_zc,Taux_ZC,D737),5)</f>
        <v>2.3279999999999999E-2</v>
      </c>
      <c r="E738" s="375" cm="1">
        <f t="array" ref="E738">ROUND(interpoler(mat_zc,Taux_ZC,E737),5)</f>
        <v>2.368E-2</v>
      </c>
      <c r="F738" s="375" cm="1">
        <f t="array" ref="F738">ROUND(interpoler(mat_zc,Taux_ZC,F737),5)</f>
        <v>2.563E-2</v>
      </c>
      <c r="G738" s="375" cm="1">
        <f t="array" ref="G738">ROUND(interpoler(mat_zc,Taux_ZC,G737),5)</f>
        <v>2.7189999999999999E-2</v>
      </c>
    </row>
    <row r="739" spans="2:7" x14ac:dyDescent="0.3">
      <c r="B739" s="884" t="s">
        <v>1328</v>
      </c>
      <c r="C739" s="885"/>
      <c r="D739" s="896">
        <f>$D$625</f>
        <v>5.0000000000000001E-3</v>
      </c>
      <c r="E739" s="896">
        <f>$D$625</f>
        <v>5.0000000000000001E-3</v>
      </c>
      <c r="F739" s="896">
        <f>$D$625</f>
        <v>5.0000000000000001E-3</v>
      </c>
      <c r="G739" s="896">
        <f>$D$625</f>
        <v>5.0000000000000001E-3</v>
      </c>
    </row>
    <row r="740" spans="2:7" x14ac:dyDescent="0.3">
      <c r="B740" s="884" t="s">
        <v>1329</v>
      </c>
      <c r="C740" s="885"/>
      <c r="D740" s="897">
        <f>ROUND(D738+D739,5)</f>
        <v>2.828E-2</v>
      </c>
      <c r="E740" s="897">
        <f>ROUND(E738+E739,5)</f>
        <v>2.8680000000000001E-2</v>
      </c>
      <c r="F740" s="897">
        <f>ROUND(F738+F739,5)</f>
        <v>3.0630000000000001E-2</v>
      </c>
      <c r="G740" s="897">
        <f>ROUND(G738+G739,5)</f>
        <v>3.2190000000000003E-2</v>
      </c>
    </row>
    <row r="741" spans="2:7" x14ac:dyDescent="0.3">
      <c r="B741" s="884"/>
      <c r="C741" s="885"/>
      <c r="D741" s="886">
        <f>ROUND(D736/(1+D740)^D737,4)</f>
        <v>0</v>
      </c>
      <c r="E741" s="886">
        <f>ROUND(E736/(1+E740)^E737,4)</f>
        <v>27396.9709</v>
      </c>
      <c r="F741" s="886">
        <f>ROUND(F736/(1+F740)^F737,4)</f>
        <v>25721.1839</v>
      </c>
      <c r="G741" s="886">
        <f>ROUND(G736/(1+G740)^G737,4)</f>
        <v>24051.7922</v>
      </c>
    </row>
    <row r="742" spans="2:7" x14ac:dyDescent="0.3">
      <c r="B742" s="367"/>
      <c r="C742" s="367"/>
      <c r="D742" s="488"/>
      <c r="E742" s="488"/>
      <c r="F742" s="488"/>
      <c r="G742" s="488"/>
    </row>
    <row r="743" spans="2:7" x14ac:dyDescent="0.3">
      <c r="B743" s="585" t="s">
        <v>650</v>
      </c>
      <c r="C743" s="586">
        <f>SUM(D741:AD741)</f>
        <v>77169.947</v>
      </c>
      <c r="D743" s="500"/>
      <c r="E743" s="430"/>
      <c r="F743" s="361"/>
      <c r="G743" s="365"/>
    </row>
    <row r="744" spans="2:7" x14ac:dyDescent="0.3">
      <c r="B744" s="585" t="s">
        <v>1331</v>
      </c>
      <c r="C744" s="586">
        <f>+SUMPRODUCT(D737:AD737,D741:AD741)/C743</f>
        <v>1.2689805618951566</v>
      </c>
      <c r="D744" s="365"/>
      <c r="E744" s="365"/>
      <c r="F744" s="361"/>
      <c r="G744" s="363"/>
    </row>
    <row r="748" spans="2:7" x14ac:dyDescent="0.3">
      <c r="B748" s="879" t="s">
        <v>3005</v>
      </c>
      <c r="C748" s="879">
        <v>5136</v>
      </c>
      <c r="D748" s="691">
        <v>8.0000000000000002E-3</v>
      </c>
      <c r="E748" s="870" t="s">
        <v>3006</v>
      </c>
      <c r="F748"/>
      <c r="G748"/>
    </row>
    <row r="749" spans="2:7" x14ac:dyDescent="0.3">
      <c r="B749" s="364"/>
      <c r="C749" s="364" t="s">
        <v>105</v>
      </c>
      <c r="D749" s="365">
        <v>3.4299999999999997E-2</v>
      </c>
      <c r="E749" s="365"/>
      <c r="F749" s="361"/>
      <c r="G749" s="363"/>
    </row>
    <row r="750" spans="2:7" x14ac:dyDescent="0.3">
      <c r="B750" s="882"/>
      <c r="C750" s="883">
        <v>45519</v>
      </c>
      <c r="D750" s="883">
        <v>45550</v>
      </c>
      <c r="E750" s="883">
        <v>45580</v>
      </c>
      <c r="F750" s="883">
        <v>45611</v>
      </c>
      <c r="G750" s="883">
        <v>45641</v>
      </c>
    </row>
    <row r="751" spans="2:7" x14ac:dyDescent="0.3">
      <c r="B751" s="884" t="s">
        <v>1318</v>
      </c>
      <c r="C751" s="885"/>
      <c r="D751" s="886">
        <v>0</v>
      </c>
      <c r="E751" s="886">
        <f>+$C$752/5</f>
        <v>20000</v>
      </c>
      <c r="F751" s="886">
        <f>+$C$752/5</f>
        <v>20000</v>
      </c>
      <c r="G751" s="886"/>
    </row>
    <row r="752" spans="2:7" x14ac:dyDescent="0.3">
      <c r="B752" s="884" t="s">
        <v>1320</v>
      </c>
      <c r="C752" s="887">
        <v>100000</v>
      </c>
      <c r="D752" s="888">
        <f>+C752-D751</f>
        <v>100000</v>
      </c>
      <c r="E752" s="888">
        <f>+D752-E751</f>
        <v>80000</v>
      </c>
      <c r="F752" s="888">
        <f>+E752-F751</f>
        <v>60000</v>
      </c>
      <c r="G752" s="888"/>
    </row>
    <row r="753" spans="2:19" x14ac:dyDescent="0.3">
      <c r="B753" s="884" t="s">
        <v>1321</v>
      </c>
      <c r="C753" s="885"/>
      <c r="D753" s="890">
        <v>0</v>
      </c>
      <c r="E753" s="890">
        <f>ROUND(D752*$D$749*(E750-C750)/360,2)</f>
        <v>581.19000000000005</v>
      </c>
      <c r="F753" s="890">
        <f>ROUND(E752*$D$749*(F750-$E$750)/360,2)</f>
        <v>236.29</v>
      </c>
      <c r="G753" s="890"/>
    </row>
    <row r="754" spans="2:19" x14ac:dyDescent="0.3">
      <c r="B754" s="884" t="s">
        <v>1322</v>
      </c>
      <c r="C754" s="885"/>
      <c r="D754" s="888">
        <f>+D753+D751</f>
        <v>0</v>
      </c>
      <c r="E754" s="888">
        <f>+E753+E751</f>
        <v>20581.189999999999</v>
      </c>
      <c r="F754" s="888">
        <f>+F753+F751</f>
        <v>20236.29</v>
      </c>
      <c r="G754" s="888"/>
    </row>
    <row r="755" spans="2:19" x14ac:dyDescent="0.3">
      <c r="B755" s="884" t="s">
        <v>1323</v>
      </c>
      <c r="C755" s="887"/>
      <c r="D755" s="888">
        <f>+IF(D750&gt;$C$1,D754,0)</f>
        <v>0</v>
      </c>
      <c r="E755" s="888">
        <f>+IF(E750&gt;$C$1,E754,0)</f>
        <v>0</v>
      </c>
      <c r="F755" s="888">
        <f>+IF(F750&gt;$C$1,F754,0)</f>
        <v>0</v>
      </c>
      <c r="G755" s="888"/>
    </row>
    <row r="756" spans="2:19" x14ac:dyDescent="0.3">
      <c r="B756" s="884" t="s">
        <v>1324</v>
      </c>
      <c r="C756" s="891"/>
      <c r="D756" s="892">
        <f>(D750-$C$1)/360</f>
        <v>-1.5472222222222223</v>
      </c>
      <c r="E756" s="892">
        <f>(E750-$C$1)/360</f>
        <v>-1.4638888888888888</v>
      </c>
      <c r="F756" s="892">
        <f>(F750-$C$1)/360</f>
        <v>-1.3777777777777778</v>
      </c>
      <c r="G756" s="892"/>
    </row>
    <row r="757" spans="2:19" x14ac:dyDescent="0.3">
      <c r="B757" s="884" t="s">
        <v>3007</v>
      </c>
      <c r="C757" s="885"/>
      <c r="D757" s="894">
        <f>ROUND(IF(D756*360&gt;366,interpoler(_mat2,taux2,D756*360),interpoler(_mat1,taux1,D756*360)),5)</f>
        <v>2.2700000000000001E-2</v>
      </c>
      <c r="E757" s="894">
        <f>ROUND(IF(E756*360&gt;366,interpoler(_mat2,taux2,E756*360),interpoler(_mat1,taux1,E756*360)),5)</f>
        <v>2.2700000000000001E-2</v>
      </c>
      <c r="F757" s="894">
        <f>ROUND(IF(F756*360&gt;366,interpoler(_mat2,taux2,F756*360),interpoler(_mat1,taux1,F756*360)),5)</f>
        <v>2.2700000000000001E-2</v>
      </c>
      <c r="G757" s="894"/>
    </row>
    <row r="758" spans="2:19" x14ac:dyDescent="0.3">
      <c r="B758" s="884" t="s">
        <v>1328</v>
      </c>
      <c r="C758" s="885"/>
      <c r="D758" s="896">
        <f>$D$625</f>
        <v>5.0000000000000001E-3</v>
      </c>
      <c r="E758" s="896">
        <f>$D$625</f>
        <v>5.0000000000000001E-3</v>
      </c>
      <c r="F758" s="896">
        <f>$D$625</f>
        <v>5.0000000000000001E-3</v>
      </c>
      <c r="G758" s="896"/>
    </row>
    <row r="759" spans="2:19" x14ac:dyDescent="0.3">
      <c r="B759" s="884" t="s">
        <v>1329</v>
      </c>
      <c r="C759" s="885"/>
      <c r="D759" s="897">
        <f>ROUND(D757+D758,5)</f>
        <v>2.7699999999999999E-2</v>
      </c>
      <c r="E759" s="897">
        <f>ROUND(E757+E758,5)</f>
        <v>2.7699999999999999E-2</v>
      </c>
      <c r="F759" s="897">
        <f>ROUND(F757+F758,5)</f>
        <v>2.7699999999999999E-2</v>
      </c>
      <c r="G759" s="897"/>
    </row>
    <row r="760" spans="2:19" x14ac:dyDescent="0.3">
      <c r="B760" s="884"/>
      <c r="C760" s="885"/>
      <c r="D760" s="886">
        <f>ROUND(D755/(1+D759)^D756,4)</f>
        <v>0</v>
      </c>
      <c r="E760" s="886">
        <f>ROUND(E755/(1+E759*E756),4)</f>
        <v>0</v>
      </c>
      <c r="F760" s="886">
        <f>ROUND((F755+F752)/(1+F759*F756),4)</f>
        <v>62380.725700000003</v>
      </c>
      <c r="G760" s="886"/>
    </row>
    <row r="761" spans="2:19" x14ac:dyDescent="0.3">
      <c r="B761" s="367"/>
      <c r="C761" s="367"/>
      <c r="D761" s="488"/>
      <c r="E761" s="488"/>
      <c r="F761" s="488"/>
      <c r="G761" s="488"/>
    </row>
    <row r="762" spans="2:19" x14ac:dyDescent="0.3">
      <c r="B762" s="585" t="s">
        <v>650</v>
      </c>
      <c r="C762" s="586">
        <f>SUM(D760:AD760)</f>
        <v>62380.725700000003</v>
      </c>
      <c r="D762" s="500"/>
      <c r="E762" s="430"/>
      <c r="F762" s="361"/>
      <c r="G762" s="365"/>
    </row>
    <row r="763" spans="2:19" x14ac:dyDescent="0.3">
      <c r="B763" s="585" t="s">
        <v>1331</v>
      </c>
      <c r="C763" s="586">
        <f>+SUMPRODUCT(D756:AD756,D760:AD760)/C762</f>
        <v>-1.3777777777777778</v>
      </c>
      <c r="D763" s="365"/>
      <c r="E763" s="365"/>
      <c r="F763" s="361"/>
      <c r="G763" s="363"/>
    </row>
    <row r="766" spans="2:19" x14ac:dyDescent="0.3">
      <c r="I766" s="462"/>
    </row>
    <row r="767" spans="2:19" x14ac:dyDescent="0.3">
      <c r="B767" s="584" t="s">
        <v>2366</v>
      </c>
      <c r="C767" s="584">
        <v>9411</v>
      </c>
      <c r="D767" s="1164"/>
      <c r="E767"/>
      <c r="F767"/>
      <c r="G767"/>
      <c r="H767"/>
      <c r="I767"/>
      <c r="J767"/>
    </row>
    <row r="768" spans="2:19" x14ac:dyDescent="0.3">
      <c r="B768" s="364"/>
      <c r="C768" s="364" t="s">
        <v>105</v>
      </c>
      <c r="D768" s="365">
        <v>4.02E-2</v>
      </c>
      <c r="E768" s="365"/>
      <c r="F768" s="361"/>
      <c r="G768" s="363"/>
      <c r="H768" s="361"/>
      <c r="I768" s="361"/>
      <c r="J768" s="361"/>
      <c r="S768" s="462">
        <f>(S769-DateVariable)</f>
        <v>3506</v>
      </c>
    </row>
    <row r="769" spans="2:33" x14ac:dyDescent="0.3">
      <c r="B769" s="361"/>
      <c r="C769" s="366">
        <v>43769</v>
      </c>
      <c r="D769" s="366">
        <v>44135</v>
      </c>
      <c r="E769" s="366">
        <v>44500</v>
      </c>
      <c r="F769" s="366">
        <v>44865</v>
      </c>
      <c r="G769" s="366">
        <v>45230</v>
      </c>
      <c r="H769" s="366">
        <v>45596</v>
      </c>
      <c r="I769" s="366">
        <v>45961</v>
      </c>
      <c r="J769" s="366">
        <v>46326</v>
      </c>
      <c r="K769" s="366">
        <v>46691</v>
      </c>
      <c r="L769" s="366">
        <v>47057</v>
      </c>
      <c r="M769" s="366">
        <v>47422</v>
      </c>
      <c r="N769" s="366">
        <v>47787</v>
      </c>
      <c r="O769" s="366">
        <v>48152</v>
      </c>
      <c r="P769" s="366">
        <v>48518</v>
      </c>
      <c r="Q769" s="366">
        <v>48883</v>
      </c>
      <c r="R769" s="366">
        <v>49248</v>
      </c>
      <c r="S769" s="366">
        <v>49613</v>
      </c>
      <c r="T769" s="366">
        <v>49979</v>
      </c>
      <c r="U769" s="366">
        <v>50344</v>
      </c>
      <c r="V769" s="366">
        <v>50709</v>
      </c>
      <c r="W769" s="366">
        <v>51074</v>
      </c>
      <c r="X769" s="366">
        <v>51440</v>
      </c>
      <c r="Y769" s="366">
        <v>51805</v>
      </c>
      <c r="Z769" s="366">
        <v>52170</v>
      </c>
      <c r="AA769" s="366">
        <v>52535</v>
      </c>
      <c r="AB769" s="366">
        <v>52901</v>
      </c>
      <c r="AC769" s="366">
        <v>53266</v>
      </c>
      <c r="AD769" s="366">
        <v>53631</v>
      </c>
      <c r="AE769" s="366">
        <v>53996</v>
      </c>
      <c r="AF769" s="366">
        <v>54362</v>
      </c>
      <c r="AG769" s="366">
        <v>54727</v>
      </c>
    </row>
    <row r="770" spans="2:33" x14ac:dyDescent="0.3">
      <c r="B770" s="463" t="s">
        <v>1318</v>
      </c>
      <c r="C770" s="367"/>
      <c r="D770" s="534">
        <v>0</v>
      </c>
      <c r="E770" s="534">
        <v>0</v>
      </c>
      <c r="F770" s="534">
        <v>0</v>
      </c>
      <c r="G770" s="534">
        <v>0</v>
      </c>
      <c r="H770" s="534">
        <v>0</v>
      </c>
      <c r="I770" s="534">
        <v>0</v>
      </c>
      <c r="J770" s="534">
        <v>0</v>
      </c>
      <c r="K770" s="534">
        <v>0</v>
      </c>
      <c r="L770" s="534">
        <v>0</v>
      </c>
      <c r="M770" s="534">
        <v>0</v>
      </c>
      <c r="N770" s="534">
        <v>0</v>
      </c>
      <c r="O770" s="534">
        <v>0</v>
      </c>
      <c r="P770" s="534">
        <v>0</v>
      </c>
      <c r="Q770" s="534">
        <v>0</v>
      </c>
      <c r="R770" s="534">
        <v>0</v>
      </c>
      <c r="S770" s="534">
        <f t="shared" ref="S770:AF770" si="234">ROUND(100000/15,2)</f>
        <v>6666.67</v>
      </c>
      <c r="T770" s="534">
        <f t="shared" si="234"/>
        <v>6666.67</v>
      </c>
      <c r="U770" s="534">
        <f t="shared" si="234"/>
        <v>6666.67</v>
      </c>
      <c r="V770" s="534">
        <f t="shared" si="234"/>
        <v>6666.67</v>
      </c>
      <c r="W770" s="534">
        <f t="shared" si="234"/>
        <v>6666.67</v>
      </c>
      <c r="X770" s="534">
        <f t="shared" si="234"/>
        <v>6666.67</v>
      </c>
      <c r="Y770" s="534">
        <f t="shared" si="234"/>
        <v>6666.67</v>
      </c>
      <c r="Z770" s="534">
        <f t="shared" si="234"/>
        <v>6666.67</v>
      </c>
      <c r="AA770" s="534">
        <f t="shared" si="234"/>
        <v>6666.67</v>
      </c>
      <c r="AB770" s="534">
        <f t="shared" si="234"/>
        <v>6666.67</v>
      </c>
      <c r="AC770" s="534">
        <f t="shared" si="234"/>
        <v>6666.67</v>
      </c>
      <c r="AD770" s="534">
        <f t="shared" si="234"/>
        <v>6666.67</v>
      </c>
      <c r="AE770" s="534">
        <f t="shared" si="234"/>
        <v>6666.67</v>
      </c>
      <c r="AF770" s="534">
        <f t="shared" si="234"/>
        <v>6666.67</v>
      </c>
      <c r="AG770" s="534">
        <v>6666.62</v>
      </c>
    </row>
    <row r="771" spans="2:33" x14ac:dyDescent="0.3">
      <c r="B771" s="463" t="s">
        <v>1320</v>
      </c>
      <c r="C771" s="368">
        <v>100000</v>
      </c>
      <c r="D771" s="488">
        <f>+C771-D770</f>
        <v>100000</v>
      </c>
      <c r="E771" s="488">
        <f>+D771-E770</f>
        <v>100000</v>
      </c>
      <c r="F771" s="488">
        <f t="shared" ref="F771:R771" si="235">+E771-F770</f>
        <v>100000</v>
      </c>
      <c r="G771" s="488">
        <f t="shared" si="235"/>
        <v>100000</v>
      </c>
      <c r="H771" s="488">
        <f t="shared" si="235"/>
        <v>100000</v>
      </c>
      <c r="I771" s="488">
        <f t="shared" si="235"/>
        <v>100000</v>
      </c>
      <c r="J771" s="488">
        <f t="shared" si="235"/>
        <v>100000</v>
      </c>
      <c r="K771" s="488">
        <f t="shared" si="235"/>
        <v>100000</v>
      </c>
      <c r="L771" s="488">
        <f t="shared" si="235"/>
        <v>100000</v>
      </c>
      <c r="M771" s="488">
        <f t="shared" si="235"/>
        <v>100000</v>
      </c>
      <c r="N771" s="488">
        <f t="shared" si="235"/>
        <v>100000</v>
      </c>
      <c r="O771" s="488">
        <f t="shared" si="235"/>
        <v>100000</v>
      </c>
      <c r="P771" s="488">
        <f t="shared" si="235"/>
        <v>100000</v>
      </c>
      <c r="Q771" s="488">
        <f t="shared" si="235"/>
        <v>100000</v>
      </c>
      <c r="R771" s="488">
        <f t="shared" si="235"/>
        <v>100000</v>
      </c>
      <c r="S771" s="488">
        <f>+R771-S770</f>
        <v>93333.33</v>
      </c>
      <c r="T771" s="488">
        <f>+S771-T770</f>
        <v>86666.66</v>
      </c>
      <c r="U771" s="488">
        <f>+T771-U770</f>
        <v>79999.990000000005</v>
      </c>
      <c r="V771" s="488">
        <f>+U771-V770</f>
        <v>73333.320000000007</v>
      </c>
      <c r="W771" s="488">
        <f>+V771-W770</f>
        <v>66666.650000000009</v>
      </c>
      <c r="X771" s="488">
        <f t="shared" ref="X771:AG771" si="236">+W771-X770</f>
        <v>59999.98000000001</v>
      </c>
      <c r="Y771" s="488">
        <f t="shared" si="236"/>
        <v>53333.310000000012</v>
      </c>
      <c r="Z771" s="488">
        <f t="shared" si="236"/>
        <v>46666.640000000014</v>
      </c>
      <c r="AA771" s="488">
        <f t="shared" si="236"/>
        <v>39999.970000000016</v>
      </c>
      <c r="AB771" s="488">
        <f t="shared" si="236"/>
        <v>33333.300000000017</v>
      </c>
      <c r="AC771" s="488">
        <f t="shared" si="236"/>
        <v>26666.630000000019</v>
      </c>
      <c r="AD771" s="488">
        <f t="shared" si="236"/>
        <v>19999.960000000021</v>
      </c>
      <c r="AE771" s="488">
        <f t="shared" si="236"/>
        <v>13333.290000000021</v>
      </c>
      <c r="AF771" s="488">
        <f t="shared" si="236"/>
        <v>6666.6200000000208</v>
      </c>
      <c r="AG771" s="488">
        <f t="shared" si="236"/>
        <v>2.0918378140777349E-11</v>
      </c>
    </row>
    <row r="772" spans="2:33" x14ac:dyDescent="0.3">
      <c r="B772" s="463" t="s">
        <v>1321</v>
      </c>
      <c r="C772" s="367"/>
      <c r="D772" s="1165">
        <f>ROUND(C771*$D$768,2)</f>
        <v>4020</v>
      </c>
      <c r="E772" s="1165">
        <f t="shared" ref="E772:AG772" si="237">ROUND(D771*$D$768,2)</f>
        <v>4020</v>
      </c>
      <c r="F772" s="1165">
        <f t="shared" si="237"/>
        <v>4020</v>
      </c>
      <c r="G772" s="1165">
        <f t="shared" si="237"/>
        <v>4020</v>
      </c>
      <c r="H772" s="1165">
        <f t="shared" si="237"/>
        <v>4020</v>
      </c>
      <c r="I772" s="1165">
        <f t="shared" si="237"/>
        <v>4020</v>
      </c>
      <c r="J772" s="1165">
        <f t="shared" si="237"/>
        <v>4020</v>
      </c>
      <c r="K772" s="1165">
        <f t="shared" si="237"/>
        <v>4020</v>
      </c>
      <c r="L772" s="1165">
        <f t="shared" si="237"/>
        <v>4020</v>
      </c>
      <c r="M772" s="1165">
        <f t="shared" si="237"/>
        <v>4020</v>
      </c>
      <c r="N772" s="1165">
        <f t="shared" si="237"/>
        <v>4020</v>
      </c>
      <c r="O772" s="1165">
        <f t="shared" si="237"/>
        <v>4020</v>
      </c>
      <c r="P772" s="1165">
        <f t="shared" si="237"/>
        <v>4020</v>
      </c>
      <c r="Q772" s="1165">
        <f t="shared" si="237"/>
        <v>4020</v>
      </c>
      <c r="R772" s="1165">
        <f t="shared" si="237"/>
        <v>4020</v>
      </c>
      <c r="S772" s="1165">
        <f t="shared" si="237"/>
        <v>4020</v>
      </c>
      <c r="T772" s="1165">
        <f t="shared" si="237"/>
        <v>3752</v>
      </c>
      <c r="U772" s="1165">
        <f t="shared" si="237"/>
        <v>3484</v>
      </c>
      <c r="V772" s="1165">
        <f t="shared" si="237"/>
        <v>3216</v>
      </c>
      <c r="W772" s="1165">
        <f t="shared" si="237"/>
        <v>2948</v>
      </c>
      <c r="X772" s="1165">
        <f t="shared" si="237"/>
        <v>2680</v>
      </c>
      <c r="Y772" s="1165">
        <f t="shared" si="237"/>
        <v>2412</v>
      </c>
      <c r="Z772" s="1165">
        <f t="shared" si="237"/>
        <v>2144</v>
      </c>
      <c r="AA772" s="1165">
        <f t="shared" si="237"/>
        <v>1876</v>
      </c>
      <c r="AB772" s="1165">
        <f t="shared" si="237"/>
        <v>1608</v>
      </c>
      <c r="AC772" s="1165">
        <f t="shared" si="237"/>
        <v>1340</v>
      </c>
      <c r="AD772" s="1165">
        <f t="shared" si="237"/>
        <v>1072</v>
      </c>
      <c r="AE772" s="1165">
        <f t="shared" si="237"/>
        <v>804</v>
      </c>
      <c r="AF772" s="1165">
        <f t="shared" si="237"/>
        <v>536</v>
      </c>
      <c r="AG772" s="1165">
        <f t="shared" si="237"/>
        <v>268</v>
      </c>
    </row>
    <row r="773" spans="2:33" x14ac:dyDescent="0.3">
      <c r="B773" s="463" t="s">
        <v>1322</v>
      </c>
      <c r="C773" s="367"/>
      <c r="D773" s="488">
        <f>+D772+D770</f>
        <v>4020</v>
      </c>
      <c r="E773" s="488">
        <f t="shared" ref="E773:AF773" si="238">+E772+E770</f>
        <v>4020</v>
      </c>
      <c r="F773" s="488">
        <f t="shared" si="238"/>
        <v>4020</v>
      </c>
      <c r="G773" s="488">
        <f t="shared" si="238"/>
        <v>4020</v>
      </c>
      <c r="H773" s="488">
        <f t="shared" si="238"/>
        <v>4020</v>
      </c>
      <c r="I773" s="488">
        <f t="shared" si="238"/>
        <v>4020</v>
      </c>
      <c r="J773" s="488">
        <f t="shared" si="238"/>
        <v>4020</v>
      </c>
      <c r="K773" s="488">
        <f t="shared" si="238"/>
        <v>4020</v>
      </c>
      <c r="L773" s="488">
        <f t="shared" si="238"/>
        <v>4020</v>
      </c>
      <c r="M773" s="488">
        <f t="shared" si="238"/>
        <v>4020</v>
      </c>
      <c r="N773" s="488">
        <f t="shared" si="238"/>
        <v>4020</v>
      </c>
      <c r="O773" s="488">
        <f t="shared" si="238"/>
        <v>4020</v>
      </c>
      <c r="P773" s="488">
        <f t="shared" si="238"/>
        <v>4020</v>
      </c>
      <c r="Q773" s="488">
        <f t="shared" si="238"/>
        <v>4020</v>
      </c>
      <c r="R773" s="488">
        <f t="shared" si="238"/>
        <v>4020</v>
      </c>
      <c r="S773" s="488">
        <f t="shared" si="238"/>
        <v>10686.67</v>
      </c>
      <c r="T773" s="488">
        <f t="shared" si="238"/>
        <v>10418.67</v>
      </c>
      <c r="U773" s="488">
        <f t="shared" si="238"/>
        <v>10150.67</v>
      </c>
      <c r="V773" s="488">
        <f t="shared" si="238"/>
        <v>9882.67</v>
      </c>
      <c r="W773" s="488">
        <f t="shared" si="238"/>
        <v>9614.67</v>
      </c>
      <c r="X773" s="488">
        <f t="shared" si="238"/>
        <v>9346.67</v>
      </c>
      <c r="Y773" s="488">
        <f t="shared" si="238"/>
        <v>9078.67</v>
      </c>
      <c r="Z773" s="488">
        <f t="shared" si="238"/>
        <v>8810.67</v>
      </c>
      <c r="AA773" s="488">
        <f t="shared" si="238"/>
        <v>8542.67</v>
      </c>
      <c r="AB773" s="488">
        <f t="shared" si="238"/>
        <v>8274.67</v>
      </c>
      <c r="AC773" s="488">
        <f t="shared" si="238"/>
        <v>8006.67</v>
      </c>
      <c r="AD773" s="488">
        <f t="shared" si="238"/>
        <v>7738.67</v>
      </c>
      <c r="AE773" s="488">
        <f t="shared" si="238"/>
        <v>7470.67</v>
      </c>
      <c r="AF773" s="488">
        <f t="shared" si="238"/>
        <v>7202.67</v>
      </c>
      <c r="AG773" s="488">
        <f>+AG772+AG770</f>
        <v>6934.62</v>
      </c>
    </row>
    <row r="774" spans="2:33" x14ac:dyDescent="0.3">
      <c r="B774" s="463" t="s">
        <v>1323</v>
      </c>
      <c r="C774" s="368"/>
      <c r="D774" s="488">
        <f>+IF(D769&gt;$C$33,D773,0)</f>
        <v>4020</v>
      </c>
      <c r="E774" s="488">
        <f t="shared" ref="E774:AG774" si="239">+IF(E769&gt;$C$33,E773,0)</f>
        <v>4020</v>
      </c>
      <c r="F774" s="488">
        <f t="shared" si="239"/>
        <v>4020</v>
      </c>
      <c r="G774" s="488">
        <f t="shared" si="239"/>
        <v>4020</v>
      </c>
      <c r="H774" s="488">
        <f t="shared" si="239"/>
        <v>4020</v>
      </c>
      <c r="I774" s="488">
        <f t="shared" si="239"/>
        <v>4020</v>
      </c>
      <c r="J774" s="488">
        <f t="shared" si="239"/>
        <v>4020</v>
      </c>
      <c r="K774" s="488">
        <f t="shared" si="239"/>
        <v>4020</v>
      </c>
      <c r="L774" s="488">
        <f t="shared" si="239"/>
        <v>4020</v>
      </c>
      <c r="M774" s="488">
        <f t="shared" si="239"/>
        <v>4020</v>
      </c>
      <c r="N774" s="488">
        <f t="shared" si="239"/>
        <v>4020</v>
      </c>
      <c r="O774" s="488">
        <f t="shared" si="239"/>
        <v>4020</v>
      </c>
      <c r="P774" s="488">
        <f t="shared" si="239"/>
        <v>4020</v>
      </c>
      <c r="Q774" s="488">
        <f t="shared" si="239"/>
        <v>4020</v>
      </c>
      <c r="R774" s="488">
        <f t="shared" si="239"/>
        <v>4020</v>
      </c>
      <c r="S774" s="488">
        <f t="shared" si="239"/>
        <v>10686.67</v>
      </c>
      <c r="T774" s="488">
        <f t="shared" si="239"/>
        <v>10418.67</v>
      </c>
      <c r="U774" s="488">
        <f t="shared" si="239"/>
        <v>10150.67</v>
      </c>
      <c r="V774" s="488">
        <f t="shared" si="239"/>
        <v>9882.67</v>
      </c>
      <c r="W774" s="488">
        <f t="shared" si="239"/>
        <v>9614.67</v>
      </c>
      <c r="X774" s="488">
        <f t="shared" si="239"/>
        <v>9346.67</v>
      </c>
      <c r="Y774" s="488">
        <f t="shared" si="239"/>
        <v>9078.67</v>
      </c>
      <c r="Z774" s="488">
        <f t="shared" si="239"/>
        <v>8810.67</v>
      </c>
      <c r="AA774" s="488">
        <f t="shared" si="239"/>
        <v>8542.67</v>
      </c>
      <c r="AB774" s="488">
        <f t="shared" si="239"/>
        <v>8274.67</v>
      </c>
      <c r="AC774" s="488">
        <f t="shared" si="239"/>
        <v>8006.67</v>
      </c>
      <c r="AD774" s="488">
        <f t="shared" si="239"/>
        <v>7738.67</v>
      </c>
      <c r="AE774" s="488">
        <f t="shared" si="239"/>
        <v>7470.67</v>
      </c>
      <c r="AF774" s="488">
        <f t="shared" si="239"/>
        <v>7202.67</v>
      </c>
      <c r="AG774" s="488">
        <f t="shared" si="239"/>
        <v>6934.62</v>
      </c>
    </row>
    <row r="775" spans="2:33" x14ac:dyDescent="0.3">
      <c r="B775" s="463" t="s">
        <v>1324</v>
      </c>
      <c r="C775" s="371"/>
      <c r="D775" s="457">
        <f>+IF(C774=0,(D769-$C$1)/(D769-C769),C775+1)</f>
        <v>-5.3879781420765029</v>
      </c>
      <c r="E775" s="782">
        <f>+IF(D775&lt;0,(E769-$C$1)/(E769-D769),D775+1)</f>
        <v>-4.4027397260273968</v>
      </c>
      <c r="F775" s="852">
        <f>+IF(E775&lt;0,(F769-$C$1)/(F769-E769),E775+1)</f>
        <v>-3.4027397260273973</v>
      </c>
      <c r="G775" s="782">
        <f>+IF(F775&lt;=0,(G769-$C$1)/(G769-F769),F775+1)</f>
        <v>-2.4027397260273973</v>
      </c>
      <c r="H775" s="782">
        <f>(H769-C1)/366</f>
        <v>-1.3961748633879782</v>
      </c>
      <c r="I775" s="789">
        <f>ROUND(IF(H775&lt;0,(I769-$C$1)/(I769-H769),H775+1),10)</f>
        <v>-0.4</v>
      </c>
      <c r="J775" s="782">
        <f t="shared" ref="J775:AG775" si="240">+IF(I775&lt;0,(J769-$C$1)/(J769-I769),I775+1)</f>
        <v>0.6</v>
      </c>
      <c r="K775" s="782">
        <f>+IF(J775&lt;0,(K769-$C$1)/(K769-J769),J775+1)</f>
        <v>1.6</v>
      </c>
      <c r="L775" s="782">
        <f>+IF(K775&lt;0,(L769-$C$1)/(L769-K769),K775+1)</f>
        <v>2.6</v>
      </c>
      <c r="M775" s="782">
        <f t="shared" si="240"/>
        <v>3.6</v>
      </c>
      <c r="N775" s="782">
        <f t="shared" si="240"/>
        <v>4.5999999999999996</v>
      </c>
      <c r="O775" s="782">
        <f t="shared" si="240"/>
        <v>5.6</v>
      </c>
      <c r="P775" s="782">
        <f t="shared" si="240"/>
        <v>6.6</v>
      </c>
      <c r="Q775" s="782">
        <f t="shared" si="240"/>
        <v>7.6</v>
      </c>
      <c r="R775" s="782">
        <f t="shared" si="240"/>
        <v>8.6</v>
      </c>
      <c r="S775" s="782">
        <f t="shared" si="240"/>
        <v>9.6</v>
      </c>
      <c r="T775" s="782">
        <f t="shared" si="240"/>
        <v>10.6</v>
      </c>
      <c r="U775" s="782">
        <f t="shared" si="240"/>
        <v>11.6</v>
      </c>
      <c r="V775" s="782">
        <f t="shared" si="240"/>
        <v>12.6</v>
      </c>
      <c r="W775" s="782">
        <f t="shared" si="240"/>
        <v>13.6</v>
      </c>
      <c r="X775" s="782">
        <f t="shared" si="240"/>
        <v>14.6</v>
      </c>
      <c r="Y775" s="782">
        <f t="shared" si="240"/>
        <v>15.6</v>
      </c>
      <c r="Z775" s="782">
        <f t="shared" si="240"/>
        <v>16.600000000000001</v>
      </c>
      <c r="AA775" s="782">
        <f t="shared" si="240"/>
        <v>17.600000000000001</v>
      </c>
      <c r="AB775" s="782">
        <f t="shared" si="240"/>
        <v>18.600000000000001</v>
      </c>
      <c r="AC775" s="782">
        <f t="shared" si="240"/>
        <v>19.600000000000001</v>
      </c>
      <c r="AD775" s="782">
        <f t="shared" si="240"/>
        <v>20.6</v>
      </c>
      <c r="AE775" s="782">
        <f t="shared" si="240"/>
        <v>21.6</v>
      </c>
      <c r="AF775" s="782">
        <f t="shared" si="240"/>
        <v>22.6</v>
      </c>
      <c r="AG775" s="782">
        <f t="shared" si="240"/>
        <v>23.6</v>
      </c>
    </row>
    <row r="776" spans="2:33" x14ac:dyDescent="0.3">
      <c r="B776" s="463" t="s">
        <v>1325</v>
      </c>
      <c r="C776" s="367"/>
      <c r="D776" s="375" cm="1">
        <f t="array" ref="D776">ROUND(interpoler(mat_zc,Taux_ZC,D775),5)</f>
        <v>2.3279999999999999E-2</v>
      </c>
      <c r="E776" s="375" cm="1">
        <f t="array" ref="E776">ROUND(interpoler(mat_zc,Taux_ZC,E775),5)</f>
        <v>2.3279999999999999E-2</v>
      </c>
      <c r="F776" s="375" cm="1">
        <f t="array" ref="F776">ROUND(interpoler(mat_zc,Taux_ZC,F775),5)</f>
        <v>2.3279999999999999E-2</v>
      </c>
      <c r="G776" s="375" cm="1">
        <f t="array" ref="G776">ROUND(interpoler(mat_zc,Taux_ZC,G775),5)</f>
        <v>2.3279999999999999E-2</v>
      </c>
      <c r="H776" s="375" cm="1">
        <f t="array" ref="H776">ROUND(interpoler(mat_zc,Taux_ZC,H775),5)</f>
        <v>2.3279999999999999E-2</v>
      </c>
      <c r="I776" s="375" cm="1">
        <f t="array" ref="I776">ROUND(interpoler(mat_zc,Taux_ZC,I775),5)</f>
        <v>2.3279999999999999E-2</v>
      </c>
      <c r="J776" s="375" cm="1">
        <f t="array" ref="J776">ROUND(interpoler(mat_zc,Taux_ZC,J775),5)</f>
        <v>2.4340000000000001E-2</v>
      </c>
      <c r="K776" s="375" cm="1">
        <f t="array" ref="K776">ROUND(interpoler(mat_zc,Taux_ZC,K775),5)</f>
        <v>2.6079999999999999E-2</v>
      </c>
      <c r="L776" s="1261" cm="1">
        <f t="array" ref="L776">ROUNDUP(interpoler(mat_zc,Taux_ZC,L775),5)</f>
        <v>2.7639999999999998E-2</v>
      </c>
      <c r="M776" s="375" cm="1">
        <f t="array" ref="M776">ROUND(interpoler(mat_zc,Taux_ZC,M775),5)</f>
        <v>2.92E-2</v>
      </c>
      <c r="N776" s="375" cm="1">
        <f t="array" ref="N776">ROUND(interpoler(mat_zc,Taux_ZC,N775),5)</f>
        <v>3.048E-2</v>
      </c>
      <c r="O776" s="375" cm="1">
        <f t="array" ref="O776">ROUND(interpoler(mat_zc,Taux_ZC,O775),5)</f>
        <v>3.1220000000000001E-2</v>
      </c>
      <c r="P776" s="375" cm="1">
        <f t="array" ref="P776">ROUND(interpoler(mat_zc,Taux_ZC,P775),5)</f>
        <v>3.1739999999999997E-2</v>
      </c>
      <c r="Q776" s="375" cm="1">
        <f t="array" ref="Q776">ROUND(interpoler(mat_zc,Taux_ZC,Q775),5)</f>
        <v>3.2250000000000001E-2</v>
      </c>
      <c r="R776" s="375" cm="1">
        <f t="array" ref="R776">ROUND(interpoler(mat_zc,Taux_ZC,R775),5)</f>
        <v>3.2770000000000001E-2</v>
      </c>
      <c r="S776" s="375" cm="1">
        <f t="array" ref="S776">ROUND(interpoler(mat_zc,Taux_ZC,S775),5)</f>
        <v>3.3340000000000002E-2</v>
      </c>
      <c r="T776" s="375" cm="1">
        <f t="array" ref="T776">ROUND(interpoler(mat_zc,Taux_ZC,T775),5)</f>
        <v>3.397E-2</v>
      </c>
      <c r="U776" s="375" cm="1">
        <f t="array" ref="U776">ROUND(interpoler(mat_zc,Taux_ZC,U775),5)</f>
        <v>3.4630000000000001E-2</v>
      </c>
      <c r="V776" s="375" cm="1">
        <f t="array" ref="V776">ROUND(interpoler(mat_zc,Taux_ZC,V775),5)</f>
        <v>3.5290000000000002E-2</v>
      </c>
      <c r="W776" s="375" cm="1">
        <f t="array" ref="W776">ROUND(interpoler(mat_zc,Taux_ZC,W775),5)</f>
        <v>3.5790000000000002E-2</v>
      </c>
      <c r="X776" s="375" cm="1">
        <f t="array" ref="X776">ROUND(interpoler(mat_zc,Taux_ZC,X775),5)</f>
        <v>3.61E-2</v>
      </c>
      <c r="Y776" s="375" cm="1">
        <f t="array" ref="Y776">ROUND(interpoler(mat_zc,Taux_ZC,Y775),5)</f>
        <v>3.6360000000000003E-2</v>
      </c>
      <c r="Z776" s="375" cm="1">
        <f t="array" ref="Z776">ROUND(interpoler(mat_zc,Taux_ZC,Z775),5)</f>
        <v>3.6639999999999999E-2</v>
      </c>
      <c r="AA776" s="375" cm="1">
        <f t="array" ref="AA776">ROUND(interpoler(mat_zc,Taux_ZC,AA775),5)</f>
        <v>3.6909999999999998E-2</v>
      </c>
      <c r="AB776" s="375" cm="1">
        <f t="array" ref="AB776">ROUND(interpoler(mat_zc,Taux_ZC,AB775),5)</f>
        <v>3.7199999999999997E-2</v>
      </c>
      <c r="AC776" s="375" cm="1">
        <f t="array" ref="AC776">ROUND(interpoler(mat_zc,Taux_ZC,AC775),5)</f>
        <v>3.7609999999999998E-2</v>
      </c>
      <c r="AD776" s="375" cm="1">
        <f t="array" ref="AD776">ROUND(interpoler(mat_zc,Taux_ZC,AD775),5)</f>
        <v>3.8190000000000002E-2</v>
      </c>
      <c r="AE776" s="375" cm="1">
        <f t="array" ref="AE776">ROUND(interpoler(mat_zc,Taux_ZC,AE775),5)</f>
        <v>3.884E-2</v>
      </c>
      <c r="AF776" s="375" cm="1">
        <f t="array" ref="AF776">ROUND(interpoler(mat_zc,Taux_ZC,AF775),5)</f>
        <v>3.95E-2</v>
      </c>
      <c r="AG776" s="375" cm="1">
        <f t="array" ref="AG776">ROUND(interpoler(mat_zc,Taux_ZC,AG775),5)</f>
        <v>4.018E-2</v>
      </c>
    </row>
    <row r="777" spans="2:33" x14ac:dyDescent="0.3">
      <c r="B777" s="463" t="s">
        <v>1328</v>
      </c>
      <c r="C777" s="367"/>
      <c r="D777" s="429">
        <v>3.0000000000000001E-3</v>
      </c>
      <c r="E777" s="429">
        <v>3.0000000000000001E-3</v>
      </c>
      <c r="F777" s="429">
        <v>3.0000000000000001E-3</v>
      </c>
      <c r="G777" s="429">
        <v>3.0000000000000001E-3</v>
      </c>
      <c r="H777" s="429">
        <v>3.0000000000000001E-3</v>
      </c>
      <c r="I777" s="429">
        <v>3.0000000000000001E-3</v>
      </c>
      <c r="J777" s="429">
        <v>3.0000000000000001E-3</v>
      </c>
      <c r="K777" s="429">
        <v>3.0000000000000001E-3</v>
      </c>
      <c r="L777" s="429">
        <v>3.0000000000000001E-3</v>
      </c>
      <c r="M777" s="429">
        <v>3.0000000000000001E-3</v>
      </c>
      <c r="N777" s="429">
        <v>3.0000000000000001E-3</v>
      </c>
      <c r="O777" s="429">
        <v>3.0000000000000001E-3</v>
      </c>
      <c r="P777" s="429">
        <v>3.0000000000000001E-3</v>
      </c>
      <c r="Q777" s="429">
        <v>3.0000000000000001E-3</v>
      </c>
      <c r="R777" s="429">
        <v>3.0000000000000001E-3</v>
      </c>
      <c r="S777" s="429">
        <v>3.0000000000000001E-3</v>
      </c>
      <c r="T777" s="429">
        <v>3.0000000000000001E-3</v>
      </c>
      <c r="U777" s="429">
        <v>3.0000000000000001E-3</v>
      </c>
      <c r="V777" s="429">
        <v>3.0000000000000001E-3</v>
      </c>
      <c r="W777" s="429">
        <v>3.0000000000000001E-3</v>
      </c>
      <c r="X777" s="429">
        <v>3.0000000000000001E-3</v>
      </c>
      <c r="Y777" s="429">
        <v>3.0000000000000001E-3</v>
      </c>
      <c r="Z777" s="429">
        <v>3.0000000000000001E-3</v>
      </c>
      <c r="AA777" s="429">
        <v>3.0000000000000001E-3</v>
      </c>
      <c r="AB777" s="429">
        <v>3.0000000000000001E-3</v>
      </c>
      <c r="AC777" s="429">
        <v>3.0000000000000001E-3</v>
      </c>
      <c r="AD777" s="429">
        <v>3.0000000000000001E-3</v>
      </c>
      <c r="AE777" s="429">
        <v>3.0000000000000001E-3</v>
      </c>
      <c r="AF777" s="429">
        <v>3.0000000000000001E-3</v>
      </c>
      <c r="AG777" s="429">
        <v>3.0000000000000001E-3</v>
      </c>
    </row>
    <row r="778" spans="2:33" x14ac:dyDescent="0.3">
      <c r="B778" s="463" t="s">
        <v>1329</v>
      </c>
      <c r="C778" s="367"/>
      <c r="D778" s="440">
        <f>ROUND(D776+D777,5)</f>
        <v>2.6280000000000001E-2</v>
      </c>
      <c r="E778" s="440">
        <f t="shared" ref="E778:AG778" si="241">ROUND(E776+E777,5)</f>
        <v>2.6280000000000001E-2</v>
      </c>
      <c r="F778" s="440">
        <f t="shared" si="241"/>
        <v>2.6280000000000001E-2</v>
      </c>
      <c r="G778" s="440">
        <f t="shared" si="241"/>
        <v>2.6280000000000001E-2</v>
      </c>
      <c r="H778" s="440">
        <f t="shared" si="241"/>
        <v>2.6280000000000001E-2</v>
      </c>
      <c r="I778" s="440">
        <f t="shared" si="241"/>
        <v>2.6280000000000001E-2</v>
      </c>
      <c r="J778" s="440">
        <f t="shared" si="241"/>
        <v>2.734E-2</v>
      </c>
      <c r="K778" s="440">
        <f t="shared" si="241"/>
        <v>2.9080000000000002E-2</v>
      </c>
      <c r="L778" s="440">
        <f>ROUND(L776+L777,5)</f>
        <v>3.0640000000000001E-2</v>
      </c>
      <c r="M778" s="440">
        <f t="shared" si="241"/>
        <v>3.2199999999999999E-2</v>
      </c>
      <c r="N778" s="440">
        <f>ROUND(N776+N777,5)</f>
        <v>3.3480000000000003E-2</v>
      </c>
      <c r="O778" s="440">
        <f t="shared" si="241"/>
        <v>3.422E-2</v>
      </c>
      <c r="P778" s="440">
        <f t="shared" si="241"/>
        <v>3.474E-2</v>
      </c>
      <c r="Q778" s="440">
        <f t="shared" si="241"/>
        <v>3.5249999999999997E-2</v>
      </c>
      <c r="R778" s="440">
        <f t="shared" si="241"/>
        <v>3.5770000000000003E-2</v>
      </c>
      <c r="S778" s="440">
        <f t="shared" si="241"/>
        <v>3.6339999999999997E-2</v>
      </c>
      <c r="T778" s="440">
        <f t="shared" si="241"/>
        <v>3.6970000000000003E-2</v>
      </c>
      <c r="U778" s="440">
        <f t="shared" si="241"/>
        <v>3.7629999999999997E-2</v>
      </c>
      <c r="V778" s="440">
        <f t="shared" si="241"/>
        <v>3.8289999999999998E-2</v>
      </c>
      <c r="W778" s="440">
        <f t="shared" si="241"/>
        <v>3.8789999999999998E-2</v>
      </c>
      <c r="X778" s="440">
        <f t="shared" si="241"/>
        <v>3.9100000000000003E-2</v>
      </c>
      <c r="Y778" s="440">
        <f t="shared" si="241"/>
        <v>3.9359999999999999E-2</v>
      </c>
      <c r="Z778" s="440">
        <f t="shared" si="241"/>
        <v>3.9640000000000002E-2</v>
      </c>
      <c r="AA778" s="440">
        <f t="shared" si="241"/>
        <v>3.9910000000000001E-2</v>
      </c>
      <c r="AB778" s="440">
        <f t="shared" si="241"/>
        <v>4.02E-2</v>
      </c>
      <c r="AC778" s="440">
        <f t="shared" si="241"/>
        <v>4.061E-2</v>
      </c>
      <c r="AD778" s="440">
        <f t="shared" si="241"/>
        <v>4.1189999999999997E-2</v>
      </c>
      <c r="AE778" s="440">
        <f t="shared" si="241"/>
        <v>4.1840000000000002E-2</v>
      </c>
      <c r="AF778" s="440">
        <f t="shared" si="241"/>
        <v>4.2500000000000003E-2</v>
      </c>
      <c r="AG778" s="440">
        <f t="shared" si="241"/>
        <v>4.3180000000000003E-2</v>
      </c>
    </row>
    <row r="779" spans="2:33" x14ac:dyDescent="0.3">
      <c r="B779" s="463"/>
      <c r="C779" s="367"/>
      <c r="D779" s="569">
        <f>IF(D769&lt;C368,0,ROUND(D774/(1+D778)^D775,4))</f>
        <v>4623.0254999999997</v>
      </c>
      <c r="E779" s="624">
        <v>0</v>
      </c>
      <c r="F779" s="569"/>
      <c r="G779" s="569">
        <v>0</v>
      </c>
      <c r="H779" s="569">
        <v>0</v>
      </c>
      <c r="I779" s="569">
        <f>ROUND(I774/(1+I778)^I775,10)</f>
        <v>4061.9296673749</v>
      </c>
      <c r="J779" s="569">
        <f t="shared" ref="J779:AG779" si="242">ROUND(J774/(1+J778)^J775,10)</f>
        <v>3955.4648937119</v>
      </c>
      <c r="K779" s="569">
        <f>ROUND(K774/(1+K778)^K775,10)</f>
        <v>3839.7896401529001</v>
      </c>
      <c r="L779" s="569">
        <f>ROUND(L774/(1+L778)^L775,10)</f>
        <v>3716.6175151527</v>
      </c>
      <c r="M779" s="569">
        <f t="shared" si="242"/>
        <v>3586.5441063653998</v>
      </c>
      <c r="N779" s="569">
        <f t="shared" si="242"/>
        <v>3454.9081104195998</v>
      </c>
      <c r="O779" s="569">
        <f t="shared" si="242"/>
        <v>3329.6120440682998</v>
      </c>
      <c r="P779" s="569">
        <f t="shared" si="242"/>
        <v>3208.7795603934001</v>
      </c>
      <c r="Q779" s="569">
        <f t="shared" si="242"/>
        <v>3089.4575720060002</v>
      </c>
      <c r="R779" s="569">
        <f t="shared" si="242"/>
        <v>2971.4021447148002</v>
      </c>
      <c r="S779" s="569">
        <f t="shared" si="242"/>
        <v>7586.1371868206998</v>
      </c>
      <c r="T779" s="569">
        <f t="shared" si="242"/>
        <v>7090.7250370840002</v>
      </c>
      <c r="U779" s="569">
        <f t="shared" si="242"/>
        <v>6613.0450566663003</v>
      </c>
      <c r="V779" s="569">
        <f t="shared" si="242"/>
        <v>6155.4390591976999</v>
      </c>
      <c r="W779" s="569">
        <f t="shared" si="242"/>
        <v>5730.0293165154999</v>
      </c>
      <c r="X779" s="569">
        <f t="shared" si="242"/>
        <v>5338.9969782185999</v>
      </c>
      <c r="Y779" s="569">
        <f t="shared" si="242"/>
        <v>4971.3306265799001</v>
      </c>
      <c r="Z779" s="569">
        <f t="shared" si="242"/>
        <v>4621.1648126112004</v>
      </c>
      <c r="AA779" s="569">
        <f t="shared" si="242"/>
        <v>4290.1092406568996</v>
      </c>
      <c r="AB779" s="569">
        <f t="shared" si="242"/>
        <v>3975.3675032349001</v>
      </c>
      <c r="AC779" s="569">
        <f t="shared" si="242"/>
        <v>3669.5028247835999</v>
      </c>
      <c r="AD779" s="569">
        <f t="shared" si="242"/>
        <v>3369.3689395953002</v>
      </c>
      <c r="AE779" s="569">
        <f t="shared" si="242"/>
        <v>3082.1754561548</v>
      </c>
      <c r="AF779" s="569">
        <f t="shared" si="242"/>
        <v>2811.7355962828001</v>
      </c>
      <c r="AG779" s="569">
        <f t="shared" si="242"/>
        <v>2557.0800150772998</v>
      </c>
    </row>
    <row r="780" spans="2:33" x14ac:dyDescent="0.3">
      <c r="B780" s="367"/>
      <c r="C780" s="367"/>
      <c r="D780" s="488"/>
      <c r="E780" s="488"/>
      <c r="F780" s="488"/>
      <c r="G780" s="488"/>
      <c r="H780" s="488"/>
      <c r="I780" s="488"/>
      <c r="J780" s="488"/>
    </row>
    <row r="781" spans="2:33" x14ac:dyDescent="0.3">
      <c r="B781" s="585" t="s">
        <v>650</v>
      </c>
      <c r="C781" s="586">
        <f>+SUM(J779:AG779)</f>
        <v>103014.78323646449</v>
      </c>
      <c r="D781" s="874"/>
      <c r="E781" s="430"/>
      <c r="F781" s="361"/>
      <c r="G781" s="365"/>
      <c r="H781" s="361"/>
      <c r="I781" s="361"/>
      <c r="J781" s="361"/>
    </row>
    <row r="782" spans="2:33" x14ac:dyDescent="0.3">
      <c r="B782" s="585" t="s">
        <v>1331</v>
      </c>
      <c r="C782" s="586">
        <f>+SUMPRODUCT(D775:AG775,D779:AG779)/C781</f>
        <v>11.677499523516499</v>
      </c>
      <c r="D782" s="365"/>
      <c r="E782" s="365"/>
      <c r="F782" s="361"/>
      <c r="G782" s="363"/>
      <c r="H782" s="361"/>
      <c r="I782" s="361"/>
      <c r="J782" s="361"/>
    </row>
    <row r="787" spans="2:57" x14ac:dyDescent="0.3">
      <c r="AB787" s="1376"/>
      <c r="AG787" s="1376"/>
      <c r="AH787" s="1376"/>
      <c r="AI787" s="1376"/>
      <c r="AJ787" s="1376"/>
      <c r="AK787" s="1376"/>
      <c r="AL787" s="1376"/>
      <c r="AM787" s="1376"/>
      <c r="AN787" s="1376"/>
      <c r="AO787" s="1376"/>
      <c r="AP787" s="1376"/>
      <c r="AQ787" s="1376"/>
      <c r="AR787" s="1376"/>
      <c r="AS787" s="1376"/>
      <c r="AT787" s="1376"/>
      <c r="AU787" s="1376"/>
      <c r="AV787" s="1376"/>
      <c r="AW787" s="1376"/>
      <c r="AX787" s="1376"/>
      <c r="AY787" s="1376"/>
      <c r="AZ787" s="1376"/>
      <c r="BA787" s="1376"/>
      <c r="BB787" s="1376"/>
      <c r="BC787" s="1376"/>
      <c r="BD787" s="1376"/>
      <c r="BE787" s="1376"/>
    </row>
    <row r="788" spans="2:57" x14ac:dyDescent="0.3">
      <c r="AA788" s="1376"/>
      <c r="AB788" s="1376"/>
      <c r="AC788" s="332"/>
      <c r="AD788" s="332"/>
      <c r="AE788" s="332"/>
      <c r="AF788" s="332"/>
    </row>
    <row r="789" spans="2:57" x14ac:dyDescent="0.3">
      <c r="B789" s="879" t="s">
        <v>2976</v>
      </c>
      <c r="C789" s="879">
        <v>9651</v>
      </c>
      <c r="D789" s="691">
        <v>5.0000000000000001E-3</v>
      </c>
      <c r="E789"/>
      <c r="F789"/>
      <c r="G789"/>
      <c r="AA789" s="1376"/>
      <c r="AB789" s="1376"/>
      <c r="AC789" s="332"/>
      <c r="AD789" s="332"/>
      <c r="AE789" s="332"/>
      <c r="AF789" s="332"/>
    </row>
    <row r="790" spans="2:57" x14ac:dyDescent="0.3">
      <c r="B790" s="364"/>
      <c r="C790" s="364" t="s">
        <v>105</v>
      </c>
      <c r="D790" s="365">
        <v>3.5299999999999998E-2</v>
      </c>
      <c r="E790" s="365"/>
      <c r="F790" s="361"/>
      <c r="G790" s="363"/>
      <c r="H790" s="573"/>
      <c r="I790" s="573"/>
      <c r="J790" s="573"/>
      <c r="AA790" s="1376"/>
      <c r="AB790" s="1376"/>
      <c r="AC790" s="332"/>
      <c r="AD790" s="332"/>
      <c r="AE790" s="332"/>
      <c r="AF790" s="332"/>
    </row>
    <row r="791" spans="2:57" x14ac:dyDescent="0.3">
      <c r="B791" s="882"/>
      <c r="C791" s="883">
        <v>45652</v>
      </c>
      <c r="D791" s="883">
        <v>46017</v>
      </c>
      <c r="E791" s="883">
        <v>46382</v>
      </c>
      <c r="F791" s="883">
        <v>46747</v>
      </c>
      <c r="G791" s="883">
        <v>47113</v>
      </c>
      <c r="H791" s="883">
        <v>47478</v>
      </c>
      <c r="I791" s="883">
        <v>47843</v>
      </c>
      <c r="J791" s="883">
        <v>48208</v>
      </c>
      <c r="AA791" s="1376"/>
      <c r="AB791" s="1376"/>
      <c r="AC791" s="332"/>
      <c r="AD791" s="332"/>
      <c r="AE791" s="332"/>
      <c r="AF791" s="332"/>
    </row>
    <row r="792" spans="2:57" x14ac:dyDescent="0.3">
      <c r="B792" s="884" t="s">
        <v>1318</v>
      </c>
      <c r="C792" s="885"/>
      <c r="D792" s="886">
        <v>0</v>
      </c>
      <c r="E792" s="886">
        <v>0</v>
      </c>
      <c r="F792" s="886">
        <f>100000/5</f>
        <v>20000</v>
      </c>
      <c r="G792" s="886">
        <f>100000/5</f>
        <v>20000</v>
      </c>
      <c r="H792" s="886">
        <f>100000/5</f>
        <v>20000</v>
      </c>
      <c r="I792" s="886">
        <f>100000/5</f>
        <v>20000</v>
      </c>
      <c r="J792" s="886">
        <f>100000/5</f>
        <v>20000</v>
      </c>
      <c r="AA792" s="1376"/>
      <c r="AB792" s="1376"/>
      <c r="AC792" s="332"/>
      <c r="AD792" s="332"/>
      <c r="AE792" s="332"/>
      <c r="AF792" s="332"/>
    </row>
    <row r="793" spans="2:57" x14ac:dyDescent="0.3">
      <c r="B793" s="884" t="s">
        <v>1320</v>
      </c>
      <c r="C793" s="887">
        <v>100000</v>
      </c>
      <c r="D793" s="888">
        <f t="shared" ref="D793:J793" si="243">+C793-D792</f>
        <v>100000</v>
      </c>
      <c r="E793" s="888">
        <f t="shared" si="243"/>
        <v>100000</v>
      </c>
      <c r="F793" s="888">
        <f t="shared" si="243"/>
        <v>80000</v>
      </c>
      <c r="G793" s="888">
        <f t="shared" si="243"/>
        <v>60000</v>
      </c>
      <c r="H793" s="888">
        <f t="shared" si="243"/>
        <v>40000</v>
      </c>
      <c r="I793" s="888">
        <f t="shared" si="243"/>
        <v>20000</v>
      </c>
      <c r="J793" s="888">
        <f t="shared" si="243"/>
        <v>0</v>
      </c>
      <c r="AA793" s="1376"/>
      <c r="AB793" s="1376"/>
      <c r="AC793" s="332"/>
      <c r="AD793" s="332"/>
      <c r="AE793" s="332"/>
      <c r="AF793" s="332"/>
    </row>
    <row r="794" spans="2:57" x14ac:dyDescent="0.3">
      <c r="B794" s="884" t="s">
        <v>1321</v>
      </c>
      <c r="C794" s="885"/>
      <c r="D794" s="890">
        <f>ROUND(C793*$D$790,2)</f>
        <v>3530</v>
      </c>
      <c r="E794" s="890">
        <f t="shared" ref="E794:J794" si="244">ROUND(D793*$D$790,2)</f>
        <v>3530</v>
      </c>
      <c r="F794" s="890">
        <f t="shared" si="244"/>
        <v>3530</v>
      </c>
      <c r="G794" s="890">
        <f t="shared" si="244"/>
        <v>2824</v>
      </c>
      <c r="H794" s="890">
        <f t="shared" si="244"/>
        <v>2118</v>
      </c>
      <c r="I794" s="890">
        <f t="shared" si="244"/>
        <v>1412</v>
      </c>
      <c r="J794" s="890">
        <f t="shared" si="244"/>
        <v>706</v>
      </c>
      <c r="AA794" s="1376"/>
      <c r="AB794" s="1376"/>
      <c r="AC794" s="332"/>
      <c r="AD794" s="332"/>
      <c r="AE794" s="332"/>
      <c r="AF794" s="332"/>
    </row>
    <row r="795" spans="2:57" x14ac:dyDescent="0.3">
      <c r="B795" s="884" t="s">
        <v>1322</v>
      </c>
      <c r="C795" s="885"/>
      <c r="D795" s="888">
        <f>+D794+D792</f>
        <v>3530</v>
      </c>
      <c r="E795" s="888">
        <f t="shared" ref="E795:J795" si="245">+E794+E792</f>
        <v>3530</v>
      </c>
      <c r="F795" s="888">
        <f t="shared" si="245"/>
        <v>23530</v>
      </c>
      <c r="G795" s="888">
        <f t="shared" si="245"/>
        <v>22824</v>
      </c>
      <c r="H795" s="888">
        <f t="shared" si="245"/>
        <v>22118</v>
      </c>
      <c r="I795" s="888">
        <f t="shared" si="245"/>
        <v>21412</v>
      </c>
      <c r="J795" s="888">
        <f t="shared" si="245"/>
        <v>20706</v>
      </c>
      <c r="AA795" s="1376"/>
      <c r="AB795" s="1376"/>
      <c r="AC795" s="332"/>
      <c r="AD795" s="332"/>
      <c r="AE795" s="332"/>
      <c r="AF795" s="332"/>
    </row>
    <row r="796" spans="2:57" x14ac:dyDescent="0.3">
      <c r="B796" s="884" t="s">
        <v>1323</v>
      </c>
      <c r="C796" s="887"/>
      <c r="D796" s="888">
        <f>+IF(D791&gt;$C$1,D795,0)</f>
        <v>0</v>
      </c>
      <c r="E796" s="888">
        <f t="shared" ref="E796:J796" si="246">+IF(E791&gt;$C$1,E795,0)</f>
        <v>3530</v>
      </c>
      <c r="F796" s="888">
        <f t="shared" si="246"/>
        <v>23530</v>
      </c>
      <c r="G796" s="888">
        <f t="shared" si="246"/>
        <v>22824</v>
      </c>
      <c r="H796" s="888">
        <f t="shared" si="246"/>
        <v>22118</v>
      </c>
      <c r="I796" s="888">
        <f t="shared" si="246"/>
        <v>21412</v>
      </c>
      <c r="J796" s="888">
        <f t="shared" si="246"/>
        <v>20706</v>
      </c>
      <c r="AA796" s="1376"/>
      <c r="AB796" s="1376"/>
      <c r="AC796" s="332"/>
      <c r="AD796" s="332"/>
      <c r="AE796" s="332"/>
      <c r="AF796" s="332"/>
    </row>
    <row r="797" spans="2:57" x14ac:dyDescent="0.3">
      <c r="B797" s="884" t="s">
        <v>1324</v>
      </c>
      <c r="C797" s="891"/>
      <c r="D797" s="1247">
        <f>ROUND(IF(C796=0,(D791-$C$1)/(D791-C791),C797+1),10)</f>
        <v>-0.24657534249999999</v>
      </c>
      <c r="E797" s="1247">
        <f t="shared" ref="E797:J797" si="247">ROUND(IF(D796=0,(E791-$C$1)/(E791-D791),D797+1),10)</f>
        <v>0.75342465749999998</v>
      </c>
      <c r="F797" s="1247">
        <f t="shared" si="247"/>
        <v>1.7534246575000001</v>
      </c>
      <c r="G797" s="1247">
        <f t="shared" si="247"/>
        <v>2.7534246575000001</v>
      </c>
      <c r="H797" s="1247">
        <f t="shared" si="247"/>
        <v>3.7534246575000001</v>
      </c>
      <c r="I797" s="1247">
        <f t="shared" si="247"/>
        <v>4.7534246575000001</v>
      </c>
      <c r="J797" s="1247">
        <f t="shared" si="247"/>
        <v>5.7534246575000001</v>
      </c>
      <c r="AA797" s="1376"/>
      <c r="AB797" s="1376"/>
      <c r="AC797" s="332"/>
      <c r="AD797" s="332"/>
      <c r="AE797" s="332"/>
      <c r="AF797" s="332"/>
    </row>
    <row r="798" spans="2:57" x14ac:dyDescent="0.3">
      <c r="B798" s="884" t="s">
        <v>1325</v>
      </c>
      <c r="C798" s="885"/>
      <c r="D798" s="1079" cm="1">
        <f t="array" ref="D798">ROUND(interpoler(mat_zc,Taux_ZC,D797),5)</f>
        <v>2.3279999999999999E-2</v>
      </c>
      <c r="E798" s="375" cm="1">
        <f t="array" ref="E798">ROUND(interpoler(mat_zc,Taux_ZC,E797),5)</f>
        <v>2.4670000000000001E-2</v>
      </c>
      <c r="F798" s="375" cm="1">
        <f t="array" ref="F798">ROUND(interpoler(mat_zc,Taux_ZC,F797),5)</f>
        <v>2.632E-2</v>
      </c>
      <c r="G798" s="375" cm="1">
        <f t="array" ref="G798">ROUND(interpoler(mat_zc,Taux_ZC,G797),5)</f>
        <v>2.7869999999999999E-2</v>
      </c>
      <c r="H798" s="375" cm="1">
        <f t="array" ref="H798">ROUND(interpoler(mat_zc,Taux_ZC,H797),5)</f>
        <v>2.9440000000000001E-2</v>
      </c>
      <c r="I798" s="375" cm="1">
        <f t="array" ref="I798">ROUND(interpoler(mat_zc,Taux_ZC,I797),5)</f>
        <v>3.0640000000000001E-2</v>
      </c>
      <c r="J798" s="375" cm="1">
        <f t="array" ref="J798">ROUND(interpoler(mat_zc,Taux_ZC,J797),5)</f>
        <v>3.1300000000000001E-2</v>
      </c>
      <c r="AA798" s="1376"/>
      <c r="AB798" s="1376"/>
      <c r="AC798" s="332"/>
      <c r="AD798" s="332"/>
      <c r="AE798" s="332"/>
      <c r="AF798" s="332"/>
    </row>
    <row r="799" spans="2:57" x14ac:dyDescent="0.3">
      <c r="B799" s="884" t="s">
        <v>1328</v>
      </c>
      <c r="C799" s="885"/>
      <c r="D799" s="896">
        <f>$D$625</f>
        <v>5.0000000000000001E-3</v>
      </c>
      <c r="E799" s="896">
        <f t="shared" ref="E799:J799" si="248">$D$625</f>
        <v>5.0000000000000001E-3</v>
      </c>
      <c r="F799" s="896">
        <f t="shared" si="248"/>
        <v>5.0000000000000001E-3</v>
      </c>
      <c r="G799" s="896">
        <f t="shared" si="248"/>
        <v>5.0000000000000001E-3</v>
      </c>
      <c r="H799" s="896">
        <f t="shared" si="248"/>
        <v>5.0000000000000001E-3</v>
      </c>
      <c r="I799" s="896">
        <f t="shared" si="248"/>
        <v>5.0000000000000001E-3</v>
      </c>
      <c r="J799" s="896">
        <f t="shared" si="248"/>
        <v>5.0000000000000001E-3</v>
      </c>
      <c r="AA799" s="1376"/>
      <c r="AB799" s="1376"/>
      <c r="AC799" s="332"/>
      <c r="AD799" s="332"/>
      <c r="AE799" s="332"/>
      <c r="AF799" s="332"/>
    </row>
    <row r="800" spans="2:57" x14ac:dyDescent="0.3">
      <c r="B800" s="884" t="s">
        <v>1329</v>
      </c>
      <c r="C800" s="885"/>
      <c r="D800" s="897">
        <f t="shared" ref="D800:J800" si="249">ROUND(D798+D799,5)</f>
        <v>2.828E-2</v>
      </c>
      <c r="E800" s="897">
        <f t="shared" si="249"/>
        <v>2.9669999999999998E-2</v>
      </c>
      <c r="F800" s="897">
        <f t="shared" si="249"/>
        <v>3.1320000000000001E-2</v>
      </c>
      <c r="G800" s="897">
        <f t="shared" si="249"/>
        <v>3.2870000000000003E-2</v>
      </c>
      <c r="H800" s="897">
        <f t="shared" si="249"/>
        <v>3.4439999999999998E-2</v>
      </c>
      <c r="I800" s="897">
        <f t="shared" si="249"/>
        <v>3.5639999999999998E-2</v>
      </c>
      <c r="J800" s="897">
        <f t="shared" si="249"/>
        <v>3.6299999999999999E-2</v>
      </c>
      <c r="AA800" s="1376"/>
      <c r="AB800" s="1376"/>
      <c r="AC800" s="332"/>
      <c r="AD800" s="332"/>
      <c r="AE800" s="332"/>
      <c r="AF800" s="332"/>
    </row>
    <row r="801" spans="2:32" x14ac:dyDescent="0.3">
      <c r="B801" s="884"/>
      <c r="C801" s="885"/>
      <c r="D801" s="886">
        <f>ROUND(D796/(1+D800)^D797,4)</f>
        <v>0</v>
      </c>
      <c r="E801" s="886">
        <f t="shared" ref="E801:J801" si="250">ROUND(E796/(1+E800)^E797,4)</f>
        <v>3453.0882000000001</v>
      </c>
      <c r="F801" s="886">
        <f t="shared" si="250"/>
        <v>22291.41</v>
      </c>
      <c r="G801" s="886">
        <f t="shared" si="250"/>
        <v>20879.403300000002</v>
      </c>
      <c r="H801" s="886">
        <f t="shared" si="250"/>
        <v>19478.279699999999</v>
      </c>
      <c r="I801" s="886">
        <f t="shared" si="250"/>
        <v>18128.558499999999</v>
      </c>
      <c r="J801" s="886">
        <f t="shared" si="250"/>
        <v>16865.590899999999</v>
      </c>
      <c r="AA801" s="1376"/>
      <c r="AB801" s="1376"/>
      <c r="AC801" s="332"/>
      <c r="AD801" s="332"/>
      <c r="AE801" s="332"/>
      <c r="AF801" s="332"/>
    </row>
    <row r="802" spans="2:32" x14ac:dyDescent="0.3">
      <c r="B802" s="367"/>
      <c r="C802" s="367"/>
      <c r="D802" s="488"/>
      <c r="E802" s="488"/>
      <c r="F802" s="488"/>
      <c r="G802" s="488"/>
      <c r="H802" s="462"/>
      <c r="I802" s="462"/>
      <c r="J802" s="462"/>
      <c r="AA802" s="1376"/>
      <c r="AB802" s="1376"/>
      <c r="AC802" s="332"/>
      <c r="AD802" s="332"/>
      <c r="AE802" s="332"/>
      <c r="AF802" s="332"/>
    </row>
    <row r="803" spans="2:32" x14ac:dyDescent="0.3">
      <c r="B803" s="585" t="s">
        <v>650</v>
      </c>
      <c r="C803" s="586">
        <f>SUM(D801:J801)</f>
        <v>101096.3306</v>
      </c>
      <c r="D803" s="500"/>
      <c r="E803" s="430"/>
      <c r="F803" s="361"/>
      <c r="G803" s="365"/>
      <c r="H803" s="721"/>
      <c r="I803" s="721"/>
      <c r="J803" s="721"/>
      <c r="AA803" s="1376"/>
      <c r="AB803" s="1376"/>
      <c r="AC803" s="332"/>
      <c r="AD803" s="332"/>
      <c r="AE803" s="332"/>
      <c r="AF803" s="332"/>
    </row>
    <row r="804" spans="2:32" x14ac:dyDescent="0.3">
      <c r="B804" s="585" t="s">
        <v>1331</v>
      </c>
      <c r="C804" s="586">
        <f>+SUMPRODUCT(D797:AG797,D801:AG801)/C803</f>
        <v>3.5164056929363143</v>
      </c>
      <c r="D804" s="365"/>
      <c r="E804" s="365"/>
      <c r="F804" s="361"/>
      <c r="G804" s="363"/>
      <c r="H804" s="573"/>
      <c r="I804" s="573"/>
      <c r="J804" s="573"/>
      <c r="AA804" s="1376"/>
      <c r="AB804" s="1376"/>
      <c r="AC804" s="332"/>
      <c r="AD804" s="332"/>
      <c r="AE804" s="332"/>
      <c r="AF804" s="332"/>
    </row>
    <row r="805" spans="2:32" x14ac:dyDescent="0.3">
      <c r="AA805" s="1376"/>
      <c r="AB805" s="1376"/>
      <c r="AC805" s="332"/>
      <c r="AD805" s="332"/>
      <c r="AE805" s="332"/>
      <c r="AF805" s="332"/>
    </row>
    <row r="806" spans="2:32" x14ac:dyDescent="0.3">
      <c r="AA806" s="1376"/>
      <c r="AB806" s="1376"/>
      <c r="AC806" s="332"/>
      <c r="AD806" s="332"/>
      <c r="AE806" s="332"/>
      <c r="AF806" s="332"/>
    </row>
    <row r="807" spans="2:32" x14ac:dyDescent="0.3">
      <c r="AA807" s="1376"/>
      <c r="AB807" s="1376"/>
      <c r="AC807" s="332"/>
      <c r="AD807" s="332"/>
      <c r="AE807" s="332"/>
      <c r="AF807" s="332"/>
    </row>
    <row r="808" spans="2:32" ht="16.5" customHeight="1" x14ac:dyDescent="0.3">
      <c r="B808" s="879" t="s">
        <v>2976</v>
      </c>
      <c r="C808" s="879">
        <v>9686</v>
      </c>
      <c r="D808" s="691">
        <v>2.8500000000000001E-2</v>
      </c>
      <c r="E808" s="1291" t="s">
        <v>3188</v>
      </c>
      <c r="AA808" s="1376"/>
      <c r="AB808" s="1376"/>
      <c r="AC808" s="332"/>
      <c r="AD808" s="332"/>
      <c r="AE808" s="332"/>
      <c r="AF808" s="332"/>
    </row>
    <row r="809" spans="2:32" x14ac:dyDescent="0.3">
      <c r="B809" s="364"/>
      <c r="C809" s="364" t="s">
        <v>105</v>
      </c>
      <c r="D809" s="365"/>
      <c r="AA809" s="1376"/>
      <c r="AB809" s="1376"/>
      <c r="AC809" s="332"/>
      <c r="AD809" s="332"/>
      <c r="AE809" s="332"/>
      <c r="AF809" s="332"/>
    </row>
    <row r="810" spans="2:32" x14ac:dyDescent="0.3">
      <c r="B810" s="882"/>
      <c r="C810" s="883">
        <v>45812</v>
      </c>
      <c r="D810" s="883">
        <v>46177</v>
      </c>
      <c r="E810" s="883">
        <v>46542</v>
      </c>
      <c r="F810" s="883">
        <v>46908</v>
      </c>
      <c r="G810" s="883">
        <v>47273</v>
      </c>
      <c r="AA810" s="1376"/>
      <c r="AB810" s="1376"/>
      <c r="AC810" s="332"/>
      <c r="AD810" s="332"/>
      <c r="AE810" s="332"/>
      <c r="AF810" s="332"/>
    </row>
    <row r="811" spans="2:32" x14ac:dyDescent="0.3">
      <c r="B811" s="884" t="s">
        <v>1318</v>
      </c>
      <c r="C811" s="885"/>
      <c r="D811" s="886">
        <f>$C$812/4</f>
        <v>25000</v>
      </c>
      <c r="E811" s="886">
        <f t="shared" ref="E811:G811" si="251">$C$812/4</f>
        <v>25000</v>
      </c>
      <c r="F811" s="886">
        <f t="shared" si="251"/>
        <v>25000</v>
      </c>
      <c r="G811" s="886">
        <f t="shared" si="251"/>
        <v>25000</v>
      </c>
      <c r="AA811" s="1376"/>
      <c r="AB811" s="1376"/>
      <c r="AC811" s="332"/>
      <c r="AD811" s="332"/>
      <c r="AE811" s="332"/>
      <c r="AF811" s="332"/>
    </row>
    <row r="812" spans="2:32" x14ac:dyDescent="0.3">
      <c r="B812" s="884" t="s">
        <v>1320</v>
      </c>
      <c r="C812" s="887">
        <v>100000</v>
      </c>
      <c r="D812" s="888">
        <f t="shared" ref="D812" si="252">+C812-D811</f>
        <v>75000</v>
      </c>
      <c r="E812" s="888">
        <f t="shared" ref="E812" si="253">+D812-E811</f>
        <v>50000</v>
      </c>
      <c r="F812" s="888">
        <f t="shared" ref="F812" si="254">+E812-F811</f>
        <v>25000</v>
      </c>
      <c r="G812" s="888">
        <f t="shared" ref="G812" si="255">+F812-G811</f>
        <v>0</v>
      </c>
    </row>
    <row r="813" spans="2:32" x14ac:dyDescent="0.3">
      <c r="B813" s="884" t="s">
        <v>1321</v>
      </c>
      <c r="C813" s="885"/>
      <c r="D813" s="890">
        <f>C812*$D$808</f>
        <v>2850</v>
      </c>
      <c r="E813" s="890">
        <f t="shared" ref="E813:G813" si="256">D812*$D$808</f>
        <v>2137.5</v>
      </c>
      <c r="F813" s="890">
        <f t="shared" si="256"/>
        <v>1425</v>
      </c>
      <c r="G813" s="890">
        <f t="shared" si="256"/>
        <v>712.5</v>
      </c>
    </row>
    <row r="814" spans="2:32" x14ac:dyDescent="0.3">
      <c r="B814" s="884" t="s">
        <v>1322</v>
      </c>
      <c r="C814" s="885"/>
      <c r="D814" s="888">
        <f>+D813+D811</f>
        <v>27850</v>
      </c>
      <c r="E814" s="888">
        <f>+E813+E811</f>
        <v>27137.5</v>
      </c>
      <c r="F814" s="888">
        <f t="shared" ref="F814:G814" si="257">+F813+F811</f>
        <v>26425</v>
      </c>
      <c r="G814" s="888">
        <f t="shared" si="257"/>
        <v>25712.5</v>
      </c>
    </row>
    <row r="815" spans="2:32" x14ac:dyDescent="0.3">
      <c r="B815" s="884" t="s">
        <v>1323</v>
      </c>
      <c r="C815" s="887"/>
      <c r="D815" s="888">
        <f>+IF(D810&gt;$C$1,D814,0)</f>
        <v>27850</v>
      </c>
      <c r="E815" s="888">
        <f t="shared" ref="E815:G815" si="258">+IF(E810&gt;$C$1,E814,0)</f>
        <v>27137.5</v>
      </c>
      <c r="F815" s="888">
        <f t="shared" si="258"/>
        <v>26425</v>
      </c>
      <c r="G815" s="888">
        <f t="shared" si="258"/>
        <v>25712.5</v>
      </c>
    </row>
    <row r="816" spans="2:32" x14ac:dyDescent="0.3">
      <c r="B816" s="884" t="s">
        <v>1324</v>
      </c>
      <c r="C816" s="891"/>
      <c r="D816" s="1247">
        <f>IF(C815=0,(D810-$C$1)/(D810-C810),C816+1)</f>
        <v>0.19178082191780821</v>
      </c>
      <c r="E816" s="1247">
        <f t="shared" ref="E816:G816" si="259">IF(D815=0,(E810-$C$1)/(E810-D810),D816+1)</f>
        <v>1.1917808219178081</v>
      </c>
      <c r="F816" s="1247">
        <f t="shared" si="259"/>
        <v>2.1917808219178081</v>
      </c>
      <c r="G816" s="1247">
        <f t="shared" si="259"/>
        <v>3.1917808219178081</v>
      </c>
    </row>
    <row r="817" spans="2:11" x14ac:dyDescent="0.3">
      <c r="B817" s="884" t="s">
        <v>1325</v>
      </c>
      <c r="C817" s="885"/>
      <c r="D817" s="1079" cm="1">
        <f t="array" ref="D817">interpoler(mat_zc,Taux_ZC,D816)</f>
        <v>2.33648558989011E-2</v>
      </c>
      <c r="E817" s="1079" cm="1">
        <f t="array" ref="E817">interpoler(mat_zc,Taux_ZC,E816)</f>
        <v>2.5442165594520547E-2</v>
      </c>
      <c r="F817" s="1079" cm="1">
        <f t="array" ref="F817">interpoler(mat_zc,Taux_ZC,F816)</f>
        <v>2.7000413661643834E-2</v>
      </c>
      <c r="G817" s="1079" cm="1">
        <f t="array" ref="G817">interpoler(mat_zc,Taux_ZC,G816)</f>
        <v>2.8559131193150684E-2</v>
      </c>
      <c r="H817" s="461">
        <f>(D810-C810)</f>
        <v>365</v>
      </c>
      <c r="I817" s="461">
        <f t="shared" ref="I817:J817" si="260">(E810-D810)</f>
        <v>365</v>
      </c>
      <c r="J817" s="461">
        <f t="shared" si="260"/>
        <v>366</v>
      </c>
      <c r="K817" s="461">
        <f>(G810-F810)</f>
        <v>365</v>
      </c>
    </row>
    <row r="818" spans="2:11" x14ac:dyDescent="0.3">
      <c r="B818" s="884" t="s">
        <v>1328</v>
      </c>
      <c r="C818" s="885"/>
      <c r="D818" s="896">
        <f>0.55%</f>
        <v>5.5000000000000005E-3</v>
      </c>
      <c r="E818" s="896">
        <f t="shared" ref="E818:G818" si="261">0.55%</f>
        <v>5.5000000000000005E-3</v>
      </c>
      <c r="F818" s="896">
        <f t="shared" si="261"/>
        <v>5.5000000000000005E-3</v>
      </c>
      <c r="G818" s="896">
        <f t="shared" si="261"/>
        <v>5.5000000000000005E-3</v>
      </c>
    </row>
    <row r="819" spans="2:11" x14ac:dyDescent="0.3">
      <c r="B819" s="884" t="s">
        <v>1329</v>
      </c>
      <c r="C819" s="885"/>
      <c r="D819" s="897">
        <f t="shared" ref="D819:G819" si="262">ROUND(D817+D818,5)</f>
        <v>2.886E-2</v>
      </c>
      <c r="E819" s="897">
        <f t="shared" si="262"/>
        <v>3.0939999999999999E-2</v>
      </c>
      <c r="F819" s="897">
        <f t="shared" si="262"/>
        <v>3.2500000000000001E-2</v>
      </c>
      <c r="G819" s="897">
        <f t="shared" si="262"/>
        <v>3.406E-2</v>
      </c>
    </row>
    <row r="820" spans="2:11" x14ac:dyDescent="0.3">
      <c r="B820" s="884"/>
      <c r="C820" s="885"/>
      <c r="D820" s="886">
        <f>ROUND(D815/(1+D819)^D816,4)</f>
        <v>27698.4522</v>
      </c>
      <c r="E820" s="886">
        <f t="shared" ref="E820:G820" si="263">ROUND(E815/(1+E819)^E816,4)</f>
        <v>26169.687399999999</v>
      </c>
      <c r="F820" s="886">
        <f t="shared" si="263"/>
        <v>24636.047200000001</v>
      </c>
      <c r="G820" s="886">
        <f t="shared" si="263"/>
        <v>23105.613000000001</v>
      </c>
    </row>
    <row r="821" spans="2:11" x14ac:dyDescent="0.3">
      <c r="B821" s="367"/>
      <c r="C821" s="367"/>
      <c r="D821" s="488"/>
    </row>
    <row r="822" spans="2:11" x14ac:dyDescent="0.3">
      <c r="B822" s="585" t="s">
        <v>650</v>
      </c>
      <c r="C822" s="586">
        <f>SUM(D820:G820)</f>
        <v>101609.79979999999</v>
      </c>
      <c r="D822" s="500"/>
    </row>
    <row r="823" spans="2:11" x14ac:dyDescent="0.3">
      <c r="B823" s="585" t="s">
        <v>1331</v>
      </c>
      <c r="C823" s="586">
        <f>+SUMPRODUCT(D816:AG816,D820:AG820)/C822</f>
        <v>1.6164329822894501</v>
      </c>
      <c r="D823" s="365"/>
    </row>
    <row r="826" spans="2:11" ht="16.5" x14ac:dyDescent="0.3">
      <c r="B826" s="879" t="s">
        <v>2976</v>
      </c>
      <c r="C826" s="879">
        <v>9685</v>
      </c>
      <c r="D826" s="691">
        <v>2.8199999999999999E-2</v>
      </c>
      <c r="E826" s="1291" t="s">
        <v>3249</v>
      </c>
    </row>
    <row r="827" spans="2:11" x14ac:dyDescent="0.3">
      <c r="B827" s="364"/>
      <c r="C827" s="364" t="s">
        <v>105</v>
      </c>
      <c r="D827" s="365"/>
      <c r="F827" s="461">
        <f>E828-D828</f>
        <v>182</v>
      </c>
    </row>
    <row r="828" spans="2:11" x14ac:dyDescent="0.3">
      <c r="B828" s="883"/>
      <c r="C828" s="883">
        <v>45812</v>
      </c>
      <c r="D828" s="883">
        <v>45995</v>
      </c>
      <c r="E828" s="883">
        <v>46177</v>
      </c>
      <c r="F828" s="883">
        <v>46542</v>
      </c>
      <c r="G828" s="883">
        <v>46725</v>
      </c>
      <c r="H828" s="883">
        <v>46908</v>
      </c>
      <c r="I828" s="883">
        <v>47091</v>
      </c>
      <c r="J828" s="883">
        <v>47273</v>
      </c>
      <c r="K828" s="883">
        <v>47456</v>
      </c>
    </row>
    <row r="829" spans="2:11" x14ac:dyDescent="0.3">
      <c r="B829" s="884" t="s">
        <v>1318</v>
      </c>
      <c r="C829" s="885"/>
      <c r="D829" s="886">
        <f>$C$830/8</f>
        <v>12500</v>
      </c>
      <c r="E829" s="886">
        <f t="shared" ref="E829:K829" si="264">$C$830/8</f>
        <v>12500</v>
      </c>
      <c r="F829" s="886">
        <f t="shared" si="264"/>
        <v>12500</v>
      </c>
      <c r="G829" s="886">
        <f t="shared" si="264"/>
        <v>12500</v>
      </c>
      <c r="H829" s="886">
        <f t="shared" si="264"/>
        <v>12500</v>
      </c>
      <c r="I829" s="886">
        <f t="shared" si="264"/>
        <v>12500</v>
      </c>
      <c r="J829" s="886">
        <f t="shared" si="264"/>
        <v>12500</v>
      </c>
      <c r="K829" s="886">
        <f t="shared" si="264"/>
        <v>12500</v>
      </c>
    </row>
    <row r="830" spans="2:11" x14ac:dyDescent="0.3">
      <c r="B830" s="884" t="s">
        <v>1320</v>
      </c>
      <c r="C830" s="887">
        <v>100000</v>
      </c>
      <c r="D830" s="888">
        <f>+C830-D829</f>
        <v>87500</v>
      </c>
      <c r="E830" s="888">
        <f>+D830-E829</f>
        <v>75000</v>
      </c>
      <c r="F830" s="888">
        <f t="shared" ref="F830" si="265">+E830-F829</f>
        <v>62500</v>
      </c>
      <c r="G830" s="888">
        <f t="shared" ref="G830" si="266">+F830-G829</f>
        <v>50000</v>
      </c>
      <c r="H830" s="888">
        <f t="shared" ref="H830" si="267">+G830-H829</f>
        <v>37500</v>
      </c>
      <c r="I830" s="888">
        <f t="shared" ref="I830" si="268">+H830-I829</f>
        <v>25000</v>
      </c>
      <c r="J830" s="888">
        <f t="shared" ref="J830" si="269">+I830-J829</f>
        <v>12500</v>
      </c>
      <c r="K830" s="888">
        <f t="shared" ref="K830" si="270">+J830-K829</f>
        <v>0</v>
      </c>
    </row>
    <row r="831" spans="2:11" x14ac:dyDescent="0.3">
      <c r="B831" s="884" t="s">
        <v>1321</v>
      </c>
      <c r="C831" s="890">
        <f>C830*D826*183/360</f>
        <v>1433.5</v>
      </c>
      <c r="D831" s="890">
        <f>C830*$D$826*(D828-C828)/360</f>
        <v>1433.5</v>
      </c>
      <c r="E831" s="890">
        <f>D830*$D$826*(E828-D828)/360</f>
        <v>1247.4583333333333</v>
      </c>
      <c r="F831" s="890">
        <f t="shared" ref="F831:K831" si="271">E830*$D$826*(F828-E828)/360</f>
        <v>2144.375</v>
      </c>
      <c r="G831" s="890">
        <f t="shared" si="271"/>
        <v>895.9375</v>
      </c>
      <c r="H831" s="890">
        <f t="shared" si="271"/>
        <v>716.75</v>
      </c>
      <c r="I831" s="890">
        <f t="shared" si="271"/>
        <v>537.5625</v>
      </c>
      <c r="J831" s="890">
        <f t="shared" si="271"/>
        <v>356.41666666666669</v>
      </c>
      <c r="K831" s="890">
        <f t="shared" si="271"/>
        <v>179.1875</v>
      </c>
    </row>
    <row r="832" spans="2:11" x14ac:dyDescent="0.3">
      <c r="B832" s="884" t="s">
        <v>1322</v>
      </c>
      <c r="C832" s="885"/>
      <c r="D832" s="888">
        <f>+D831+D829</f>
        <v>13933.5</v>
      </c>
      <c r="E832" s="888">
        <f>+E831+E829</f>
        <v>13747.458333333334</v>
      </c>
      <c r="F832" s="888">
        <f t="shared" ref="F832:K832" si="272">+F831+F829</f>
        <v>14644.375</v>
      </c>
      <c r="G832" s="888">
        <f t="shared" si="272"/>
        <v>13395.9375</v>
      </c>
      <c r="H832" s="888">
        <f t="shared" si="272"/>
        <v>13216.75</v>
      </c>
      <c r="I832" s="888">
        <f t="shared" si="272"/>
        <v>13037.5625</v>
      </c>
      <c r="J832" s="888">
        <f t="shared" si="272"/>
        <v>12856.416666666666</v>
      </c>
      <c r="K832" s="888">
        <f t="shared" si="272"/>
        <v>12679.1875</v>
      </c>
    </row>
    <row r="833" spans="2:11" x14ac:dyDescent="0.3">
      <c r="B833" s="884" t="s">
        <v>1323</v>
      </c>
      <c r="C833" s="887"/>
      <c r="D833" s="888">
        <f>+IF(D828&gt;$C$1,D832,0)</f>
        <v>0</v>
      </c>
      <c r="E833" s="888">
        <f>+IF(E828&gt;$C$1,E832,0)</f>
        <v>13747.458333333334</v>
      </c>
      <c r="F833" s="888">
        <f t="shared" ref="F833:K833" si="273">+IF(F828&gt;$C$1,F832,0)</f>
        <v>14644.375</v>
      </c>
      <c r="G833" s="888">
        <f t="shared" si="273"/>
        <v>13395.9375</v>
      </c>
      <c r="H833" s="888">
        <f t="shared" si="273"/>
        <v>13216.75</v>
      </c>
      <c r="I833" s="888">
        <f t="shared" si="273"/>
        <v>13037.5625</v>
      </c>
      <c r="J833" s="888">
        <f t="shared" si="273"/>
        <v>12856.416666666666</v>
      </c>
      <c r="K833" s="888">
        <f t="shared" si="273"/>
        <v>12679.1875</v>
      </c>
    </row>
    <row r="834" spans="2:11" x14ac:dyDescent="0.3">
      <c r="B834" s="884" t="s">
        <v>1324</v>
      </c>
      <c r="C834" s="1247"/>
      <c r="D834" s="1247">
        <f>(D828-$C$1)/360</f>
        <v>-0.31111111111111112</v>
      </c>
      <c r="E834" s="1247">
        <f>(E828-$C$1)/360</f>
        <v>0.19444444444444445</v>
      </c>
      <c r="F834" s="1247">
        <f t="shared" ref="F834:K834" si="274">(F828-$C$1)/365</f>
        <v>1.1917808219178083</v>
      </c>
      <c r="G834" s="1247">
        <f t="shared" si="274"/>
        <v>1.6931506849315068</v>
      </c>
      <c r="H834" s="1247">
        <f t="shared" si="274"/>
        <v>2.1945205479452055</v>
      </c>
      <c r="I834" s="1247">
        <f t="shared" si="274"/>
        <v>2.6958904109589041</v>
      </c>
      <c r="J834" s="1247">
        <f t="shared" si="274"/>
        <v>3.1945205479452055</v>
      </c>
      <c r="K834" s="1247">
        <f t="shared" si="274"/>
        <v>3.6958904109589041</v>
      </c>
    </row>
    <row r="835" spans="2:11" x14ac:dyDescent="0.3">
      <c r="B835" s="884" t="s">
        <v>3097</v>
      </c>
      <c r="C835" s="885"/>
      <c r="D835" s="894">
        <f>ROUND(IF(D834*360&gt;365,interpoler(_mat2,taux2,D834*360),interpoler(_mat1,taux1,D834*360)),5)</f>
        <v>2.2700000000000001E-2</v>
      </c>
      <c r="E835" s="894">
        <f t="shared" ref="E835:K835" si="275">ROUND(IF(E834*365&gt;365,interpoler(_mat2,taux2,E834*360),interpoler(_mat1,taux1,E834*360)),5)</f>
        <v>2.283E-2</v>
      </c>
      <c r="F835" s="894">
        <f t="shared" si="275"/>
        <v>2.5409999999999999E-2</v>
      </c>
      <c r="G835" s="894">
        <f t="shared" si="275"/>
        <v>2.6179999999999998E-2</v>
      </c>
      <c r="H835" s="894">
        <f t="shared" si="275"/>
        <v>2.6929999999999999E-2</v>
      </c>
      <c r="I835" s="894">
        <f t="shared" si="275"/>
        <v>2.768E-2</v>
      </c>
      <c r="J835" s="894">
        <f t="shared" si="275"/>
        <v>2.8420000000000001E-2</v>
      </c>
      <c r="K835" s="894">
        <f t="shared" si="275"/>
        <v>2.9170000000000001E-2</v>
      </c>
    </row>
    <row r="836" spans="2:11" x14ac:dyDescent="0.3">
      <c r="B836" s="884" t="s">
        <v>1328</v>
      </c>
      <c r="C836" s="885"/>
      <c r="D836" s="896">
        <f>0.55%</f>
        <v>5.5000000000000005E-3</v>
      </c>
      <c r="E836" s="896">
        <f>0.55%</f>
        <v>5.5000000000000005E-3</v>
      </c>
      <c r="F836" s="896">
        <f t="shared" ref="F836:K836" si="276">0.55%</f>
        <v>5.5000000000000005E-3</v>
      </c>
      <c r="G836" s="896">
        <f t="shared" si="276"/>
        <v>5.5000000000000005E-3</v>
      </c>
      <c r="H836" s="896">
        <f t="shared" si="276"/>
        <v>5.5000000000000005E-3</v>
      </c>
      <c r="I836" s="896">
        <f t="shared" si="276"/>
        <v>5.5000000000000005E-3</v>
      </c>
      <c r="J836" s="896">
        <f t="shared" si="276"/>
        <v>5.5000000000000005E-3</v>
      </c>
      <c r="K836" s="896">
        <f t="shared" si="276"/>
        <v>5.5000000000000005E-3</v>
      </c>
    </row>
    <row r="837" spans="2:11" x14ac:dyDescent="0.3">
      <c r="B837" s="884" t="s">
        <v>1329</v>
      </c>
      <c r="C837" s="885"/>
      <c r="D837" s="897">
        <f>ROUND(D835+D836,5)</f>
        <v>2.8199999999999999E-2</v>
      </c>
      <c r="E837" s="897">
        <f>ROUND(E835+E836,5)</f>
        <v>2.8330000000000001E-2</v>
      </c>
      <c r="F837" s="897">
        <f t="shared" ref="F837:K837" si="277">ROUND(F835+F836,2)</f>
        <v>0.03</v>
      </c>
      <c r="G837" s="897">
        <f t="shared" si="277"/>
        <v>0.03</v>
      </c>
      <c r="H837" s="897">
        <f t="shared" si="277"/>
        <v>0.03</v>
      </c>
      <c r="I837" s="897">
        <f t="shared" si="277"/>
        <v>0.03</v>
      </c>
      <c r="J837" s="897">
        <f t="shared" si="277"/>
        <v>0.03</v>
      </c>
      <c r="K837" s="897">
        <f t="shared" si="277"/>
        <v>0.03</v>
      </c>
    </row>
    <row r="838" spans="2:11" x14ac:dyDescent="0.3">
      <c r="B838" s="884"/>
      <c r="C838" s="885"/>
      <c r="D838" s="886">
        <f>ROUND((D833+D830)/(1+D837*D834),5)</f>
        <v>88274.46127</v>
      </c>
      <c r="E838" s="886">
        <f>ROUND((E833+E830)/(1+E837*E834),5)</f>
        <v>88261.261369999993</v>
      </c>
      <c r="F838" s="886">
        <f t="shared" ref="F838:K838" si="278">ROUND(F833/(1+F837)^F834,4)</f>
        <v>14137.4696</v>
      </c>
      <c r="G838" s="886">
        <f t="shared" si="278"/>
        <v>12742.0046</v>
      </c>
      <c r="H838" s="886">
        <f t="shared" si="278"/>
        <v>12386.6288</v>
      </c>
      <c r="I838" s="886">
        <f t="shared" si="278"/>
        <v>12038.9512</v>
      </c>
      <c r="J838" s="886">
        <f t="shared" si="278"/>
        <v>11697.9877</v>
      </c>
      <c r="K838" s="886">
        <f t="shared" si="278"/>
        <v>11367.0154</v>
      </c>
    </row>
    <row r="839" spans="2:11" x14ac:dyDescent="0.3">
      <c r="B839" s="367"/>
      <c r="C839" s="367"/>
      <c r="D839" s="488"/>
    </row>
    <row r="840" spans="2:11" x14ac:dyDescent="0.3">
      <c r="B840" s="585" t="s">
        <v>650</v>
      </c>
      <c r="C840" s="586">
        <f>E838</f>
        <v>88261.261369999993</v>
      </c>
      <c r="D840" s="500"/>
    </row>
    <row r="841" spans="2:11" x14ac:dyDescent="0.3">
      <c r="B841" s="585" t="s">
        <v>1331</v>
      </c>
      <c r="C841" s="586">
        <f>+SUMPRODUCT(E834:AG834,E838:AG838)/C840</f>
        <v>2.2048622202176276</v>
      </c>
      <c r="D841" s="365"/>
    </row>
    <row r="844" spans="2:11" ht="16.5" x14ac:dyDescent="0.3">
      <c r="B844" s="879" t="s">
        <v>2976</v>
      </c>
      <c r="C844" s="879">
        <v>100993</v>
      </c>
      <c r="D844" s="691">
        <v>2.8000000000000001E-2</v>
      </c>
      <c r="E844" s="1291" t="s">
        <v>3188</v>
      </c>
    </row>
    <row r="845" spans="2:11" x14ac:dyDescent="0.3">
      <c r="B845" s="364"/>
      <c r="C845" s="364" t="s">
        <v>105</v>
      </c>
      <c r="D845" s="365"/>
    </row>
    <row r="846" spans="2:11" x14ac:dyDescent="0.3">
      <c r="B846" s="883"/>
      <c r="C846" s="883">
        <v>45821</v>
      </c>
      <c r="D846" s="883">
        <v>46186</v>
      </c>
      <c r="E846" s="883">
        <v>46551</v>
      </c>
      <c r="F846" s="883">
        <v>46917</v>
      </c>
      <c r="G846" s="883">
        <v>47282</v>
      </c>
      <c r="H846" s="883">
        <v>47647</v>
      </c>
      <c r="I846" s="503"/>
      <c r="J846" s="503"/>
      <c r="K846" s="503"/>
    </row>
    <row r="847" spans="2:11" x14ac:dyDescent="0.3">
      <c r="B847" s="884" t="s">
        <v>1318</v>
      </c>
      <c r="C847" s="885"/>
      <c r="D847" s="886">
        <f>$C$830/5</f>
        <v>20000</v>
      </c>
      <c r="E847" s="886">
        <f t="shared" ref="E847:H847" si="279">$C$830/5</f>
        <v>20000</v>
      </c>
      <c r="F847" s="886">
        <f t="shared" si="279"/>
        <v>20000</v>
      </c>
      <c r="G847" s="886">
        <f t="shared" si="279"/>
        <v>20000</v>
      </c>
      <c r="H847" s="886">
        <f t="shared" si="279"/>
        <v>20000</v>
      </c>
      <c r="I847" s="512"/>
      <c r="J847" s="512"/>
      <c r="K847" s="512"/>
    </row>
    <row r="848" spans="2:11" x14ac:dyDescent="0.3">
      <c r="B848" s="884" t="s">
        <v>1320</v>
      </c>
      <c r="C848" s="887">
        <v>100000</v>
      </c>
      <c r="D848" s="888">
        <f>+C848-D847</f>
        <v>80000</v>
      </c>
      <c r="E848" s="888">
        <f>+D848-E847</f>
        <v>60000</v>
      </c>
      <c r="F848" s="888">
        <f t="shared" ref="F848" si="280">+E848-F847</f>
        <v>40000</v>
      </c>
      <c r="G848" s="888">
        <f t="shared" ref="G848:H848" si="281">+F848-G847</f>
        <v>20000</v>
      </c>
      <c r="H848" s="888">
        <f t="shared" si="281"/>
        <v>0</v>
      </c>
      <c r="I848" s="280"/>
      <c r="J848" s="280"/>
      <c r="K848" s="280"/>
    </row>
    <row r="849" spans="2:11" x14ac:dyDescent="0.3">
      <c r="B849" s="884" t="s">
        <v>1321</v>
      </c>
      <c r="C849" s="890"/>
      <c r="D849" s="890">
        <f>C848*$D$844</f>
        <v>2800</v>
      </c>
      <c r="E849" s="890">
        <f t="shared" ref="E849:H849" si="282">D848*$D$844</f>
        <v>2240</v>
      </c>
      <c r="F849" s="890">
        <f t="shared" si="282"/>
        <v>1680</v>
      </c>
      <c r="G849" s="890">
        <f t="shared" si="282"/>
        <v>1120</v>
      </c>
      <c r="H849" s="890">
        <f t="shared" si="282"/>
        <v>560</v>
      </c>
      <c r="I849" s="1297"/>
      <c r="J849" s="1297"/>
      <c r="K849" s="1297"/>
    </row>
    <row r="850" spans="2:11" x14ac:dyDescent="0.3">
      <c r="B850" s="884" t="s">
        <v>1322</v>
      </c>
      <c r="C850" s="885"/>
      <c r="D850" s="888">
        <f>+D849+D847</f>
        <v>22800</v>
      </c>
      <c r="E850" s="888">
        <f>+E849+E847</f>
        <v>22240</v>
      </c>
      <c r="F850" s="888">
        <f t="shared" ref="F850:G850" si="283">+F849+F847</f>
        <v>21680</v>
      </c>
      <c r="G850" s="888">
        <f t="shared" si="283"/>
        <v>21120</v>
      </c>
      <c r="H850" s="888">
        <f t="shared" ref="H850" si="284">+H849+H847</f>
        <v>20560</v>
      </c>
      <c r="I850" s="280"/>
      <c r="J850" s="280"/>
      <c r="K850" s="280"/>
    </row>
    <row r="851" spans="2:11" x14ac:dyDescent="0.3">
      <c r="B851" s="884" t="s">
        <v>1323</v>
      </c>
      <c r="C851" s="887"/>
      <c r="D851" s="888">
        <f>+IF(D846&gt;$C$1,D850,0)</f>
        <v>22800</v>
      </c>
      <c r="E851" s="888">
        <f>+IF(E846&gt;$C$1,E850,0)</f>
        <v>22240</v>
      </c>
      <c r="F851" s="888">
        <f t="shared" ref="F851:G851" si="285">+IF(F846&gt;$C$1,F850,0)</f>
        <v>21680</v>
      </c>
      <c r="G851" s="888">
        <f t="shared" si="285"/>
        <v>21120</v>
      </c>
      <c r="H851" s="888">
        <f t="shared" ref="H851" si="286">+IF(H846&gt;$C$1,H850,0)</f>
        <v>20560</v>
      </c>
      <c r="I851" s="280"/>
      <c r="J851" s="280"/>
      <c r="K851" s="280"/>
    </row>
    <row r="852" spans="2:11" x14ac:dyDescent="0.3">
      <c r="B852" s="884" t="s">
        <v>1324</v>
      </c>
      <c r="C852" s="1247"/>
      <c r="D852" s="1247">
        <f>ROUND(IF(C851=0,(D846-$C$1)/(D846-C846),C852+1),10)</f>
        <v>0.21643835619999999</v>
      </c>
      <c r="E852" s="1247">
        <f t="shared" ref="E852" si="287">IF(D851=0,(E846-$C$1)/(E846-D846),D852+1)</f>
        <v>1.2164383562000001</v>
      </c>
      <c r="F852" s="1247">
        <f t="shared" ref="F852" si="288">IF(E851=0,(F846-$C$1)/(F846-E846),E852+1)</f>
        <v>2.2164383562000003</v>
      </c>
      <c r="G852" s="1247">
        <f t="shared" ref="G852:H852" si="289">IF(F851=0,(G846-$C$1)/(G846-F846),F852+1)</f>
        <v>3.2164383562000003</v>
      </c>
      <c r="H852" s="1247">
        <f t="shared" si="289"/>
        <v>4.2164383562000003</v>
      </c>
      <c r="I852" s="1246"/>
      <c r="J852" s="1246"/>
      <c r="K852" s="1246"/>
    </row>
    <row r="853" spans="2:11" x14ac:dyDescent="0.3">
      <c r="B853" s="884" t="s">
        <v>1325</v>
      </c>
      <c r="C853" s="885"/>
      <c r="D853" s="1079" cm="1">
        <f t="array" ref="D853">interpoler(mat_zc,Taux_ZC,D852)</f>
        <v>2.3429416657236111E-2</v>
      </c>
      <c r="E853" s="1079" cm="1">
        <f t="array" ref="E853">interpoler(mat_zc,Taux_ZC,E852)</f>
        <v>2.5480607911014433E-2</v>
      </c>
      <c r="F853" s="1079" cm="1">
        <f t="array" ref="F853">interpoler(mat_zc,Taux_ZC,F852)</f>
        <v>2.7038752936767708E-2</v>
      </c>
      <c r="G853" s="1079" cm="1">
        <f t="array" ref="G853">interpoler(mat_zc,Taux_ZC,G852)</f>
        <v>2.8597965073754724E-2</v>
      </c>
      <c r="H853" s="1079" cm="1">
        <f t="array" ref="H853">interpoler(mat_zc,Taux_ZC,H852)</f>
        <v>3.006515726579179E-2</v>
      </c>
      <c r="I853" s="1298"/>
      <c r="J853" s="1298"/>
      <c r="K853" s="1298"/>
    </row>
    <row r="854" spans="2:11" x14ac:dyDescent="0.3">
      <c r="B854" s="884" t="s">
        <v>1328</v>
      </c>
      <c r="C854" s="885"/>
      <c r="D854" s="896">
        <f>0.5%</f>
        <v>5.0000000000000001E-3</v>
      </c>
      <c r="E854" s="896">
        <f t="shared" ref="E854:H854" si="290">0.5%</f>
        <v>5.0000000000000001E-3</v>
      </c>
      <c r="F854" s="896">
        <f t="shared" si="290"/>
        <v>5.0000000000000001E-3</v>
      </c>
      <c r="G854" s="896">
        <f t="shared" si="290"/>
        <v>5.0000000000000001E-3</v>
      </c>
      <c r="H854" s="896">
        <f t="shared" si="290"/>
        <v>5.0000000000000001E-3</v>
      </c>
      <c r="I854" s="58"/>
      <c r="J854" s="58"/>
      <c r="K854" s="58"/>
    </row>
    <row r="855" spans="2:11" x14ac:dyDescent="0.3">
      <c r="B855" s="884" t="s">
        <v>1329</v>
      </c>
      <c r="C855" s="885"/>
      <c r="D855" s="897">
        <f t="shared" ref="D855:G855" si="291">ROUND(D853+D854,5)</f>
        <v>2.843E-2</v>
      </c>
      <c r="E855" s="897">
        <f t="shared" si="291"/>
        <v>3.048E-2</v>
      </c>
      <c r="F855" s="897">
        <f t="shared" si="291"/>
        <v>3.2039999999999999E-2</v>
      </c>
      <c r="G855" s="897">
        <f t="shared" si="291"/>
        <v>3.3599999999999998E-2</v>
      </c>
      <c r="H855" s="897">
        <f t="shared" ref="H855" si="292">ROUND(H853+H854,5)</f>
        <v>3.5069999999999997E-2</v>
      </c>
      <c r="I855" s="102"/>
      <c r="J855" s="102"/>
      <c r="K855" s="102"/>
    </row>
    <row r="856" spans="2:11" x14ac:dyDescent="0.3">
      <c r="B856" s="884"/>
      <c r="C856" s="885"/>
      <c r="D856" s="886">
        <f>ROUND(D851/(1+D855)^D852,4)</f>
        <v>22662.079900000001</v>
      </c>
      <c r="E856" s="886">
        <f t="shared" ref="E856:G856" si="293">ROUND(E851/(1+E855)^E852,4)</f>
        <v>21442.3783</v>
      </c>
      <c r="F856" s="886">
        <f t="shared" si="293"/>
        <v>20216.304199999999</v>
      </c>
      <c r="G856" s="886">
        <f t="shared" si="293"/>
        <v>18990.219300000001</v>
      </c>
      <c r="H856" s="886">
        <f t="shared" ref="H856" si="294">ROUND(H851/(1+H855)^H852,4)</f>
        <v>17778.871999999999</v>
      </c>
      <c r="I856" s="512"/>
      <c r="J856" s="512"/>
      <c r="K856" s="512"/>
    </row>
    <row r="857" spans="2:11" x14ac:dyDescent="0.3">
      <c r="B857" s="367"/>
      <c r="C857" s="367"/>
      <c r="D857" s="488"/>
    </row>
    <row r="858" spans="2:11" x14ac:dyDescent="0.3">
      <c r="B858" s="585" t="s">
        <v>650</v>
      </c>
      <c r="C858" s="586">
        <f>SUM(D856:H856)</f>
        <v>101089.85370000001</v>
      </c>
      <c r="D858" s="500"/>
    </row>
    <row r="859" spans="2:11" x14ac:dyDescent="0.3">
      <c r="B859" s="585" t="s">
        <v>1331</v>
      </c>
      <c r="C859" s="586">
        <f>+SUMPRODUCT(E852:AG852,E856:AG856)/C858</f>
        <v>2.0470492682263859</v>
      </c>
      <c r="D859" s="365"/>
    </row>
    <row r="862" spans="2:11" ht="16.5" x14ac:dyDescent="0.3">
      <c r="B862" s="879" t="s">
        <v>2976</v>
      </c>
      <c r="C862" s="879">
        <v>100995</v>
      </c>
      <c r="D862" s="691">
        <v>2.8199999999999999E-2</v>
      </c>
      <c r="E862" s="1291" t="s">
        <v>3188</v>
      </c>
    </row>
    <row r="863" spans="2:11" x14ac:dyDescent="0.3">
      <c r="B863" s="364"/>
      <c r="C863" s="364" t="s">
        <v>105</v>
      </c>
      <c r="D863" s="365"/>
    </row>
    <row r="864" spans="2:11" x14ac:dyDescent="0.3">
      <c r="B864" s="883"/>
      <c r="C864" s="883">
        <v>45826</v>
      </c>
      <c r="D864" s="883">
        <v>46191</v>
      </c>
      <c r="E864" s="883">
        <v>46556</v>
      </c>
      <c r="F864" s="883">
        <v>46922</v>
      </c>
      <c r="G864" s="883">
        <v>47287</v>
      </c>
      <c r="H864" s="883">
        <v>47652</v>
      </c>
    </row>
    <row r="865" spans="2:8" x14ac:dyDescent="0.3">
      <c r="B865" s="884" t="s">
        <v>1318</v>
      </c>
      <c r="C865" s="885"/>
      <c r="D865" s="886">
        <f>$C$830/5</f>
        <v>20000</v>
      </c>
      <c r="E865" s="886">
        <f t="shared" ref="E865:H865" si="295">$C$830/5</f>
        <v>20000</v>
      </c>
      <c r="F865" s="886">
        <f t="shared" si="295"/>
        <v>20000</v>
      </c>
      <c r="G865" s="886">
        <f t="shared" si="295"/>
        <v>20000</v>
      </c>
      <c r="H865" s="886">
        <f t="shared" si="295"/>
        <v>20000</v>
      </c>
    </row>
    <row r="866" spans="2:8" x14ac:dyDescent="0.3">
      <c r="B866" s="884" t="s">
        <v>1320</v>
      </c>
      <c r="C866" s="887">
        <v>100000</v>
      </c>
      <c r="D866" s="888">
        <f>+C866-D865</f>
        <v>80000</v>
      </c>
      <c r="E866" s="888">
        <f>+D866-E865</f>
        <v>60000</v>
      </c>
      <c r="F866" s="888">
        <f t="shared" ref="F866" si="296">+E866-F865</f>
        <v>40000</v>
      </c>
      <c r="G866" s="888">
        <f t="shared" ref="G866" si="297">+F866-G865</f>
        <v>20000</v>
      </c>
      <c r="H866" s="888">
        <f t="shared" ref="H866" si="298">+G866-H865</f>
        <v>0</v>
      </c>
    </row>
    <row r="867" spans="2:8" x14ac:dyDescent="0.3">
      <c r="B867" s="884" t="s">
        <v>1321</v>
      </c>
      <c r="C867" s="890"/>
      <c r="D867" s="890">
        <f>C866*$D$862</f>
        <v>2820</v>
      </c>
      <c r="E867" s="890">
        <f t="shared" ref="E867:H867" si="299">D866*$D$862</f>
        <v>2256</v>
      </c>
      <c r="F867" s="890">
        <f t="shared" si="299"/>
        <v>1692</v>
      </c>
      <c r="G867" s="890">
        <f t="shared" si="299"/>
        <v>1128</v>
      </c>
      <c r="H867" s="890">
        <f t="shared" si="299"/>
        <v>564</v>
      </c>
    </row>
    <row r="868" spans="2:8" x14ac:dyDescent="0.3">
      <c r="B868" s="884" t="s">
        <v>1322</v>
      </c>
      <c r="C868" s="885"/>
      <c r="D868" s="888">
        <f>+D867+D865</f>
        <v>22820</v>
      </c>
      <c r="E868" s="888">
        <f>+E867+E865</f>
        <v>22256</v>
      </c>
      <c r="F868" s="888">
        <f t="shared" ref="F868:H868" si="300">+F867+F865</f>
        <v>21692</v>
      </c>
      <c r="G868" s="888">
        <f t="shared" si="300"/>
        <v>21128</v>
      </c>
      <c r="H868" s="888">
        <f t="shared" si="300"/>
        <v>20564</v>
      </c>
    </row>
    <row r="869" spans="2:8" x14ac:dyDescent="0.3">
      <c r="B869" s="884" t="s">
        <v>1323</v>
      </c>
      <c r="C869" s="887"/>
      <c r="D869" s="888">
        <f>+IF(D864&gt;$C$1,D868,0)</f>
        <v>22820</v>
      </c>
      <c r="E869" s="888">
        <f>+IF(E864&gt;$C$1,E868,0)</f>
        <v>22256</v>
      </c>
      <c r="F869" s="888">
        <f t="shared" ref="F869:H869" si="301">+IF(F864&gt;$C$1,F868,0)</f>
        <v>21692</v>
      </c>
      <c r="G869" s="888">
        <f t="shared" si="301"/>
        <v>21128</v>
      </c>
      <c r="H869" s="888">
        <f t="shared" si="301"/>
        <v>20564</v>
      </c>
    </row>
    <row r="870" spans="2:8" x14ac:dyDescent="0.3">
      <c r="B870" s="884" t="s">
        <v>1324</v>
      </c>
      <c r="C870" s="1247"/>
      <c r="D870" s="1247">
        <f>ROUND(IF(C869=0,(D864-$C$1)/(D864-C864),C870+1),10)</f>
        <v>0.23013698630000001</v>
      </c>
      <c r="E870" s="1247">
        <f t="shared" ref="E870" si="302">IF(D869=0,(E864-$C$1)/(E864-D864),D870+1)</f>
        <v>1.2301369863</v>
      </c>
      <c r="F870" s="1247">
        <f t="shared" ref="F870" si="303">IF(E869=0,(F864-$C$1)/(F864-E864),E870+1)</f>
        <v>2.2301369862999998</v>
      </c>
      <c r="G870" s="1247">
        <f t="shared" ref="G870" si="304">IF(F869=0,(G864-$C$1)/(G864-F864),F870+1)</f>
        <v>3.2301369862999998</v>
      </c>
      <c r="H870" s="1247">
        <f t="shared" ref="H870" si="305">IF(G869=0,(H864-$C$1)/(H864-G864),G870+1)</f>
        <v>4.2301369862999998</v>
      </c>
    </row>
    <row r="871" spans="2:8" x14ac:dyDescent="0.3">
      <c r="B871" s="884" t="s">
        <v>1325</v>
      </c>
      <c r="C871" s="885"/>
      <c r="D871" s="1079" cm="1">
        <f t="array" ref="D871">interpoler(mat_zc,Taux_ZC,D870)</f>
        <v>2.3465283745051357E-2</v>
      </c>
      <c r="E871" s="1079" cm="1">
        <f t="array" ref="E871">interpoler(mat_zc,Taux_ZC,E870)</f>
        <v>2.5501964753422521E-2</v>
      </c>
      <c r="F871" s="1079" cm="1">
        <f t="array" ref="F871">interpoler(mat_zc,Taux_ZC,F870)</f>
        <v>2.7060052533970473E-2</v>
      </c>
      <c r="G871" s="1079" cm="1">
        <f t="array" ref="G871">interpoler(mat_zc,Taux_ZC,G870)</f>
        <v>2.8619539451778666E-2</v>
      </c>
      <c r="H871" s="1079" cm="1">
        <f t="array" ref="H871">interpoler(mat_zc,Taux_ZC,H870)</f>
        <v>3.0079912820546471E-2</v>
      </c>
    </row>
    <row r="872" spans="2:8" x14ac:dyDescent="0.3">
      <c r="B872" s="884" t="s">
        <v>1328</v>
      </c>
      <c r="C872" s="885"/>
      <c r="D872" s="896">
        <v>4.9300000000000004E-3</v>
      </c>
      <c r="E872" s="896">
        <v>4.9300000000000004E-3</v>
      </c>
      <c r="F872" s="896">
        <v>4.9300000000000004E-3</v>
      </c>
      <c r="G872" s="896">
        <v>4.9300000000000004E-3</v>
      </c>
      <c r="H872" s="896">
        <v>4.9300000000000004E-3</v>
      </c>
    </row>
    <row r="873" spans="2:8" x14ac:dyDescent="0.3">
      <c r="B873" s="884" t="s">
        <v>1329</v>
      </c>
      <c r="C873" s="885"/>
      <c r="D873" s="897">
        <f t="shared" ref="D873:H873" si="306">ROUND(D871+D872,5)</f>
        <v>2.8400000000000002E-2</v>
      </c>
      <c r="E873" s="897">
        <f t="shared" si="306"/>
        <v>3.0429999999999999E-2</v>
      </c>
      <c r="F873" s="897">
        <f t="shared" si="306"/>
        <v>3.1989999999999998E-2</v>
      </c>
      <c r="G873" s="897">
        <f t="shared" si="306"/>
        <v>3.3550000000000003E-2</v>
      </c>
      <c r="H873" s="897">
        <f t="shared" si="306"/>
        <v>3.5009999999999999E-2</v>
      </c>
    </row>
    <row r="874" spans="2:8" x14ac:dyDescent="0.3">
      <c r="B874" s="884"/>
      <c r="C874" s="885"/>
      <c r="D874" s="886">
        <f>ROUND(D869/(1+D873)^D870,4)</f>
        <v>22673.4025</v>
      </c>
      <c r="E874" s="886">
        <f t="shared" ref="E874:H874" si="307">ROUND(E869/(1+E873)^E870,4)</f>
        <v>21450.260999999999</v>
      </c>
      <c r="F874" s="886">
        <f t="shared" si="307"/>
        <v>20220.941900000002</v>
      </c>
      <c r="G874" s="886">
        <f t="shared" si="307"/>
        <v>18991.781599999998</v>
      </c>
      <c r="H874" s="886">
        <f t="shared" si="307"/>
        <v>17778.295399999999</v>
      </c>
    </row>
    <row r="875" spans="2:8" x14ac:dyDescent="0.3">
      <c r="B875" s="367"/>
      <c r="C875" s="367"/>
      <c r="D875" s="488"/>
    </row>
    <row r="876" spans="2:8" x14ac:dyDescent="0.3">
      <c r="B876" s="585" t="s">
        <v>650</v>
      </c>
      <c r="C876" s="586">
        <f>SUM(D874:H874)</f>
        <v>101114.68240000001</v>
      </c>
      <c r="D876" s="500"/>
    </row>
    <row r="877" spans="2:8" x14ac:dyDescent="0.3">
      <c r="B877" s="585" t="s">
        <v>1331</v>
      </c>
      <c r="C877" s="586">
        <f>+SUMPRODUCT(E870:AG870,E874:AG874)/C876</f>
        <v>2.057395682011268</v>
      </c>
      <c r="D877" s="365"/>
    </row>
    <row r="881" spans="2:11" ht="16.5" x14ac:dyDescent="0.3">
      <c r="B881" s="1300" t="s">
        <v>2976</v>
      </c>
      <c r="C881" s="1300">
        <v>9685</v>
      </c>
      <c r="D881" s="691">
        <v>2.7400000000000001E-2</v>
      </c>
      <c r="E881" s="1291" t="s">
        <v>3184</v>
      </c>
    </row>
    <row r="882" spans="2:11" x14ac:dyDescent="0.3">
      <c r="B882" s="364"/>
      <c r="C882" s="364" t="s">
        <v>105</v>
      </c>
      <c r="D882" s="365"/>
    </row>
    <row r="883" spans="2:11" x14ac:dyDescent="0.3">
      <c r="B883" s="883"/>
      <c r="C883" s="883">
        <v>45812</v>
      </c>
      <c r="D883" s="883">
        <v>45995</v>
      </c>
      <c r="E883" s="883">
        <v>46360</v>
      </c>
      <c r="F883" s="883">
        <v>46542</v>
      </c>
      <c r="G883" s="883">
        <v>46725</v>
      </c>
      <c r="H883" s="883">
        <v>46908</v>
      </c>
      <c r="I883" s="883">
        <v>47091</v>
      </c>
      <c r="J883" s="883">
        <v>47273</v>
      </c>
      <c r="K883" s="883">
        <v>47456</v>
      </c>
    </row>
    <row r="884" spans="2:11" x14ac:dyDescent="0.3">
      <c r="B884" s="884" t="s">
        <v>1318</v>
      </c>
      <c r="C884" s="885"/>
      <c r="D884" s="886">
        <f>$C$830/8</f>
        <v>12500</v>
      </c>
      <c r="E884" s="886">
        <f t="shared" ref="E884:K884" si="308">$C$830/8</f>
        <v>12500</v>
      </c>
      <c r="F884" s="886">
        <f t="shared" si="308"/>
        <v>12500</v>
      </c>
      <c r="G884" s="886">
        <f t="shared" si="308"/>
        <v>12500</v>
      </c>
      <c r="H884" s="886">
        <f t="shared" si="308"/>
        <v>12500</v>
      </c>
      <c r="I884" s="886">
        <f t="shared" si="308"/>
        <v>12500</v>
      </c>
      <c r="J884" s="886">
        <f t="shared" si="308"/>
        <v>12500</v>
      </c>
      <c r="K884" s="886">
        <f t="shared" si="308"/>
        <v>12500</v>
      </c>
    </row>
    <row r="885" spans="2:11" x14ac:dyDescent="0.3">
      <c r="B885" s="884" t="s">
        <v>1320</v>
      </c>
      <c r="C885" s="887">
        <v>100000</v>
      </c>
      <c r="D885" s="888">
        <f>+C885-D884</f>
        <v>87500</v>
      </c>
      <c r="E885" s="888">
        <f>+D885-E884</f>
        <v>75000</v>
      </c>
      <c r="F885" s="888">
        <f t="shared" ref="F885" si="309">+E885-F884</f>
        <v>62500</v>
      </c>
      <c r="G885" s="888">
        <f t="shared" ref="G885" si="310">+F885-G884</f>
        <v>50000</v>
      </c>
      <c r="H885" s="888">
        <f t="shared" ref="H885" si="311">+G885-H884</f>
        <v>37500</v>
      </c>
      <c r="I885" s="888">
        <f t="shared" ref="I885" si="312">+H885-I884</f>
        <v>25000</v>
      </c>
      <c r="J885" s="888">
        <f t="shared" ref="J885" si="313">+I885-J884</f>
        <v>12500</v>
      </c>
      <c r="K885" s="888">
        <f t="shared" ref="K885" si="314">+J885-K884</f>
        <v>0</v>
      </c>
    </row>
    <row r="886" spans="2:11" x14ac:dyDescent="0.3">
      <c r="B886" s="884" t="s">
        <v>1321</v>
      </c>
      <c r="C886" s="890">
        <f>C885*D881*183/360</f>
        <v>1392.8333333333333</v>
      </c>
      <c r="D886" s="890">
        <f>C885*$D$826*(D883-C883)/360</f>
        <v>1433.5</v>
      </c>
      <c r="E886" s="890">
        <f t="shared" ref="E886" si="315">D885*$D$826*(E883-D883)/360</f>
        <v>2501.7708333333335</v>
      </c>
      <c r="F886" s="890">
        <f t="shared" ref="F886" si="316">E885*$D$826*(F883-E883)/360</f>
        <v>1069.25</v>
      </c>
      <c r="G886" s="890">
        <f t="shared" ref="G886" si="317">F885*$D$826*(G883-F883)/360</f>
        <v>895.9375</v>
      </c>
      <c r="H886" s="890">
        <f t="shared" ref="H886" si="318">G885*$D$826*(H883-G883)/360</f>
        <v>716.75</v>
      </c>
      <c r="I886" s="890">
        <f t="shared" ref="I886" si="319">H885*$D$826*(I883-H883)/360</f>
        <v>537.5625</v>
      </c>
      <c r="J886" s="890">
        <f t="shared" ref="J886" si="320">I885*$D$826*(J883-I883)/360</f>
        <v>356.41666666666669</v>
      </c>
      <c r="K886" s="890">
        <f t="shared" ref="K886" si="321">J885*$D$826*(K883-J883)/360</f>
        <v>179.1875</v>
      </c>
    </row>
    <row r="887" spans="2:11" x14ac:dyDescent="0.3">
      <c r="B887" s="884" t="s">
        <v>1322</v>
      </c>
      <c r="C887" s="885"/>
      <c r="D887" s="888">
        <f>+D886+D884</f>
        <v>13933.5</v>
      </c>
      <c r="E887" s="888">
        <f>+E886+E884</f>
        <v>15001.770833333334</v>
      </c>
      <c r="F887" s="888">
        <f t="shared" ref="F887:K887" si="322">+F886+F884</f>
        <v>13569.25</v>
      </c>
      <c r="G887" s="888">
        <f t="shared" si="322"/>
        <v>13395.9375</v>
      </c>
      <c r="H887" s="888">
        <f t="shared" si="322"/>
        <v>13216.75</v>
      </c>
      <c r="I887" s="888">
        <f t="shared" si="322"/>
        <v>13037.5625</v>
      </c>
      <c r="J887" s="888">
        <f t="shared" si="322"/>
        <v>12856.416666666666</v>
      </c>
      <c r="K887" s="888">
        <f t="shared" si="322"/>
        <v>12679.1875</v>
      </c>
    </row>
    <row r="888" spans="2:11" x14ac:dyDescent="0.3">
      <c r="B888" s="884" t="s">
        <v>1323</v>
      </c>
      <c r="C888" s="887"/>
      <c r="D888" s="888">
        <f>+IF(D883&gt;$C$1,D887,0)</f>
        <v>0</v>
      </c>
      <c r="E888" s="888">
        <f>+IF(E883&gt;$C$1,E887,0)</f>
        <v>15001.770833333334</v>
      </c>
      <c r="F888" s="888">
        <f t="shared" ref="F888:K888" si="323">+IF(F883&gt;$C$1,F887,0)</f>
        <v>13569.25</v>
      </c>
      <c r="G888" s="888">
        <f t="shared" si="323"/>
        <v>13395.9375</v>
      </c>
      <c r="H888" s="888">
        <f t="shared" si="323"/>
        <v>13216.75</v>
      </c>
      <c r="I888" s="888">
        <f t="shared" si="323"/>
        <v>13037.5625</v>
      </c>
      <c r="J888" s="888">
        <f t="shared" si="323"/>
        <v>12856.416666666666</v>
      </c>
      <c r="K888" s="888">
        <f t="shared" si="323"/>
        <v>12679.1875</v>
      </c>
    </row>
    <row r="889" spans="2:11" x14ac:dyDescent="0.3">
      <c r="B889" s="884" t="s">
        <v>1324</v>
      </c>
      <c r="C889" s="1247"/>
      <c r="D889" s="1247">
        <f>(D883-$C$1)/360</f>
        <v>-0.31111111111111112</v>
      </c>
      <c r="E889" s="1247">
        <f t="shared" ref="E889:K889" si="324">(E883-$C$1)/365</f>
        <v>0.69315068493150689</v>
      </c>
      <c r="F889" s="1247">
        <f t="shared" si="324"/>
        <v>1.1917808219178083</v>
      </c>
      <c r="G889" s="1247">
        <f t="shared" si="324"/>
        <v>1.6931506849315068</v>
      </c>
      <c r="H889" s="1247">
        <f t="shared" si="324"/>
        <v>2.1945205479452055</v>
      </c>
      <c r="I889" s="1247">
        <f t="shared" si="324"/>
        <v>2.6958904109589041</v>
      </c>
      <c r="J889" s="1247">
        <f t="shared" si="324"/>
        <v>3.1945205479452055</v>
      </c>
      <c r="K889" s="1247">
        <f t="shared" si="324"/>
        <v>3.6958904109589041</v>
      </c>
    </row>
    <row r="890" spans="2:11" x14ac:dyDescent="0.3">
      <c r="B890" s="884" t="s">
        <v>3097</v>
      </c>
      <c r="C890" s="885"/>
      <c r="D890" s="894">
        <f>ROUND(IF(D889*360&gt;365,interpoler(_mat2,taux2,D889*360),interpoler(_mat1,taux1,D889*360)),5)</f>
        <v>2.2700000000000001E-2</v>
      </c>
      <c r="E890" s="894">
        <f t="shared" ref="E890:K890" si="325">ROUND(IF(E889*365&gt;365,interpoler(_mat2,taux2,E889*360),interpoler(_mat1,taux1,E889*360)),5)</f>
        <v>2.41E-2</v>
      </c>
      <c r="F890" s="894">
        <f t="shared" si="325"/>
        <v>2.5409999999999999E-2</v>
      </c>
      <c r="G890" s="894">
        <f t="shared" si="325"/>
        <v>2.6179999999999998E-2</v>
      </c>
      <c r="H890" s="894">
        <f t="shared" si="325"/>
        <v>2.6929999999999999E-2</v>
      </c>
      <c r="I890" s="894">
        <f t="shared" si="325"/>
        <v>2.768E-2</v>
      </c>
      <c r="J890" s="894">
        <f t="shared" si="325"/>
        <v>2.8420000000000001E-2</v>
      </c>
      <c r="K890" s="894">
        <f t="shared" si="325"/>
        <v>2.9170000000000001E-2</v>
      </c>
    </row>
    <row r="891" spans="2:11" x14ac:dyDescent="0.3">
      <c r="B891" s="884" t="s">
        <v>1328</v>
      </c>
      <c r="C891" s="885"/>
      <c r="D891" s="896">
        <f>0.55%</f>
        <v>5.5000000000000005E-3</v>
      </c>
      <c r="E891" s="896">
        <f>0.55%</f>
        <v>5.5000000000000005E-3</v>
      </c>
      <c r="F891" s="896">
        <f t="shared" ref="F891:K891" si="326">0.55%</f>
        <v>5.5000000000000005E-3</v>
      </c>
      <c r="G891" s="896">
        <f t="shared" si="326"/>
        <v>5.5000000000000005E-3</v>
      </c>
      <c r="H891" s="896">
        <f t="shared" si="326"/>
        <v>5.5000000000000005E-3</v>
      </c>
      <c r="I891" s="896">
        <f t="shared" si="326"/>
        <v>5.5000000000000005E-3</v>
      </c>
      <c r="J891" s="896">
        <f t="shared" si="326"/>
        <v>5.5000000000000005E-3</v>
      </c>
      <c r="K891" s="896">
        <f t="shared" si="326"/>
        <v>5.5000000000000005E-3</v>
      </c>
    </row>
    <row r="892" spans="2:11" x14ac:dyDescent="0.3">
      <c r="B892" s="884" t="s">
        <v>1329</v>
      </c>
      <c r="C892" s="885"/>
      <c r="D892" s="897">
        <f>ROUND(D890+D891,5)</f>
        <v>2.8199999999999999E-2</v>
      </c>
      <c r="E892" s="897">
        <f t="shared" ref="E892:K892" si="327">ROUND(E890+E891,2)</f>
        <v>0.03</v>
      </c>
      <c r="F892" s="897">
        <f t="shared" si="327"/>
        <v>0.03</v>
      </c>
      <c r="G892" s="897">
        <f t="shared" si="327"/>
        <v>0.03</v>
      </c>
      <c r="H892" s="897">
        <f t="shared" si="327"/>
        <v>0.03</v>
      </c>
      <c r="I892" s="897">
        <f t="shared" si="327"/>
        <v>0.03</v>
      </c>
      <c r="J892" s="897">
        <f t="shared" si="327"/>
        <v>0.03</v>
      </c>
      <c r="K892" s="897">
        <f t="shared" si="327"/>
        <v>0.03</v>
      </c>
    </row>
    <row r="893" spans="2:11" x14ac:dyDescent="0.3">
      <c r="B893" s="884"/>
      <c r="C893" s="885"/>
      <c r="D893" s="886">
        <f>ROUND((D888+D885)/(1+D892*D889),5)</f>
        <v>88274.46127</v>
      </c>
      <c r="E893" s="886">
        <f>ROUND(E888/(1+E892)^E889,4)</f>
        <v>14697.5314</v>
      </c>
      <c r="F893" s="886">
        <f t="shared" ref="F893:K893" si="328">ROUND(F888/(1+F892)^F889,4)</f>
        <v>13099.559300000001</v>
      </c>
      <c r="G893" s="886">
        <f t="shared" si="328"/>
        <v>12742.0046</v>
      </c>
      <c r="H893" s="886">
        <f t="shared" si="328"/>
        <v>12386.6288</v>
      </c>
      <c r="I893" s="886">
        <f t="shared" si="328"/>
        <v>12038.9512</v>
      </c>
      <c r="J893" s="886">
        <f t="shared" si="328"/>
        <v>11697.9877</v>
      </c>
      <c r="K893" s="886">
        <f t="shared" si="328"/>
        <v>11367.0154</v>
      </c>
    </row>
    <row r="894" spans="2:11" x14ac:dyDescent="0.3">
      <c r="B894" s="367"/>
      <c r="C894" s="367"/>
      <c r="D894" s="488"/>
    </row>
    <row r="895" spans="2:11" x14ac:dyDescent="0.3">
      <c r="B895" s="585" t="s">
        <v>650</v>
      </c>
      <c r="C895" s="586">
        <f>D893</f>
        <v>88274.46127</v>
      </c>
      <c r="D895" s="500"/>
    </row>
    <row r="896" spans="2:11" x14ac:dyDescent="0.3">
      <c r="B896" s="585" t="s">
        <v>1331</v>
      </c>
      <c r="C896" s="586">
        <f>+SUMPRODUCT(E889:AG889,E893:AG893)/C895</f>
        <v>2.1115127575415489</v>
      </c>
      <c r="D896" s="365"/>
    </row>
    <row r="899" spans="2:8" ht="16.5" x14ac:dyDescent="0.3">
      <c r="B899" s="879" t="s">
        <v>2976</v>
      </c>
      <c r="C899" s="879">
        <v>9697</v>
      </c>
      <c r="D899" s="691">
        <v>5.0999999999999997E-2</v>
      </c>
      <c r="E899" s="1291" t="s">
        <v>3188</v>
      </c>
    </row>
    <row r="900" spans="2:8" x14ac:dyDescent="0.3">
      <c r="B900" s="364"/>
      <c r="C900" s="364" t="s">
        <v>105</v>
      </c>
      <c r="D900" s="365"/>
    </row>
    <row r="901" spans="2:8" x14ac:dyDescent="0.3">
      <c r="B901" s="883"/>
      <c r="C901" s="883">
        <v>45832</v>
      </c>
      <c r="D901" s="883">
        <v>46197</v>
      </c>
      <c r="E901" s="883">
        <v>46562</v>
      </c>
      <c r="F901" s="883">
        <v>46928</v>
      </c>
      <c r="G901" s="883">
        <v>47293</v>
      </c>
      <c r="H901" s="883">
        <v>47658</v>
      </c>
    </row>
    <row r="902" spans="2:8" x14ac:dyDescent="0.3">
      <c r="B902" s="884" t="s">
        <v>1318</v>
      </c>
      <c r="C902" s="534"/>
      <c r="D902" s="534">
        <f>ROUND(100000/5,2)</f>
        <v>20000</v>
      </c>
      <c r="E902" s="534">
        <f t="shared" ref="E902:H902" si="329">ROUND(100000/5,2)</f>
        <v>20000</v>
      </c>
      <c r="F902" s="534">
        <f t="shared" si="329"/>
        <v>20000</v>
      </c>
      <c r="G902" s="534">
        <f t="shared" si="329"/>
        <v>20000</v>
      </c>
      <c r="H902" s="534">
        <f t="shared" si="329"/>
        <v>20000</v>
      </c>
    </row>
    <row r="903" spans="2:8" x14ac:dyDescent="0.3">
      <c r="B903" s="884" t="s">
        <v>1320</v>
      </c>
      <c r="C903" s="887">
        <v>100000</v>
      </c>
      <c r="D903" s="773">
        <f>ROUND(C903-D902,2)</f>
        <v>80000</v>
      </c>
      <c r="E903" s="773">
        <f t="shared" ref="E903:H903" si="330">ROUND(D903-E902,2)</f>
        <v>60000</v>
      </c>
      <c r="F903" s="773">
        <f t="shared" si="330"/>
        <v>40000</v>
      </c>
      <c r="G903" s="773">
        <f t="shared" si="330"/>
        <v>20000</v>
      </c>
      <c r="H903" s="773">
        <f t="shared" si="330"/>
        <v>0</v>
      </c>
    </row>
    <row r="904" spans="2:8" x14ac:dyDescent="0.3">
      <c r="B904" s="884" t="s">
        <v>1321</v>
      </c>
      <c r="C904" s="890"/>
      <c r="D904" s="954">
        <f>ROUND(C903*$D$899*(D901-C901)/360,2)</f>
        <v>5170.83</v>
      </c>
      <c r="E904" s="954">
        <f t="shared" ref="E904:H904" si="331">ROUND(D903*$D$899*(E901-D901)/360,2)</f>
        <v>4136.67</v>
      </c>
      <c r="F904" s="954">
        <f t="shared" si="331"/>
        <v>3111</v>
      </c>
      <c r="G904" s="954">
        <f t="shared" si="331"/>
        <v>2068.33</v>
      </c>
      <c r="H904" s="954">
        <f t="shared" si="331"/>
        <v>1034.17</v>
      </c>
    </row>
    <row r="905" spans="2:8" x14ac:dyDescent="0.3">
      <c r="B905" s="884" t="s">
        <v>1322</v>
      </c>
      <c r="C905" s="885"/>
      <c r="D905" s="488">
        <f>ROUND(D904+D902,4)</f>
        <v>25170.83</v>
      </c>
      <c r="E905" s="488">
        <f t="shared" ref="E905:H905" si="332">ROUND(E904+E902,4)</f>
        <v>24136.67</v>
      </c>
      <c r="F905" s="488">
        <f t="shared" si="332"/>
        <v>23111</v>
      </c>
      <c r="G905" s="488">
        <f t="shared" si="332"/>
        <v>22068.33</v>
      </c>
      <c r="H905" s="488">
        <f t="shared" si="332"/>
        <v>21034.17</v>
      </c>
    </row>
    <row r="906" spans="2:8" x14ac:dyDescent="0.3">
      <c r="B906" s="884" t="s">
        <v>1323</v>
      </c>
      <c r="C906" s="887"/>
      <c r="D906" s="488">
        <f>+IF(D901&gt;$C$1,D905,0)</f>
        <v>25170.83</v>
      </c>
      <c r="E906" s="488">
        <f t="shared" ref="E906:H906" si="333">+IF(E901&gt;$C$1,E905,0)</f>
        <v>24136.67</v>
      </c>
      <c r="F906" s="488">
        <f t="shared" si="333"/>
        <v>23111</v>
      </c>
      <c r="G906" s="488">
        <f t="shared" si="333"/>
        <v>22068.33</v>
      </c>
      <c r="H906" s="488">
        <f t="shared" si="333"/>
        <v>21034.17</v>
      </c>
    </row>
    <row r="907" spans="2:8" x14ac:dyDescent="0.3">
      <c r="B907" s="884" t="s">
        <v>1324</v>
      </c>
      <c r="C907" s="1247"/>
      <c r="D907" s="852">
        <f>ROUND((D901-$C$1)/360,10)</f>
        <v>0.25</v>
      </c>
      <c r="E907" s="852">
        <f t="shared" ref="E907:H907" si="334">ROUND((E901-$C$1)/360,10)</f>
        <v>1.2638888889</v>
      </c>
      <c r="F907" s="852">
        <f t="shared" si="334"/>
        <v>2.2805555555999999</v>
      </c>
      <c r="G907" s="852">
        <f t="shared" si="334"/>
        <v>3.2944444443999998</v>
      </c>
      <c r="H907" s="852">
        <f t="shared" si="334"/>
        <v>4.3083333333000002</v>
      </c>
    </row>
    <row r="908" spans="2:8" x14ac:dyDescent="0.3">
      <c r="B908" s="884" t="s">
        <v>1325</v>
      </c>
      <c r="C908" s="885"/>
      <c r="D908" s="439" cm="1">
        <f t="array" ref="D908">ROUND(IF((D901-$C$1)&lt;=366,interpoler(_mat1,taux1,(D901-$C$1)),interpoler(_mat2,taux2,D907*366)),5)</f>
        <v>2.298E-2</v>
      </c>
      <c r="E908" s="439" cm="1">
        <f t="array" ref="E908">ROUND(IF((E901-$C$1)&lt;=366,interpoler(_mat1,taux1,(E901-$C$1)),interpoler(_mat2,taux2,E907*366)),5)</f>
        <v>2.5559999999999999E-2</v>
      </c>
      <c r="F908" s="439" cm="1">
        <f t="array" ref="F908">ROUND(IF((F901-$C$1)&lt;=366,interpoler(_mat1,taux1,(F901-$C$1)),interpoler(_mat2,taux2,F907*366)),5)</f>
        <v>2.7109999999999999E-2</v>
      </c>
      <c r="G908" s="439" cm="1">
        <f t="array" ref="G908">ROUND(IF((G901-$C$1)&lt;=366,interpoler(_mat1,taux1,(G901-$C$1)),interpoler(_mat2,taux2,G907*366)),5)</f>
        <v>2.8660000000000001E-2</v>
      </c>
      <c r="H908" s="439" cm="1">
        <f t="array" ref="H908">ROUND(IF((H901-$C$1)&lt;=366,interpoler(_mat1,taux1,(H901-$C$1)),interpoler(_mat2,taux2,H907*366)),5)</f>
        <v>3.006E-2</v>
      </c>
    </row>
    <row r="909" spans="2:8" x14ac:dyDescent="0.3">
      <c r="B909" s="884" t="s">
        <v>1328</v>
      </c>
      <c r="C909" s="885"/>
      <c r="D909" s="429">
        <v>2.7959999999999999E-2</v>
      </c>
      <c r="E909" s="429">
        <v>2.7959999999999999E-2</v>
      </c>
      <c r="F909" s="429">
        <v>2.7959999999999999E-2</v>
      </c>
      <c r="G909" s="429">
        <v>2.7959999999999999E-2</v>
      </c>
      <c r="H909" s="429">
        <v>2.7959999999999999E-2</v>
      </c>
    </row>
    <row r="910" spans="2:8" x14ac:dyDescent="0.3">
      <c r="B910" s="884" t="s">
        <v>1329</v>
      </c>
      <c r="C910" s="885"/>
      <c r="D910" s="826">
        <f>ROUND((D908+D909),5)</f>
        <v>5.0939999999999999E-2</v>
      </c>
      <c r="E910" s="826">
        <f t="shared" ref="E910:H910" si="335">ROUND((E908+E909),5)</f>
        <v>5.3519999999999998E-2</v>
      </c>
      <c r="F910" s="826">
        <f t="shared" si="335"/>
        <v>5.5070000000000001E-2</v>
      </c>
      <c r="G910" s="826">
        <f t="shared" si="335"/>
        <v>5.6619999999999997E-2</v>
      </c>
      <c r="H910" s="826">
        <f t="shared" si="335"/>
        <v>5.8020000000000002E-2</v>
      </c>
    </row>
    <row r="911" spans="2:8" x14ac:dyDescent="0.3">
      <c r="B911" s="884"/>
      <c r="C911" s="885"/>
      <c r="D911" s="624">
        <f>ROUND((D906+D903)/(1+D910*D907),4)</f>
        <v>103848.3216</v>
      </c>
      <c r="E911" s="624">
        <f t="shared" ref="E911:H911" si="336">ROUND((E906+E903)/(1+E910*E907),4)</f>
        <v>78805.971399999995</v>
      </c>
      <c r="F911" s="624">
        <f t="shared" si="336"/>
        <v>56069.251799999998</v>
      </c>
      <c r="G911" s="624">
        <f t="shared" si="336"/>
        <v>35454.879999999997</v>
      </c>
      <c r="H911" s="624">
        <f t="shared" si="336"/>
        <v>16827.746599999999</v>
      </c>
    </row>
    <row r="912" spans="2:8" x14ac:dyDescent="0.3">
      <c r="B912" s="367"/>
      <c r="C912" s="367"/>
      <c r="D912" s="488"/>
    </row>
    <row r="913" spans="2:10" x14ac:dyDescent="0.3">
      <c r="B913" s="585" t="s">
        <v>650</v>
      </c>
      <c r="C913" s="586">
        <f>D911</f>
        <v>103848.3216</v>
      </c>
      <c r="D913" s="500"/>
    </row>
    <row r="914" spans="2:10" x14ac:dyDescent="0.3">
      <c r="B914" s="585" t="s">
        <v>1331</v>
      </c>
      <c r="C914" s="586">
        <f>+SUMPRODUCT(E907:AG907,E911:AG911)/C913</f>
        <v>4.0133023138453003</v>
      </c>
      <c r="D914" s="365"/>
    </row>
    <row r="916" spans="2:10" x14ac:dyDescent="0.3">
      <c r="D916" s="1301"/>
    </row>
    <row r="919" spans="2:10" ht="16.5" x14ac:dyDescent="0.3">
      <c r="B919" s="1231" t="s">
        <v>2976</v>
      </c>
      <c r="C919" s="1231">
        <v>9708</v>
      </c>
      <c r="D919" s="691">
        <v>2.7300000000000001E-2</v>
      </c>
      <c r="E919" s="1291" t="s">
        <v>3199</v>
      </c>
    </row>
    <row r="920" spans="2:10" x14ac:dyDescent="0.3">
      <c r="B920" s="364"/>
      <c r="C920" s="364" t="s">
        <v>105</v>
      </c>
      <c r="D920" s="365"/>
    </row>
    <row r="921" spans="2:10" x14ac:dyDescent="0.3">
      <c r="B921" s="883"/>
      <c r="C921" s="883">
        <v>45838</v>
      </c>
      <c r="D921" s="883">
        <v>46203</v>
      </c>
      <c r="E921" s="883">
        <v>46568</v>
      </c>
      <c r="F921" s="883">
        <v>46934</v>
      </c>
      <c r="G921" s="883">
        <v>47299</v>
      </c>
      <c r="H921" s="883">
        <v>47664</v>
      </c>
      <c r="I921" s="883">
        <v>48029</v>
      </c>
      <c r="J921" s="883">
        <v>48395</v>
      </c>
    </row>
    <row r="922" spans="2:10" x14ac:dyDescent="0.3">
      <c r="B922" s="884" t="s">
        <v>1318</v>
      </c>
      <c r="C922" s="534"/>
      <c r="D922" s="534">
        <v>0</v>
      </c>
      <c r="E922" s="534">
        <v>0</v>
      </c>
      <c r="F922" s="534">
        <f>ROUND($C$923/5,2)</f>
        <v>20000</v>
      </c>
      <c r="G922" s="534">
        <f t="shared" ref="G922:J922" si="337">ROUND($C$923/5,2)</f>
        <v>20000</v>
      </c>
      <c r="H922" s="534">
        <f t="shared" si="337"/>
        <v>20000</v>
      </c>
      <c r="I922" s="534">
        <f t="shared" si="337"/>
        <v>20000</v>
      </c>
      <c r="J922" s="534">
        <f t="shared" si="337"/>
        <v>20000</v>
      </c>
    </row>
    <row r="923" spans="2:10" x14ac:dyDescent="0.3">
      <c r="B923" s="884" t="s">
        <v>1320</v>
      </c>
      <c r="C923" s="887">
        <v>100000</v>
      </c>
      <c r="D923" s="773">
        <f>ROUND(C923-D922,2)</f>
        <v>100000</v>
      </c>
      <c r="E923" s="773">
        <f t="shared" ref="E923" si="338">ROUND(D923-E922,2)</f>
        <v>100000</v>
      </c>
      <c r="F923" s="773">
        <f t="shared" ref="F923" si="339">ROUND(E923-F922,2)</f>
        <v>80000</v>
      </c>
      <c r="G923" s="773">
        <f t="shared" ref="G923" si="340">ROUND(F923-G922,2)</f>
        <v>60000</v>
      </c>
      <c r="H923" s="773">
        <f t="shared" ref="H923" si="341">ROUND(G923-H922,2)</f>
        <v>40000</v>
      </c>
      <c r="I923" s="773">
        <f t="shared" ref="I923" si="342">ROUND(H923-I922,2)</f>
        <v>20000</v>
      </c>
      <c r="J923" s="773">
        <f t="shared" ref="J923" si="343">ROUND(I923-J922,2)</f>
        <v>0</v>
      </c>
    </row>
    <row r="924" spans="2:10" x14ac:dyDescent="0.3">
      <c r="B924" s="884" t="s">
        <v>1321</v>
      </c>
      <c r="C924" s="890"/>
      <c r="D924" s="890">
        <f>C923*D919*(D921-C921)/360</f>
        <v>2767.9166666666665</v>
      </c>
      <c r="E924" s="954">
        <f t="shared" ref="E924:J924" si="344">ROUND(D923*$D$919*(E921-D921)/360,2)</f>
        <v>2767.92</v>
      </c>
      <c r="F924" s="954">
        <f t="shared" si="344"/>
        <v>2775.5</v>
      </c>
      <c r="G924" s="954">
        <f t="shared" si="344"/>
        <v>2214.33</v>
      </c>
      <c r="H924" s="954">
        <f t="shared" si="344"/>
        <v>1660.75</v>
      </c>
      <c r="I924" s="954">
        <f t="shared" si="344"/>
        <v>1107.17</v>
      </c>
      <c r="J924" s="954">
        <f t="shared" si="344"/>
        <v>555.1</v>
      </c>
    </row>
    <row r="925" spans="2:10" x14ac:dyDescent="0.3">
      <c r="B925" s="884" t="s">
        <v>1322</v>
      </c>
      <c r="C925" s="885"/>
      <c r="D925" s="488">
        <f>ROUND(D924+D922,4)</f>
        <v>2767.9167000000002</v>
      </c>
      <c r="E925" s="488">
        <f t="shared" ref="E925:G925" si="345">ROUND(E924+E922,4)</f>
        <v>2767.92</v>
      </c>
      <c r="F925" s="488">
        <f t="shared" si="345"/>
        <v>22775.5</v>
      </c>
      <c r="G925" s="488">
        <f t="shared" si="345"/>
        <v>22214.33</v>
      </c>
      <c r="H925" s="488">
        <f t="shared" ref="H925:J925" si="346">ROUND(H924+H922,4)</f>
        <v>21660.75</v>
      </c>
      <c r="I925" s="488">
        <f t="shared" si="346"/>
        <v>21107.17</v>
      </c>
      <c r="J925" s="488">
        <f t="shared" si="346"/>
        <v>20555.099999999999</v>
      </c>
    </row>
    <row r="926" spans="2:10" x14ac:dyDescent="0.3">
      <c r="B926" s="884" t="s">
        <v>1323</v>
      </c>
      <c r="C926" s="887"/>
      <c r="D926" s="488">
        <f>+IF(D921&gt;$C$1,D925,0)</f>
        <v>2767.9167000000002</v>
      </c>
      <c r="E926" s="488">
        <f t="shared" ref="E926:G926" si="347">+IF(E921&gt;$C$1,E925,0)</f>
        <v>2767.92</v>
      </c>
      <c r="F926" s="488">
        <f t="shared" si="347"/>
        <v>22775.5</v>
      </c>
      <c r="G926" s="488">
        <f t="shared" si="347"/>
        <v>22214.33</v>
      </c>
      <c r="H926" s="488">
        <f t="shared" ref="H926:J926" si="348">+IF(H921&gt;$C$1,H925,0)</f>
        <v>21660.75</v>
      </c>
      <c r="I926" s="488">
        <f t="shared" si="348"/>
        <v>21107.17</v>
      </c>
      <c r="J926" s="488">
        <f t="shared" si="348"/>
        <v>20555.099999999999</v>
      </c>
    </row>
    <row r="927" spans="2:10" x14ac:dyDescent="0.3">
      <c r="B927" s="884" t="s">
        <v>1324</v>
      </c>
      <c r="C927" s="1247"/>
      <c r="D927" s="1308">
        <f>ROUND((D921-DateVariable)/(D921-C921),10)</f>
        <v>0.26301369860000001</v>
      </c>
      <c r="E927" s="852">
        <f t="shared" ref="E927:J927" si="349">ROUND((E921-$C$1)/360,1)</f>
        <v>1.3</v>
      </c>
      <c r="F927" s="852">
        <f t="shared" si="349"/>
        <v>2.2999999999999998</v>
      </c>
      <c r="G927" s="852">
        <f t="shared" si="349"/>
        <v>3.3</v>
      </c>
      <c r="H927" s="852">
        <f t="shared" si="349"/>
        <v>4.3</v>
      </c>
      <c r="I927" s="852">
        <f t="shared" si="349"/>
        <v>5.3</v>
      </c>
      <c r="J927" s="852">
        <f t="shared" si="349"/>
        <v>6.4</v>
      </c>
    </row>
    <row r="928" spans="2:10" x14ac:dyDescent="0.3">
      <c r="B928" s="884" t="s">
        <v>3097</v>
      </c>
      <c r="C928" s="885"/>
      <c r="D928" s="439" cm="1">
        <f t="array" ref="D928">ROUND(IF(D927&lt;1,interpoler(_mat1,taux1,D927*365),interpoler(_mat2,taux2,D927*365)),5)</f>
        <v>2.3029999999999998E-2</v>
      </c>
      <c r="E928" s="439" cm="1">
        <f t="array" ref="E928">ROUND(IF((E921-$C$1)&lt;=366,interpoler(_mat1,taux1,(E921-$C$1)),interpoler(_mat2,taux2,E927*366)),5)</f>
        <v>2.5610000000000001E-2</v>
      </c>
      <c r="F928" s="439" cm="1">
        <f t="array" ref="F928">ROUND(IF((F921-$C$1)&lt;=366,interpoler(_mat1,taux1,(F921-$C$1)),interpoler(_mat2,taux2,F927*366)),5)</f>
        <v>2.7140000000000001E-2</v>
      </c>
      <c r="G928" s="439" cm="1">
        <f t="array" ref="G928">ROUND(IF((G921-$C$1)&lt;=366,interpoler(_mat1,taux1,(G921-$C$1)),interpoler(_mat2,taux2,G927*366)),5)</f>
        <v>2.8660000000000001E-2</v>
      </c>
      <c r="H928" s="439" cm="1">
        <f t="array" ref="H928">ROUND(IF((H921-$C$1)&lt;=366,interpoler(_mat1,taux1,(H921-$C$1)),interpoler(_mat2,taux2,H927*366)),5)</f>
        <v>3.005E-2</v>
      </c>
      <c r="I928" s="439" cm="1">
        <f t="array" ref="I928">ROUND(IF((I921-$C$1)&lt;=366,interpoler(_mat1,taux1,(I921-$C$1)),interpoler(_mat2,taux2,I927*366)),5)</f>
        <v>3.092E-2</v>
      </c>
      <c r="J928" s="439" cm="1">
        <f t="array" ref="J928">ROUND(IF((J921-$C$1)&lt;=366,interpoler(_mat1,taux1,(J921-$C$1)),interpoler(_mat2,taux2,J927*366)),5)</f>
        <v>3.1449999999999999E-2</v>
      </c>
    </row>
    <row r="929" spans="2:18" x14ac:dyDescent="0.3">
      <c r="B929" s="884" t="s">
        <v>1328</v>
      </c>
      <c r="C929" s="885"/>
      <c r="D929" s="429">
        <v>4.4999999999999997E-3</v>
      </c>
      <c r="E929" s="429">
        <v>4.4999999999999997E-3</v>
      </c>
      <c r="F929" s="429">
        <v>4.4999999999999997E-3</v>
      </c>
      <c r="G929" s="429">
        <v>4.4999999999999997E-3</v>
      </c>
      <c r="H929" s="429">
        <v>4.4999999999999997E-3</v>
      </c>
      <c r="I929" s="429">
        <v>4.4999999999999997E-3</v>
      </c>
      <c r="J929" s="429">
        <v>4.4999999999999997E-3</v>
      </c>
    </row>
    <row r="930" spans="2:18" x14ac:dyDescent="0.3">
      <c r="B930" s="884" t="s">
        <v>1329</v>
      </c>
      <c r="C930" s="885"/>
      <c r="D930" s="826">
        <f>ROUND((D928+D929),5)</f>
        <v>2.7529999999999999E-2</v>
      </c>
      <c r="E930" s="826">
        <f t="shared" ref="E930:G930" si="350">ROUND((E928+E929),5)</f>
        <v>3.0110000000000001E-2</v>
      </c>
      <c r="F930" s="826">
        <f t="shared" si="350"/>
        <v>3.1640000000000001E-2</v>
      </c>
      <c r="G930" s="826">
        <f t="shared" si="350"/>
        <v>3.3160000000000002E-2</v>
      </c>
      <c r="H930" s="826">
        <f t="shared" ref="H930:J930" si="351">ROUND((H928+H929),5)</f>
        <v>3.4549999999999997E-2</v>
      </c>
      <c r="I930" s="826">
        <f t="shared" si="351"/>
        <v>3.542E-2</v>
      </c>
      <c r="J930" s="826">
        <f t="shared" si="351"/>
        <v>3.5950000000000003E-2</v>
      </c>
    </row>
    <row r="931" spans="2:18" x14ac:dyDescent="0.3">
      <c r="B931" s="884"/>
      <c r="C931" s="885"/>
      <c r="D931" s="1310">
        <f>ROUND((D926+D923)/(1+(D928+D929)*((D921-DateVariable)/360)),5)</f>
        <v>102018.9615</v>
      </c>
      <c r="E931" s="624">
        <f t="shared" ref="E931:G931" si="352">ROUND((E926+E923)/(1+E930*E927),4)</f>
        <v>98896.802500000005</v>
      </c>
      <c r="F931" s="624">
        <f t="shared" si="352"/>
        <v>95803.675000000003</v>
      </c>
      <c r="G931" s="624">
        <f t="shared" si="352"/>
        <v>74105.151500000007</v>
      </c>
      <c r="H931" s="624">
        <f t="shared" ref="H931:J931" si="353">ROUND((H926+H923)/(1+H930*H927),4)</f>
        <v>53685.033100000001</v>
      </c>
      <c r="I931" s="624">
        <f t="shared" si="353"/>
        <v>34609.977400000003</v>
      </c>
      <c r="J931" s="624">
        <f t="shared" si="353"/>
        <v>16710.3766</v>
      </c>
    </row>
    <row r="932" spans="2:18" x14ac:dyDescent="0.3">
      <c r="B932" s="367"/>
      <c r="C932" s="367"/>
      <c r="D932" s="488"/>
    </row>
    <row r="933" spans="2:18" x14ac:dyDescent="0.3">
      <c r="B933" s="585" t="s">
        <v>650</v>
      </c>
      <c r="C933" s="586">
        <f>D931</f>
        <v>102018.9615</v>
      </c>
      <c r="D933" s="500"/>
    </row>
    <row r="934" spans="2:18" x14ac:dyDescent="0.3">
      <c r="B934" s="585" t="s">
        <v>1331</v>
      </c>
      <c r="C934" s="586">
        <f>+SUMPRODUCT(E927:AG927,E931:AG931)/C933</f>
        <v>10.926265197181017</v>
      </c>
      <c r="D934" s="365"/>
    </row>
    <row r="936" spans="2:18" x14ac:dyDescent="0.3">
      <c r="D936" s="1301"/>
    </row>
    <row r="938" spans="2:18" ht="16.5" x14ac:dyDescent="0.3">
      <c r="B938" s="879" t="s">
        <v>2976</v>
      </c>
      <c r="C938" s="879">
        <v>9703</v>
      </c>
      <c r="D938" s="691">
        <v>3.49E-2</v>
      </c>
      <c r="E938" s="1291" t="s">
        <v>3188</v>
      </c>
    </row>
    <row r="939" spans="2:18" x14ac:dyDescent="0.3">
      <c r="B939" s="1303"/>
      <c r="C939" s="1303" t="s">
        <v>105</v>
      </c>
      <c r="D939" s="1304"/>
    </row>
    <row r="940" spans="2:18" x14ac:dyDescent="0.3">
      <c r="B940" s="883"/>
      <c r="C940" s="883">
        <v>45838</v>
      </c>
      <c r="D940" s="883">
        <v>46203</v>
      </c>
      <c r="E940" s="883">
        <v>46568</v>
      </c>
      <c r="F940" s="883">
        <v>46934</v>
      </c>
      <c r="G940" s="883">
        <v>47299</v>
      </c>
      <c r="H940" s="883">
        <v>47664</v>
      </c>
      <c r="I940" s="883">
        <v>48029</v>
      </c>
      <c r="J940" s="883">
        <v>48395</v>
      </c>
      <c r="K940" s="883">
        <v>48760</v>
      </c>
      <c r="L940" s="883">
        <v>49125</v>
      </c>
      <c r="M940" s="883">
        <v>49490</v>
      </c>
      <c r="N940" s="883">
        <v>49856</v>
      </c>
      <c r="O940" s="883">
        <v>50221</v>
      </c>
      <c r="P940" s="883">
        <v>50586</v>
      </c>
      <c r="Q940" s="883">
        <v>50951</v>
      </c>
      <c r="R940" s="883">
        <v>51317</v>
      </c>
    </row>
    <row r="941" spans="2:18" x14ac:dyDescent="0.3">
      <c r="B941" s="884" t="s">
        <v>1318</v>
      </c>
      <c r="C941" s="885"/>
      <c r="D941" s="886"/>
      <c r="E941" s="886"/>
      <c r="F941" s="886"/>
      <c r="G941" s="886"/>
      <c r="H941" s="886"/>
      <c r="I941" s="886">
        <f>$C$942/10</f>
        <v>10000</v>
      </c>
      <c r="J941" s="886">
        <f t="shared" ref="J941:R941" si="354">$C$942/10</f>
        <v>10000</v>
      </c>
      <c r="K941" s="886">
        <f t="shared" si="354"/>
        <v>10000</v>
      </c>
      <c r="L941" s="886">
        <f t="shared" si="354"/>
        <v>10000</v>
      </c>
      <c r="M941" s="886">
        <f t="shared" si="354"/>
        <v>10000</v>
      </c>
      <c r="N941" s="886">
        <f t="shared" si="354"/>
        <v>10000</v>
      </c>
      <c r="O941" s="886">
        <f t="shared" si="354"/>
        <v>10000</v>
      </c>
      <c r="P941" s="886">
        <f t="shared" si="354"/>
        <v>10000</v>
      </c>
      <c r="Q941" s="886">
        <f t="shared" si="354"/>
        <v>10000</v>
      </c>
      <c r="R941" s="886">
        <f t="shared" si="354"/>
        <v>10000</v>
      </c>
    </row>
    <row r="942" spans="2:18" x14ac:dyDescent="0.3">
      <c r="B942" s="884" t="s">
        <v>1320</v>
      </c>
      <c r="C942" s="887">
        <v>100000</v>
      </c>
      <c r="D942" s="888">
        <f>+C942-D941</f>
        <v>100000</v>
      </c>
      <c r="E942" s="888">
        <f>+D942-E941</f>
        <v>100000</v>
      </c>
      <c r="F942" s="888">
        <f t="shared" ref="F942" si="355">+E942-F941</f>
        <v>100000</v>
      </c>
      <c r="G942" s="888">
        <f t="shared" ref="G942" si="356">+F942-G941</f>
        <v>100000</v>
      </c>
      <c r="H942" s="888">
        <f t="shared" ref="H942:R942" si="357">+G942-H941</f>
        <v>100000</v>
      </c>
      <c r="I942" s="888">
        <f t="shared" si="357"/>
        <v>90000</v>
      </c>
      <c r="J942" s="888">
        <f t="shared" si="357"/>
        <v>80000</v>
      </c>
      <c r="K942" s="888">
        <f t="shared" si="357"/>
        <v>70000</v>
      </c>
      <c r="L942" s="888">
        <f t="shared" si="357"/>
        <v>60000</v>
      </c>
      <c r="M942" s="888">
        <f t="shared" si="357"/>
        <v>50000</v>
      </c>
      <c r="N942" s="888">
        <f t="shared" si="357"/>
        <v>40000</v>
      </c>
      <c r="O942" s="888">
        <f t="shared" si="357"/>
        <v>30000</v>
      </c>
      <c r="P942" s="888">
        <f t="shared" si="357"/>
        <v>20000</v>
      </c>
      <c r="Q942" s="888">
        <f t="shared" si="357"/>
        <v>10000</v>
      </c>
      <c r="R942" s="888">
        <f t="shared" si="357"/>
        <v>0</v>
      </c>
    </row>
    <row r="943" spans="2:18" x14ac:dyDescent="0.3">
      <c r="B943" s="884" t="s">
        <v>1321</v>
      </c>
      <c r="C943" s="890"/>
      <c r="D943" s="890">
        <f>C942*$D$938</f>
        <v>3490</v>
      </c>
      <c r="E943" s="890">
        <f t="shared" ref="E943:R943" si="358">D942*$D$938</f>
        <v>3490</v>
      </c>
      <c r="F943" s="890">
        <f t="shared" si="358"/>
        <v>3490</v>
      </c>
      <c r="G943" s="890">
        <f t="shared" si="358"/>
        <v>3490</v>
      </c>
      <c r="H943" s="890">
        <f t="shared" si="358"/>
        <v>3490</v>
      </c>
      <c r="I943" s="890">
        <f t="shared" si="358"/>
        <v>3490</v>
      </c>
      <c r="J943" s="890">
        <f t="shared" si="358"/>
        <v>3141</v>
      </c>
      <c r="K943" s="890">
        <f t="shared" si="358"/>
        <v>2792</v>
      </c>
      <c r="L943" s="890">
        <f t="shared" si="358"/>
        <v>2443</v>
      </c>
      <c r="M943" s="890">
        <f t="shared" si="358"/>
        <v>2094</v>
      </c>
      <c r="N943" s="890">
        <f t="shared" si="358"/>
        <v>1745</v>
      </c>
      <c r="O943" s="890">
        <f t="shared" si="358"/>
        <v>1396</v>
      </c>
      <c r="P943" s="890">
        <f t="shared" si="358"/>
        <v>1047</v>
      </c>
      <c r="Q943" s="890">
        <f t="shared" si="358"/>
        <v>698</v>
      </c>
      <c r="R943" s="890">
        <f t="shared" si="358"/>
        <v>349</v>
      </c>
    </row>
    <row r="944" spans="2:18" x14ac:dyDescent="0.3">
      <c r="B944" s="884" t="s">
        <v>1322</v>
      </c>
      <c r="C944" s="885"/>
      <c r="D944" s="888">
        <f>+D943+D941</f>
        <v>3490</v>
      </c>
      <c r="E944" s="888">
        <f>+E943+E941</f>
        <v>3490</v>
      </c>
      <c r="F944" s="888">
        <f t="shared" ref="F944:H944" si="359">+F943+F941</f>
        <v>3490</v>
      </c>
      <c r="G944" s="888">
        <f t="shared" si="359"/>
        <v>3490</v>
      </c>
      <c r="H944" s="888">
        <f t="shared" si="359"/>
        <v>3490</v>
      </c>
      <c r="I944" s="888">
        <f t="shared" ref="I944:R944" si="360">+I943+I941</f>
        <v>13490</v>
      </c>
      <c r="J944" s="888">
        <f t="shared" si="360"/>
        <v>13141</v>
      </c>
      <c r="K944" s="888">
        <f t="shared" si="360"/>
        <v>12792</v>
      </c>
      <c r="L944" s="888">
        <f t="shared" si="360"/>
        <v>12443</v>
      </c>
      <c r="M944" s="888">
        <f t="shared" si="360"/>
        <v>12094</v>
      </c>
      <c r="N944" s="888">
        <f t="shared" si="360"/>
        <v>11745</v>
      </c>
      <c r="O944" s="888">
        <f t="shared" si="360"/>
        <v>11396</v>
      </c>
      <c r="P944" s="888">
        <f t="shared" si="360"/>
        <v>11047</v>
      </c>
      <c r="Q944" s="888">
        <f t="shared" si="360"/>
        <v>10698</v>
      </c>
      <c r="R944" s="888">
        <f t="shared" si="360"/>
        <v>10349</v>
      </c>
    </row>
    <row r="945" spans="2:18" x14ac:dyDescent="0.3">
      <c r="B945" s="884" t="s">
        <v>1323</v>
      </c>
      <c r="C945" s="887"/>
      <c r="D945" s="888">
        <f>+IF(D940&gt;$C$1,D944,0)</f>
        <v>3490</v>
      </c>
      <c r="E945" s="888">
        <f>+IF(E940&gt;$C$1,E944,0)</f>
        <v>3490</v>
      </c>
      <c r="F945" s="888">
        <f t="shared" ref="F945:H945" si="361">+IF(F940&gt;$C$1,F944,0)</f>
        <v>3490</v>
      </c>
      <c r="G945" s="888">
        <f t="shared" si="361"/>
        <v>3490</v>
      </c>
      <c r="H945" s="888">
        <f t="shared" si="361"/>
        <v>3490</v>
      </c>
      <c r="I945" s="888">
        <f t="shared" ref="I945:R945" si="362">+IF(I940&gt;$C$1,I944,0)</f>
        <v>13490</v>
      </c>
      <c r="J945" s="888">
        <f t="shared" si="362"/>
        <v>13141</v>
      </c>
      <c r="K945" s="888">
        <f t="shared" si="362"/>
        <v>12792</v>
      </c>
      <c r="L945" s="888">
        <f t="shared" si="362"/>
        <v>12443</v>
      </c>
      <c r="M945" s="888">
        <f t="shared" si="362"/>
        <v>12094</v>
      </c>
      <c r="N945" s="888">
        <f t="shared" si="362"/>
        <v>11745</v>
      </c>
      <c r="O945" s="888">
        <f t="shared" si="362"/>
        <v>11396</v>
      </c>
      <c r="P945" s="888">
        <f t="shared" si="362"/>
        <v>11047</v>
      </c>
      <c r="Q945" s="888">
        <f t="shared" si="362"/>
        <v>10698</v>
      </c>
      <c r="R945" s="888">
        <f t="shared" si="362"/>
        <v>10349</v>
      </c>
    </row>
    <row r="946" spans="2:18" x14ac:dyDescent="0.3">
      <c r="B946" s="884" t="s">
        <v>1324</v>
      </c>
      <c r="C946" s="1247"/>
      <c r="D946" s="1247">
        <f>ROUND(IF(C945=0,(D940-$C$1)/(D940-C940),C946+1),10)</f>
        <v>0.26301369860000001</v>
      </c>
      <c r="E946" s="1247">
        <f t="shared" ref="E946" si="363">IF(D945=0,(E940-$C$1)/(E940-D940),D946+1)</f>
        <v>1.2630136986</v>
      </c>
      <c r="F946" s="1247">
        <f t="shared" ref="F946" si="364">IF(E945=0,(F940-$C$1)/(F940-E940),E946+1)</f>
        <v>2.2630136986</v>
      </c>
      <c r="G946" s="1247">
        <f t="shared" ref="G946" si="365">IF(F945=0,(G940-$C$1)/(G940-F940),F946+1)</f>
        <v>3.2630136986</v>
      </c>
      <c r="H946" s="1247">
        <f t="shared" ref="H946:R946" si="366">IF(G945=0,(H940-$C$1)/(H940-G940),G946+1)</f>
        <v>4.2630136986</v>
      </c>
      <c r="I946" s="1247">
        <f t="shared" si="366"/>
        <v>5.2630136986</v>
      </c>
      <c r="J946" s="1247">
        <f t="shared" si="366"/>
        <v>6.2630136986</v>
      </c>
      <c r="K946" s="1247">
        <f t="shared" si="366"/>
        <v>7.2630136986</v>
      </c>
      <c r="L946" s="1247">
        <f t="shared" si="366"/>
        <v>8.2630136986</v>
      </c>
      <c r="M946" s="1247">
        <f t="shared" si="366"/>
        <v>9.2630136986</v>
      </c>
      <c r="N946" s="1247">
        <f t="shared" si="366"/>
        <v>10.2630136986</v>
      </c>
      <c r="O946" s="1247">
        <f t="shared" si="366"/>
        <v>11.2630136986</v>
      </c>
      <c r="P946" s="1247">
        <f t="shared" si="366"/>
        <v>12.2630136986</v>
      </c>
      <c r="Q946" s="1247">
        <f t="shared" si="366"/>
        <v>13.2630136986</v>
      </c>
      <c r="R946" s="1247">
        <f t="shared" si="366"/>
        <v>14.2630136986</v>
      </c>
    </row>
    <row r="947" spans="2:18" x14ac:dyDescent="0.3">
      <c r="B947" s="884" t="s">
        <v>1325</v>
      </c>
      <c r="C947" s="885"/>
      <c r="D947" s="1079" cm="1">
        <f t="array" ref="D947">interpoler(mat_zc,Taux_ZC,D946)</f>
        <v>2.3551364755965049E-2</v>
      </c>
      <c r="E947" s="1079" cm="1">
        <f t="array" ref="E947">interpoler(mat_zc,Taux_ZC,E946)</f>
        <v>2.555322117529548E-2</v>
      </c>
      <c r="F947" s="1079" cm="1">
        <f t="array" ref="F947">interpoler(mat_zc,Taux_ZC,F946)</f>
        <v>2.7111171567350403E-2</v>
      </c>
      <c r="G947" s="1079" cm="1">
        <f t="array" ref="G947">interpoler(mat_zc,Taux_ZC,G946)</f>
        <v>2.867131795913062E-2</v>
      </c>
      <c r="H947" s="1079" cm="1">
        <f t="array" ref="H947">interpoler(mat_zc,Taux_ZC,H946)</f>
        <v>3.0115326152022334E-2</v>
      </c>
      <c r="I947" s="1079" cm="1">
        <f t="array" ref="I947">interpoler(mat_zc,Taux_ZC,I946)</f>
        <v>3.1047021005463658E-2</v>
      </c>
      <c r="J947" s="1079" cm="1">
        <f t="array" ref="J947">interpoler(mat_zc,Taux_ZC,J946)</f>
        <v>3.1565803211491668E-2</v>
      </c>
      <c r="K947" s="1079" cm="1">
        <f t="array" ref="K947">interpoler(mat_zc,Taux_ZC,K946)</f>
        <v>3.2072335113135196E-2</v>
      </c>
      <c r="L947" s="1079" cm="1">
        <f t="array" ref="L947">interpoler(mat_zc,Taux_ZC,L946)</f>
        <v>3.2588855386011618E-2</v>
      </c>
      <c r="M947" s="1079" cm="1">
        <f t="array" ref="M947">interpoler(mat_zc,Taux_ZC,M946)</f>
        <v>3.3135724031762383E-2</v>
      </c>
      <c r="N947" s="1079" cm="1">
        <f t="array" ref="N947">interpoler(mat_zc,Taux_ZC,N946)</f>
        <v>3.3756246679158657E-2</v>
      </c>
      <c r="O947" s="1079" cm="1">
        <f t="array" ref="O947">interpoler(mat_zc,Taux_ZC,O946)</f>
        <v>3.4404070956692533E-2</v>
      </c>
      <c r="P947" s="1079" cm="1">
        <f t="array" ref="P947">interpoler(mat_zc,Taux_ZC,P946)</f>
        <v>3.5064303137514054E-2</v>
      </c>
      <c r="Q947" s="1079" cm="1">
        <f t="array" ref="Q947">interpoler(mat_zc,Taux_ZC,Q946)</f>
        <v>3.5659937647385578E-2</v>
      </c>
      <c r="R947" s="1079" cm="1">
        <f t="array" ref="R947">interpoler(mat_zc,Taux_ZC,R946)</f>
        <v>3.6013623642183988E-2</v>
      </c>
    </row>
    <row r="948" spans="2:18" x14ac:dyDescent="0.3">
      <c r="B948" s="884" t="s">
        <v>1328</v>
      </c>
      <c r="C948" s="885"/>
      <c r="D948" s="896">
        <v>6.0000000000000001E-3</v>
      </c>
      <c r="E948" s="896">
        <v>6.0000000000000001E-3</v>
      </c>
      <c r="F948" s="896">
        <v>6.0000000000000001E-3</v>
      </c>
      <c r="G948" s="896">
        <v>6.0000000000000001E-3</v>
      </c>
      <c r="H948" s="896">
        <v>6.0000000000000001E-3</v>
      </c>
      <c r="I948" s="896">
        <v>6.0000000000000001E-3</v>
      </c>
      <c r="J948" s="896">
        <v>6.0000000000000001E-3</v>
      </c>
      <c r="K948" s="896">
        <v>6.0000000000000001E-3</v>
      </c>
      <c r="L948" s="896">
        <v>6.0000000000000001E-3</v>
      </c>
      <c r="M948" s="896">
        <v>6.0000000000000001E-3</v>
      </c>
      <c r="N948" s="896">
        <v>6.0000000000000001E-3</v>
      </c>
      <c r="O948" s="896">
        <v>6.0000000000000001E-3</v>
      </c>
      <c r="P948" s="896">
        <v>6.0000000000000001E-3</v>
      </c>
      <c r="Q948" s="896">
        <v>6.0000000000000001E-3</v>
      </c>
      <c r="R948" s="896">
        <v>6.0000000000000001E-3</v>
      </c>
    </row>
    <row r="949" spans="2:18" x14ac:dyDescent="0.3">
      <c r="B949" s="884" t="s">
        <v>1329</v>
      </c>
      <c r="C949" s="885"/>
      <c r="D949" s="897">
        <f t="shared" ref="D949:H949" si="367">ROUND(D947+D948,5)</f>
        <v>2.955E-2</v>
      </c>
      <c r="E949" s="897">
        <f t="shared" si="367"/>
        <v>3.1550000000000002E-2</v>
      </c>
      <c r="F949" s="897">
        <f t="shared" si="367"/>
        <v>3.3110000000000001E-2</v>
      </c>
      <c r="G949" s="897">
        <f t="shared" si="367"/>
        <v>3.4669999999999999E-2</v>
      </c>
      <c r="H949" s="897">
        <f t="shared" si="367"/>
        <v>3.6119999999999999E-2</v>
      </c>
      <c r="I949" s="897">
        <f t="shared" ref="I949:R949" si="368">ROUND(I947+I948,5)</f>
        <v>3.705E-2</v>
      </c>
      <c r="J949" s="897">
        <f t="shared" si="368"/>
        <v>3.7569999999999999E-2</v>
      </c>
      <c r="K949" s="897">
        <f t="shared" si="368"/>
        <v>3.807E-2</v>
      </c>
      <c r="L949" s="897">
        <f t="shared" si="368"/>
        <v>3.8589999999999999E-2</v>
      </c>
      <c r="M949" s="897">
        <f t="shared" si="368"/>
        <v>3.9140000000000001E-2</v>
      </c>
      <c r="N949" s="897">
        <f t="shared" si="368"/>
        <v>3.9759999999999997E-2</v>
      </c>
      <c r="O949" s="897">
        <f t="shared" si="368"/>
        <v>4.0399999999999998E-2</v>
      </c>
      <c r="P949" s="897">
        <f t="shared" si="368"/>
        <v>4.1059999999999999E-2</v>
      </c>
      <c r="Q949" s="897">
        <f t="shared" si="368"/>
        <v>4.1660000000000003E-2</v>
      </c>
      <c r="R949" s="897">
        <f t="shared" si="368"/>
        <v>4.2009999999999999E-2</v>
      </c>
    </row>
    <row r="950" spans="2:18" x14ac:dyDescent="0.3">
      <c r="B950" s="884"/>
      <c r="C950" s="885"/>
      <c r="D950" s="886">
        <f>ROUND(D945/(1+D949)^D946,4)</f>
        <v>3463.3706999999999</v>
      </c>
      <c r="E950" s="886">
        <f t="shared" ref="E950:H950" si="369">ROUND(E945/(1+E949)^E946,4)</f>
        <v>3355.73</v>
      </c>
      <c r="F950" s="886">
        <f t="shared" si="369"/>
        <v>3241.9890999999998</v>
      </c>
      <c r="G950" s="886">
        <f t="shared" si="369"/>
        <v>3122.6747999999998</v>
      </c>
      <c r="H950" s="886">
        <f t="shared" si="369"/>
        <v>3000.0752000000002</v>
      </c>
      <c r="I950" s="886">
        <f t="shared" ref="I950:R950" si="370">ROUND(I945/(1+I949)^I946,4)</f>
        <v>11139.3009</v>
      </c>
      <c r="J950" s="886">
        <f t="shared" si="370"/>
        <v>10430.645399999999</v>
      </c>
      <c r="K950" s="886">
        <f t="shared" si="370"/>
        <v>9751.7855</v>
      </c>
      <c r="L950" s="886">
        <f t="shared" si="370"/>
        <v>9100.1170000000002</v>
      </c>
      <c r="M950" s="886">
        <f t="shared" si="370"/>
        <v>8474.5743000000002</v>
      </c>
      <c r="N950" s="886">
        <f t="shared" si="370"/>
        <v>7871.6962000000003</v>
      </c>
      <c r="O950" s="886">
        <f t="shared" si="370"/>
        <v>7294.9906000000001</v>
      </c>
      <c r="P950" s="886">
        <f t="shared" si="370"/>
        <v>6744.3308999999999</v>
      </c>
      <c r="Q950" s="886">
        <f t="shared" si="370"/>
        <v>6225.9062999999996</v>
      </c>
      <c r="R950" s="886">
        <f t="shared" si="370"/>
        <v>5754.2857000000004</v>
      </c>
    </row>
    <row r="951" spans="2:18" x14ac:dyDescent="0.3">
      <c r="B951" s="367"/>
      <c r="C951" s="367"/>
      <c r="D951" s="488"/>
    </row>
    <row r="952" spans="2:18" x14ac:dyDescent="0.3">
      <c r="B952" s="585" t="s">
        <v>650</v>
      </c>
      <c r="C952" s="586">
        <f>SUM(D950:R950)</f>
        <v>98971.472600000008</v>
      </c>
      <c r="D952" s="500"/>
    </row>
    <row r="953" spans="2:18" x14ac:dyDescent="0.3">
      <c r="B953" s="585" t="s">
        <v>1331</v>
      </c>
      <c r="C953" s="586">
        <f>+SUMPRODUCT(E946:AG946,E950:AG950)/C952</f>
        <v>8.015780132253834</v>
      </c>
      <c r="D953" s="365"/>
    </row>
    <row r="959" spans="2:18" ht="16.5" x14ac:dyDescent="0.3">
      <c r="B959" s="1231" t="s">
        <v>2976</v>
      </c>
      <c r="C959" s="1231">
        <v>9702</v>
      </c>
      <c r="D959" s="691">
        <v>2.8299999999999999E-2</v>
      </c>
      <c r="E959" s="1291" t="s">
        <v>3207</v>
      </c>
    </row>
    <row r="960" spans="2:18" x14ac:dyDescent="0.3">
      <c r="B960" s="364"/>
      <c r="C960" s="1303" t="s">
        <v>105</v>
      </c>
      <c r="D960" s="1306"/>
    </row>
    <row r="961" spans="2:18" x14ac:dyDescent="0.3">
      <c r="B961" s="883"/>
      <c r="C961" s="883">
        <v>45838</v>
      </c>
      <c r="D961" s="1238">
        <v>46203</v>
      </c>
      <c r="E961" s="883">
        <v>46568</v>
      </c>
      <c r="F961" s="883">
        <v>46934</v>
      </c>
      <c r="G961" s="883">
        <v>47299</v>
      </c>
      <c r="H961" s="883">
        <v>47664</v>
      </c>
      <c r="I961" s="883">
        <v>48029</v>
      </c>
      <c r="J961" s="883">
        <v>48395</v>
      </c>
      <c r="K961" s="883">
        <v>48760</v>
      </c>
      <c r="L961" s="883">
        <v>49125</v>
      </c>
      <c r="M961" s="883">
        <v>49490</v>
      </c>
      <c r="N961" s="883">
        <v>49856</v>
      </c>
      <c r="O961" s="883">
        <v>50221</v>
      </c>
      <c r="P961" s="883">
        <v>50586</v>
      </c>
      <c r="Q961" s="883">
        <v>50951</v>
      </c>
      <c r="R961" s="883">
        <v>51317</v>
      </c>
    </row>
    <row r="962" spans="2:18" x14ac:dyDescent="0.3">
      <c r="B962" s="884" t="s">
        <v>1318</v>
      </c>
      <c r="C962" s="885"/>
      <c r="D962" s="1240"/>
      <c r="E962" s="886"/>
      <c r="F962" s="886"/>
      <c r="G962" s="886"/>
      <c r="H962" s="886"/>
      <c r="I962" s="886">
        <f>$C$942/10</f>
        <v>10000</v>
      </c>
      <c r="J962" s="886">
        <f t="shared" ref="J962:R962" si="371">$C$942/10</f>
        <v>10000</v>
      </c>
      <c r="K962" s="886">
        <f t="shared" si="371"/>
        <v>10000</v>
      </c>
      <c r="L962" s="886">
        <f t="shared" si="371"/>
        <v>10000</v>
      </c>
      <c r="M962" s="886">
        <f t="shared" si="371"/>
        <v>10000</v>
      </c>
      <c r="N962" s="886">
        <f t="shared" si="371"/>
        <v>10000</v>
      </c>
      <c r="O962" s="886">
        <f t="shared" si="371"/>
        <v>10000</v>
      </c>
      <c r="P962" s="886">
        <f t="shared" si="371"/>
        <v>10000</v>
      </c>
      <c r="Q962" s="886">
        <f t="shared" si="371"/>
        <v>10000</v>
      </c>
      <c r="R962" s="886">
        <f t="shared" si="371"/>
        <v>10000</v>
      </c>
    </row>
    <row r="963" spans="2:18" x14ac:dyDescent="0.3">
      <c r="B963" s="884" t="s">
        <v>1320</v>
      </c>
      <c r="C963" s="887">
        <v>100000</v>
      </c>
      <c r="D963" s="1307">
        <f>ROUND(C963-D962,2)</f>
        <v>100000</v>
      </c>
      <c r="E963" s="888">
        <f>+D963-E962</f>
        <v>100000</v>
      </c>
      <c r="F963" s="888">
        <f t="shared" ref="F963" si="372">+E963-F962</f>
        <v>100000</v>
      </c>
      <c r="G963" s="888">
        <f t="shared" ref="G963" si="373">+F963-G962</f>
        <v>100000</v>
      </c>
      <c r="H963" s="888">
        <f t="shared" ref="H963" si="374">+G963-H962</f>
        <v>100000</v>
      </c>
      <c r="I963" s="888">
        <f t="shared" ref="I963" si="375">+H963-I962</f>
        <v>90000</v>
      </c>
      <c r="J963" s="888">
        <f t="shared" ref="J963" si="376">+I963-J962</f>
        <v>80000</v>
      </c>
      <c r="K963" s="888">
        <f t="shared" ref="K963" si="377">+J963-K962</f>
        <v>70000</v>
      </c>
      <c r="L963" s="888">
        <f t="shared" ref="L963" si="378">+K963-L962</f>
        <v>60000</v>
      </c>
      <c r="M963" s="888">
        <f t="shared" ref="M963" si="379">+L963-M962</f>
        <v>50000</v>
      </c>
      <c r="N963" s="888">
        <f t="shared" ref="N963" si="380">+M963-N962</f>
        <v>40000</v>
      </c>
      <c r="O963" s="888">
        <f t="shared" ref="O963" si="381">+N963-O962</f>
        <v>30000</v>
      </c>
      <c r="P963" s="888">
        <f t="shared" ref="P963" si="382">+O963-P962</f>
        <v>20000</v>
      </c>
      <c r="Q963" s="888">
        <f t="shared" ref="Q963" si="383">+P963-Q962</f>
        <v>10000</v>
      </c>
      <c r="R963" s="888">
        <f t="shared" ref="R963" si="384">+Q963-R962</f>
        <v>0</v>
      </c>
    </row>
    <row r="964" spans="2:18" x14ac:dyDescent="0.3">
      <c r="B964" s="884" t="s">
        <v>1321</v>
      </c>
      <c r="C964" s="890"/>
      <c r="D964" s="1242">
        <f>C963*D959*(D961-C961)/360</f>
        <v>2869.3055555555557</v>
      </c>
      <c r="E964" s="954">
        <f t="shared" ref="E964:R964" si="385">ROUND(D963*$D$959*(E961-D961)/360,2)</f>
        <v>2869.31</v>
      </c>
      <c r="F964" s="954">
        <f t="shared" si="385"/>
        <v>2877.17</v>
      </c>
      <c r="G964" s="954">
        <f t="shared" si="385"/>
        <v>2869.31</v>
      </c>
      <c r="H964" s="954">
        <f t="shared" si="385"/>
        <v>2869.31</v>
      </c>
      <c r="I964" s="954">
        <f t="shared" si="385"/>
        <v>2869.31</v>
      </c>
      <c r="J964" s="954">
        <f t="shared" si="385"/>
        <v>2589.4499999999998</v>
      </c>
      <c r="K964" s="954">
        <f t="shared" si="385"/>
        <v>2295.44</v>
      </c>
      <c r="L964" s="954">
        <f t="shared" si="385"/>
        <v>2008.51</v>
      </c>
      <c r="M964" s="954">
        <f t="shared" si="385"/>
        <v>1721.58</v>
      </c>
      <c r="N964" s="954">
        <f t="shared" si="385"/>
        <v>1438.58</v>
      </c>
      <c r="O964" s="954">
        <f t="shared" si="385"/>
        <v>1147.72</v>
      </c>
      <c r="P964" s="954">
        <f t="shared" si="385"/>
        <v>860.79</v>
      </c>
      <c r="Q964" s="954">
        <f t="shared" si="385"/>
        <v>573.86</v>
      </c>
      <c r="R964" s="954">
        <f t="shared" si="385"/>
        <v>287.72000000000003</v>
      </c>
    </row>
    <row r="965" spans="2:18" x14ac:dyDescent="0.3">
      <c r="B965" s="884" t="s">
        <v>1322</v>
      </c>
      <c r="C965" s="885"/>
      <c r="D965" s="1241">
        <f>ROUND(D964+D962,4)</f>
        <v>2869.3056000000001</v>
      </c>
      <c r="E965" s="488">
        <f t="shared" ref="E965:R965" si="386">ROUND(E964+E962,4)</f>
        <v>2869.31</v>
      </c>
      <c r="F965" s="488">
        <f t="shared" si="386"/>
        <v>2877.17</v>
      </c>
      <c r="G965" s="488">
        <f t="shared" si="386"/>
        <v>2869.31</v>
      </c>
      <c r="H965" s="488">
        <f t="shared" si="386"/>
        <v>2869.31</v>
      </c>
      <c r="I965" s="488">
        <f t="shared" si="386"/>
        <v>12869.31</v>
      </c>
      <c r="J965" s="488">
        <f t="shared" si="386"/>
        <v>12589.45</v>
      </c>
      <c r="K965" s="488">
        <f t="shared" si="386"/>
        <v>12295.44</v>
      </c>
      <c r="L965" s="488">
        <f t="shared" si="386"/>
        <v>12008.51</v>
      </c>
      <c r="M965" s="488">
        <f t="shared" si="386"/>
        <v>11721.58</v>
      </c>
      <c r="N965" s="488">
        <f t="shared" si="386"/>
        <v>11438.58</v>
      </c>
      <c r="O965" s="488">
        <f t="shared" si="386"/>
        <v>11147.72</v>
      </c>
      <c r="P965" s="488">
        <f t="shared" si="386"/>
        <v>10860.79</v>
      </c>
      <c r="Q965" s="488">
        <f t="shared" si="386"/>
        <v>10573.86</v>
      </c>
      <c r="R965" s="488">
        <f t="shared" si="386"/>
        <v>10287.719999999999</v>
      </c>
    </row>
    <row r="966" spans="2:18" x14ac:dyDescent="0.3">
      <c r="B966" s="884" t="s">
        <v>1323</v>
      </c>
      <c r="C966" s="887"/>
      <c r="D966" s="1241">
        <f>+IF(D961&gt;$C$1,D965,0)</f>
        <v>2869.3056000000001</v>
      </c>
      <c r="E966" s="488">
        <f t="shared" ref="E966:R966" si="387">+IF(E961&gt;$C$1,E965,0)</f>
        <v>2869.31</v>
      </c>
      <c r="F966" s="488">
        <f t="shared" si="387"/>
        <v>2877.17</v>
      </c>
      <c r="G966" s="488">
        <f t="shared" si="387"/>
        <v>2869.31</v>
      </c>
      <c r="H966" s="488">
        <f t="shared" si="387"/>
        <v>2869.31</v>
      </c>
      <c r="I966" s="488">
        <f t="shared" si="387"/>
        <v>12869.31</v>
      </c>
      <c r="J966" s="488">
        <f t="shared" si="387"/>
        <v>12589.45</v>
      </c>
      <c r="K966" s="488">
        <f t="shared" si="387"/>
        <v>12295.44</v>
      </c>
      <c r="L966" s="488">
        <f t="shared" si="387"/>
        <v>12008.51</v>
      </c>
      <c r="M966" s="488">
        <f t="shared" si="387"/>
        <v>11721.58</v>
      </c>
      <c r="N966" s="488">
        <f t="shared" si="387"/>
        <v>11438.58</v>
      </c>
      <c r="O966" s="488">
        <f t="shared" si="387"/>
        <v>11147.72</v>
      </c>
      <c r="P966" s="488">
        <f t="shared" si="387"/>
        <v>10860.79</v>
      </c>
      <c r="Q966" s="488">
        <f t="shared" si="387"/>
        <v>10573.86</v>
      </c>
      <c r="R966" s="488">
        <f t="shared" si="387"/>
        <v>10287.719999999999</v>
      </c>
    </row>
    <row r="967" spans="2:18" x14ac:dyDescent="0.3">
      <c r="B967" s="884" t="s">
        <v>1324</v>
      </c>
      <c r="C967" s="1247"/>
      <c r="D967" s="1308">
        <f>ROUND((D961-DateVariable)/(D961-C961),10)</f>
        <v>0.26301369860000001</v>
      </c>
      <c r="E967" s="852">
        <f>ROUND((E961-$C$1)/360,1)</f>
        <v>1.3</v>
      </c>
      <c r="F967" s="852">
        <f t="shared" ref="F967:R967" si="388">ROUND((F961-$C$1)/360,1)</f>
        <v>2.2999999999999998</v>
      </c>
      <c r="G967" s="852">
        <f t="shared" si="388"/>
        <v>3.3</v>
      </c>
      <c r="H967" s="852">
        <f t="shared" si="388"/>
        <v>4.3</v>
      </c>
      <c r="I967" s="852">
        <f t="shared" si="388"/>
        <v>5.3</v>
      </c>
      <c r="J967" s="852">
        <f t="shared" si="388"/>
        <v>6.4</v>
      </c>
      <c r="K967" s="852">
        <f t="shared" si="388"/>
        <v>7.4</v>
      </c>
      <c r="L967" s="852">
        <f t="shared" si="388"/>
        <v>8.4</v>
      </c>
      <c r="M967" s="852">
        <f t="shared" si="388"/>
        <v>9.4</v>
      </c>
      <c r="N967" s="852">
        <f t="shared" si="388"/>
        <v>10.4</v>
      </c>
      <c r="O967" s="852">
        <f t="shared" si="388"/>
        <v>11.4</v>
      </c>
      <c r="P967" s="852">
        <f t="shared" si="388"/>
        <v>12.4</v>
      </c>
      <c r="Q967" s="852">
        <f t="shared" si="388"/>
        <v>13.5</v>
      </c>
      <c r="R967" s="852">
        <f t="shared" si="388"/>
        <v>14.5</v>
      </c>
    </row>
    <row r="968" spans="2:18" x14ac:dyDescent="0.3">
      <c r="B968" s="884" t="s">
        <v>3097</v>
      </c>
      <c r="C968" s="885"/>
      <c r="D968" s="1244" cm="1">
        <f t="array" ref="D968">ROUND(IF(D967&lt;1,interpoler(_mat1,taux1,D967*365),interpoler(_mat2,taux2,D967*365)),5)</f>
        <v>2.3029999999999998E-2</v>
      </c>
      <c r="E968" s="439" cm="1">
        <f t="array" ref="E968">ROUND(IF((E961-$C$1)&lt;=360,interpoler(_mat1,taux1,(E961-$C$1)),interpoler(_mat2,taux2,E967*366)),5)</f>
        <v>2.5610000000000001E-2</v>
      </c>
      <c r="F968" s="439" cm="1">
        <f t="array" ref="F968">ROUND(IF((F961-$C$1)&lt;=360,interpoler(_mat1,taux1,(F961-$C$1)),interpoler(_mat2,taux2,F967*366)),5)</f>
        <v>2.7140000000000001E-2</v>
      </c>
      <c r="G968" s="439" cm="1">
        <f t="array" ref="G968">ROUND(IF((G961-$C$1)&lt;=360,interpoler(_mat1,taux1,(G961-$C$1)),interpoler(_mat2,taux2,G967*366)),5)</f>
        <v>2.8660000000000001E-2</v>
      </c>
      <c r="H968" s="439" cm="1">
        <f t="array" ref="H968">ROUND(IF((H961-$C$1)&lt;=360,interpoler(_mat1,taux1,(H961-$C$1)),interpoler(_mat2,taux2,H967*366)),5)</f>
        <v>3.005E-2</v>
      </c>
      <c r="I968" s="439" cm="1">
        <f t="array" ref="I968">ROUND(IF((I961-$C$1)&lt;=360,interpoler(_mat1,taux1,(I961-$C$1)),interpoler(_mat2,taux2,I967*366)),5)</f>
        <v>3.092E-2</v>
      </c>
      <c r="J968" s="439" cm="1">
        <f t="array" ref="J968">ROUND(IF((J961-$C$1)&lt;=360,interpoler(_mat1,taux1,(J961-$C$1)),interpoler(_mat2,taux2,J967*366)),5)</f>
        <v>3.1449999999999999E-2</v>
      </c>
      <c r="K968" s="439" cm="1">
        <f t="array" ref="K968">ROUND(IF((K961-$C$1)&lt;=360,interpoler(_mat1,taux1,(K961-$C$1)),interpoler(_mat2,taux2,K967*366)),5)</f>
        <v>3.193E-2</v>
      </c>
      <c r="L968" s="439" cm="1">
        <f t="array" ref="L968">ROUND(IF((L961-$C$1)&lt;=360,interpoler(_mat1,taux1,(L961-$C$1)),interpoler(_mat2,taux2,L967*366)),5)</f>
        <v>3.2410000000000001E-2</v>
      </c>
      <c r="M968" s="439" cm="1">
        <f t="array" ref="M968">ROUND(IF((M961-$C$1)&lt;=360,interpoler(_mat1,taux1,(M961-$C$1)),interpoler(_mat2,taux2,M967*366)),5)</f>
        <v>3.2910000000000002E-2</v>
      </c>
      <c r="N968" s="439" cm="1">
        <f t="array" ref="N968">ROUND(IF((N961-$C$1)&lt;=360,interpoler(_mat1,taux1,(N961-$C$1)),interpoler(_mat2,taux2,N967*366)),5)</f>
        <v>3.347E-2</v>
      </c>
      <c r="O968" s="439" cm="1">
        <f t="array" ref="O968">ROUND(IF((O961-$C$1)&lt;=360,interpoler(_mat1,taux1,(O961-$C$1)),interpoler(_mat2,taux2,O967*366)),5)</f>
        <v>3.4040000000000001E-2</v>
      </c>
      <c r="P968" s="439" cm="1">
        <f t="array" ref="P968">ROUND(IF((P961-$C$1)&lt;=360,interpoler(_mat1,taux1,(P961-$C$1)),interpoler(_mat2,taux2,P967*366)),5)</f>
        <v>3.4599999999999999E-2</v>
      </c>
      <c r="Q968" s="439" cm="1">
        <f t="array" ref="Q968">ROUND(IF((Q961-$C$1)&lt;=360,interpoler(_mat1,taux1,(Q961-$C$1)),interpoler(_mat2,taux2,Q967*366)),5)</f>
        <v>3.5150000000000001E-2</v>
      </c>
      <c r="R968" s="439" cm="1">
        <f t="array" ref="R968">ROUND(IF((R961-$C$1)&lt;=360,interpoler(_mat1,taux1,(R961-$C$1)),interpoler(_mat2,taux2,R967*366)),5)</f>
        <v>3.5380000000000002E-2</v>
      </c>
    </row>
    <row r="969" spans="2:18" x14ac:dyDescent="0.3">
      <c r="B969" s="884" t="s">
        <v>1328</v>
      </c>
      <c r="C969" s="885"/>
      <c r="D969" s="1282">
        <f>0.6%</f>
        <v>6.0000000000000001E-3</v>
      </c>
      <c r="E969" s="429">
        <f t="shared" ref="E969:R969" si="389">0.6%</f>
        <v>6.0000000000000001E-3</v>
      </c>
      <c r="F969" s="429">
        <f t="shared" si="389"/>
        <v>6.0000000000000001E-3</v>
      </c>
      <c r="G969" s="429">
        <f t="shared" si="389"/>
        <v>6.0000000000000001E-3</v>
      </c>
      <c r="H969" s="429">
        <f t="shared" si="389"/>
        <v>6.0000000000000001E-3</v>
      </c>
      <c r="I969" s="429">
        <f t="shared" si="389"/>
        <v>6.0000000000000001E-3</v>
      </c>
      <c r="J969" s="429">
        <f t="shared" si="389"/>
        <v>6.0000000000000001E-3</v>
      </c>
      <c r="K969" s="429">
        <f t="shared" si="389"/>
        <v>6.0000000000000001E-3</v>
      </c>
      <c r="L969" s="429">
        <f t="shared" si="389"/>
        <v>6.0000000000000001E-3</v>
      </c>
      <c r="M969" s="429">
        <f t="shared" si="389"/>
        <v>6.0000000000000001E-3</v>
      </c>
      <c r="N969" s="429">
        <f t="shared" si="389"/>
        <v>6.0000000000000001E-3</v>
      </c>
      <c r="O969" s="429">
        <f t="shared" si="389"/>
        <v>6.0000000000000001E-3</v>
      </c>
      <c r="P969" s="429">
        <f t="shared" si="389"/>
        <v>6.0000000000000001E-3</v>
      </c>
      <c r="Q969" s="429">
        <f t="shared" si="389"/>
        <v>6.0000000000000001E-3</v>
      </c>
      <c r="R969" s="429">
        <f t="shared" si="389"/>
        <v>6.0000000000000001E-3</v>
      </c>
    </row>
    <row r="970" spans="2:18" x14ac:dyDescent="0.3">
      <c r="B970" s="884" t="s">
        <v>1329</v>
      </c>
      <c r="C970" s="885"/>
      <c r="D970" s="1309">
        <f>ROUND((D968+D969),5)</f>
        <v>2.903E-2</v>
      </c>
      <c r="E970" s="826">
        <f t="shared" ref="E970:R970" si="390">ROUND((E968+E969),5)</f>
        <v>3.1609999999999999E-2</v>
      </c>
      <c r="F970" s="826">
        <f t="shared" si="390"/>
        <v>3.3140000000000003E-2</v>
      </c>
      <c r="G970" s="826">
        <f t="shared" si="390"/>
        <v>3.4660000000000003E-2</v>
      </c>
      <c r="H970" s="826">
        <f t="shared" si="390"/>
        <v>3.6049999999999999E-2</v>
      </c>
      <c r="I970" s="826">
        <f t="shared" si="390"/>
        <v>3.6920000000000001E-2</v>
      </c>
      <c r="J970" s="826">
        <f t="shared" si="390"/>
        <v>3.7449999999999997E-2</v>
      </c>
      <c r="K970" s="826">
        <f t="shared" si="390"/>
        <v>3.7929999999999998E-2</v>
      </c>
      <c r="L970" s="826">
        <f t="shared" si="390"/>
        <v>3.841E-2</v>
      </c>
      <c r="M970" s="826">
        <f t="shared" si="390"/>
        <v>3.891E-2</v>
      </c>
      <c r="N970" s="826">
        <f t="shared" si="390"/>
        <v>3.9469999999999998E-2</v>
      </c>
      <c r="O970" s="826">
        <f t="shared" si="390"/>
        <v>4.0039999999999999E-2</v>
      </c>
      <c r="P970" s="826">
        <f t="shared" si="390"/>
        <v>4.0599999999999997E-2</v>
      </c>
      <c r="Q970" s="826">
        <f t="shared" si="390"/>
        <v>4.1149999999999999E-2</v>
      </c>
      <c r="R970" s="826">
        <f t="shared" si="390"/>
        <v>4.138E-2</v>
      </c>
    </row>
    <row r="971" spans="2:18" x14ac:dyDescent="0.3">
      <c r="B971" s="884"/>
      <c r="C971" s="885"/>
      <c r="D971" s="1310">
        <f>ROUND((D966+D963)/(1+(D968+D969)*((D961-DateVariable)/360)),5)</f>
        <v>102079.07743999999</v>
      </c>
      <c r="E971" s="624">
        <f>ROUND((E966+E963)/(1+E970*E967),4)</f>
        <v>98808.953699999998</v>
      </c>
      <c r="F971" s="624">
        <f t="shared" ref="F971:R971" si="391">ROUND((F966+F963)/(1+F970*F967),4)</f>
        <v>95591.030499999993</v>
      </c>
      <c r="G971" s="624">
        <f t="shared" si="391"/>
        <v>92310.9663</v>
      </c>
      <c r="H971" s="624">
        <f t="shared" si="391"/>
        <v>89063.180999999997</v>
      </c>
      <c r="I971" s="624">
        <f t="shared" si="391"/>
        <v>86034.435800000007</v>
      </c>
      <c r="J971" s="624">
        <f t="shared" si="391"/>
        <v>74688.185700000002</v>
      </c>
      <c r="K971" s="624">
        <f t="shared" si="391"/>
        <v>64259.074500000002</v>
      </c>
      <c r="L971" s="624">
        <f t="shared" si="391"/>
        <v>54442.8508</v>
      </c>
      <c r="M971" s="624">
        <f t="shared" si="391"/>
        <v>45192.311399999999</v>
      </c>
      <c r="N971" s="624">
        <f t="shared" si="391"/>
        <v>36468.640599999999</v>
      </c>
      <c r="O971" s="624">
        <f t="shared" si="391"/>
        <v>28251.9486</v>
      </c>
      <c r="P971" s="624">
        <f t="shared" si="391"/>
        <v>20526.785199999998</v>
      </c>
      <c r="Q971" s="624">
        <f t="shared" si="391"/>
        <v>13226.3127</v>
      </c>
      <c r="R971" s="624">
        <f t="shared" si="391"/>
        <v>6429.7848000000004</v>
      </c>
    </row>
    <row r="972" spans="2:18" x14ac:dyDescent="0.3">
      <c r="B972" s="367"/>
      <c r="C972" s="367"/>
      <c r="D972" s="1311"/>
    </row>
    <row r="973" spans="2:18" x14ac:dyDescent="0.3">
      <c r="B973" s="585" t="s">
        <v>650</v>
      </c>
      <c r="C973" s="586">
        <f>D971</f>
        <v>102079.07743999999</v>
      </c>
      <c r="D973" s="500"/>
    </row>
    <row r="974" spans="2:18" x14ac:dyDescent="0.3">
      <c r="B974" s="585" t="s">
        <v>1331</v>
      </c>
      <c r="C974" s="586">
        <f>+SUMPRODUCT(E967:AG967,E971:AG971)/C973</f>
        <v>44.62428568613835</v>
      </c>
      <c r="D974" s="365"/>
    </row>
    <row r="976" spans="2:18" x14ac:dyDescent="0.3">
      <c r="H976" s="461" t="s">
        <v>96</v>
      </c>
      <c r="I976" s="461" t="s">
        <v>3205</v>
      </c>
      <c r="J976" s="461" t="s">
        <v>105</v>
      </c>
      <c r="K976" s="461" t="s">
        <v>3206</v>
      </c>
    </row>
    <row r="977" spans="2:18" x14ac:dyDescent="0.3">
      <c r="H977" s="461">
        <v>1</v>
      </c>
      <c r="I977" s="461">
        <v>365</v>
      </c>
      <c r="J977" s="721">
        <v>2.869E-2</v>
      </c>
      <c r="K977" s="462">
        <v>99961.580346792805</v>
      </c>
    </row>
    <row r="979" spans="2:18" ht="16.5" x14ac:dyDescent="0.3">
      <c r="B979" s="879" t="s">
        <v>2976</v>
      </c>
      <c r="C979" s="879">
        <v>9707</v>
      </c>
      <c r="D979" s="691">
        <v>3.0700000000000002E-2</v>
      </c>
      <c r="E979" s="1291" t="s">
        <v>3188</v>
      </c>
    </row>
    <row r="980" spans="2:18" x14ac:dyDescent="0.3">
      <c r="B980" s="1303"/>
      <c r="C980" s="1303" t="s">
        <v>105</v>
      </c>
      <c r="D980" s="1304"/>
    </row>
    <row r="981" spans="2:18" x14ac:dyDescent="0.3">
      <c r="B981" s="883"/>
      <c r="C981" s="883">
        <v>45838</v>
      </c>
      <c r="D981" s="883">
        <v>46203</v>
      </c>
      <c r="E981" s="883">
        <v>46568</v>
      </c>
      <c r="F981" s="883">
        <v>46934</v>
      </c>
      <c r="G981" s="883">
        <v>47299</v>
      </c>
      <c r="H981" s="883">
        <v>47664</v>
      </c>
      <c r="I981" s="883">
        <v>48029</v>
      </c>
      <c r="J981" s="883">
        <v>48395</v>
      </c>
      <c r="K981" s="503"/>
      <c r="L981" s="503"/>
      <c r="M981" s="503"/>
      <c r="N981" s="503"/>
      <c r="O981" s="503"/>
      <c r="P981" s="503"/>
      <c r="Q981" s="503"/>
      <c r="R981" s="503"/>
    </row>
    <row r="982" spans="2:18" x14ac:dyDescent="0.3">
      <c r="B982" s="884" t="s">
        <v>1318</v>
      </c>
      <c r="C982" s="885"/>
      <c r="D982" s="886"/>
      <c r="E982" s="886"/>
      <c r="F982" s="886">
        <f>$C$983/5</f>
        <v>20000</v>
      </c>
      <c r="G982" s="886">
        <f t="shared" ref="G982:J982" si="392">$C$983/5</f>
        <v>20000</v>
      </c>
      <c r="H982" s="886">
        <f t="shared" si="392"/>
        <v>20000</v>
      </c>
      <c r="I982" s="886">
        <f t="shared" si="392"/>
        <v>20000</v>
      </c>
      <c r="J982" s="886">
        <f t="shared" si="392"/>
        <v>20000</v>
      </c>
      <c r="K982" s="512"/>
      <c r="L982" s="512"/>
      <c r="M982" s="512"/>
      <c r="N982" s="512"/>
      <c r="O982" s="512"/>
      <c r="P982" s="512"/>
      <c r="Q982" s="512"/>
      <c r="R982" s="512"/>
    </row>
    <row r="983" spans="2:18" x14ac:dyDescent="0.3">
      <c r="B983" s="884" t="s">
        <v>1320</v>
      </c>
      <c r="C983" s="887">
        <v>100000</v>
      </c>
      <c r="D983" s="888">
        <f>+C983-D982</f>
        <v>100000</v>
      </c>
      <c r="E983" s="888">
        <f>+D983-E982</f>
        <v>100000</v>
      </c>
      <c r="F983" s="888">
        <f t="shared" ref="F983" si="393">+E983-F982</f>
        <v>80000</v>
      </c>
      <c r="G983" s="888">
        <f t="shared" ref="G983" si="394">+F983-G982</f>
        <v>60000</v>
      </c>
      <c r="H983" s="888">
        <f t="shared" ref="H983" si="395">+G983-H982</f>
        <v>40000</v>
      </c>
      <c r="I983" s="888">
        <f t="shared" ref="I983" si="396">+H983-I982</f>
        <v>20000</v>
      </c>
      <c r="J983" s="888">
        <f t="shared" ref="J983" si="397">+I983-J982</f>
        <v>0</v>
      </c>
      <c r="K983" s="280"/>
      <c r="L983" s="280"/>
      <c r="M983" s="280"/>
      <c r="N983" s="280"/>
      <c r="O983" s="280"/>
      <c r="P983" s="280"/>
      <c r="Q983" s="280"/>
      <c r="R983" s="280"/>
    </row>
    <row r="984" spans="2:18" x14ac:dyDescent="0.3">
      <c r="B984" s="884" t="s">
        <v>1321</v>
      </c>
      <c r="C984" s="890"/>
      <c r="D984" s="890">
        <f>C983*$D$979</f>
        <v>3070</v>
      </c>
      <c r="E984" s="890">
        <f t="shared" ref="E984:J984" si="398">D983*$D$979</f>
        <v>3070</v>
      </c>
      <c r="F984" s="890">
        <f t="shared" si="398"/>
        <v>3070</v>
      </c>
      <c r="G984" s="890">
        <f t="shared" si="398"/>
        <v>2456</v>
      </c>
      <c r="H984" s="890">
        <f t="shared" si="398"/>
        <v>1842</v>
      </c>
      <c r="I984" s="890">
        <f t="shared" si="398"/>
        <v>1228</v>
      </c>
      <c r="J984" s="890">
        <f t="shared" si="398"/>
        <v>614</v>
      </c>
      <c r="K984" s="1297"/>
      <c r="L984" s="1297"/>
      <c r="M984" s="1297"/>
      <c r="N984" s="1297"/>
      <c r="O984" s="1297"/>
      <c r="P984" s="1297"/>
      <c r="Q984" s="1297"/>
      <c r="R984" s="1297"/>
    </row>
    <row r="985" spans="2:18" x14ac:dyDescent="0.3">
      <c r="B985" s="884" t="s">
        <v>1322</v>
      </c>
      <c r="C985" s="885"/>
      <c r="D985" s="888">
        <f>+D984+D982</f>
        <v>3070</v>
      </c>
      <c r="E985" s="888">
        <f>+E984+E982</f>
        <v>3070</v>
      </c>
      <c r="F985" s="888">
        <f t="shared" ref="F985:J985" si="399">+F984+F982</f>
        <v>23070</v>
      </c>
      <c r="G985" s="888">
        <f t="shared" si="399"/>
        <v>22456</v>
      </c>
      <c r="H985" s="888">
        <f t="shared" si="399"/>
        <v>21842</v>
      </c>
      <c r="I985" s="888">
        <f t="shared" si="399"/>
        <v>21228</v>
      </c>
      <c r="J985" s="888">
        <f t="shared" si="399"/>
        <v>20614</v>
      </c>
      <c r="K985" s="280"/>
      <c r="L985" s="280"/>
      <c r="M985" s="280"/>
      <c r="N985" s="280"/>
      <c r="O985" s="280"/>
      <c r="P985" s="280"/>
      <c r="Q985" s="280"/>
      <c r="R985" s="280"/>
    </row>
    <row r="986" spans="2:18" x14ac:dyDescent="0.3">
      <c r="B986" s="884" t="s">
        <v>1323</v>
      </c>
      <c r="C986" s="887"/>
      <c r="D986" s="888">
        <f>+IF(D981&gt;$C$1,D985,0)</f>
        <v>3070</v>
      </c>
      <c r="E986" s="888">
        <f>+IF(E981&gt;$C$1,E985,0)</f>
        <v>3070</v>
      </c>
      <c r="F986" s="888">
        <f t="shared" ref="F986:J986" si="400">+IF(F981&gt;$C$1,F985,0)</f>
        <v>23070</v>
      </c>
      <c r="G986" s="888">
        <f t="shared" si="400"/>
        <v>22456</v>
      </c>
      <c r="H986" s="888">
        <f t="shared" si="400"/>
        <v>21842</v>
      </c>
      <c r="I986" s="888">
        <f t="shared" si="400"/>
        <v>21228</v>
      </c>
      <c r="J986" s="888">
        <f t="shared" si="400"/>
        <v>20614</v>
      </c>
      <c r="K986" s="280"/>
      <c r="L986" s="280"/>
      <c r="M986" s="280"/>
      <c r="N986" s="280"/>
      <c r="O986" s="280"/>
      <c r="P986" s="280"/>
      <c r="Q986" s="280"/>
      <c r="R986" s="280"/>
    </row>
    <row r="987" spans="2:18" x14ac:dyDescent="0.3">
      <c r="B987" s="884" t="s">
        <v>1324</v>
      </c>
      <c r="C987" s="1247"/>
      <c r="D987" s="1247">
        <f>ROUND(IF(C986=0,(D981-$C$1)/(D981-C981),C987+1),10)</f>
        <v>0.26301369860000001</v>
      </c>
      <c r="E987" s="1247">
        <f t="shared" ref="E987" si="401">IF(D986=0,(E981-$C$1)/(E981-D981),D987+1)</f>
        <v>1.2630136986</v>
      </c>
      <c r="F987" s="1247">
        <f t="shared" ref="F987" si="402">IF(E986=0,(F981-$C$1)/(F981-E981),E987+1)</f>
        <v>2.2630136986</v>
      </c>
      <c r="G987" s="1247">
        <f t="shared" ref="G987" si="403">IF(F986=0,(G981-$C$1)/(G981-F981),F987+1)</f>
        <v>3.2630136986</v>
      </c>
      <c r="H987" s="1247">
        <f t="shared" ref="H987" si="404">IF(G986=0,(H981-$C$1)/(H981-G981),G987+1)</f>
        <v>4.2630136986</v>
      </c>
      <c r="I987" s="1247">
        <f t="shared" ref="I987" si="405">IF(H986=0,(I981-$C$1)/(I981-H981),H987+1)</f>
        <v>5.2630136986</v>
      </c>
      <c r="J987" s="1247">
        <f t="shared" ref="J987" si="406">IF(I986=0,(J981-$C$1)/(J981-I981),I987+1)</f>
        <v>6.2630136986</v>
      </c>
      <c r="K987" s="1246"/>
      <c r="L987" s="1246"/>
      <c r="M987" s="1246"/>
      <c r="N987" s="1246"/>
      <c r="O987" s="1246"/>
      <c r="P987" s="1246"/>
      <c r="Q987" s="1246"/>
      <c r="R987" s="1246"/>
    </row>
    <row r="988" spans="2:18" x14ac:dyDescent="0.3">
      <c r="B988" s="884" t="s">
        <v>1325</v>
      </c>
      <c r="C988" s="885"/>
      <c r="D988" s="1079" cm="1">
        <f t="array" ref="D988">interpoler(mat_zc,Taux_ZC,D987)</f>
        <v>2.3551364755965049E-2</v>
      </c>
      <c r="E988" s="1079" cm="1">
        <f t="array" ref="E988">interpoler(mat_zc,Taux_ZC,E987)</f>
        <v>2.555322117529548E-2</v>
      </c>
      <c r="F988" s="1079" cm="1">
        <f t="array" ref="F988">interpoler(mat_zc,Taux_ZC,F987)</f>
        <v>2.7111171567350403E-2</v>
      </c>
      <c r="G988" s="1079" cm="1">
        <f t="array" ref="G988">interpoler(mat_zc,Taux_ZC,G987)</f>
        <v>2.867131795913062E-2</v>
      </c>
      <c r="H988" s="1079" cm="1">
        <f t="array" ref="H988">interpoler(mat_zc,Taux_ZC,H987)</f>
        <v>3.0115326152022334E-2</v>
      </c>
      <c r="I988" s="1079" cm="1">
        <f t="array" ref="I988">interpoler(mat_zc,Taux_ZC,I987)</f>
        <v>3.1047021005463658E-2</v>
      </c>
      <c r="J988" s="1079" cm="1">
        <f t="array" ref="J988">interpoler(mat_zc,Taux_ZC,J987)</f>
        <v>3.1565803211491668E-2</v>
      </c>
      <c r="K988" s="1305"/>
      <c r="L988" s="1305"/>
      <c r="M988" s="1305"/>
      <c r="N988" s="1305"/>
      <c r="O988" s="1305"/>
      <c r="P988" s="1305"/>
      <c r="Q988" s="1305"/>
      <c r="R988" s="1305"/>
    </row>
    <row r="989" spans="2:18" x14ac:dyDescent="0.3">
      <c r="B989" s="884" t="s">
        <v>1328</v>
      </c>
      <c r="C989" s="885"/>
      <c r="D989" s="896">
        <v>5.0000000000000001E-3</v>
      </c>
      <c r="E989" s="896">
        <v>5.0000000000000001E-3</v>
      </c>
      <c r="F989" s="896">
        <v>5.0000000000000001E-3</v>
      </c>
      <c r="G989" s="896">
        <v>5.0000000000000001E-3</v>
      </c>
      <c r="H989" s="896">
        <v>5.0000000000000001E-3</v>
      </c>
      <c r="I989" s="896">
        <v>5.0000000000000001E-3</v>
      </c>
      <c r="J989" s="896">
        <v>5.0000000000000001E-3</v>
      </c>
      <c r="K989" s="58"/>
      <c r="L989" s="58"/>
      <c r="M989" s="58"/>
      <c r="N989" s="58"/>
      <c r="O989" s="58"/>
      <c r="P989" s="58"/>
      <c r="Q989" s="58"/>
      <c r="R989" s="58"/>
    </row>
    <row r="990" spans="2:18" x14ac:dyDescent="0.3">
      <c r="B990" s="884" t="s">
        <v>1329</v>
      </c>
      <c r="C990" s="885"/>
      <c r="D990" s="897">
        <f t="shared" ref="D990:J990" si="407">ROUND(D988+D989,5)</f>
        <v>2.8549999999999999E-2</v>
      </c>
      <c r="E990" s="897">
        <f t="shared" si="407"/>
        <v>3.0550000000000001E-2</v>
      </c>
      <c r="F990" s="897">
        <f t="shared" si="407"/>
        <v>3.211E-2</v>
      </c>
      <c r="G990" s="897">
        <f t="shared" si="407"/>
        <v>3.3669999999999999E-2</v>
      </c>
      <c r="H990" s="897">
        <f t="shared" si="407"/>
        <v>3.5119999999999998E-2</v>
      </c>
      <c r="I990" s="897">
        <f t="shared" si="407"/>
        <v>3.6049999999999999E-2</v>
      </c>
      <c r="J990" s="897">
        <f t="shared" si="407"/>
        <v>3.6569999999999998E-2</v>
      </c>
      <c r="K990" s="102"/>
      <c r="L990" s="102"/>
      <c r="M990" s="102"/>
      <c r="N990" s="102"/>
      <c r="O990" s="102"/>
      <c r="P990" s="102"/>
      <c r="Q990" s="102"/>
      <c r="R990" s="102"/>
    </row>
    <row r="991" spans="2:18" x14ac:dyDescent="0.3">
      <c r="B991" s="884"/>
      <c r="C991" s="885"/>
      <c r="D991" s="886">
        <f>ROUND(D986/(1+D990)^D987,4)</f>
        <v>3047.3541</v>
      </c>
      <c r="E991" s="886">
        <f t="shared" ref="E991:J991" si="408">ROUND(E986/(1+E990)^E987,4)</f>
        <v>2955.5068000000001</v>
      </c>
      <c r="F991" s="886">
        <f t="shared" si="408"/>
        <v>21477.5877</v>
      </c>
      <c r="G991" s="886">
        <f t="shared" si="408"/>
        <v>20155.984899999999</v>
      </c>
      <c r="H991" s="886">
        <f t="shared" si="408"/>
        <v>18853.2768</v>
      </c>
      <c r="I991" s="886">
        <f t="shared" si="408"/>
        <v>17618.144400000001</v>
      </c>
      <c r="J991" s="886">
        <f t="shared" si="408"/>
        <v>16461.439299999998</v>
      </c>
      <c r="K991" s="512"/>
      <c r="L991" s="512"/>
      <c r="M991" s="512"/>
      <c r="N991" s="512"/>
      <c r="O991" s="512"/>
      <c r="P991" s="512"/>
      <c r="Q991" s="512"/>
      <c r="R991" s="512"/>
    </row>
    <row r="992" spans="2:18" x14ac:dyDescent="0.3">
      <c r="B992" s="367"/>
      <c r="C992" s="367"/>
      <c r="D992" s="488"/>
    </row>
    <row r="993" spans="2:18" x14ac:dyDescent="0.3">
      <c r="B993" s="585" t="s">
        <v>650</v>
      </c>
      <c r="C993" s="586">
        <f>SUM(D991:J991)</f>
        <v>100569.29400000001</v>
      </c>
      <c r="D993" s="500"/>
    </row>
    <row r="994" spans="2:18" x14ac:dyDescent="0.3">
      <c r="B994" s="585" t="s">
        <v>1331</v>
      </c>
      <c r="C994" s="586">
        <f>+SUMPRODUCT(E987:AG987,E991:AG991)/C993</f>
        <v>3.9206868451094614</v>
      </c>
      <c r="D994" s="365"/>
    </row>
    <row r="998" spans="2:18" ht="16.5" x14ac:dyDescent="0.3">
      <c r="B998" s="879" t="s">
        <v>2976</v>
      </c>
      <c r="C998" s="879">
        <v>9714</v>
      </c>
      <c r="D998" s="691">
        <v>3.1E-2</v>
      </c>
      <c r="E998" s="1291" t="s">
        <v>3188</v>
      </c>
    </row>
    <row r="999" spans="2:18" x14ac:dyDescent="0.3">
      <c r="B999" s="1303"/>
      <c r="C999" s="1303" t="s">
        <v>105</v>
      </c>
      <c r="D999" s="1304"/>
    </row>
    <row r="1000" spans="2:18" x14ac:dyDescent="0.3">
      <c r="B1000" s="883"/>
      <c r="C1000" s="883">
        <v>45845</v>
      </c>
      <c r="D1000" s="883">
        <v>46210</v>
      </c>
      <c r="E1000" s="883">
        <v>46575</v>
      </c>
      <c r="F1000" s="883">
        <v>46941</v>
      </c>
      <c r="G1000" s="883">
        <v>47306</v>
      </c>
      <c r="H1000" s="883">
        <v>47671</v>
      </c>
      <c r="I1000" s="883">
        <v>48036</v>
      </c>
      <c r="J1000" s="883">
        <v>48402</v>
      </c>
      <c r="K1000" s="503"/>
      <c r="L1000" s="503"/>
      <c r="M1000" s="503"/>
      <c r="N1000" s="503"/>
      <c r="O1000" s="503"/>
      <c r="P1000" s="503"/>
      <c r="Q1000" s="503"/>
      <c r="R1000" s="503"/>
    </row>
    <row r="1001" spans="2:18" x14ac:dyDescent="0.3">
      <c r="B1001" s="884" t="s">
        <v>1318</v>
      </c>
      <c r="C1001" s="885"/>
      <c r="D1001" s="886">
        <f>100000/7</f>
        <v>14285.714285714286</v>
      </c>
      <c r="E1001" s="886">
        <f t="shared" ref="E1001:J1001" si="409">100000/7</f>
        <v>14285.714285714286</v>
      </c>
      <c r="F1001" s="886">
        <f t="shared" si="409"/>
        <v>14285.714285714286</v>
      </c>
      <c r="G1001" s="886">
        <f t="shared" si="409"/>
        <v>14285.714285714286</v>
      </c>
      <c r="H1001" s="886">
        <f t="shared" si="409"/>
        <v>14285.714285714286</v>
      </c>
      <c r="I1001" s="886">
        <f t="shared" si="409"/>
        <v>14285.714285714286</v>
      </c>
      <c r="J1001" s="886">
        <f t="shared" si="409"/>
        <v>14285.714285714286</v>
      </c>
      <c r="K1001" s="512"/>
      <c r="L1001" s="512"/>
      <c r="M1001" s="512"/>
      <c r="N1001" s="512"/>
      <c r="O1001" s="512"/>
      <c r="P1001" s="512"/>
      <c r="Q1001" s="512"/>
      <c r="R1001" s="512"/>
    </row>
    <row r="1002" spans="2:18" x14ac:dyDescent="0.3">
      <c r="B1002" s="884" t="s">
        <v>1320</v>
      </c>
      <c r="C1002" s="887">
        <v>100000</v>
      </c>
      <c r="D1002" s="888">
        <f>+C1002-D1001</f>
        <v>85714.28571428571</v>
      </c>
      <c r="E1002" s="888">
        <f>+D1002-E1001</f>
        <v>71428.57142857142</v>
      </c>
      <c r="F1002" s="888">
        <f t="shared" ref="F1002" si="410">+E1002-F1001</f>
        <v>57142.85714285713</v>
      </c>
      <c r="G1002" s="888">
        <f t="shared" ref="G1002" si="411">+F1002-G1001</f>
        <v>42857.142857142841</v>
      </c>
      <c r="H1002" s="888">
        <f t="shared" ref="H1002" si="412">+G1002-H1001</f>
        <v>28571.428571428554</v>
      </c>
      <c r="I1002" s="888">
        <f t="shared" ref="I1002" si="413">+H1002-I1001</f>
        <v>14285.714285714268</v>
      </c>
      <c r="J1002" s="888">
        <f t="shared" ref="J1002" si="414">+I1002-J1001</f>
        <v>-1.8189894035458565E-11</v>
      </c>
      <c r="K1002" s="280"/>
      <c r="L1002" s="280"/>
      <c r="M1002" s="280"/>
      <c r="N1002" s="280"/>
      <c r="O1002" s="280"/>
      <c r="P1002" s="280"/>
      <c r="Q1002" s="280"/>
      <c r="R1002" s="280"/>
    </row>
    <row r="1003" spans="2:18" x14ac:dyDescent="0.3">
      <c r="B1003" s="884" t="s">
        <v>1321</v>
      </c>
      <c r="C1003" s="890"/>
      <c r="D1003" s="890">
        <f>C1002*$D$998</f>
        <v>3100</v>
      </c>
      <c r="E1003" s="890">
        <f t="shared" ref="E1003:J1003" si="415">D1002*$D$998</f>
        <v>2657.1428571428569</v>
      </c>
      <c r="F1003" s="890">
        <f t="shared" si="415"/>
        <v>2214.2857142857142</v>
      </c>
      <c r="G1003" s="890">
        <f t="shared" si="415"/>
        <v>1771.4285714285711</v>
      </c>
      <c r="H1003" s="890">
        <f t="shared" si="415"/>
        <v>1328.571428571428</v>
      </c>
      <c r="I1003" s="890">
        <f t="shared" si="415"/>
        <v>885.71428571428521</v>
      </c>
      <c r="J1003" s="890">
        <f t="shared" si="415"/>
        <v>442.85714285714232</v>
      </c>
      <c r="K1003" s="1297"/>
      <c r="L1003" s="1297"/>
      <c r="M1003" s="1297"/>
      <c r="N1003" s="1297"/>
      <c r="O1003" s="1297"/>
      <c r="P1003" s="1297"/>
      <c r="Q1003" s="1297"/>
      <c r="R1003" s="1297"/>
    </row>
    <row r="1004" spans="2:18" x14ac:dyDescent="0.3">
      <c r="B1004" s="884" t="s">
        <v>1322</v>
      </c>
      <c r="C1004" s="885"/>
      <c r="D1004" s="888">
        <f>+D1003+D1001</f>
        <v>17385.714285714286</v>
      </c>
      <c r="E1004" s="888">
        <f>+E1003+E1001</f>
        <v>16942.857142857145</v>
      </c>
      <c r="F1004" s="888">
        <f t="shared" ref="F1004:J1004" si="416">+F1003+F1001</f>
        <v>16500</v>
      </c>
      <c r="G1004" s="888">
        <f t="shared" si="416"/>
        <v>16057.142857142857</v>
      </c>
      <c r="H1004" s="888">
        <f t="shared" si="416"/>
        <v>15614.285714285714</v>
      </c>
      <c r="I1004" s="888">
        <f t="shared" si="416"/>
        <v>15171.428571428571</v>
      </c>
      <c r="J1004" s="888">
        <f t="shared" si="416"/>
        <v>14728.571428571429</v>
      </c>
      <c r="K1004" s="280"/>
      <c r="L1004" s="280"/>
      <c r="M1004" s="280"/>
      <c r="N1004" s="280"/>
      <c r="O1004" s="280"/>
      <c r="P1004" s="280"/>
      <c r="Q1004" s="280"/>
      <c r="R1004" s="280"/>
    </row>
    <row r="1005" spans="2:18" x14ac:dyDescent="0.3">
      <c r="B1005" s="884" t="s">
        <v>1323</v>
      </c>
      <c r="C1005" s="887"/>
      <c r="D1005" s="888">
        <f>+IF(D1000&gt;$C$1,D1004,0)</f>
        <v>17385.714285714286</v>
      </c>
      <c r="E1005" s="888">
        <f>+IF(E1000&gt;$C$1,E1004,0)</f>
        <v>16942.857142857145</v>
      </c>
      <c r="F1005" s="888">
        <f t="shared" ref="F1005:J1005" si="417">+IF(F1000&gt;$C$1,F1004,0)</f>
        <v>16500</v>
      </c>
      <c r="G1005" s="888">
        <f t="shared" si="417"/>
        <v>16057.142857142857</v>
      </c>
      <c r="H1005" s="888">
        <f t="shared" si="417"/>
        <v>15614.285714285714</v>
      </c>
      <c r="I1005" s="888">
        <f t="shared" si="417"/>
        <v>15171.428571428571</v>
      </c>
      <c r="J1005" s="888">
        <f t="shared" si="417"/>
        <v>14728.571428571429</v>
      </c>
      <c r="K1005" s="280"/>
      <c r="L1005" s="280"/>
      <c r="M1005" s="280"/>
      <c r="N1005" s="280"/>
      <c r="O1005" s="280"/>
      <c r="P1005" s="280"/>
      <c r="Q1005" s="280"/>
      <c r="R1005" s="280"/>
    </row>
    <row r="1006" spans="2:18" x14ac:dyDescent="0.3">
      <c r="B1006" s="884" t="s">
        <v>1324</v>
      </c>
      <c r="C1006" s="1247"/>
      <c r="D1006" s="1247">
        <f>ROUND(IF(C1005=0,(D1000-$C$1)/(D1000-C1000),C1006+1),5)</f>
        <v>0.28219</v>
      </c>
      <c r="E1006" s="1247">
        <f t="shared" ref="E1006" si="418">IF(D1005=0,(E1000-$C$1)/(E1000-D1000),D1006+1)</f>
        <v>1.2821899999999999</v>
      </c>
      <c r="F1006" s="1247">
        <f t="shared" ref="F1006" si="419">IF(E1005=0,(F1000-$C$1)/(F1000-E1000),E1006+1)</f>
        <v>2.2821899999999999</v>
      </c>
      <c r="G1006" s="1247">
        <f t="shared" ref="G1006" si="420">IF(F1005=0,(G1000-$C$1)/(G1000-F1000),F1006+1)</f>
        <v>3.2821899999999999</v>
      </c>
      <c r="H1006" s="1247">
        <f t="shared" ref="H1006" si="421">IF(G1005=0,(H1000-$C$1)/(H1000-G1000),G1006+1)</f>
        <v>4.2821899999999999</v>
      </c>
      <c r="I1006" s="1247">
        <f t="shared" ref="I1006" si="422">IF(H1005=0,(I1000-$C$1)/(I1000-H1000),H1006+1)</f>
        <v>5.2821899999999999</v>
      </c>
      <c r="J1006" s="1247">
        <f t="shared" ref="J1006" si="423">IF(I1005=0,(J1000-$C$1)/(J1000-I1000),I1006+1)</f>
        <v>6.2821899999999999</v>
      </c>
      <c r="K1006" s="1246"/>
      <c r="L1006" s="1246"/>
      <c r="M1006" s="1246"/>
      <c r="N1006" s="1246"/>
      <c r="O1006" s="1246"/>
      <c r="P1006" s="1246"/>
      <c r="Q1006" s="1246"/>
      <c r="R1006" s="1246"/>
    </row>
    <row r="1007" spans="2:18" x14ac:dyDescent="0.3">
      <c r="B1007" s="884" t="s">
        <v>1325</v>
      </c>
      <c r="C1007" s="885"/>
      <c r="D1007" s="1079" cm="1">
        <f t="array" ref="D1007">ROUND(interpoler(mat_zc,Taux_ZC,D1006),5)</f>
        <v>2.3599999999999999E-2</v>
      </c>
      <c r="E1007" s="1079" cm="1">
        <f t="array" ref="E1007">ROUND(interpoler(mat_zc,Taux_ZC,E1006),5)</f>
        <v>2.5579999999999999E-2</v>
      </c>
      <c r="F1007" s="1079" cm="1">
        <f t="array" ref="F1007">ROUND(interpoler(mat_zc,Taux_ZC,F1006),5)</f>
        <v>2.7140000000000001E-2</v>
      </c>
      <c r="G1007" s="1079" cm="1">
        <f t="array" ref="G1007">ROUND(interpoler(mat_zc,Taux_ZC,G1006),5)</f>
        <v>2.87E-2</v>
      </c>
      <c r="H1007" s="1079" cm="1">
        <f t="array" ref="H1007">ROUND(interpoler(mat_zc,Taux_ZC,H1006),5)</f>
        <v>3.014E-2</v>
      </c>
      <c r="I1007" s="1079" cm="1">
        <f t="array" ref="I1007">ROUND(interpoler(mat_zc,Taux_ZC,I1006),5)</f>
        <v>3.1060000000000001E-2</v>
      </c>
      <c r="J1007" s="1079" cm="1">
        <f t="array" ref="J1007">ROUND(interpoler(mat_zc,Taux_ZC,J1006),5)</f>
        <v>3.1579999999999997E-2</v>
      </c>
      <c r="K1007" s="1305"/>
      <c r="L1007" s="1305"/>
      <c r="M1007" s="1305"/>
      <c r="N1007" s="1305"/>
      <c r="O1007" s="1305"/>
      <c r="P1007" s="1305"/>
      <c r="Q1007" s="1305"/>
      <c r="R1007" s="1305"/>
    </row>
    <row r="1008" spans="2:18" x14ac:dyDescent="0.3">
      <c r="B1008" s="884" t="s">
        <v>1328</v>
      </c>
      <c r="C1008" s="885"/>
      <c r="D1008" s="896">
        <v>6.8599999999999998E-3</v>
      </c>
      <c r="E1008" s="896">
        <v>6.8599999999999998E-3</v>
      </c>
      <c r="F1008" s="896">
        <v>6.8599999999999998E-3</v>
      </c>
      <c r="G1008" s="896">
        <v>6.8599999999999998E-3</v>
      </c>
      <c r="H1008" s="896">
        <v>6.8599999999999998E-3</v>
      </c>
      <c r="I1008" s="896">
        <v>6.8599999999999998E-3</v>
      </c>
      <c r="J1008" s="896">
        <v>6.8599999999999998E-3</v>
      </c>
      <c r="K1008" s="58"/>
      <c r="L1008" s="58"/>
      <c r="M1008" s="58"/>
      <c r="N1008" s="58"/>
      <c r="O1008" s="58"/>
      <c r="P1008" s="58"/>
      <c r="Q1008" s="58"/>
      <c r="R1008" s="58"/>
    </row>
    <row r="1009" spans="2:18" x14ac:dyDescent="0.3">
      <c r="B1009" s="884" t="s">
        <v>1329</v>
      </c>
      <c r="C1009" s="885"/>
      <c r="D1009" s="897">
        <f t="shared" ref="D1009:J1009" si="424">ROUND(D1007+D1008,5)</f>
        <v>3.0460000000000001E-2</v>
      </c>
      <c r="E1009" s="897">
        <f t="shared" si="424"/>
        <v>3.2439999999999997E-2</v>
      </c>
      <c r="F1009" s="897">
        <f t="shared" si="424"/>
        <v>3.4000000000000002E-2</v>
      </c>
      <c r="G1009" s="897">
        <f t="shared" si="424"/>
        <v>3.5560000000000001E-2</v>
      </c>
      <c r="H1009" s="897">
        <f t="shared" si="424"/>
        <v>3.6999999999999998E-2</v>
      </c>
      <c r="I1009" s="897">
        <f t="shared" si="424"/>
        <v>3.7920000000000002E-2</v>
      </c>
      <c r="J1009" s="897">
        <f t="shared" si="424"/>
        <v>3.8440000000000002E-2</v>
      </c>
      <c r="K1009" s="102"/>
      <c r="L1009" s="102"/>
      <c r="M1009" s="102"/>
      <c r="N1009" s="102"/>
      <c r="O1009" s="102"/>
      <c r="P1009" s="102"/>
      <c r="Q1009" s="102"/>
      <c r="R1009" s="102"/>
    </row>
    <row r="1010" spans="2:18" x14ac:dyDescent="0.3">
      <c r="B1010" s="884"/>
      <c r="C1010" s="885"/>
      <c r="D1010" s="886">
        <f>ROUND(D1005/(1+D1009)^D1006,4)</f>
        <v>17239.127499999999</v>
      </c>
      <c r="E1010" s="886">
        <f t="shared" ref="E1010:J1010" si="425">ROUND(E1005/(1+E1009)^E1006,4)</f>
        <v>16263.323899999999</v>
      </c>
      <c r="F1010" s="886">
        <f t="shared" si="425"/>
        <v>15287.811400000001</v>
      </c>
      <c r="G1010" s="886">
        <f t="shared" si="425"/>
        <v>14317.2683</v>
      </c>
      <c r="H1010" s="886">
        <f t="shared" si="425"/>
        <v>13364.554599999999</v>
      </c>
      <c r="I1010" s="886">
        <f t="shared" si="425"/>
        <v>12463.6656</v>
      </c>
      <c r="J1010" s="886">
        <f t="shared" si="425"/>
        <v>11621.160599999999</v>
      </c>
      <c r="K1010" s="512"/>
      <c r="L1010" s="512"/>
      <c r="M1010" s="512"/>
      <c r="N1010" s="512"/>
      <c r="O1010" s="512"/>
      <c r="P1010" s="512"/>
      <c r="Q1010" s="512"/>
      <c r="R1010" s="512"/>
    </row>
    <row r="1011" spans="2:18" x14ac:dyDescent="0.3">
      <c r="B1011" s="367"/>
      <c r="C1011" s="367"/>
      <c r="D1011" s="488"/>
    </row>
    <row r="1012" spans="2:18" x14ac:dyDescent="0.3">
      <c r="B1012" s="585" t="s">
        <v>650</v>
      </c>
      <c r="C1012" s="586">
        <f>SUM(D1010:J1010)</f>
        <v>100556.91190000001</v>
      </c>
      <c r="D1012" s="500"/>
    </row>
    <row r="1013" spans="2:18" x14ac:dyDescent="0.3">
      <c r="B1013" s="585" t="s">
        <v>1331</v>
      </c>
      <c r="C1013" s="586">
        <f>+SUMPRODUCT(E1006:AG1006,E1010:AG1010)/C1012</f>
        <v>2.9715083879762219</v>
      </c>
      <c r="D1013" s="365"/>
    </row>
    <row r="1017" spans="2:18" ht="16.5" x14ac:dyDescent="0.3">
      <c r="B1017" s="879" t="s">
        <v>2976</v>
      </c>
      <c r="C1017" s="879">
        <v>101005</v>
      </c>
      <c r="D1017" s="691">
        <v>3.0200000000000001E-2</v>
      </c>
      <c r="E1017" s="1291" t="s">
        <v>3188</v>
      </c>
    </row>
    <row r="1018" spans="2:18" x14ac:dyDescent="0.3">
      <c r="B1018" s="1303"/>
      <c r="C1018" s="1303" t="s">
        <v>105</v>
      </c>
      <c r="D1018" s="1304"/>
    </row>
    <row r="1019" spans="2:18" x14ac:dyDescent="0.3">
      <c r="B1019" s="883"/>
      <c r="C1019" s="883">
        <v>45880</v>
      </c>
      <c r="D1019" s="883">
        <v>46245</v>
      </c>
      <c r="E1019" s="883">
        <v>46610</v>
      </c>
      <c r="F1019" s="883">
        <v>46976</v>
      </c>
      <c r="G1019" s="883">
        <v>47341</v>
      </c>
      <c r="H1019" s="883">
        <v>47706</v>
      </c>
      <c r="I1019" s="883">
        <v>48071</v>
      </c>
      <c r="J1019" s="883">
        <v>48437</v>
      </c>
    </row>
    <row r="1020" spans="2:18" x14ac:dyDescent="0.3">
      <c r="B1020" s="884" t="s">
        <v>1318</v>
      </c>
      <c r="C1020" s="885"/>
      <c r="D1020" s="886">
        <f>100000/7</f>
        <v>14285.714285714286</v>
      </c>
      <c r="E1020" s="886">
        <f t="shared" ref="E1020:J1020" si="426">100000/7</f>
        <v>14285.714285714286</v>
      </c>
      <c r="F1020" s="886">
        <f t="shared" si="426"/>
        <v>14285.714285714286</v>
      </c>
      <c r="G1020" s="886">
        <f t="shared" si="426"/>
        <v>14285.714285714286</v>
      </c>
      <c r="H1020" s="886">
        <f t="shared" si="426"/>
        <v>14285.714285714286</v>
      </c>
      <c r="I1020" s="886">
        <f t="shared" si="426"/>
        <v>14285.714285714286</v>
      </c>
      <c r="J1020" s="886">
        <f t="shared" si="426"/>
        <v>14285.714285714286</v>
      </c>
    </row>
    <row r="1021" spans="2:18" x14ac:dyDescent="0.3">
      <c r="B1021" s="884" t="s">
        <v>1320</v>
      </c>
      <c r="C1021" s="887">
        <v>100000</v>
      </c>
      <c r="D1021" s="888">
        <f>+C1021-D1020</f>
        <v>85714.28571428571</v>
      </c>
      <c r="E1021" s="888">
        <f>+D1021-E1020</f>
        <v>71428.57142857142</v>
      </c>
      <c r="F1021" s="888">
        <f t="shared" ref="F1021" si="427">+E1021-F1020</f>
        <v>57142.85714285713</v>
      </c>
      <c r="G1021" s="888">
        <f t="shared" ref="G1021" si="428">+F1021-G1020</f>
        <v>42857.142857142841</v>
      </c>
      <c r="H1021" s="888">
        <f t="shared" ref="H1021" si="429">+G1021-H1020</f>
        <v>28571.428571428554</v>
      </c>
      <c r="I1021" s="888">
        <f t="shared" ref="I1021" si="430">+H1021-I1020</f>
        <v>14285.714285714268</v>
      </c>
      <c r="J1021" s="888">
        <f t="shared" ref="J1021" si="431">+I1021-J1020</f>
        <v>-1.8189894035458565E-11</v>
      </c>
    </row>
    <row r="1022" spans="2:18" x14ac:dyDescent="0.3">
      <c r="B1022" s="884" t="s">
        <v>1321</v>
      </c>
      <c r="C1022" s="890"/>
      <c r="D1022" s="890">
        <f>C1021*$D$1017</f>
        <v>3020</v>
      </c>
      <c r="E1022" s="890">
        <f t="shared" ref="E1022:J1022" si="432">D1021*$D$1017</f>
        <v>2588.5714285714284</v>
      </c>
      <c r="F1022" s="890">
        <f t="shared" si="432"/>
        <v>2157.1428571428569</v>
      </c>
      <c r="G1022" s="890">
        <f t="shared" si="432"/>
        <v>1725.7142857142853</v>
      </c>
      <c r="H1022" s="890">
        <f t="shared" si="432"/>
        <v>1294.2857142857138</v>
      </c>
      <c r="I1022" s="890">
        <f t="shared" si="432"/>
        <v>862.85714285714232</v>
      </c>
      <c r="J1022" s="890">
        <f t="shared" si="432"/>
        <v>431.42857142857093</v>
      </c>
    </row>
    <row r="1023" spans="2:18" x14ac:dyDescent="0.3">
      <c r="B1023" s="884" t="s">
        <v>1322</v>
      </c>
      <c r="C1023" s="885"/>
      <c r="D1023" s="888">
        <f>+D1022+D1020</f>
        <v>17305.714285714286</v>
      </c>
      <c r="E1023" s="888">
        <f>+E1022+E1020</f>
        <v>16874.285714285714</v>
      </c>
      <c r="F1023" s="888">
        <f t="shared" ref="F1023:J1023" si="433">+F1022+F1020</f>
        <v>16442.857142857145</v>
      </c>
      <c r="G1023" s="888">
        <f t="shared" si="433"/>
        <v>16011.428571428572</v>
      </c>
      <c r="H1023" s="888">
        <f t="shared" si="433"/>
        <v>15580</v>
      </c>
      <c r="I1023" s="888">
        <f t="shared" si="433"/>
        <v>15148.571428571429</v>
      </c>
      <c r="J1023" s="888">
        <f t="shared" si="433"/>
        <v>14717.142857142857</v>
      </c>
    </row>
    <row r="1024" spans="2:18" x14ac:dyDescent="0.3">
      <c r="B1024" s="884" t="s">
        <v>1323</v>
      </c>
      <c r="C1024" s="887"/>
      <c r="D1024" s="888">
        <f>+IF(D1019&gt;$C$1,D1023,0)</f>
        <v>17305.714285714286</v>
      </c>
      <c r="E1024" s="888">
        <f>+IF(E1019&gt;$C$1,E1023,0)</f>
        <v>16874.285714285714</v>
      </c>
      <c r="F1024" s="888">
        <f t="shared" ref="F1024:J1024" si="434">+IF(F1019&gt;$C$1,F1023,0)</f>
        <v>16442.857142857145</v>
      </c>
      <c r="G1024" s="888">
        <f t="shared" si="434"/>
        <v>16011.428571428572</v>
      </c>
      <c r="H1024" s="888">
        <f t="shared" si="434"/>
        <v>15580</v>
      </c>
      <c r="I1024" s="888">
        <f t="shared" si="434"/>
        <v>15148.571428571429</v>
      </c>
      <c r="J1024" s="888">
        <f t="shared" si="434"/>
        <v>14717.142857142857</v>
      </c>
    </row>
    <row r="1025" spans="2:10" x14ac:dyDescent="0.3">
      <c r="B1025" s="884" t="s">
        <v>1324</v>
      </c>
      <c r="C1025" s="1247"/>
      <c r="D1025" s="1247">
        <f>ROUND(IF(C1024=0,(D1019-$C$1)/(D1019-C1019),C1025+1),5)</f>
        <v>0.37808000000000003</v>
      </c>
      <c r="E1025" s="1247">
        <f>IF(D1024=0,(E1019-$C$1)/(E1019-D1019),D1025+1)</f>
        <v>1.37808</v>
      </c>
      <c r="F1025" s="1247">
        <f t="shared" ref="F1025" si="435">IF(E1024=0,(F1019-$C$1)/(F1019-E1019),E1025+1)</f>
        <v>2.3780799999999997</v>
      </c>
      <c r="G1025" s="1247">
        <f t="shared" ref="G1025" si="436">IF(F1024=0,(G1019-$C$1)/(G1019-F1019),F1025+1)</f>
        <v>3.3780799999999997</v>
      </c>
      <c r="H1025" s="1247">
        <f t="shared" ref="H1025" si="437">IF(G1024=0,(H1019-$C$1)/(H1019-G1019),G1025+1)</f>
        <v>4.3780799999999997</v>
      </c>
      <c r="I1025" s="1247">
        <f t="shared" ref="I1025" si="438">IF(H1024=0,(I1019-$C$1)/(I1019-H1019),H1025+1)</f>
        <v>5.3780799999999997</v>
      </c>
      <c r="J1025" s="1247">
        <f t="shared" ref="J1025" si="439">IF(I1024=0,(J1019-$C$1)/(J1019-I1019),I1025+1)</f>
        <v>6.3780799999999997</v>
      </c>
    </row>
    <row r="1026" spans="2:10" x14ac:dyDescent="0.3">
      <c r="B1026" s="884" t="s">
        <v>1325</v>
      </c>
      <c r="C1026" s="885"/>
      <c r="D1026" s="1079" cm="1">
        <f t="array" ref="D1026">ROUND(interpoler(mat_zc,Taux_ZC,D1025),5)</f>
        <v>2.385E-2</v>
      </c>
      <c r="E1026" s="1079" cm="1">
        <f t="array" ref="E1026">ROUND(interpoler(mat_zc,Taux_ZC,E1025),5)</f>
        <v>2.5729999999999999E-2</v>
      </c>
      <c r="F1026" s="1079" cm="1">
        <f t="array" ref="F1026">ROUND(interpoler(mat_zc,Taux_ZC,F1025),5)</f>
        <v>2.7289999999999998E-2</v>
      </c>
      <c r="G1026" s="1079" cm="1">
        <f t="array" ref="G1026">ROUND(interpoler(mat_zc,Taux_ZC,G1025),5)</f>
        <v>2.8850000000000001E-2</v>
      </c>
      <c r="H1026" s="1079" cm="1">
        <f t="array" ref="H1026">ROUND(interpoler(mat_zc,Taux_ZC,H1025),5)</f>
        <v>3.024E-2</v>
      </c>
      <c r="I1026" s="1079" cm="1">
        <f t="array" ref="I1026">ROUND(interpoler(mat_zc,Taux_ZC,I1025),5)</f>
        <v>3.1109999999999999E-2</v>
      </c>
      <c r="J1026" s="1079" cm="1">
        <f t="array" ref="J1026">ROUND(interpoler(mat_zc,Taux_ZC,J1025),5)</f>
        <v>3.1620000000000002E-2</v>
      </c>
    </row>
    <row r="1027" spans="2:10" x14ac:dyDescent="0.3">
      <c r="B1027" s="884" t="s">
        <v>1328</v>
      </c>
      <c r="C1027" s="885"/>
      <c r="D1027" s="896">
        <v>6.1700000000000001E-3</v>
      </c>
      <c r="E1027" s="896">
        <v>6.1700000000000001E-3</v>
      </c>
      <c r="F1027" s="896">
        <v>6.1700000000000001E-3</v>
      </c>
      <c r="G1027" s="896">
        <v>6.1700000000000001E-3</v>
      </c>
      <c r="H1027" s="896">
        <v>6.1700000000000001E-3</v>
      </c>
      <c r="I1027" s="896">
        <v>6.1700000000000001E-3</v>
      </c>
      <c r="J1027" s="896">
        <v>6.1700000000000001E-3</v>
      </c>
    </row>
    <row r="1028" spans="2:10" x14ac:dyDescent="0.3">
      <c r="B1028" s="884" t="s">
        <v>1329</v>
      </c>
      <c r="C1028" s="885"/>
      <c r="D1028" s="897">
        <f t="shared" ref="D1028:J1028" si="440">ROUND(D1026+D1027,5)</f>
        <v>3.0020000000000002E-2</v>
      </c>
      <c r="E1028" s="897">
        <f t="shared" si="440"/>
        <v>3.1899999999999998E-2</v>
      </c>
      <c r="F1028" s="897">
        <f t="shared" si="440"/>
        <v>3.3459999999999997E-2</v>
      </c>
      <c r="G1028" s="897">
        <f t="shared" si="440"/>
        <v>3.5020000000000003E-2</v>
      </c>
      <c r="H1028" s="897">
        <f t="shared" si="440"/>
        <v>3.6409999999999998E-2</v>
      </c>
      <c r="I1028" s="897">
        <f t="shared" si="440"/>
        <v>3.7280000000000001E-2</v>
      </c>
      <c r="J1028" s="897">
        <f t="shared" si="440"/>
        <v>3.7789999999999997E-2</v>
      </c>
    </row>
    <row r="1029" spans="2:10" x14ac:dyDescent="0.3">
      <c r="B1029" s="884"/>
      <c r="C1029" s="885"/>
      <c r="D1029" s="886">
        <f>ROUND(D1024/(1+D1028)^D1025,4)</f>
        <v>17113.2637</v>
      </c>
      <c r="E1029" s="886">
        <f t="shared" ref="E1029:J1029" si="441">ROUND(E1024/(1+E1028)^E1025,4)</f>
        <v>16159.639800000001</v>
      </c>
      <c r="F1029" s="886">
        <f t="shared" si="441"/>
        <v>15204.977699999999</v>
      </c>
      <c r="G1029" s="886">
        <f t="shared" si="441"/>
        <v>14253.8451</v>
      </c>
      <c r="H1029" s="886">
        <f t="shared" si="441"/>
        <v>13321.983399999999</v>
      </c>
      <c r="I1029" s="886">
        <f t="shared" si="441"/>
        <v>12441.7565</v>
      </c>
      <c r="J1029" s="886">
        <f t="shared" si="441"/>
        <v>11616.5173</v>
      </c>
    </row>
    <row r="1030" spans="2:10" x14ac:dyDescent="0.3">
      <c r="B1030" s="367"/>
      <c r="C1030" s="367"/>
      <c r="D1030" s="488"/>
    </row>
    <row r="1031" spans="2:10" x14ac:dyDescent="0.3">
      <c r="B1031" s="585" t="s">
        <v>650</v>
      </c>
      <c r="C1031" s="586">
        <f>SUM(D1029:J1029)</f>
        <v>100111.9835</v>
      </c>
      <c r="D1031" s="500"/>
    </row>
    <row r="1032" spans="2:10" x14ac:dyDescent="0.3">
      <c r="B1032" s="585" t="s">
        <v>1331</v>
      </c>
      <c r="C1032" s="586">
        <f>+SUMPRODUCT(E1025:AG1025,E1029:AG1029)/C1031</f>
        <v>3.05564924085221</v>
      </c>
      <c r="D1032" s="365"/>
    </row>
    <row r="1037" spans="2:10" ht="16.5" x14ac:dyDescent="0.3">
      <c r="B1037" s="879" t="s">
        <v>2976</v>
      </c>
      <c r="C1037" s="879">
        <v>101006</v>
      </c>
      <c r="D1037" s="691">
        <v>2.8199999999999999E-2</v>
      </c>
      <c r="E1037" s="1291" t="s">
        <v>3188</v>
      </c>
    </row>
    <row r="1038" spans="2:10" x14ac:dyDescent="0.3">
      <c r="B1038" s="1303"/>
      <c r="C1038" s="1303" t="s">
        <v>105</v>
      </c>
      <c r="D1038" s="1304"/>
    </row>
    <row r="1039" spans="2:10" x14ac:dyDescent="0.3">
      <c r="B1039" s="883"/>
      <c r="C1039" s="883">
        <v>45881</v>
      </c>
      <c r="D1039" s="883">
        <v>46246</v>
      </c>
      <c r="E1039" s="883">
        <v>46611</v>
      </c>
      <c r="F1039" s="883">
        <v>46977</v>
      </c>
      <c r="G1039" s="883">
        <v>47342</v>
      </c>
      <c r="H1039" s="883">
        <v>47707</v>
      </c>
    </row>
    <row r="1040" spans="2:10" x14ac:dyDescent="0.3">
      <c r="B1040" s="884" t="s">
        <v>1318</v>
      </c>
      <c r="C1040" s="885"/>
      <c r="D1040" s="886">
        <f>100000/5</f>
        <v>20000</v>
      </c>
      <c r="E1040" s="886">
        <f t="shared" ref="E1040:H1040" si="442">100000/5</f>
        <v>20000</v>
      </c>
      <c r="F1040" s="886">
        <f t="shared" si="442"/>
        <v>20000</v>
      </c>
      <c r="G1040" s="886">
        <f t="shared" si="442"/>
        <v>20000</v>
      </c>
      <c r="H1040" s="886">
        <f t="shared" si="442"/>
        <v>20000</v>
      </c>
    </row>
    <row r="1041" spans="2:8" x14ac:dyDescent="0.3">
      <c r="B1041" s="884" t="s">
        <v>1320</v>
      </c>
      <c r="C1041" s="887">
        <v>100000</v>
      </c>
      <c r="D1041" s="888">
        <f>+C1041-D1040</f>
        <v>80000</v>
      </c>
      <c r="E1041" s="888">
        <f>+D1041-E1040</f>
        <v>60000</v>
      </c>
      <c r="F1041" s="888">
        <f t="shared" ref="F1041" si="443">+E1041-F1040</f>
        <v>40000</v>
      </c>
      <c r="G1041" s="888">
        <f t="shared" ref="G1041" si="444">+F1041-G1040</f>
        <v>20000</v>
      </c>
      <c r="H1041" s="888">
        <f t="shared" ref="H1041" si="445">+G1041-H1040</f>
        <v>0</v>
      </c>
    </row>
    <row r="1042" spans="2:8" x14ac:dyDescent="0.3">
      <c r="B1042" s="884" t="s">
        <v>1321</v>
      </c>
      <c r="C1042" s="890"/>
      <c r="D1042" s="890">
        <f>C1041*$D$1037</f>
        <v>2820</v>
      </c>
      <c r="E1042" s="890">
        <f t="shared" ref="E1042:H1042" si="446">D1041*$D$1037</f>
        <v>2256</v>
      </c>
      <c r="F1042" s="890">
        <f t="shared" si="446"/>
        <v>1692</v>
      </c>
      <c r="G1042" s="890">
        <f t="shared" si="446"/>
        <v>1128</v>
      </c>
      <c r="H1042" s="890">
        <f t="shared" si="446"/>
        <v>564</v>
      </c>
    </row>
    <row r="1043" spans="2:8" x14ac:dyDescent="0.3">
      <c r="B1043" s="884" t="s">
        <v>1322</v>
      </c>
      <c r="C1043" s="885"/>
      <c r="D1043" s="888">
        <f>+D1042+D1040</f>
        <v>22820</v>
      </c>
      <c r="E1043" s="888">
        <f>+E1042+E1040</f>
        <v>22256</v>
      </c>
      <c r="F1043" s="888">
        <f t="shared" ref="F1043:H1043" si="447">+F1042+F1040</f>
        <v>21692</v>
      </c>
      <c r="G1043" s="888">
        <f t="shared" si="447"/>
        <v>21128</v>
      </c>
      <c r="H1043" s="888">
        <f t="shared" si="447"/>
        <v>20564</v>
      </c>
    </row>
    <row r="1044" spans="2:8" x14ac:dyDescent="0.3">
      <c r="B1044" s="884" t="s">
        <v>1323</v>
      </c>
      <c r="C1044" s="887"/>
      <c r="D1044" s="888">
        <f>+IF(D1039&gt;$C$1,D1043,0)</f>
        <v>22820</v>
      </c>
      <c r="E1044" s="888">
        <f>+IF(E1039&gt;$C$1,E1043,0)</f>
        <v>22256</v>
      </c>
      <c r="F1044" s="888">
        <f t="shared" ref="F1044:H1044" si="448">+IF(F1039&gt;$C$1,F1043,0)</f>
        <v>21692</v>
      </c>
      <c r="G1044" s="888">
        <f t="shared" si="448"/>
        <v>21128</v>
      </c>
      <c r="H1044" s="888">
        <f t="shared" si="448"/>
        <v>20564</v>
      </c>
    </row>
    <row r="1045" spans="2:8" x14ac:dyDescent="0.3">
      <c r="B1045" s="884" t="s">
        <v>1324</v>
      </c>
      <c r="C1045" s="1247"/>
      <c r="D1045" s="1247">
        <f>ROUND(IF(C1044=0,(D1039-$C$1)/(D1039-C1039),C1045+1),5)</f>
        <v>0.38081999999999999</v>
      </c>
      <c r="E1045" s="1247">
        <f>IF(D1044=0,(E1039-$C$1)/(E1039-D1039),D1045+1)</f>
        <v>1.3808199999999999</v>
      </c>
      <c r="F1045" s="1247">
        <f t="shared" ref="F1045" si="449">IF(E1044=0,(F1039-$C$1)/(F1039-E1039),E1045+1)</f>
        <v>2.3808199999999999</v>
      </c>
      <c r="G1045" s="1247">
        <f t="shared" ref="G1045" si="450">IF(F1044=0,(G1039-$C$1)/(G1039-F1039),F1045+1)</f>
        <v>3.3808199999999999</v>
      </c>
      <c r="H1045" s="1247">
        <f t="shared" ref="H1045" si="451">IF(G1044=0,(H1039-$C$1)/(H1039-G1039),G1045+1)</f>
        <v>4.3808199999999999</v>
      </c>
    </row>
    <row r="1046" spans="2:8" x14ac:dyDescent="0.3">
      <c r="B1046" s="884" t="s">
        <v>1325</v>
      </c>
      <c r="C1046" s="885"/>
      <c r="D1046" s="1079" cm="1">
        <f t="array" ref="D1046">ROUND(interpoler(mat_zc,Taux_ZC,D1045),5)</f>
        <v>2.3859999999999999E-2</v>
      </c>
      <c r="E1046" s="1079" cm="1">
        <f t="array" ref="E1046">ROUND(interpoler(mat_zc,Taux_ZC,E1045),5)</f>
        <v>2.5739999999999999E-2</v>
      </c>
      <c r="F1046" s="1079" cm="1">
        <f t="array" ref="F1046">ROUND(interpoler(mat_zc,Taux_ZC,F1045),5)</f>
        <v>2.7289999999999998E-2</v>
      </c>
      <c r="G1046" s="1079" cm="1">
        <f t="array" ref="G1046">ROUND(interpoler(mat_zc,Taux_ZC,G1045),5)</f>
        <v>2.886E-2</v>
      </c>
      <c r="H1046" s="1079" cm="1">
        <f t="array" ref="H1046">ROUND(interpoler(mat_zc,Taux_ZC,H1045),5)</f>
        <v>3.024E-2</v>
      </c>
    </row>
    <row r="1047" spans="2:8" x14ac:dyDescent="0.3">
      <c r="B1047" s="884" t="s">
        <v>1328</v>
      </c>
      <c r="C1047" s="885"/>
      <c r="D1047" s="896">
        <v>5.0000000000000001E-3</v>
      </c>
      <c r="E1047" s="896">
        <v>5.0000000000000001E-3</v>
      </c>
      <c r="F1047" s="896">
        <v>5.0000000000000001E-3</v>
      </c>
      <c r="G1047" s="896">
        <v>5.0000000000000001E-3</v>
      </c>
      <c r="H1047" s="896">
        <v>5.0000000000000001E-3</v>
      </c>
    </row>
    <row r="1048" spans="2:8" x14ac:dyDescent="0.3">
      <c r="B1048" s="884" t="s">
        <v>1329</v>
      </c>
      <c r="C1048" s="885"/>
      <c r="D1048" s="897">
        <f t="shared" ref="D1048:H1048" si="452">ROUND(D1046+D1047,5)</f>
        <v>2.886E-2</v>
      </c>
      <c r="E1048" s="897">
        <f t="shared" si="452"/>
        <v>3.074E-2</v>
      </c>
      <c r="F1048" s="897">
        <f t="shared" si="452"/>
        <v>3.2289999999999999E-2</v>
      </c>
      <c r="G1048" s="897">
        <f t="shared" si="452"/>
        <v>3.3860000000000001E-2</v>
      </c>
      <c r="H1048" s="897">
        <f t="shared" si="452"/>
        <v>3.524E-2</v>
      </c>
    </row>
    <row r="1049" spans="2:8" x14ac:dyDescent="0.3">
      <c r="B1049" s="884"/>
      <c r="C1049" s="885"/>
      <c r="D1049" s="886">
        <f>ROUND(D1044/(1+D1048)^D1045,4)</f>
        <v>22574.0831</v>
      </c>
      <c r="E1049" s="886">
        <f t="shared" ref="E1049:H1049" si="453">ROUND(E1044/(1+E1048)^E1045,4)</f>
        <v>21344.723399999999</v>
      </c>
      <c r="F1049" s="886">
        <f t="shared" si="453"/>
        <v>20111.301800000001</v>
      </c>
      <c r="G1049" s="886">
        <f t="shared" si="453"/>
        <v>18878.429899999999</v>
      </c>
      <c r="H1049" s="886">
        <f t="shared" si="453"/>
        <v>17669.143100000001</v>
      </c>
    </row>
    <row r="1050" spans="2:8" x14ac:dyDescent="0.3">
      <c r="B1050" s="367"/>
      <c r="C1050" s="367"/>
      <c r="D1050" s="488"/>
    </row>
    <row r="1051" spans="2:8" x14ac:dyDescent="0.3">
      <c r="B1051" s="585" t="s">
        <v>650</v>
      </c>
      <c r="C1051" s="586">
        <f>SUM(D1049:J1049)</f>
        <v>100577.6813</v>
      </c>
      <c r="D1051" s="500"/>
    </row>
    <row r="1052" spans="2:8" x14ac:dyDescent="0.3">
      <c r="B1052" s="585" t="s">
        <v>1331</v>
      </c>
      <c r="C1052" s="586">
        <f>+SUMPRODUCT(E1045:AG1045,E1049:AG1049)/C1051</f>
        <v>2.1732905008471692</v>
      </c>
      <c r="D1052" s="365"/>
    </row>
    <row r="1057" spans="2:8" ht="16.5" x14ac:dyDescent="0.3">
      <c r="B1057" s="879" t="s">
        <v>2976</v>
      </c>
      <c r="C1057" s="879">
        <v>9744</v>
      </c>
      <c r="D1057" s="691">
        <v>4.02E-2</v>
      </c>
      <c r="E1057" s="1291" t="s">
        <v>3188</v>
      </c>
    </row>
    <row r="1058" spans="2:8" x14ac:dyDescent="0.3">
      <c r="B1058" s="1303"/>
      <c r="C1058" s="1303" t="s">
        <v>105</v>
      </c>
      <c r="D1058" s="1304"/>
    </row>
    <row r="1059" spans="2:8" x14ac:dyDescent="0.3">
      <c r="B1059" s="883"/>
      <c r="C1059" s="883">
        <v>45973</v>
      </c>
      <c r="D1059" s="883">
        <v>46338</v>
      </c>
      <c r="E1059" s="883">
        <v>46703</v>
      </c>
      <c r="F1059" s="883">
        <v>47069</v>
      </c>
      <c r="G1059" s="883">
        <v>47434</v>
      </c>
      <c r="H1059" s="883">
        <v>47799</v>
      </c>
    </row>
    <row r="1060" spans="2:8" x14ac:dyDescent="0.3">
      <c r="B1060" s="884" t="s">
        <v>1318</v>
      </c>
      <c r="C1060" s="885"/>
      <c r="D1060" s="886">
        <f>100000/5</f>
        <v>20000</v>
      </c>
      <c r="E1060" s="886">
        <f t="shared" ref="E1060:H1060" si="454">100000/5</f>
        <v>20000</v>
      </c>
      <c r="F1060" s="886">
        <f t="shared" si="454"/>
        <v>20000</v>
      </c>
      <c r="G1060" s="886">
        <f t="shared" si="454"/>
        <v>20000</v>
      </c>
      <c r="H1060" s="886">
        <f t="shared" si="454"/>
        <v>20000</v>
      </c>
    </row>
    <row r="1061" spans="2:8" x14ac:dyDescent="0.3">
      <c r="B1061" s="884" t="s">
        <v>1320</v>
      </c>
      <c r="C1061" s="887">
        <v>100000</v>
      </c>
      <c r="D1061" s="888">
        <f>+C1061-D1060</f>
        <v>80000</v>
      </c>
      <c r="E1061" s="888">
        <f>+D1061-E1060</f>
        <v>60000</v>
      </c>
      <c r="F1061" s="888">
        <f t="shared" ref="F1061" si="455">+E1061-F1060</f>
        <v>40000</v>
      </c>
      <c r="G1061" s="888">
        <f t="shared" ref="G1061" si="456">+F1061-G1060</f>
        <v>20000</v>
      </c>
      <c r="H1061" s="888">
        <f t="shared" ref="H1061" si="457">+G1061-H1060</f>
        <v>0</v>
      </c>
    </row>
    <row r="1062" spans="2:8" x14ac:dyDescent="0.3">
      <c r="B1062" s="884" t="s">
        <v>1321</v>
      </c>
      <c r="C1062" s="890"/>
      <c r="D1062" s="890">
        <f>C1061*$D$1057</f>
        <v>4020</v>
      </c>
      <c r="E1062" s="890">
        <f t="shared" ref="E1062:H1062" si="458">D1061*$D$1057</f>
        <v>3216</v>
      </c>
      <c r="F1062" s="890">
        <f t="shared" si="458"/>
        <v>2412</v>
      </c>
      <c r="G1062" s="890">
        <f t="shared" si="458"/>
        <v>1608</v>
      </c>
      <c r="H1062" s="890">
        <f t="shared" si="458"/>
        <v>804</v>
      </c>
    </row>
    <row r="1063" spans="2:8" x14ac:dyDescent="0.3">
      <c r="B1063" s="884" t="s">
        <v>1322</v>
      </c>
      <c r="C1063" s="885"/>
      <c r="D1063" s="888">
        <f>+D1062+D1060</f>
        <v>24020</v>
      </c>
      <c r="E1063" s="888">
        <f>+E1062+E1060</f>
        <v>23216</v>
      </c>
      <c r="F1063" s="888">
        <f t="shared" ref="F1063:H1063" si="459">+F1062+F1060</f>
        <v>22412</v>
      </c>
      <c r="G1063" s="888">
        <f t="shared" si="459"/>
        <v>21608</v>
      </c>
      <c r="H1063" s="888">
        <f t="shared" si="459"/>
        <v>20804</v>
      </c>
    </row>
    <row r="1064" spans="2:8" x14ac:dyDescent="0.3">
      <c r="B1064" s="884" t="s">
        <v>1323</v>
      </c>
      <c r="C1064" s="887"/>
      <c r="D1064" s="888">
        <f>+IF(D1059&gt;$C$1,D1063,0)</f>
        <v>24020</v>
      </c>
      <c r="E1064" s="888">
        <f>+IF(E1059&gt;$C$1,E1063,0)</f>
        <v>23216</v>
      </c>
      <c r="F1064" s="888">
        <f t="shared" ref="F1064:H1064" si="460">+IF(F1059&gt;$C$1,F1063,0)</f>
        <v>22412</v>
      </c>
      <c r="G1064" s="888">
        <f t="shared" si="460"/>
        <v>21608</v>
      </c>
      <c r="H1064" s="888">
        <f t="shared" si="460"/>
        <v>20804</v>
      </c>
    </row>
    <row r="1065" spans="2:8" x14ac:dyDescent="0.3">
      <c r="B1065" s="884" t="s">
        <v>1324</v>
      </c>
      <c r="C1065" s="1247"/>
      <c r="D1065" s="1247">
        <f>ROUND(IF(C1064=0,(D1059-$C$1)/(D1059-C1059),C1065+1),5)</f>
        <v>0.63288</v>
      </c>
      <c r="E1065" s="1247">
        <f>IF(D1064=0,(E1059-$C$1)/(E1059-D1059),D1065+1)</f>
        <v>1.6328800000000001</v>
      </c>
      <c r="F1065" s="1247">
        <f t="shared" ref="F1065" si="461">IF(E1064=0,(F1059-$C$1)/(F1059-E1059),E1065+1)</f>
        <v>2.6328800000000001</v>
      </c>
      <c r="G1065" s="1247">
        <f t="shared" ref="G1065" si="462">IF(F1064=0,(G1059-$C$1)/(G1059-F1059),F1065+1)</f>
        <v>3.6328800000000001</v>
      </c>
      <c r="H1065" s="1247">
        <f t="shared" ref="H1065" si="463">IF(G1064=0,(H1059-$C$1)/(H1059-G1059),G1065+1)</f>
        <v>4.6328800000000001</v>
      </c>
    </row>
    <row r="1066" spans="2:8" x14ac:dyDescent="0.3">
      <c r="B1066" s="884" t="s">
        <v>1325</v>
      </c>
      <c r="C1066" s="885"/>
      <c r="D1066" s="1079" cm="1">
        <f t="array" ref="D1066">ROUND(interpoler(mat_zc,Taux_ZC,D1065),5)</f>
        <v>2.4410000000000001E-2</v>
      </c>
      <c r="E1066" s="1079" cm="1">
        <f t="array" ref="E1066">ROUND(interpoler(mat_zc,Taux_ZC,E1065),5)</f>
        <v>2.613E-2</v>
      </c>
      <c r="F1066" s="1079" cm="1">
        <f t="array" ref="F1066">ROUND(interpoler(mat_zc,Taux_ZC,F1065),5)</f>
        <v>2.7689999999999999E-2</v>
      </c>
      <c r="G1066" s="1079" cm="1">
        <f t="array" ref="G1066">ROUND(interpoler(mat_zc,Taux_ZC,G1065),5)</f>
        <v>2.9250000000000002E-2</v>
      </c>
      <c r="H1066" s="1079" cm="1">
        <f t="array" ref="H1066">ROUND(interpoler(mat_zc,Taux_ZC,H1065),5)</f>
        <v>3.0509999999999999E-2</v>
      </c>
    </row>
    <row r="1067" spans="2:8" x14ac:dyDescent="0.3">
      <c r="B1067" s="884" t="s">
        <v>1328</v>
      </c>
      <c r="C1067" s="885"/>
      <c r="D1067" s="429">
        <v>1.4999999999999999E-2</v>
      </c>
      <c r="E1067" s="429">
        <v>1.4999999999999999E-2</v>
      </c>
      <c r="F1067" s="429">
        <v>1.4999999999999999E-2</v>
      </c>
      <c r="G1067" s="429">
        <v>1.4999999999999999E-2</v>
      </c>
      <c r="H1067" s="429">
        <v>1.4999999999999999E-2</v>
      </c>
    </row>
    <row r="1068" spans="2:8" x14ac:dyDescent="0.3">
      <c r="B1068" s="884" t="s">
        <v>1329</v>
      </c>
      <c r="C1068" s="885"/>
      <c r="D1068" s="897">
        <f t="shared" ref="D1068:H1068" si="464">ROUND(D1066+D1067,5)</f>
        <v>3.9410000000000001E-2</v>
      </c>
      <c r="E1068" s="897">
        <f t="shared" si="464"/>
        <v>4.113E-2</v>
      </c>
      <c r="F1068" s="897">
        <f t="shared" si="464"/>
        <v>4.2689999999999999E-2</v>
      </c>
      <c r="G1068" s="897">
        <f t="shared" si="464"/>
        <v>4.4249999999999998E-2</v>
      </c>
      <c r="H1068" s="897">
        <f t="shared" si="464"/>
        <v>4.5510000000000002E-2</v>
      </c>
    </row>
    <row r="1069" spans="2:8" x14ac:dyDescent="0.3">
      <c r="B1069" s="884"/>
      <c r="C1069" s="885"/>
      <c r="D1069" s="886">
        <f>ROUND(D1064/(1+D1068)^D1065,4)</f>
        <v>23439.530900000002</v>
      </c>
      <c r="E1069" s="886">
        <f t="shared" ref="E1069:H1069" si="465">ROUND(E1064/(1+E1068)^E1065,4)</f>
        <v>21737.2147</v>
      </c>
      <c r="F1069" s="886">
        <f t="shared" si="465"/>
        <v>20076.135999999999</v>
      </c>
      <c r="G1069" s="886">
        <f t="shared" si="465"/>
        <v>18462.9094</v>
      </c>
      <c r="H1069" s="886">
        <f t="shared" si="465"/>
        <v>16927.844300000001</v>
      </c>
    </row>
    <row r="1070" spans="2:8" x14ac:dyDescent="0.3">
      <c r="B1070" s="367"/>
      <c r="C1070" s="367"/>
      <c r="D1070" s="488"/>
    </row>
    <row r="1071" spans="2:8" x14ac:dyDescent="0.3">
      <c r="B1071" s="585" t="s">
        <v>650</v>
      </c>
      <c r="C1071" s="586">
        <f>SUM(D1069:J1069)</f>
        <v>100643.63529999999</v>
      </c>
      <c r="D1071" s="500"/>
    </row>
    <row r="1072" spans="2:8" x14ac:dyDescent="0.3">
      <c r="B1072" s="585" t="s">
        <v>1331</v>
      </c>
      <c r="C1072" s="586">
        <f>+SUMPRODUCT(E1065:AG1065,E1069:AG1069)/C1071</f>
        <v>2.3235500684728545</v>
      </c>
      <c r="D1072" s="365"/>
    </row>
    <row r="1077" spans="2:33" ht="16.5" x14ac:dyDescent="0.3">
      <c r="B1077" s="879" t="s">
        <v>2976</v>
      </c>
      <c r="C1077" s="879">
        <v>9500</v>
      </c>
      <c r="D1077" s="691">
        <v>3.5900000000000001E-2</v>
      </c>
      <c r="E1077" s="1291" t="s">
        <v>3188</v>
      </c>
    </row>
    <row r="1078" spans="2:33" x14ac:dyDescent="0.3">
      <c r="B1078" s="1303"/>
      <c r="C1078" s="1303" t="s">
        <v>105</v>
      </c>
      <c r="D1078" s="1304"/>
    </row>
    <row r="1079" spans="2:33" x14ac:dyDescent="0.3">
      <c r="B1079" s="883"/>
      <c r="C1079" s="883">
        <v>44319</v>
      </c>
      <c r="D1079" s="883">
        <v>44684</v>
      </c>
      <c r="E1079" s="883">
        <v>45049</v>
      </c>
      <c r="F1079" s="883">
        <v>45415</v>
      </c>
      <c r="G1079" s="883">
        <v>45780</v>
      </c>
      <c r="H1079" s="883">
        <v>46145</v>
      </c>
      <c r="I1079" s="883">
        <v>46510</v>
      </c>
      <c r="J1079" s="883">
        <v>46876</v>
      </c>
      <c r="K1079" s="883">
        <v>47241</v>
      </c>
      <c r="L1079" s="883">
        <v>47606</v>
      </c>
      <c r="M1079" s="883">
        <v>47971</v>
      </c>
      <c r="N1079" s="883">
        <v>48337</v>
      </c>
      <c r="O1079" s="883">
        <v>48702</v>
      </c>
      <c r="P1079" s="883">
        <v>49067</v>
      </c>
      <c r="Q1079" s="883">
        <v>49432</v>
      </c>
      <c r="R1079" s="883">
        <v>49798</v>
      </c>
      <c r="S1079" s="883">
        <v>50163</v>
      </c>
      <c r="T1079" s="883">
        <v>50528</v>
      </c>
      <c r="U1079" s="883">
        <v>50893</v>
      </c>
      <c r="V1079" s="883">
        <v>51259</v>
      </c>
      <c r="W1079" s="883">
        <v>51624</v>
      </c>
      <c r="X1079" s="883">
        <v>51989</v>
      </c>
      <c r="Y1079" s="883">
        <v>52354</v>
      </c>
      <c r="Z1079" s="883">
        <v>52720</v>
      </c>
      <c r="AA1079" s="883">
        <v>53085</v>
      </c>
      <c r="AB1079" s="883">
        <v>53450</v>
      </c>
      <c r="AC1079" s="883">
        <v>53815</v>
      </c>
      <c r="AD1079" s="883">
        <v>54181</v>
      </c>
      <c r="AE1079" s="883">
        <v>54546</v>
      </c>
      <c r="AF1079" s="883">
        <v>54911</v>
      </c>
      <c r="AG1079" s="883">
        <v>55276</v>
      </c>
    </row>
    <row r="1080" spans="2:33" x14ac:dyDescent="0.3">
      <c r="B1080" s="884" t="s">
        <v>1318</v>
      </c>
      <c r="C1080" s="886"/>
      <c r="D1080" s="886"/>
      <c r="E1080" s="886"/>
      <c r="F1080" s="886"/>
      <c r="G1080" s="886"/>
      <c r="H1080" s="886"/>
      <c r="I1080" s="886"/>
      <c r="J1080" s="886"/>
      <c r="K1080" s="886"/>
      <c r="L1080" s="886"/>
      <c r="M1080" s="886"/>
      <c r="N1080" s="886"/>
      <c r="O1080" s="886"/>
      <c r="P1080" s="886"/>
      <c r="Q1080" s="886"/>
      <c r="R1080" s="886"/>
      <c r="S1080" s="886">
        <f>100000/15</f>
        <v>6666.666666666667</v>
      </c>
      <c r="T1080" s="886">
        <f>100000/15</f>
        <v>6666.666666666667</v>
      </c>
      <c r="U1080" s="886">
        <f t="shared" ref="U1080:AG1080" si="466">100000/15</f>
        <v>6666.666666666667</v>
      </c>
      <c r="V1080" s="886">
        <f t="shared" si="466"/>
        <v>6666.666666666667</v>
      </c>
      <c r="W1080" s="886">
        <f t="shared" si="466"/>
        <v>6666.666666666667</v>
      </c>
      <c r="X1080" s="886">
        <f t="shared" si="466"/>
        <v>6666.666666666667</v>
      </c>
      <c r="Y1080" s="886">
        <f t="shared" si="466"/>
        <v>6666.666666666667</v>
      </c>
      <c r="Z1080" s="886">
        <f t="shared" si="466"/>
        <v>6666.666666666667</v>
      </c>
      <c r="AA1080" s="886">
        <f t="shared" si="466"/>
        <v>6666.666666666667</v>
      </c>
      <c r="AB1080" s="886">
        <f t="shared" si="466"/>
        <v>6666.666666666667</v>
      </c>
      <c r="AC1080" s="886">
        <f t="shared" si="466"/>
        <v>6666.666666666667</v>
      </c>
      <c r="AD1080" s="886">
        <f t="shared" si="466"/>
        <v>6666.666666666667</v>
      </c>
      <c r="AE1080" s="886">
        <f t="shared" si="466"/>
        <v>6666.666666666667</v>
      </c>
      <c r="AF1080" s="886">
        <f t="shared" si="466"/>
        <v>6666.666666666667</v>
      </c>
      <c r="AG1080" s="886">
        <f t="shared" si="466"/>
        <v>6666.666666666667</v>
      </c>
    </row>
    <row r="1081" spans="2:33" x14ac:dyDescent="0.3">
      <c r="B1081" s="884" t="s">
        <v>1320</v>
      </c>
      <c r="C1081" s="888">
        <v>100000</v>
      </c>
      <c r="D1081" s="888">
        <v>100000</v>
      </c>
      <c r="E1081" s="888">
        <f>+D1081-E1080</f>
        <v>100000</v>
      </c>
      <c r="F1081" s="888">
        <f t="shared" ref="F1081:P1081" si="467">+E1081-F1080</f>
        <v>100000</v>
      </c>
      <c r="G1081" s="888">
        <f t="shared" si="467"/>
        <v>100000</v>
      </c>
      <c r="H1081" s="888">
        <f t="shared" si="467"/>
        <v>100000</v>
      </c>
      <c r="I1081" s="888">
        <f t="shared" si="467"/>
        <v>100000</v>
      </c>
      <c r="J1081" s="888">
        <f t="shared" si="467"/>
        <v>100000</v>
      </c>
      <c r="K1081" s="888">
        <f t="shared" si="467"/>
        <v>100000</v>
      </c>
      <c r="L1081" s="888">
        <f t="shared" si="467"/>
        <v>100000</v>
      </c>
      <c r="M1081" s="888">
        <f t="shared" si="467"/>
        <v>100000</v>
      </c>
      <c r="N1081" s="888">
        <f t="shared" si="467"/>
        <v>100000</v>
      </c>
      <c r="O1081" s="888">
        <f t="shared" si="467"/>
        <v>100000</v>
      </c>
      <c r="P1081" s="888">
        <f t="shared" si="467"/>
        <v>100000</v>
      </c>
      <c r="Q1081" s="888">
        <f t="shared" ref="Q1081" si="468">+P1081-Q1080</f>
        <v>100000</v>
      </c>
      <c r="R1081" s="888">
        <f t="shared" ref="R1081" si="469">+Q1081-R1080</f>
        <v>100000</v>
      </c>
      <c r="S1081" s="888">
        <f t="shared" ref="S1081" si="470">+R1081-S1080</f>
        <v>93333.333333333328</v>
      </c>
      <c r="T1081" s="888">
        <f t="shared" ref="T1081" si="471">+S1081-T1080</f>
        <v>86666.666666666657</v>
      </c>
      <c r="U1081" s="888">
        <f t="shared" ref="U1081" si="472">+T1081-U1080</f>
        <v>79999.999999999985</v>
      </c>
      <c r="V1081" s="888">
        <f t="shared" ref="V1081" si="473">+U1081-V1080</f>
        <v>73333.333333333314</v>
      </c>
      <c r="W1081" s="888">
        <f t="shared" ref="W1081" si="474">+V1081-W1080</f>
        <v>66666.666666666642</v>
      </c>
      <c r="X1081" s="888">
        <f t="shared" ref="X1081" si="475">+W1081-X1080</f>
        <v>59999.999999999978</v>
      </c>
      <c r="Y1081" s="888">
        <f t="shared" ref="Y1081" si="476">+X1081-Y1080</f>
        <v>53333.333333333314</v>
      </c>
      <c r="Z1081" s="888">
        <f t="shared" ref="Z1081" si="477">+Y1081-Z1080</f>
        <v>46666.66666666665</v>
      </c>
      <c r="AA1081" s="888">
        <f t="shared" ref="AA1081" si="478">+Z1081-AA1080</f>
        <v>39999.999999999985</v>
      </c>
      <c r="AB1081" s="888">
        <f t="shared" ref="AB1081" si="479">+AA1081-AB1080</f>
        <v>33333.333333333321</v>
      </c>
      <c r="AC1081" s="888">
        <f t="shared" ref="AC1081" si="480">+AB1081-AC1080</f>
        <v>26666.666666666653</v>
      </c>
      <c r="AD1081" s="888">
        <f t="shared" ref="AD1081" si="481">+AC1081-AD1080</f>
        <v>19999.999999999985</v>
      </c>
      <c r="AE1081" s="888">
        <f t="shared" ref="AE1081" si="482">+AD1081-AE1080</f>
        <v>13333.333333333318</v>
      </c>
      <c r="AF1081" s="888">
        <f t="shared" ref="AF1081" si="483">+AE1081-AF1080</f>
        <v>6666.6666666666506</v>
      </c>
      <c r="AG1081" s="888">
        <f t="shared" ref="AG1081" si="484">+AF1081-AG1080</f>
        <v>-1.6370904631912708E-11</v>
      </c>
    </row>
    <row r="1082" spans="2:33" x14ac:dyDescent="0.3">
      <c r="B1082" s="884" t="s">
        <v>1321</v>
      </c>
      <c r="C1082" s="890"/>
      <c r="D1082" s="890">
        <f t="shared" ref="D1082" si="485">C1081*$D$1077</f>
        <v>3590</v>
      </c>
      <c r="E1082" s="890">
        <f t="shared" ref="E1082" si="486">D1081*$D$1077</f>
        <v>3590</v>
      </c>
      <c r="F1082" s="890">
        <f t="shared" ref="F1082" si="487">E1081*$D$1077</f>
        <v>3590</v>
      </c>
      <c r="G1082" s="890">
        <f t="shared" ref="G1082" si="488">F1081*$D$1077</f>
        <v>3590</v>
      </c>
      <c r="H1082" s="890">
        <f t="shared" ref="H1082" si="489">G1081*$D$1077</f>
        <v>3590</v>
      </c>
      <c r="I1082" s="890">
        <f t="shared" ref="I1082" si="490">H1081*$D$1077</f>
        <v>3590</v>
      </c>
      <c r="J1082" s="890">
        <f t="shared" ref="J1082" si="491">I1081*$D$1077</f>
        <v>3590</v>
      </c>
      <c r="K1082" s="890">
        <f t="shared" ref="K1082" si="492">J1081*$D$1077</f>
        <v>3590</v>
      </c>
      <c r="L1082" s="890">
        <f t="shared" ref="L1082" si="493">K1081*$D$1077</f>
        <v>3590</v>
      </c>
      <c r="M1082" s="890">
        <f t="shared" ref="M1082" si="494">L1081*$D$1077</f>
        <v>3590</v>
      </c>
      <c r="N1082" s="890">
        <f t="shared" ref="N1082" si="495">M1081*$D$1077</f>
        <v>3590</v>
      </c>
      <c r="O1082" s="890">
        <f t="shared" ref="O1082" si="496">N1081*$D$1077</f>
        <v>3590</v>
      </c>
      <c r="P1082" s="890">
        <f t="shared" ref="P1082" si="497">O1081*$D$1077</f>
        <v>3590</v>
      </c>
      <c r="Q1082" s="890">
        <f t="shared" ref="Q1082" si="498">P1081*$D$1077</f>
        <v>3590</v>
      </c>
      <c r="R1082" s="890">
        <f t="shared" ref="R1082" si="499">Q1081*$D$1077</f>
        <v>3590</v>
      </c>
      <c r="S1082" s="890">
        <f t="shared" ref="S1082:AG1082" si="500">R1081*$D$1077</f>
        <v>3590</v>
      </c>
      <c r="T1082" s="890">
        <f t="shared" si="500"/>
        <v>3350.6666666666665</v>
      </c>
      <c r="U1082" s="890">
        <f t="shared" si="500"/>
        <v>3111.333333333333</v>
      </c>
      <c r="V1082" s="890">
        <f t="shared" si="500"/>
        <v>2871.9999999999995</v>
      </c>
      <c r="W1082" s="890">
        <f t="shared" si="500"/>
        <v>2632.6666666666661</v>
      </c>
      <c r="X1082" s="890">
        <f t="shared" si="500"/>
        <v>2393.3333333333326</v>
      </c>
      <c r="Y1082" s="890">
        <f t="shared" si="500"/>
        <v>2153.9999999999991</v>
      </c>
      <c r="Z1082" s="890">
        <f t="shared" si="500"/>
        <v>1914.6666666666661</v>
      </c>
      <c r="AA1082" s="890">
        <f t="shared" si="500"/>
        <v>1675.3333333333328</v>
      </c>
      <c r="AB1082" s="890">
        <f t="shared" si="500"/>
        <v>1435.9999999999995</v>
      </c>
      <c r="AC1082" s="890">
        <f t="shared" si="500"/>
        <v>1196.6666666666663</v>
      </c>
      <c r="AD1082" s="890">
        <f t="shared" si="500"/>
        <v>957.33333333333292</v>
      </c>
      <c r="AE1082" s="890">
        <f t="shared" si="500"/>
        <v>717.99999999999955</v>
      </c>
      <c r="AF1082" s="890">
        <f t="shared" si="500"/>
        <v>478.66666666666612</v>
      </c>
      <c r="AG1082" s="890">
        <f t="shared" si="500"/>
        <v>239.33333333333277</v>
      </c>
    </row>
    <row r="1083" spans="2:33" x14ac:dyDescent="0.3">
      <c r="B1083" s="884" t="s">
        <v>1322</v>
      </c>
      <c r="C1083" s="888"/>
      <c r="D1083" s="888">
        <f t="shared" ref="D1083:R1083" si="501">+D1082+D1080</f>
        <v>3590</v>
      </c>
      <c r="E1083" s="888">
        <f t="shared" si="501"/>
        <v>3590</v>
      </c>
      <c r="F1083" s="888">
        <f t="shared" si="501"/>
        <v>3590</v>
      </c>
      <c r="G1083" s="888">
        <f t="shared" si="501"/>
        <v>3590</v>
      </c>
      <c r="H1083" s="888">
        <f t="shared" si="501"/>
        <v>3590</v>
      </c>
      <c r="I1083" s="888">
        <f t="shared" si="501"/>
        <v>3590</v>
      </c>
      <c r="J1083" s="888">
        <f t="shared" si="501"/>
        <v>3590</v>
      </c>
      <c r="K1083" s="888">
        <f t="shared" si="501"/>
        <v>3590</v>
      </c>
      <c r="L1083" s="888">
        <f t="shared" si="501"/>
        <v>3590</v>
      </c>
      <c r="M1083" s="888">
        <f t="shared" si="501"/>
        <v>3590</v>
      </c>
      <c r="N1083" s="888">
        <f t="shared" si="501"/>
        <v>3590</v>
      </c>
      <c r="O1083" s="888">
        <f t="shared" si="501"/>
        <v>3590</v>
      </c>
      <c r="P1083" s="888">
        <f t="shared" si="501"/>
        <v>3590</v>
      </c>
      <c r="Q1083" s="888">
        <f t="shared" si="501"/>
        <v>3590</v>
      </c>
      <c r="R1083" s="888">
        <f t="shared" si="501"/>
        <v>3590</v>
      </c>
      <c r="S1083" s="888">
        <f t="shared" ref="S1083:AG1083" si="502">+S1082+S1080</f>
        <v>10256.666666666668</v>
      </c>
      <c r="T1083" s="888">
        <f t="shared" si="502"/>
        <v>10017.333333333334</v>
      </c>
      <c r="U1083" s="888">
        <f t="shared" si="502"/>
        <v>9778</v>
      </c>
      <c r="V1083" s="888">
        <f t="shared" si="502"/>
        <v>9538.6666666666661</v>
      </c>
      <c r="W1083" s="888">
        <f t="shared" si="502"/>
        <v>9299.3333333333321</v>
      </c>
      <c r="X1083" s="888">
        <f t="shared" si="502"/>
        <v>9060</v>
      </c>
      <c r="Y1083" s="888">
        <f t="shared" si="502"/>
        <v>8820.6666666666661</v>
      </c>
      <c r="Z1083" s="888">
        <f t="shared" si="502"/>
        <v>8581.3333333333321</v>
      </c>
      <c r="AA1083" s="888">
        <f t="shared" si="502"/>
        <v>8342</v>
      </c>
      <c r="AB1083" s="888">
        <f t="shared" si="502"/>
        <v>8102.6666666666661</v>
      </c>
      <c r="AC1083" s="888">
        <f t="shared" si="502"/>
        <v>7863.333333333333</v>
      </c>
      <c r="AD1083" s="888">
        <f t="shared" si="502"/>
        <v>7624</v>
      </c>
      <c r="AE1083" s="888">
        <f t="shared" si="502"/>
        <v>7384.6666666666661</v>
      </c>
      <c r="AF1083" s="888">
        <f t="shared" si="502"/>
        <v>7145.333333333333</v>
      </c>
      <c r="AG1083" s="888">
        <f t="shared" si="502"/>
        <v>6906</v>
      </c>
    </row>
    <row r="1084" spans="2:33" x14ac:dyDescent="0.3">
      <c r="B1084" s="884" t="s">
        <v>1323</v>
      </c>
      <c r="C1084" s="888"/>
      <c r="D1084" s="888">
        <f t="shared" ref="D1084:R1084" si="503">+IF(D1079&gt;$C$1,D1083,0)</f>
        <v>0</v>
      </c>
      <c r="E1084" s="888">
        <f t="shared" si="503"/>
        <v>0</v>
      </c>
      <c r="F1084" s="888">
        <f t="shared" si="503"/>
        <v>0</v>
      </c>
      <c r="G1084" s="888">
        <f t="shared" si="503"/>
        <v>0</v>
      </c>
      <c r="H1084" s="888">
        <f t="shared" si="503"/>
        <v>3590</v>
      </c>
      <c r="I1084" s="888">
        <f t="shared" si="503"/>
        <v>3590</v>
      </c>
      <c r="J1084" s="888">
        <f t="shared" si="503"/>
        <v>3590</v>
      </c>
      <c r="K1084" s="888">
        <f t="shared" si="503"/>
        <v>3590</v>
      </c>
      <c r="L1084" s="888">
        <f t="shared" si="503"/>
        <v>3590</v>
      </c>
      <c r="M1084" s="888">
        <f t="shared" si="503"/>
        <v>3590</v>
      </c>
      <c r="N1084" s="888">
        <f t="shared" si="503"/>
        <v>3590</v>
      </c>
      <c r="O1084" s="888">
        <f t="shared" si="503"/>
        <v>3590</v>
      </c>
      <c r="P1084" s="888">
        <f t="shared" si="503"/>
        <v>3590</v>
      </c>
      <c r="Q1084" s="888">
        <f t="shared" si="503"/>
        <v>3590</v>
      </c>
      <c r="R1084" s="888">
        <f t="shared" si="503"/>
        <v>3590</v>
      </c>
      <c r="S1084" s="888">
        <f t="shared" ref="S1084:AG1084" si="504">+IF(S1079&gt;$C$1,S1083,0)</f>
        <v>10256.666666666668</v>
      </c>
      <c r="T1084" s="888">
        <f t="shared" si="504"/>
        <v>10017.333333333334</v>
      </c>
      <c r="U1084" s="888">
        <f t="shared" si="504"/>
        <v>9778</v>
      </c>
      <c r="V1084" s="888">
        <f t="shared" si="504"/>
        <v>9538.6666666666661</v>
      </c>
      <c r="W1084" s="888">
        <f t="shared" si="504"/>
        <v>9299.3333333333321</v>
      </c>
      <c r="X1084" s="888">
        <f t="shared" si="504"/>
        <v>9060</v>
      </c>
      <c r="Y1084" s="888">
        <f t="shared" si="504"/>
        <v>8820.6666666666661</v>
      </c>
      <c r="Z1084" s="888">
        <f t="shared" si="504"/>
        <v>8581.3333333333321</v>
      </c>
      <c r="AA1084" s="888">
        <f t="shared" si="504"/>
        <v>8342</v>
      </c>
      <c r="AB1084" s="888">
        <f t="shared" si="504"/>
        <v>8102.6666666666661</v>
      </c>
      <c r="AC1084" s="888">
        <f t="shared" si="504"/>
        <v>7863.333333333333</v>
      </c>
      <c r="AD1084" s="888">
        <f t="shared" si="504"/>
        <v>7624</v>
      </c>
      <c r="AE1084" s="888">
        <f t="shared" si="504"/>
        <v>7384.6666666666661</v>
      </c>
      <c r="AF1084" s="888">
        <f t="shared" si="504"/>
        <v>7145.333333333333</v>
      </c>
      <c r="AG1084" s="888">
        <f t="shared" si="504"/>
        <v>6906</v>
      </c>
    </row>
    <row r="1085" spans="2:33" x14ac:dyDescent="0.3">
      <c r="B1085" s="884" t="s">
        <v>1324</v>
      </c>
      <c r="C1085" s="1247"/>
      <c r="D1085" s="1247">
        <f t="shared" ref="D1085" si="505">IF(C1084=0,(D1079-$C$1)/(D1079-C1079),C1085+1)</f>
        <v>-3.8986301369863012</v>
      </c>
      <c r="E1085" s="1247">
        <f t="shared" ref="E1085" si="506">IF(D1084=0,(E1079-$C$1)/(E1079-D1079),D1085+1)</f>
        <v>-2.8986301369863012</v>
      </c>
      <c r="F1085" s="1247">
        <f t="shared" ref="F1085" si="507">IF(E1084=0,(F1079-$C$1)/(F1079-E1079),E1085+1)</f>
        <v>-1.8907103825136613</v>
      </c>
      <c r="G1085" s="1247">
        <f t="shared" ref="G1085" si="508">IF(F1084=0,(G1079-$C$1)/(G1079-F1079),F1085+1)</f>
        <v>-0.89589041095890409</v>
      </c>
      <c r="H1085" s="1247">
        <f t="shared" ref="H1085" si="509">IF(G1084=0,(H1079-$C$1)/(H1079-G1079),G1085+1)</f>
        <v>0.10410958904109589</v>
      </c>
      <c r="I1085" s="1247">
        <f t="shared" ref="I1085" si="510">IF(H1084=0,(I1079-$C$1)/(I1079-H1079),H1085+1)</f>
        <v>1.1041095890410959</v>
      </c>
      <c r="J1085" s="1247">
        <f t="shared" ref="J1085" si="511">IF(I1084=0,(J1079-$C$1)/(J1079-I1079),I1085+1)</f>
        <v>2.1041095890410961</v>
      </c>
      <c r="K1085" s="1247">
        <f t="shared" ref="K1085" si="512">IF(J1084=0,(K1079-$C$1)/(K1079-J1079),J1085+1)</f>
        <v>3.1041095890410961</v>
      </c>
      <c r="L1085" s="1247">
        <f t="shared" ref="L1085" si="513">IF(K1084=0,(L1079-$C$1)/(L1079-K1079),K1085+1)</f>
        <v>4.1041095890410961</v>
      </c>
      <c r="M1085" s="1247">
        <f t="shared" ref="M1085" si="514">IF(L1084=0,(M1079-$C$1)/(M1079-L1079),L1085+1)</f>
        <v>5.1041095890410961</v>
      </c>
      <c r="N1085" s="1247">
        <f t="shared" ref="N1085" si="515">IF(M1084=0,(N1079-$C$1)/(N1079-M1079),M1085+1)</f>
        <v>6.1041095890410961</v>
      </c>
      <c r="O1085" s="1247">
        <f t="shared" ref="O1085" si="516">IF(N1084=0,(O1079-$C$1)/(O1079-N1079),N1085+1)</f>
        <v>7.1041095890410961</v>
      </c>
      <c r="P1085" s="1247">
        <f t="shared" ref="P1085" si="517">IF(O1084=0,(P1079-$C$1)/(P1079-O1079),O1085+1)</f>
        <v>8.1041095890410961</v>
      </c>
      <c r="Q1085" s="1247">
        <f t="shared" ref="Q1085" si="518">IF(P1084=0,(Q1079-$C$1)/(Q1079-P1079),P1085+1)</f>
        <v>9.1041095890410961</v>
      </c>
      <c r="R1085" s="1247">
        <f t="shared" ref="R1085" si="519">IF(Q1084=0,(R1079-$C$1)/(R1079-Q1079),Q1085+1)</f>
        <v>10.104109589041096</v>
      </c>
      <c r="S1085" s="1247">
        <f t="shared" ref="S1085" si="520">IF(R1084=0,(S1079-$C$1)/(S1079-R1079),R1085+1)</f>
        <v>11.104109589041096</v>
      </c>
      <c r="T1085" s="1247">
        <f t="shared" ref="T1085" si="521">IF(S1084=0,(T1079-$C$1)/(T1079-S1079),S1085+1)</f>
        <v>12.104109589041096</v>
      </c>
      <c r="U1085" s="1247">
        <f t="shared" ref="U1085" si="522">IF(T1084=0,(U1079-$C$1)/(U1079-T1079),T1085+1)</f>
        <v>13.104109589041096</v>
      </c>
      <c r="V1085" s="1247">
        <f t="shared" ref="V1085" si="523">IF(U1084=0,(V1079-$C$1)/(V1079-U1079),U1085+1)</f>
        <v>14.104109589041096</v>
      </c>
      <c r="W1085" s="1247">
        <f t="shared" ref="W1085" si="524">IF(V1084=0,(W1079-$C$1)/(W1079-V1079),V1085+1)</f>
        <v>15.104109589041096</v>
      </c>
      <c r="X1085" s="1247">
        <f t="shared" ref="X1085" si="525">IF(W1084=0,(X1079-$C$1)/(X1079-W1079),W1085+1)</f>
        <v>16.104109589041094</v>
      </c>
      <c r="Y1085" s="1247">
        <f t="shared" ref="Y1085" si="526">IF(X1084=0,(Y1079-$C$1)/(Y1079-X1079),X1085+1)</f>
        <v>17.104109589041094</v>
      </c>
      <c r="Z1085" s="1247">
        <f t="shared" ref="Z1085" si="527">IF(Y1084=0,(Z1079-$C$1)/(Z1079-Y1079),Y1085+1)</f>
        <v>18.104109589041094</v>
      </c>
      <c r="AA1085" s="1247">
        <f t="shared" ref="AA1085" si="528">IF(Z1084=0,(AA1079-$C$1)/(AA1079-Z1079),Z1085+1)</f>
        <v>19.104109589041094</v>
      </c>
      <c r="AB1085" s="1247">
        <f t="shared" ref="AB1085" si="529">IF(AA1084=0,(AB1079-$C$1)/(AB1079-AA1079),AA1085+1)</f>
        <v>20.104109589041094</v>
      </c>
      <c r="AC1085" s="1247">
        <f t="shared" ref="AC1085" si="530">IF(AB1084=0,(AC1079-$C$1)/(AC1079-AB1079),AB1085+1)</f>
        <v>21.104109589041094</v>
      </c>
      <c r="AD1085" s="1247">
        <f t="shared" ref="AD1085" si="531">IF(AC1084=0,(AD1079-$C$1)/(AD1079-AC1079),AC1085+1)</f>
        <v>22.104109589041094</v>
      </c>
      <c r="AE1085" s="1247">
        <f t="shared" ref="AE1085" si="532">IF(AD1084=0,(AE1079-$C$1)/(AE1079-AD1079),AD1085+1)</f>
        <v>23.104109589041094</v>
      </c>
      <c r="AF1085" s="1247">
        <f t="shared" ref="AF1085" si="533">IF(AE1084=0,(AF1079-$C$1)/(AF1079-AE1079),AE1085+1)</f>
        <v>24.104109589041094</v>
      </c>
      <c r="AG1085" s="1247">
        <f t="shared" ref="AG1085" si="534">IF(AF1084=0,(AG1079-$C$1)/(AG1079-AF1079),AF1085+1)</f>
        <v>25.104109589041094</v>
      </c>
    </row>
    <row r="1086" spans="2:33" x14ac:dyDescent="0.3">
      <c r="B1086" s="884" t="s">
        <v>1325</v>
      </c>
      <c r="C1086" s="1079"/>
      <c r="D1086" s="1079" cm="1">
        <f t="array" ref="D1086">ROUND(interpoler(mat_zc,Taux_ZC,D1085),5)</f>
        <v>2.3279999999999999E-2</v>
      </c>
      <c r="E1086" s="1079" cm="1">
        <f t="array" ref="E1086">ROUND(interpoler(mat_zc,Taux_ZC,E1085),5)</f>
        <v>2.3279999999999999E-2</v>
      </c>
      <c r="F1086" s="1079" cm="1">
        <f t="array" ref="F1086">ROUND(interpoler(mat_zc,Taux_ZC,F1085),5)</f>
        <v>2.3279999999999999E-2</v>
      </c>
      <c r="G1086" s="1079" cm="1">
        <f t="array" ref="G1086">ROUND(interpoler(mat_zc,Taux_ZC,G1085),5)</f>
        <v>2.3279999999999999E-2</v>
      </c>
      <c r="H1086" s="1079" cm="1">
        <f t="array" ref="H1086">ROUND(interpoler(mat_zc,Taux_ZC,H1085),5)</f>
        <v>2.325E-2</v>
      </c>
      <c r="I1086" s="1079" cm="1">
        <f t="array" ref="I1086">ROUND(interpoler(mat_zc,Taux_ZC,I1085),5)</f>
        <v>2.5309999999999999E-2</v>
      </c>
      <c r="J1086" s="1079" cm="1">
        <f t="array" ref="J1086">ROUND(interpoler(mat_zc,Taux_ZC,J1085),5)</f>
        <v>2.6859999999999998E-2</v>
      </c>
      <c r="K1086" s="1079" cm="1">
        <f t="array" ref="K1086">ROUND(interpoler(mat_zc,Taux_ZC,K1085),5)</f>
        <v>2.8420000000000001E-2</v>
      </c>
      <c r="L1086" s="1079" cm="1">
        <f t="array" ref="L1086">ROUND(interpoler(mat_zc,Taux_ZC,L1085),5)</f>
        <v>2.9940000000000001E-2</v>
      </c>
      <c r="M1086" s="1079" cm="1">
        <f t="array" ref="M1086">ROUND(interpoler(mat_zc,Taux_ZC,M1085),5)</f>
        <v>3.0960000000000001E-2</v>
      </c>
      <c r="N1086" s="1079" cm="1">
        <f t="array" ref="N1086">ROUND(interpoler(mat_zc,Taux_ZC,N1085),5)</f>
        <v>3.1489999999999997E-2</v>
      </c>
      <c r="O1086" s="1079" cm="1">
        <f t="array" ref="O1086">ROUND(interpoler(mat_zc,Taux_ZC,O1085),5)</f>
        <v>3.1989999999999998E-2</v>
      </c>
      <c r="P1086" s="1079" cm="1">
        <f t="array" ref="P1086">ROUND(interpoler(mat_zc,Taux_ZC,P1085),5)</f>
        <v>3.2509999999999997E-2</v>
      </c>
      <c r="Q1086" s="1079" cm="1">
        <f t="array" ref="Q1086">ROUND(interpoler(mat_zc,Taux_ZC,Q1085),5)</f>
        <v>3.304E-2</v>
      </c>
      <c r="R1086" s="1079" cm="1">
        <f t="array" ref="R1086">ROUND(interpoler(mat_zc,Taux_ZC,R1085),5)</f>
        <v>3.3649999999999999E-2</v>
      </c>
      <c r="S1086" s="1079" cm="1">
        <f t="array" ref="S1086">ROUND(interpoler(mat_zc,Taux_ZC,S1085),5)</f>
        <v>3.4299999999999997E-2</v>
      </c>
      <c r="T1086" s="1079" cm="1">
        <f t="array" ref="T1086">ROUND(interpoler(mat_zc,Taux_ZC,T1085),5)</f>
        <v>3.4959999999999998E-2</v>
      </c>
      <c r="U1086" s="1079" cm="1">
        <f t="array" ref="U1086">ROUND(interpoler(mat_zc,Taux_ZC,U1085),5)</f>
        <v>3.56E-2</v>
      </c>
      <c r="V1086" s="1079" cm="1">
        <f t="array" ref="V1086">ROUND(interpoler(mat_zc,Taux_ZC,V1085),5)</f>
        <v>3.5970000000000002E-2</v>
      </c>
      <c r="W1086" s="1079" cm="1">
        <f t="array" ref="W1086">ROUND(interpoler(mat_zc,Taux_ZC,W1085),5)</f>
        <v>3.6229999999999998E-2</v>
      </c>
      <c r="X1086" s="1079" cm="1">
        <f t="array" ref="X1086">ROUND(interpoler(mat_zc,Taux_ZC,X1085),5)</f>
        <v>3.6499999999999998E-2</v>
      </c>
      <c r="Y1086" s="1079" cm="1">
        <f t="array" ref="Y1086">ROUND(interpoler(mat_zc,Taux_ZC,Y1085),5)</f>
        <v>3.6769999999999997E-2</v>
      </c>
      <c r="Z1086" s="1079" cm="1">
        <f t="array" ref="Z1086">ROUND(interpoler(mat_zc,Taux_ZC,Z1085),5)</f>
        <v>3.7060000000000003E-2</v>
      </c>
      <c r="AA1086" s="1079" cm="1">
        <f t="array" ref="AA1086">ROUND(interpoler(mat_zc,Taux_ZC,AA1085),5)</f>
        <v>3.737E-2</v>
      </c>
      <c r="AB1086" s="1079" cm="1">
        <f t="array" ref="AB1086">ROUND(interpoler(mat_zc,Taux_ZC,AB1085),5)</f>
        <v>3.7879999999999997E-2</v>
      </c>
      <c r="AC1086" s="1079" cm="1">
        <f t="array" ref="AC1086">ROUND(interpoler(mat_zc,Taux_ZC,AC1085),5)</f>
        <v>3.8510000000000003E-2</v>
      </c>
      <c r="AD1086" s="1079" cm="1">
        <f t="array" ref="AD1086">ROUND(interpoler(mat_zc,Taux_ZC,AD1085),5)</f>
        <v>3.9170000000000003E-2</v>
      </c>
      <c r="AE1086" s="1079" cm="1">
        <f t="array" ref="AE1086">ROUND(interpoler(mat_zc,Taux_ZC,AE1085),5)</f>
        <v>3.984E-2</v>
      </c>
      <c r="AF1086" s="1079" cm="1">
        <f t="array" ref="AF1086">ROUND(interpoler(mat_zc,Taux_ZC,AF1085),5)</f>
        <v>4.0529999999999997E-2</v>
      </c>
      <c r="AG1086" s="1079" cm="1">
        <f t="array" ref="AG1086">ROUND(interpoler(mat_zc,Taux_ZC,AG1085),5)</f>
        <v>4.1239999999999999E-2</v>
      </c>
    </row>
    <row r="1087" spans="2:33" x14ac:dyDescent="0.3">
      <c r="B1087" s="884" t="s">
        <v>1328</v>
      </c>
      <c r="C1087" s="429"/>
      <c r="D1087" s="429">
        <f t="shared" ref="D1087:Q1087" si="535">E1087</f>
        <v>3.0000000000000001E-3</v>
      </c>
      <c r="E1087" s="429">
        <f t="shared" si="535"/>
        <v>3.0000000000000001E-3</v>
      </c>
      <c r="F1087" s="429">
        <f t="shared" si="535"/>
        <v>3.0000000000000001E-3</v>
      </c>
      <c r="G1087" s="429">
        <f t="shared" si="535"/>
        <v>3.0000000000000001E-3</v>
      </c>
      <c r="H1087" s="429">
        <f t="shared" si="535"/>
        <v>3.0000000000000001E-3</v>
      </c>
      <c r="I1087" s="429">
        <f t="shared" si="535"/>
        <v>3.0000000000000001E-3</v>
      </c>
      <c r="J1087" s="429">
        <f t="shared" si="535"/>
        <v>3.0000000000000001E-3</v>
      </c>
      <c r="K1087" s="429">
        <f t="shared" si="535"/>
        <v>3.0000000000000001E-3</v>
      </c>
      <c r="L1087" s="429">
        <f t="shared" si="535"/>
        <v>3.0000000000000001E-3</v>
      </c>
      <c r="M1087" s="429">
        <f t="shared" si="535"/>
        <v>3.0000000000000001E-3</v>
      </c>
      <c r="N1087" s="429">
        <f t="shared" si="535"/>
        <v>3.0000000000000001E-3</v>
      </c>
      <c r="O1087" s="429">
        <f t="shared" si="535"/>
        <v>3.0000000000000001E-3</v>
      </c>
      <c r="P1087" s="429">
        <f t="shared" si="535"/>
        <v>3.0000000000000001E-3</v>
      </c>
      <c r="Q1087" s="429">
        <f t="shared" si="535"/>
        <v>3.0000000000000001E-3</v>
      </c>
      <c r="R1087" s="429">
        <f>S1087</f>
        <v>3.0000000000000001E-3</v>
      </c>
      <c r="S1087" s="429">
        <v>3.0000000000000001E-3</v>
      </c>
      <c r="T1087" s="429">
        <v>3.0000000000000001E-3</v>
      </c>
      <c r="U1087" s="429">
        <v>3.0000000000000001E-3</v>
      </c>
      <c r="V1087" s="429">
        <v>3.0000000000000001E-3</v>
      </c>
      <c r="W1087" s="429">
        <v>3.0000000000000001E-3</v>
      </c>
      <c r="X1087" s="429">
        <v>3.0000000000000001E-3</v>
      </c>
      <c r="Y1087" s="429">
        <v>3.0000000000000001E-3</v>
      </c>
      <c r="Z1087" s="429">
        <v>3.0000000000000001E-3</v>
      </c>
      <c r="AA1087" s="429">
        <v>3.0000000000000001E-3</v>
      </c>
      <c r="AB1087" s="429">
        <v>3.0000000000000001E-3</v>
      </c>
      <c r="AC1087" s="429">
        <v>3.0000000000000001E-3</v>
      </c>
      <c r="AD1087" s="429">
        <v>3.0000000000000001E-3</v>
      </c>
      <c r="AE1087" s="429">
        <v>3.0000000000000001E-3</v>
      </c>
      <c r="AF1087" s="429">
        <v>3.0000000000000001E-3</v>
      </c>
      <c r="AG1087" s="429">
        <v>3.0000000000000001E-3</v>
      </c>
    </row>
    <row r="1088" spans="2:33" x14ac:dyDescent="0.3">
      <c r="B1088" s="884" t="s">
        <v>1329</v>
      </c>
      <c r="C1088" s="897"/>
      <c r="D1088" s="897">
        <f t="shared" ref="D1088:R1088" si="536">ROUND(D1086+D1087,5)</f>
        <v>2.6280000000000001E-2</v>
      </c>
      <c r="E1088" s="897">
        <f t="shared" si="536"/>
        <v>2.6280000000000001E-2</v>
      </c>
      <c r="F1088" s="897">
        <f t="shared" si="536"/>
        <v>2.6280000000000001E-2</v>
      </c>
      <c r="G1088" s="897">
        <f t="shared" si="536"/>
        <v>2.6280000000000001E-2</v>
      </c>
      <c r="H1088" s="897">
        <f t="shared" si="536"/>
        <v>2.6249999999999999E-2</v>
      </c>
      <c r="I1088" s="897">
        <f t="shared" si="536"/>
        <v>2.8309999999999998E-2</v>
      </c>
      <c r="J1088" s="897">
        <f t="shared" si="536"/>
        <v>2.9860000000000001E-2</v>
      </c>
      <c r="K1088" s="897">
        <f t="shared" si="536"/>
        <v>3.1419999999999997E-2</v>
      </c>
      <c r="L1088" s="897">
        <f t="shared" si="536"/>
        <v>3.2939999999999997E-2</v>
      </c>
      <c r="M1088" s="897">
        <f t="shared" si="536"/>
        <v>3.3959999999999997E-2</v>
      </c>
      <c r="N1088" s="897">
        <f t="shared" si="536"/>
        <v>3.449E-2</v>
      </c>
      <c r="O1088" s="897">
        <f t="shared" si="536"/>
        <v>3.499E-2</v>
      </c>
      <c r="P1088" s="897">
        <f t="shared" si="536"/>
        <v>3.551E-2</v>
      </c>
      <c r="Q1088" s="897">
        <f t="shared" si="536"/>
        <v>3.6040000000000003E-2</v>
      </c>
      <c r="R1088" s="897">
        <f t="shared" si="536"/>
        <v>3.6650000000000002E-2</v>
      </c>
      <c r="S1088" s="897">
        <f t="shared" ref="S1088:AG1088" si="537">ROUND(S1086+S1087,5)</f>
        <v>3.73E-2</v>
      </c>
      <c r="T1088" s="897">
        <f t="shared" si="537"/>
        <v>3.7960000000000001E-2</v>
      </c>
      <c r="U1088" s="897">
        <f t="shared" si="537"/>
        <v>3.8600000000000002E-2</v>
      </c>
      <c r="V1088" s="897">
        <f t="shared" si="537"/>
        <v>3.8969999999999998E-2</v>
      </c>
      <c r="W1088" s="897">
        <f t="shared" si="537"/>
        <v>3.9230000000000001E-2</v>
      </c>
      <c r="X1088" s="897">
        <f t="shared" si="537"/>
        <v>3.95E-2</v>
      </c>
      <c r="Y1088" s="897">
        <f t="shared" si="537"/>
        <v>3.977E-2</v>
      </c>
      <c r="Z1088" s="897">
        <f t="shared" si="537"/>
        <v>4.0059999999999998E-2</v>
      </c>
      <c r="AA1088" s="897">
        <f t="shared" si="537"/>
        <v>4.0370000000000003E-2</v>
      </c>
      <c r="AB1088" s="897">
        <f t="shared" si="537"/>
        <v>4.088E-2</v>
      </c>
      <c r="AC1088" s="897">
        <f t="shared" si="537"/>
        <v>4.1509999999999998E-2</v>
      </c>
      <c r="AD1088" s="897">
        <f t="shared" si="537"/>
        <v>4.2169999999999999E-2</v>
      </c>
      <c r="AE1088" s="897">
        <f t="shared" si="537"/>
        <v>4.2840000000000003E-2</v>
      </c>
      <c r="AF1088" s="897">
        <f t="shared" si="537"/>
        <v>4.3529999999999999E-2</v>
      </c>
      <c r="AG1088" s="897">
        <f t="shared" si="537"/>
        <v>4.4240000000000002E-2</v>
      </c>
    </row>
    <row r="1089" spans="2:33" x14ac:dyDescent="0.3">
      <c r="B1089" s="884"/>
      <c r="C1089" s="886"/>
      <c r="D1089" s="886">
        <f>ROUND(D1084/(1+D1088)^D1085,4)</f>
        <v>0</v>
      </c>
      <c r="E1089" s="886">
        <f t="shared" ref="E1089:R1089" si="538">ROUND(E1084/(1+E1088)^E1085,4)</f>
        <v>0</v>
      </c>
      <c r="F1089" s="886">
        <f t="shared" si="538"/>
        <v>0</v>
      </c>
      <c r="G1089" s="886">
        <f t="shared" si="538"/>
        <v>0</v>
      </c>
      <c r="H1089" s="886">
        <f t="shared" si="538"/>
        <v>3580.3285999999998</v>
      </c>
      <c r="I1089" s="886">
        <f t="shared" si="538"/>
        <v>3481.0331000000001</v>
      </c>
      <c r="J1089" s="886">
        <f t="shared" si="538"/>
        <v>3374.4868000000001</v>
      </c>
      <c r="K1089" s="886">
        <f t="shared" si="538"/>
        <v>3261.2871</v>
      </c>
      <c r="L1089" s="886">
        <f t="shared" si="538"/>
        <v>3142.8865999999998</v>
      </c>
      <c r="M1089" s="886">
        <f t="shared" si="538"/>
        <v>3027.3719000000001</v>
      </c>
      <c r="N1089" s="886">
        <f t="shared" si="538"/>
        <v>2918.7945</v>
      </c>
      <c r="O1089" s="886">
        <f t="shared" si="538"/>
        <v>2811.8126000000002</v>
      </c>
      <c r="P1089" s="886">
        <f t="shared" si="538"/>
        <v>2705.7170000000001</v>
      </c>
      <c r="Q1089" s="886">
        <f t="shared" si="538"/>
        <v>2600.7876999999999</v>
      </c>
      <c r="R1089" s="886">
        <f t="shared" si="538"/>
        <v>2495.4304999999999</v>
      </c>
      <c r="S1089" s="886">
        <f t="shared" ref="S1089:AG1089" si="539">ROUND(S1084/(1+S1088)^S1085,4)</f>
        <v>6829.7103999999999</v>
      </c>
      <c r="T1089" s="886">
        <f t="shared" si="539"/>
        <v>6381.1677</v>
      </c>
      <c r="U1089" s="886">
        <f t="shared" si="539"/>
        <v>5952.6378999999997</v>
      </c>
      <c r="V1089" s="886">
        <f t="shared" si="539"/>
        <v>5563.1021000000001</v>
      </c>
      <c r="W1089" s="886">
        <f t="shared" si="539"/>
        <v>5200.4011</v>
      </c>
      <c r="X1089" s="886">
        <f t="shared" si="539"/>
        <v>4854.9494000000004</v>
      </c>
      <c r="Y1089" s="886">
        <f t="shared" si="539"/>
        <v>4526.9350999999997</v>
      </c>
      <c r="Z1089" s="886">
        <f t="shared" si="539"/>
        <v>4214.3221999999996</v>
      </c>
      <c r="AA1089" s="886">
        <f t="shared" si="539"/>
        <v>3916.6266999999998</v>
      </c>
      <c r="AB1089" s="886">
        <f t="shared" si="539"/>
        <v>3620.7882</v>
      </c>
      <c r="AC1089" s="886">
        <f t="shared" si="539"/>
        <v>3333.0009</v>
      </c>
      <c r="AD1089" s="886">
        <f t="shared" si="539"/>
        <v>3059.6152999999999</v>
      </c>
      <c r="AE1089" s="886">
        <f t="shared" si="539"/>
        <v>2801.7384999999999</v>
      </c>
      <c r="AF1089" s="886">
        <f t="shared" si="539"/>
        <v>2558.4529000000002</v>
      </c>
      <c r="AG1089" s="886">
        <f t="shared" si="539"/>
        <v>2329.4915999999998</v>
      </c>
    </row>
    <row r="1090" spans="2:33" x14ac:dyDescent="0.3">
      <c r="B1090" s="367"/>
      <c r="C1090" s="367"/>
      <c r="D1090" s="488"/>
    </row>
    <row r="1091" spans="2:33" x14ac:dyDescent="0.3">
      <c r="B1091" s="585" t="s">
        <v>650</v>
      </c>
      <c r="C1091" s="586">
        <f>SUM(D1089:AG1089)</f>
        <v>98542.876399999994</v>
      </c>
      <c r="D1091" s="500"/>
    </row>
    <row r="1092" spans="2:33" x14ac:dyDescent="0.3">
      <c r="B1092" s="585" t="s">
        <v>1331</v>
      </c>
      <c r="C1092" s="586">
        <f>+SUMPRODUCT(E1085:AG1085,E1089:AG1089)/C1091</f>
        <v>12.673366024912699</v>
      </c>
      <c r="D1092" s="365"/>
    </row>
    <row r="1094" spans="2:33" x14ac:dyDescent="0.3">
      <c r="H1094" s="461" t="s">
        <v>96</v>
      </c>
      <c r="I1094" s="461" t="s">
        <v>3205</v>
      </c>
      <c r="J1094" s="461" t="s">
        <v>105</v>
      </c>
      <c r="K1094" s="461" t="s">
        <v>3206</v>
      </c>
    </row>
    <row r="1095" spans="2:33" x14ac:dyDescent="0.3">
      <c r="H1095" s="461">
        <v>0</v>
      </c>
      <c r="I1095" s="461">
        <v>4136986301</v>
      </c>
      <c r="J1095" s="461">
        <v>151</v>
      </c>
      <c r="K1095" s="461">
        <v>2</v>
      </c>
      <c r="L1095" s="461">
        <v>353</v>
      </c>
      <c r="M1095" s="1385">
        <v>6838</v>
      </c>
      <c r="N1095" s="461">
        <v>8.8165191624544401E+35</v>
      </c>
    </row>
    <row r="1097" spans="2:33" ht="16.5" x14ac:dyDescent="0.3">
      <c r="B1097" s="879" t="s">
        <v>2976</v>
      </c>
      <c r="C1097" s="879">
        <v>9758</v>
      </c>
      <c r="D1097" s="691">
        <v>2.81E-2</v>
      </c>
      <c r="E1097" s="1291" t="s">
        <v>3207</v>
      </c>
    </row>
    <row r="1098" spans="2:33" x14ac:dyDescent="0.3">
      <c r="B1098" s="364"/>
      <c r="C1098" s="1303" t="s">
        <v>105</v>
      </c>
    </row>
    <row r="1099" spans="2:33" x14ac:dyDescent="0.3">
      <c r="B1099" s="883"/>
      <c r="C1099" s="883">
        <v>46010</v>
      </c>
      <c r="D1099" s="883">
        <v>46420</v>
      </c>
      <c r="E1099" s="883">
        <v>46420</v>
      </c>
      <c r="F1099" s="883">
        <v>46934</v>
      </c>
      <c r="G1099" s="883">
        <v>47299</v>
      </c>
      <c r="H1099" s="883">
        <v>47664</v>
      </c>
      <c r="I1099" s="883">
        <v>48029</v>
      </c>
      <c r="J1099" s="883">
        <v>48395</v>
      </c>
      <c r="K1099" s="883">
        <v>48760</v>
      </c>
      <c r="L1099" s="883">
        <v>49125</v>
      </c>
      <c r="M1099" s="883">
        <v>49490</v>
      </c>
      <c r="N1099" s="883">
        <v>49856</v>
      </c>
      <c r="O1099" s="883">
        <v>50221</v>
      </c>
      <c r="P1099" s="883">
        <v>50586</v>
      </c>
      <c r="Q1099" s="883">
        <v>50951</v>
      </c>
      <c r="R1099" s="883">
        <v>51317</v>
      </c>
    </row>
    <row r="1100" spans="2:33" x14ac:dyDescent="0.3">
      <c r="B1100" s="884" t="s">
        <v>1318</v>
      </c>
      <c r="C1100" s="885"/>
      <c r="D1100" s="886">
        <f>C1101/15</f>
        <v>6666.666666666667</v>
      </c>
      <c r="E1100" s="886">
        <f>D1101/15</f>
        <v>6222.2222222222217</v>
      </c>
      <c r="F1100" s="886">
        <f t="shared" ref="F1100:H1100" si="540">$C$942/10</f>
        <v>10000</v>
      </c>
      <c r="G1100" s="886">
        <f t="shared" si="540"/>
        <v>10000</v>
      </c>
      <c r="H1100" s="886">
        <f t="shared" si="540"/>
        <v>10000</v>
      </c>
      <c r="I1100" s="886">
        <f>$C$942/10</f>
        <v>10000</v>
      </c>
      <c r="J1100" s="886">
        <f t="shared" ref="J1100:R1100" si="541">$C$942/10</f>
        <v>10000</v>
      </c>
      <c r="K1100" s="886">
        <f t="shared" si="541"/>
        <v>10000</v>
      </c>
      <c r="L1100" s="886">
        <f t="shared" si="541"/>
        <v>10000</v>
      </c>
      <c r="M1100" s="886">
        <f t="shared" si="541"/>
        <v>10000</v>
      </c>
      <c r="N1100" s="886">
        <f t="shared" si="541"/>
        <v>10000</v>
      </c>
      <c r="O1100" s="886">
        <f t="shared" si="541"/>
        <v>10000</v>
      </c>
      <c r="P1100" s="886">
        <f t="shared" si="541"/>
        <v>10000</v>
      </c>
      <c r="Q1100" s="886">
        <f t="shared" si="541"/>
        <v>10000</v>
      </c>
      <c r="R1100" s="886">
        <f t="shared" si="541"/>
        <v>10000</v>
      </c>
    </row>
    <row r="1101" spans="2:33" x14ac:dyDescent="0.3">
      <c r="B1101" s="884" t="s">
        <v>1320</v>
      </c>
      <c r="C1101" s="887">
        <v>100000</v>
      </c>
      <c r="D1101" s="888">
        <f t="shared" ref="D1101:E1101" si="542">+C1101-D1100</f>
        <v>93333.333333333328</v>
      </c>
      <c r="E1101" s="888">
        <f t="shared" si="542"/>
        <v>87111.111111111109</v>
      </c>
      <c r="F1101" s="888">
        <f t="shared" ref="F1101" si="543">+E1101-F1100</f>
        <v>77111.111111111109</v>
      </c>
      <c r="G1101" s="888">
        <f t="shared" ref="G1101" si="544">+F1101-G1100</f>
        <v>67111.111111111109</v>
      </c>
      <c r="H1101" s="888">
        <f t="shared" ref="H1101" si="545">+G1101-H1100</f>
        <v>57111.111111111109</v>
      </c>
      <c r="I1101" s="888">
        <f t="shared" ref="I1101" si="546">+H1101-I1100</f>
        <v>47111.111111111109</v>
      </c>
      <c r="J1101" s="888">
        <f t="shared" ref="J1101" si="547">+I1101-J1100</f>
        <v>37111.111111111109</v>
      </c>
      <c r="K1101" s="888">
        <f t="shared" ref="K1101" si="548">+J1101-K1100</f>
        <v>27111.111111111109</v>
      </c>
      <c r="L1101" s="888">
        <f t="shared" ref="L1101" si="549">+K1101-L1100</f>
        <v>17111.111111111109</v>
      </c>
      <c r="M1101" s="888">
        <f t="shared" ref="M1101" si="550">+L1101-M1100</f>
        <v>7111.1111111111095</v>
      </c>
      <c r="N1101" s="888">
        <f t="shared" ref="N1101" si="551">+M1101-N1100</f>
        <v>-2888.8888888888905</v>
      </c>
      <c r="O1101" s="888">
        <f t="shared" ref="O1101" si="552">+N1101-O1100</f>
        <v>-12888.888888888891</v>
      </c>
      <c r="P1101" s="888">
        <f t="shared" ref="P1101" si="553">+O1101-P1100</f>
        <v>-22888.888888888891</v>
      </c>
      <c r="Q1101" s="888">
        <f t="shared" ref="Q1101" si="554">+P1101-Q1100</f>
        <v>-32888.888888888891</v>
      </c>
      <c r="R1101" s="888">
        <f t="shared" ref="R1101" si="555">+Q1101-R1100</f>
        <v>-42888.888888888891</v>
      </c>
    </row>
    <row r="1102" spans="2:33" x14ac:dyDescent="0.3">
      <c r="B1102" s="884" t="s">
        <v>1321</v>
      </c>
      <c r="C1102" s="890"/>
      <c r="D1102" s="890">
        <f>C1101*D1097*(D1099-C1099)/360</f>
        <v>3200.2777777777778</v>
      </c>
      <c r="E1102" s="888">
        <f>D1101*D1097*(E1099-D1099)/365</f>
        <v>0</v>
      </c>
      <c r="F1102" s="954">
        <f t="shared" ref="F1102" si="556">ROUND(E1101*$D$959*(F1099-E1099)/360,2)</f>
        <v>3519.82</v>
      </c>
      <c r="G1102" s="954">
        <f t="shared" ref="G1102" si="557">ROUND(F1101*$D$959*(G1099-F1099)/360,2)</f>
        <v>2212.5500000000002</v>
      </c>
      <c r="H1102" s="954">
        <f t="shared" ref="H1102" si="558">ROUND(G1101*$D$959*(H1099-G1099)/360,2)</f>
        <v>1925.62</v>
      </c>
      <c r="I1102" s="954">
        <f t="shared" ref="I1102" si="559">ROUND(H1101*$D$959*(I1099-H1099)/360,2)</f>
        <v>1638.69</v>
      </c>
      <c r="J1102" s="954">
        <f t="shared" ref="J1102" si="560">ROUND(I1101*$D$959*(J1099-I1099)/360,2)</f>
        <v>1355.47</v>
      </c>
      <c r="K1102" s="954">
        <f t="shared" ref="K1102" si="561">ROUND(J1101*$D$959*(K1099-J1099)/360,2)</f>
        <v>1064.83</v>
      </c>
      <c r="L1102" s="954">
        <f t="shared" ref="L1102" si="562">ROUND(K1101*$D$959*(L1099-K1099)/360,2)</f>
        <v>777.9</v>
      </c>
      <c r="M1102" s="954">
        <f t="shared" ref="M1102" si="563">ROUND(L1101*$D$959*(M1099-L1099)/360,2)</f>
        <v>490.97</v>
      </c>
      <c r="N1102" s="954">
        <f t="shared" ref="N1102" si="564">ROUND(M1101*$D$959*(N1099-M1099)/360,2)</f>
        <v>204.6</v>
      </c>
      <c r="O1102" s="954">
        <f t="shared" ref="O1102" si="565">ROUND(N1101*$D$959*(O1099-N1099)/360,2)</f>
        <v>-82.89</v>
      </c>
      <c r="P1102" s="954">
        <f t="shared" ref="P1102" si="566">ROUND(O1101*$D$959*(P1099-O1099)/360,2)</f>
        <v>-369.82</v>
      </c>
      <c r="Q1102" s="954">
        <f t="shared" ref="Q1102" si="567">ROUND(P1101*$D$959*(Q1099-P1099)/360,2)</f>
        <v>-656.75</v>
      </c>
      <c r="R1102" s="954">
        <f t="shared" ref="R1102" si="568">ROUND(Q1101*$D$959*(R1099-Q1099)/360,2)</f>
        <v>-946.27</v>
      </c>
    </row>
    <row r="1103" spans="2:33" x14ac:dyDescent="0.3">
      <c r="B1103" s="884" t="s">
        <v>1322</v>
      </c>
      <c r="C1103" s="885"/>
      <c r="D1103" s="887">
        <f>ROUND(D1102+D1100,4)</f>
        <v>9866.9444000000003</v>
      </c>
      <c r="E1103" s="888">
        <f>ROUND(E1102+E1100,4)</f>
        <v>6222.2222000000002</v>
      </c>
      <c r="F1103" s="488">
        <f t="shared" ref="F1103:R1103" si="569">ROUND(F1102+F1100,4)</f>
        <v>13519.82</v>
      </c>
      <c r="G1103" s="488">
        <f t="shared" si="569"/>
        <v>12212.55</v>
      </c>
      <c r="H1103" s="488">
        <f t="shared" si="569"/>
        <v>11925.62</v>
      </c>
      <c r="I1103" s="488">
        <f t="shared" si="569"/>
        <v>11638.69</v>
      </c>
      <c r="J1103" s="488">
        <f t="shared" si="569"/>
        <v>11355.47</v>
      </c>
      <c r="K1103" s="488">
        <f t="shared" si="569"/>
        <v>11064.83</v>
      </c>
      <c r="L1103" s="488">
        <f t="shared" si="569"/>
        <v>10777.9</v>
      </c>
      <c r="M1103" s="488">
        <f t="shared" si="569"/>
        <v>10490.97</v>
      </c>
      <c r="N1103" s="488">
        <f t="shared" si="569"/>
        <v>10204.6</v>
      </c>
      <c r="O1103" s="488">
        <f t="shared" si="569"/>
        <v>9917.11</v>
      </c>
      <c r="P1103" s="488">
        <f t="shared" si="569"/>
        <v>9630.18</v>
      </c>
      <c r="Q1103" s="488">
        <f t="shared" si="569"/>
        <v>9343.25</v>
      </c>
      <c r="R1103" s="488">
        <f t="shared" si="569"/>
        <v>9053.73</v>
      </c>
    </row>
    <row r="1104" spans="2:33" x14ac:dyDescent="0.3">
      <c r="B1104" s="884" t="s">
        <v>1323</v>
      </c>
      <c r="C1104" s="887"/>
      <c r="D1104" s="887">
        <f>+IF(D1099&gt;$C$1,D1103,0)</f>
        <v>9866.9444000000003</v>
      </c>
      <c r="E1104" s="888">
        <f>+IF(E1099&gt;$C$1,E1103,0)</f>
        <v>6222.2222000000002</v>
      </c>
      <c r="F1104" s="488">
        <f t="shared" ref="F1104:R1104" si="570">+IF(F1099&gt;$C$1,F1103,0)</f>
        <v>13519.82</v>
      </c>
      <c r="G1104" s="488">
        <f t="shared" si="570"/>
        <v>12212.55</v>
      </c>
      <c r="H1104" s="488">
        <f t="shared" si="570"/>
        <v>11925.62</v>
      </c>
      <c r="I1104" s="488">
        <f t="shared" si="570"/>
        <v>11638.69</v>
      </c>
      <c r="J1104" s="488">
        <f t="shared" si="570"/>
        <v>11355.47</v>
      </c>
      <c r="K1104" s="488">
        <f t="shared" si="570"/>
        <v>11064.83</v>
      </c>
      <c r="L1104" s="488">
        <f t="shared" si="570"/>
        <v>10777.9</v>
      </c>
      <c r="M1104" s="488">
        <f t="shared" si="570"/>
        <v>10490.97</v>
      </c>
      <c r="N1104" s="488">
        <f t="shared" si="570"/>
        <v>10204.6</v>
      </c>
      <c r="O1104" s="488">
        <f t="shared" si="570"/>
        <v>9917.11</v>
      </c>
      <c r="P1104" s="488">
        <f t="shared" si="570"/>
        <v>9630.18</v>
      </c>
      <c r="Q1104" s="488">
        <f t="shared" si="570"/>
        <v>9343.25</v>
      </c>
      <c r="R1104" s="488">
        <f t="shared" si="570"/>
        <v>9053.73</v>
      </c>
    </row>
    <row r="1105" spans="2:36" x14ac:dyDescent="0.3">
      <c r="B1105" s="884" t="s">
        <v>1324</v>
      </c>
      <c r="C1105" s="1247"/>
      <c r="D1105" s="1247">
        <f>(D1099-DateVariable)/365</f>
        <v>0.8575342465753425</v>
      </c>
      <c r="E1105" s="888">
        <f>(E1099-DateVariable)/365</f>
        <v>0.8575342465753425</v>
      </c>
      <c r="F1105" s="852">
        <f t="shared" ref="F1105:R1105" si="571">ROUND((F1099-$C$1)/360,1)</f>
        <v>2.2999999999999998</v>
      </c>
      <c r="G1105" s="852">
        <f t="shared" si="571"/>
        <v>3.3</v>
      </c>
      <c r="H1105" s="852">
        <f t="shared" si="571"/>
        <v>4.3</v>
      </c>
      <c r="I1105" s="852">
        <f t="shared" si="571"/>
        <v>5.3</v>
      </c>
      <c r="J1105" s="852">
        <f t="shared" si="571"/>
        <v>6.4</v>
      </c>
      <c r="K1105" s="852">
        <f t="shared" si="571"/>
        <v>7.4</v>
      </c>
      <c r="L1105" s="852">
        <f t="shared" si="571"/>
        <v>8.4</v>
      </c>
      <c r="M1105" s="852">
        <f t="shared" si="571"/>
        <v>9.4</v>
      </c>
      <c r="N1105" s="852">
        <f t="shared" si="571"/>
        <v>10.4</v>
      </c>
      <c r="O1105" s="852">
        <f t="shared" si="571"/>
        <v>11.4</v>
      </c>
      <c r="P1105" s="852">
        <f t="shared" si="571"/>
        <v>12.4</v>
      </c>
      <c r="Q1105" s="852">
        <f t="shared" si="571"/>
        <v>13.5</v>
      </c>
      <c r="R1105" s="852">
        <f t="shared" si="571"/>
        <v>14.5</v>
      </c>
    </row>
    <row r="1106" spans="2:36" x14ac:dyDescent="0.3">
      <c r="B1106" s="884" t="s">
        <v>3097</v>
      </c>
      <c r="C1106" s="885"/>
      <c r="D1106" s="1422" cm="1">
        <f t="array" ref="D1106">ROUND(IF(D1105&lt;1,interpoler(_mat1,taux1,D1105*365),interpoler(_mat2,taux2,D1105*365)),5)</f>
        <v>2.4510000000000001E-2</v>
      </c>
      <c r="E1106" s="888" cm="1">
        <f t="array" ref="E1106">ROUND(IF(E1105&lt;1,interpoler(_mat1,taux1,E1105*365),interpoler(_mat2,taux2,E1105*365)),5)</f>
        <v>2.4510000000000001E-2</v>
      </c>
      <c r="F1106" s="439" cm="1">
        <f t="array" ref="F1106">ROUND(IF((F1099-$C$1)&lt;=360,interpoler(_mat1,taux1,(F1099-$C$1)),interpoler(_mat2,taux2,F1105*366)),5)</f>
        <v>2.7140000000000001E-2</v>
      </c>
      <c r="G1106" s="439" cm="1">
        <f t="array" ref="G1106">ROUND(IF((G1099-$C$1)&lt;=360,interpoler(_mat1,taux1,(G1099-$C$1)),interpoler(_mat2,taux2,G1105*366)),5)</f>
        <v>2.8660000000000001E-2</v>
      </c>
      <c r="H1106" s="439" cm="1">
        <f t="array" ref="H1106">ROUND(IF((H1099-$C$1)&lt;=360,interpoler(_mat1,taux1,(H1099-$C$1)),interpoler(_mat2,taux2,H1105*366)),5)</f>
        <v>3.005E-2</v>
      </c>
      <c r="I1106" s="439" cm="1">
        <f t="array" ref="I1106">ROUND(IF((I1099-$C$1)&lt;=360,interpoler(_mat1,taux1,(I1099-$C$1)),interpoler(_mat2,taux2,I1105*366)),5)</f>
        <v>3.092E-2</v>
      </c>
      <c r="J1106" s="439" cm="1">
        <f t="array" ref="J1106">ROUND(IF((J1099-$C$1)&lt;=360,interpoler(_mat1,taux1,(J1099-$C$1)),interpoler(_mat2,taux2,J1105*366)),5)</f>
        <v>3.1449999999999999E-2</v>
      </c>
      <c r="K1106" s="439" cm="1">
        <f t="array" ref="K1106">ROUND(IF((K1099-$C$1)&lt;=360,interpoler(_mat1,taux1,(K1099-$C$1)),interpoler(_mat2,taux2,K1105*366)),5)</f>
        <v>3.193E-2</v>
      </c>
      <c r="L1106" s="439" cm="1">
        <f t="array" ref="L1106">ROUND(IF((L1099-$C$1)&lt;=360,interpoler(_mat1,taux1,(L1099-$C$1)),interpoler(_mat2,taux2,L1105*366)),5)</f>
        <v>3.2410000000000001E-2</v>
      </c>
      <c r="M1106" s="439" cm="1">
        <f t="array" ref="M1106">ROUND(IF((M1099-$C$1)&lt;=360,interpoler(_mat1,taux1,(M1099-$C$1)),interpoler(_mat2,taux2,M1105*366)),5)</f>
        <v>3.2910000000000002E-2</v>
      </c>
      <c r="N1106" s="439" cm="1">
        <f t="array" ref="N1106">ROUND(IF((N1099-$C$1)&lt;=360,interpoler(_mat1,taux1,(N1099-$C$1)),interpoler(_mat2,taux2,N1105*366)),5)</f>
        <v>3.347E-2</v>
      </c>
      <c r="O1106" s="439" cm="1">
        <f t="array" ref="O1106">ROUND(IF((O1099-$C$1)&lt;=360,interpoler(_mat1,taux1,(O1099-$C$1)),interpoler(_mat2,taux2,O1105*366)),5)</f>
        <v>3.4040000000000001E-2</v>
      </c>
      <c r="P1106" s="439" cm="1">
        <f t="array" ref="P1106">ROUND(IF((P1099-$C$1)&lt;=360,interpoler(_mat1,taux1,(P1099-$C$1)),interpoler(_mat2,taux2,P1105*366)),5)</f>
        <v>3.4599999999999999E-2</v>
      </c>
      <c r="Q1106" s="439" cm="1">
        <f t="array" ref="Q1106">ROUND(IF((Q1099-$C$1)&lt;=360,interpoler(_mat1,taux1,(Q1099-$C$1)),interpoler(_mat2,taux2,Q1105*366)),5)</f>
        <v>3.5150000000000001E-2</v>
      </c>
      <c r="R1106" s="439" cm="1">
        <f t="array" ref="R1106">ROUND(IF((R1099-$C$1)&lt;=360,interpoler(_mat1,taux1,(R1099-$C$1)),interpoler(_mat2,taux2,R1105*366)),5)</f>
        <v>3.5380000000000002E-2</v>
      </c>
    </row>
    <row r="1107" spans="2:36" x14ac:dyDescent="0.3">
      <c r="B1107" s="884" t="s">
        <v>1328</v>
      </c>
      <c r="C1107" s="885"/>
      <c r="D1107" s="1422">
        <v>4.7999999999999996E-3</v>
      </c>
      <c r="E1107" s="888">
        <v>4.4999999999999997E-3</v>
      </c>
      <c r="F1107" s="429">
        <f t="shared" ref="F1107:K1107" si="572">E1107</f>
        <v>4.4999999999999997E-3</v>
      </c>
      <c r="G1107" s="429">
        <f t="shared" si="572"/>
        <v>4.4999999999999997E-3</v>
      </c>
      <c r="H1107" s="429">
        <f t="shared" si="572"/>
        <v>4.4999999999999997E-3</v>
      </c>
      <c r="I1107" s="429">
        <f t="shared" si="572"/>
        <v>4.4999999999999997E-3</v>
      </c>
      <c r="J1107" s="429">
        <f t="shared" si="572"/>
        <v>4.4999999999999997E-3</v>
      </c>
      <c r="K1107" s="429">
        <f t="shared" si="572"/>
        <v>4.4999999999999997E-3</v>
      </c>
      <c r="L1107" s="429">
        <f t="shared" ref="L1107:R1107" si="573">0.6%</f>
        <v>6.0000000000000001E-3</v>
      </c>
      <c r="M1107" s="429">
        <f t="shared" si="573"/>
        <v>6.0000000000000001E-3</v>
      </c>
      <c r="N1107" s="429">
        <f t="shared" si="573"/>
        <v>6.0000000000000001E-3</v>
      </c>
      <c r="O1107" s="429">
        <f t="shared" si="573"/>
        <v>6.0000000000000001E-3</v>
      </c>
      <c r="P1107" s="429">
        <f t="shared" si="573"/>
        <v>6.0000000000000001E-3</v>
      </c>
      <c r="Q1107" s="429">
        <f t="shared" si="573"/>
        <v>6.0000000000000001E-3</v>
      </c>
      <c r="R1107" s="429">
        <f t="shared" si="573"/>
        <v>6.0000000000000001E-3</v>
      </c>
    </row>
    <row r="1108" spans="2:36" x14ac:dyDescent="0.3">
      <c r="B1108" s="884" t="s">
        <v>1329</v>
      </c>
      <c r="C1108" s="885"/>
      <c r="D1108" s="891">
        <f>D1106+D1107</f>
        <v>2.9309999999999999E-2</v>
      </c>
      <c r="E1108" s="888">
        <f>ROUND((E1106+E1107),5)</f>
        <v>2.9010000000000001E-2</v>
      </c>
      <c r="F1108" s="826">
        <f t="shared" ref="F1108:R1108" si="574">ROUND((F1106+F1107),5)</f>
        <v>3.1640000000000001E-2</v>
      </c>
      <c r="G1108" s="826">
        <f t="shared" si="574"/>
        <v>3.3160000000000002E-2</v>
      </c>
      <c r="H1108" s="826">
        <f t="shared" si="574"/>
        <v>3.4549999999999997E-2</v>
      </c>
      <c r="I1108" s="826">
        <f t="shared" si="574"/>
        <v>3.542E-2</v>
      </c>
      <c r="J1108" s="826">
        <f t="shared" si="574"/>
        <v>3.5950000000000003E-2</v>
      </c>
      <c r="K1108" s="826">
        <f t="shared" si="574"/>
        <v>3.6429999999999997E-2</v>
      </c>
      <c r="L1108" s="826">
        <f t="shared" si="574"/>
        <v>3.841E-2</v>
      </c>
      <c r="M1108" s="826">
        <f t="shared" si="574"/>
        <v>3.891E-2</v>
      </c>
      <c r="N1108" s="826">
        <f t="shared" si="574"/>
        <v>3.9469999999999998E-2</v>
      </c>
      <c r="O1108" s="826">
        <f t="shared" si="574"/>
        <v>4.0039999999999999E-2</v>
      </c>
      <c r="P1108" s="826">
        <f t="shared" si="574"/>
        <v>4.0599999999999997E-2</v>
      </c>
      <c r="Q1108" s="826">
        <f t="shared" si="574"/>
        <v>4.1149999999999999E-2</v>
      </c>
      <c r="R1108" s="826">
        <f t="shared" si="574"/>
        <v>4.138E-2</v>
      </c>
    </row>
    <row r="1109" spans="2:36" x14ac:dyDescent="0.3">
      <c r="B1109" s="884"/>
      <c r="C1109" s="885"/>
      <c r="D1109" s="1310">
        <f>ROUND((D1104+D1101)/(1+(D1106+D1107)*((D1099-DateVariable)/360)),5)</f>
        <v>100635.73536000001</v>
      </c>
      <c r="E1109" s="888">
        <f>ROUND((E1104+E1101)/(1+E1108)^((E1099-DateVariable)/365),5)</f>
        <v>91072.351070000004</v>
      </c>
      <c r="F1109" s="624">
        <f t="shared" ref="F1109:R1109" si="575">ROUND((F1104+F1101)/(1+F1108*F1105),4)</f>
        <v>84482.938699999999</v>
      </c>
      <c r="G1109" s="624">
        <f t="shared" si="575"/>
        <v>71499.602599999998</v>
      </c>
      <c r="H1109" s="624">
        <f t="shared" si="575"/>
        <v>60106.943099999997</v>
      </c>
      <c r="I1109" s="624">
        <f t="shared" si="575"/>
        <v>49464.102899999998</v>
      </c>
      <c r="J1109" s="624">
        <f t="shared" si="575"/>
        <v>39401.161800000002</v>
      </c>
      <c r="K1109" s="624">
        <f t="shared" si="575"/>
        <v>30069.6931</v>
      </c>
      <c r="L1109" s="624">
        <f t="shared" si="575"/>
        <v>21085.803199999998</v>
      </c>
      <c r="M1109" s="624">
        <f t="shared" si="575"/>
        <v>12888.1783</v>
      </c>
      <c r="N1109" s="624">
        <f t="shared" si="575"/>
        <v>5186.6525000000001</v>
      </c>
      <c r="O1109" s="624">
        <f t="shared" si="575"/>
        <v>-2040.4178999999999</v>
      </c>
      <c r="P1109" s="624">
        <f t="shared" si="575"/>
        <v>-8818.9145000000008</v>
      </c>
      <c r="Q1109" s="624">
        <f t="shared" si="575"/>
        <v>-15136.779500000001</v>
      </c>
      <c r="R1109" s="624">
        <f t="shared" si="575"/>
        <v>-21146.842100000002</v>
      </c>
    </row>
    <row r="1110" spans="2:36" x14ac:dyDescent="0.3">
      <c r="B1110" s="367"/>
      <c r="C1110" s="367"/>
      <c r="D1110" s="1311"/>
    </row>
    <row r="1111" spans="2:36" x14ac:dyDescent="0.3">
      <c r="B1111" s="585" t="s">
        <v>650</v>
      </c>
      <c r="C1111" s="586">
        <f>D1109</f>
        <v>100635.73536000001</v>
      </c>
      <c r="D1111" s="500"/>
    </row>
    <row r="1112" spans="2:36" x14ac:dyDescent="0.3">
      <c r="B1112" s="585" t="s">
        <v>1331</v>
      </c>
      <c r="C1112" s="586">
        <f>+SUMPRODUCT(E1105:AG1105,E1109:AG1109)/C1111</f>
        <v>12.046214396029606</v>
      </c>
      <c r="D1112" s="365"/>
      <c r="E1112" s="572"/>
    </row>
    <row r="1113" spans="2:36" x14ac:dyDescent="0.3">
      <c r="D1113" s="572"/>
      <c r="E1113" s="1375"/>
    </row>
    <row r="1114" spans="2:36" x14ac:dyDescent="0.3">
      <c r="C1114" s="1292"/>
      <c r="D1114" s="1600"/>
      <c r="E1114" s="1599"/>
      <c r="F1114" s="1292"/>
    </row>
    <row r="1115" spans="2:36" x14ac:dyDescent="0.3">
      <c r="C1115" s="1419"/>
      <c r="D1115" s="1292"/>
      <c r="E1115" s="1292"/>
      <c r="F1115" s="1599"/>
      <c r="G1115" s="1292"/>
    </row>
    <row r="1118" spans="2:36" x14ac:dyDescent="0.3">
      <c r="C1118" s="1292"/>
      <c r="D1118" s="1292"/>
      <c r="E1118" s="1292"/>
      <c r="F1118" s="1292"/>
      <c r="G1118" s="462"/>
      <c r="H1118" s="462"/>
      <c r="I1118" s="462"/>
      <c r="J1118" s="462"/>
      <c r="K1118" s="462"/>
      <c r="L1118" s="462"/>
      <c r="M1118" s="462"/>
      <c r="N1118" s="462"/>
      <c r="O1118" s="462"/>
      <c r="P1118" s="462"/>
      <c r="Q1118" s="462"/>
      <c r="R1118" s="462"/>
      <c r="S1118" s="462"/>
      <c r="T1118" s="462"/>
      <c r="U1118" s="462"/>
      <c r="V1118" s="462"/>
      <c r="W1118" s="462"/>
      <c r="X1118" s="462"/>
      <c r="Y1118" s="462"/>
      <c r="Z1118" s="462"/>
      <c r="AA1118" s="462"/>
      <c r="AB1118" s="462"/>
      <c r="AC1118" s="462"/>
      <c r="AD1118" s="462"/>
      <c r="AE1118" s="462"/>
      <c r="AF1118" s="462"/>
      <c r="AG1118" s="462"/>
      <c r="AH1118" s="462"/>
      <c r="AI1118" s="462"/>
      <c r="AJ1118" s="462"/>
    </row>
    <row r="1119" spans="2:36" x14ac:dyDescent="0.3">
      <c r="C1119" s="1292"/>
      <c r="D1119" s="1292"/>
      <c r="E1119" s="1292"/>
      <c r="F1119" s="1292"/>
      <c r="G1119" s="462"/>
      <c r="H1119" s="462"/>
    </row>
    <row r="1120" spans="2:36" x14ac:dyDescent="0.3">
      <c r="C1120" s="1292"/>
      <c r="D1120" s="1292"/>
      <c r="E1120" s="1292"/>
      <c r="F1120" s="1292"/>
      <c r="G1120" s="462"/>
      <c r="H1120" s="462"/>
    </row>
    <row r="1121" spans="3:8" x14ac:dyDescent="0.3">
      <c r="C1121" s="1292"/>
      <c r="D1121" s="1292"/>
      <c r="E1121" s="1292"/>
      <c r="F1121" s="1292"/>
      <c r="G1121" s="462"/>
      <c r="H1121" s="462"/>
    </row>
    <row r="1122" spans="3:8" x14ac:dyDescent="0.3">
      <c r="C1122" s="1292"/>
      <c r="D1122" s="1292"/>
      <c r="E1122" s="1292"/>
      <c r="F1122" s="1292"/>
      <c r="G1122" s="462"/>
      <c r="H1122" s="462"/>
    </row>
    <row r="1123" spans="3:8" x14ac:dyDescent="0.3">
      <c r="C1123" s="1292"/>
      <c r="D1123" s="1292"/>
      <c r="E1123" s="1292"/>
      <c r="F1123" s="1292"/>
      <c r="G1123" s="462"/>
      <c r="H1123" s="462"/>
    </row>
    <row r="1124" spans="3:8" x14ac:dyDescent="0.3">
      <c r="C1124" s="1292"/>
      <c r="D1124" s="1292"/>
      <c r="E1124" s="1292"/>
      <c r="F1124" s="1292"/>
      <c r="G1124" s="462"/>
      <c r="H1124" s="462"/>
    </row>
    <row r="1125" spans="3:8" x14ac:dyDescent="0.3">
      <c r="C1125" s="1292"/>
      <c r="D1125" s="1292"/>
      <c r="E1125" s="1292"/>
      <c r="F1125" s="1292"/>
      <c r="G1125" s="462"/>
      <c r="H1125" s="462"/>
    </row>
    <row r="1126" spans="3:8" x14ac:dyDescent="0.3">
      <c r="C1126" s="1292"/>
      <c r="D1126" s="1292"/>
      <c r="E1126" s="1292"/>
      <c r="F1126" s="1292"/>
      <c r="G1126" s="462"/>
      <c r="H1126" s="462"/>
    </row>
    <row r="1127" spans="3:8" x14ac:dyDescent="0.3">
      <c r="C1127" s="1292"/>
      <c r="D1127" s="1292"/>
      <c r="E1127" s="1292"/>
      <c r="F1127" s="1292"/>
      <c r="G1127" s="462"/>
      <c r="H1127" s="462"/>
    </row>
    <row r="1128" spans="3:8" x14ac:dyDescent="0.3">
      <c r="C1128" s="1292"/>
      <c r="D1128" s="1292"/>
      <c r="E1128" s="1292"/>
      <c r="F1128" s="1292"/>
      <c r="G1128" s="462"/>
      <c r="H1128" s="462"/>
    </row>
    <row r="1129" spans="3:8" x14ac:dyDescent="0.3">
      <c r="C1129" s="1292"/>
      <c r="D1129" s="1292"/>
      <c r="E1129" s="1292"/>
      <c r="F1129" s="1292"/>
      <c r="G1129" s="462"/>
      <c r="H1129" s="462"/>
    </row>
    <row r="1130" spans="3:8" x14ac:dyDescent="0.3">
      <c r="C1130" s="1292"/>
      <c r="D1130" s="1292"/>
      <c r="E1130" s="1292"/>
      <c r="F1130" s="1292"/>
      <c r="G1130" s="462"/>
      <c r="H1130" s="462"/>
    </row>
    <row r="1131" spans="3:8" x14ac:dyDescent="0.3">
      <c r="C1131" s="1292"/>
      <c r="D1131" s="1292"/>
      <c r="E1131" s="1292"/>
      <c r="F1131" s="1292"/>
      <c r="G1131" s="462"/>
      <c r="H1131" s="462"/>
    </row>
    <row r="1132" spans="3:8" x14ac:dyDescent="0.3">
      <c r="C1132" s="1292"/>
      <c r="D1132" s="1292"/>
      <c r="E1132" s="1292"/>
      <c r="F1132" s="1292"/>
      <c r="G1132" s="462"/>
      <c r="H1132" s="462"/>
    </row>
    <row r="1133" spans="3:8" x14ac:dyDescent="0.3">
      <c r="C1133" s="1292"/>
      <c r="D1133" s="1292"/>
      <c r="E1133" s="1292"/>
      <c r="F1133" s="1292"/>
      <c r="G1133" s="462"/>
      <c r="H1133" s="462"/>
    </row>
    <row r="1134" spans="3:8" x14ac:dyDescent="0.3">
      <c r="C1134" s="1292"/>
      <c r="D1134" s="1292"/>
      <c r="E1134" s="1292"/>
      <c r="F1134" s="1292"/>
      <c r="G1134" s="462"/>
      <c r="H1134" s="462"/>
    </row>
    <row r="1135" spans="3:8" x14ac:dyDescent="0.3">
      <c r="C1135" s="1292"/>
      <c r="D1135" s="1292"/>
      <c r="E1135" s="1292"/>
      <c r="F1135" s="1292"/>
      <c r="G1135" s="462"/>
      <c r="H1135" s="462"/>
    </row>
    <row r="1136" spans="3:8" x14ac:dyDescent="0.3">
      <c r="C1136" s="1292"/>
      <c r="D1136" s="1292"/>
      <c r="E1136" s="1292"/>
      <c r="F1136" s="1292"/>
      <c r="G1136" s="462"/>
      <c r="H1136" s="462"/>
    </row>
    <row r="1137" spans="3:8" x14ac:dyDescent="0.3">
      <c r="C1137" s="1292"/>
      <c r="D1137" s="1292"/>
      <c r="E1137" s="1292"/>
      <c r="F1137" s="1292"/>
      <c r="G1137" s="462"/>
      <c r="H1137" s="462"/>
    </row>
    <row r="1138" spans="3:8" x14ac:dyDescent="0.3">
      <c r="C1138" s="1292"/>
      <c r="D1138" s="1292"/>
      <c r="E1138" s="1292"/>
      <c r="F1138" s="1292"/>
      <c r="G1138" s="462"/>
      <c r="H1138" s="462"/>
    </row>
    <row r="1139" spans="3:8" x14ac:dyDescent="0.3">
      <c r="C1139" s="1292"/>
      <c r="D1139" s="1292"/>
      <c r="E1139" s="1292"/>
      <c r="F1139" s="1292"/>
      <c r="G1139" s="462"/>
      <c r="H1139" s="462"/>
    </row>
    <row r="1140" spans="3:8" x14ac:dyDescent="0.3">
      <c r="C1140" s="1292"/>
      <c r="D1140" s="1292"/>
      <c r="E1140" s="1292"/>
      <c r="F1140" s="1292"/>
      <c r="G1140" s="462"/>
      <c r="H1140" s="462"/>
    </row>
    <row r="1141" spans="3:8" x14ac:dyDescent="0.3">
      <c r="C1141" s="1292"/>
      <c r="D1141" s="1292"/>
      <c r="E1141" s="1292"/>
      <c r="F1141" s="1292"/>
      <c r="G1141" s="462"/>
      <c r="H1141" s="462"/>
    </row>
    <row r="1142" spans="3:8" x14ac:dyDescent="0.3">
      <c r="C1142" s="1292"/>
      <c r="D1142" s="1292"/>
      <c r="E1142" s="1292"/>
      <c r="F1142" s="1292"/>
      <c r="G1142" s="462"/>
      <c r="H1142" s="462"/>
    </row>
    <row r="1143" spans="3:8" x14ac:dyDescent="0.3">
      <c r="C1143" s="1292"/>
      <c r="D1143" s="1292"/>
      <c r="E1143" s="1292"/>
      <c r="F1143" s="1292"/>
      <c r="G1143" s="462"/>
      <c r="H1143" s="462"/>
    </row>
    <row r="1144" spans="3:8" x14ac:dyDescent="0.3">
      <c r="C1144" s="1292"/>
      <c r="D1144" s="1292"/>
      <c r="E1144" s="1292"/>
      <c r="F1144" s="1292"/>
      <c r="G1144" s="462"/>
      <c r="H1144" s="462"/>
    </row>
    <row r="1145" spans="3:8" x14ac:dyDescent="0.3">
      <c r="C1145" s="1292"/>
      <c r="D1145" s="1292"/>
      <c r="E1145" s="1292"/>
      <c r="F1145" s="1292"/>
      <c r="G1145" s="462"/>
      <c r="H1145" s="462"/>
    </row>
    <row r="1146" spans="3:8" x14ac:dyDescent="0.3">
      <c r="C1146" s="1292"/>
      <c r="D1146" s="1292"/>
      <c r="E1146" s="1292"/>
      <c r="F1146" s="1292"/>
      <c r="G1146" s="462"/>
      <c r="H1146" s="462"/>
    </row>
    <row r="1147" spans="3:8" x14ac:dyDescent="0.3">
      <c r="C1147" s="1292"/>
      <c r="D1147" s="1292"/>
      <c r="E1147" s="1292"/>
      <c r="F1147" s="1292"/>
      <c r="G1147" s="462"/>
      <c r="H1147" s="462"/>
    </row>
  </sheetData>
  <mergeCells count="3">
    <mergeCell ref="B661:J661"/>
    <mergeCell ref="N589:O589"/>
    <mergeCell ref="N587:O587"/>
  </mergeCells>
  <phoneticPr fontId="30"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0">
    <tabColor theme="0" tint="-0.499984740745262"/>
    <pageSetUpPr fitToPage="1"/>
  </sheetPr>
  <dimension ref="A1:AS360"/>
  <sheetViews>
    <sheetView zoomScale="85" workbookViewId="0">
      <selection activeCell="D18" sqref="D18"/>
    </sheetView>
  </sheetViews>
  <sheetFormatPr baseColWidth="10" defaultRowHeight="12.75" x14ac:dyDescent="0.2"/>
  <cols>
    <col min="1" max="1" width="19.5703125" bestFit="1" customWidth="1"/>
    <col min="2" max="2" width="12.5703125" customWidth="1"/>
    <col min="3" max="3" width="17.5703125" bestFit="1" customWidth="1"/>
    <col min="4" max="4" width="18.7109375" bestFit="1" customWidth="1"/>
    <col min="5" max="5" width="12.85546875" bestFit="1" customWidth="1"/>
    <col min="6" max="6" width="13.42578125" bestFit="1" customWidth="1"/>
    <col min="7" max="7" width="19.28515625" style="182" bestFit="1" customWidth="1"/>
    <col min="8" max="8" width="12.7109375" bestFit="1" customWidth="1"/>
    <col min="9" max="9" width="16.7109375" style="8" customWidth="1"/>
    <col min="10" max="10" width="13.42578125" bestFit="1" customWidth="1"/>
    <col min="11" max="11" width="12.85546875" style="280" bestFit="1" customWidth="1"/>
    <col min="12" max="12" width="48" customWidth="1"/>
    <col min="13" max="13" width="13.42578125" bestFit="1" customWidth="1"/>
    <col min="14" max="14" width="14.140625" bestFit="1" customWidth="1"/>
    <col min="15" max="15" width="14.140625" customWidth="1"/>
    <col min="16" max="16" width="12.42578125" bestFit="1" customWidth="1"/>
    <col min="17" max="17" width="31.140625" customWidth="1"/>
    <col min="20" max="20" width="17.28515625" bestFit="1" customWidth="1"/>
    <col min="21" max="22" width="14.140625" bestFit="1" customWidth="1"/>
    <col min="23" max="23" width="20.5703125" bestFit="1" customWidth="1"/>
    <col min="24" max="24" width="17.42578125" bestFit="1" customWidth="1"/>
    <col min="25" max="25" width="21.5703125" bestFit="1" customWidth="1"/>
    <col min="26" max="26" width="19.42578125" customWidth="1"/>
    <col min="27" max="27" width="16.85546875" bestFit="1" customWidth="1"/>
    <col min="28" max="28" width="15" bestFit="1" customWidth="1"/>
    <col min="29" max="29" width="13.42578125" customWidth="1"/>
    <col min="30" max="30" width="21.5703125" bestFit="1" customWidth="1"/>
    <col min="31" max="31" width="14" customWidth="1"/>
    <col min="32" max="34" width="13.42578125" bestFit="1" customWidth="1"/>
    <col min="35" max="35" width="14.42578125" bestFit="1" customWidth="1"/>
    <col min="36" max="39" width="12.42578125" bestFit="1" customWidth="1"/>
    <col min="40" max="40" width="17.5703125" bestFit="1" customWidth="1"/>
    <col min="41" max="45" width="12.42578125" bestFit="1" customWidth="1"/>
  </cols>
  <sheetData>
    <row r="1" spans="1:37" ht="16.5" thickBot="1" x14ac:dyDescent="0.3">
      <c r="A1" s="945"/>
      <c r="B1" s="945"/>
      <c r="C1" s="8"/>
      <c r="D1" s="3"/>
      <c r="E1" s="4" t="s">
        <v>96</v>
      </c>
      <c r="F1" s="946" t="s">
        <v>97</v>
      </c>
      <c r="G1" s="181" t="s">
        <v>100</v>
      </c>
      <c r="H1" s="6" t="s">
        <v>101</v>
      </c>
      <c r="K1" s="1645" t="s">
        <v>102</v>
      </c>
      <c r="L1" s="1645"/>
      <c r="Q1">
        <v>2074</v>
      </c>
      <c r="R1" s="82" t="s">
        <v>367</v>
      </c>
      <c r="S1" s="59"/>
      <c r="T1" s="60" t="s">
        <v>103</v>
      </c>
      <c r="U1" s="61">
        <f>+B4</f>
        <v>46107</v>
      </c>
      <c r="V1" s="59"/>
      <c r="W1" s="59"/>
      <c r="X1" s="59"/>
      <c r="Y1" s="59"/>
      <c r="Z1" s="59"/>
      <c r="AA1" s="59"/>
      <c r="AB1" s="59"/>
      <c r="AC1" s="59"/>
      <c r="AD1" s="59"/>
      <c r="AE1" s="59"/>
      <c r="AF1" s="59"/>
      <c r="AG1" s="59"/>
      <c r="AH1" s="59"/>
      <c r="AI1" s="62"/>
    </row>
    <row r="2" spans="1:37" ht="15.75" x14ac:dyDescent="0.25">
      <c r="A2" s="685" t="s">
        <v>2526</v>
      </c>
      <c r="B2" s="947"/>
      <c r="D2" s="948">
        <v>1</v>
      </c>
      <c r="E2" s="9" t="s">
        <v>104</v>
      </c>
      <c r="F2" s="57">
        <f t="shared" ref="F2:F35" si="0">ROUND(IF(D2&gt;365,interpoler(_mat2,taux2,D2),interpoler(_mat1,taux1,D2)),5)</f>
        <v>2.2700000000000001E-2</v>
      </c>
      <c r="G2" s="106">
        <f>F2</f>
        <v>2.2700000000000001E-2</v>
      </c>
      <c r="H2" s="10"/>
      <c r="J2" s="96"/>
      <c r="K2" s="672" t="s">
        <v>368</v>
      </c>
      <c r="L2" s="50" t="s">
        <v>105</v>
      </c>
      <c r="R2" s="63"/>
      <c r="T2" s="64" t="s">
        <v>105</v>
      </c>
      <c r="U2" s="13">
        <v>6.2E-2</v>
      </c>
      <c r="V2" s="13"/>
      <c r="AI2" s="65"/>
    </row>
    <row r="3" spans="1:37" ht="15.75" x14ac:dyDescent="0.25">
      <c r="A3" s="3"/>
      <c r="B3" s="949"/>
      <c r="C3" s="945" t="s">
        <v>2527</v>
      </c>
      <c r="D3" s="948">
        <v>91</v>
      </c>
      <c r="E3" s="9" t="s">
        <v>106</v>
      </c>
      <c r="F3" s="57">
        <f t="shared" si="0"/>
        <v>2.299E-2</v>
      </c>
      <c r="G3" s="104">
        <f>F3</f>
        <v>2.299E-2</v>
      </c>
      <c r="H3" s="10"/>
      <c r="J3" s="96"/>
      <c r="K3" s="1041">
        <f>91/365</f>
        <v>0.24931506849315069</v>
      </c>
      <c r="L3" s="950">
        <f>+(1+G3*91/360)^(365/91)-1</f>
        <v>2.3514033613839525E-2</v>
      </c>
      <c r="R3" s="63"/>
      <c r="T3" s="66">
        <v>37732</v>
      </c>
      <c r="U3" s="8">
        <v>38098</v>
      </c>
      <c r="V3" s="66">
        <v>38463</v>
      </c>
      <c r="W3" s="8">
        <v>38828</v>
      </c>
      <c r="X3" s="66">
        <v>39193</v>
      </c>
      <c r="Y3" s="8">
        <v>39559</v>
      </c>
      <c r="Z3" s="66">
        <v>39924</v>
      </c>
      <c r="AA3" s="8">
        <v>40289</v>
      </c>
      <c r="AB3" s="66">
        <v>40654</v>
      </c>
      <c r="AC3" s="8">
        <v>41020</v>
      </c>
      <c r="AD3" s="66">
        <v>41385</v>
      </c>
      <c r="AE3" s="8">
        <v>41750</v>
      </c>
      <c r="AF3" s="66">
        <v>42115</v>
      </c>
      <c r="AG3" s="8">
        <v>42481</v>
      </c>
      <c r="AH3" s="66">
        <v>42846</v>
      </c>
      <c r="AI3" s="67">
        <v>43211</v>
      </c>
    </row>
    <row r="4" spans="1:37" ht="15.75" x14ac:dyDescent="0.25">
      <c r="A4" s="18" t="s">
        <v>1918</v>
      </c>
      <c r="B4" s="19">
        <f>+Lignes_détenues!AF1</f>
        <v>46107</v>
      </c>
      <c r="C4" s="947" t="s">
        <v>2528</v>
      </c>
      <c r="D4" s="948">
        <v>182</v>
      </c>
      <c r="E4" s="9" t="s">
        <v>1317</v>
      </c>
      <c r="F4" s="57">
        <f t="shared" si="0"/>
        <v>2.3650000000000001E-2</v>
      </c>
      <c r="G4" s="107">
        <f>F4</f>
        <v>2.3650000000000001E-2</v>
      </c>
      <c r="H4" s="10"/>
      <c r="J4" s="96"/>
      <c r="K4" s="1041">
        <f>182/365</f>
        <v>0.49863013698630138</v>
      </c>
      <c r="L4" s="950">
        <f>+(1+G4*182/360)^(365/182)-1</f>
        <v>2.4122610964817603E-2</v>
      </c>
      <c r="N4" s="589"/>
      <c r="O4" s="589"/>
      <c r="P4" s="49"/>
      <c r="R4" s="63"/>
      <c r="S4" t="s">
        <v>1318</v>
      </c>
      <c r="T4" s="68"/>
      <c r="U4" s="69">
        <v>10000</v>
      </c>
      <c r="V4" s="69">
        <v>10000</v>
      </c>
      <c r="W4" s="69">
        <v>10000</v>
      </c>
      <c r="X4" s="69">
        <v>10000</v>
      </c>
      <c r="Y4" s="69">
        <v>10000</v>
      </c>
      <c r="Z4" s="69">
        <v>10000</v>
      </c>
      <c r="AA4" s="69">
        <v>10000</v>
      </c>
      <c r="AB4" s="69">
        <v>10000</v>
      </c>
      <c r="AC4" s="69">
        <v>10000</v>
      </c>
      <c r="AD4" s="69">
        <v>10000</v>
      </c>
      <c r="AE4" s="69">
        <v>10000</v>
      </c>
      <c r="AF4" s="69">
        <v>10000</v>
      </c>
      <c r="AG4" s="69">
        <v>10000</v>
      </c>
      <c r="AH4" s="69">
        <v>10000</v>
      </c>
      <c r="AI4" s="70">
        <v>10000</v>
      </c>
    </row>
    <row r="5" spans="1:37" ht="15.75" x14ac:dyDescent="0.25">
      <c r="A5" s="3"/>
      <c r="B5" s="3"/>
      <c r="C5" s="949"/>
      <c r="D5" s="948">
        <v>364</v>
      </c>
      <c r="E5" s="9" t="s">
        <v>1319</v>
      </c>
      <c r="F5" s="57">
        <f t="shared" si="0"/>
        <v>2.479E-2</v>
      </c>
      <c r="G5" s="107">
        <f>F5</f>
        <v>2.479E-2</v>
      </c>
      <c r="H5" s="10"/>
      <c r="J5" s="96"/>
      <c r="K5" s="1041">
        <v>1</v>
      </c>
      <c r="L5" s="951">
        <f>ROUND(G6,5)</f>
        <v>2.5139999999999999E-2</v>
      </c>
      <c r="M5" s="689"/>
      <c r="N5" s="49"/>
      <c r="O5" s="49"/>
      <c r="R5" s="63"/>
      <c r="S5" t="s">
        <v>1320</v>
      </c>
      <c r="T5" s="69">
        <v>150000</v>
      </c>
      <c r="U5" s="23">
        <f t="shared" ref="U5:AI5" si="1">+T5-U4</f>
        <v>140000</v>
      </c>
      <c r="V5" s="23">
        <f t="shared" si="1"/>
        <v>130000</v>
      </c>
      <c r="W5" s="23">
        <f t="shared" si="1"/>
        <v>120000</v>
      </c>
      <c r="X5" s="23">
        <f t="shared" si="1"/>
        <v>110000</v>
      </c>
      <c r="Y5" s="23">
        <f t="shared" si="1"/>
        <v>100000</v>
      </c>
      <c r="Z5" s="23">
        <f t="shared" si="1"/>
        <v>90000</v>
      </c>
      <c r="AA5" s="23">
        <f t="shared" si="1"/>
        <v>80000</v>
      </c>
      <c r="AB5" s="23">
        <f t="shared" si="1"/>
        <v>70000</v>
      </c>
      <c r="AC5" s="23">
        <f t="shared" si="1"/>
        <v>60000</v>
      </c>
      <c r="AD5" s="23">
        <f t="shared" si="1"/>
        <v>50000</v>
      </c>
      <c r="AE5" s="23">
        <f t="shared" si="1"/>
        <v>40000</v>
      </c>
      <c r="AF5" s="23">
        <f t="shared" si="1"/>
        <v>30000</v>
      </c>
      <c r="AG5" s="23">
        <f t="shared" si="1"/>
        <v>20000</v>
      </c>
      <c r="AH5" s="23">
        <f t="shared" si="1"/>
        <v>10000</v>
      </c>
      <c r="AI5" s="71">
        <f t="shared" si="1"/>
        <v>0</v>
      </c>
    </row>
    <row r="6" spans="1:37" ht="15.75" x14ac:dyDescent="0.25">
      <c r="A6" s="24"/>
      <c r="B6" s="24"/>
      <c r="C6" s="688"/>
      <c r="D6" s="948">
        <v>365</v>
      </c>
      <c r="E6" s="9">
        <v>1</v>
      </c>
      <c r="F6" s="57">
        <f t="shared" si="0"/>
        <v>2.4799999999999999E-2</v>
      </c>
      <c r="G6" s="1176">
        <f>(1+F6*D6/360)^(base_calcul($B$4,D6)/D6)-1</f>
        <v>2.5144444444444414E-2</v>
      </c>
      <c r="H6" s="14">
        <f>1/(1+G6)^E6</f>
        <v>0.97547229116764034</v>
      </c>
      <c r="I6" s="322" cm="1">
        <f t="array" ref="I6">base_calcul(B4,D6)</f>
        <v>365</v>
      </c>
      <c r="J6" s="96"/>
      <c r="K6" s="1041">
        <v>2</v>
      </c>
      <c r="L6" s="951">
        <f>+G7</f>
        <v>2.6702202256353225E-2</v>
      </c>
      <c r="M6" s="96"/>
      <c r="R6" s="63"/>
      <c r="S6" t="s">
        <v>1321</v>
      </c>
      <c r="T6" s="68"/>
      <c r="U6" s="25">
        <f>+$U$2*T5</f>
        <v>9300</v>
      </c>
      <c r="V6" s="25">
        <f>+$U$2*U5</f>
        <v>8680</v>
      </c>
      <c r="W6" s="25">
        <f t="shared" ref="W6:AI6" si="2">+$U$2*V5</f>
        <v>8060</v>
      </c>
      <c r="X6" s="25">
        <f t="shared" si="2"/>
        <v>7440</v>
      </c>
      <c r="Y6" s="25">
        <f t="shared" si="2"/>
        <v>6820</v>
      </c>
      <c r="Z6" s="25">
        <f t="shared" si="2"/>
        <v>6200</v>
      </c>
      <c r="AA6" s="25">
        <f t="shared" si="2"/>
        <v>5580</v>
      </c>
      <c r="AB6" s="25">
        <f t="shared" si="2"/>
        <v>4960</v>
      </c>
      <c r="AC6" s="25">
        <f t="shared" si="2"/>
        <v>4340</v>
      </c>
      <c r="AD6" s="25">
        <f t="shared" si="2"/>
        <v>3720</v>
      </c>
      <c r="AE6" s="25">
        <f t="shared" si="2"/>
        <v>3100</v>
      </c>
      <c r="AF6" s="25">
        <f t="shared" si="2"/>
        <v>2480</v>
      </c>
      <c r="AG6" s="25">
        <f t="shared" si="2"/>
        <v>1860</v>
      </c>
      <c r="AH6" s="25">
        <f t="shared" si="2"/>
        <v>1240</v>
      </c>
      <c r="AI6" s="72">
        <f t="shared" si="2"/>
        <v>620</v>
      </c>
    </row>
    <row r="7" spans="1:37" ht="15.75" x14ac:dyDescent="0.25">
      <c r="A7" s="94" t="s">
        <v>1657</v>
      </c>
      <c r="B7" s="94"/>
      <c r="C7" s="26"/>
      <c r="D7" s="948">
        <f t="shared" ref="D7:D35" si="3">+ajouter($B$4,E7)-$B$4</f>
        <v>731</v>
      </c>
      <c r="E7" s="9">
        <v>2</v>
      </c>
      <c r="F7" s="57">
        <f t="shared" si="0"/>
        <v>2.6679999999999999E-2</v>
      </c>
      <c r="G7" s="690">
        <f>((1+F76)/(1-F76*SUM(H$1:H6)))^(1/E76)-1</f>
        <v>2.6702202256353225E-2</v>
      </c>
      <c r="H7" s="14">
        <f t="shared" ref="H7:H35" si="4">1/(1+G7)^E7</f>
        <v>0.94866092572239447</v>
      </c>
      <c r="I7" s="49"/>
      <c r="J7" s="96"/>
      <c r="K7" s="1041">
        <v>3</v>
      </c>
      <c r="L7" s="951">
        <f>+G8</f>
        <v>2.825707779481168E-2</v>
      </c>
      <c r="N7" s="251"/>
      <c r="O7" s="251"/>
      <c r="P7" s="52"/>
      <c r="Q7" s="1"/>
      <c r="R7" s="63"/>
      <c r="S7" t="s">
        <v>1322</v>
      </c>
      <c r="T7" s="68"/>
      <c r="U7" s="25">
        <f t="shared" ref="U7:AI7" si="5">+U6+U4</f>
        <v>19300</v>
      </c>
      <c r="V7" s="25">
        <f t="shared" si="5"/>
        <v>18680</v>
      </c>
      <c r="W7" s="25">
        <f>+W6+W4</f>
        <v>18060</v>
      </c>
      <c r="X7" s="25">
        <f t="shared" si="5"/>
        <v>17440</v>
      </c>
      <c r="Y7" s="25">
        <f t="shared" si="5"/>
        <v>16820</v>
      </c>
      <c r="Z7" s="25">
        <f t="shared" si="5"/>
        <v>16200</v>
      </c>
      <c r="AA7" s="25">
        <f t="shared" si="5"/>
        <v>15580</v>
      </c>
      <c r="AB7" s="25">
        <f t="shared" si="5"/>
        <v>14960</v>
      </c>
      <c r="AC7" s="25">
        <f t="shared" si="5"/>
        <v>14340</v>
      </c>
      <c r="AD7" s="25">
        <f t="shared" si="5"/>
        <v>13720</v>
      </c>
      <c r="AE7" s="25">
        <f t="shared" si="5"/>
        <v>13100</v>
      </c>
      <c r="AF7" s="25">
        <f t="shared" si="5"/>
        <v>12480</v>
      </c>
      <c r="AG7" s="25">
        <f t="shared" si="5"/>
        <v>11860</v>
      </c>
      <c r="AH7" s="25">
        <f t="shared" si="5"/>
        <v>11240</v>
      </c>
      <c r="AI7" s="72">
        <f t="shared" si="5"/>
        <v>10620</v>
      </c>
    </row>
    <row r="8" spans="1:37" ht="15.75" x14ac:dyDescent="0.25">
      <c r="A8" s="95">
        <f>+IF('Courbe des taux'!A2="","",'Courbe des taux'!A2)</f>
        <v>1</v>
      </c>
      <c r="B8" s="308">
        <f>+IF('Courbe des taux'!A2&lt;&gt;"",(1+'Courbe des taux'!B2*CIH!A8/360)^(base_calcul(CIH!$B$4,CIH!A8)/CIH!A8)-1,B7)</f>
        <v>2.3281430422376737E-2</v>
      </c>
      <c r="C8" s="648"/>
      <c r="D8" s="948">
        <f t="shared" si="3"/>
        <v>1096</v>
      </c>
      <c r="E8" s="9">
        <v>3</v>
      </c>
      <c r="F8" s="57">
        <f t="shared" si="0"/>
        <v>2.8199999999999999E-2</v>
      </c>
      <c r="G8" s="690">
        <f>((1+F77)/(1-F77*SUM(H$1:H7)))^(1/E77)-1</f>
        <v>2.825707779481168E-2</v>
      </c>
      <c r="H8" s="14">
        <f t="shared" si="4"/>
        <v>0.91980311770496903</v>
      </c>
      <c r="I8" s="52"/>
      <c r="J8" s="96"/>
      <c r="K8" s="1041">
        <v>4</v>
      </c>
      <c r="L8" s="951">
        <f>+G9</f>
        <v>2.9832009914463997E-2</v>
      </c>
      <c r="R8" s="63"/>
      <c r="S8" t="s">
        <v>1323</v>
      </c>
      <c r="T8" s="69"/>
      <c r="U8" s="25">
        <f t="shared" ref="U8:AI8" si="6">+IF(U3&gt;$U$1,U7,0)</f>
        <v>0</v>
      </c>
      <c r="V8" s="25">
        <f t="shared" si="6"/>
        <v>0</v>
      </c>
      <c r="W8" s="25">
        <f t="shared" si="6"/>
        <v>0</v>
      </c>
      <c r="X8" s="25">
        <f t="shared" si="6"/>
        <v>0</v>
      </c>
      <c r="Y8" s="25">
        <f t="shared" si="6"/>
        <v>0</v>
      </c>
      <c r="Z8" s="25">
        <f t="shared" si="6"/>
        <v>0</v>
      </c>
      <c r="AA8" s="25">
        <f t="shared" si="6"/>
        <v>0</v>
      </c>
      <c r="AB8" s="25">
        <f t="shared" si="6"/>
        <v>0</v>
      </c>
      <c r="AC8" s="25">
        <f t="shared" si="6"/>
        <v>0</v>
      </c>
      <c r="AD8" s="25">
        <f t="shared" si="6"/>
        <v>0</v>
      </c>
      <c r="AE8" s="25">
        <f t="shared" si="6"/>
        <v>0</v>
      </c>
      <c r="AF8" s="25">
        <f t="shared" si="6"/>
        <v>0</v>
      </c>
      <c r="AG8" s="25">
        <f t="shared" si="6"/>
        <v>0</v>
      </c>
      <c r="AH8" s="25">
        <f t="shared" si="6"/>
        <v>0</v>
      </c>
      <c r="AI8" s="72">
        <f t="shared" si="6"/>
        <v>0</v>
      </c>
    </row>
    <row r="9" spans="1:37" ht="15.75" x14ac:dyDescent="0.25">
      <c r="A9" s="95">
        <f>+IF('Courbe des taux'!A3="",A5,'Courbe des taux'!A3)</f>
        <v>53</v>
      </c>
      <c r="B9" s="308">
        <f>+IF('Courbe des taux'!A3&lt;&gt;"",(1+'Courbe des taux'!B3*CIH!A9/360)^(base_calcul(CIH!$B$4,CIH!A9)/CIH!A9)-1,B8)</f>
        <v>2.3242907844156058E-2</v>
      </c>
      <c r="C9" s="682"/>
      <c r="D9" s="948">
        <f t="shared" si="3"/>
        <v>1461</v>
      </c>
      <c r="E9" s="9">
        <v>4</v>
      </c>
      <c r="F9" s="57">
        <f t="shared" si="0"/>
        <v>2.972E-2</v>
      </c>
      <c r="G9" s="690">
        <f>((1+F78)/(1-F78*SUM(H$1:H8)))^(1/E78)-1</f>
        <v>2.9832009914463997E-2</v>
      </c>
      <c r="H9" s="14">
        <f t="shared" si="4"/>
        <v>0.88906692323035463</v>
      </c>
      <c r="I9" s="322"/>
      <c r="J9" s="96"/>
      <c r="K9" s="1041">
        <v>5</v>
      </c>
      <c r="L9" s="951">
        <f>+G10</f>
        <v>3.0909167058137843E-2</v>
      </c>
      <c r="M9" s="13"/>
      <c r="N9" s="58"/>
      <c r="O9" s="58"/>
      <c r="P9" s="13"/>
      <c r="R9" s="63"/>
      <c r="S9" t="s">
        <v>1324</v>
      </c>
      <c r="T9" s="73"/>
      <c r="U9">
        <f t="shared" ref="U9:AI9" si="7">+IF(T8=0,(U3-$U$1)/(U3-T3),T9+1)</f>
        <v>-21.882513661202186</v>
      </c>
      <c r="V9">
        <f t="shared" si="7"/>
        <v>-20.942465753424656</v>
      </c>
      <c r="W9">
        <f t="shared" si="7"/>
        <v>-19.942465753424656</v>
      </c>
      <c r="X9">
        <f t="shared" si="7"/>
        <v>-18.942465753424656</v>
      </c>
      <c r="Y9">
        <f t="shared" si="7"/>
        <v>-17.89071038251366</v>
      </c>
      <c r="Z9">
        <f t="shared" si="7"/>
        <v>-16.93972602739726</v>
      </c>
      <c r="AA9">
        <f t="shared" si="7"/>
        <v>-15.93972602739726</v>
      </c>
      <c r="AB9">
        <f t="shared" si="7"/>
        <v>-14.93972602739726</v>
      </c>
      <c r="AC9">
        <f t="shared" si="7"/>
        <v>-13.898907103825136</v>
      </c>
      <c r="AD9">
        <f t="shared" si="7"/>
        <v>-12.936986301369863</v>
      </c>
      <c r="AE9">
        <f t="shared" si="7"/>
        <v>-11.936986301369863</v>
      </c>
      <c r="AF9">
        <f t="shared" si="7"/>
        <v>-10.936986301369863</v>
      </c>
      <c r="AG9">
        <f t="shared" si="7"/>
        <v>-9.9071038251366126</v>
      </c>
      <c r="AH9">
        <f t="shared" si="7"/>
        <v>-8.9342465753424651</v>
      </c>
      <c r="AI9">
        <f t="shared" si="7"/>
        <v>-7.934246575342466</v>
      </c>
    </row>
    <row r="10" spans="1:37" ht="15.75" x14ac:dyDescent="0.25">
      <c r="A10" s="95">
        <f>+IF('Courbe des taux'!A4="",A9,'Courbe des taux'!A4)</f>
        <v>144</v>
      </c>
      <c r="B10" s="308">
        <f>+IF('Courbe des taux'!A4&lt;&gt;"",(1+'Courbe des taux'!B4*CIH!A10/360)^(base_calcul(CIH!$B$4,CIH!A10)/CIH!A10)-1,B9)</f>
        <v>2.3895688795851688E-2</v>
      </c>
      <c r="C10" s="648"/>
      <c r="D10" s="948">
        <f t="shared" si="3"/>
        <v>1826</v>
      </c>
      <c r="E10" s="9">
        <v>5</v>
      </c>
      <c r="F10" s="57">
        <f t="shared" si="0"/>
        <v>3.075E-2</v>
      </c>
      <c r="G10" s="690">
        <f>((1+F79)/(1-F79*SUM(H$1:H9)))^(1/E79)-1</f>
        <v>3.0909167058137843E-2</v>
      </c>
      <c r="H10" s="14">
        <f t="shared" si="4"/>
        <v>0.85881177950332321</v>
      </c>
      <c r="I10" s="570"/>
      <c r="J10" s="96"/>
      <c r="K10" s="1041">
        <v>6</v>
      </c>
      <c r="L10" s="951">
        <f>+G11</f>
        <v>3.1433270213076625E-2</v>
      </c>
      <c r="R10" s="63"/>
      <c r="S10" s="29" t="s">
        <v>1325</v>
      </c>
      <c r="T10" s="68"/>
      <c r="U10" s="68" cm="1">
        <f t="array" ref="U10">IF(U9&lt;1,interpoler(mat_court,taux_court_act,U9*(U3-T3)),interpoler(mat,taux,U9))</f>
        <v>2.3281430422376737E-2</v>
      </c>
      <c r="V10" s="68" cm="1">
        <f t="array" ref="V10">IF(V9&lt;1,interpoler(mat_court,taux_court_act,V9*(V3-U3)),interpoler(mat,taux,V9))</f>
        <v>2.3281430422376737E-2</v>
      </c>
      <c r="W10" s="68" cm="1">
        <f t="array" ref="W10">IF(W9&lt;1,interpoler(mat_court,taux_court_act,W9*(W3-V3)),interpoler(mat,taux,W9))</f>
        <v>2.3281430422376737E-2</v>
      </c>
      <c r="X10" s="68" cm="1">
        <f t="array" ref="X10">IF(X9&lt;1,interpoler(mat_court,taux_court_act,X9*(X3-W3)),interpoler(mat,taux,X9))</f>
        <v>2.3281430422376737E-2</v>
      </c>
      <c r="Y10" s="68" cm="1">
        <f t="array" ref="Y10">IF(Y9&lt;1,interpoler(mat_court,taux_court_act,Y9*(Y3-X3)),interpoler(mat,taux,Y9))</f>
        <v>2.3281430422376737E-2</v>
      </c>
      <c r="Z10" s="68" cm="1">
        <f t="array" ref="Z10">IF(Z9&lt;1,interpoler(mat_court,taux_court_act,Z9*(Z3-Y3)),interpoler(mat,taux,Z9))</f>
        <v>2.3281430422376737E-2</v>
      </c>
      <c r="AA10" s="68" cm="1">
        <f t="array" ref="AA10">IF(AA9&lt;1,interpoler(mat_court,taux_court_act,AA9*(AA3-Z3)),interpoler(mat,taux,AA9))</f>
        <v>2.3281430422376737E-2</v>
      </c>
      <c r="AB10" s="68" cm="1">
        <f t="array" ref="AB10">IF(AB9&lt;1,interpoler(mat_court,taux_court_act,AB9*(AB3-AA3)),interpoler(mat,taux,AB9))</f>
        <v>2.3281430422376737E-2</v>
      </c>
      <c r="AC10" s="68" cm="1">
        <f t="array" ref="AC10">IF(AC9&lt;1,interpoler(mat_court,taux_court_act,AC9*(AC3-AB3)),interpoler(mat,taux,AC9))</f>
        <v>2.3281430422376737E-2</v>
      </c>
      <c r="AD10" s="68" cm="1">
        <f t="array" ref="AD10">IF(AD9&lt;1,interpoler(mat_court,taux_court_act,AD9*(AD3-AC3)),interpoler(mat,taux,AD9))</f>
        <v>2.3281430422376737E-2</v>
      </c>
      <c r="AE10" s="68" cm="1">
        <f t="array" ref="AE10">IF(AE9&lt;1,interpoler(mat_court,taux_court_act,AE9*(AE3-AD3)),interpoler(mat,taux,AE9))</f>
        <v>2.3281430422376737E-2</v>
      </c>
      <c r="AF10" s="68" cm="1">
        <f t="array" ref="AF10">IF(AF9&lt;1,interpoler(mat_court,taux_court_act,AF9*(AF3-AE3)),interpoler(mat,taux,AF9))</f>
        <v>2.3281430422376737E-2</v>
      </c>
      <c r="AG10" s="68" cm="1">
        <f t="array" ref="AG10">IF(AG9&lt;1,interpoler(mat_court,taux_court_act,AG9*(AG3-AF3)),interpoler(mat,taux,AG9))</f>
        <v>2.3281430422376737E-2</v>
      </c>
      <c r="AH10" s="68" cm="1">
        <f t="array" ref="AH10">IF(AH9&lt;1,interpoler(mat_court,taux_court_act,AH9*(AH3-AG3)),interpoler(mat,taux,AH9))</f>
        <v>2.3281430422376737E-2</v>
      </c>
      <c r="AI10" s="68" cm="1">
        <f t="array" ref="AI10">IF(AI9&lt;1,interpoler(mat_court,taux_court_act,AI9*(AI3-AH3)),interpoler(mat,taux,AI9))</f>
        <v>2.3281430422376737E-2</v>
      </c>
      <c r="AK10" s="29"/>
    </row>
    <row r="11" spans="1:37" ht="15.75" x14ac:dyDescent="0.25">
      <c r="A11" s="95">
        <f>+IF('Courbe des taux'!A5="",A10,'Courbe des taux'!A5)</f>
        <v>326</v>
      </c>
      <c r="B11" s="308">
        <f>+IF('Courbe des taux'!A5&lt;&gt;"",(1+'Courbe des taux'!B5*CIH!A11/360)^(base_calcul(CIH!$B$4,CIH!A11)/CIH!A11)-1,B10)</f>
        <v>2.4974686420831338E-2</v>
      </c>
      <c r="C11" s="649"/>
      <c r="D11" s="948">
        <f t="shared" si="3"/>
        <v>2192</v>
      </c>
      <c r="E11" s="9">
        <v>6</v>
      </c>
      <c r="F11" s="57">
        <f t="shared" si="0"/>
        <v>3.125E-2</v>
      </c>
      <c r="G11" s="690">
        <f>((1+F80)/(1-F80*SUM(H$1:H10)))^(1/E80)-1</f>
        <v>3.1433270213076625E-2</v>
      </c>
      <c r="H11" s="14">
        <f t="shared" si="4"/>
        <v>0.8305259063940581</v>
      </c>
      <c r="I11" s="52"/>
      <c r="J11" s="96"/>
      <c r="K11" s="1041">
        <v>7</v>
      </c>
      <c r="L11" s="951">
        <f t="shared" ref="L11:L22" si="8">+G12</f>
        <v>3.1937146721479959E-2</v>
      </c>
      <c r="R11" s="63"/>
      <c r="S11" t="s">
        <v>1328</v>
      </c>
      <c r="T11" s="68"/>
      <c r="U11" s="29">
        <v>2.5000000000000001E-3</v>
      </c>
      <c r="V11" s="29">
        <f>U11</f>
        <v>2.5000000000000001E-3</v>
      </c>
      <c r="W11" s="29">
        <f t="shared" ref="W11:AI11" si="9">+V11</f>
        <v>2.5000000000000001E-3</v>
      </c>
      <c r="X11" s="29">
        <f t="shared" si="9"/>
        <v>2.5000000000000001E-3</v>
      </c>
      <c r="Y11" s="29">
        <f t="shared" si="9"/>
        <v>2.5000000000000001E-3</v>
      </c>
      <c r="Z11" s="29">
        <f t="shared" si="9"/>
        <v>2.5000000000000001E-3</v>
      </c>
      <c r="AA11" s="29">
        <f t="shared" si="9"/>
        <v>2.5000000000000001E-3</v>
      </c>
      <c r="AB11" s="29">
        <f t="shared" si="9"/>
        <v>2.5000000000000001E-3</v>
      </c>
      <c r="AC11" s="29">
        <f t="shared" si="9"/>
        <v>2.5000000000000001E-3</v>
      </c>
      <c r="AD11" s="29">
        <f t="shared" si="9"/>
        <v>2.5000000000000001E-3</v>
      </c>
      <c r="AE11" s="29">
        <f t="shared" si="9"/>
        <v>2.5000000000000001E-3</v>
      </c>
      <c r="AF11" s="29">
        <f t="shared" si="9"/>
        <v>2.5000000000000001E-3</v>
      </c>
      <c r="AG11" s="29">
        <f t="shared" si="9"/>
        <v>2.5000000000000001E-3</v>
      </c>
      <c r="AH11" s="29">
        <f t="shared" si="9"/>
        <v>2.5000000000000001E-3</v>
      </c>
      <c r="AI11" s="75">
        <f t="shared" si="9"/>
        <v>2.5000000000000001E-3</v>
      </c>
      <c r="AK11" s="52"/>
    </row>
    <row r="12" spans="1:37" ht="15.75" x14ac:dyDescent="0.25">
      <c r="A12" s="95">
        <f>+IF('Courbe des taux'!A6="",A11,'Courbe des taux'!A6)</f>
        <v>326</v>
      </c>
      <c r="B12" s="308">
        <f>+IF('Courbe des taux'!A6&lt;&gt;"",(1+'Courbe des taux'!B6*CIH!A12/360)^(base_calcul(CIH!$B$4,CIH!A12)/CIH!A12)-1,B11)</f>
        <v>2.4974686420831338E-2</v>
      </c>
      <c r="C12" s="952"/>
      <c r="D12" s="948">
        <f t="shared" si="3"/>
        <v>2557</v>
      </c>
      <c r="E12" s="9">
        <v>7</v>
      </c>
      <c r="F12" s="57">
        <f t="shared" si="0"/>
        <v>3.1730000000000001E-2</v>
      </c>
      <c r="G12" s="690">
        <f>((1+F81)/(1-F81*SUM(H$1:H11)))^(1/E81)-1</f>
        <v>3.1937146721479959E-2</v>
      </c>
      <c r="H12" s="14">
        <f t="shared" si="4"/>
        <v>0.802467176754594</v>
      </c>
      <c r="I12" s="570"/>
      <c r="J12" s="96"/>
      <c r="K12" s="1041">
        <v>8</v>
      </c>
      <c r="L12" s="951">
        <f t="shared" si="8"/>
        <v>3.2451122230424012E-2</v>
      </c>
      <c r="R12" s="63"/>
      <c r="S12" t="s">
        <v>1329</v>
      </c>
      <c r="T12" s="68"/>
      <c r="U12" s="13">
        <f t="shared" ref="U12:AC12" si="10">+ROUND(U10+U11,6)</f>
        <v>2.5780999999999998E-2</v>
      </c>
      <c r="V12" s="100">
        <f t="shared" si="10"/>
        <v>2.5780999999999998E-2</v>
      </c>
      <c r="W12" s="101">
        <f t="shared" si="10"/>
        <v>2.5780999999999998E-2</v>
      </c>
      <c r="X12" s="102">
        <f t="shared" si="10"/>
        <v>2.5780999999999998E-2</v>
      </c>
      <c r="Y12" s="102">
        <f t="shared" si="10"/>
        <v>2.5780999999999998E-2</v>
      </c>
      <c r="Z12" s="102">
        <f t="shared" si="10"/>
        <v>2.5780999999999998E-2</v>
      </c>
      <c r="AA12" s="102">
        <f t="shared" si="10"/>
        <v>2.5780999999999998E-2</v>
      </c>
      <c r="AB12" s="13">
        <f t="shared" si="10"/>
        <v>2.5780999999999998E-2</v>
      </c>
      <c r="AC12" s="13">
        <f t="shared" si="10"/>
        <v>2.5780999999999998E-2</v>
      </c>
      <c r="AD12" s="13">
        <f t="shared" ref="AD12:AI12" si="11">+ROUND(AD10+AD11,5)</f>
        <v>2.5780000000000001E-2</v>
      </c>
      <c r="AE12" s="13">
        <f t="shared" si="11"/>
        <v>2.5780000000000001E-2</v>
      </c>
      <c r="AF12" s="13">
        <f t="shared" si="11"/>
        <v>2.5780000000000001E-2</v>
      </c>
      <c r="AG12" s="96">
        <f t="shared" si="11"/>
        <v>2.5780000000000001E-2</v>
      </c>
      <c r="AH12" s="96">
        <f t="shared" si="11"/>
        <v>2.5780000000000001E-2</v>
      </c>
      <c r="AI12" s="96">
        <f t="shared" si="11"/>
        <v>2.5780000000000001E-2</v>
      </c>
      <c r="AK12" s="280"/>
    </row>
    <row r="13" spans="1:37" ht="15.75" x14ac:dyDescent="0.25">
      <c r="A13" s="95">
        <f>+IF('Courbe des taux'!A7="",A12,'Courbe des taux'!A7)</f>
        <v>326</v>
      </c>
      <c r="B13" s="308">
        <f>+IF('Courbe des taux'!A7&lt;&gt;"",(1+'Courbe des taux'!B7*CIH!A13/360)^(base_calcul(CIH!$B$4,CIH!A13)/CIH!A13)-1,B12)</f>
        <v>2.4974686420831338E-2</v>
      </c>
      <c r="C13" s="952"/>
      <c r="D13" s="948">
        <f t="shared" si="3"/>
        <v>2922</v>
      </c>
      <c r="E13" s="9">
        <v>8</v>
      </c>
      <c r="F13" s="57">
        <f t="shared" si="0"/>
        <v>3.2210000000000003E-2</v>
      </c>
      <c r="G13" s="690">
        <f>((1+F82)/(1-F82*SUM(H$1:H12)))^(1/E82)-1</f>
        <v>3.2451122230424012E-2</v>
      </c>
      <c r="H13" s="14">
        <f t="shared" si="4"/>
        <v>0.77454025585266961</v>
      </c>
      <c r="I13" s="570"/>
      <c r="J13" s="96"/>
      <c r="K13" s="1041">
        <v>9</v>
      </c>
      <c r="L13" s="951">
        <f t="shared" si="8"/>
        <v>3.2974775639287524E-2</v>
      </c>
      <c r="R13" s="63"/>
      <c r="T13" s="68"/>
      <c r="U13" s="69">
        <f t="shared" ref="U13:AI13" si="12">+U8/(1+U12)^U9</f>
        <v>0</v>
      </c>
      <c r="V13" s="69">
        <f t="shared" si="12"/>
        <v>0</v>
      </c>
      <c r="W13" s="178">
        <f t="shared" si="12"/>
        <v>0</v>
      </c>
      <c r="X13" s="69">
        <f t="shared" si="12"/>
        <v>0</v>
      </c>
      <c r="Y13" s="69">
        <f t="shared" si="12"/>
        <v>0</v>
      </c>
      <c r="Z13" s="178">
        <f t="shared" si="12"/>
        <v>0</v>
      </c>
      <c r="AA13" s="69">
        <f t="shared" si="12"/>
        <v>0</v>
      </c>
      <c r="AB13" s="69">
        <f t="shared" si="12"/>
        <v>0</v>
      </c>
      <c r="AC13" s="69">
        <f t="shared" si="12"/>
        <v>0</v>
      </c>
      <c r="AD13" s="69">
        <f t="shared" si="12"/>
        <v>0</v>
      </c>
      <c r="AE13" s="69">
        <f t="shared" si="12"/>
        <v>0</v>
      </c>
      <c r="AF13" s="69">
        <f t="shared" si="12"/>
        <v>0</v>
      </c>
      <c r="AG13" s="69">
        <f t="shared" si="12"/>
        <v>0</v>
      </c>
      <c r="AH13" s="69">
        <f t="shared" si="12"/>
        <v>0</v>
      </c>
      <c r="AI13" s="180">
        <f t="shared" si="12"/>
        <v>0</v>
      </c>
      <c r="AK13" s="323"/>
    </row>
    <row r="14" spans="1:37" ht="15.75" x14ac:dyDescent="0.25">
      <c r="A14" s="95">
        <f>+IF('Courbe des taux'!A8="",A13,'Courbe des taux'!A8)</f>
        <v>326</v>
      </c>
      <c r="B14" s="308">
        <f>+IF('Courbe des taux'!A8&lt;&gt;"",(1+'Courbe des taux'!B8*CIH!A14/360)^(base_calcul(CIH!$B$4,CIH!A14)/CIH!A14)-1,B13)</f>
        <v>2.4974686420831338E-2</v>
      </c>
      <c r="C14" s="952"/>
      <c r="D14" s="948">
        <f t="shared" si="3"/>
        <v>3287</v>
      </c>
      <c r="E14" s="9">
        <v>9</v>
      </c>
      <c r="F14" s="57">
        <f t="shared" si="0"/>
        <v>3.2689999999999997E-2</v>
      </c>
      <c r="G14" s="690">
        <f>((1+F83)/(1-F83*SUM(H$1:H13)))^(1/E83)-1</f>
        <v>3.2974775639287524E-2</v>
      </c>
      <c r="H14" s="14">
        <f t="shared" si="4"/>
        <v>0.74677978118480104</v>
      </c>
      <c r="I14" s="322"/>
      <c r="J14" s="96"/>
      <c r="K14" s="1041">
        <v>10</v>
      </c>
      <c r="L14" s="951">
        <f>+G15</f>
        <v>3.3586697115974617E-2</v>
      </c>
      <c r="R14" s="63"/>
      <c r="T14" s="68"/>
      <c r="U14" s="13"/>
      <c r="V14" s="13"/>
      <c r="W14" s="13"/>
      <c r="X14" s="13"/>
      <c r="Y14" s="13"/>
      <c r="Z14" s="13"/>
      <c r="AA14" s="13"/>
      <c r="AB14" s="13"/>
      <c r="AC14" s="13"/>
      <c r="AD14" s="13"/>
      <c r="AE14" s="13"/>
      <c r="AF14" s="13"/>
      <c r="AG14" s="13"/>
      <c r="AH14" s="13"/>
      <c r="AI14" s="76"/>
    </row>
    <row r="15" spans="1:37" ht="15.75" x14ac:dyDescent="0.25">
      <c r="A15" s="95">
        <f>+IF('Courbe des taux'!A9="",A14,'Courbe des taux'!A9)</f>
        <v>326</v>
      </c>
      <c r="B15" s="308">
        <f>+IF('Courbe des taux'!A9&lt;&gt;"",(1+'Courbe des taux'!B9*CIH!A15/360)^(base_calcul(CIH!$B$4,CIH!A15)/CIH!A15)-1,B14)</f>
        <v>2.4974686420831338E-2</v>
      </c>
      <c r="C15" s="952"/>
      <c r="D15" s="948">
        <f t="shared" si="3"/>
        <v>3653</v>
      </c>
      <c r="E15" s="9">
        <v>10</v>
      </c>
      <c r="F15" s="57">
        <f t="shared" si="0"/>
        <v>3.3239999999999999E-2</v>
      </c>
      <c r="G15" s="690">
        <f>((1+F84)/(1-F84*SUM(H$1:H14)))^(1/E84)-1</f>
        <v>3.3586697115974617E-2</v>
      </c>
      <c r="H15" s="14">
        <f t="shared" si="4"/>
        <v>0.71867227254790711</v>
      </c>
      <c r="I15" s="570"/>
      <c r="J15" s="96"/>
      <c r="K15" s="1041">
        <v>11</v>
      </c>
      <c r="L15" s="951">
        <f t="shared" si="8"/>
        <v>3.4231322261192521E-2</v>
      </c>
      <c r="R15" s="63"/>
      <c r="S15" t="s">
        <v>650</v>
      </c>
      <c r="T15" s="77">
        <f>+SUM(U13:AI13)</f>
        <v>0</v>
      </c>
      <c r="U15" s="13"/>
      <c r="V15" s="13" t="s">
        <v>648</v>
      </c>
      <c r="W15" s="13"/>
      <c r="X15" s="13"/>
      <c r="Y15" s="13"/>
      <c r="Z15" s="13"/>
      <c r="AA15" s="13"/>
      <c r="AB15" s="13"/>
      <c r="AC15" s="13"/>
      <c r="AD15" s="13"/>
      <c r="AE15" s="13"/>
      <c r="AF15" s="13"/>
      <c r="AG15" s="13"/>
      <c r="AH15" s="13"/>
      <c r="AI15" s="76"/>
      <c r="AJ15" s="13"/>
      <c r="AK15" s="13"/>
    </row>
    <row r="16" spans="1:37" ht="16.5" thickBot="1" x14ac:dyDescent="0.3">
      <c r="A16" s="95">
        <f>+IF('Courbe des taux'!A10="",A15,'Courbe des taux'!A10)</f>
        <v>326</v>
      </c>
      <c r="B16" s="308">
        <f>+IF('Courbe des taux'!A10&lt;&gt;"",(1+'Courbe des taux'!B10*CIH!A16/360)^(base_calcul(CIH!$B$4,CIH!A16)/CIH!A16)-1,B15)</f>
        <v>2.4974686420831338E-2</v>
      </c>
      <c r="C16" s="952"/>
      <c r="D16" s="948">
        <f t="shared" si="3"/>
        <v>4018</v>
      </c>
      <c r="E16" s="9">
        <v>11</v>
      </c>
      <c r="F16" s="57">
        <f t="shared" si="0"/>
        <v>3.3799999999999997E-2</v>
      </c>
      <c r="G16" s="690">
        <f>((1+F85)/(1-F85*SUM(H$1:H15)))^(1/E85)-1</f>
        <v>3.4231322261192521E-2</v>
      </c>
      <c r="H16" s="14">
        <f t="shared" si="4"/>
        <v>0.69056640808965175</v>
      </c>
      <c r="I16" s="570"/>
      <c r="J16" s="96"/>
      <c r="K16" s="1041">
        <v>12</v>
      </c>
      <c r="L16" s="951">
        <f>+G17</f>
        <v>3.4888111785712717E-2</v>
      </c>
      <c r="R16" s="78"/>
      <c r="S16" s="79" t="s">
        <v>1331</v>
      </c>
      <c r="T16" s="80" t="e">
        <f>+SUMPRODUCT(U9:AI9,U13:AI13)/T15</f>
        <v>#DIV/0!</v>
      </c>
      <c r="U16" s="79"/>
      <c r="V16" s="79"/>
      <c r="W16" s="79"/>
      <c r="X16" s="79"/>
      <c r="Y16" s="79"/>
      <c r="Z16" s="79"/>
      <c r="AA16" s="79"/>
      <c r="AB16" s="79"/>
      <c r="AC16" s="79"/>
      <c r="AD16" s="79"/>
      <c r="AE16" s="79"/>
      <c r="AF16" s="79"/>
      <c r="AG16" s="79"/>
      <c r="AH16" s="79"/>
      <c r="AI16" s="81"/>
    </row>
    <row r="17" spans="1:37" ht="15.75" x14ac:dyDescent="0.25">
      <c r="A17" s="95">
        <f>+IF('Courbe des taux'!A11="",A16,'Courbe des taux'!A11)</f>
        <v>326</v>
      </c>
      <c r="B17" s="308">
        <f>+IF('Courbe des taux'!A11&lt;&gt;"",(1+'Courbe des taux'!B11*CIH!A17/360)^(base_calcul(CIH!$B$4,CIH!A17)/CIH!A17)-1,B16)</f>
        <v>2.4974686420831338E-2</v>
      </c>
      <c r="C17" s="952"/>
      <c r="D17" s="948">
        <f t="shared" si="3"/>
        <v>4383</v>
      </c>
      <c r="E17" s="9">
        <v>12</v>
      </c>
      <c r="F17" s="57">
        <f t="shared" si="0"/>
        <v>3.4360000000000002E-2</v>
      </c>
      <c r="G17" s="690">
        <f>((1+F86)/(1-F86*SUM(H$1:H16)))^(1/E86)-1</f>
        <v>3.4888111785712717E-2</v>
      </c>
      <c r="H17" s="14">
        <f t="shared" si="4"/>
        <v>0.66264240331161639</v>
      </c>
      <c r="I17" s="570"/>
      <c r="J17" s="96"/>
      <c r="K17" s="1041">
        <v>13</v>
      </c>
      <c r="L17" s="951">
        <f t="shared" si="8"/>
        <v>3.5557991688015766E-2</v>
      </c>
      <c r="T17" s="20"/>
      <c r="AK17" s="102"/>
    </row>
    <row r="18" spans="1:37" ht="15.75" x14ac:dyDescent="0.25">
      <c r="A18" s="95">
        <f>+IF('Courbe des taux'!A12="",A17,'Courbe des taux'!A12)</f>
        <v>326</v>
      </c>
      <c r="B18" s="308">
        <f>+IF('Courbe des taux'!A12&lt;&gt;"",(1+'Courbe des taux'!B12*CIH!A18/360)^(base_calcul(CIH!$B$4,CIH!A18)/CIH!A18)-1,B17)</f>
        <v>2.4974686420831338E-2</v>
      </c>
      <c r="C18" s="952"/>
      <c r="D18" s="948">
        <f t="shared" si="3"/>
        <v>4748</v>
      </c>
      <c r="E18" s="9">
        <v>13</v>
      </c>
      <c r="F18" s="57">
        <f t="shared" si="0"/>
        <v>3.492E-2</v>
      </c>
      <c r="G18" s="690">
        <f>((1+F87)/(1-F87*SUM(H$1:H17)))^(1/E87)-1</f>
        <v>3.5557991688015766E-2</v>
      </c>
      <c r="H18" s="14">
        <f t="shared" si="4"/>
        <v>0.63493969696383612</v>
      </c>
      <c r="I18" s="570"/>
      <c r="J18" s="96"/>
      <c r="K18" s="1041">
        <v>14</v>
      </c>
      <c r="L18" s="951">
        <f t="shared" si="8"/>
        <v>3.5945585159940174E-2</v>
      </c>
      <c r="T18" s="20"/>
    </row>
    <row r="19" spans="1:37" ht="16.5" thickBot="1" x14ac:dyDescent="0.3">
      <c r="A19" s="95">
        <f>+IF('Courbe des taux'!A13="",A18,'Courbe des taux'!A13)</f>
        <v>326</v>
      </c>
      <c r="B19" s="308">
        <f>+IF('Courbe des taux'!A13&lt;&gt;"",(1+'Courbe des taux'!B13*CIH!A19/360)^(base_calcul(CIH!$B$4,CIH!A19)/CIH!A19)-1,B18)</f>
        <v>2.4974686420831338E-2</v>
      </c>
      <c r="C19" s="952"/>
      <c r="D19" s="948">
        <f t="shared" si="3"/>
        <v>5114</v>
      </c>
      <c r="E19" s="9">
        <v>14</v>
      </c>
      <c r="F19" s="57">
        <f t="shared" si="0"/>
        <v>3.526E-2</v>
      </c>
      <c r="G19" s="690">
        <f>((1+F88)/(1-F88*SUM(H$1:H18)))^(1/E88)-1</f>
        <v>3.5945585159940174E-2</v>
      </c>
      <c r="H19" s="14">
        <f t="shared" si="4"/>
        <v>0.60993391805917774</v>
      </c>
      <c r="I19" s="570"/>
      <c r="J19" s="96"/>
      <c r="K19" s="1041">
        <v>15</v>
      </c>
      <c r="L19" s="951">
        <f t="shared" si="8"/>
        <v>3.6204260276183176E-2</v>
      </c>
      <c r="M19" s="96"/>
      <c r="N19" s="13"/>
      <c r="O19" s="13"/>
      <c r="P19" s="96"/>
      <c r="T19" s="20"/>
    </row>
    <row r="20" spans="1:37" ht="15.75" x14ac:dyDescent="0.25">
      <c r="A20" s="95">
        <f>+IF('Courbe des taux'!A14="",A19,'Courbe des taux'!A14)</f>
        <v>326</v>
      </c>
      <c r="B20" s="308">
        <f>+IF('Courbe des taux'!A14&lt;&gt;"",(1+'Courbe des taux'!B14*CIH!A20/360)^(base_calcul(CIH!$B$4,CIH!A20)/CIH!A20)-1,B19)</f>
        <v>2.4974686420831338E-2</v>
      </c>
      <c r="C20" s="952"/>
      <c r="D20" s="948">
        <f t="shared" si="3"/>
        <v>5479</v>
      </c>
      <c r="E20" s="9">
        <v>15</v>
      </c>
      <c r="F20" s="57">
        <f t="shared" si="0"/>
        <v>3.5490000000000001E-2</v>
      </c>
      <c r="G20" s="690">
        <f>((1+F89)/(1-F89*SUM(H$1:H19)))^(1/E89)-1</f>
        <v>3.6204260276183176E-2</v>
      </c>
      <c r="H20" s="14">
        <f t="shared" si="4"/>
        <v>0.58656939198567115</v>
      </c>
      <c r="I20" s="570"/>
      <c r="J20" s="96"/>
      <c r="K20" s="1041">
        <v>16</v>
      </c>
      <c r="L20" s="951">
        <f t="shared" si="8"/>
        <v>3.6470866213529574E-2</v>
      </c>
      <c r="R20" s="82" t="s">
        <v>1484</v>
      </c>
      <c r="S20" s="59"/>
      <c r="T20" s="60" t="s">
        <v>103</v>
      </c>
      <c r="U20" s="61">
        <f>+B4</f>
        <v>46107</v>
      </c>
      <c r="V20" s="59"/>
      <c r="W20" s="59"/>
      <c r="X20" s="59"/>
      <c r="Y20" s="59"/>
      <c r="Z20" s="59"/>
      <c r="AA20" s="59"/>
      <c r="AB20" s="59"/>
      <c r="AC20" s="59"/>
      <c r="AD20" s="59"/>
      <c r="AE20" s="59"/>
      <c r="AF20" s="59"/>
      <c r="AG20" s="59"/>
      <c r="AH20" s="59"/>
      <c r="AI20" s="62"/>
    </row>
    <row r="21" spans="1:37" ht="15.75" x14ac:dyDescent="0.25">
      <c r="A21" s="95">
        <f>+IF('Courbe des taux'!A15="",A20,'Courbe des taux'!A15)</f>
        <v>326</v>
      </c>
      <c r="B21" s="308">
        <f>+IF('Courbe des taux'!A15&lt;&gt;"",(1+'Courbe des taux'!B15*CIH!A21/360)^(base_calcul(CIH!$B$4,CIH!A21)/CIH!A21)-1,B20)</f>
        <v>2.4974686420831338E-2</v>
      </c>
      <c r="C21" s="952"/>
      <c r="D21" s="948">
        <f t="shared" si="3"/>
        <v>5844</v>
      </c>
      <c r="E21" s="9">
        <v>16</v>
      </c>
      <c r="F21" s="57">
        <f t="shared" si="0"/>
        <v>3.5720000000000002E-2</v>
      </c>
      <c r="G21" s="690">
        <f>((1+F90)/(1-F90*SUM(H$1:H20)))^(1/E90)-1</f>
        <v>3.6470866213529574E-2</v>
      </c>
      <c r="H21" s="14">
        <f t="shared" si="4"/>
        <v>0.56374981609676311</v>
      </c>
      <c r="I21" s="570"/>
      <c r="J21" s="96"/>
      <c r="K21" s="1041">
        <v>17</v>
      </c>
      <c r="L21" s="951">
        <f t="shared" si="8"/>
        <v>3.6745176572350546E-2</v>
      </c>
      <c r="R21" s="63"/>
      <c r="T21" s="64" t="s">
        <v>105</v>
      </c>
      <c r="U21" s="13">
        <v>5.1999999999999998E-2</v>
      </c>
      <c r="V21" s="13"/>
      <c r="AI21" s="65"/>
    </row>
    <row r="22" spans="1:37" ht="15.75" x14ac:dyDescent="0.25">
      <c r="A22" s="95">
        <f>+IF('Courbe des taux'!A16="",A21,'Courbe des taux'!A16)</f>
        <v>326</v>
      </c>
      <c r="B22" s="308">
        <f>+IF('Courbe des taux'!A16&lt;&gt;"",(1+'Courbe des taux'!B16*CIH!A22/360)^(base_calcul(CIH!$B$4,CIH!A22)/CIH!A22)-1,B21)</f>
        <v>2.4974686420831338E-2</v>
      </c>
      <c r="C22" s="952"/>
      <c r="D22" s="948">
        <f t="shared" si="3"/>
        <v>6209</v>
      </c>
      <c r="E22" s="9">
        <v>17</v>
      </c>
      <c r="F22" s="57">
        <f t="shared" si="0"/>
        <v>3.5950000000000003E-2</v>
      </c>
      <c r="G22" s="690">
        <f>((1+F91)/(1-F91*SUM(H$1:H21)))^(1/E91)-1</f>
        <v>3.6745176572350546E-2</v>
      </c>
      <c r="H22" s="14">
        <f t="shared" si="4"/>
        <v>0.54147149723142285</v>
      </c>
      <c r="I22" s="570"/>
      <c r="J22" s="96"/>
      <c r="K22" s="1041">
        <v>18</v>
      </c>
      <c r="L22" s="951">
        <f t="shared" si="8"/>
        <v>3.7027994063701275E-2</v>
      </c>
      <c r="R22" s="63"/>
      <c r="T22" s="66">
        <v>38048</v>
      </c>
      <c r="U22" s="8">
        <v>38413</v>
      </c>
      <c r="V22" s="66">
        <v>38778</v>
      </c>
      <c r="W22" s="8">
        <v>39143</v>
      </c>
      <c r="X22" s="66">
        <v>39509</v>
      </c>
      <c r="Y22" s="8">
        <v>39874</v>
      </c>
      <c r="Z22" s="66"/>
      <c r="AA22" s="8"/>
      <c r="AB22" s="66"/>
      <c r="AC22" s="8"/>
      <c r="AD22" s="66"/>
      <c r="AE22" s="8"/>
      <c r="AF22" s="66"/>
      <c r="AG22" s="8"/>
      <c r="AH22" s="66"/>
      <c r="AI22" s="67"/>
    </row>
    <row r="23" spans="1:37" ht="15.75" x14ac:dyDescent="0.25">
      <c r="A23" s="95">
        <f>+IF('Courbe des taux'!A17="",A22,'Courbe des taux'!A17)</f>
        <v>326</v>
      </c>
      <c r="B23" s="308">
        <f>+IF('Courbe des taux'!A17&lt;&gt;"",(1+'Courbe des taux'!B17*CIH!A23/360)^(base_calcul(CIH!$B$4,CIH!A23)/CIH!A23)-1,B22)</f>
        <v>2.4974686420831338E-2</v>
      </c>
      <c r="C23" s="952"/>
      <c r="D23" s="948">
        <f t="shared" si="3"/>
        <v>6575</v>
      </c>
      <c r="E23" s="9">
        <v>18</v>
      </c>
      <c r="F23" s="57">
        <f t="shared" si="0"/>
        <v>3.6179999999999997E-2</v>
      </c>
      <c r="G23" s="690">
        <f>((1+F92)/(1-F92*SUM(H$1:H22)))^(1/E92)-1</f>
        <v>3.7027994063701275E-2</v>
      </c>
      <c r="H23" s="14">
        <f t="shared" si="4"/>
        <v>0.51972230743523862</v>
      </c>
      <c r="I23" s="570"/>
      <c r="J23" s="96"/>
      <c r="K23" s="1041">
        <v>19</v>
      </c>
      <c r="L23" s="951">
        <f>+G24</f>
        <v>3.7317530141429689E-2</v>
      </c>
      <c r="R23" s="63"/>
      <c r="S23" t="s">
        <v>1318</v>
      </c>
      <c r="T23" s="68"/>
      <c r="U23" s="69">
        <v>20000</v>
      </c>
      <c r="V23" s="69">
        <v>20000</v>
      </c>
      <c r="W23" s="69">
        <v>20000</v>
      </c>
      <c r="X23" s="69">
        <v>20000</v>
      </c>
      <c r="Y23" s="69">
        <v>20000</v>
      </c>
      <c r="Z23" s="69"/>
      <c r="AA23" s="69"/>
      <c r="AB23" s="69"/>
      <c r="AC23" s="69"/>
      <c r="AD23" s="69"/>
      <c r="AE23" s="69"/>
      <c r="AF23" s="69"/>
      <c r="AG23" s="69"/>
      <c r="AH23" s="69"/>
      <c r="AI23" s="70"/>
    </row>
    <row r="24" spans="1:37" ht="15.75" x14ac:dyDescent="0.25">
      <c r="A24" s="95">
        <f>+IF('Courbe des taux'!A18="",A23,'Courbe des taux'!A18)</f>
        <v>326</v>
      </c>
      <c r="B24" s="308">
        <f>+IF('Courbe des taux'!A18&lt;&gt;"",(1+'Courbe des taux'!B18*CIH!A24/360)^(base_calcul(CIH!$B$4,CIH!A24)/CIH!A24)-1,B23)</f>
        <v>2.4974686420831338E-2</v>
      </c>
      <c r="C24" s="650"/>
      <c r="D24" s="948">
        <f t="shared" si="3"/>
        <v>6940</v>
      </c>
      <c r="E24" s="9">
        <v>19</v>
      </c>
      <c r="F24" s="57">
        <f t="shared" si="0"/>
        <v>3.6409999999999998E-2</v>
      </c>
      <c r="G24" s="690">
        <f>((1+F93)/(1-F93*SUM(H$1:H23)))^(1/E93)-1</f>
        <v>3.7317530141429689E-2</v>
      </c>
      <c r="H24" s="14">
        <f t="shared" si="4"/>
        <v>0.49851401344215485</v>
      </c>
      <c r="I24" s="570"/>
      <c r="J24" s="96"/>
      <c r="K24" s="1041">
        <v>20</v>
      </c>
      <c r="L24" s="951">
        <f>+G25</f>
        <v>3.7810906767328456E-2</v>
      </c>
      <c r="R24" s="63"/>
      <c r="S24" t="s">
        <v>1320</v>
      </c>
      <c r="T24" s="69">
        <v>100000</v>
      </c>
      <c r="U24" s="23">
        <f>+T24-U23</f>
        <v>80000</v>
      </c>
      <c r="V24" s="23">
        <f>+U24-V23</f>
        <v>60000</v>
      </c>
      <c r="W24" s="23">
        <f>+V24-W23</f>
        <v>40000</v>
      </c>
      <c r="X24" s="23">
        <f>+W24-X23</f>
        <v>20000</v>
      </c>
      <c r="Y24" s="23">
        <f>+X24-Y23</f>
        <v>0</v>
      </c>
      <c r="Z24" s="23"/>
      <c r="AA24" s="23"/>
      <c r="AB24" s="23"/>
      <c r="AC24" s="23"/>
      <c r="AD24" s="23"/>
      <c r="AE24" s="23"/>
      <c r="AF24" s="23"/>
      <c r="AG24" s="23"/>
      <c r="AH24" s="23"/>
      <c r="AI24" s="71"/>
    </row>
    <row r="25" spans="1:37" ht="15.75" x14ac:dyDescent="0.25">
      <c r="A25" s="95">
        <f>+IF('Courbe des taux'!A19="",A24,'Courbe des taux'!A19)</f>
        <v>326</v>
      </c>
      <c r="B25" s="308">
        <f>+IF('Courbe des taux'!A19&lt;&gt;"",(1+'Courbe des taux'!B19*CIH!A25/360)^(base_calcul(CIH!$B$4,CIH!A25)/CIH!A25)-1,B24)</f>
        <v>2.4974686420831338E-2</v>
      </c>
      <c r="C25" s="953" t="s">
        <v>2525</v>
      </c>
      <c r="D25" s="948">
        <f t="shared" si="3"/>
        <v>7305</v>
      </c>
      <c r="E25" s="9">
        <v>20</v>
      </c>
      <c r="F25" s="57">
        <f t="shared" si="0"/>
        <v>3.6769999999999997E-2</v>
      </c>
      <c r="G25" s="690">
        <f>((1+F94)/(1-F94*SUM(H$1:H24)))^(1/E94)-1</f>
        <v>3.7810906767328456E-2</v>
      </c>
      <c r="H25" s="14">
        <f t="shared" si="4"/>
        <v>0.47603116791367034</v>
      </c>
      <c r="I25" s="570"/>
      <c r="J25" s="96"/>
      <c r="K25" s="1041">
        <v>21</v>
      </c>
      <c r="L25" s="951">
        <f t="shared" ref="L25:L30" si="13">+G26</f>
        <v>3.8443965295142046E-2</v>
      </c>
      <c r="R25" s="63"/>
      <c r="S25" t="s">
        <v>1321</v>
      </c>
      <c r="T25" s="68"/>
      <c r="U25" s="25">
        <f>+$U$21*T24</f>
        <v>5200</v>
      </c>
      <c r="V25" s="25">
        <f>+$U$21*U24</f>
        <v>4160</v>
      </c>
      <c r="W25" s="25">
        <f>+$U$21*V24</f>
        <v>3120</v>
      </c>
      <c r="X25" s="25">
        <f>+$U$21*W24</f>
        <v>2080</v>
      </c>
      <c r="Y25" s="25">
        <f>+$U$21*X24</f>
        <v>1040</v>
      </c>
      <c r="Z25" s="25"/>
      <c r="AA25" s="25"/>
      <c r="AB25" s="25"/>
      <c r="AC25" s="25"/>
      <c r="AD25" s="25"/>
      <c r="AE25" s="25"/>
      <c r="AF25" s="25"/>
      <c r="AG25" s="25"/>
      <c r="AH25" s="25"/>
      <c r="AI25" s="72"/>
    </row>
    <row r="26" spans="1:37" ht="15.75" x14ac:dyDescent="0.25">
      <c r="A26" s="95">
        <v>365</v>
      </c>
      <c r="B26" s="308">
        <f>(1+C26*CIH!A26/360)^(base_calcul(CIH!$B$4,CIH!A26)/CIH!A26)-1</f>
        <v>2.5143169815572186E-2</v>
      </c>
      <c r="C26" s="308">
        <f>+IF(A26&gt;365,interpoler(_mat2,taux2,A26),interpoler(_mat1,taux1,A26))</f>
        <v>2.4798742831797234E-2</v>
      </c>
      <c r="D26" s="948">
        <f t="shared" si="3"/>
        <v>7670</v>
      </c>
      <c r="E26" s="9">
        <v>21</v>
      </c>
      <c r="F26" s="57">
        <f t="shared" si="0"/>
        <v>3.7220000000000003E-2</v>
      </c>
      <c r="G26" s="690">
        <f>((1+F95)/(1-F95*SUM(H$1:H25)))^(1/E95)-1</f>
        <v>3.8443965295142046E-2</v>
      </c>
      <c r="H26" s="14">
        <f t="shared" si="4"/>
        <v>0.45285127613503201</v>
      </c>
      <c r="I26" s="570"/>
      <c r="J26" s="96"/>
      <c r="K26" s="1041">
        <v>22</v>
      </c>
      <c r="L26" s="951">
        <f t="shared" si="13"/>
        <v>3.9095812765769455E-2</v>
      </c>
      <c r="R26" s="63"/>
      <c r="S26" t="s">
        <v>1322</v>
      </c>
      <c r="T26" s="68"/>
      <c r="U26" s="25">
        <f>+U25+U23</f>
        <v>25200</v>
      </c>
      <c r="V26" s="25">
        <f>+V25+V23</f>
        <v>24160</v>
      </c>
      <c r="W26" s="25">
        <f>+W25+W23</f>
        <v>23120</v>
      </c>
      <c r="X26" s="25">
        <f>+X25+X23</f>
        <v>22080</v>
      </c>
      <c r="Y26" s="25">
        <f>+Y25+Y23</f>
        <v>21040</v>
      </c>
      <c r="Z26" s="25"/>
      <c r="AA26" s="25"/>
      <c r="AB26" s="25"/>
      <c r="AC26" s="25"/>
      <c r="AD26" s="25"/>
      <c r="AE26" s="25"/>
      <c r="AF26" s="25"/>
      <c r="AG26" s="25"/>
      <c r="AH26" s="25"/>
      <c r="AI26" s="72"/>
    </row>
    <row r="27" spans="1:37" ht="15.75" x14ac:dyDescent="0.25">
      <c r="A27" s="686">
        <v>365</v>
      </c>
      <c r="B27" s="687">
        <f>IF(D6=366,(1+C27*CIH!A27/360)^(base_calcul(CIH!$B$4,CIH!A27)/CIH!A27)-1,)</f>
        <v>0</v>
      </c>
      <c r="C27" s="687">
        <f>IF(D6=366,IF(A27&gt;366,interpoler(_mat2,taux2,A27),interpoler(_mat1,taux1,A27)),)</f>
        <v>0</v>
      </c>
      <c r="D27" s="948">
        <f t="shared" si="3"/>
        <v>8036</v>
      </c>
      <c r="E27" s="9">
        <v>22</v>
      </c>
      <c r="F27" s="57">
        <f t="shared" si="0"/>
        <v>3.7659999999999999E-2</v>
      </c>
      <c r="G27" s="690">
        <f>((1+F96)/(1-F96*SUM(H$1:H26)))^(1/E96)-1</f>
        <v>3.9095812765769455E-2</v>
      </c>
      <c r="H27" s="14">
        <f t="shared" si="4"/>
        <v>0.43010740075840498</v>
      </c>
      <c r="I27" s="570"/>
      <c r="J27" s="96"/>
      <c r="K27" s="1041">
        <v>23</v>
      </c>
      <c r="L27" s="951">
        <f t="shared" si="13"/>
        <v>3.9764220180209087E-2</v>
      </c>
      <c r="R27" s="63"/>
      <c r="S27" t="s">
        <v>1323</v>
      </c>
      <c r="T27" s="69"/>
      <c r="U27" s="25">
        <f>+IF(U22&gt;$U$1,U26,0)</f>
        <v>0</v>
      </c>
      <c r="V27" s="25">
        <f>+IF(V22&gt;$U$1,V26,0)</f>
        <v>0</v>
      </c>
      <c r="W27" s="25">
        <f>+IF(W22&gt;$U$1,W26,0)</f>
        <v>0</v>
      </c>
      <c r="X27" s="25">
        <f>+IF(X22&gt;$U$1,X26,0)</f>
        <v>0</v>
      </c>
      <c r="Y27" s="25">
        <f>+IF(Y22&gt;$U$1,Y26,0)</f>
        <v>0</v>
      </c>
      <c r="Z27" s="25"/>
      <c r="AA27" s="25"/>
      <c r="AB27" s="25"/>
      <c r="AC27" s="25"/>
      <c r="AD27" s="25"/>
      <c r="AE27" s="25"/>
      <c r="AF27" s="25"/>
      <c r="AG27" s="25"/>
      <c r="AH27" s="25"/>
      <c r="AI27" s="72"/>
    </row>
    <row r="28" spans="1:37" ht="15.75" x14ac:dyDescent="0.25">
      <c r="A28" s="98"/>
      <c r="B28" s="29"/>
      <c r="D28" s="948">
        <f t="shared" si="3"/>
        <v>8401</v>
      </c>
      <c r="E28" s="9">
        <v>23</v>
      </c>
      <c r="F28" s="57">
        <f t="shared" si="0"/>
        <v>3.8109999999999998E-2</v>
      </c>
      <c r="G28" s="690">
        <f>((1+F97)/(1-F97*SUM(H$1:H27)))^(1/E97)-1</f>
        <v>3.9764220180209087E-2</v>
      </c>
      <c r="H28" s="14">
        <f t="shared" si="4"/>
        <v>0.40784770351574179</v>
      </c>
      <c r="I28" s="570"/>
      <c r="J28" s="96"/>
      <c r="K28" s="1041">
        <v>24</v>
      </c>
      <c r="L28" s="951">
        <f t="shared" si="13"/>
        <v>4.0452975801564817E-2</v>
      </c>
      <c r="R28" s="63"/>
      <c r="S28" t="s">
        <v>1324</v>
      </c>
      <c r="T28" s="73"/>
      <c r="U28">
        <f>+IF(T27=0,(U22-$U$1)/(U22-T22),T28+1)</f>
        <v>-21.079452054794519</v>
      </c>
      <c r="V28">
        <f>+IF(U27=0,(V22-$U$1)/(V22-U22),U28+1)</f>
        <v>-20.079452054794519</v>
      </c>
      <c r="W28">
        <f>+IF(V27=0,(W22-$U$1)/(W22-V22),V28+1)</f>
        <v>-19.079452054794519</v>
      </c>
      <c r="X28">
        <f>+IF(W27=0,(X22-$U$1)/(X22-W22),W28+1)</f>
        <v>-18.027322404371585</v>
      </c>
      <c r="Y28">
        <f>+IF(X27=0,(Y22-$U$1)/(Y22-X22),X28+1)</f>
        <v>-17.076712328767123</v>
      </c>
    </row>
    <row r="29" spans="1:37" ht="15.75" x14ac:dyDescent="0.25">
      <c r="B29" s="322"/>
      <c r="C29" s="52"/>
      <c r="D29" s="948">
        <f t="shared" si="3"/>
        <v>8766</v>
      </c>
      <c r="E29" s="9">
        <v>24</v>
      </c>
      <c r="F29" s="57">
        <f t="shared" si="0"/>
        <v>3.8550000000000001E-2</v>
      </c>
      <c r="G29" s="690">
        <f>((1+F98)/(1-F98*SUM(H$1:H28)))^(1/E98)-1</f>
        <v>4.0452975801564817E-2</v>
      </c>
      <c r="H29" s="14">
        <f t="shared" si="4"/>
        <v>0.386065541389919</v>
      </c>
      <c r="I29" s="570"/>
      <c r="J29" s="96"/>
      <c r="K29" s="1041">
        <v>25</v>
      </c>
      <c r="L29" s="951">
        <f t="shared" si="13"/>
        <v>4.116411647917384E-2</v>
      </c>
      <c r="R29" s="63"/>
      <c r="S29" s="29" t="s">
        <v>1325</v>
      </c>
      <c r="T29" s="68"/>
      <c r="U29" s="68" cm="1">
        <f t="array" ref="U29">IF(U28&lt;1,interpoler(mat_court,taux_court_act,U28*(U22-T22)),interpoler(mat,taux,U28))</f>
        <v>2.3281430422376737E-2</v>
      </c>
      <c r="V29" s="103" cm="1">
        <f t="array" ref="V29">IF(V28&lt;1,interpoler(mat_court,taux_court_act,V28*(V22-U22)),interpoler(mat,taux,V28))</f>
        <v>2.3281430422376737E-2</v>
      </c>
      <c r="W29" s="68" cm="1">
        <f t="array" ref="W29">IF(W28&lt;1,interpoler(mat_court,taux_court_act,W28*(W22-V22)),interpoler(mat,taux,W28))</f>
        <v>2.3281430422376737E-2</v>
      </c>
      <c r="X29" s="245" cm="1">
        <f t="array" ref="X29">IF(X28&lt;1,interpoler(mat_court,taux_court_act,X28*(X22-W22)),interpoler(mat,taux,X28))</f>
        <v>2.3281430422376737E-2</v>
      </c>
      <c r="Y29" s="68" cm="1">
        <f t="array" ref="Y29">IF(Y28&lt;1,interpoler(mat_court,taux_court_act,Y28*(Y22-X22)),interpoler(mat,taux,Y28))</f>
        <v>2.3281430422376737E-2</v>
      </c>
      <c r="Z29" s="68"/>
      <c r="AA29" s="68"/>
      <c r="AB29" s="68"/>
      <c r="AC29" s="68"/>
      <c r="AD29" s="68"/>
      <c r="AE29" s="68"/>
      <c r="AF29" s="68"/>
      <c r="AG29" s="68"/>
      <c r="AH29" s="68"/>
      <c r="AI29" s="74"/>
    </row>
    <row r="30" spans="1:37" ht="15.75" x14ac:dyDescent="0.25">
      <c r="B30" s="251"/>
      <c r="C30" s="49"/>
      <c r="D30" s="948">
        <f t="shared" si="3"/>
        <v>9131</v>
      </c>
      <c r="E30" s="9">
        <v>25</v>
      </c>
      <c r="F30" s="57">
        <f t="shared" si="0"/>
        <v>3.8989999999999997E-2</v>
      </c>
      <c r="G30" s="690">
        <f>((1+F99)/(1-F99*SUM(H$1:H29)))^(1/E99)-1</f>
        <v>4.116411647917384E-2</v>
      </c>
      <c r="H30" s="14">
        <f t="shared" si="4"/>
        <v>0.36477091662743261</v>
      </c>
      <c r="I30" s="570"/>
      <c r="J30" s="96"/>
      <c r="K30" s="1041">
        <v>26</v>
      </c>
      <c r="L30" s="951">
        <f t="shared" si="13"/>
        <v>4.1902188418569741E-2</v>
      </c>
      <c r="R30" s="63"/>
      <c r="S30" t="s">
        <v>1328</v>
      </c>
      <c r="T30" s="68"/>
      <c r="U30" s="29">
        <v>0.01</v>
      </c>
      <c r="V30" s="29">
        <f>+U30</f>
        <v>0.01</v>
      </c>
      <c r="W30" s="29">
        <f>+V30</f>
        <v>0.01</v>
      </c>
      <c r="X30" s="29">
        <f>+W30</f>
        <v>0.01</v>
      </c>
      <c r="Y30" s="29">
        <f>+X30</f>
        <v>0.01</v>
      </c>
      <c r="Z30" s="29"/>
      <c r="AA30" s="29"/>
      <c r="AB30" s="29"/>
      <c r="AC30" s="29"/>
      <c r="AD30" s="29"/>
      <c r="AE30" s="29"/>
      <c r="AF30" s="29"/>
      <c r="AG30" s="29"/>
      <c r="AH30" s="29"/>
      <c r="AI30" s="75"/>
    </row>
    <row r="31" spans="1:37" ht="15.75" x14ac:dyDescent="0.25">
      <c r="B31" s="8"/>
      <c r="C31" s="8"/>
      <c r="D31" s="948">
        <f t="shared" si="3"/>
        <v>9497</v>
      </c>
      <c r="E31" s="9">
        <v>26</v>
      </c>
      <c r="F31" s="57">
        <f t="shared" si="0"/>
        <v>3.9440000000000003E-2</v>
      </c>
      <c r="G31" s="690">
        <f>((1+F100)/(1-F100*SUM(H$1:H30)))^(1/E100)-1</f>
        <v>4.1902188418569741E-2</v>
      </c>
      <c r="H31" s="14">
        <f t="shared" si="4"/>
        <v>0.34395315232883089</v>
      </c>
      <c r="I31" s="570"/>
      <c r="J31" s="96"/>
      <c r="K31" s="1041">
        <v>27</v>
      </c>
      <c r="L31" s="951">
        <f>+G32</f>
        <v>4.2665232585102242E-2</v>
      </c>
      <c r="M31" s="96"/>
      <c r="N31" s="96"/>
      <c r="O31" s="96"/>
      <c r="R31" s="63"/>
      <c r="S31" t="s">
        <v>1329</v>
      </c>
      <c r="T31" s="68"/>
      <c r="U31" s="13">
        <f>+ROUND(U29+U30,6)</f>
        <v>3.3280999999999998E-2</v>
      </c>
      <c r="V31" s="96">
        <f>+ROUND(V29+V30,6)</f>
        <v>3.3280999999999998E-2</v>
      </c>
      <c r="W31" s="102">
        <f>+ROUND(W29+W30,6)</f>
        <v>3.3280999999999998E-2</v>
      </c>
      <c r="X31" s="29">
        <f>+ROUND(X29+X30,6)</f>
        <v>3.3280999999999998E-2</v>
      </c>
      <c r="Y31" s="13">
        <f>+ROUND(Y29+Y30,6)</f>
        <v>3.3280999999999998E-2</v>
      </c>
      <c r="Z31" s="13"/>
      <c r="AA31" s="13"/>
      <c r="AB31" s="13"/>
      <c r="AC31" s="13"/>
      <c r="AD31" s="13"/>
      <c r="AE31" s="13"/>
      <c r="AF31" s="13"/>
      <c r="AG31" s="13"/>
      <c r="AH31" s="13"/>
      <c r="AI31" s="76"/>
    </row>
    <row r="32" spans="1:37" ht="15.75" x14ac:dyDescent="0.25">
      <c r="B32" s="280"/>
      <c r="C32" s="8"/>
      <c r="D32" s="948">
        <f t="shared" si="3"/>
        <v>9862</v>
      </c>
      <c r="E32" s="9">
        <v>27</v>
      </c>
      <c r="F32" s="57">
        <f t="shared" si="0"/>
        <v>3.9879999999999999E-2</v>
      </c>
      <c r="G32" s="690">
        <f>((1+F101)/(1-F101*SUM(H$1:H31)))^(1/E101)-1</f>
        <v>4.2665232585102242E-2</v>
      </c>
      <c r="H32" s="14">
        <f t="shared" si="4"/>
        <v>0.32365916310014575</v>
      </c>
      <c r="I32" s="570"/>
      <c r="J32" s="96"/>
      <c r="K32" s="1041">
        <v>28</v>
      </c>
      <c r="L32" s="951">
        <f>+G33</f>
        <v>4.3458424961006825E-2</v>
      </c>
      <c r="M32" s="96"/>
      <c r="N32" s="96"/>
      <c r="O32" s="96"/>
      <c r="R32" s="63"/>
      <c r="T32" s="68"/>
      <c r="U32" s="69">
        <f>+U27/(1+U31)^U28</f>
        <v>0</v>
      </c>
      <c r="V32" s="69">
        <f>+V27/(1+V31)^V28</f>
        <v>0</v>
      </c>
      <c r="W32" s="69">
        <f>+W27/(1+W31)^W28</f>
        <v>0</v>
      </c>
      <c r="X32" s="69">
        <f>+X27/(1+X31)^X28</f>
        <v>0</v>
      </c>
      <c r="Y32" s="69">
        <f>+Y27/(1+Y31)^Y28</f>
        <v>0</v>
      </c>
      <c r="Z32" s="69"/>
      <c r="AA32" s="69"/>
      <c r="AB32" s="69"/>
      <c r="AC32" s="69"/>
      <c r="AD32" s="69"/>
      <c r="AE32" s="69"/>
      <c r="AF32" s="69"/>
      <c r="AG32" s="69"/>
      <c r="AH32" s="69"/>
      <c r="AI32" s="70"/>
    </row>
    <row r="33" spans="2:35" ht="15.75" x14ac:dyDescent="0.25">
      <c r="B33" s="8"/>
      <c r="D33" s="948">
        <f t="shared" si="3"/>
        <v>10227</v>
      </c>
      <c r="E33" s="9">
        <v>28</v>
      </c>
      <c r="F33" s="57">
        <f t="shared" si="0"/>
        <v>4.0329999999999998E-2</v>
      </c>
      <c r="G33" s="690">
        <f>((1+F102)/(1-F102*SUM(H$1:H32)))^(1/E102)-1</f>
        <v>4.3458424961006825E-2</v>
      </c>
      <c r="H33" s="14">
        <f t="shared" si="4"/>
        <v>0.30387558077403748</v>
      </c>
      <c r="I33" s="570"/>
      <c r="J33" s="96"/>
      <c r="K33" s="1041">
        <v>29</v>
      </c>
      <c r="L33" s="951">
        <f>+G34</f>
        <v>4.4285095549047471E-2</v>
      </c>
      <c r="M33" s="96"/>
      <c r="N33" s="96"/>
      <c r="O33" s="96"/>
      <c r="R33" s="63"/>
      <c r="T33" s="68"/>
      <c r="U33" s="13"/>
      <c r="V33" s="13"/>
      <c r="W33" s="13"/>
      <c r="X33" s="13"/>
      <c r="Y33" s="13"/>
      <c r="Z33" s="13"/>
      <c r="AA33" s="13"/>
      <c r="AB33" s="13"/>
      <c r="AC33" s="13"/>
      <c r="AD33" s="13"/>
      <c r="AE33" s="13"/>
      <c r="AF33" s="13"/>
      <c r="AG33" s="13"/>
      <c r="AH33" s="13"/>
      <c r="AI33" s="76"/>
    </row>
    <row r="34" spans="2:35" ht="15.75" x14ac:dyDescent="0.25">
      <c r="B34" s="8"/>
      <c r="D34" s="948">
        <f t="shared" si="3"/>
        <v>10592</v>
      </c>
      <c r="E34" s="9">
        <v>29</v>
      </c>
      <c r="F34" s="57">
        <f t="shared" si="0"/>
        <v>4.0770000000000001E-2</v>
      </c>
      <c r="G34" s="690">
        <f>((1+F103)/(1-F103*SUM(H$1:H33)))^(1/E103)-1</f>
        <v>4.4285095549047471E-2</v>
      </c>
      <c r="H34" s="14">
        <f t="shared" si="4"/>
        <v>0.2846077296343188</v>
      </c>
      <c r="I34" s="570"/>
      <c r="J34" s="96"/>
      <c r="K34" s="1041">
        <v>30</v>
      </c>
      <c r="L34" s="951">
        <f>+G35</f>
        <v>4.5151805162860104E-2</v>
      </c>
      <c r="M34" s="96"/>
      <c r="N34" s="96"/>
      <c r="O34" s="96"/>
      <c r="R34" s="63"/>
      <c r="S34" t="s">
        <v>650</v>
      </c>
      <c r="T34" s="77">
        <f>+SUM(U32:AI32)</f>
        <v>0</v>
      </c>
      <c r="U34" s="13"/>
      <c r="V34" s="13"/>
      <c r="W34" s="13"/>
      <c r="X34" s="13"/>
      <c r="Y34" s="13"/>
      <c r="Z34" s="13"/>
      <c r="AA34" s="13"/>
      <c r="AB34" s="13"/>
      <c r="AC34" s="13"/>
      <c r="AD34" s="13"/>
      <c r="AE34" s="13"/>
      <c r="AF34" s="13"/>
      <c r="AG34" s="13"/>
      <c r="AH34" s="13"/>
      <c r="AI34" s="76"/>
    </row>
    <row r="35" spans="2:35" ht="16.5" thickBot="1" x14ac:dyDescent="0.3">
      <c r="B35" s="8"/>
      <c r="C35" s="56"/>
      <c r="D35" s="948">
        <f t="shared" si="3"/>
        <v>10958</v>
      </c>
      <c r="E35" s="9">
        <v>30</v>
      </c>
      <c r="F35" s="57">
        <f t="shared" si="0"/>
        <v>4.122E-2</v>
      </c>
      <c r="G35" s="690">
        <f>((1+F104)/(1-F104*SUM(H$1:H34)))^(1/E104)-1</f>
        <v>4.5151805162860104E-2</v>
      </c>
      <c r="H35" s="14">
        <f t="shared" si="4"/>
        <v>0.26583903393688263</v>
      </c>
      <c r="I35" s="570"/>
      <c r="J35" s="96"/>
      <c r="K35" s="1041"/>
      <c r="L35" s="951"/>
      <c r="R35" s="78"/>
      <c r="S35" s="79" t="s">
        <v>1331</v>
      </c>
      <c r="T35" s="410" t="e">
        <f>+SUMPRODUCT(U28:AI28,U32:AI32)/T34</f>
        <v>#DIV/0!</v>
      </c>
      <c r="U35" s="79"/>
      <c r="V35" s="79"/>
      <c r="W35" s="79"/>
      <c r="X35" s="79"/>
      <c r="Y35" s="79"/>
      <c r="Z35" s="79"/>
      <c r="AA35" s="79"/>
      <c r="AB35" s="79"/>
      <c r="AC35" s="79"/>
      <c r="AD35" s="79"/>
      <c r="AE35" s="79"/>
      <c r="AF35" s="79"/>
      <c r="AG35" s="79"/>
      <c r="AH35" s="79"/>
      <c r="AI35" s="81"/>
    </row>
    <row r="36" spans="2:35" ht="16.5" thickBot="1" x14ac:dyDescent="0.3">
      <c r="B36" s="8"/>
      <c r="C36" s="56"/>
      <c r="D36" s="3"/>
      <c r="E36" s="32"/>
      <c r="F36" s="57"/>
      <c r="G36" s="297"/>
      <c r="H36" s="33"/>
      <c r="J36" s="96"/>
      <c r="K36" s="1041"/>
      <c r="L36" s="951"/>
    </row>
    <row r="37" spans="2:35" x14ac:dyDescent="0.2">
      <c r="B37" s="8"/>
      <c r="D37" s="8"/>
      <c r="E37" s="8"/>
      <c r="F37" s="8"/>
      <c r="G37" s="8"/>
      <c r="H37" s="8"/>
      <c r="J37" s="96"/>
      <c r="K37" s="1041"/>
      <c r="L37" s="951"/>
    </row>
    <row r="38" spans="2:35" x14ac:dyDescent="0.2">
      <c r="B38" s="8"/>
      <c r="D38" s="8"/>
      <c r="E38" s="8"/>
      <c r="F38" s="8"/>
      <c r="G38" s="8"/>
      <c r="H38" s="8"/>
      <c r="J38" s="96"/>
      <c r="K38" s="1041"/>
      <c r="L38" s="951"/>
    </row>
    <row r="39" spans="2:35" ht="13.5" thickBot="1" x14ac:dyDescent="0.25">
      <c r="B39" s="8"/>
      <c r="D39" s="8"/>
      <c r="E39" s="8"/>
      <c r="F39" s="8"/>
      <c r="G39" s="8"/>
      <c r="H39" s="8"/>
      <c r="J39" s="96"/>
      <c r="K39" s="1041"/>
      <c r="L39" s="951"/>
    </row>
    <row r="40" spans="2:35" ht="12" customHeight="1" x14ac:dyDescent="0.25">
      <c r="B40" s="8"/>
      <c r="D40" s="8"/>
      <c r="E40" s="8"/>
      <c r="F40" s="8"/>
      <c r="G40" s="8"/>
      <c r="H40" s="8"/>
      <c r="J40" s="96"/>
      <c r="K40" s="1041"/>
      <c r="L40" s="951"/>
      <c r="R40" s="82" t="s">
        <v>367</v>
      </c>
      <c r="S40" s="59"/>
      <c r="T40" s="60" t="s">
        <v>103</v>
      </c>
      <c r="U40" s="61">
        <f>+U1</f>
        <v>46107</v>
      </c>
      <c r="V40" s="59"/>
      <c r="W40" s="59"/>
      <c r="X40" s="59"/>
      <c r="Y40" s="59"/>
      <c r="Z40" s="59"/>
      <c r="AA40" s="59"/>
      <c r="AB40" s="59"/>
      <c r="AC40" s="59"/>
      <c r="AD40" s="59"/>
      <c r="AE40" s="59"/>
      <c r="AF40" s="59"/>
      <c r="AG40" s="59"/>
      <c r="AH40" s="59"/>
      <c r="AI40" s="62"/>
    </row>
    <row r="41" spans="2:35" x14ac:dyDescent="0.2">
      <c r="B41" s="8"/>
      <c r="D41" s="8"/>
      <c r="E41" s="8"/>
      <c r="F41" s="8"/>
      <c r="G41" s="8"/>
      <c r="H41" s="8"/>
      <c r="J41" s="96"/>
      <c r="K41" s="1041"/>
      <c r="L41" s="951"/>
      <c r="R41" s="63"/>
      <c r="T41" s="64" t="s">
        <v>105</v>
      </c>
      <c r="U41" s="13">
        <v>5.3199999999999997E-2</v>
      </c>
      <c r="V41" s="13"/>
      <c r="AI41" s="65"/>
    </row>
    <row r="42" spans="2:35" x14ac:dyDescent="0.2">
      <c r="B42" s="8"/>
      <c r="D42" s="8"/>
      <c r="E42" s="8"/>
      <c r="F42" s="8"/>
      <c r="G42" s="8"/>
      <c r="H42" s="8"/>
      <c r="J42" s="96"/>
      <c r="K42" s="1041"/>
      <c r="L42" s="951"/>
      <c r="R42" s="63"/>
      <c r="T42" s="66">
        <v>38149</v>
      </c>
      <c r="U42" s="8">
        <v>38514</v>
      </c>
      <c r="V42" s="66">
        <v>38879</v>
      </c>
      <c r="W42" s="8">
        <v>39244</v>
      </c>
      <c r="X42" s="66">
        <v>39610</v>
      </c>
      <c r="Y42" s="8">
        <v>39975</v>
      </c>
      <c r="Z42" s="66">
        <v>40340</v>
      </c>
      <c r="AA42" s="8">
        <v>40705</v>
      </c>
      <c r="AB42" s="66">
        <v>41071</v>
      </c>
      <c r="AC42" s="8">
        <v>41436</v>
      </c>
      <c r="AD42" s="66">
        <v>41801</v>
      </c>
      <c r="AE42" s="8">
        <v>42166</v>
      </c>
      <c r="AF42" s="66">
        <v>42532</v>
      </c>
      <c r="AG42" s="8">
        <v>42897</v>
      </c>
      <c r="AH42" s="66">
        <v>43262</v>
      </c>
      <c r="AI42" s="8">
        <v>43627</v>
      </c>
    </row>
    <row r="43" spans="2:35" x14ac:dyDescent="0.2">
      <c r="B43" s="8"/>
      <c r="D43" s="8"/>
      <c r="E43" s="8"/>
      <c r="F43" s="8"/>
      <c r="G43" s="8"/>
      <c r="H43" s="8"/>
      <c r="J43" s="96"/>
      <c r="K43" s="1041"/>
      <c r="L43" s="951"/>
      <c r="R43" s="63"/>
      <c r="S43" t="s">
        <v>1318</v>
      </c>
      <c r="T43" s="68"/>
      <c r="U43" s="69">
        <v>10000</v>
      </c>
      <c r="V43" s="69">
        <v>10000</v>
      </c>
      <c r="W43" s="69">
        <v>10000</v>
      </c>
      <c r="X43" s="69">
        <v>10000</v>
      </c>
      <c r="Y43" s="69">
        <v>10000</v>
      </c>
      <c r="Z43" s="69">
        <v>10000</v>
      </c>
      <c r="AA43" s="69">
        <v>10000</v>
      </c>
      <c r="AB43" s="69">
        <v>10000</v>
      </c>
      <c r="AC43" s="69">
        <v>10000</v>
      </c>
      <c r="AD43" s="69">
        <v>10000</v>
      </c>
      <c r="AE43" s="69">
        <v>10000</v>
      </c>
      <c r="AF43" s="69">
        <v>10000</v>
      </c>
      <c r="AG43" s="69">
        <v>10000</v>
      </c>
      <c r="AH43" s="69">
        <v>10000</v>
      </c>
      <c r="AI43" s="70">
        <v>10000</v>
      </c>
    </row>
    <row r="44" spans="2:35" x14ac:dyDescent="0.2">
      <c r="B44" s="8"/>
      <c r="D44" s="8"/>
      <c r="E44" s="8"/>
      <c r="F44" s="8"/>
      <c r="G44" s="8"/>
      <c r="H44" s="8"/>
      <c r="J44" s="96"/>
      <c r="K44" s="1041"/>
      <c r="L44" s="951"/>
      <c r="R44" s="63"/>
      <c r="S44" t="s">
        <v>1320</v>
      </c>
      <c r="T44" s="69">
        <v>150000</v>
      </c>
      <c r="U44" s="23">
        <f t="shared" ref="U44:AI44" si="14">+T44-U43</f>
        <v>140000</v>
      </c>
      <c r="V44" s="23">
        <f t="shared" si="14"/>
        <v>130000</v>
      </c>
      <c r="W44" s="23">
        <f t="shared" si="14"/>
        <v>120000</v>
      </c>
      <c r="X44" s="23">
        <f t="shared" si="14"/>
        <v>110000</v>
      </c>
      <c r="Y44" s="23">
        <f t="shared" si="14"/>
        <v>100000</v>
      </c>
      <c r="Z44" s="23">
        <f t="shared" si="14"/>
        <v>90000</v>
      </c>
      <c r="AA44" s="23">
        <f t="shared" si="14"/>
        <v>80000</v>
      </c>
      <c r="AB44" s="23">
        <f t="shared" si="14"/>
        <v>70000</v>
      </c>
      <c r="AC44" s="23">
        <f t="shared" si="14"/>
        <v>60000</v>
      </c>
      <c r="AD44" s="23">
        <f t="shared" si="14"/>
        <v>50000</v>
      </c>
      <c r="AE44" s="23">
        <f t="shared" si="14"/>
        <v>40000</v>
      </c>
      <c r="AF44" s="23">
        <f t="shared" si="14"/>
        <v>30000</v>
      </c>
      <c r="AG44" s="23">
        <f t="shared" si="14"/>
        <v>20000</v>
      </c>
      <c r="AH44" s="23">
        <f t="shared" si="14"/>
        <v>10000</v>
      </c>
      <c r="AI44" s="71">
        <f t="shared" si="14"/>
        <v>0</v>
      </c>
    </row>
    <row r="45" spans="2:35" x14ac:dyDescent="0.2">
      <c r="B45" s="8"/>
      <c r="D45" s="8"/>
      <c r="E45" s="8"/>
      <c r="F45" s="8"/>
      <c r="G45" s="8"/>
      <c r="H45" s="8"/>
      <c r="J45" s="96"/>
      <c r="L45" s="8"/>
      <c r="R45" s="63"/>
      <c r="S45" t="s">
        <v>1321</v>
      </c>
      <c r="T45" s="68"/>
      <c r="U45" s="25">
        <f>+$U$41*T44</f>
        <v>7980</v>
      </c>
      <c r="V45" s="25">
        <f>+$U$41*U44</f>
        <v>7448</v>
      </c>
      <c r="W45" s="25">
        <f t="shared" ref="W45:AI45" si="15">+$U$41*V44</f>
        <v>6916</v>
      </c>
      <c r="X45" s="25">
        <f t="shared" si="15"/>
        <v>6384</v>
      </c>
      <c r="Y45" s="25">
        <f t="shared" si="15"/>
        <v>5852</v>
      </c>
      <c r="Z45" s="25">
        <f t="shared" si="15"/>
        <v>5320</v>
      </c>
      <c r="AA45" s="25">
        <f t="shared" si="15"/>
        <v>4788</v>
      </c>
      <c r="AB45" s="25">
        <f t="shared" si="15"/>
        <v>4256</v>
      </c>
      <c r="AC45" s="25">
        <f>+$U$41*AB44</f>
        <v>3724</v>
      </c>
      <c r="AD45" s="25">
        <f t="shared" si="15"/>
        <v>3192</v>
      </c>
      <c r="AE45" s="25">
        <f t="shared" si="15"/>
        <v>2660</v>
      </c>
      <c r="AF45" s="25">
        <f t="shared" si="15"/>
        <v>2128</v>
      </c>
      <c r="AG45" s="25">
        <f t="shared" si="15"/>
        <v>1596</v>
      </c>
      <c r="AH45" s="25">
        <f t="shared" si="15"/>
        <v>1064</v>
      </c>
      <c r="AI45" s="25">
        <f t="shared" si="15"/>
        <v>532</v>
      </c>
    </row>
    <row r="46" spans="2:35" x14ac:dyDescent="0.2">
      <c r="B46" s="8"/>
      <c r="D46" s="8"/>
      <c r="E46" s="8"/>
      <c r="F46" s="8"/>
      <c r="G46" s="8"/>
      <c r="H46" s="8"/>
      <c r="J46" s="96"/>
      <c r="L46" s="8"/>
      <c r="R46" s="63"/>
      <c r="S46" t="s">
        <v>1322</v>
      </c>
      <c r="T46" s="68"/>
      <c r="U46" s="25">
        <f t="shared" ref="U46:AI46" si="16">+U45+U43</f>
        <v>17980</v>
      </c>
      <c r="V46" s="25">
        <f t="shared" si="16"/>
        <v>17448</v>
      </c>
      <c r="W46" s="25">
        <f t="shared" si="16"/>
        <v>16916</v>
      </c>
      <c r="X46" s="25">
        <f t="shared" si="16"/>
        <v>16384</v>
      </c>
      <c r="Y46" s="25">
        <f t="shared" si="16"/>
        <v>15852</v>
      </c>
      <c r="Z46" s="25">
        <f t="shared" si="16"/>
        <v>15320</v>
      </c>
      <c r="AA46" s="25">
        <f t="shared" si="16"/>
        <v>14788</v>
      </c>
      <c r="AB46" s="25">
        <f t="shared" si="16"/>
        <v>14256</v>
      </c>
      <c r="AC46" s="25">
        <f t="shared" si="16"/>
        <v>13724</v>
      </c>
      <c r="AD46" s="25">
        <f t="shared" si="16"/>
        <v>13192</v>
      </c>
      <c r="AE46" s="25">
        <f t="shared" si="16"/>
        <v>12660</v>
      </c>
      <c r="AF46" s="25">
        <f t="shared" si="16"/>
        <v>12128</v>
      </c>
      <c r="AG46" s="25">
        <f t="shared" si="16"/>
        <v>11596</v>
      </c>
      <c r="AH46" s="25">
        <f t="shared" si="16"/>
        <v>11064</v>
      </c>
      <c r="AI46" s="72">
        <f t="shared" si="16"/>
        <v>10532</v>
      </c>
    </row>
    <row r="47" spans="2:35" x14ac:dyDescent="0.2">
      <c r="B47" s="8"/>
      <c r="D47" s="8"/>
      <c r="E47" s="8"/>
      <c r="F47" s="8"/>
      <c r="G47" s="8"/>
      <c r="H47" s="8"/>
      <c r="J47" s="8"/>
      <c r="L47" s="8"/>
      <c r="R47" s="63"/>
      <c r="S47" t="s">
        <v>1323</v>
      </c>
      <c r="T47" s="69"/>
      <c r="U47" s="25">
        <f t="shared" ref="U47:AI47" si="17">+IF(U42&gt;$U$1,U46,0)</f>
        <v>0</v>
      </c>
      <c r="V47" s="25">
        <f t="shared" si="17"/>
        <v>0</v>
      </c>
      <c r="W47" s="25">
        <f t="shared" si="17"/>
        <v>0</v>
      </c>
      <c r="X47" s="25">
        <f t="shared" si="17"/>
        <v>0</v>
      </c>
      <c r="Y47" s="25">
        <f t="shared" si="17"/>
        <v>0</v>
      </c>
      <c r="Z47" s="25">
        <f t="shared" si="17"/>
        <v>0</v>
      </c>
      <c r="AA47" s="25">
        <f t="shared" si="17"/>
        <v>0</v>
      </c>
      <c r="AB47" s="25">
        <f t="shared" si="17"/>
        <v>0</v>
      </c>
      <c r="AC47" s="25">
        <f t="shared" si="17"/>
        <v>0</v>
      </c>
      <c r="AD47" s="25">
        <f t="shared" si="17"/>
        <v>0</v>
      </c>
      <c r="AE47" s="25">
        <f t="shared" si="17"/>
        <v>0</v>
      </c>
      <c r="AF47" s="25">
        <f t="shared" si="17"/>
        <v>0</v>
      </c>
      <c r="AG47" s="25">
        <f t="shared" si="17"/>
        <v>0</v>
      </c>
      <c r="AH47" s="25">
        <f t="shared" si="17"/>
        <v>0</v>
      </c>
      <c r="AI47" s="72">
        <f t="shared" si="17"/>
        <v>0</v>
      </c>
    </row>
    <row r="48" spans="2:35" x14ac:dyDescent="0.2">
      <c r="B48" s="8"/>
      <c r="J48" s="8"/>
      <c r="L48" s="8"/>
      <c r="R48" s="63"/>
      <c r="S48" t="s">
        <v>1324</v>
      </c>
      <c r="T48" s="73"/>
      <c r="U48">
        <f t="shared" ref="U48:AI48" si="18">+IF(T47=0,(U42-$U$1)/(U42-T42),T48+1)</f>
        <v>-20.802739726027397</v>
      </c>
      <c r="V48">
        <f t="shared" si="18"/>
        <v>-19.802739726027397</v>
      </c>
      <c r="W48">
        <f t="shared" si="18"/>
        <v>-18.802739726027397</v>
      </c>
      <c r="X48">
        <f t="shared" si="18"/>
        <v>-17.751366120218581</v>
      </c>
      <c r="Y48">
        <f t="shared" si="18"/>
        <v>-16.8</v>
      </c>
      <c r="Z48">
        <f t="shared" si="18"/>
        <v>-15.8</v>
      </c>
      <c r="AA48">
        <f t="shared" si="18"/>
        <v>-14.8</v>
      </c>
      <c r="AB48">
        <f t="shared" si="18"/>
        <v>-13.759562841530055</v>
      </c>
      <c r="AC48">
        <f t="shared" si="18"/>
        <v>-12.797260273972602</v>
      </c>
      <c r="AD48">
        <f t="shared" si="18"/>
        <v>-11.797260273972602</v>
      </c>
      <c r="AE48">
        <f t="shared" si="18"/>
        <v>-10.797260273972602</v>
      </c>
      <c r="AF48">
        <f t="shared" si="18"/>
        <v>-9.7677595628415297</v>
      </c>
      <c r="AG48">
        <f t="shared" si="18"/>
        <v>-8.794520547945206</v>
      </c>
      <c r="AH48">
        <f t="shared" si="18"/>
        <v>-7.7945205479452051</v>
      </c>
      <c r="AI48">
        <f t="shared" si="18"/>
        <v>-6.7945205479452051</v>
      </c>
    </row>
    <row r="49" spans="2:35" x14ac:dyDescent="0.2">
      <c r="B49" s="8"/>
      <c r="H49" s="280"/>
      <c r="J49" s="8"/>
      <c r="L49" s="8"/>
      <c r="R49" s="63"/>
      <c r="S49" s="29" t="s">
        <v>1325</v>
      </c>
      <c r="T49" s="68"/>
      <c r="U49" s="68" cm="1">
        <f t="array" ref="U49">IF(U48&lt;1,interpoler(mat_court,taux_court_act,U48*(U42-T42)),interpoler(mat,taux,U48))</f>
        <v>2.3281430422376737E-2</v>
      </c>
      <c r="V49" s="68" cm="1">
        <f t="array" ref="V49">IF(V48&lt;1,interpoler(mat_court,taux_court_act,V48*(V42-U42)),interpoler(mat,taux,V48))</f>
        <v>2.3281430422376737E-2</v>
      </c>
      <c r="W49" s="68" cm="1">
        <f t="array" ref="W49">IF(W48&lt;1,interpoler(mat_court,taux_court_act,W48*(W42-V42)),interpoler(mat,taux,W48))</f>
        <v>2.3281430422376737E-2</v>
      </c>
      <c r="X49" s="68" cm="1">
        <f t="array" ref="X49">IF(X48&lt;1,interpoler(mat_court,taux_court_act,X48*(X42-W42)),interpoler(mat,taux,X48))</f>
        <v>2.3281430422376737E-2</v>
      </c>
      <c r="Y49" s="68" cm="1">
        <f t="array" ref="Y49">IF(Y48&lt;1,interpoler(mat_court,taux_court_act,Y48*(Y42-X42)),interpoler(mat,taux,Y48))</f>
        <v>2.3281430422376737E-2</v>
      </c>
      <c r="Z49" s="68" cm="1">
        <f t="array" ref="Z49">IF(Z48&lt;1,interpoler(mat_court,taux_court_act,Z48*(Z42-Y42)),interpoler(mat,taux,Z48))</f>
        <v>2.3281430422376737E-2</v>
      </c>
      <c r="AA49" s="68" cm="1">
        <f t="array" ref="AA49">IF(AA48&lt;1,interpoler(mat_court,taux_court_act,AA48*(AA42-Z42)),interpoler(mat,taux,AA48))</f>
        <v>2.3281430422376737E-2</v>
      </c>
      <c r="AB49" s="68" cm="1">
        <f t="array" ref="AB49">IF(AB48&lt;1,interpoler(mat_court,taux_court_act,AB48*(AB42-AA42)),interpoler(mat,taux,AB48))</f>
        <v>2.3281430422376737E-2</v>
      </c>
      <c r="AC49" s="68" cm="1">
        <f t="array" ref="AC49">IF(AC48&lt;1,interpoler(mat_court,taux_court_act,AC48*(AC42-AB42)),interpoler(mat,taux,AC48))</f>
        <v>2.3281430422376737E-2</v>
      </c>
      <c r="AD49" s="68" cm="1">
        <f t="array" ref="AD49">IF(AD48&lt;1,interpoler(mat_court,taux_court_act,AD48*(AD42-AC42)),interpoler(mat,taux,AD48))</f>
        <v>2.3281430422376737E-2</v>
      </c>
      <c r="AE49" s="68" cm="1">
        <f t="array" ref="AE49">IF(AE48&lt;1,interpoler(mat_court,taux_court_act,AE48*(AE42-AD42)),interpoler(mat,taux,AE48))</f>
        <v>2.3281430422376737E-2</v>
      </c>
      <c r="AF49" s="68" cm="1">
        <f t="array" ref="AF49">IF(AF48&lt;1,interpoler(mat_court,taux_court_act,AF48*(AF42-AE42)),interpoler(mat,taux,AF48))</f>
        <v>2.3281430422376737E-2</v>
      </c>
      <c r="AG49" s="68" cm="1">
        <f t="array" ref="AG49">IF(AG48&lt;1,interpoler(mat_court,taux_court_act,AG48*(AG42-AF42)),interpoler(mat,taux,AG48))</f>
        <v>2.3281430422376737E-2</v>
      </c>
      <c r="AH49" s="68" cm="1">
        <f t="array" ref="AH49">IF(AH48&lt;1,interpoler(mat_court,taux_court_act,AH48*(AH42-AG42)),interpoler(mat,taux,AH48))</f>
        <v>2.3281430422376737E-2</v>
      </c>
      <c r="AI49" s="68" cm="1">
        <f t="array" ref="AI49">IF(AI48&lt;1,interpoler(mat_court,taux_court_act,AI48*(AI42-AH42)),interpoler(mat,taux,AI48))</f>
        <v>2.3281430422376737E-2</v>
      </c>
    </row>
    <row r="50" spans="2:35" ht="13.5" customHeight="1" x14ac:dyDescent="0.2">
      <c r="B50" s="8"/>
      <c r="H50" s="280"/>
      <c r="J50" s="8"/>
      <c r="L50" s="8"/>
      <c r="R50" s="63"/>
      <c r="S50" t="s">
        <v>1328</v>
      </c>
      <c r="T50" s="68"/>
      <c r="U50" s="29">
        <v>2.5000000000000001E-3</v>
      </c>
      <c r="V50" s="29">
        <f t="shared" ref="V50:AI50" si="19">+U50</f>
        <v>2.5000000000000001E-3</v>
      </c>
      <c r="W50" s="29">
        <f t="shared" si="19"/>
        <v>2.5000000000000001E-3</v>
      </c>
      <c r="X50" s="29">
        <f t="shared" si="19"/>
        <v>2.5000000000000001E-3</v>
      </c>
      <c r="Y50" s="29">
        <f t="shared" si="19"/>
        <v>2.5000000000000001E-3</v>
      </c>
      <c r="Z50" s="29">
        <f t="shared" si="19"/>
        <v>2.5000000000000001E-3</v>
      </c>
      <c r="AA50" s="29">
        <f t="shared" si="19"/>
        <v>2.5000000000000001E-3</v>
      </c>
      <c r="AB50" s="29">
        <f t="shared" si="19"/>
        <v>2.5000000000000001E-3</v>
      </c>
      <c r="AC50" s="29">
        <f t="shared" si="19"/>
        <v>2.5000000000000001E-3</v>
      </c>
      <c r="AD50" s="29">
        <f t="shared" si="19"/>
        <v>2.5000000000000001E-3</v>
      </c>
      <c r="AE50" s="29">
        <f t="shared" si="19"/>
        <v>2.5000000000000001E-3</v>
      </c>
      <c r="AF50" s="29">
        <f t="shared" si="19"/>
        <v>2.5000000000000001E-3</v>
      </c>
      <c r="AG50" s="29">
        <f t="shared" si="19"/>
        <v>2.5000000000000001E-3</v>
      </c>
      <c r="AH50" s="29">
        <f t="shared" si="19"/>
        <v>2.5000000000000001E-3</v>
      </c>
      <c r="AI50" s="75">
        <f t="shared" si="19"/>
        <v>2.5000000000000001E-3</v>
      </c>
    </row>
    <row r="51" spans="2:35" x14ac:dyDescent="0.2">
      <c r="B51" s="8"/>
      <c r="H51" s="280"/>
      <c r="J51" s="8"/>
      <c r="L51" s="8"/>
      <c r="R51" s="63"/>
      <c r="S51" t="s">
        <v>1329</v>
      </c>
      <c r="T51" s="68"/>
      <c r="U51" s="96">
        <f t="shared" ref="U51:AD51" si="20">+ROUND(U49+U50,6)</f>
        <v>2.5780999999999998E-2</v>
      </c>
      <c r="V51" s="102">
        <f t="shared" si="20"/>
        <v>2.5780999999999998E-2</v>
      </c>
      <c r="W51" s="102">
        <f t="shared" si="20"/>
        <v>2.5780999999999998E-2</v>
      </c>
      <c r="X51" s="102">
        <f t="shared" si="20"/>
        <v>2.5780999999999998E-2</v>
      </c>
      <c r="Y51" s="102">
        <f t="shared" si="20"/>
        <v>2.5780999999999998E-2</v>
      </c>
      <c r="Z51" s="102">
        <f t="shared" si="20"/>
        <v>2.5780999999999998E-2</v>
      </c>
      <c r="AA51" s="102">
        <f t="shared" si="20"/>
        <v>2.5780999999999998E-2</v>
      </c>
      <c r="AB51" s="102">
        <f t="shared" si="20"/>
        <v>2.5780999999999998E-2</v>
      </c>
      <c r="AC51" s="102">
        <f t="shared" si="20"/>
        <v>2.5780999999999998E-2</v>
      </c>
      <c r="AD51" s="102">
        <f t="shared" si="20"/>
        <v>2.5780999999999998E-2</v>
      </c>
      <c r="AE51" s="102">
        <f>+ROUND(AE49+AE50,5)</f>
        <v>2.5780000000000001E-2</v>
      </c>
      <c r="AF51" s="102">
        <f>+ROUND(AF49+AF50,5)</f>
        <v>2.5780000000000001E-2</v>
      </c>
      <c r="AG51" s="102">
        <f>+ROUND(AG49+AG50,5)</f>
        <v>2.5780000000000001E-2</v>
      </c>
      <c r="AH51" s="102">
        <f>+ROUND(AH49+AH50,5)</f>
        <v>2.5780000000000001E-2</v>
      </c>
      <c r="AI51" s="102">
        <f>+ROUND(AI49+AI50,5)</f>
        <v>2.5780000000000001E-2</v>
      </c>
    </row>
    <row r="52" spans="2:35" x14ac:dyDescent="0.2">
      <c r="B52" s="8"/>
      <c r="J52" s="8"/>
      <c r="L52" s="8"/>
      <c r="R52" s="63"/>
      <c r="T52" s="68"/>
      <c r="U52" s="69">
        <f t="shared" ref="U52:AI52" si="21">+U47/(1+U51)^U48</f>
        <v>0</v>
      </c>
      <c r="V52" s="69">
        <f t="shared" si="21"/>
        <v>0</v>
      </c>
      <c r="W52" s="69">
        <f t="shared" si="21"/>
        <v>0</v>
      </c>
      <c r="X52" s="69">
        <f t="shared" si="21"/>
        <v>0</v>
      </c>
      <c r="Y52" s="69">
        <f t="shared" si="21"/>
        <v>0</v>
      </c>
      <c r="Z52" s="69">
        <f t="shared" si="21"/>
        <v>0</v>
      </c>
      <c r="AA52" s="69">
        <f t="shared" si="21"/>
        <v>0</v>
      </c>
      <c r="AB52" s="69">
        <f t="shared" si="21"/>
        <v>0</v>
      </c>
      <c r="AC52" s="69">
        <f t="shared" si="21"/>
        <v>0</v>
      </c>
      <c r="AD52" s="179">
        <f t="shared" si="21"/>
        <v>0</v>
      </c>
      <c r="AE52" s="69">
        <f t="shared" si="21"/>
        <v>0</v>
      </c>
      <c r="AF52" s="69">
        <f t="shared" si="21"/>
        <v>0</v>
      </c>
      <c r="AG52" s="69">
        <f t="shared" si="21"/>
        <v>0</v>
      </c>
      <c r="AH52" s="69">
        <f t="shared" si="21"/>
        <v>0</v>
      </c>
      <c r="AI52" s="70">
        <f t="shared" si="21"/>
        <v>0</v>
      </c>
    </row>
    <row r="53" spans="2:35" x14ac:dyDescent="0.2">
      <c r="B53" s="8"/>
      <c r="J53" s="8"/>
      <c r="L53" s="8"/>
      <c r="R53" s="63"/>
      <c r="T53" s="68"/>
      <c r="U53" s="13"/>
      <c r="V53" s="13"/>
      <c r="W53" s="13"/>
      <c r="X53" s="13"/>
      <c r="Y53" s="13"/>
      <c r="Z53" s="13"/>
      <c r="AA53" s="13"/>
      <c r="AB53" s="13"/>
      <c r="AC53" s="13"/>
      <c r="AD53" s="13"/>
      <c r="AE53" s="13"/>
      <c r="AF53" s="13"/>
      <c r="AG53" s="13"/>
      <c r="AH53" s="13"/>
      <c r="AI53" s="76"/>
    </row>
    <row r="54" spans="2:35" x14ac:dyDescent="0.2">
      <c r="B54" s="8"/>
      <c r="J54" s="8"/>
      <c r="L54" s="8"/>
      <c r="R54" s="63"/>
      <c r="S54" t="s">
        <v>650</v>
      </c>
      <c r="T54" s="77">
        <f>+SUM(U52:AI52)</f>
        <v>0</v>
      </c>
      <c r="U54" s="13"/>
      <c r="V54" s="13"/>
      <c r="W54" s="13"/>
      <c r="X54" s="13"/>
      <c r="Y54" s="13"/>
      <c r="Z54" s="13"/>
      <c r="AA54" s="13"/>
      <c r="AB54" s="13"/>
      <c r="AC54" s="13"/>
      <c r="AD54" s="13"/>
      <c r="AE54" s="13"/>
      <c r="AF54" s="280"/>
      <c r="AG54" s="13"/>
      <c r="AH54" s="13"/>
      <c r="AI54" s="76"/>
    </row>
    <row r="55" spans="2:35" ht="13.5" thickBot="1" x14ac:dyDescent="0.25">
      <c r="B55" s="8"/>
      <c r="J55" s="8"/>
      <c r="L55" s="8"/>
      <c r="R55" s="78"/>
      <c r="S55" s="79" t="s">
        <v>1331</v>
      </c>
      <c r="T55" s="80" t="e">
        <f>+SUMPRODUCT(U48:AI48,U52:AI52)/T54</f>
        <v>#DIV/0!</v>
      </c>
      <c r="U55" s="79"/>
      <c r="V55" s="79"/>
      <c r="W55" s="79"/>
      <c r="X55" s="79"/>
      <c r="Y55" s="79"/>
      <c r="Z55" s="79"/>
      <c r="AA55" s="79"/>
      <c r="AB55" s="79"/>
      <c r="AC55" s="79"/>
      <c r="AD55" s="79"/>
      <c r="AE55" s="79"/>
      <c r="AF55" s="79"/>
      <c r="AG55" s="79"/>
      <c r="AH55" s="79"/>
      <c r="AI55" s="81"/>
    </row>
    <row r="56" spans="2:35" x14ac:dyDescent="0.2">
      <c r="B56" s="8"/>
      <c r="J56" s="8"/>
      <c r="L56" s="8"/>
    </row>
    <row r="57" spans="2:35" x14ac:dyDescent="0.2">
      <c r="B57" s="8"/>
      <c r="G57" s="1646"/>
      <c r="H57" s="1647"/>
      <c r="J57" s="8"/>
      <c r="L57" s="8"/>
    </row>
    <row r="58" spans="2:35" ht="13.5" thickBot="1" x14ac:dyDescent="0.25">
      <c r="J58" s="8"/>
      <c r="L58" s="8"/>
    </row>
    <row r="59" spans="2:35" ht="15.75" x14ac:dyDescent="0.25">
      <c r="J59" s="8"/>
      <c r="L59" s="8"/>
      <c r="R59" s="82" t="s">
        <v>1854</v>
      </c>
      <c r="S59" s="59"/>
      <c r="T59" s="60" t="s">
        <v>103</v>
      </c>
      <c r="U59" s="61">
        <f>+U1</f>
        <v>46107</v>
      </c>
      <c r="V59" s="59"/>
      <c r="W59" s="59"/>
      <c r="X59" s="59"/>
      <c r="Y59" s="59"/>
      <c r="Z59" s="59"/>
      <c r="AA59" s="59"/>
      <c r="AB59" s="59"/>
      <c r="AC59" s="59"/>
      <c r="AD59" s="59"/>
      <c r="AE59" s="59"/>
      <c r="AF59" s="59"/>
      <c r="AG59" s="59"/>
      <c r="AH59" s="59"/>
      <c r="AI59" s="62"/>
    </row>
    <row r="60" spans="2:35" x14ac:dyDescent="0.2">
      <c r="J60" s="8"/>
      <c r="L60" s="8"/>
      <c r="R60" s="63"/>
      <c r="T60" s="64" t="s">
        <v>105</v>
      </c>
      <c r="U60" s="13">
        <f>3.96%+1.5%</f>
        <v>5.4599999999999996E-2</v>
      </c>
      <c r="V60" s="13"/>
      <c r="AI60" s="65"/>
    </row>
    <row r="61" spans="2:35" x14ac:dyDescent="0.2">
      <c r="J61" s="8"/>
      <c r="L61" s="8"/>
      <c r="R61" s="63"/>
      <c r="T61" s="66">
        <v>38202</v>
      </c>
      <c r="U61" s="8">
        <v>38567</v>
      </c>
      <c r="V61" s="66">
        <v>38932</v>
      </c>
      <c r="W61" s="8">
        <v>39297</v>
      </c>
      <c r="X61" s="66">
        <v>39663</v>
      </c>
      <c r="Y61" s="8">
        <v>40028</v>
      </c>
      <c r="Z61" s="66">
        <v>40393</v>
      </c>
      <c r="AA61" s="8">
        <v>40758</v>
      </c>
      <c r="AB61" s="66"/>
      <c r="AC61" s="8"/>
      <c r="AD61" s="66"/>
      <c r="AE61" s="8"/>
      <c r="AF61" s="66"/>
      <c r="AG61" s="8"/>
      <c r="AH61" s="66"/>
      <c r="AI61" s="8"/>
    </row>
    <row r="62" spans="2:35" x14ac:dyDescent="0.2">
      <c r="J62" s="8"/>
      <c r="L62" s="8"/>
      <c r="R62" s="63"/>
      <c r="S62" t="s">
        <v>1318</v>
      </c>
      <c r="T62" s="68"/>
      <c r="U62" s="69">
        <f t="shared" ref="U62:AA62" si="22">+ROUND($T$63/7,2)</f>
        <v>14285.71</v>
      </c>
      <c r="V62" s="69">
        <f t="shared" si="22"/>
        <v>14285.71</v>
      </c>
      <c r="W62" s="69">
        <f t="shared" si="22"/>
        <v>14285.71</v>
      </c>
      <c r="X62" s="69">
        <f t="shared" si="22"/>
        <v>14285.71</v>
      </c>
      <c r="Y62" s="69">
        <f t="shared" si="22"/>
        <v>14285.71</v>
      </c>
      <c r="Z62" s="69">
        <f t="shared" si="22"/>
        <v>14285.71</v>
      </c>
      <c r="AA62" s="69">
        <f t="shared" si="22"/>
        <v>14285.71</v>
      </c>
      <c r="AB62" s="69"/>
      <c r="AC62" s="69"/>
      <c r="AD62" s="69"/>
      <c r="AE62" s="69"/>
      <c r="AF62" s="69"/>
      <c r="AG62" s="69"/>
      <c r="AH62" s="69"/>
      <c r="AI62" s="70"/>
    </row>
    <row r="63" spans="2:35" x14ac:dyDescent="0.2">
      <c r="J63" s="8"/>
      <c r="L63" s="8"/>
      <c r="R63" s="63"/>
      <c r="S63" t="s">
        <v>1320</v>
      </c>
      <c r="T63" s="69">
        <v>100000</v>
      </c>
      <c r="U63" s="23">
        <f t="shared" ref="U63:Z63" si="23">+T63-U62</f>
        <v>85714.290000000008</v>
      </c>
      <c r="V63" s="23">
        <f t="shared" si="23"/>
        <v>71428.580000000016</v>
      </c>
      <c r="W63" s="23">
        <f t="shared" si="23"/>
        <v>57142.870000000017</v>
      </c>
      <c r="X63" s="23">
        <f t="shared" si="23"/>
        <v>42857.160000000018</v>
      </c>
      <c r="Y63" s="23">
        <f t="shared" si="23"/>
        <v>28571.450000000019</v>
      </c>
      <c r="Z63" s="23">
        <f t="shared" si="23"/>
        <v>14285.74000000002</v>
      </c>
      <c r="AA63" s="23">
        <f>+Z63-AA62</f>
        <v>3.000000002066372E-2</v>
      </c>
      <c r="AB63" s="23"/>
      <c r="AC63" s="23"/>
      <c r="AD63" s="23"/>
      <c r="AE63" s="23"/>
      <c r="AF63" s="23"/>
      <c r="AG63" s="23"/>
      <c r="AH63" s="23"/>
      <c r="AI63" s="71"/>
    </row>
    <row r="64" spans="2:35" x14ac:dyDescent="0.2">
      <c r="R64" s="63"/>
      <c r="S64" t="s">
        <v>1321</v>
      </c>
      <c r="T64" s="68"/>
      <c r="U64" s="25">
        <f>+$U$60*T63</f>
        <v>5460</v>
      </c>
      <c r="V64" s="25">
        <f>+$U$60*U63</f>
        <v>4680.0002340000001</v>
      </c>
      <c r="W64" s="25">
        <f>+$U$60*V63</f>
        <v>3900.0004680000006</v>
      </c>
      <c r="X64" s="25">
        <f>+ROUND($U$60*W63,2)</f>
        <v>3120</v>
      </c>
      <c r="Y64" s="25">
        <f>+ROUND($U$60*X63,2)</f>
        <v>2340</v>
      </c>
      <c r="Z64" s="25">
        <f>+ROUND($U$60*Y63,2)</f>
        <v>1560</v>
      </c>
      <c r="AA64" s="25">
        <f>+ROUND($U$60*Z63,2)</f>
        <v>780</v>
      </c>
      <c r="AB64" s="25"/>
      <c r="AC64" s="25"/>
      <c r="AD64" s="25"/>
      <c r="AE64" s="25"/>
      <c r="AF64" s="25"/>
      <c r="AG64" s="25"/>
      <c r="AH64" s="25"/>
      <c r="AI64" s="25"/>
    </row>
    <row r="65" spans="3:35" x14ac:dyDescent="0.2">
      <c r="R65" s="63"/>
      <c r="S65" t="s">
        <v>1322</v>
      </c>
      <c r="T65" s="68"/>
      <c r="U65" s="25">
        <f t="shared" ref="U65:AA65" si="24">+U64+U62</f>
        <v>19745.71</v>
      </c>
      <c r="V65" s="25">
        <f t="shared" si="24"/>
        <v>18965.710233999998</v>
      </c>
      <c r="W65" s="25">
        <f t="shared" si="24"/>
        <v>18185.710468000001</v>
      </c>
      <c r="X65" s="25">
        <f t="shared" si="24"/>
        <v>17405.71</v>
      </c>
      <c r="Y65" s="25">
        <f t="shared" si="24"/>
        <v>16625.71</v>
      </c>
      <c r="Z65" s="25">
        <f t="shared" si="24"/>
        <v>15845.71</v>
      </c>
      <c r="AA65" s="25">
        <f t="shared" si="24"/>
        <v>15065.71</v>
      </c>
      <c r="AB65" s="25"/>
      <c r="AC65" s="25"/>
      <c r="AD65" s="25"/>
      <c r="AE65" s="25"/>
      <c r="AF65" s="25"/>
      <c r="AG65" s="25"/>
      <c r="AH65" s="25"/>
      <c r="AI65" s="72"/>
    </row>
    <row r="66" spans="3:35" x14ac:dyDescent="0.2">
      <c r="R66" s="63"/>
      <c r="S66" t="s">
        <v>1323</v>
      </c>
      <c r="T66" s="69"/>
      <c r="U66" s="25">
        <f t="shared" ref="U66:AA66" si="25">+IF(U61&gt;$U$1,U65,0)</f>
        <v>0</v>
      </c>
      <c r="V66" s="25">
        <f t="shared" si="25"/>
        <v>0</v>
      </c>
      <c r="W66" s="25">
        <f t="shared" si="25"/>
        <v>0</v>
      </c>
      <c r="X66" s="25">
        <f t="shared" si="25"/>
        <v>0</v>
      </c>
      <c r="Y66" s="25">
        <f t="shared" si="25"/>
        <v>0</v>
      </c>
      <c r="Z66" s="25">
        <f t="shared" si="25"/>
        <v>0</v>
      </c>
      <c r="AA66" s="25">
        <f t="shared" si="25"/>
        <v>0</v>
      </c>
      <c r="AB66" s="25"/>
      <c r="AC66" s="25"/>
      <c r="AD66" s="25"/>
      <c r="AE66" s="25"/>
      <c r="AF66" s="25"/>
      <c r="AG66" s="25"/>
      <c r="AH66" s="25"/>
      <c r="AI66" s="72"/>
    </row>
    <row r="67" spans="3:35" x14ac:dyDescent="0.2">
      <c r="R67" s="63"/>
      <c r="S67" t="s">
        <v>1324</v>
      </c>
      <c r="T67" s="73"/>
      <c r="U67">
        <f t="shared" ref="U67:AA67" si="26">+IF(T66=0,(U61-$U$1)/(U61-T61),T67+1)</f>
        <v>-20.657534246575342</v>
      </c>
      <c r="V67">
        <f t="shared" si="26"/>
        <v>-19.657534246575342</v>
      </c>
      <c r="W67">
        <f t="shared" si="26"/>
        <v>-18.657534246575342</v>
      </c>
      <c r="X67">
        <f t="shared" si="26"/>
        <v>-17.606557377049182</v>
      </c>
      <c r="Y67">
        <f t="shared" si="26"/>
        <v>-16.654794520547945</v>
      </c>
      <c r="Z67">
        <f t="shared" si="26"/>
        <v>-15.654794520547945</v>
      </c>
      <c r="AA67">
        <f t="shared" si="26"/>
        <v>-14.654794520547945</v>
      </c>
    </row>
    <row r="68" spans="3:35" x14ac:dyDescent="0.2">
      <c r="D68" s="1648" t="s">
        <v>2769</v>
      </c>
      <c r="E68" s="1649"/>
      <c r="F68" s="1649"/>
      <c r="G68" s="1649"/>
      <c r="H68" s="1649"/>
      <c r="I68" s="1649"/>
      <c r="J68" s="1649"/>
      <c r="K68" s="1649"/>
      <c r="L68" s="1649"/>
      <c r="M68" s="8">
        <v>43830</v>
      </c>
      <c r="R68" s="63"/>
      <c r="S68" s="29" t="s">
        <v>1325</v>
      </c>
      <c r="T68" s="68"/>
      <c r="U68" s="68" cm="1">
        <f t="array" ref="U68">IF(U67&lt;1,interpoler(mat_court,taux_court_act,U67*(U61-T61)),interpoler(mat,taux,U67))</f>
        <v>2.3281430422376737E-2</v>
      </c>
      <c r="V68" s="68" cm="1">
        <f t="array" ref="V68">IF(V67&lt;1,interpoler(mat_court,taux_court_act,V67*(V61-U61)),interpoler(mat,taux,V67))</f>
        <v>2.3281430422376737E-2</v>
      </c>
      <c r="W68" s="68" cm="1">
        <f t="array" ref="W68">IF(W67&lt;1,interpoler(mat_court,taux_court_act,W67*(W61-V61)),interpoler(mat,taux,W67))</f>
        <v>2.3281430422376737E-2</v>
      </c>
      <c r="X68" s="68" cm="1">
        <f t="array" ref="X68">IF(X67&lt;1,interpoler(mat_court,taux_court_act,X67*(X61-W61)),interpoler(mat,taux,X67))</f>
        <v>2.3281430422376737E-2</v>
      </c>
      <c r="Y68" s="68" cm="1">
        <f t="array" ref="Y68">IF(Y67&lt;1,interpoler(mat_court,taux_court_act,Y67*(Y61-X61)),interpoler(mat,taux,Y67))</f>
        <v>2.3281430422376737E-2</v>
      </c>
      <c r="Z68" s="68" cm="1">
        <f t="array" ref="Z68">IF(Z67&lt;1,interpoler(mat_court,taux_court_act,Z67*(Z61-Y61)),interpoler(mat,taux,Z67))</f>
        <v>2.3281430422376737E-2</v>
      </c>
      <c r="AA68" s="68" cm="1">
        <f t="array" ref="AA68">IF(AA67&lt;1,interpoler(mat_court,taux_court_act,AA67*(AA61-Z61)),interpoler(mat,taux,AA67))</f>
        <v>2.3281430422376737E-2</v>
      </c>
      <c r="AB68" s="68"/>
      <c r="AC68" s="68"/>
      <c r="AD68" s="68"/>
      <c r="AE68" s="68"/>
      <c r="AF68" s="68"/>
      <c r="AG68" s="68"/>
      <c r="AH68" s="68"/>
      <c r="AI68" s="74"/>
    </row>
    <row r="69" spans="3:35" ht="13.5" thickBot="1" x14ac:dyDescent="0.25">
      <c r="R69" s="63"/>
      <c r="S69" t="s">
        <v>1328</v>
      </c>
      <c r="T69" s="68"/>
      <c r="U69" s="29">
        <v>1.4999999999999999E-2</v>
      </c>
      <c r="V69" s="29">
        <f t="shared" ref="V69:AA69" si="27">+U69</f>
        <v>1.4999999999999999E-2</v>
      </c>
      <c r="W69" s="29">
        <f t="shared" si="27"/>
        <v>1.4999999999999999E-2</v>
      </c>
      <c r="X69" s="29">
        <f t="shared" si="27"/>
        <v>1.4999999999999999E-2</v>
      </c>
      <c r="Y69" s="29">
        <f t="shared" si="27"/>
        <v>1.4999999999999999E-2</v>
      </c>
      <c r="Z69" s="29">
        <f t="shared" si="27"/>
        <v>1.4999999999999999E-2</v>
      </c>
      <c r="AA69" s="29">
        <f t="shared" si="27"/>
        <v>1.4999999999999999E-2</v>
      </c>
      <c r="AB69" s="29"/>
      <c r="AC69" s="29"/>
      <c r="AD69" s="29"/>
      <c r="AE69" s="29"/>
      <c r="AF69" s="29"/>
      <c r="AG69" s="29"/>
      <c r="AH69" s="29"/>
      <c r="AI69" s="75"/>
    </row>
    <row r="70" spans="3:35" ht="16.5" thickBot="1" x14ac:dyDescent="0.3">
      <c r="D70" s="3"/>
      <c r="E70" s="4" t="s">
        <v>96</v>
      </c>
      <c r="F70" s="946" t="s">
        <v>97</v>
      </c>
      <c r="G70" s="181" t="s">
        <v>100</v>
      </c>
      <c r="H70" s="6" t="s">
        <v>101</v>
      </c>
      <c r="K70" s="1645" t="s">
        <v>102</v>
      </c>
      <c r="L70" s="1645"/>
      <c r="R70" s="63"/>
      <c r="S70" t="s">
        <v>1329</v>
      </c>
      <c r="T70" s="68"/>
      <c r="U70" s="13">
        <f t="shared" ref="U70:AA70" si="28">+ROUND(U68+U69,6)</f>
        <v>3.8281000000000003E-2</v>
      </c>
      <c r="V70" s="13">
        <f t="shared" si="28"/>
        <v>3.8281000000000003E-2</v>
      </c>
      <c r="W70" s="13">
        <f t="shared" si="28"/>
        <v>3.8281000000000003E-2</v>
      </c>
      <c r="X70" s="248">
        <f t="shared" si="28"/>
        <v>3.8281000000000003E-2</v>
      </c>
      <c r="Y70" s="13">
        <f t="shared" si="28"/>
        <v>3.8281000000000003E-2</v>
      </c>
      <c r="Z70" s="13">
        <f t="shared" si="28"/>
        <v>3.8281000000000003E-2</v>
      </c>
      <c r="AA70" s="13">
        <f t="shared" si="28"/>
        <v>3.8281000000000003E-2</v>
      </c>
      <c r="AB70" s="13"/>
      <c r="AC70" s="13"/>
      <c r="AD70" s="13"/>
      <c r="AE70" s="13"/>
      <c r="AF70" s="13"/>
      <c r="AG70" s="13"/>
      <c r="AH70" s="13"/>
      <c r="AI70" s="76"/>
    </row>
    <row r="71" spans="3:35" ht="15.75" x14ac:dyDescent="0.25">
      <c r="D71" s="948">
        <v>1</v>
      </c>
      <c r="E71" s="9" t="s">
        <v>104</v>
      </c>
      <c r="F71" s="57">
        <f>+IF(D71&gt;366,interpoler('Courbe des taux'!$D$2:$D$48,'Courbe des taux'!$E$2:$E$49,D71),interpoler(_mat1,taux1,D71))</f>
        <v>2.2700000000000001E-2</v>
      </c>
      <c r="G71" s="106">
        <f>F71</f>
        <v>2.2700000000000001E-2</v>
      </c>
      <c r="H71" s="10"/>
      <c r="K71" s="672" t="s">
        <v>368</v>
      </c>
      <c r="L71" s="50" t="s">
        <v>105</v>
      </c>
      <c r="R71" s="63"/>
      <c r="T71" s="68"/>
      <c r="U71" s="69">
        <f t="shared" ref="U71:AA71" si="29">+U66/(1+U70)^U67</f>
        <v>0</v>
      </c>
      <c r="V71" s="69">
        <f t="shared" si="29"/>
        <v>0</v>
      </c>
      <c r="W71" s="69">
        <f t="shared" si="29"/>
        <v>0</v>
      </c>
      <c r="X71" s="249">
        <f t="shared" si="29"/>
        <v>0</v>
      </c>
      <c r="Y71" s="69">
        <f t="shared" si="29"/>
        <v>0</v>
      </c>
      <c r="Z71" s="69">
        <f t="shared" si="29"/>
        <v>0</v>
      </c>
      <c r="AA71" s="69">
        <f t="shared" si="29"/>
        <v>0</v>
      </c>
      <c r="AB71" s="69"/>
      <c r="AC71" s="69"/>
      <c r="AD71" s="69"/>
      <c r="AE71" s="69"/>
      <c r="AF71" s="69"/>
      <c r="AG71" s="69"/>
      <c r="AH71" s="69"/>
      <c r="AI71" s="70"/>
    </row>
    <row r="72" spans="3:35" ht="15.75" x14ac:dyDescent="0.25">
      <c r="D72" s="948">
        <v>91</v>
      </c>
      <c r="E72" s="9" t="s">
        <v>106</v>
      </c>
      <c r="F72" s="57">
        <f>+IF(D72&gt;366,interpoler('Courbe des taux'!$D$2:$D$48,'Courbe des taux'!$E$2:$E$49,D72),interpoler(_mat1,taux1,D72))</f>
        <v>2.299230769230769E-2</v>
      </c>
      <c r="G72" s="104">
        <f>F72</f>
        <v>2.299230769230769E-2</v>
      </c>
      <c r="H72" s="10"/>
      <c r="J72" s="255">
        <f>K72*365</f>
        <v>91</v>
      </c>
      <c r="K72" s="1041">
        <f>91/365</f>
        <v>0.24931506849315069</v>
      </c>
      <c r="L72" s="950" cm="1">
        <f t="array" ref="L72">+(1+G72*J72/360)^(base_calcul(DateVariable,J72)/J72)-1</f>
        <v>2.3516414539908714E-2</v>
      </c>
      <c r="R72" s="63"/>
      <c r="T72" s="68"/>
      <c r="U72" s="13"/>
      <c r="V72" s="13"/>
      <c r="W72" s="13"/>
      <c r="X72" s="13"/>
      <c r="Y72" s="13"/>
      <c r="Z72" s="13"/>
      <c r="AA72" s="13"/>
      <c r="AB72" s="13"/>
      <c r="AC72" s="13"/>
      <c r="AD72" s="13"/>
      <c r="AE72" s="13"/>
      <c r="AF72" s="13"/>
      <c r="AG72" s="13"/>
      <c r="AH72" s="13"/>
      <c r="AI72" s="76"/>
    </row>
    <row r="73" spans="3:35" ht="15.75" x14ac:dyDescent="0.25">
      <c r="D73" s="948">
        <v>182</v>
      </c>
      <c r="E73" s="9" t="s">
        <v>1317</v>
      </c>
      <c r="F73" s="57">
        <f>+IF(D73&gt;366,interpoler('Courbe des taux'!$D$2:$D$48,'Courbe des taux'!$E$2:$E$49,D73),interpoler(_mat1,taux1,D73))</f>
        <v>2.3650549450549448E-2</v>
      </c>
      <c r="G73" s="107">
        <f>F73</f>
        <v>2.3650549450549448E-2</v>
      </c>
      <c r="H73" s="10"/>
      <c r="I73" s="49"/>
      <c r="J73" s="255">
        <f t="shared" ref="J73:J104" si="30">K73*365</f>
        <v>182</v>
      </c>
      <c r="K73" s="1041">
        <f>182/365</f>
        <v>0.49863013698630138</v>
      </c>
      <c r="L73" s="950" cm="1">
        <f t="array" ref="L73">+(1+G73*J73/360)^(base_calcul(DateVariable,J73)/J73)-1</f>
        <v>2.4123174744205222E-2</v>
      </c>
      <c r="M73" s="52"/>
      <c r="R73" s="63"/>
      <c r="S73" t="s">
        <v>650</v>
      </c>
      <c r="T73" s="77">
        <f>+SUM(U71:AI71)</f>
        <v>0</v>
      </c>
      <c r="U73" s="13"/>
      <c r="V73" s="13"/>
      <c r="W73" s="13"/>
      <c r="X73" s="13"/>
      <c r="Y73" s="13"/>
      <c r="Z73" s="13"/>
      <c r="AA73" s="13"/>
      <c r="AB73" s="13"/>
      <c r="AC73" s="13"/>
      <c r="AD73" s="13"/>
      <c r="AE73" s="13"/>
      <c r="AF73" s="13"/>
      <c r="AG73" s="13"/>
      <c r="AH73" s="13"/>
      <c r="AI73" s="76"/>
    </row>
    <row r="74" spans="3:35" ht="16.5" thickBot="1" x14ac:dyDescent="0.3">
      <c r="D74" s="948">
        <v>364</v>
      </c>
      <c r="E74" s="9" t="s">
        <v>1319</v>
      </c>
      <c r="F74" s="57">
        <f>+IF(D74&gt;366,interpoler('Courbe des taux'!$D$2:$D$48,'Courbe des taux'!$E$2:$E$49,D74),interpoler(_mat1,taux1,D74))</f>
        <v>2.4793646861751152E-2</v>
      </c>
      <c r="G74" s="107">
        <f>F74</f>
        <v>2.4793646861751152E-2</v>
      </c>
      <c r="H74" s="10"/>
      <c r="I74" s="1026"/>
      <c r="J74" s="255">
        <v>366</v>
      </c>
      <c r="K74" s="1041">
        <v>1</v>
      </c>
      <c r="L74" s="1019">
        <f>ROUND(G75,10)</f>
        <v>2.5148336600000001E-2</v>
      </c>
      <c r="M74" s="49"/>
      <c r="R74" s="78"/>
      <c r="S74" s="79" t="s">
        <v>1331</v>
      </c>
      <c r="T74" s="80" t="e">
        <f>+SUMPRODUCT(U67:AI67,U71:AI71)/T73</f>
        <v>#DIV/0!</v>
      </c>
      <c r="U74" s="79"/>
      <c r="V74" s="79"/>
      <c r="W74" s="79"/>
      <c r="X74" s="79"/>
      <c r="Y74" s="79"/>
      <c r="Z74" s="79"/>
      <c r="AA74" s="79"/>
      <c r="AB74" s="79"/>
      <c r="AC74" s="79"/>
      <c r="AD74" s="79"/>
      <c r="AE74" s="79"/>
      <c r="AF74" s="79"/>
      <c r="AG74" s="79"/>
      <c r="AH74" s="79"/>
      <c r="AI74" s="81"/>
    </row>
    <row r="75" spans="3:35" ht="15.75" x14ac:dyDescent="0.25">
      <c r="D75" s="948">
        <v>366</v>
      </c>
      <c r="E75" s="9">
        <v>1</v>
      </c>
      <c r="F75" s="1059">
        <f>IF(D75&gt;366,interpoler(_mat2,taux2,D75),interpoler(_mat1,taux1,D75))</f>
        <v>2.4803838801843319E-2</v>
      </c>
      <c r="G75" s="1062">
        <f>(1+F75*CIH!D6/360)^(base_calcul(CIH!$B$4,CIH!D6)/CIH!D6)-1</f>
        <v>2.51483365629801E-2</v>
      </c>
      <c r="H75" s="1061">
        <f>1/(1+G75)^E75</f>
        <v>0.97546858765113442</v>
      </c>
      <c r="I75" s="570"/>
      <c r="J75" s="255">
        <f t="shared" si="30"/>
        <v>730</v>
      </c>
      <c r="K75" s="1041">
        <v>2</v>
      </c>
      <c r="L75" s="1019">
        <f>ROUND(G76,10)</f>
        <v>2.67021502E-2</v>
      </c>
      <c r="M75" s="49"/>
      <c r="N75" s="243"/>
      <c r="O75" s="243"/>
      <c r="Q75" s="96"/>
      <c r="T75">
        <f>+ROUND((U59-T61)/365*U60*T63,2)</f>
        <v>118250.14</v>
      </c>
      <c r="U75" s="23">
        <f>+T73-T75</f>
        <v>-118250.14</v>
      </c>
    </row>
    <row r="76" spans="3:35" ht="15.75" x14ac:dyDescent="0.25">
      <c r="C76" s="52"/>
      <c r="D76" s="948">
        <f t="shared" ref="D76:D104" si="31">+ajouter($B$4,E76)-$B$4</f>
        <v>731</v>
      </c>
      <c r="E76" s="9">
        <v>2</v>
      </c>
      <c r="F76" s="966">
        <f>+IF(D76&gt;366,interpoler('Courbe des taux'!$D$2:$D$48,'Courbe des taux'!$E$2:$E$49,D76),interpoler(_mat1,taux1,D76))</f>
        <v>2.6681663113006397E-2</v>
      </c>
      <c r="G76" s="104">
        <f>((1+F76)/(1-F76*SUM(H$71:H75)))^(1/E76)-1</f>
        <v>2.6702150173492756E-2</v>
      </c>
      <c r="H76" s="14">
        <f t="shared" ref="H76:H103" si="32">1/(1+G76)^E76</f>
        <v>0.94866102197031976</v>
      </c>
      <c r="I76" s="570"/>
      <c r="J76" s="255">
        <f t="shared" si="30"/>
        <v>1095</v>
      </c>
      <c r="K76" s="1041">
        <v>3</v>
      </c>
      <c r="L76" s="1019">
        <f t="shared" ref="L76:L103" si="33">ROUND(G77,10)</f>
        <v>2.8257040899999999E-2</v>
      </c>
      <c r="M76" s="49"/>
      <c r="N76" s="52"/>
      <c r="O76" s="52"/>
      <c r="Q76" s="96"/>
      <c r="T76" s="23">
        <f>(T75+T63*99.9%)</f>
        <v>218150.14</v>
      </c>
    </row>
    <row r="77" spans="3:35" ht="16.5" thickBot="1" x14ac:dyDescent="0.3">
      <c r="C77" s="13"/>
      <c r="D77" s="948">
        <f t="shared" si="31"/>
        <v>1096</v>
      </c>
      <c r="E77" s="9">
        <v>3</v>
      </c>
      <c r="F77" s="1060">
        <f>+IF(D77&gt;366,interpoler('Courbe des taux'!$D$2:$D$48,'Courbe des taux'!$E$2:$E$49,D77),interpoler(_mat1,taux1,D77))</f>
        <v>2.8199253731343285E-2</v>
      </c>
      <c r="G77" s="104">
        <f>((1+F77)/(1-F77*SUM(H$71:H76)))^(1/E77)-1</f>
        <v>2.825704092895287E-2</v>
      </c>
      <c r="H77" s="14">
        <f t="shared" si="32"/>
        <v>0.91980321663742948</v>
      </c>
      <c r="I77" s="570"/>
      <c r="J77" s="255">
        <f t="shared" si="30"/>
        <v>1460</v>
      </c>
      <c r="K77" s="1041">
        <v>4</v>
      </c>
      <c r="L77" s="1019">
        <f t="shared" si="33"/>
        <v>2.9831980599999999E-2</v>
      </c>
      <c r="M77" s="49"/>
      <c r="T77" s="23">
        <f>+T76+53.5</f>
        <v>218203.64</v>
      </c>
    </row>
    <row r="78" spans="3:35" ht="15.75" x14ac:dyDescent="0.25">
      <c r="C78" s="96"/>
      <c r="D78" s="948">
        <f>+ajouter($B$4,E78)-$B$4</f>
        <v>1461</v>
      </c>
      <c r="E78" s="9">
        <v>4</v>
      </c>
      <c r="F78" s="57">
        <f>+IF(D78&gt;366,interpoler('Courbe des taux'!$D$2:$D$48,'Courbe des taux'!$E$2:$E$49,D78),interpoler(_mat1,taux1,D78))</f>
        <v>2.9716844349680169E-2</v>
      </c>
      <c r="G78" s="104">
        <f>((1+F78)/(1-F78*SUM(H$71:H77)))^(1/E78)-1</f>
        <v>2.9831980594868357E-2</v>
      </c>
      <c r="H78" s="14">
        <f>1/(1+G78)^E78</f>
        <v>0.88906702447826413</v>
      </c>
      <c r="I78" s="570"/>
      <c r="J78" s="255">
        <f t="shared" si="30"/>
        <v>1825</v>
      </c>
      <c r="K78" s="1041">
        <v>5</v>
      </c>
      <c r="L78" s="1019">
        <f t="shared" si="33"/>
        <v>3.0909142699999999E-2</v>
      </c>
      <c r="M78" s="52"/>
      <c r="N78" s="49"/>
      <c r="O78" s="49"/>
      <c r="R78" s="82" t="s">
        <v>837</v>
      </c>
      <c r="S78" s="59"/>
      <c r="T78" s="60" t="s">
        <v>103</v>
      </c>
      <c r="U78" s="61">
        <f>+U1</f>
        <v>46107</v>
      </c>
      <c r="V78" s="59"/>
      <c r="W78" s="59"/>
      <c r="X78" s="59"/>
      <c r="Y78" s="59"/>
      <c r="Z78" s="59"/>
      <c r="AA78" s="59"/>
      <c r="AB78" s="59"/>
      <c r="AC78" s="59"/>
      <c r="AD78" s="59"/>
      <c r="AE78" s="59"/>
      <c r="AF78" s="59"/>
      <c r="AG78" s="59"/>
      <c r="AH78" s="59"/>
      <c r="AI78" s="62"/>
    </row>
    <row r="79" spans="3:35" ht="15.75" x14ac:dyDescent="0.25">
      <c r="D79" s="948">
        <f>+ajouter($B$4,E79)-$B$4</f>
        <v>1826</v>
      </c>
      <c r="E79" s="9">
        <v>5</v>
      </c>
      <c r="F79" s="57">
        <f>+IF(D79&gt;366,interpoler('Courbe des taux'!$D$2:$D$48,'Courbe des taux'!$E$2:$E$49,D79),interpoler(_mat1,taux1,D79))</f>
        <v>3.0747802197802199E-2</v>
      </c>
      <c r="G79" s="1018">
        <f>((1+F79)/(1-F79*SUM(H$71:H78)))^(1/E79)-1</f>
        <v>3.0909142657711497E-2</v>
      </c>
      <c r="H79" s="14">
        <f t="shared" si="32"/>
        <v>0.85881188113873275</v>
      </c>
      <c r="I79" s="570"/>
      <c r="J79" s="255">
        <f t="shared" si="30"/>
        <v>2190</v>
      </c>
      <c r="K79" s="1041">
        <v>6</v>
      </c>
      <c r="L79" s="1019">
        <f t="shared" si="33"/>
        <v>3.1433249500000003E-2</v>
      </c>
      <c r="M79" s="52"/>
      <c r="R79" s="63"/>
      <c r="T79" s="64" t="s">
        <v>105</v>
      </c>
      <c r="U79" s="13">
        <v>4.5999999999999999E-2</v>
      </c>
      <c r="V79" s="13"/>
      <c r="AI79" s="65"/>
    </row>
    <row r="80" spans="3:35" ht="15.75" x14ac:dyDescent="0.25">
      <c r="D80" s="948">
        <f t="shared" si="31"/>
        <v>2192</v>
      </c>
      <c r="E80" s="9">
        <v>6</v>
      </c>
      <c r="F80" s="1054">
        <f>+IF(D80&gt;366,interpoler('Courbe des taux'!$D$2:$D$48,'Courbe des taux'!$E$2:$E$49,D80),interpoler(_mat1,taux1,D80))</f>
        <v>3.1254783748361728E-2</v>
      </c>
      <c r="G80" s="104">
        <f>((1+F80)/(1-F80*SUM(H$71:H79)))^(1/E80)-1</f>
        <v>3.143324947740278E-2</v>
      </c>
      <c r="H80" s="14">
        <f t="shared" si="32"/>
        <v>0.83052600657416298</v>
      </c>
      <c r="I80" s="570"/>
      <c r="J80" s="255">
        <f t="shared" si="30"/>
        <v>2555</v>
      </c>
      <c r="K80" s="1041">
        <v>7</v>
      </c>
      <c r="L80" s="1019">
        <f t="shared" si="33"/>
        <v>3.1937128600000003E-2</v>
      </c>
      <c r="M80" s="52"/>
      <c r="R80" s="63"/>
      <c r="T80" s="66">
        <v>38293</v>
      </c>
      <c r="U80" s="8">
        <v>38658</v>
      </c>
      <c r="V80" s="66">
        <v>39023</v>
      </c>
      <c r="W80" s="8">
        <v>39388</v>
      </c>
      <c r="X80" s="66">
        <v>39754</v>
      </c>
      <c r="Y80" s="8">
        <v>40119</v>
      </c>
      <c r="Z80" s="66"/>
      <c r="AA80" s="8"/>
      <c r="AB80" s="66"/>
      <c r="AC80" s="8"/>
      <c r="AD80" s="66"/>
      <c r="AE80" s="8"/>
      <c r="AF80" s="66"/>
      <c r="AG80" s="8"/>
      <c r="AH80" s="66"/>
      <c r="AI80" s="67"/>
    </row>
    <row r="81" spans="3:35" ht="15.75" x14ac:dyDescent="0.25">
      <c r="D81" s="948">
        <f t="shared" si="31"/>
        <v>2557</v>
      </c>
      <c r="E81" s="9">
        <v>7</v>
      </c>
      <c r="F81" s="57">
        <f>+IF(D81&gt;366,interpoler('Courbe des taux'!$D$2:$D$48,'Courbe des taux'!$E$2:$E$49,D81),interpoler(_mat1,taux1,D81))</f>
        <v>3.1733158584534731E-2</v>
      </c>
      <c r="G81" s="104">
        <f>((1+F81)/(1-F81*SUM(H$71:H80)))^(1/E81)-1</f>
        <v>3.1937128610631582E-2</v>
      </c>
      <c r="H81" s="14">
        <f t="shared" si="32"/>
        <v>0.80246727533960649</v>
      </c>
      <c r="I81" s="570"/>
      <c r="J81" s="255">
        <f t="shared" si="30"/>
        <v>2920</v>
      </c>
      <c r="K81" s="1041">
        <v>8</v>
      </c>
      <c r="L81" s="1019">
        <f t="shared" si="33"/>
        <v>3.2451106100000002E-2</v>
      </c>
      <c r="M81" s="52"/>
      <c r="R81" s="63"/>
      <c r="S81" t="s">
        <v>1318</v>
      </c>
      <c r="T81" s="68"/>
      <c r="U81" s="69">
        <v>20000</v>
      </c>
      <c r="V81" s="69">
        <v>20000</v>
      </c>
      <c r="W81" s="69">
        <v>20000</v>
      </c>
      <c r="X81" s="69">
        <v>20000</v>
      </c>
      <c r="Y81" s="69">
        <v>20000</v>
      </c>
      <c r="Z81" s="69"/>
      <c r="AA81" s="69"/>
      <c r="AB81" s="69"/>
      <c r="AC81" s="69"/>
      <c r="AD81" s="69"/>
      <c r="AE81" s="69"/>
      <c r="AF81" s="69"/>
      <c r="AG81" s="69"/>
      <c r="AH81" s="69"/>
      <c r="AI81" s="70"/>
    </row>
    <row r="82" spans="3:35" ht="15.75" x14ac:dyDescent="0.25">
      <c r="D82" s="948">
        <f t="shared" si="31"/>
        <v>2922</v>
      </c>
      <c r="E82" s="9">
        <v>8</v>
      </c>
      <c r="F82" s="57">
        <f>+IF(D82&gt;366,interpoler('Courbe des taux'!$D$2:$D$48,'Courbe des taux'!$E$2:$E$49,D82),interpoler(_mat1,taux1,D82))</f>
        <v>3.2211533420707733E-2</v>
      </c>
      <c r="G82" s="104">
        <f>((1+F82)/(1-F82*SUM(H$71:H81)))^(1/E82)-1</f>
        <v>3.2451106076583969E-2</v>
      </c>
      <c r="H82" s="14">
        <f t="shared" si="32"/>
        <v>0.77454035280098998</v>
      </c>
      <c r="I82" s="570"/>
      <c r="J82" s="255">
        <f t="shared" si="30"/>
        <v>3285</v>
      </c>
      <c r="K82" s="1041">
        <v>9</v>
      </c>
      <c r="L82" s="1019">
        <f t="shared" si="33"/>
        <v>3.2974760999999998E-2</v>
      </c>
      <c r="M82" s="52"/>
      <c r="R82" s="63"/>
      <c r="S82" t="s">
        <v>1320</v>
      </c>
      <c r="T82" s="69">
        <v>100000</v>
      </c>
      <c r="U82" s="23">
        <f>+T82-U81</f>
        <v>80000</v>
      </c>
      <c r="V82" s="23">
        <f>+U82-V81</f>
        <v>60000</v>
      </c>
      <c r="W82" s="23">
        <f>+V82-W81</f>
        <v>40000</v>
      </c>
      <c r="X82" s="23">
        <f>+W82-X81</f>
        <v>20000</v>
      </c>
      <c r="Y82" s="23">
        <f>+X82-Y81</f>
        <v>0</v>
      </c>
      <c r="Z82" s="23"/>
      <c r="AA82" s="23"/>
      <c r="AB82" s="23"/>
      <c r="AC82" s="23"/>
      <c r="AD82" s="23"/>
      <c r="AE82" s="23"/>
      <c r="AF82" s="23"/>
      <c r="AG82" s="23"/>
      <c r="AH82" s="23"/>
      <c r="AI82" s="71"/>
    </row>
    <row r="83" spans="3:35" ht="15.75" x14ac:dyDescent="0.25">
      <c r="C83" s="49"/>
      <c r="D83" s="948">
        <f t="shared" si="31"/>
        <v>3287</v>
      </c>
      <c r="E83" s="9">
        <v>9</v>
      </c>
      <c r="F83" s="57">
        <f>+IF(D83&gt;366,interpoler('Courbe des taux'!$D$2:$D$48,'Courbe des taux'!$E$2:$E$49,D83),interpoler(_mat1,taux1,D83))</f>
        <v>3.2689908256880729E-2</v>
      </c>
      <c r="G83" s="104">
        <f>((1+F83)/(1-F83*SUM(H$71:H82)))^(1/E83)-1</f>
        <v>3.2974760996381303E-2</v>
      </c>
      <c r="H83" s="14">
        <f t="shared" si="32"/>
        <v>0.74677987645841881</v>
      </c>
      <c r="I83" s="570"/>
      <c r="J83" s="255">
        <f t="shared" si="30"/>
        <v>3650</v>
      </c>
      <c r="K83" s="1041">
        <v>10</v>
      </c>
      <c r="L83" s="1019">
        <f t="shared" si="33"/>
        <v>3.35866836E-2</v>
      </c>
      <c r="M83" s="1017"/>
      <c r="R83" s="63"/>
      <c r="S83" t="s">
        <v>1321</v>
      </c>
      <c r="T83" s="68"/>
      <c r="U83" s="25">
        <f>+$U$79*T82</f>
        <v>4600</v>
      </c>
      <c r="V83" s="25">
        <f>+$U$79*U82</f>
        <v>3680</v>
      </c>
      <c r="W83" s="25">
        <f>+$U$79*V82</f>
        <v>2760</v>
      </c>
      <c r="X83" s="25">
        <f>+$U$79*W82</f>
        <v>1840</v>
      </c>
      <c r="Y83" s="25">
        <f>+$U$79*X82</f>
        <v>920</v>
      </c>
      <c r="Z83" s="25"/>
      <c r="AA83" s="25"/>
      <c r="AB83" s="25"/>
      <c r="AC83" s="25"/>
      <c r="AD83" s="25"/>
      <c r="AE83" s="25"/>
      <c r="AF83" s="25"/>
      <c r="AG83" s="25"/>
      <c r="AH83" s="25"/>
      <c r="AI83" s="72"/>
    </row>
    <row r="84" spans="3:35" ht="15.75" x14ac:dyDescent="0.25">
      <c r="C84" s="58"/>
      <c r="D84" s="948">
        <f t="shared" si="31"/>
        <v>3653</v>
      </c>
      <c r="E84" s="9">
        <v>10</v>
      </c>
      <c r="F84" s="57">
        <f>+IF(D84&gt;366,interpoler('Courbe des taux'!$D$2:$D$48,'Courbe des taux'!$E$2:$E$49,D84),interpoler(_mat1,taux1,D84))</f>
        <v>3.3235010060362169E-2</v>
      </c>
      <c r="G84" s="104">
        <f>((1+F84)/(1-F84*SUM(H$71:H83)))^(1/E84)-1</f>
        <v>3.3586683633436865E-2</v>
      </c>
      <c r="H84" s="14">
        <f t="shared" si="32"/>
        <v>0.71867236629453535</v>
      </c>
      <c r="I84" s="570"/>
      <c r="J84" s="255">
        <f t="shared" si="30"/>
        <v>4015</v>
      </c>
      <c r="K84" s="1041">
        <v>11</v>
      </c>
      <c r="L84" s="1019">
        <f t="shared" si="33"/>
        <v>3.4231309699999997E-2</v>
      </c>
      <c r="R84" s="63"/>
      <c r="S84" t="s">
        <v>1322</v>
      </c>
      <c r="T84" s="68"/>
      <c r="U84" s="25">
        <f>+U83+U81</f>
        <v>24600</v>
      </c>
      <c r="V84" s="25">
        <f>+V83+V81</f>
        <v>23680</v>
      </c>
      <c r="W84" s="25">
        <f>+W83+W81</f>
        <v>22760</v>
      </c>
      <c r="X84" s="25">
        <f>+X83+X81</f>
        <v>21840</v>
      </c>
      <c r="Y84" s="25">
        <f>+Y83+Y81</f>
        <v>20920</v>
      </c>
      <c r="Z84" s="25"/>
      <c r="AA84" s="25"/>
      <c r="AB84" s="25"/>
      <c r="AC84" s="25"/>
      <c r="AD84" s="25"/>
      <c r="AE84" s="25"/>
      <c r="AF84" s="25"/>
      <c r="AG84" s="25"/>
      <c r="AH84" s="25"/>
      <c r="AI84" s="72"/>
    </row>
    <row r="85" spans="3:35" ht="15.75" x14ac:dyDescent="0.25">
      <c r="C85" s="52"/>
      <c r="D85" s="948">
        <f t="shared" si="31"/>
        <v>4018</v>
      </c>
      <c r="E85" s="9">
        <v>11</v>
      </c>
      <c r="F85" s="57">
        <f>+IF(D85&gt;366,interpoler('Courbe des taux'!$D$2:$D$48,'Courbe des taux'!$E$2:$E$49,D85),interpoler(_mat1,taux1,D85))</f>
        <v>3.3798054996646544E-2</v>
      </c>
      <c r="G85" s="104">
        <f>((1+F85)/(1-F85*SUM(H$71:H84)))^(1/E85)-1</f>
        <v>3.4231309705653468E-2</v>
      </c>
      <c r="H85" s="14">
        <f t="shared" si="32"/>
        <v>0.69056650030768219</v>
      </c>
      <c r="I85" s="570"/>
      <c r="J85" s="255">
        <f t="shared" si="30"/>
        <v>4380</v>
      </c>
      <c r="K85" s="1041">
        <v>12</v>
      </c>
      <c r="L85" s="1019">
        <f t="shared" si="33"/>
        <v>3.4888099999999998E-2</v>
      </c>
      <c r="R85" s="63"/>
      <c r="S85" t="s">
        <v>1323</v>
      </c>
      <c r="T85" s="69"/>
      <c r="U85" s="25">
        <f>+IF(U80&gt;$U$1,U84,0)</f>
        <v>0</v>
      </c>
      <c r="V85" s="25">
        <f>+IF(V80&gt;$U$1,V84,0)</f>
        <v>0</v>
      </c>
      <c r="W85" s="25">
        <f>+IF(W80&gt;$U$1,W84,0)</f>
        <v>0</v>
      </c>
      <c r="X85" s="25">
        <f>+IF(X80&gt;$U$1,X84,0)</f>
        <v>0</v>
      </c>
      <c r="Y85" s="25">
        <f>+IF(Y80&gt;$U$1,Y84,0)</f>
        <v>0</v>
      </c>
      <c r="Z85" s="25"/>
      <c r="AA85" s="25"/>
      <c r="AB85" s="25"/>
      <c r="AC85" s="25"/>
      <c r="AD85" s="25"/>
      <c r="AE85" s="25"/>
      <c r="AF85" s="25"/>
      <c r="AG85" s="25"/>
      <c r="AH85" s="25"/>
      <c r="AI85" s="72"/>
    </row>
    <row r="86" spans="3:35" ht="15.75" x14ac:dyDescent="0.25">
      <c r="C86" s="52"/>
      <c r="D86" s="948">
        <f t="shared" si="31"/>
        <v>4383</v>
      </c>
      <c r="E86" s="9">
        <v>12</v>
      </c>
      <c r="F86" s="57">
        <f>+IF(D86&gt;366,interpoler('Courbe des taux'!$D$2:$D$48,'Courbe des taux'!$E$2:$E$49,D86),interpoler(_mat1,taux1,D86))</f>
        <v>3.4361099932930919E-2</v>
      </c>
      <c r="G86" s="104">
        <f>((1+F86)/(1-F86*SUM(H$71:H85)))^(1/E86)-1</f>
        <v>3.4888099989247134E-2</v>
      </c>
      <c r="H86" s="14">
        <f t="shared" si="32"/>
        <v>0.66264249395143116</v>
      </c>
      <c r="I86" s="570"/>
      <c r="J86" s="255">
        <f t="shared" si="30"/>
        <v>4745</v>
      </c>
      <c r="K86" s="1041">
        <v>13</v>
      </c>
      <c r="L86" s="1019">
        <f t="shared" si="33"/>
        <v>3.5557980500000003E-2</v>
      </c>
      <c r="M86" s="244"/>
      <c r="R86" s="63"/>
      <c r="S86" t="s">
        <v>1324</v>
      </c>
      <c r="T86" s="73"/>
      <c r="U86">
        <f>+IF(T85=0,(U80-$U$1)/(U80-T80),T86+1)</f>
        <v>-20.408219178082192</v>
      </c>
      <c r="V86">
        <f>+IF(U85=0,(V80-$U$1)/(V80-U80),U86+1)</f>
        <v>-19.408219178082192</v>
      </c>
      <c r="W86">
        <f>+IF(V85=0,(W80-$U$1)/(W80-V80),V86+1)</f>
        <v>-18.408219178082192</v>
      </c>
      <c r="X86">
        <f>+IF(W85=0,(X80-$U$1)/(X80-W80),W86+1)</f>
        <v>-17.357923497267759</v>
      </c>
      <c r="Y86">
        <f>+IF(X85=0,(Y80-$U$1)/(Y80-X80),X86+1)</f>
        <v>-16.405479452054795</v>
      </c>
    </row>
    <row r="87" spans="3:35" ht="15.75" x14ac:dyDescent="0.25">
      <c r="C87" s="52"/>
      <c r="D87" s="948">
        <f t="shared" si="31"/>
        <v>4748</v>
      </c>
      <c r="E87" s="9">
        <v>13</v>
      </c>
      <c r="F87" s="57">
        <f>+IF(D87&gt;366,interpoler('Courbe des taux'!$D$2:$D$48,'Courbe des taux'!$E$2:$E$49,D87),interpoler(_mat1,taux1,D87))</f>
        <v>3.4924144869215287E-2</v>
      </c>
      <c r="G87" s="104">
        <f>((1+F87)/(1-F87*SUM(H$71:H86)))^(1/E87)-1</f>
        <v>3.5557980520211974E-2</v>
      </c>
      <c r="H87" s="14">
        <f t="shared" si="32"/>
        <v>0.63493978598006962</v>
      </c>
      <c r="I87" s="570"/>
      <c r="J87" s="255">
        <f t="shared" si="30"/>
        <v>5110</v>
      </c>
      <c r="K87" s="1041">
        <v>14</v>
      </c>
      <c r="L87" s="1019">
        <f t="shared" si="33"/>
        <v>3.5945574600000002E-2</v>
      </c>
      <c r="R87" s="63"/>
      <c r="S87" s="29" t="s">
        <v>1325</v>
      </c>
      <c r="T87" s="68"/>
      <c r="U87" s="68" cm="1">
        <f t="array" ref="U87">IF(U86&lt;1,interpoler(mat_court,taux_court_act,U86*(U80-T80)),interpoler(mat,taux,U86))</f>
        <v>2.3281430422376737E-2</v>
      </c>
      <c r="V87" s="103" cm="1">
        <f t="array" ref="V87">IF(V86&lt;1,interpoler(mat_court,taux_court_act,V86*(V80-U80)),interpoler(mat,taux,V86))</f>
        <v>2.3281430422376737E-2</v>
      </c>
      <c r="W87" s="103" cm="1">
        <f t="array" ref="W87">IF(W86&lt;1,interpoler(mat_court,taux_court_act,W86*(W80-V80)),interpoler(mat,taux,W86))</f>
        <v>2.3281430422376737E-2</v>
      </c>
      <c r="X87" s="103" cm="1">
        <f t="array" ref="X87">IF(X86&lt;1,interpoler(mat_court,taux_court_act,X86*(X80-W80)),interpoler(mat,taux,X86))</f>
        <v>2.3281430422376737E-2</v>
      </c>
      <c r="Y87" s="103" cm="1">
        <f t="array" ref="Y87">IF(Y86&lt;1,interpoler(mat_court,taux_court_act,Y86*(Y80-X80)),interpoler(mat,taux,Y86))</f>
        <v>2.3281430422376737E-2</v>
      </c>
      <c r="Z87" s="68"/>
      <c r="AA87" s="68"/>
      <c r="AB87" s="68"/>
      <c r="AC87" s="68"/>
      <c r="AD87" s="68"/>
      <c r="AE87" s="68"/>
      <c r="AF87" s="68"/>
      <c r="AG87" s="68"/>
      <c r="AH87" s="68"/>
      <c r="AI87" s="74"/>
    </row>
    <row r="88" spans="3:35" ht="15.75" x14ac:dyDescent="0.25">
      <c r="D88" s="948">
        <f t="shared" si="31"/>
        <v>5114</v>
      </c>
      <c r="E88" s="9">
        <v>14</v>
      </c>
      <c r="F88" s="57">
        <f>+IF(D88&gt;366,interpoler('Courbe des taux'!$D$2:$D$48,'Courbe des taux'!$E$2:$E$49,D88),interpoler(_mat1,taux1,D88))</f>
        <v>3.5258990536277603E-2</v>
      </c>
      <c r="G88" s="104">
        <f>((1+F88)/(1-F88*SUM(H$71:H87)))^(1/E88)-1</f>
        <v>3.5945574628436505E-2</v>
      </c>
      <c r="H88" s="14">
        <f t="shared" si="32"/>
        <v>0.60993400486808536</v>
      </c>
      <c r="I88" s="570"/>
      <c r="J88" s="255">
        <f t="shared" si="30"/>
        <v>5475</v>
      </c>
      <c r="K88" s="1041">
        <v>15</v>
      </c>
      <c r="L88" s="1019">
        <f t="shared" si="33"/>
        <v>3.6204250299999997E-2</v>
      </c>
      <c r="R88" s="63"/>
      <c r="S88" t="s">
        <v>1328</v>
      </c>
      <c r="T88" s="68"/>
      <c r="U88" s="29">
        <v>0.01</v>
      </c>
      <c r="V88" s="29">
        <f>+U88</f>
        <v>0.01</v>
      </c>
      <c r="W88" s="29">
        <f>+V88</f>
        <v>0.01</v>
      </c>
      <c r="X88" s="29">
        <f>+W88</f>
        <v>0.01</v>
      </c>
      <c r="Y88" s="29">
        <f>+X88</f>
        <v>0.01</v>
      </c>
      <c r="Z88" s="29"/>
      <c r="AA88" s="29"/>
      <c r="AB88" s="29"/>
      <c r="AC88" s="29"/>
      <c r="AD88" s="29"/>
      <c r="AE88" s="29"/>
      <c r="AF88" s="29"/>
      <c r="AG88" s="29"/>
      <c r="AH88" s="29"/>
      <c r="AI88" s="75"/>
    </row>
    <row r="89" spans="3:35" ht="15.75" x14ac:dyDescent="0.25">
      <c r="D89" s="948">
        <f t="shared" si="31"/>
        <v>5479</v>
      </c>
      <c r="E89" s="9">
        <v>15</v>
      </c>
      <c r="F89" s="57">
        <f>+IF(D89&gt;366,interpoler('Courbe des taux'!$D$2:$D$48,'Courbe des taux'!$E$2:$E$49,D89),interpoler(_mat1,taux1,D89))</f>
        <v>3.5489274447949526E-2</v>
      </c>
      <c r="G89" s="104">
        <f>((1+F89)/(1-F89*SUM(H$71:H88)))^(1/E89)-1</f>
        <v>3.6204250338603527E-2</v>
      </c>
      <c r="H89" s="14">
        <f t="shared" si="32"/>
        <v>0.58656947636691803</v>
      </c>
      <c r="I89" s="570"/>
      <c r="J89" s="255">
        <f t="shared" si="30"/>
        <v>5840</v>
      </c>
      <c r="K89" s="1041">
        <v>16</v>
      </c>
      <c r="L89" s="1019">
        <f t="shared" si="33"/>
        <v>3.64708568E-2</v>
      </c>
      <c r="R89" s="63"/>
      <c r="S89" t="s">
        <v>1329</v>
      </c>
      <c r="T89" s="68"/>
      <c r="U89" s="13">
        <f>+ROUND(U87+U88,6)</f>
        <v>3.3280999999999998E-2</v>
      </c>
      <c r="V89" s="13">
        <f>+ROUND(V87+V88,6)</f>
        <v>3.3280999999999998E-2</v>
      </c>
      <c r="W89" s="13">
        <f>+ROUND(W87+W88,6)</f>
        <v>3.3280999999999998E-2</v>
      </c>
      <c r="X89" s="13">
        <f>+ROUND(X87+X88,6)</f>
        <v>3.3280999999999998E-2</v>
      </c>
      <c r="Y89" s="13">
        <f>+ROUND(Y87+Y88,6)</f>
        <v>3.3280999999999998E-2</v>
      </c>
      <c r="Z89" s="13"/>
      <c r="AA89" s="13"/>
      <c r="AB89" s="13"/>
      <c r="AC89" s="13"/>
      <c r="AD89" s="13"/>
      <c r="AE89" s="13"/>
      <c r="AF89" s="13"/>
      <c r="AG89" s="13"/>
      <c r="AH89" s="13"/>
      <c r="AI89" s="76"/>
    </row>
    <row r="90" spans="3:35" ht="15.75" x14ac:dyDescent="0.25">
      <c r="D90" s="948">
        <f t="shared" si="31"/>
        <v>5844</v>
      </c>
      <c r="E90" s="9">
        <v>16</v>
      </c>
      <c r="F90" s="57">
        <f>+IF(D90&gt;366,interpoler('Courbe des taux'!$D$2:$D$48,'Courbe des taux'!$E$2:$E$49,D90),interpoler(_mat1,taux1,D90))</f>
        <v>3.5719558359621449E-2</v>
      </c>
      <c r="G90" s="104">
        <f>((1+F90)/(1-F90*SUM(H$71:H89)))^(1/E90)-1</f>
        <v>3.6470856791089412E-2</v>
      </c>
      <c r="H90" s="14">
        <f t="shared" si="32"/>
        <v>0.56374989809654863</v>
      </c>
      <c r="I90" s="570"/>
      <c r="J90" s="255">
        <f t="shared" si="30"/>
        <v>6205</v>
      </c>
      <c r="K90" s="1041">
        <v>17</v>
      </c>
      <c r="L90" s="1019">
        <f t="shared" si="33"/>
        <v>3.6745167600000003E-2</v>
      </c>
      <c r="R90" s="63"/>
      <c r="T90" s="68"/>
      <c r="U90" s="69">
        <f>+U85/(1+U89)^U86</f>
        <v>0</v>
      </c>
      <c r="V90" s="69">
        <f>+V85/(1+V89)^V86</f>
        <v>0</v>
      </c>
      <c r="W90" s="69">
        <f>+W85/(1+W89)^W86</f>
        <v>0</v>
      </c>
      <c r="X90" s="69">
        <f>+X85/(1+X89)^X86</f>
        <v>0</v>
      </c>
      <c r="Y90" s="69">
        <f>+Y85/(1+Y89)^Y86</f>
        <v>0</v>
      </c>
      <c r="Z90" s="69"/>
      <c r="AA90" s="69"/>
      <c r="AB90" s="69"/>
      <c r="AC90" s="69"/>
      <c r="AD90" s="69"/>
      <c r="AE90" s="69"/>
      <c r="AF90" s="69"/>
      <c r="AG90" s="69"/>
      <c r="AH90" s="69"/>
      <c r="AI90" s="70"/>
    </row>
    <row r="91" spans="3:35" ht="15.75" x14ac:dyDescent="0.25">
      <c r="D91" s="948">
        <f t="shared" si="31"/>
        <v>6209</v>
      </c>
      <c r="E91" s="9">
        <v>17</v>
      </c>
      <c r="F91" s="57">
        <f>+IF(D91&gt;366,interpoler('Courbe des taux'!$D$2:$D$48,'Courbe des taux'!$E$2:$E$49,D91),interpoler(_mat1,taux1,D91))</f>
        <v>3.5949842271293372E-2</v>
      </c>
      <c r="G91" s="104">
        <f>((1+F91)/(1-F91*SUM(H$71:H90)))^(1/E91)-1</f>
        <v>3.6745167599873119E-2</v>
      </c>
      <c r="H91" s="14">
        <f t="shared" si="32"/>
        <v>0.54147157689593683</v>
      </c>
      <c r="I91" s="570"/>
      <c r="J91" s="255">
        <f t="shared" si="30"/>
        <v>6570</v>
      </c>
      <c r="K91" s="1041">
        <v>18</v>
      </c>
      <c r="L91" s="1019">
        <f t="shared" si="33"/>
        <v>3.7027985499999999E-2</v>
      </c>
      <c r="R91" s="63"/>
      <c r="T91" s="68"/>
      <c r="U91" s="13"/>
      <c r="V91" s="13"/>
      <c r="W91" s="13"/>
      <c r="X91" s="13"/>
      <c r="Y91" s="13"/>
      <c r="Z91" s="13"/>
      <c r="AA91" s="13"/>
      <c r="AB91" s="13"/>
      <c r="AC91" s="13"/>
      <c r="AD91" s="13"/>
      <c r="AE91" s="13"/>
      <c r="AF91" s="13"/>
      <c r="AG91" s="13"/>
      <c r="AH91" s="13"/>
      <c r="AI91" s="76"/>
    </row>
    <row r="92" spans="3:35" ht="15.75" x14ac:dyDescent="0.25">
      <c r="D92" s="948">
        <f t="shared" si="31"/>
        <v>6575</v>
      </c>
      <c r="E92" s="9">
        <v>18</v>
      </c>
      <c r="F92" s="57">
        <f>+IF(D92&gt;366,interpoler('Courbe des taux'!$D$2:$D$48,'Courbe des taux'!$E$2:$E$49,D92),interpoler(_mat1,taux1,D92))</f>
        <v>3.6180757097791796E-2</v>
      </c>
      <c r="G92" s="104">
        <f>((1+F92)/(1-F92*SUM(H$71:H91)))^(1/E92)-1</f>
        <v>3.70279854862825E-2</v>
      </c>
      <c r="H92" s="14">
        <f t="shared" si="32"/>
        <v>0.51972238481190847</v>
      </c>
      <c r="I92" s="570"/>
      <c r="J92" s="255">
        <f t="shared" si="30"/>
        <v>6935</v>
      </c>
      <c r="K92" s="1041">
        <v>19</v>
      </c>
      <c r="L92" s="1019">
        <f t="shared" si="33"/>
        <v>3.7317521899999997E-2</v>
      </c>
      <c r="R92" s="63"/>
      <c r="S92" t="s">
        <v>650</v>
      </c>
      <c r="T92" s="77">
        <f>+SUM(U90:AI90)</f>
        <v>0</v>
      </c>
      <c r="U92" s="13"/>
      <c r="V92" s="13"/>
      <c r="W92" s="13"/>
      <c r="X92" s="13"/>
      <c r="Y92" s="13"/>
      <c r="Z92" s="13"/>
      <c r="AA92" s="13"/>
      <c r="AB92" s="13"/>
      <c r="AC92" s="13"/>
      <c r="AD92" s="13"/>
      <c r="AE92" s="13"/>
      <c r="AF92" s="13"/>
      <c r="AG92" s="13"/>
      <c r="AH92" s="13"/>
      <c r="AI92" s="76"/>
    </row>
    <row r="93" spans="3:35" ht="16.5" thickBot="1" x14ac:dyDescent="0.3">
      <c r="D93" s="948">
        <f t="shared" si="31"/>
        <v>6940</v>
      </c>
      <c r="E93" s="9">
        <v>19</v>
      </c>
      <c r="F93" s="57">
        <f>+IF(D93&gt;366,interpoler('Courbe des taux'!$D$2:$D$48,'Courbe des taux'!$E$2:$E$49,D93),interpoler(_mat1,taux1,D93))</f>
        <v>3.641104100946372E-2</v>
      </c>
      <c r="G93" s="104">
        <f>((1+F93)/(1-F93*SUM(H$71:H92)))^(1/E93)-1</f>
        <v>3.7317521913053042E-2</v>
      </c>
      <c r="H93" s="14">
        <f t="shared" si="32"/>
        <v>0.4985140885756249</v>
      </c>
      <c r="I93" s="570"/>
      <c r="J93" s="255">
        <f t="shared" si="30"/>
        <v>7300</v>
      </c>
      <c r="K93" s="1041">
        <v>20</v>
      </c>
      <c r="L93" s="1019">
        <f t="shared" si="33"/>
        <v>3.7810898799999999E-2</v>
      </c>
      <c r="R93" s="78"/>
      <c r="S93" s="79" t="s">
        <v>1331</v>
      </c>
      <c r="T93" s="80" t="e">
        <f>+SUMPRODUCT(U86:AI86,U90:AI90)/T92</f>
        <v>#DIV/0!</v>
      </c>
      <c r="U93" s="79"/>
      <c r="V93" s="79"/>
      <c r="W93" s="79"/>
      <c r="X93" s="79"/>
      <c r="Y93" s="79"/>
      <c r="Z93" s="79"/>
      <c r="AA93" s="79"/>
      <c r="AB93" s="79"/>
      <c r="AC93" s="79"/>
      <c r="AD93" s="79"/>
      <c r="AE93" s="79"/>
      <c r="AF93" s="79"/>
      <c r="AG93" s="79"/>
      <c r="AH93" s="79"/>
      <c r="AI93" s="81"/>
    </row>
    <row r="94" spans="3:35" ht="15.75" x14ac:dyDescent="0.25">
      <c r="D94" s="948">
        <f t="shared" si="31"/>
        <v>7305</v>
      </c>
      <c r="E94" s="9">
        <v>20</v>
      </c>
      <c r="F94" s="57">
        <f>+IF(D94&gt;366,interpoler('Courbe des taux'!$D$2:$D$48,'Courbe des taux'!$E$2:$E$49,D94),interpoler(_mat1,taux1,D94))</f>
        <v>3.677247524752475E-2</v>
      </c>
      <c r="G94" s="104">
        <f>((1+F94)/(1-F94*SUM(H$71:H93)))^(1/E94)-1</f>
        <v>3.7810898789355285E-2</v>
      </c>
      <c r="H94" s="14">
        <f t="shared" si="32"/>
        <v>0.47603124110165024</v>
      </c>
      <c r="I94" s="570"/>
      <c r="J94" s="255">
        <f t="shared" si="30"/>
        <v>7665</v>
      </c>
      <c r="K94" s="1041">
        <v>21</v>
      </c>
      <c r="L94" s="1019">
        <f t="shared" si="33"/>
        <v>3.8443957500000001E-2</v>
      </c>
    </row>
    <row r="95" spans="3:35" ht="16.5" thickBot="1" x14ac:dyDescent="0.3">
      <c r="D95" s="948">
        <f t="shared" si="31"/>
        <v>7670</v>
      </c>
      <c r="E95" s="9">
        <v>21</v>
      </c>
      <c r="F95" s="57">
        <f>+IF(D95&gt;366,interpoler('Courbe des taux'!$D$2:$D$48,'Courbe des taux'!$E$2:$E$49,D95),interpoler(_mat1,taux1,D95))</f>
        <v>3.7216463932107494E-2</v>
      </c>
      <c r="G95" s="104">
        <f>((1+F95)/(1-F95*SUM(H$71:H94)))^(1/E95)-1</f>
        <v>3.844395749700702E-2</v>
      </c>
      <c r="H95" s="14">
        <f t="shared" si="32"/>
        <v>0.45285134754890882</v>
      </c>
      <c r="I95" s="570"/>
      <c r="J95" s="255">
        <f t="shared" si="30"/>
        <v>8030</v>
      </c>
      <c r="K95" s="1041">
        <v>22</v>
      </c>
      <c r="L95" s="1019">
        <f t="shared" si="33"/>
        <v>3.9095805099999999E-2</v>
      </c>
    </row>
    <row r="96" spans="3:35" ht="15.75" x14ac:dyDescent="0.25">
      <c r="C96" s="49"/>
      <c r="D96" s="948">
        <f t="shared" si="31"/>
        <v>8036</v>
      </c>
      <c r="E96" s="9">
        <v>22</v>
      </c>
      <c r="F96" s="57">
        <f>+IF(D96&gt;366,interpoler('Courbe des taux'!$D$2:$D$48,'Courbe des taux'!$E$2:$E$49,D96),interpoler(_mat1,taux1,D96))</f>
        <v>3.7661669024045261E-2</v>
      </c>
      <c r="G96" s="104">
        <f>((1+F96)/(1-F96*SUM(H$71:H95)))^(1/E96)-1</f>
        <v>3.9095805117780547E-2</v>
      </c>
      <c r="H96" s="14">
        <f t="shared" si="32"/>
        <v>0.43010747040362152</v>
      </c>
      <c r="I96" s="570"/>
      <c r="J96" s="255">
        <f t="shared" si="30"/>
        <v>8395</v>
      </c>
      <c r="K96" s="1041">
        <v>23</v>
      </c>
      <c r="L96" s="1019">
        <f t="shared" si="33"/>
        <v>3.9764212700000003E-2</v>
      </c>
      <c r="R96" s="82" t="s">
        <v>1541</v>
      </c>
      <c r="S96" s="59"/>
      <c r="T96" s="60" t="s">
        <v>103</v>
      </c>
      <c r="U96" s="61">
        <f>+U78</f>
        <v>46107</v>
      </c>
      <c r="V96" s="59"/>
      <c r="W96" s="59"/>
      <c r="X96" s="59"/>
      <c r="Y96" s="59"/>
      <c r="Z96" s="59"/>
      <c r="AA96" s="59"/>
      <c r="AB96" s="59"/>
      <c r="AC96" s="59"/>
      <c r="AD96" s="59"/>
      <c r="AE96" s="59"/>
      <c r="AF96" s="59"/>
      <c r="AG96" s="59"/>
      <c r="AH96" s="59"/>
      <c r="AI96" s="62"/>
    </row>
    <row r="97" spans="1:35" ht="15.75" x14ac:dyDescent="0.25">
      <c r="D97" s="948">
        <f t="shared" si="31"/>
        <v>8401</v>
      </c>
      <c r="E97" s="9">
        <v>23</v>
      </c>
      <c r="F97" s="57">
        <f>+IF(D97&gt;366,interpoler('Courbe des taux'!$D$2:$D$48,'Courbe des taux'!$E$2:$E$49,D97),interpoler(_mat1,taux1,D97))</f>
        <v>3.8105657708628005E-2</v>
      </c>
      <c r="G97" s="104">
        <f>((1+F97)/(1-F97*SUM(H$71:H96)))^(1/E97)-1</f>
        <v>3.9764212656212328E-2</v>
      </c>
      <c r="H97" s="14">
        <f t="shared" si="32"/>
        <v>0.40784777139539652</v>
      </c>
      <c r="I97" s="570"/>
      <c r="J97" s="255">
        <f t="shared" si="30"/>
        <v>8760</v>
      </c>
      <c r="K97" s="1041">
        <v>24</v>
      </c>
      <c r="L97" s="1019">
        <f t="shared" si="33"/>
        <v>4.0452968399999997E-2</v>
      </c>
      <c r="R97" s="63"/>
      <c r="T97" s="64" t="s">
        <v>105</v>
      </c>
      <c r="U97" s="13">
        <v>5.0099999999999999E-2</v>
      </c>
      <c r="V97" s="13"/>
      <c r="AI97" s="65"/>
    </row>
    <row r="98" spans="1:35" ht="15.75" x14ac:dyDescent="0.25">
      <c r="D98" s="948">
        <f t="shared" si="31"/>
        <v>8766</v>
      </c>
      <c r="E98" s="9">
        <v>24</v>
      </c>
      <c r="F98" s="57">
        <f>+IF(D98&gt;366,interpoler('Courbe des taux'!$D$2:$D$48,'Courbe des taux'!$E$2:$E$49,D98),interpoler(_mat1,taux1,D98))</f>
        <v>3.8549646393210749E-2</v>
      </c>
      <c r="G98" s="104">
        <f>((1+F98)/(1-F98*SUM(H$71:H97)))^(1/E98)-1</f>
        <v>4.0452968376616605E-2</v>
      </c>
      <c r="H98" s="14">
        <f t="shared" si="32"/>
        <v>0.38606560751150915</v>
      </c>
      <c r="I98" s="570"/>
      <c r="J98" s="255">
        <f t="shared" si="30"/>
        <v>9125</v>
      </c>
      <c r="K98" s="1041">
        <v>25</v>
      </c>
      <c r="L98" s="1019">
        <f t="shared" si="33"/>
        <v>4.1164109099999999E-2</v>
      </c>
      <c r="R98" s="63"/>
      <c r="T98" s="66">
        <v>38314</v>
      </c>
      <c r="U98" s="8">
        <v>38679</v>
      </c>
      <c r="V98" s="66">
        <v>39044</v>
      </c>
      <c r="W98" s="8">
        <v>39409</v>
      </c>
      <c r="X98" s="66">
        <v>39775</v>
      </c>
      <c r="Y98" s="8">
        <v>40140</v>
      </c>
      <c r="Z98" s="66"/>
      <c r="AA98" s="8"/>
      <c r="AB98" s="66"/>
      <c r="AC98" s="8"/>
      <c r="AD98" s="66"/>
      <c r="AE98" s="8"/>
      <c r="AF98" s="66"/>
      <c r="AG98" s="8"/>
      <c r="AH98" s="66"/>
      <c r="AI98" s="67"/>
    </row>
    <row r="99" spans="1:35" ht="15.75" x14ac:dyDescent="0.25">
      <c r="A99" s="280"/>
      <c r="D99" s="948">
        <f t="shared" si="31"/>
        <v>9131</v>
      </c>
      <c r="E99" s="9">
        <v>25</v>
      </c>
      <c r="F99" s="57">
        <f>+IF(D99&gt;366,interpoler('Courbe des taux'!$D$2:$D$48,'Courbe des taux'!$E$2:$E$49,D99),interpoler(_mat1,taux1,D99))</f>
        <v>3.8993635077793493E-2</v>
      </c>
      <c r="G99" s="104">
        <f>((1+F99)/(1-F99*SUM(H$71:H98)))^(1/E99)-1</f>
        <v>4.116410912959112E-2</v>
      </c>
      <c r="H99" s="14">
        <f t="shared" si="32"/>
        <v>0.36477098100043148</v>
      </c>
      <c r="I99" s="570"/>
      <c r="J99" s="255">
        <f t="shared" si="30"/>
        <v>9490</v>
      </c>
      <c r="K99" s="1041">
        <v>26</v>
      </c>
      <c r="L99" s="1019">
        <f t="shared" si="33"/>
        <v>4.1902181099999998E-2</v>
      </c>
      <c r="N99" s="49"/>
      <c r="O99" s="49"/>
      <c r="R99" s="63"/>
      <c r="S99" t="s">
        <v>1318</v>
      </c>
      <c r="T99" s="68"/>
      <c r="U99" s="69">
        <v>20000</v>
      </c>
      <c r="V99" s="69">
        <v>20000</v>
      </c>
      <c r="W99" s="69">
        <v>20000</v>
      </c>
      <c r="X99" s="69">
        <v>20000</v>
      </c>
      <c r="Y99" s="69">
        <v>20000</v>
      </c>
      <c r="Z99" s="69"/>
      <c r="AA99" s="69"/>
      <c r="AB99" s="69"/>
      <c r="AC99" s="69"/>
      <c r="AD99" s="69"/>
      <c r="AE99" s="69"/>
      <c r="AF99" s="69"/>
      <c r="AG99" s="69"/>
      <c r="AH99" s="69"/>
      <c r="AI99" s="70"/>
    </row>
    <row r="100" spans="1:35" ht="15.75" x14ac:dyDescent="0.25">
      <c r="D100" s="948">
        <f t="shared" si="31"/>
        <v>9497</v>
      </c>
      <c r="E100" s="9">
        <v>26</v>
      </c>
      <c r="F100" s="57">
        <f>+IF(D100&gt;366,interpoler('Courbe des taux'!$D$2:$D$48,'Courbe des taux'!$E$2:$E$49,D100),interpoler(_mat1,taux1,D100))</f>
        <v>3.943884016973126E-2</v>
      </c>
      <c r="G100" s="104">
        <f>((1+F100)/(1-F100*SUM(H$71:H99)))^(1/E100)-1</f>
        <v>4.1902181120811566E-2</v>
      </c>
      <c r="H100" s="14">
        <f t="shared" si="32"/>
        <v>0.34395321496644454</v>
      </c>
      <c r="I100" s="570"/>
      <c r="J100" s="255">
        <f t="shared" si="30"/>
        <v>9855</v>
      </c>
      <c r="K100" s="1041">
        <v>27</v>
      </c>
      <c r="L100" s="1019">
        <f t="shared" si="33"/>
        <v>4.2665225299999998E-2</v>
      </c>
      <c r="M100" s="49"/>
      <c r="R100" s="63"/>
      <c r="S100" t="s">
        <v>1320</v>
      </c>
      <c r="T100" s="69">
        <v>100000</v>
      </c>
      <c r="U100" s="23">
        <f>+T100-U99</f>
        <v>80000</v>
      </c>
      <c r="V100" s="23">
        <f>+U100-V99</f>
        <v>60000</v>
      </c>
      <c r="W100" s="23">
        <f>+V100-W99</f>
        <v>40000</v>
      </c>
      <c r="X100" s="23">
        <f>+W100-X99</f>
        <v>20000</v>
      </c>
      <c r="Y100" s="23">
        <f>+X100-Y99</f>
        <v>0</v>
      </c>
      <c r="Z100" s="23"/>
      <c r="AA100" s="23"/>
      <c r="AB100" s="23"/>
      <c r="AC100" s="23"/>
      <c r="AD100" s="23"/>
      <c r="AE100" s="23"/>
      <c r="AF100" s="23"/>
      <c r="AG100" s="23"/>
      <c r="AH100" s="23"/>
      <c r="AI100" s="71"/>
    </row>
    <row r="101" spans="1:35" ht="15.75" x14ac:dyDescent="0.25">
      <c r="D101" s="948">
        <f t="shared" si="31"/>
        <v>9862</v>
      </c>
      <c r="E101" s="9">
        <v>27</v>
      </c>
      <c r="F101" s="57">
        <f>+IF(D101&gt;366,interpoler('Courbe des taux'!$D$2:$D$50,'Courbe des taux'!$E$2:$E$50,D101),interpoler(_mat1,taux1,D101))</f>
        <v>3.9882828854314004E-2</v>
      </c>
      <c r="G101" s="104">
        <f>((1+F101)/(1-F101*SUM(H$71:H100)))^(1/E101)-1</f>
        <v>4.2665225317254807E-2</v>
      </c>
      <c r="H101" s="14">
        <f t="shared" si="32"/>
        <v>0.32365922401351532</v>
      </c>
      <c r="I101" s="570"/>
      <c r="J101" s="255">
        <f t="shared" si="30"/>
        <v>10220</v>
      </c>
      <c r="K101" s="1041">
        <v>28</v>
      </c>
      <c r="L101" s="1019">
        <f t="shared" si="33"/>
        <v>4.3458417700000002E-2</v>
      </c>
      <c r="M101" s="96"/>
      <c r="R101" s="63"/>
      <c r="S101" t="s">
        <v>1321</v>
      </c>
      <c r="T101" s="68"/>
      <c r="U101" s="25">
        <f>+$U$97*T100</f>
        <v>5010</v>
      </c>
      <c r="V101" s="25">
        <f>+$U$97*U100</f>
        <v>4008</v>
      </c>
      <c r="W101" s="25">
        <f>+$U$97*V100</f>
        <v>3006</v>
      </c>
      <c r="X101" s="25">
        <f>+$U$97*W100</f>
        <v>2004</v>
      </c>
      <c r="Y101" s="25">
        <f>+$U$97*X100</f>
        <v>1002</v>
      </c>
      <c r="Z101" s="25"/>
      <c r="AA101" s="25"/>
      <c r="AB101" s="25"/>
      <c r="AC101" s="25"/>
      <c r="AD101" s="25"/>
      <c r="AE101" s="25"/>
      <c r="AF101" s="25"/>
      <c r="AG101" s="25"/>
      <c r="AH101" s="25"/>
      <c r="AI101" s="72"/>
    </row>
    <row r="102" spans="1:35" ht="15.75" x14ac:dyDescent="0.25">
      <c r="D102" s="948">
        <f t="shared" si="31"/>
        <v>10227</v>
      </c>
      <c r="E102" s="9">
        <v>28</v>
      </c>
      <c r="F102" s="57">
        <f>+IF(D102&gt;366,interpoler('Courbe des taux'!$D$2:$D$50,'Courbe des taux'!$E$2:$E$50,D102),interpoler(_mat1,taux1,D102))</f>
        <v>4.0326817538896748E-2</v>
      </c>
      <c r="G102" s="104">
        <f>((1+F102)/(1-F102*SUM(H$71:H101)))^(1/E102)-1</f>
        <v>4.3458417700413809E-2</v>
      </c>
      <c r="H102" s="14">
        <f t="shared" si="32"/>
        <v>0.3038756399780066</v>
      </c>
      <c r="I102" s="570"/>
      <c r="J102" s="255">
        <f t="shared" si="30"/>
        <v>10585</v>
      </c>
      <c r="K102" s="1041">
        <v>29</v>
      </c>
      <c r="L102" s="1019">
        <f t="shared" si="33"/>
        <v>4.4285088299999997E-2</v>
      </c>
      <c r="R102" s="63"/>
      <c r="S102" t="s">
        <v>1322</v>
      </c>
      <c r="T102" s="68"/>
      <c r="U102" s="25">
        <f>+U101+U99</f>
        <v>25010</v>
      </c>
      <c r="V102" s="25">
        <f>+V101+V99</f>
        <v>24008</v>
      </c>
      <c r="W102" s="25">
        <f>+W101+W99</f>
        <v>23006</v>
      </c>
      <c r="X102" s="25">
        <f>+X101+X99</f>
        <v>22004</v>
      </c>
      <c r="Y102" s="25">
        <f>+Y101+Y99</f>
        <v>21002</v>
      </c>
      <c r="Z102" s="25"/>
      <c r="AA102" s="25"/>
      <c r="AB102" s="25"/>
      <c r="AC102" s="25"/>
      <c r="AD102" s="25"/>
      <c r="AE102" s="25"/>
      <c r="AF102" s="25"/>
      <c r="AG102" s="25"/>
      <c r="AH102" s="25"/>
      <c r="AI102" s="72"/>
    </row>
    <row r="103" spans="1:35" ht="15.75" x14ac:dyDescent="0.25">
      <c r="D103" s="948">
        <f t="shared" si="31"/>
        <v>10592</v>
      </c>
      <c r="E103" s="9">
        <v>29</v>
      </c>
      <c r="F103" s="57">
        <f>+IF(D103&gt;366,interpoler('Courbe des taux'!$D$2:$D$50,'Courbe des taux'!$E$2:$E$50,D103),interpoler(_mat1,taux1,D103))</f>
        <v>4.0770806223479492E-2</v>
      </c>
      <c r="G103" s="104">
        <f>((1+F103)/(1-F103*SUM(H$71:H102)))^(1/E103)-1</f>
        <v>4.4285088272499218E-2</v>
      </c>
      <c r="H103" s="14">
        <f t="shared" si="32"/>
        <v>0.28460778714533902</v>
      </c>
      <c r="I103" s="570"/>
      <c r="J103" s="255">
        <f t="shared" si="30"/>
        <v>10950</v>
      </c>
      <c r="K103" s="1041">
        <v>30</v>
      </c>
      <c r="L103" s="1019">
        <f t="shared" si="33"/>
        <v>4.5151797799999997E-2</v>
      </c>
      <c r="R103" s="63"/>
      <c r="S103" t="s">
        <v>1323</v>
      </c>
      <c r="T103" s="69"/>
      <c r="U103" s="25">
        <f>+IF(U98&gt;$U$1,U102,0)</f>
        <v>0</v>
      </c>
      <c r="V103" s="25">
        <f>+IF(V98&gt;$U$1,V102,0)</f>
        <v>0</v>
      </c>
      <c r="W103" s="25">
        <f>+IF(W98&gt;$U$1,W102,0)</f>
        <v>0</v>
      </c>
      <c r="X103" s="25">
        <f>+IF(X98&gt;$U$1,X102,0)</f>
        <v>0</v>
      </c>
      <c r="Y103" s="25">
        <f>+IF(Y98&gt;$U$1,Y102,0)</f>
        <v>0</v>
      </c>
      <c r="Z103" s="25"/>
      <c r="AA103" s="25"/>
      <c r="AB103" s="25"/>
      <c r="AC103" s="25"/>
      <c r="AD103" s="25"/>
      <c r="AE103" s="25"/>
      <c r="AF103" s="25"/>
      <c r="AG103" s="25"/>
      <c r="AH103" s="25"/>
      <c r="AI103" s="72"/>
    </row>
    <row r="104" spans="1:35" ht="15.75" x14ac:dyDescent="0.25">
      <c r="D104" s="948">
        <f t="shared" si="31"/>
        <v>10958</v>
      </c>
      <c r="E104" s="9">
        <v>30</v>
      </c>
      <c r="F104" s="57">
        <f>+IF(D104&gt;366,interpoler('Courbe des taux'!$D$2:$D$50,'Courbe des taux'!$E$2:$E$50,D104),interpoler(_mat1,taux1,D104))</f>
        <v>4.1216011315417259E-2</v>
      </c>
      <c r="G104" s="104">
        <f>((1+F104)/(1-F104*SUM(H$71:H103)))^(1/E104)-1</f>
        <v>4.5151797845301544E-2</v>
      </c>
      <c r="H104" s="1053">
        <f>1/(1+G104)^E104</f>
        <v>0.26583908977450121</v>
      </c>
      <c r="I104" s="570"/>
      <c r="J104" s="255">
        <f t="shared" si="30"/>
        <v>0</v>
      </c>
      <c r="K104" s="1041"/>
      <c r="L104" s="951"/>
      <c r="R104" s="63"/>
      <c r="S104" t="s">
        <v>1324</v>
      </c>
      <c r="T104" s="73"/>
      <c r="U104">
        <f>+IF(T103=0,(U98-$U$1)/(U98-T98),T104+1)</f>
        <v>-20.350684931506848</v>
      </c>
      <c r="V104">
        <f>+IF(U103=0,(V98-$U$1)/(V98-U98),U104+1)</f>
        <v>-19.350684931506848</v>
      </c>
      <c r="W104">
        <f>+IF(V103=0,(W98-$U$1)/(W98-V98),V104+1)</f>
        <v>-18.350684931506848</v>
      </c>
      <c r="X104">
        <f>+IF(W103=0,(X98-$U$1)/(X98-W98),W104+1)</f>
        <v>-17.300546448087431</v>
      </c>
      <c r="Y104">
        <f>+IF(X103=0,(Y98-$U$1)/(Y98-X98),X104+1)</f>
        <v>-16.347945205479451</v>
      </c>
    </row>
    <row r="105" spans="1:35" x14ac:dyDescent="0.2">
      <c r="R105" s="63"/>
      <c r="S105" s="29" t="s">
        <v>1325</v>
      </c>
      <c r="T105" s="68"/>
      <c r="U105" s="68" cm="1">
        <f t="array" ref="U105">IF(U104&lt;1,interpoler(mat_court,taux_court_act,U104*(U98-T98)),interpoler(mat,taux,U104))</f>
        <v>2.3281430422376737E-2</v>
      </c>
      <c r="V105" s="68" cm="1">
        <f t="array" ref="V105">IF(V104&lt;1,interpoler(mat_court,taux_court_act,V104*(V98-U98)),interpoler(mat,taux,V104))</f>
        <v>2.3281430422376737E-2</v>
      </c>
      <c r="W105" s="68" cm="1">
        <f t="array" ref="W105">IF(W104&lt;1,interpoler(mat_court,taux_court_act,W104*(W98-V98)),interpoler(mat,taux,W104))</f>
        <v>2.3281430422376737E-2</v>
      </c>
      <c r="X105" s="68" cm="1">
        <f t="array" ref="X105">IF(X104&lt;1,interpoler(mat_court,taux_court_act,X104*(X98-W98)),interpoler(mat,taux,X104))</f>
        <v>2.3281430422376737E-2</v>
      </c>
      <c r="Y105" s="68" cm="1">
        <f t="array" ref="Y105">IF(Y104&lt;1,interpoler(mat_court,taux_court_act,Y104*(Y98-X98)),interpoler(mat,taux,Y104))</f>
        <v>2.3281430422376737E-2</v>
      </c>
      <c r="Z105" s="68"/>
      <c r="AA105" s="68"/>
      <c r="AB105" s="68"/>
      <c r="AC105" s="68"/>
      <c r="AD105" s="68"/>
      <c r="AE105" s="68"/>
      <c r="AF105" s="68"/>
      <c r="AG105" s="68"/>
      <c r="AH105" s="68"/>
      <c r="AI105" s="74"/>
    </row>
    <row r="106" spans="1:35" x14ac:dyDescent="0.2">
      <c r="R106" s="63"/>
      <c r="S106" t="s">
        <v>1328</v>
      </c>
      <c r="T106" s="68"/>
      <c r="U106" s="29">
        <v>1.4500000000000001E-2</v>
      </c>
      <c r="V106" s="29">
        <f>+U106</f>
        <v>1.4500000000000001E-2</v>
      </c>
      <c r="W106" s="29">
        <f>+V106</f>
        <v>1.4500000000000001E-2</v>
      </c>
      <c r="X106" s="29">
        <f>+W106</f>
        <v>1.4500000000000001E-2</v>
      </c>
      <c r="Y106" s="29">
        <f>+X106</f>
        <v>1.4500000000000001E-2</v>
      </c>
      <c r="Z106" s="29"/>
      <c r="AA106" s="29"/>
      <c r="AB106" s="29"/>
      <c r="AC106" s="29"/>
      <c r="AD106" s="29"/>
      <c r="AE106" s="29"/>
      <c r="AF106" s="29"/>
      <c r="AG106" s="29"/>
      <c r="AH106" s="29"/>
      <c r="AI106" s="75"/>
    </row>
    <row r="107" spans="1:35" x14ac:dyDescent="0.2">
      <c r="R107" s="63"/>
      <c r="S107" t="s">
        <v>1329</v>
      </c>
      <c r="T107" s="68"/>
      <c r="U107" s="13">
        <f>+ROUND(U105+U106,6)</f>
        <v>3.7781000000000002E-2</v>
      </c>
      <c r="V107" s="13">
        <f>+ROUND(V105+V106,6)</f>
        <v>3.7781000000000002E-2</v>
      </c>
      <c r="W107" s="13">
        <f>+ROUND(W105+W106,6)</f>
        <v>3.7781000000000002E-2</v>
      </c>
      <c r="X107" s="13">
        <f>+ROUND(X105+X106,6)</f>
        <v>3.7781000000000002E-2</v>
      </c>
      <c r="Y107" s="13">
        <f>+ROUND(Y105+Y106,6)</f>
        <v>3.7781000000000002E-2</v>
      </c>
      <c r="Z107" s="13"/>
      <c r="AA107" s="13"/>
      <c r="AB107" s="13"/>
      <c r="AC107" s="13"/>
      <c r="AD107" s="13"/>
      <c r="AE107" s="13"/>
      <c r="AF107" s="13"/>
      <c r="AG107" s="13"/>
      <c r="AH107" s="13"/>
      <c r="AI107" s="76"/>
    </row>
    <row r="108" spans="1:35" x14ac:dyDescent="0.2">
      <c r="R108" s="63"/>
      <c r="T108" s="68"/>
      <c r="U108" s="69">
        <f>+U103/(1+U107)^U104</f>
        <v>0</v>
      </c>
      <c r="V108" s="69">
        <f>+V103/(1+V107)^V104</f>
        <v>0</v>
      </c>
      <c r="W108" s="69">
        <f>+W103/(1+W107)^W104</f>
        <v>0</v>
      </c>
      <c r="X108" s="69">
        <f>+X103/(1+X107)^X104</f>
        <v>0</v>
      </c>
      <c r="Y108" s="69">
        <f>+Y103/(1+Y107)^Y104</f>
        <v>0</v>
      </c>
      <c r="Z108" s="69"/>
      <c r="AA108" s="69"/>
      <c r="AB108" s="69"/>
      <c r="AC108" s="69"/>
      <c r="AD108" s="69"/>
      <c r="AE108" s="69"/>
      <c r="AF108" s="69"/>
      <c r="AG108" s="69"/>
      <c r="AH108" s="69"/>
      <c r="AI108" s="70"/>
    </row>
    <row r="109" spans="1:35" x14ac:dyDescent="0.2">
      <c r="R109" s="63"/>
      <c r="T109" s="68"/>
      <c r="U109" s="13"/>
      <c r="V109" s="13"/>
      <c r="W109" s="13"/>
      <c r="X109" s="13"/>
      <c r="Y109" s="13"/>
      <c r="Z109" s="13"/>
      <c r="AA109" s="13"/>
      <c r="AB109" s="13"/>
      <c r="AC109" s="13"/>
      <c r="AD109" s="13"/>
      <c r="AE109" s="13"/>
      <c r="AF109" s="13"/>
      <c r="AG109" s="13"/>
      <c r="AH109" s="13"/>
      <c r="AI109" s="76"/>
    </row>
    <row r="110" spans="1:35" x14ac:dyDescent="0.2">
      <c r="R110" s="63"/>
      <c r="S110" t="s">
        <v>650</v>
      </c>
      <c r="T110" s="77">
        <f>+SUM(U108:AI108)</f>
        <v>0</v>
      </c>
      <c r="U110" s="13"/>
      <c r="V110" s="13"/>
      <c r="W110" s="13"/>
      <c r="X110" s="13"/>
      <c r="Y110" s="13"/>
      <c r="Z110" s="13"/>
      <c r="AA110" s="13"/>
      <c r="AB110" s="13"/>
      <c r="AC110" s="13"/>
      <c r="AD110" s="13"/>
      <c r="AE110" s="13"/>
      <c r="AF110" s="13"/>
      <c r="AG110" s="13"/>
      <c r="AH110" s="13"/>
      <c r="AI110" s="76"/>
    </row>
    <row r="111" spans="1:35" ht="13.5" thickBot="1" x14ac:dyDescent="0.25">
      <c r="R111" s="78"/>
      <c r="S111" s="79" t="s">
        <v>1331</v>
      </c>
      <c r="T111" s="80" t="e">
        <f>+SUMPRODUCT(U104:AI104,U108:AI108)/T110</f>
        <v>#DIV/0!</v>
      </c>
      <c r="U111" s="79"/>
      <c r="V111" s="79"/>
      <c r="W111" s="79"/>
      <c r="X111" s="79"/>
      <c r="Y111" s="79"/>
      <c r="Z111" s="79"/>
      <c r="AA111" s="79"/>
      <c r="AB111" s="79"/>
      <c r="AC111" s="79"/>
      <c r="AD111" s="79"/>
      <c r="AE111" s="79"/>
      <c r="AF111" s="79"/>
      <c r="AG111" s="79"/>
      <c r="AH111" s="79"/>
      <c r="AI111" s="81"/>
    </row>
    <row r="114" spans="18:35" ht="13.5" thickBot="1" x14ac:dyDescent="0.25"/>
    <row r="115" spans="18:35" ht="15.75" x14ac:dyDescent="0.25">
      <c r="R115" s="82" t="s">
        <v>367</v>
      </c>
      <c r="S115" s="59"/>
      <c r="T115" s="60" t="s">
        <v>103</v>
      </c>
      <c r="U115" s="61">
        <f>+U96</f>
        <v>46107</v>
      </c>
      <c r="V115" s="59"/>
      <c r="W115" s="59"/>
      <c r="X115" s="59"/>
      <c r="Y115" s="59"/>
      <c r="Z115" s="59"/>
      <c r="AA115" s="59"/>
      <c r="AB115" s="59"/>
      <c r="AC115" s="59"/>
      <c r="AD115" s="59"/>
      <c r="AE115" s="59"/>
      <c r="AF115" s="59"/>
      <c r="AG115" s="59"/>
      <c r="AH115" s="59"/>
      <c r="AI115" s="62"/>
    </row>
    <row r="116" spans="18:35" x14ac:dyDescent="0.2">
      <c r="R116" s="63"/>
      <c r="T116" s="64" t="s">
        <v>105</v>
      </c>
      <c r="U116" s="13">
        <v>0.105</v>
      </c>
      <c r="V116" s="13"/>
      <c r="AI116" s="65"/>
    </row>
    <row r="117" spans="18:35" x14ac:dyDescent="0.2">
      <c r="R117" s="63"/>
      <c r="T117" s="66">
        <v>35611</v>
      </c>
      <c r="U117" s="8">
        <v>35976</v>
      </c>
      <c r="V117" s="66">
        <v>36341</v>
      </c>
      <c r="W117" s="8">
        <v>36707</v>
      </c>
      <c r="X117" s="66">
        <v>37072</v>
      </c>
      <c r="Y117" s="8">
        <v>37437</v>
      </c>
      <c r="Z117" s="66">
        <v>37802</v>
      </c>
      <c r="AA117" s="8">
        <v>38168</v>
      </c>
      <c r="AB117" s="66">
        <v>38533</v>
      </c>
      <c r="AC117" s="8">
        <v>38898</v>
      </c>
      <c r="AD117" s="66">
        <v>39263</v>
      </c>
      <c r="AE117" s="8">
        <v>39629</v>
      </c>
      <c r="AF117" s="66">
        <v>39994</v>
      </c>
      <c r="AG117" s="8">
        <v>40359</v>
      </c>
      <c r="AH117" s="66">
        <v>40724</v>
      </c>
      <c r="AI117" s="8">
        <v>41090</v>
      </c>
    </row>
    <row r="118" spans="18:35" x14ac:dyDescent="0.2">
      <c r="R118" s="63"/>
      <c r="S118" t="s">
        <v>1318</v>
      </c>
      <c r="T118" s="68"/>
      <c r="U118" s="69">
        <v>10000</v>
      </c>
      <c r="V118" s="69">
        <v>10000</v>
      </c>
      <c r="W118" s="69">
        <v>10000</v>
      </c>
      <c r="X118" s="69">
        <v>10000</v>
      </c>
      <c r="Y118" s="69">
        <v>10000</v>
      </c>
      <c r="Z118" s="69">
        <v>10000</v>
      </c>
      <c r="AA118" s="69">
        <v>10000</v>
      </c>
      <c r="AB118" s="69">
        <v>10000</v>
      </c>
      <c r="AC118" s="69">
        <v>10000</v>
      </c>
      <c r="AD118" s="69">
        <v>10000</v>
      </c>
      <c r="AE118" s="69">
        <v>10000</v>
      </c>
      <c r="AF118" s="69">
        <v>10000</v>
      </c>
      <c r="AG118" s="69">
        <v>10000</v>
      </c>
      <c r="AH118" s="69">
        <v>10000</v>
      </c>
      <c r="AI118" s="70">
        <v>10000</v>
      </c>
    </row>
    <row r="119" spans="18:35" x14ac:dyDescent="0.2">
      <c r="R119" s="63"/>
      <c r="S119" t="s">
        <v>1320</v>
      </c>
      <c r="T119" s="69">
        <v>150000</v>
      </c>
      <c r="U119" s="23">
        <f t="shared" ref="U119:AI119" si="34">+T119-U118</f>
        <v>140000</v>
      </c>
      <c r="V119" s="23">
        <f t="shared" si="34"/>
        <v>130000</v>
      </c>
      <c r="W119" s="23">
        <f t="shared" si="34"/>
        <v>120000</v>
      </c>
      <c r="X119" s="23">
        <f t="shared" si="34"/>
        <v>110000</v>
      </c>
      <c r="Y119" s="23">
        <f t="shared" si="34"/>
        <v>100000</v>
      </c>
      <c r="Z119" s="23">
        <f t="shared" si="34"/>
        <v>90000</v>
      </c>
      <c r="AA119" s="23">
        <f t="shared" si="34"/>
        <v>80000</v>
      </c>
      <c r="AB119" s="23">
        <f t="shared" si="34"/>
        <v>70000</v>
      </c>
      <c r="AC119" s="23">
        <f t="shared" si="34"/>
        <v>60000</v>
      </c>
      <c r="AD119" s="23">
        <f t="shared" si="34"/>
        <v>50000</v>
      </c>
      <c r="AE119" s="23">
        <f t="shared" si="34"/>
        <v>40000</v>
      </c>
      <c r="AF119" s="23">
        <f t="shared" si="34"/>
        <v>30000</v>
      </c>
      <c r="AG119" s="23">
        <f t="shared" si="34"/>
        <v>20000</v>
      </c>
      <c r="AH119" s="23">
        <f t="shared" si="34"/>
        <v>10000</v>
      </c>
      <c r="AI119" s="71">
        <f t="shared" si="34"/>
        <v>0</v>
      </c>
    </row>
    <row r="120" spans="18:35" x14ac:dyDescent="0.2">
      <c r="R120" s="63"/>
      <c r="S120" t="s">
        <v>1321</v>
      </c>
      <c r="T120" s="68"/>
      <c r="U120" s="25">
        <f>+$U$116*T119</f>
        <v>15750</v>
      </c>
      <c r="V120" s="25">
        <f t="shared" ref="V120:AI120" si="35">+$U$116*U119</f>
        <v>14700</v>
      </c>
      <c r="W120" s="25">
        <f t="shared" si="35"/>
        <v>13650</v>
      </c>
      <c r="X120" s="25">
        <f t="shared" si="35"/>
        <v>12600</v>
      </c>
      <c r="Y120" s="25">
        <f t="shared" si="35"/>
        <v>11550</v>
      </c>
      <c r="Z120" s="25">
        <f t="shared" si="35"/>
        <v>10500</v>
      </c>
      <c r="AA120" s="25">
        <f t="shared" si="35"/>
        <v>9450</v>
      </c>
      <c r="AB120" s="25">
        <f t="shared" si="35"/>
        <v>8400</v>
      </c>
      <c r="AC120" s="25">
        <f t="shared" si="35"/>
        <v>7350</v>
      </c>
      <c r="AD120" s="25">
        <f t="shared" si="35"/>
        <v>6300</v>
      </c>
      <c r="AE120" s="25">
        <f t="shared" si="35"/>
        <v>5250</v>
      </c>
      <c r="AF120" s="25">
        <f t="shared" si="35"/>
        <v>4200</v>
      </c>
      <c r="AG120" s="25">
        <f t="shared" si="35"/>
        <v>3150</v>
      </c>
      <c r="AH120" s="25">
        <f t="shared" si="35"/>
        <v>2100</v>
      </c>
      <c r="AI120" s="25">
        <f t="shared" si="35"/>
        <v>1050</v>
      </c>
    </row>
    <row r="121" spans="18:35" x14ac:dyDescent="0.2">
      <c r="R121" s="63"/>
      <c r="S121" t="s">
        <v>1322</v>
      </c>
      <c r="T121" s="68"/>
      <c r="U121" s="25">
        <f t="shared" ref="U121:AI121" si="36">+U120+U118</f>
        <v>25750</v>
      </c>
      <c r="V121" s="25">
        <f t="shared" si="36"/>
        <v>24700</v>
      </c>
      <c r="W121" s="25">
        <f t="shared" si="36"/>
        <v>23650</v>
      </c>
      <c r="X121" s="25">
        <f t="shared" si="36"/>
        <v>22600</v>
      </c>
      <c r="Y121" s="25">
        <f t="shared" si="36"/>
        <v>21550</v>
      </c>
      <c r="Z121" s="25">
        <f t="shared" si="36"/>
        <v>20500</v>
      </c>
      <c r="AA121" s="25">
        <f t="shared" si="36"/>
        <v>19450</v>
      </c>
      <c r="AB121" s="25">
        <f t="shared" si="36"/>
        <v>18400</v>
      </c>
      <c r="AC121" s="25">
        <f t="shared" si="36"/>
        <v>17350</v>
      </c>
      <c r="AD121" s="25">
        <f t="shared" si="36"/>
        <v>16300</v>
      </c>
      <c r="AE121" s="25">
        <f t="shared" si="36"/>
        <v>15250</v>
      </c>
      <c r="AF121" s="25">
        <f t="shared" si="36"/>
        <v>14200</v>
      </c>
      <c r="AG121" s="25">
        <f t="shared" si="36"/>
        <v>13150</v>
      </c>
      <c r="AH121" s="25">
        <f t="shared" si="36"/>
        <v>12100</v>
      </c>
      <c r="AI121" s="72">
        <f t="shared" si="36"/>
        <v>11050</v>
      </c>
    </row>
    <row r="122" spans="18:35" x14ac:dyDescent="0.2">
      <c r="R122" s="63"/>
      <c r="S122" t="s">
        <v>1323</v>
      </c>
      <c r="T122" s="69"/>
      <c r="U122" s="25">
        <f t="shared" ref="U122:AI122" si="37">+IF(U117&gt;$U$1,U121,0)</f>
        <v>0</v>
      </c>
      <c r="V122" s="25">
        <f t="shared" si="37"/>
        <v>0</v>
      </c>
      <c r="W122" s="25">
        <f t="shared" si="37"/>
        <v>0</v>
      </c>
      <c r="X122" s="25">
        <f t="shared" si="37"/>
        <v>0</v>
      </c>
      <c r="Y122" s="25">
        <f t="shared" si="37"/>
        <v>0</v>
      </c>
      <c r="Z122" s="25">
        <f t="shared" si="37"/>
        <v>0</v>
      </c>
      <c r="AA122" s="25">
        <f t="shared" si="37"/>
        <v>0</v>
      </c>
      <c r="AB122" s="25">
        <f t="shared" si="37"/>
        <v>0</v>
      </c>
      <c r="AC122" s="25">
        <f t="shared" si="37"/>
        <v>0</v>
      </c>
      <c r="AD122" s="25">
        <f t="shared" si="37"/>
        <v>0</v>
      </c>
      <c r="AE122" s="25">
        <f t="shared" si="37"/>
        <v>0</v>
      </c>
      <c r="AF122" s="25">
        <f t="shared" si="37"/>
        <v>0</v>
      </c>
      <c r="AG122" s="25">
        <f t="shared" si="37"/>
        <v>0</v>
      </c>
      <c r="AH122" s="25">
        <f t="shared" si="37"/>
        <v>0</v>
      </c>
      <c r="AI122" s="72">
        <f t="shared" si="37"/>
        <v>0</v>
      </c>
    </row>
    <row r="123" spans="18:35" x14ac:dyDescent="0.2">
      <c r="R123" s="63"/>
      <c r="S123" t="s">
        <v>1324</v>
      </c>
      <c r="T123" s="73"/>
      <c r="U123">
        <f t="shared" ref="U123:AI123" si="38">+IF(T122=0,(U117-$U$1)/(U117-T117),T123+1)</f>
        <v>-27.756164383561643</v>
      </c>
      <c r="V123">
        <f t="shared" si="38"/>
        <v>-26.756164383561643</v>
      </c>
      <c r="W123">
        <f t="shared" si="38"/>
        <v>-25.683060109289617</v>
      </c>
      <c r="X123">
        <f t="shared" si="38"/>
        <v>-24.753424657534246</v>
      </c>
      <c r="Y123">
        <f t="shared" si="38"/>
        <v>-23.753424657534246</v>
      </c>
      <c r="Z123">
        <f t="shared" si="38"/>
        <v>-22.753424657534246</v>
      </c>
      <c r="AA123">
        <f t="shared" si="38"/>
        <v>-21.691256830601095</v>
      </c>
      <c r="AB123">
        <f t="shared" si="38"/>
        <v>-20.75068493150685</v>
      </c>
      <c r="AC123">
        <f t="shared" si="38"/>
        <v>-19.75068493150685</v>
      </c>
      <c r="AD123">
        <f t="shared" si="38"/>
        <v>-18.75068493150685</v>
      </c>
      <c r="AE123">
        <f t="shared" si="38"/>
        <v>-17.699453551912569</v>
      </c>
      <c r="AF123">
        <f t="shared" si="38"/>
        <v>-16.747945205479454</v>
      </c>
      <c r="AG123">
        <f t="shared" si="38"/>
        <v>-15.747945205479452</v>
      </c>
      <c r="AH123">
        <f t="shared" si="38"/>
        <v>-14.747945205479452</v>
      </c>
      <c r="AI123">
        <f t="shared" si="38"/>
        <v>-13.707650273224044</v>
      </c>
    </row>
    <row r="124" spans="18:35" x14ac:dyDescent="0.2">
      <c r="R124" s="63"/>
      <c r="S124" s="29" t="s">
        <v>1325</v>
      </c>
      <c r="T124" s="68"/>
      <c r="U124" s="68" cm="1">
        <f t="array" ref="U124">IF(U123&lt;1,interpoler(mat_court,taux_court_act,U123*(U117-T117)),interpoler(mat,taux,U123))</f>
        <v>2.3281430422376737E-2</v>
      </c>
      <c r="V124" s="68" cm="1">
        <f t="array" ref="V124">IF(V123&lt;1,interpoler(mat_court,taux_court_act,V123*(V117-U117)),interpoler(mat,taux,V123))</f>
        <v>2.3281430422376737E-2</v>
      </c>
      <c r="W124" s="68" cm="1">
        <f t="array" ref="W124">IF(W123&lt;1,interpoler(mat_court,taux_court_act,W123*(W117-V117)),interpoler(mat,taux,W123))</f>
        <v>2.3281430422376737E-2</v>
      </c>
      <c r="X124" s="68" cm="1">
        <f t="array" ref="X124">IF(X123&lt;1,interpoler(mat_court,taux_court_act,X123*(X117-W117)),interpoler(mat,taux,X123))</f>
        <v>2.3281430422376737E-2</v>
      </c>
      <c r="Y124" s="68" cm="1">
        <f t="array" ref="Y124">IF(Y123&lt;1,interpoler(mat_court,taux_court_act,Y123*(Y117-X117)),interpoler(mat,taux,Y123))</f>
        <v>2.3281430422376737E-2</v>
      </c>
      <c r="Z124" s="68" cm="1">
        <f t="array" ref="Z124">IF(Z123&lt;1,interpoler(mat_court,taux_court_act,Z123*(Z117-Y117)),interpoler(mat,taux,Z123))</f>
        <v>2.3281430422376737E-2</v>
      </c>
      <c r="AA124" s="68" cm="1">
        <f t="array" ref="AA124">IF(AA123&lt;1,interpoler(mat_court,taux_court_act,AA123*(AA117-Z117)),interpoler(mat,taux,AA123))</f>
        <v>2.3281430422376737E-2</v>
      </c>
      <c r="AB124" s="68" cm="1">
        <f t="array" ref="AB124">IF(AB123&lt;1,interpoler(mat_court,taux_court_act,AB123*(AB117-AA117)),interpoler(mat,taux,AB123))</f>
        <v>2.3281430422376737E-2</v>
      </c>
      <c r="AC124" s="73" cm="1">
        <f t="array" ref="AC124">IF(AC123&lt;1,interpoler(mat_court,taux_court_act,AC123*(AC117-AB117)),interpoler(mat,taux,AC123))</f>
        <v>2.3281430422376737E-2</v>
      </c>
      <c r="AD124" s="68" cm="1">
        <f t="array" ref="AD124">IF(AD123&lt;1,interpoler(mat_court,taux_court_act,AD123*(AD117-AC117)),interpoler(mat,taux,AD123))</f>
        <v>2.3281430422376737E-2</v>
      </c>
      <c r="AE124" s="68" cm="1">
        <f t="array" ref="AE124">IF(AE123&lt;1,interpoler(mat_court,taux_court_act,AE123*(AE117-AD117)),interpoler(mat,taux,AE123))</f>
        <v>2.3281430422376737E-2</v>
      </c>
      <c r="AF124" s="68" cm="1">
        <f t="array" ref="AF124">IF(AF123&lt;1,interpoler(mat_court,taux_court_act,AF123*(AF117-AE117)),interpoler(mat,taux,AF123))</f>
        <v>2.3281430422376737E-2</v>
      </c>
      <c r="AG124" s="68" cm="1">
        <f t="array" ref="AG124">IF(AG123&lt;1,interpoler(mat_court,taux_court_act,AG123*(AG117-AF117)),interpoler(mat,taux,AG123))</f>
        <v>2.3281430422376737E-2</v>
      </c>
      <c r="AH124" s="68" cm="1">
        <f t="array" ref="AH124">IF(AH123&lt;1,interpoler(mat_court,taux_court_act,AH123*(AH117-AG117)),interpoler(mat,taux,AH123))</f>
        <v>2.3281430422376737E-2</v>
      </c>
      <c r="AI124" s="68" cm="1">
        <f t="array" ref="AI124">IF(AI123&lt;1,interpoler(mat_court,taux_court_act,AI123*(AI117-AH117)),interpoler(mat,taux,AI123))</f>
        <v>2.3281430422376737E-2</v>
      </c>
    </row>
    <row r="125" spans="18:35" x14ac:dyDescent="0.2">
      <c r="R125" s="63"/>
      <c r="S125" t="s">
        <v>1328</v>
      </c>
      <c r="T125" s="68"/>
      <c r="U125" s="29">
        <v>7.4999999999999997E-3</v>
      </c>
      <c r="V125" s="29">
        <f t="shared" ref="V125:AI125" si="39">+U125</f>
        <v>7.4999999999999997E-3</v>
      </c>
      <c r="W125" s="29">
        <f t="shared" si="39"/>
        <v>7.4999999999999997E-3</v>
      </c>
      <c r="X125" s="29">
        <f t="shared" si="39"/>
        <v>7.4999999999999997E-3</v>
      </c>
      <c r="Y125" s="29">
        <f t="shared" si="39"/>
        <v>7.4999999999999997E-3</v>
      </c>
      <c r="Z125" s="29">
        <f t="shared" si="39"/>
        <v>7.4999999999999997E-3</v>
      </c>
      <c r="AA125" s="29">
        <f t="shared" si="39"/>
        <v>7.4999999999999997E-3</v>
      </c>
      <c r="AB125" s="29">
        <f t="shared" si="39"/>
        <v>7.4999999999999997E-3</v>
      </c>
      <c r="AC125" s="29">
        <f t="shared" si="39"/>
        <v>7.4999999999999997E-3</v>
      </c>
      <c r="AD125" s="29">
        <f t="shared" si="39"/>
        <v>7.4999999999999997E-3</v>
      </c>
      <c r="AE125" s="29">
        <f t="shared" si="39"/>
        <v>7.4999999999999997E-3</v>
      </c>
      <c r="AF125" s="29">
        <f t="shared" si="39"/>
        <v>7.4999999999999997E-3</v>
      </c>
      <c r="AG125" s="29">
        <f t="shared" si="39"/>
        <v>7.4999999999999997E-3</v>
      </c>
      <c r="AH125" s="29">
        <f t="shared" si="39"/>
        <v>7.4999999999999997E-3</v>
      </c>
      <c r="AI125" s="75">
        <f t="shared" si="39"/>
        <v>7.4999999999999997E-3</v>
      </c>
    </row>
    <row r="126" spans="18:35" x14ac:dyDescent="0.2">
      <c r="R126" s="63"/>
      <c r="S126" t="s">
        <v>1329</v>
      </c>
      <c r="T126" s="68"/>
      <c r="U126" s="13">
        <f t="shared" ref="U126:AI126" si="40">+ROUND(U124+U125,6)</f>
        <v>3.0780999999999999E-2</v>
      </c>
      <c r="V126" s="13">
        <f t="shared" si="40"/>
        <v>3.0780999999999999E-2</v>
      </c>
      <c r="W126" s="13">
        <f t="shared" si="40"/>
        <v>3.0780999999999999E-2</v>
      </c>
      <c r="X126" s="13">
        <f t="shared" si="40"/>
        <v>3.0780999999999999E-2</v>
      </c>
      <c r="Y126" s="13">
        <f t="shared" si="40"/>
        <v>3.0780999999999999E-2</v>
      </c>
      <c r="Z126" s="13">
        <f t="shared" si="40"/>
        <v>3.0780999999999999E-2</v>
      </c>
      <c r="AA126" s="13">
        <f t="shared" si="40"/>
        <v>3.0780999999999999E-2</v>
      </c>
      <c r="AB126" s="13">
        <f t="shared" si="40"/>
        <v>3.0780999999999999E-2</v>
      </c>
      <c r="AC126" s="13">
        <f t="shared" si="40"/>
        <v>3.0780999999999999E-2</v>
      </c>
      <c r="AD126" s="13">
        <f t="shared" si="40"/>
        <v>3.0780999999999999E-2</v>
      </c>
      <c r="AE126" s="13">
        <f t="shared" si="40"/>
        <v>3.0780999999999999E-2</v>
      </c>
      <c r="AF126" s="13">
        <f t="shared" si="40"/>
        <v>3.0780999999999999E-2</v>
      </c>
      <c r="AG126" s="13">
        <f t="shared" si="40"/>
        <v>3.0780999999999999E-2</v>
      </c>
      <c r="AH126" s="13">
        <f t="shared" si="40"/>
        <v>3.0780999999999999E-2</v>
      </c>
      <c r="AI126" s="13">
        <f t="shared" si="40"/>
        <v>3.0780999999999999E-2</v>
      </c>
    </row>
    <row r="127" spans="18:35" x14ac:dyDescent="0.2">
      <c r="R127" s="63"/>
      <c r="T127" s="68"/>
      <c r="U127" s="69">
        <f t="shared" ref="U127:AI127" si="41">+U122/(1+U126)^U123</f>
        <v>0</v>
      </c>
      <c r="V127" s="69">
        <f t="shared" si="41"/>
        <v>0</v>
      </c>
      <c r="W127" s="69">
        <f t="shared" si="41"/>
        <v>0</v>
      </c>
      <c r="X127" s="69">
        <f t="shared" si="41"/>
        <v>0</v>
      </c>
      <c r="Y127" s="69">
        <f t="shared" si="41"/>
        <v>0</v>
      </c>
      <c r="Z127" s="69">
        <f t="shared" si="41"/>
        <v>0</v>
      </c>
      <c r="AA127" s="69">
        <f t="shared" si="41"/>
        <v>0</v>
      </c>
      <c r="AB127" s="69">
        <f t="shared" si="41"/>
        <v>0</v>
      </c>
      <c r="AC127" s="69">
        <f t="shared" si="41"/>
        <v>0</v>
      </c>
      <c r="AD127" s="69">
        <f t="shared" si="41"/>
        <v>0</v>
      </c>
      <c r="AE127" s="69">
        <f t="shared" si="41"/>
        <v>0</v>
      </c>
      <c r="AF127" s="69">
        <f t="shared" si="41"/>
        <v>0</v>
      </c>
      <c r="AG127" s="69">
        <f t="shared" si="41"/>
        <v>0</v>
      </c>
      <c r="AH127" s="69">
        <f t="shared" si="41"/>
        <v>0</v>
      </c>
      <c r="AI127" s="70">
        <f t="shared" si="41"/>
        <v>0</v>
      </c>
    </row>
    <row r="128" spans="18:35" x14ac:dyDescent="0.2">
      <c r="R128" s="63"/>
      <c r="T128" s="68"/>
      <c r="U128" s="13"/>
      <c r="V128" s="13"/>
      <c r="W128" s="13"/>
      <c r="X128" s="13"/>
      <c r="Y128" s="13"/>
      <c r="Z128" s="13"/>
      <c r="AA128" s="13"/>
      <c r="AB128" s="13"/>
      <c r="AC128" s="13"/>
      <c r="AD128" s="13"/>
      <c r="AE128" s="13"/>
      <c r="AF128" s="13"/>
      <c r="AG128" s="13"/>
      <c r="AH128" s="13"/>
      <c r="AI128" s="76"/>
    </row>
    <row r="129" spans="18:35" x14ac:dyDescent="0.2">
      <c r="R129" s="63"/>
      <c r="S129" t="s">
        <v>650</v>
      </c>
      <c r="T129" s="77">
        <f>+SUM(U127:AI127)</f>
        <v>0</v>
      </c>
      <c r="U129" s="13"/>
      <c r="V129" s="13"/>
      <c r="W129" s="13"/>
      <c r="X129" s="13"/>
      <c r="Y129" s="13"/>
      <c r="Z129" s="13"/>
      <c r="AA129" s="13"/>
      <c r="AB129" s="13"/>
      <c r="AC129" s="13"/>
      <c r="AD129" s="13"/>
      <c r="AE129" s="13"/>
      <c r="AF129" s="13"/>
      <c r="AG129" s="13"/>
      <c r="AH129" s="13"/>
      <c r="AI129" s="76"/>
    </row>
    <row r="130" spans="18:35" ht="13.5" thickBot="1" x14ac:dyDescent="0.25">
      <c r="R130" s="78"/>
      <c r="S130" s="79" t="s">
        <v>1331</v>
      </c>
      <c r="T130" s="80" t="e">
        <f>+SUMPRODUCT(U123:AI123,U127:AI127)/T129</f>
        <v>#DIV/0!</v>
      </c>
      <c r="U130" s="79"/>
      <c r="V130" s="79"/>
      <c r="W130" s="79"/>
      <c r="X130" s="79"/>
      <c r="Y130" s="79"/>
      <c r="Z130" s="79"/>
      <c r="AA130" s="79"/>
      <c r="AB130" s="79"/>
      <c r="AC130" s="79"/>
      <c r="AD130" s="79"/>
      <c r="AE130" s="79"/>
      <c r="AF130" s="79"/>
      <c r="AG130" s="79"/>
      <c r="AH130" s="79"/>
      <c r="AI130" s="81"/>
    </row>
    <row r="133" spans="18:35" ht="13.5" thickBot="1" x14ac:dyDescent="0.25">
      <c r="R133">
        <v>2031</v>
      </c>
    </row>
    <row r="134" spans="18:35" ht="15.75" x14ac:dyDescent="0.25">
      <c r="R134" s="82" t="s">
        <v>367</v>
      </c>
      <c r="S134" s="59"/>
      <c r="T134" s="60" t="s">
        <v>103</v>
      </c>
      <c r="U134" s="61">
        <f>+U115</f>
        <v>46107</v>
      </c>
      <c r="V134" s="59"/>
      <c r="W134" s="59"/>
      <c r="X134" s="59"/>
      <c r="Y134" s="59"/>
      <c r="Z134" s="59"/>
      <c r="AA134" s="59"/>
      <c r="AB134" s="59"/>
      <c r="AC134" s="59"/>
      <c r="AD134" s="59"/>
      <c r="AE134" s="59"/>
      <c r="AF134" s="59"/>
      <c r="AG134" s="59"/>
      <c r="AH134" s="59"/>
      <c r="AI134" s="62"/>
    </row>
    <row r="135" spans="18:35" x14ac:dyDescent="0.2">
      <c r="R135" s="63"/>
      <c r="T135" s="64" t="s">
        <v>105</v>
      </c>
      <c r="U135" s="13">
        <v>0.11</v>
      </c>
      <c r="V135" s="13"/>
      <c r="AI135" s="65"/>
    </row>
    <row r="136" spans="18:35" x14ac:dyDescent="0.2">
      <c r="R136" s="63"/>
      <c r="T136" s="66">
        <v>34466</v>
      </c>
      <c r="U136" s="8">
        <v>34831</v>
      </c>
      <c r="V136" s="66">
        <v>35197</v>
      </c>
      <c r="W136" s="8">
        <v>35562</v>
      </c>
      <c r="X136" s="66">
        <v>35927</v>
      </c>
      <c r="Y136" s="8">
        <v>36292</v>
      </c>
      <c r="Z136" s="66">
        <v>36658</v>
      </c>
      <c r="AA136" s="8">
        <v>37023</v>
      </c>
      <c r="AB136" s="66">
        <v>37388</v>
      </c>
      <c r="AC136" s="8">
        <v>37753</v>
      </c>
      <c r="AD136" s="66">
        <v>38119</v>
      </c>
      <c r="AE136" s="8">
        <v>38484</v>
      </c>
      <c r="AF136" s="66">
        <v>38849</v>
      </c>
      <c r="AG136" s="8">
        <v>39214</v>
      </c>
      <c r="AH136" s="66">
        <v>39580</v>
      </c>
      <c r="AI136" s="8">
        <v>39945</v>
      </c>
    </row>
    <row r="137" spans="18:35" x14ac:dyDescent="0.2">
      <c r="R137" s="63"/>
      <c r="S137" t="s">
        <v>1318</v>
      </c>
      <c r="T137" s="68"/>
      <c r="U137" s="69">
        <f t="shared" ref="U137:AI137" si="42">ROUND(200000/15,2)</f>
        <v>13333.33</v>
      </c>
      <c r="V137" s="69">
        <f t="shared" si="42"/>
        <v>13333.33</v>
      </c>
      <c r="W137" s="69">
        <f t="shared" si="42"/>
        <v>13333.33</v>
      </c>
      <c r="X137" s="69">
        <f t="shared" si="42"/>
        <v>13333.33</v>
      </c>
      <c r="Y137" s="69">
        <f t="shared" si="42"/>
        <v>13333.33</v>
      </c>
      <c r="Z137" s="69">
        <f t="shared" si="42"/>
        <v>13333.33</v>
      </c>
      <c r="AA137" s="69">
        <f t="shared" si="42"/>
        <v>13333.33</v>
      </c>
      <c r="AB137" s="69">
        <f t="shared" si="42"/>
        <v>13333.33</v>
      </c>
      <c r="AC137" s="69">
        <f t="shared" si="42"/>
        <v>13333.33</v>
      </c>
      <c r="AD137" s="69">
        <f t="shared" si="42"/>
        <v>13333.33</v>
      </c>
      <c r="AE137" s="69">
        <f t="shared" si="42"/>
        <v>13333.33</v>
      </c>
      <c r="AF137" s="69">
        <f t="shared" si="42"/>
        <v>13333.33</v>
      </c>
      <c r="AG137" s="69">
        <f t="shared" si="42"/>
        <v>13333.33</v>
      </c>
      <c r="AH137" s="69">
        <f t="shared" si="42"/>
        <v>13333.33</v>
      </c>
      <c r="AI137" s="69">
        <f t="shared" si="42"/>
        <v>13333.33</v>
      </c>
    </row>
    <row r="138" spans="18:35" x14ac:dyDescent="0.2">
      <c r="R138" s="63"/>
      <c r="S138" t="s">
        <v>1320</v>
      </c>
      <c r="T138" s="69">
        <v>200000</v>
      </c>
      <c r="U138" s="23">
        <f t="shared" ref="U138:AI138" si="43">+T138-U137</f>
        <v>186666.67</v>
      </c>
      <c r="V138" s="23">
        <f t="shared" si="43"/>
        <v>173333.34000000003</v>
      </c>
      <c r="W138" s="23">
        <f t="shared" si="43"/>
        <v>160000.01000000004</v>
      </c>
      <c r="X138" s="23">
        <f t="shared" si="43"/>
        <v>146666.68000000005</v>
      </c>
      <c r="Y138" s="23">
        <f t="shared" si="43"/>
        <v>133333.35000000006</v>
      </c>
      <c r="Z138" s="23">
        <f t="shared" si="43"/>
        <v>120000.02000000006</v>
      </c>
      <c r="AA138" s="23">
        <f t="shared" si="43"/>
        <v>106666.69000000006</v>
      </c>
      <c r="AB138" s="23">
        <f t="shared" si="43"/>
        <v>93333.360000000059</v>
      </c>
      <c r="AC138" s="23">
        <f t="shared" si="43"/>
        <v>80000.030000000057</v>
      </c>
      <c r="AD138" s="23">
        <f t="shared" si="43"/>
        <v>66666.700000000055</v>
      </c>
      <c r="AE138" s="23">
        <f t="shared" si="43"/>
        <v>53333.370000000054</v>
      </c>
      <c r="AF138" s="23">
        <f t="shared" si="43"/>
        <v>40000.040000000052</v>
      </c>
      <c r="AG138" s="23">
        <f t="shared" si="43"/>
        <v>26666.71000000005</v>
      </c>
      <c r="AH138" s="23">
        <f t="shared" si="43"/>
        <v>13333.38000000005</v>
      </c>
      <c r="AI138" s="71">
        <f t="shared" si="43"/>
        <v>5.0000000050204108E-2</v>
      </c>
    </row>
    <row r="139" spans="18:35" x14ac:dyDescent="0.2">
      <c r="R139" s="63"/>
      <c r="S139" t="s">
        <v>1321</v>
      </c>
      <c r="T139" s="68"/>
      <c r="U139" s="25">
        <f>+$U$135*T138</f>
        <v>22000</v>
      </c>
      <c r="V139" s="25">
        <f t="shared" ref="V139:AI139" si="44">+$U$135*U138</f>
        <v>20533.333700000003</v>
      </c>
      <c r="W139" s="25">
        <f t="shared" si="44"/>
        <v>19066.667400000002</v>
      </c>
      <c r="X139" s="25">
        <f t="shared" si="44"/>
        <v>17600.001100000005</v>
      </c>
      <c r="Y139" s="25">
        <f t="shared" si="44"/>
        <v>16133.334800000006</v>
      </c>
      <c r="Z139" s="25">
        <f t="shared" si="44"/>
        <v>14666.668500000007</v>
      </c>
      <c r="AA139" s="25">
        <f t="shared" si="44"/>
        <v>13200.002200000006</v>
      </c>
      <c r="AB139" s="25">
        <f t="shared" si="44"/>
        <v>11733.335900000007</v>
      </c>
      <c r="AC139" s="25">
        <f t="shared" si="44"/>
        <v>10266.669600000007</v>
      </c>
      <c r="AD139" s="25">
        <f t="shared" si="44"/>
        <v>8800.0033000000058</v>
      </c>
      <c r="AE139" s="25">
        <f t="shared" si="44"/>
        <v>7333.3370000000059</v>
      </c>
      <c r="AF139" s="25">
        <f t="shared" si="44"/>
        <v>5866.670700000006</v>
      </c>
      <c r="AG139" s="25">
        <f t="shared" si="44"/>
        <v>4400.0044000000062</v>
      </c>
      <c r="AH139" s="25">
        <f t="shared" si="44"/>
        <v>2933.3381000000054</v>
      </c>
      <c r="AI139" s="25">
        <f t="shared" si="44"/>
        <v>1466.6718000000055</v>
      </c>
    </row>
    <row r="140" spans="18:35" x14ac:dyDescent="0.2">
      <c r="R140" s="63"/>
      <c r="S140" t="s">
        <v>1322</v>
      </c>
      <c r="T140" s="68"/>
      <c r="U140" s="25">
        <f t="shared" ref="U140:AI140" si="45">+U139+U137</f>
        <v>35333.33</v>
      </c>
      <c r="V140" s="25">
        <f t="shared" si="45"/>
        <v>33866.663700000005</v>
      </c>
      <c r="W140" s="25">
        <f t="shared" si="45"/>
        <v>32399.9974</v>
      </c>
      <c r="X140" s="25">
        <f t="shared" si="45"/>
        <v>30933.331100000003</v>
      </c>
      <c r="Y140" s="25">
        <f t="shared" si="45"/>
        <v>29466.664800000006</v>
      </c>
      <c r="Z140" s="25">
        <f t="shared" si="45"/>
        <v>27999.998500000009</v>
      </c>
      <c r="AA140" s="25">
        <f t="shared" si="45"/>
        <v>26533.332200000004</v>
      </c>
      <c r="AB140" s="25">
        <f t="shared" si="45"/>
        <v>25066.665900000007</v>
      </c>
      <c r="AC140" s="25">
        <f t="shared" si="45"/>
        <v>23599.999600000006</v>
      </c>
      <c r="AD140" s="25">
        <f t="shared" si="45"/>
        <v>22133.333300000006</v>
      </c>
      <c r="AE140" s="25">
        <f t="shared" si="45"/>
        <v>20666.667000000005</v>
      </c>
      <c r="AF140" s="25">
        <f t="shared" si="45"/>
        <v>19200.000700000004</v>
      </c>
      <c r="AG140" s="25">
        <f t="shared" si="45"/>
        <v>17733.334400000007</v>
      </c>
      <c r="AH140" s="25">
        <f t="shared" si="45"/>
        <v>16266.668100000006</v>
      </c>
      <c r="AI140" s="72">
        <f t="shared" si="45"/>
        <v>14800.001800000005</v>
      </c>
    </row>
    <row r="141" spans="18:35" x14ac:dyDescent="0.2">
      <c r="R141" s="63"/>
      <c r="S141" t="s">
        <v>1323</v>
      </c>
      <c r="T141" s="69"/>
      <c r="U141" s="25">
        <f t="shared" ref="U141:AI141" si="46">+IF(U136&gt;$U$1,U140,0)</f>
        <v>0</v>
      </c>
      <c r="V141" s="25">
        <f t="shared" si="46"/>
        <v>0</v>
      </c>
      <c r="W141" s="25">
        <f t="shared" si="46"/>
        <v>0</v>
      </c>
      <c r="X141" s="25">
        <f t="shared" si="46"/>
        <v>0</v>
      </c>
      <c r="Y141" s="25">
        <f t="shared" si="46"/>
        <v>0</v>
      </c>
      <c r="Z141" s="25">
        <f t="shared" si="46"/>
        <v>0</v>
      </c>
      <c r="AA141" s="25">
        <f t="shared" si="46"/>
        <v>0</v>
      </c>
      <c r="AB141" s="25">
        <f t="shared" si="46"/>
        <v>0</v>
      </c>
      <c r="AC141" s="25">
        <f t="shared" si="46"/>
        <v>0</v>
      </c>
      <c r="AD141" s="25">
        <f t="shared" si="46"/>
        <v>0</v>
      </c>
      <c r="AE141" s="25">
        <f t="shared" si="46"/>
        <v>0</v>
      </c>
      <c r="AF141" s="25">
        <f t="shared" si="46"/>
        <v>0</v>
      </c>
      <c r="AG141" s="25">
        <f t="shared" si="46"/>
        <v>0</v>
      </c>
      <c r="AH141" s="25">
        <f t="shared" si="46"/>
        <v>0</v>
      </c>
      <c r="AI141" s="72">
        <f t="shared" si="46"/>
        <v>0</v>
      </c>
    </row>
    <row r="142" spans="18:35" x14ac:dyDescent="0.2">
      <c r="R142" s="63"/>
      <c r="S142" t="s">
        <v>1324</v>
      </c>
      <c r="T142" s="73"/>
      <c r="U142">
        <f t="shared" ref="U142:AI142" si="47">+IF(T141=0,(U136-$U$1)/(U136-T136),T142+1)</f>
        <v>-30.893150684931506</v>
      </c>
      <c r="V142">
        <f t="shared" si="47"/>
        <v>-29.808743169398905</v>
      </c>
      <c r="W142">
        <f t="shared" si="47"/>
        <v>-28.890410958904109</v>
      </c>
      <c r="X142">
        <f t="shared" si="47"/>
        <v>-27.890410958904109</v>
      </c>
      <c r="Y142">
        <f t="shared" si="47"/>
        <v>-26.890410958904109</v>
      </c>
      <c r="Z142">
        <f t="shared" si="47"/>
        <v>-25.816939890710383</v>
      </c>
      <c r="AA142">
        <f t="shared" si="47"/>
        <v>-24.887671232876713</v>
      </c>
      <c r="AB142">
        <f t="shared" si="47"/>
        <v>-23.887671232876713</v>
      </c>
      <c r="AC142">
        <f t="shared" si="47"/>
        <v>-22.887671232876713</v>
      </c>
      <c r="AD142">
        <f t="shared" si="47"/>
        <v>-21.825136612021858</v>
      </c>
      <c r="AE142">
        <f t="shared" si="47"/>
        <v>-20.884931506849316</v>
      </c>
      <c r="AF142">
        <f t="shared" si="47"/>
        <v>-19.884931506849316</v>
      </c>
      <c r="AG142">
        <f t="shared" si="47"/>
        <v>-18.884931506849316</v>
      </c>
      <c r="AH142">
        <f t="shared" si="47"/>
        <v>-17.833333333333332</v>
      </c>
      <c r="AI142">
        <f t="shared" si="47"/>
        <v>-16.882191780821916</v>
      </c>
    </row>
    <row r="143" spans="18:35" x14ac:dyDescent="0.2">
      <c r="R143" s="63"/>
      <c r="S143" s="29" t="s">
        <v>1325</v>
      </c>
      <c r="T143" s="68"/>
      <c r="U143" s="68" cm="1">
        <f t="array" ref="U143">IF(U142&lt;1,interpoler(mat_court,taux_court_act,U142*(U136-T136)),interpoler(mat,taux,U142))</f>
        <v>2.3281430422376737E-2</v>
      </c>
      <c r="V143" s="68" cm="1">
        <f t="array" ref="V143">IF(V142&lt;1,interpoler(mat_court,taux_court_act,V142*(V136-U136)),interpoler(mat,taux,V142))</f>
        <v>2.3281430422376737E-2</v>
      </c>
      <c r="W143" s="68" cm="1">
        <f t="array" ref="W143">IF(W142&lt;1,interpoler(mat_court,taux_court_act,W142*(W136-V136)),interpoler(mat,taux,W142))</f>
        <v>2.3281430422376737E-2</v>
      </c>
      <c r="X143" s="68" cm="1">
        <f t="array" ref="X143">IF(X142&lt;1,interpoler(mat_court,taux_court_act,X142*(X136-W136)),interpoler(mat,taux,X142))</f>
        <v>2.3281430422376737E-2</v>
      </c>
      <c r="Y143" s="68" cm="1">
        <f t="array" ref="Y143">IF(Y142&lt;1,interpoler(mat_court,taux_court_act,Y142*(Y136-X136)),interpoler(mat,taux,Y142))</f>
        <v>2.3281430422376737E-2</v>
      </c>
      <c r="Z143" s="68" cm="1">
        <f t="array" ref="Z143">IF(Z142&lt;1,interpoler(mat_court,taux_court_act,Z142*(Z136-Y136)),interpoler(mat,taux,Z142))</f>
        <v>2.3281430422376737E-2</v>
      </c>
      <c r="AA143" s="68" cm="1">
        <f t="array" ref="AA143">IF(AA142&lt;1,interpoler(mat_court,taux_court_act,AA142*(AA136-Z136)),interpoler(mat,taux,AA142))</f>
        <v>2.3281430422376737E-2</v>
      </c>
      <c r="AB143" s="68" cm="1">
        <f t="array" ref="AB143">IF(AB142&lt;1,interpoler(mat_court,taux_court_act,AB142*(AB136-AA136)),interpoler(mat,taux,AB142))</f>
        <v>2.3281430422376737E-2</v>
      </c>
      <c r="AC143" s="68" cm="1">
        <f t="array" ref="AC143">IF(AC142&lt;1,interpoler(mat_court,taux_court_act,AC142*(AC136-AB136)),interpoler(mat,taux,AC142))</f>
        <v>2.3281430422376737E-2</v>
      </c>
      <c r="AD143" s="68" cm="1">
        <f t="array" ref="AD143">IF(AD142&lt;1,interpoler(mat_court,taux_court_act,AD142*(AD136-AC136)),interpoler(mat,taux,AD142))</f>
        <v>2.3281430422376737E-2</v>
      </c>
      <c r="AE143" s="68" cm="1">
        <f t="array" ref="AE143">IF(AE142&lt;1,interpoler(mat_court,taux_court_act,AE142*(AE136-AD136)),interpoler(mat,taux,AE142))</f>
        <v>2.3281430422376737E-2</v>
      </c>
      <c r="AF143" s="68" cm="1">
        <f t="array" ref="AF143">IF(AF142&lt;1,interpoler(mat_court,taux_court_act,AF142*(AF136-AE136)),interpoler(mat,taux,AF142))</f>
        <v>2.3281430422376737E-2</v>
      </c>
      <c r="AG143" s="68" cm="1">
        <f t="array" ref="AG143">IF(AG142&lt;1,interpoler(mat_court,taux_court_act,AG142*(AG136-AF136)),interpoler(mat,taux,AG142))</f>
        <v>2.3281430422376737E-2</v>
      </c>
      <c r="AH143" s="68" cm="1">
        <f t="array" ref="AH143">IF(AH142&lt;1,interpoler(mat_court,taux_court_act,AH142*(AH136-AG136)),interpoler(mat,taux,AH142))</f>
        <v>2.3281430422376737E-2</v>
      </c>
      <c r="AI143" s="68" cm="1">
        <f t="array" ref="AI143">IF(AI142&lt;1,interpoler(mat_court,taux_court_act,AI142*(AI136-AH136)),interpoler(mat,taux,AI142))</f>
        <v>2.3281430422376737E-2</v>
      </c>
    </row>
    <row r="144" spans="18:35" x14ac:dyDescent="0.2">
      <c r="R144" s="63"/>
      <c r="S144" t="s">
        <v>1328</v>
      </c>
      <c r="T144" s="68"/>
      <c r="U144" s="29" t="e">
        <f>+Lignes_détenues!#REF!</f>
        <v>#REF!</v>
      </c>
      <c r="V144" s="29" t="e">
        <f>U144</f>
        <v>#REF!</v>
      </c>
      <c r="W144" s="29" t="e">
        <f t="shared" ref="W144:AI144" si="48">+V144</f>
        <v>#REF!</v>
      </c>
      <c r="X144" s="29" t="e">
        <f t="shared" si="48"/>
        <v>#REF!</v>
      </c>
      <c r="Y144" s="29" t="e">
        <f t="shared" si="48"/>
        <v>#REF!</v>
      </c>
      <c r="Z144" s="29" t="e">
        <f t="shared" si="48"/>
        <v>#REF!</v>
      </c>
      <c r="AA144" s="29" t="e">
        <f t="shared" si="48"/>
        <v>#REF!</v>
      </c>
      <c r="AB144" s="29" t="e">
        <f t="shared" si="48"/>
        <v>#REF!</v>
      </c>
      <c r="AC144" s="29" t="e">
        <f t="shared" si="48"/>
        <v>#REF!</v>
      </c>
      <c r="AD144" s="29" t="e">
        <f t="shared" si="48"/>
        <v>#REF!</v>
      </c>
      <c r="AE144" s="29" t="e">
        <f t="shared" si="48"/>
        <v>#REF!</v>
      </c>
      <c r="AF144" s="29" t="e">
        <f t="shared" si="48"/>
        <v>#REF!</v>
      </c>
      <c r="AG144" s="29" t="e">
        <f t="shared" si="48"/>
        <v>#REF!</v>
      </c>
      <c r="AH144" s="29" t="e">
        <f t="shared" si="48"/>
        <v>#REF!</v>
      </c>
      <c r="AI144" s="75" t="e">
        <f t="shared" si="48"/>
        <v>#REF!</v>
      </c>
    </row>
    <row r="145" spans="18:35" x14ac:dyDescent="0.2">
      <c r="R145" s="63"/>
      <c r="S145" t="s">
        <v>1329</v>
      </c>
      <c r="T145" s="68"/>
      <c r="U145" s="13" t="e">
        <f t="shared" ref="U145:AI145" si="49">+ROUND(U143+U144,6)</f>
        <v>#REF!</v>
      </c>
      <c r="V145" s="100" t="e">
        <f t="shared" si="49"/>
        <v>#REF!</v>
      </c>
      <c r="W145" s="101" t="e">
        <f t="shared" si="49"/>
        <v>#REF!</v>
      </c>
      <c r="X145" s="102" t="e">
        <f t="shared" si="49"/>
        <v>#REF!</v>
      </c>
      <c r="Y145" s="102" t="e">
        <f t="shared" si="49"/>
        <v>#REF!</v>
      </c>
      <c r="Z145" s="102" t="e">
        <f t="shared" si="49"/>
        <v>#REF!</v>
      </c>
      <c r="AA145" s="102" t="e">
        <f t="shared" si="49"/>
        <v>#REF!</v>
      </c>
      <c r="AB145" s="13" t="e">
        <f t="shared" si="49"/>
        <v>#REF!</v>
      </c>
      <c r="AC145" s="13" t="e">
        <f t="shared" si="49"/>
        <v>#REF!</v>
      </c>
      <c r="AD145" s="13" t="e">
        <f t="shared" si="49"/>
        <v>#REF!</v>
      </c>
      <c r="AE145" s="13" t="e">
        <f t="shared" si="49"/>
        <v>#REF!</v>
      </c>
      <c r="AF145" s="13" t="e">
        <f t="shared" si="49"/>
        <v>#REF!</v>
      </c>
      <c r="AG145" s="13" t="e">
        <f t="shared" si="49"/>
        <v>#REF!</v>
      </c>
      <c r="AH145" s="13" t="e">
        <f t="shared" si="49"/>
        <v>#REF!</v>
      </c>
      <c r="AI145" s="13" t="e">
        <f t="shared" si="49"/>
        <v>#REF!</v>
      </c>
    </row>
    <row r="146" spans="18:35" x14ac:dyDescent="0.2">
      <c r="R146" s="63"/>
      <c r="T146" s="68"/>
      <c r="U146" s="69" t="e">
        <f t="shared" ref="U146:AI146" si="50">+U141/(1+U145)^U142</f>
        <v>#REF!</v>
      </c>
      <c r="V146" s="69" t="e">
        <f t="shared" si="50"/>
        <v>#REF!</v>
      </c>
      <c r="W146" s="69" t="e">
        <f t="shared" si="50"/>
        <v>#REF!</v>
      </c>
      <c r="X146" s="69" t="e">
        <f t="shared" si="50"/>
        <v>#REF!</v>
      </c>
      <c r="Y146" s="69" t="e">
        <f t="shared" si="50"/>
        <v>#REF!</v>
      </c>
      <c r="Z146" s="69" t="e">
        <f t="shared" si="50"/>
        <v>#REF!</v>
      </c>
      <c r="AA146" s="69" t="e">
        <f t="shared" si="50"/>
        <v>#REF!</v>
      </c>
      <c r="AB146" s="69" t="e">
        <f t="shared" si="50"/>
        <v>#REF!</v>
      </c>
      <c r="AC146" s="69" t="e">
        <f t="shared" si="50"/>
        <v>#REF!</v>
      </c>
      <c r="AD146" s="69" t="e">
        <f t="shared" si="50"/>
        <v>#REF!</v>
      </c>
      <c r="AE146" s="69" t="e">
        <f t="shared" si="50"/>
        <v>#REF!</v>
      </c>
      <c r="AF146" s="69" t="e">
        <f t="shared" si="50"/>
        <v>#REF!</v>
      </c>
      <c r="AG146" s="69" t="e">
        <f t="shared" si="50"/>
        <v>#REF!</v>
      </c>
      <c r="AH146" s="69" t="e">
        <f t="shared" si="50"/>
        <v>#REF!</v>
      </c>
      <c r="AI146" s="70" t="e">
        <f t="shared" si="50"/>
        <v>#REF!</v>
      </c>
    </row>
    <row r="147" spans="18:35" x14ac:dyDescent="0.2">
      <c r="R147" s="63"/>
      <c r="T147" s="68"/>
      <c r="U147" s="13"/>
      <c r="V147" s="13"/>
      <c r="W147" s="13"/>
      <c r="X147" s="13"/>
      <c r="Y147" s="13"/>
      <c r="Z147" s="13"/>
      <c r="AA147" s="13"/>
      <c r="AB147" s="13"/>
      <c r="AC147" s="13"/>
      <c r="AD147" s="13"/>
      <c r="AE147" s="13"/>
      <c r="AF147" s="13"/>
      <c r="AG147" s="13"/>
      <c r="AH147" s="13"/>
      <c r="AI147" s="76"/>
    </row>
    <row r="148" spans="18:35" x14ac:dyDescent="0.2">
      <c r="R148" s="63"/>
      <c r="S148" t="s">
        <v>650</v>
      </c>
      <c r="T148" s="77" t="e">
        <f>+SUM(U146:AI146)</f>
        <v>#REF!</v>
      </c>
      <c r="U148" s="13"/>
      <c r="V148" s="13"/>
      <c r="W148" s="13"/>
      <c r="X148" s="13"/>
      <c r="Y148" s="13"/>
      <c r="Z148" s="13"/>
      <c r="AA148" s="13"/>
      <c r="AB148" s="13"/>
      <c r="AC148" s="13"/>
      <c r="AD148" s="13"/>
      <c r="AE148" s="13"/>
      <c r="AF148" s="13"/>
      <c r="AG148" s="13"/>
      <c r="AH148" s="13"/>
      <c r="AI148" s="76"/>
    </row>
    <row r="149" spans="18:35" ht="13.5" thickBot="1" x14ac:dyDescent="0.25">
      <c r="R149" s="78"/>
      <c r="S149" s="79" t="s">
        <v>1331</v>
      </c>
      <c r="T149" s="80" t="e">
        <f>+SUMPRODUCT(U142:AI142,U146:AI146)/T148</f>
        <v>#REF!</v>
      </c>
      <c r="U149" s="79"/>
      <c r="V149" s="79"/>
      <c r="W149" s="79"/>
      <c r="X149" s="79"/>
      <c r="Y149" s="79"/>
      <c r="Z149" s="79"/>
      <c r="AA149" s="79"/>
      <c r="AB149" s="79"/>
      <c r="AC149" s="79"/>
      <c r="AD149" s="79"/>
      <c r="AE149" s="79"/>
      <c r="AF149" s="79"/>
      <c r="AG149" s="79"/>
      <c r="AH149" s="79"/>
      <c r="AI149" s="81"/>
    </row>
    <row r="152" spans="18:35" ht="13.5" thickBot="1" x14ac:dyDescent="0.25">
      <c r="R152">
        <v>2047</v>
      </c>
    </row>
    <row r="153" spans="18:35" ht="15.75" x14ac:dyDescent="0.25">
      <c r="R153" s="82" t="s">
        <v>367</v>
      </c>
      <c r="S153" s="59"/>
      <c r="T153" s="60" t="s">
        <v>103</v>
      </c>
      <c r="U153" s="61">
        <f>+U134</f>
        <v>46107</v>
      </c>
      <c r="V153" s="59"/>
      <c r="W153" s="59"/>
      <c r="X153" s="59"/>
      <c r="Y153" s="59"/>
      <c r="Z153" s="59"/>
      <c r="AA153" s="59"/>
      <c r="AB153" s="59"/>
      <c r="AC153" s="59"/>
      <c r="AD153" s="59"/>
      <c r="AE153" s="59"/>
      <c r="AF153" s="59"/>
      <c r="AG153" s="59"/>
      <c r="AH153" s="59"/>
      <c r="AI153" s="62"/>
    </row>
    <row r="154" spans="18:35" x14ac:dyDescent="0.2">
      <c r="R154" s="63"/>
      <c r="T154" s="64" t="s">
        <v>105</v>
      </c>
      <c r="U154" s="13">
        <v>0.10249999999999999</v>
      </c>
      <c r="V154" s="13"/>
      <c r="AI154" s="65"/>
    </row>
    <row r="155" spans="18:35" x14ac:dyDescent="0.2">
      <c r="R155" s="63"/>
      <c r="T155" s="66">
        <v>35228</v>
      </c>
      <c r="U155" s="8">
        <v>35593</v>
      </c>
      <c r="V155" s="66">
        <v>35958</v>
      </c>
      <c r="W155" s="8">
        <v>36323</v>
      </c>
      <c r="X155" s="66">
        <v>36689</v>
      </c>
      <c r="Y155" s="8">
        <v>37054</v>
      </c>
      <c r="Z155" s="66">
        <v>37419</v>
      </c>
      <c r="AA155" s="8">
        <v>37784</v>
      </c>
      <c r="AB155" s="66">
        <v>38150</v>
      </c>
      <c r="AC155" s="8">
        <v>38515</v>
      </c>
      <c r="AD155" s="66">
        <v>38880</v>
      </c>
      <c r="AE155" s="8"/>
      <c r="AF155" s="66"/>
      <c r="AG155" s="8"/>
      <c r="AH155" s="66"/>
      <c r="AI155" s="8"/>
    </row>
    <row r="156" spans="18:35" x14ac:dyDescent="0.2">
      <c r="R156" s="63"/>
      <c r="S156" t="s">
        <v>1318</v>
      </c>
      <c r="T156" s="68"/>
      <c r="U156" s="69">
        <v>10000</v>
      </c>
      <c r="V156" s="69">
        <v>10000</v>
      </c>
      <c r="W156" s="69">
        <v>10000</v>
      </c>
      <c r="X156" s="69">
        <v>10000</v>
      </c>
      <c r="Y156" s="69">
        <v>10000</v>
      </c>
      <c r="Z156" s="69">
        <v>10000</v>
      </c>
      <c r="AA156" s="69">
        <v>10000</v>
      </c>
      <c r="AB156" s="69">
        <v>10000</v>
      </c>
      <c r="AC156" s="69">
        <v>10000</v>
      </c>
      <c r="AD156" s="69">
        <v>10000</v>
      </c>
      <c r="AE156" s="69"/>
      <c r="AF156" s="69"/>
      <c r="AG156" s="69"/>
      <c r="AH156" s="69"/>
      <c r="AI156" s="69"/>
    </row>
    <row r="157" spans="18:35" x14ac:dyDescent="0.2">
      <c r="R157" s="63"/>
      <c r="S157" t="s">
        <v>1320</v>
      </c>
      <c r="T157" s="69">
        <v>100000</v>
      </c>
      <c r="U157" s="23">
        <f t="shared" ref="U157:AD157" si="51">+T157-U156</f>
        <v>90000</v>
      </c>
      <c r="V157" s="23">
        <f t="shared" si="51"/>
        <v>80000</v>
      </c>
      <c r="W157" s="23">
        <f t="shared" si="51"/>
        <v>70000</v>
      </c>
      <c r="X157" s="23">
        <f t="shared" si="51"/>
        <v>60000</v>
      </c>
      <c r="Y157" s="23">
        <f t="shared" si="51"/>
        <v>50000</v>
      </c>
      <c r="Z157" s="23">
        <f t="shared" si="51"/>
        <v>40000</v>
      </c>
      <c r="AA157" s="23">
        <f t="shared" si="51"/>
        <v>30000</v>
      </c>
      <c r="AB157" s="23">
        <f t="shared" si="51"/>
        <v>20000</v>
      </c>
      <c r="AC157" s="23">
        <f t="shared" si="51"/>
        <v>10000</v>
      </c>
      <c r="AD157" s="23">
        <f t="shared" si="51"/>
        <v>0</v>
      </c>
      <c r="AE157" s="23"/>
      <c r="AF157" s="23"/>
      <c r="AG157" s="23"/>
      <c r="AH157" s="23"/>
      <c r="AI157" s="71"/>
    </row>
    <row r="158" spans="18:35" x14ac:dyDescent="0.2">
      <c r="R158" s="63"/>
      <c r="S158" t="s">
        <v>1321</v>
      </c>
      <c r="T158" s="68"/>
      <c r="U158" s="25">
        <f>+$U$154*T157</f>
        <v>10250</v>
      </c>
      <c r="V158" s="25">
        <f t="shared" ref="V158:AD158" si="52">+$U$154*U157</f>
        <v>9225</v>
      </c>
      <c r="W158" s="25">
        <f t="shared" si="52"/>
        <v>8200</v>
      </c>
      <c r="X158" s="25">
        <f t="shared" si="52"/>
        <v>7175</v>
      </c>
      <c r="Y158" s="25">
        <f t="shared" si="52"/>
        <v>6150</v>
      </c>
      <c r="Z158" s="25">
        <f t="shared" si="52"/>
        <v>5125</v>
      </c>
      <c r="AA158" s="25">
        <f t="shared" si="52"/>
        <v>4100</v>
      </c>
      <c r="AB158" s="25">
        <f t="shared" si="52"/>
        <v>3075</v>
      </c>
      <c r="AC158" s="25">
        <f t="shared" si="52"/>
        <v>2050</v>
      </c>
      <c r="AD158" s="25">
        <f t="shared" si="52"/>
        <v>1025</v>
      </c>
      <c r="AE158" s="25"/>
      <c r="AF158" s="25"/>
      <c r="AG158" s="25"/>
      <c r="AH158" s="25"/>
      <c r="AI158" s="25"/>
    </row>
    <row r="159" spans="18:35" x14ac:dyDescent="0.2">
      <c r="R159" s="63"/>
      <c r="S159" t="s">
        <v>1322</v>
      </c>
      <c r="T159" s="68"/>
      <c r="U159" s="25">
        <f t="shared" ref="U159:AD159" si="53">+U158+U156</f>
        <v>20250</v>
      </c>
      <c r="V159" s="25">
        <f t="shared" si="53"/>
        <v>19225</v>
      </c>
      <c r="W159" s="25">
        <f t="shared" si="53"/>
        <v>18200</v>
      </c>
      <c r="X159" s="25">
        <f t="shared" si="53"/>
        <v>17175</v>
      </c>
      <c r="Y159" s="25">
        <f t="shared" si="53"/>
        <v>16150</v>
      </c>
      <c r="Z159" s="25">
        <f t="shared" si="53"/>
        <v>15125</v>
      </c>
      <c r="AA159" s="25">
        <f t="shared" si="53"/>
        <v>14100</v>
      </c>
      <c r="AB159" s="25">
        <f t="shared" si="53"/>
        <v>13075</v>
      </c>
      <c r="AC159" s="25">
        <f t="shared" si="53"/>
        <v>12050</v>
      </c>
      <c r="AD159" s="25">
        <f t="shared" si="53"/>
        <v>11025</v>
      </c>
      <c r="AE159" s="25"/>
      <c r="AF159" s="25"/>
      <c r="AG159" s="25"/>
      <c r="AH159" s="25"/>
      <c r="AI159" s="72"/>
    </row>
    <row r="160" spans="18:35" x14ac:dyDescent="0.2">
      <c r="R160" s="63"/>
      <c r="S160" t="s">
        <v>1323</v>
      </c>
      <c r="T160" s="69"/>
      <c r="U160" s="25">
        <f t="shared" ref="U160:AD160" si="54">+IF(U155&gt;$U$1,U159,0)</f>
        <v>0</v>
      </c>
      <c r="V160" s="25">
        <f t="shared" si="54"/>
        <v>0</v>
      </c>
      <c r="W160" s="25">
        <f t="shared" si="54"/>
        <v>0</v>
      </c>
      <c r="X160" s="25">
        <f t="shared" si="54"/>
        <v>0</v>
      </c>
      <c r="Y160" s="25">
        <f t="shared" si="54"/>
        <v>0</v>
      </c>
      <c r="Z160" s="25">
        <f t="shared" si="54"/>
        <v>0</v>
      </c>
      <c r="AA160" s="25">
        <f t="shared" si="54"/>
        <v>0</v>
      </c>
      <c r="AB160" s="25">
        <f t="shared" si="54"/>
        <v>0</v>
      </c>
      <c r="AC160" s="25">
        <f t="shared" si="54"/>
        <v>0</v>
      </c>
      <c r="AD160" s="25">
        <f t="shared" si="54"/>
        <v>0</v>
      </c>
      <c r="AE160" s="25"/>
      <c r="AF160" s="25"/>
      <c r="AG160" s="25"/>
      <c r="AH160" s="25"/>
      <c r="AI160" s="72"/>
    </row>
    <row r="161" spans="18:35" x14ac:dyDescent="0.2">
      <c r="R161" s="63"/>
      <c r="S161" t="s">
        <v>1324</v>
      </c>
      <c r="T161" s="73"/>
      <c r="U161">
        <f t="shared" ref="U161:AD161" si="55">+IF(T160=0,(U155-$U$1)/(U155-T155),T161+1)</f>
        <v>-28.805479452054794</v>
      </c>
      <c r="V161">
        <f t="shared" si="55"/>
        <v>-27.805479452054794</v>
      </c>
      <c r="W161">
        <f t="shared" si="55"/>
        <v>-26.805479452054794</v>
      </c>
      <c r="X161">
        <f t="shared" si="55"/>
        <v>-25.73224043715847</v>
      </c>
      <c r="Y161">
        <f t="shared" si="55"/>
        <v>-24.802739726027397</v>
      </c>
      <c r="Z161">
        <f t="shared" si="55"/>
        <v>-23.802739726027397</v>
      </c>
      <c r="AA161">
        <f t="shared" si="55"/>
        <v>-22.802739726027397</v>
      </c>
      <c r="AB161">
        <f t="shared" si="55"/>
        <v>-21.740437158469945</v>
      </c>
      <c r="AC161">
        <f t="shared" si="55"/>
        <v>-20.8</v>
      </c>
      <c r="AD161">
        <f t="shared" si="55"/>
        <v>-19.8</v>
      </c>
    </row>
    <row r="162" spans="18:35" x14ac:dyDescent="0.2">
      <c r="R162" s="63"/>
      <c r="S162" s="29" t="s">
        <v>1325</v>
      </c>
      <c r="T162" s="68"/>
      <c r="U162" s="68" cm="1">
        <f t="array" ref="U162">IF(U161&lt;1,interpoler(mat_court,taux_court_act,U161*(U155-T155)),interpoler(mat,taux,U161))</f>
        <v>2.3281430422376737E-2</v>
      </c>
      <c r="V162" s="68" cm="1">
        <f t="array" ref="V162">IF(V161&lt;1,interpoler(mat_court,taux_court_act,V161*(V155-U155)),interpoler(mat,taux,V161))</f>
        <v>2.3281430422376737E-2</v>
      </c>
      <c r="W162" s="68" cm="1">
        <f t="array" ref="W162">IF(W161&lt;1,interpoler(mat_court,taux_court_act,W161*(W155-V155)),interpoler(mat,taux,W161))</f>
        <v>2.3281430422376737E-2</v>
      </c>
      <c r="X162" s="68" cm="1">
        <f t="array" ref="X162">IF(X161&lt;1,interpoler(mat_court,taux_court_act,X161*(X155-W155)),interpoler(mat,taux,X161))</f>
        <v>2.3281430422376737E-2</v>
      </c>
      <c r="Y162" s="68" cm="1">
        <f t="array" ref="Y162">IF(Y161&lt;1,interpoler(mat_court,taux_court_act,Y161*(Y155-X155)),interpoler(mat,taux,Y161))</f>
        <v>2.3281430422376737E-2</v>
      </c>
      <c r="Z162" s="68" cm="1">
        <f t="array" ref="Z162">IF(Z161&lt;1,interpoler(mat_court,taux_court_act,Z161*(Z155-Y155)),interpoler(mat,taux,Z161))</f>
        <v>2.3281430422376737E-2</v>
      </c>
      <c r="AA162" s="68" cm="1">
        <f t="array" ref="AA162">IF(AA161&lt;1,interpoler(mat_court,taux_court_act,AA161*(AA155-Z155)),interpoler(mat,taux,AA161))</f>
        <v>2.3281430422376737E-2</v>
      </c>
      <c r="AB162" s="68" cm="1">
        <f t="array" ref="AB162">IF(AB161&lt;1,interpoler(mat_court,taux_court_act,AB161*(AB155-AA155)),interpoler(mat,taux,AB161))</f>
        <v>2.3281430422376737E-2</v>
      </c>
      <c r="AC162" s="68" cm="1">
        <f t="array" ref="AC162">IF(AC161&lt;1,interpoler(mat_court,taux_court_act,AC161*(AC155-AB155)),interpoler(mat,taux,AC161))</f>
        <v>2.3281430422376737E-2</v>
      </c>
      <c r="AD162" s="68" cm="1">
        <f t="array" ref="AD162">IF(AD161&lt;1,interpoler(mat_court,taux_court_act,AD161*(AD155-AC155)),interpoler(mat,taux,AD161))</f>
        <v>2.3281430422376737E-2</v>
      </c>
      <c r="AE162" s="68"/>
      <c r="AF162" s="68"/>
      <c r="AG162" s="68"/>
      <c r="AH162" s="68"/>
      <c r="AI162" s="68"/>
    </row>
    <row r="163" spans="18:35" x14ac:dyDescent="0.2">
      <c r="R163" s="63"/>
      <c r="S163" t="s">
        <v>1328</v>
      </c>
      <c r="T163" s="68"/>
      <c r="U163" s="29" t="e">
        <f>+Lignes_détenues!#REF!</f>
        <v>#REF!</v>
      </c>
      <c r="V163" s="29" t="e">
        <f>U163</f>
        <v>#REF!</v>
      </c>
      <c r="W163" s="29" t="e">
        <f t="shared" ref="W163:AD163" si="56">+V163</f>
        <v>#REF!</v>
      </c>
      <c r="X163" s="29" t="e">
        <f t="shared" si="56"/>
        <v>#REF!</v>
      </c>
      <c r="Y163" s="29" t="e">
        <f t="shared" si="56"/>
        <v>#REF!</v>
      </c>
      <c r="Z163" s="29" t="e">
        <f t="shared" si="56"/>
        <v>#REF!</v>
      </c>
      <c r="AA163" s="29" t="e">
        <f t="shared" si="56"/>
        <v>#REF!</v>
      </c>
      <c r="AB163" s="29" t="e">
        <f t="shared" si="56"/>
        <v>#REF!</v>
      </c>
      <c r="AC163" s="29" t="e">
        <f t="shared" si="56"/>
        <v>#REF!</v>
      </c>
      <c r="AD163" s="29" t="e">
        <f t="shared" si="56"/>
        <v>#REF!</v>
      </c>
      <c r="AE163" s="29"/>
      <c r="AF163" s="29"/>
      <c r="AG163" s="29"/>
      <c r="AH163" s="29"/>
      <c r="AI163" s="75"/>
    </row>
    <row r="164" spans="18:35" x14ac:dyDescent="0.2">
      <c r="R164" s="63"/>
      <c r="S164" t="s">
        <v>1329</v>
      </c>
      <c r="T164" s="68"/>
      <c r="U164" s="13" t="e">
        <f t="shared" ref="U164:AD164" si="57">+ROUND(U162+U163,6)</f>
        <v>#REF!</v>
      </c>
      <c r="V164" s="100" t="e">
        <f t="shared" si="57"/>
        <v>#REF!</v>
      </c>
      <c r="W164" s="101" t="e">
        <f t="shared" si="57"/>
        <v>#REF!</v>
      </c>
      <c r="X164" s="102" t="e">
        <f t="shared" si="57"/>
        <v>#REF!</v>
      </c>
      <c r="Y164" s="102" t="e">
        <f t="shared" si="57"/>
        <v>#REF!</v>
      </c>
      <c r="Z164" s="102" t="e">
        <f t="shared" si="57"/>
        <v>#REF!</v>
      </c>
      <c r="AA164" s="102" t="e">
        <f t="shared" si="57"/>
        <v>#REF!</v>
      </c>
      <c r="AB164" s="13" t="e">
        <f t="shared" si="57"/>
        <v>#REF!</v>
      </c>
      <c r="AC164" s="13" t="e">
        <f t="shared" si="57"/>
        <v>#REF!</v>
      </c>
      <c r="AD164" s="13" t="e">
        <f t="shared" si="57"/>
        <v>#REF!</v>
      </c>
      <c r="AE164" s="13"/>
      <c r="AF164" s="13"/>
      <c r="AG164" s="13"/>
      <c r="AH164" s="13"/>
      <c r="AI164" s="13"/>
    </row>
    <row r="165" spans="18:35" x14ac:dyDescent="0.2">
      <c r="R165" s="63"/>
      <c r="T165" s="68"/>
      <c r="U165" s="69" t="e">
        <f t="shared" ref="U165:AD165" si="58">+U160/(1+U164)^U161</f>
        <v>#REF!</v>
      </c>
      <c r="V165" s="69" t="e">
        <f t="shared" si="58"/>
        <v>#REF!</v>
      </c>
      <c r="W165" s="69" t="e">
        <f t="shared" si="58"/>
        <v>#REF!</v>
      </c>
      <c r="X165" s="69" t="e">
        <f t="shared" si="58"/>
        <v>#REF!</v>
      </c>
      <c r="Y165" s="69" t="e">
        <f t="shared" si="58"/>
        <v>#REF!</v>
      </c>
      <c r="Z165" s="69" t="e">
        <f t="shared" si="58"/>
        <v>#REF!</v>
      </c>
      <c r="AA165" s="69" t="e">
        <f t="shared" si="58"/>
        <v>#REF!</v>
      </c>
      <c r="AB165" s="69" t="e">
        <f t="shared" si="58"/>
        <v>#REF!</v>
      </c>
      <c r="AC165" s="69" t="e">
        <f t="shared" si="58"/>
        <v>#REF!</v>
      </c>
      <c r="AD165" s="69" t="e">
        <f t="shared" si="58"/>
        <v>#REF!</v>
      </c>
      <c r="AE165" s="69"/>
      <c r="AF165" s="69"/>
      <c r="AG165" s="69"/>
      <c r="AH165" s="69"/>
      <c r="AI165" s="70"/>
    </row>
    <row r="166" spans="18:35" x14ac:dyDescent="0.2">
      <c r="R166" s="63"/>
      <c r="T166" s="68"/>
      <c r="U166" s="13"/>
      <c r="V166" s="13"/>
      <c r="W166" s="13"/>
      <c r="X166" s="13"/>
      <c r="Y166" s="13"/>
      <c r="Z166" s="13"/>
      <c r="AA166" s="13"/>
      <c r="AB166" s="13"/>
      <c r="AC166" s="13"/>
      <c r="AD166" s="13"/>
      <c r="AE166" s="13"/>
      <c r="AF166" s="13"/>
      <c r="AG166" s="13"/>
      <c r="AH166" s="13"/>
      <c r="AI166" s="76"/>
    </row>
    <row r="167" spans="18:35" x14ac:dyDescent="0.2">
      <c r="R167" s="63"/>
      <c r="S167" t="s">
        <v>650</v>
      </c>
      <c r="T167" s="77" t="e">
        <f>+SUM(U165:AI165)</f>
        <v>#REF!</v>
      </c>
      <c r="U167" s="13"/>
      <c r="V167" s="13"/>
      <c r="W167" s="13"/>
      <c r="X167" s="13"/>
      <c r="Y167" s="13"/>
      <c r="Z167" s="13"/>
      <c r="AA167" s="13"/>
      <c r="AB167" s="13"/>
      <c r="AC167" s="13"/>
      <c r="AD167" s="13"/>
      <c r="AE167" s="13"/>
      <c r="AF167" s="13"/>
      <c r="AG167" s="13"/>
      <c r="AH167" s="13"/>
      <c r="AI167" s="76"/>
    </row>
    <row r="168" spans="18:35" ht="13.5" thickBot="1" x14ac:dyDescent="0.25">
      <c r="R168" s="78"/>
      <c r="S168" s="79" t="s">
        <v>1331</v>
      </c>
      <c r="T168" s="80" t="e">
        <f>+SUMPRODUCT(U161:AI161,U165:AI165)/T167</f>
        <v>#REF!</v>
      </c>
      <c r="U168" s="79"/>
      <c r="V168" s="79"/>
      <c r="W168" s="79"/>
      <c r="X168" s="79"/>
      <c r="Y168" s="79"/>
      <c r="Z168" s="79"/>
      <c r="AA168" s="79"/>
      <c r="AB168" s="79"/>
      <c r="AC168" s="79"/>
      <c r="AD168" s="79"/>
      <c r="AE168" s="79"/>
      <c r="AF168" s="79"/>
      <c r="AG168" s="79"/>
      <c r="AH168" s="79"/>
      <c r="AI168" s="81"/>
    </row>
    <row r="171" spans="18:35" ht="13.5" thickBot="1" x14ac:dyDescent="0.25">
      <c r="R171">
        <v>2048</v>
      </c>
    </row>
    <row r="172" spans="18:35" ht="15.75" x14ac:dyDescent="0.25">
      <c r="R172" s="82" t="s">
        <v>367</v>
      </c>
      <c r="S172" s="59"/>
      <c r="T172" s="60" t="s">
        <v>103</v>
      </c>
      <c r="U172" s="61">
        <f>+U153</f>
        <v>46107</v>
      </c>
      <c r="V172" s="59"/>
      <c r="W172" s="59"/>
      <c r="X172" s="59"/>
      <c r="Y172" s="59"/>
      <c r="Z172" s="59"/>
      <c r="AA172" s="59"/>
      <c r="AB172" s="59"/>
      <c r="AC172" s="59"/>
      <c r="AD172" s="59"/>
      <c r="AE172" s="59"/>
      <c r="AF172" s="59"/>
      <c r="AG172" s="59"/>
      <c r="AH172" s="59"/>
      <c r="AI172" s="62"/>
    </row>
    <row r="173" spans="18:35" x14ac:dyDescent="0.2">
      <c r="R173" s="63"/>
      <c r="T173" s="64" t="s">
        <v>105</v>
      </c>
      <c r="U173" s="13">
        <v>0.10249999999999999</v>
      </c>
      <c r="V173" s="13"/>
      <c r="AI173" s="65"/>
    </row>
    <row r="174" spans="18:35" x14ac:dyDescent="0.2">
      <c r="R174" s="63"/>
      <c r="T174" s="66">
        <v>35279</v>
      </c>
      <c r="U174" s="8">
        <v>35644</v>
      </c>
      <c r="V174" s="66">
        <v>36009</v>
      </c>
      <c r="W174" s="8">
        <v>36374</v>
      </c>
      <c r="X174" s="66">
        <v>36740</v>
      </c>
      <c r="Y174" s="8">
        <v>37105</v>
      </c>
      <c r="Z174" s="66">
        <v>37470</v>
      </c>
      <c r="AA174" s="8">
        <v>37835</v>
      </c>
      <c r="AB174" s="66">
        <v>38201</v>
      </c>
      <c r="AC174" s="8">
        <v>38566</v>
      </c>
      <c r="AD174" s="66">
        <v>38931</v>
      </c>
      <c r="AE174" s="8"/>
      <c r="AF174" s="66"/>
      <c r="AG174" s="8"/>
      <c r="AH174" s="66"/>
      <c r="AI174" s="8"/>
    </row>
    <row r="175" spans="18:35" x14ac:dyDescent="0.2">
      <c r="R175" s="63"/>
      <c r="S175" t="s">
        <v>1318</v>
      </c>
      <c r="T175" s="68"/>
      <c r="U175" s="69">
        <v>10000</v>
      </c>
      <c r="V175" s="69">
        <v>10000</v>
      </c>
      <c r="W175" s="69">
        <v>10000</v>
      </c>
      <c r="X175" s="69">
        <v>10000</v>
      </c>
      <c r="Y175" s="69">
        <v>10000</v>
      </c>
      <c r="Z175" s="69">
        <v>10000</v>
      </c>
      <c r="AA175" s="69">
        <v>10000</v>
      </c>
      <c r="AB175" s="69">
        <v>10000</v>
      </c>
      <c r="AC175" s="69">
        <v>10000</v>
      </c>
      <c r="AD175" s="69">
        <v>10000</v>
      </c>
      <c r="AE175" s="69"/>
      <c r="AF175" s="69"/>
      <c r="AG175" s="69"/>
      <c r="AH175" s="69"/>
      <c r="AI175" s="69"/>
    </row>
    <row r="176" spans="18:35" x14ac:dyDescent="0.2">
      <c r="R176" s="63"/>
      <c r="S176" t="s">
        <v>1320</v>
      </c>
      <c r="T176" s="69">
        <v>100000</v>
      </c>
      <c r="U176" s="23">
        <f t="shared" ref="U176:AD176" si="59">+T176-U175</f>
        <v>90000</v>
      </c>
      <c r="V176" s="23">
        <f t="shared" si="59"/>
        <v>80000</v>
      </c>
      <c r="W176" s="23">
        <f t="shared" si="59"/>
        <v>70000</v>
      </c>
      <c r="X176" s="23">
        <f t="shared" si="59"/>
        <v>60000</v>
      </c>
      <c r="Y176" s="23">
        <f t="shared" si="59"/>
        <v>50000</v>
      </c>
      <c r="Z176" s="23">
        <f t="shared" si="59"/>
        <v>40000</v>
      </c>
      <c r="AA176" s="23">
        <f t="shared" si="59"/>
        <v>30000</v>
      </c>
      <c r="AB176" s="23">
        <f t="shared" si="59"/>
        <v>20000</v>
      </c>
      <c r="AC176" s="23">
        <f t="shared" si="59"/>
        <v>10000</v>
      </c>
      <c r="AD176" s="23">
        <f t="shared" si="59"/>
        <v>0</v>
      </c>
      <c r="AE176" s="23"/>
      <c r="AF176" s="23"/>
      <c r="AG176" s="23"/>
      <c r="AH176" s="23"/>
      <c r="AI176" s="71"/>
    </row>
    <row r="177" spans="18:35" x14ac:dyDescent="0.2">
      <c r="R177" s="63"/>
      <c r="S177" t="s">
        <v>1321</v>
      </c>
      <c r="T177" s="68"/>
      <c r="U177" s="25">
        <f>+$U$173*T176</f>
        <v>10250</v>
      </c>
      <c r="V177" s="25">
        <f t="shared" ref="V177:AD177" si="60">+$U$173*U176</f>
        <v>9225</v>
      </c>
      <c r="W177" s="25">
        <f t="shared" si="60"/>
        <v>8200</v>
      </c>
      <c r="X177" s="25">
        <f t="shared" si="60"/>
        <v>7175</v>
      </c>
      <c r="Y177" s="25">
        <f t="shared" si="60"/>
        <v>6150</v>
      </c>
      <c r="Z177" s="25">
        <f t="shared" si="60"/>
        <v>5125</v>
      </c>
      <c r="AA177" s="25">
        <f t="shared" si="60"/>
        <v>4100</v>
      </c>
      <c r="AB177" s="25">
        <f t="shared" si="60"/>
        <v>3075</v>
      </c>
      <c r="AC177" s="25">
        <f t="shared" si="60"/>
        <v>2050</v>
      </c>
      <c r="AD177" s="25">
        <f t="shared" si="60"/>
        <v>1025</v>
      </c>
      <c r="AE177" s="25"/>
      <c r="AF177" s="25"/>
      <c r="AG177" s="25"/>
      <c r="AH177" s="25"/>
      <c r="AI177" s="25"/>
    </row>
    <row r="178" spans="18:35" x14ac:dyDescent="0.2">
      <c r="R178" s="63"/>
      <c r="S178" t="s">
        <v>1322</v>
      </c>
      <c r="T178" s="68"/>
      <c r="U178" s="25">
        <f t="shared" ref="U178:AD178" si="61">+U177+U175</f>
        <v>20250</v>
      </c>
      <c r="V178" s="25">
        <f t="shared" si="61"/>
        <v>19225</v>
      </c>
      <c r="W178" s="25">
        <f t="shared" si="61"/>
        <v>18200</v>
      </c>
      <c r="X178" s="25">
        <f t="shared" si="61"/>
        <v>17175</v>
      </c>
      <c r="Y178" s="25">
        <f t="shared" si="61"/>
        <v>16150</v>
      </c>
      <c r="Z178" s="25">
        <f t="shared" si="61"/>
        <v>15125</v>
      </c>
      <c r="AA178" s="25">
        <f t="shared" si="61"/>
        <v>14100</v>
      </c>
      <c r="AB178" s="25">
        <f t="shared" si="61"/>
        <v>13075</v>
      </c>
      <c r="AC178" s="25">
        <f t="shared" si="61"/>
        <v>12050</v>
      </c>
      <c r="AD178" s="25">
        <f t="shared" si="61"/>
        <v>11025</v>
      </c>
      <c r="AE178" s="25"/>
      <c r="AF178" s="25"/>
      <c r="AG178" s="25"/>
      <c r="AH178" s="25"/>
      <c r="AI178" s="72"/>
    </row>
    <row r="179" spans="18:35" x14ac:dyDescent="0.2">
      <c r="R179" s="63"/>
      <c r="S179" t="s">
        <v>1323</v>
      </c>
      <c r="T179" s="69"/>
      <c r="U179" s="25">
        <f t="shared" ref="U179:AD179" si="62">+IF(U174&gt;$U$1,U178,0)</f>
        <v>0</v>
      </c>
      <c r="V179" s="25">
        <f t="shared" si="62"/>
        <v>0</v>
      </c>
      <c r="W179" s="25">
        <f t="shared" si="62"/>
        <v>0</v>
      </c>
      <c r="X179" s="25">
        <f t="shared" si="62"/>
        <v>0</v>
      </c>
      <c r="Y179" s="25">
        <f t="shared" si="62"/>
        <v>0</v>
      </c>
      <c r="Z179" s="25">
        <f t="shared" si="62"/>
        <v>0</v>
      </c>
      <c r="AA179" s="25">
        <f t="shared" si="62"/>
        <v>0</v>
      </c>
      <c r="AB179" s="25">
        <f t="shared" si="62"/>
        <v>0</v>
      </c>
      <c r="AC179" s="25">
        <f t="shared" si="62"/>
        <v>0</v>
      </c>
      <c r="AD179" s="25">
        <f t="shared" si="62"/>
        <v>0</v>
      </c>
      <c r="AE179" s="25"/>
      <c r="AF179" s="25"/>
      <c r="AG179" s="25"/>
      <c r="AH179" s="25"/>
      <c r="AI179" s="72"/>
    </row>
    <row r="180" spans="18:35" x14ac:dyDescent="0.2">
      <c r="R180" s="63"/>
      <c r="S180" t="s">
        <v>1324</v>
      </c>
      <c r="T180" s="73"/>
      <c r="U180">
        <f t="shared" ref="U180:AD180" si="63">+IF(T179=0,(U174-$U$1)/(U174-T174),T180+1)</f>
        <v>-28.665753424657535</v>
      </c>
      <c r="V180">
        <f t="shared" si="63"/>
        <v>-27.665753424657535</v>
      </c>
      <c r="W180">
        <f t="shared" si="63"/>
        <v>-26.665753424657535</v>
      </c>
      <c r="X180">
        <f t="shared" si="63"/>
        <v>-25.592896174863387</v>
      </c>
      <c r="Y180">
        <f t="shared" si="63"/>
        <v>-24.663013698630138</v>
      </c>
      <c r="Z180">
        <f t="shared" si="63"/>
        <v>-23.663013698630138</v>
      </c>
      <c r="AA180">
        <f t="shared" si="63"/>
        <v>-22.663013698630138</v>
      </c>
      <c r="AB180">
        <f t="shared" si="63"/>
        <v>-21.601092896174862</v>
      </c>
      <c r="AC180">
        <f t="shared" si="63"/>
        <v>-20.660273972602738</v>
      </c>
      <c r="AD180">
        <f t="shared" si="63"/>
        <v>-19.660273972602738</v>
      </c>
    </row>
    <row r="181" spans="18:35" x14ac:dyDescent="0.2">
      <c r="R181" s="63"/>
      <c r="S181" s="29" t="s">
        <v>1325</v>
      </c>
      <c r="T181" s="68"/>
      <c r="U181" s="68" cm="1">
        <f t="array" ref="U181">IF(U180&lt;1,interpoler(mat_court,taux_court_act,U180*(U174-T174)),interpoler(mat,taux,U180))</f>
        <v>2.3281430422376737E-2</v>
      </c>
      <c r="V181" s="68" cm="1">
        <f t="array" ref="V181">IF(V180&lt;1,interpoler(mat_court,taux_court_act,V180*(V174-U174)),interpoler(mat,taux,V180))</f>
        <v>2.3281430422376737E-2</v>
      </c>
      <c r="W181" s="68" cm="1">
        <f t="array" ref="W181">IF(W180&lt;1,interpoler(mat_court,taux_court_act,W180*(W174-V174)),interpoler(mat,taux,W180))</f>
        <v>2.3281430422376737E-2</v>
      </c>
      <c r="X181" s="68" cm="1">
        <f t="array" ref="X181">IF(X180&lt;1,interpoler(mat_court,taux_court_act,X180*(X174-W174)),interpoler(mat,taux,X180))</f>
        <v>2.3281430422376737E-2</v>
      </c>
      <c r="Y181" s="68" cm="1">
        <f t="array" ref="Y181">IF(Y180&lt;1,interpoler(mat_court,taux_court_act,Y180*(Y174-X174)),interpoler(mat,taux,Y180))</f>
        <v>2.3281430422376737E-2</v>
      </c>
      <c r="Z181" s="68" cm="1">
        <f t="array" ref="Z181">IF(Z180&lt;1,interpoler(mat_court,taux_court_act,Z180*(Z174-Y174)),interpoler(mat,taux,Z180))</f>
        <v>2.3281430422376737E-2</v>
      </c>
      <c r="AA181" s="68" cm="1">
        <f t="array" ref="AA181">IF(AA180&lt;1,interpoler(mat_court,taux_court_act,AA180*(AA174-Z174)),interpoler(mat,taux,AA180))</f>
        <v>2.3281430422376737E-2</v>
      </c>
      <c r="AB181" s="68" cm="1">
        <f t="array" ref="AB181">IF(AB180&lt;1,interpoler(mat_court,taux_court_act,AB180*(AB174-AA174)),interpoler(mat,taux,AB180))</f>
        <v>2.3281430422376737E-2</v>
      </c>
      <c r="AC181" s="68" cm="1">
        <f t="array" ref="AC181">IF(AC180&lt;1,interpoler(mat_court,taux_court_act,AC180*(AC174-AB174)),interpoler(mat,taux,AC180))</f>
        <v>2.3281430422376737E-2</v>
      </c>
      <c r="AD181" s="68" cm="1">
        <f t="array" ref="AD181">IF(AD180&lt;1,interpoler(mat_court,taux_court_act,AD180*(AD174-AC174)),interpoler(mat,taux,AD180))</f>
        <v>2.3281430422376737E-2</v>
      </c>
      <c r="AE181" s="68"/>
      <c r="AF181" s="68"/>
      <c r="AG181" s="68"/>
      <c r="AH181" s="68"/>
      <c r="AI181" s="68"/>
    </row>
    <row r="182" spans="18:35" x14ac:dyDescent="0.2">
      <c r="R182" s="63"/>
      <c r="S182" t="s">
        <v>1328</v>
      </c>
      <c r="T182" s="68"/>
      <c r="U182" s="29" t="e">
        <f>+Lignes_détenues!#REF!</f>
        <v>#REF!</v>
      </c>
      <c r="V182" s="29" t="e">
        <f>U182</f>
        <v>#REF!</v>
      </c>
      <c r="W182" s="29" t="e">
        <f t="shared" ref="W182:AD182" si="64">+V182</f>
        <v>#REF!</v>
      </c>
      <c r="X182" s="29" t="e">
        <f t="shared" si="64"/>
        <v>#REF!</v>
      </c>
      <c r="Y182" s="29" t="e">
        <f t="shared" si="64"/>
        <v>#REF!</v>
      </c>
      <c r="Z182" s="29" t="e">
        <f t="shared" si="64"/>
        <v>#REF!</v>
      </c>
      <c r="AA182" s="29" t="e">
        <f t="shared" si="64"/>
        <v>#REF!</v>
      </c>
      <c r="AB182" s="29" t="e">
        <f t="shared" si="64"/>
        <v>#REF!</v>
      </c>
      <c r="AC182" s="29" t="e">
        <f t="shared" si="64"/>
        <v>#REF!</v>
      </c>
      <c r="AD182" s="29" t="e">
        <f t="shared" si="64"/>
        <v>#REF!</v>
      </c>
      <c r="AE182" s="29"/>
      <c r="AF182" s="29"/>
      <c r="AG182" s="29"/>
      <c r="AH182" s="29"/>
      <c r="AI182" s="75"/>
    </row>
    <row r="183" spans="18:35" x14ac:dyDescent="0.2">
      <c r="R183" s="63"/>
      <c r="S183" t="s">
        <v>1329</v>
      </c>
      <c r="T183" s="68"/>
      <c r="U183" s="13" t="e">
        <f t="shared" ref="U183:AD183" si="65">+ROUND(U181+U182,6)</f>
        <v>#REF!</v>
      </c>
      <c r="V183" s="100" t="e">
        <f t="shared" si="65"/>
        <v>#REF!</v>
      </c>
      <c r="W183" s="101" t="e">
        <f t="shared" si="65"/>
        <v>#REF!</v>
      </c>
      <c r="X183" s="102" t="e">
        <f t="shared" si="65"/>
        <v>#REF!</v>
      </c>
      <c r="Y183" s="102" t="e">
        <f t="shared" si="65"/>
        <v>#REF!</v>
      </c>
      <c r="Z183" s="102" t="e">
        <f t="shared" si="65"/>
        <v>#REF!</v>
      </c>
      <c r="AA183" s="102" t="e">
        <f t="shared" si="65"/>
        <v>#REF!</v>
      </c>
      <c r="AB183" s="13" t="e">
        <f t="shared" si="65"/>
        <v>#REF!</v>
      </c>
      <c r="AC183" s="13" t="e">
        <f t="shared" si="65"/>
        <v>#REF!</v>
      </c>
      <c r="AD183" s="13" t="e">
        <f t="shared" si="65"/>
        <v>#REF!</v>
      </c>
      <c r="AE183" s="13"/>
      <c r="AF183" s="13"/>
      <c r="AG183" s="13"/>
      <c r="AH183" s="13"/>
      <c r="AI183" s="13"/>
    </row>
    <row r="184" spans="18:35" x14ac:dyDescent="0.2">
      <c r="R184" s="63"/>
      <c r="T184" s="68"/>
      <c r="U184" s="69" t="e">
        <f t="shared" ref="U184:AD184" si="66">+U179/(1+U183)^U180</f>
        <v>#REF!</v>
      </c>
      <c r="V184" s="69" t="e">
        <f t="shared" si="66"/>
        <v>#REF!</v>
      </c>
      <c r="W184" s="69" t="e">
        <f t="shared" si="66"/>
        <v>#REF!</v>
      </c>
      <c r="X184" s="69" t="e">
        <f t="shared" si="66"/>
        <v>#REF!</v>
      </c>
      <c r="Y184" s="69" t="e">
        <f t="shared" si="66"/>
        <v>#REF!</v>
      </c>
      <c r="Z184" s="69" t="e">
        <f t="shared" si="66"/>
        <v>#REF!</v>
      </c>
      <c r="AA184" s="69" t="e">
        <f t="shared" si="66"/>
        <v>#REF!</v>
      </c>
      <c r="AB184" s="69" t="e">
        <f t="shared" si="66"/>
        <v>#REF!</v>
      </c>
      <c r="AC184" s="69" t="e">
        <f t="shared" si="66"/>
        <v>#REF!</v>
      </c>
      <c r="AD184" s="69" t="e">
        <f t="shared" si="66"/>
        <v>#REF!</v>
      </c>
      <c r="AE184" s="69"/>
      <c r="AF184" s="69"/>
      <c r="AG184" s="69"/>
      <c r="AH184" s="69"/>
      <c r="AI184" s="70"/>
    </row>
    <row r="185" spans="18:35" x14ac:dyDescent="0.2">
      <c r="R185" s="63"/>
      <c r="T185" s="68"/>
      <c r="U185" s="13"/>
      <c r="V185" s="13"/>
      <c r="W185" s="13"/>
      <c r="X185" s="13"/>
      <c r="Y185" s="13"/>
      <c r="Z185" s="13"/>
      <c r="AA185" s="13"/>
      <c r="AB185" s="13"/>
      <c r="AC185" s="13"/>
      <c r="AD185" s="13"/>
      <c r="AE185" s="13"/>
      <c r="AF185" s="13"/>
      <c r="AG185" s="13"/>
      <c r="AH185" s="13"/>
      <c r="AI185" s="76"/>
    </row>
    <row r="186" spans="18:35" x14ac:dyDescent="0.2">
      <c r="R186" s="63"/>
      <c r="S186" t="s">
        <v>650</v>
      </c>
      <c r="T186" s="77" t="e">
        <f>+SUM(U184:AI184)</f>
        <v>#REF!</v>
      </c>
      <c r="U186" s="13"/>
      <c r="V186" s="13"/>
      <c r="W186" s="13"/>
      <c r="X186" s="13"/>
      <c r="Y186" s="13"/>
      <c r="Z186" s="13"/>
      <c r="AA186" s="13"/>
      <c r="AB186" s="13"/>
      <c r="AC186" s="13"/>
      <c r="AD186" s="13"/>
      <c r="AE186" s="13"/>
      <c r="AF186" s="13"/>
      <c r="AG186" s="13"/>
      <c r="AH186" s="13"/>
      <c r="AI186" s="76"/>
    </row>
    <row r="187" spans="18:35" ht="13.5" thickBot="1" x14ac:dyDescent="0.25">
      <c r="R187" s="78"/>
      <c r="S187" s="79" t="s">
        <v>1331</v>
      </c>
      <c r="T187" s="80" t="e">
        <f>+SUMPRODUCT(U180:AI180,U184:AI184)/T186</f>
        <v>#REF!</v>
      </c>
      <c r="U187" s="79"/>
      <c r="V187" s="79"/>
      <c r="W187" s="79"/>
      <c r="X187" s="79"/>
      <c r="Y187" s="79"/>
      <c r="Z187" s="79"/>
      <c r="AA187" s="79"/>
      <c r="AB187" s="79"/>
      <c r="AC187" s="79"/>
      <c r="AD187" s="79"/>
      <c r="AE187" s="79"/>
      <c r="AF187" s="79"/>
      <c r="AG187" s="79"/>
      <c r="AH187" s="79"/>
      <c r="AI187" s="81"/>
    </row>
    <row r="190" spans="18:35" ht="13.5" thickBot="1" x14ac:dyDescent="0.25">
      <c r="R190">
        <v>2065</v>
      </c>
    </row>
    <row r="191" spans="18:35" ht="15.75" x14ac:dyDescent="0.25">
      <c r="R191" s="82" t="s">
        <v>367</v>
      </c>
      <c r="S191" s="59"/>
      <c r="T191" s="60" t="s">
        <v>103</v>
      </c>
      <c r="U191" s="61">
        <f>+U172</f>
        <v>46107</v>
      </c>
      <c r="V191" s="59"/>
      <c r="W191" s="59"/>
      <c r="X191" s="59"/>
      <c r="Y191" s="59"/>
      <c r="Z191" s="59"/>
      <c r="AA191" s="59"/>
      <c r="AB191" s="59"/>
      <c r="AC191" s="59"/>
      <c r="AD191" s="59"/>
      <c r="AE191" s="59"/>
      <c r="AF191" s="59"/>
      <c r="AG191" s="59"/>
      <c r="AH191" s="59"/>
      <c r="AI191" s="62"/>
    </row>
    <row r="192" spans="18:35" x14ac:dyDescent="0.2">
      <c r="R192" s="63"/>
      <c r="T192" s="64" t="s">
        <v>105</v>
      </c>
      <c r="U192" s="13">
        <v>8.4000000000000005E-2</v>
      </c>
      <c r="V192" s="13"/>
      <c r="AI192" s="65"/>
    </row>
    <row r="193" spans="18:35" x14ac:dyDescent="0.2">
      <c r="R193" s="63"/>
      <c r="T193" s="66">
        <v>36126</v>
      </c>
      <c r="U193" s="8">
        <v>36491</v>
      </c>
      <c r="V193" s="66">
        <v>36857</v>
      </c>
      <c r="W193" s="8">
        <v>37222</v>
      </c>
      <c r="X193" s="66">
        <v>37587</v>
      </c>
      <c r="Y193" s="8">
        <v>37952</v>
      </c>
      <c r="Z193" s="66">
        <v>38318</v>
      </c>
      <c r="AA193" s="8">
        <v>38683</v>
      </c>
      <c r="AB193" s="66">
        <v>39048</v>
      </c>
      <c r="AC193" s="8">
        <v>39413</v>
      </c>
      <c r="AD193" s="66">
        <v>39779</v>
      </c>
      <c r="AE193" s="8"/>
      <c r="AF193" s="66"/>
      <c r="AG193" s="8"/>
      <c r="AH193" s="66"/>
      <c r="AI193" s="8"/>
    </row>
    <row r="194" spans="18:35" x14ac:dyDescent="0.2">
      <c r="R194" s="63"/>
      <c r="S194" t="s">
        <v>1318</v>
      </c>
      <c r="T194" s="68"/>
      <c r="U194" s="69">
        <v>1000</v>
      </c>
      <c r="V194" s="69">
        <v>1000</v>
      </c>
      <c r="W194" s="69">
        <v>1000</v>
      </c>
      <c r="X194" s="69">
        <v>1000</v>
      </c>
      <c r="Y194" s="69">
        <v>1000</v>
      </c>
      <c r="Z194" s="69">
        <v>1000</v>
      </c>
      <c r="AA194" s="69">
        <v>1000</v>
      </c>
      <c r="AB194" s="69">
        <v>1000</v>
      </c>
      <c r="AC194" s="69">
        <v>1000</v>
      </c>
      <c r="AD194" s="69">
        <v>1000</v>
      </c>
      <c r="AE194" s="69"/>
      <c r="AF194" s="69"/>
      <c r="AG194" s="69"/>
      <c r="AH194" s="69"/>
      <c r="AI194" s="69"/>
    </row>
    <row r="195" spans="18:35" x14ac:dyDescent="0.2">
      <c r="R195" s="63"/>
      <c r="S195" t="s">
        <v>1320</v>
      </c>
      <c r="T195" s="69">
        <v>10000</v>
      </c>
      <c r="U195" s="23">
        <f t="shared" ref="U195:AD195" si="67">+T195-U194</f>
        <v>9000</v>
      </c>
      <c r="V195" s="23">
        <f t="shared" si="67"/>
        <v>8000</v>
      </c>
      <c r="W195" s="23">
        <f t="shared" si="67"/>
        <v>7000</v>
      </c>
      <c r="X195" s="23">
        <f t="shared" si="67"/>
        <v>6000</v>
      </c>
      <c r="Y195" s="23">
        <f t="shared" si="67"/>
        <v>5000</v>
      </c>
      <c r="Z195" s="23">
        <f t="shared" si="67"/>
        <v>4000</v>
      </c>
      <c r="AA195" s="23">
        <f t="shared" si="67"/>
        <v>3000</v>
      </c>
      <c r="AB195" s="23">
        <f t="shared" si="67"/>
        <v>2000</v>
      </c>
      <c r="AC195" s="23">
        <f t="shared" si="67"/>
        <v>1000</v>
      </c>
      <c r="AD195" s="23">
        <f t="shared" si="67"/>
        <v>0</v>
      </c>
      <c r="AE195" s="23"/>
      <c r="AF195" s="23"/>
      <c r="AG195" s="23"/>
      <c r="AH195" s="23"/>
      <c r="AI195" s="71"/>
    </row>
    <row r="196" spans="18:35" x14ac:dyDescent="0.2">
      <c r="R196" s="63"/>
      <c r="S196" t="s">
        <v>1321</v>
      </c>
      <c r="T196" s="68"/>
      <c r="U196" s="25">
        <f>+$U$192*T195</f>
        <v>840</v>
      </c>
      <c r="V196" s="25">
        <f t="shared" ref="V196:AD196" si="68">+$U$192*U195</f>
        <v>756</v>
      </c>
      <c r="W196" s="25">
        <f t="shared" si="68"/>
        <v>672</v>
      </c>
      <c r="X196" s="25">
        <f t="shared" si="68"/>
        <v>588</v>
      </c>
      <c r="Y196" s="25">
        <f t="shared" si="68"/>
        <v>504.00000000000006</v>
      </c>
      <c r="Z196" s="25">
        <f t="shared" si="68"/>
        <v>420</v>
      </c>
      <c r="AA196" s="25">
        <f>+$U$192*Z195</f>
        <v>336</v>
      </c>
      <c r="AB196" s="25">
        <f t="shared" si="68"/>
        <v>252.00000000000003</v>
      </c>
      <c r="AC196" s="25">
        <f t="shared" si="68"/>
        <v>168</v>
      </c>
      <c r="AD196" s="25">
        <f t="shared" si="68"/>
        <v>84</v>
      </c>
      <c r="AE196" s="25"/>
      <c r="AF196" s="25"/>
      <c r="AG196" s="25"/>
      <c r="AH196" s="25"/>
      <c r="AI196" s="25"/>
    </row>
    <row r="197" spans="18:35" x14ac:dyDescent="0.2">
      <c r="R197" s="63"/>
      <c r="S197" t="s">
        <v>1322</v>
      </c>
      <c r="T197" s="68"/>
      <c r="U197" s="25">
        <f t="shared" ref="U197:AD197" si="69">+U196+U194</f>
        <v>1840</v>
      </c>
      <c r="V197" s="25">
        <f t="shared" si="69"/>
        <v>1756</v>
      </c>
      <c r="W197" s="25">
        <f t="shared" si="69"/>
        <v>1672</v>
      </c>
      <c r="X197" s="25">
        <f t="shared" si="69"/>
        <v>1588</v>
      </c>
      <c r="Y197" s="25">
        <f t="shared" si="69"/>
        <v>1504</v>
      </c>
      <c r="Z197" s="25">
        <f t="shared" si="69"/>
        <v>1420</v>
      </c>
      <c r="AA197" s="25">
        <f t="shared" si="69"/>
        <v>1336</v>
      </c>
      <c r="AB197" s="25">
        <f t="shared" si="69"/>
        <v>1252</v>
      </c>
      <c r="AC197" s="25">
        <f t="shared" si="69"/>
        <v>1168</v>
      </c>
      <c r="AD197" s="25">
        <f t="shared" si="69"/>
        <v>1084</v>
      </c>
      <c r="AE197" s="25"/>
      <c r="AF197" s="25"/>
      <c r="AG197" s="25"/>
      <c r="AH197" s="25"/>
      <c r="AI197" s="72"/>
    </row>
    <row r="198" spans="18:35" x14ac:dyDescent="0.2">
      <c r="R198" s="63"/>
      <c r="S198" t="s">
        <v>1323</v>
      </c>
      <c r="T198" s="69"/>
      <c r="U198" s="25">
        <f t="shared" ref="U198:AD198" si="70">+IF(U193&gt;$U$1,U197,0)</f>
        <v>0</v>
      </c>
      <c r="V198" s="25">
        <f t="shared" si="70"/>
        <v>0</v>
      </c>
      <c r="W198" s="25">
        <f t="shared" si="70"/>
        <v>0</v>
      </c>
      <c r="X198" s="25">
        <f t="shared" si="70"/>
        <v>0</v>
      </c>
      <c r="Y198" s="25">
        <f t="shared" si="70"/>
        <v>0</v>
      </c>
      <c r="Z198" s="25">
        <f t="shared" si="70"/>
        <v>0</v>
      </c>
      <c r="AA198" s="25">
        <f t="shared" si="70"/>
        <v>0</v>
      </c>
      <c r="AB198" s="25">
        <f t="shared" si="70"/>
        <v>0</v>
      </c>
      <c r="AC198" s="25">
        <f t="shared" si="70"/>
        <v>0</v>
      </c>
      <c r="AD198" s="25">
        <f t="shared" si="70"/>
        <v>0</v>
      </c>
      <c r="AE198" s="25"/>
      <c r="AF198" s="25"/>
      <c r="AG198" s="25"/>
      <c r="AH198" s="25"/>
      <c r="AI198" s="72"/>
    </row>
    <row r="199" spans="18:35" x14ac:dyDescent="0.2">
      <c r="R199" s="63"/>
      <c r="S199" t="s">
        <v>1324</v>
      </c>
      <c r="T199" s="73"/>
      <c r="U199">
        <f t="shared" ref="U199:AD199" si="71">+IF(T198=0,(U193-$U$1)/(U193-T193),T199+1)</f>
        <v>-26.345205479452055</v>
      </c>
      <c r="V199">
        <f t="shared" si="71"/>
        <v>-25.273224043715846</v>
      </c>
      <c r="W199">
        <f t="shared" si="71"/>
        <v>-24.342465753424658</v>
      </c>
      <c r="X199">
        <f t="shared" si="71"/>
        <v>-23.342465753424658</v>
      </c>
      <c r="Y199">
        <f t="shared" si="71"/>
        <v>-22.342465753424658</v>
      </c>
      <c r="Z199">
        <f t="shared" si="71"/>
        <v>-21.281420765027324</v>
      </c>
      <c r="AA199">
        <f t="shared" si="71"/>
        <v>-20.339726027397262</v>
      </c>
      <c r="AB199">
        <f t="shared" si="71"/>
        <v>-19.339726027397262</v>
      </c>
      <c r="AC199">
        <f t="shared" si="71"/>
        <v>-18.339726027397262</v>
      </c>
      <c r="AD199">
        <f t="shared" si="71"/>
        <v>-17.289617486338798</v>
      </c>
    </row>
    <row r="200" spans="18:35" x14ac:dyDescent="0.2">
      <c r="R200" s="63"/>
      <c r="S200" s="29" t="s">
        <v>1325</v>
      </c>
      <c r="T200" s="68"/>
      <c r="U200" s="68" cm="1">
        <f t="array" ref="U200">IF(U199&lt;1,interpoler(mat_court,taux_court_act,U199*(U193-T193)),interpoler(mat,taux,U199))</f>
        <v>2.3281430422376737E-2</v>
      </c>
      <c r="V200" s="68" cm="1">
        <f t="array" ref="V200">IF(V199&lt;1,interpoler(mat_court,taux_court_act,V199*(V193-U193)),interpoler(mat,taux,V199))</f>
        <v>2.3281430422376737E-2</v>
      </c>
      <c r="W200" s="68" cm="1">
        <f t="array" ref="W200">IF(W199&lt;1,interpoler(mat_court,taux_court_act,W199*(W193-V193)),interpoler(mat,taux,W199))</f>
        <v>2.3281430422376737E-2</v>
      </c>
      <c r="X200" s="68" cm="1">
        <f t="array" ref="X200">IF(X199&lt;1,interpoler(mat_court,taux_court_act,X199*(X193-W193)),interpoler(mat,taux,X199))</f>
        <v>2.3281430422376737E-2</v>
      </c>
      <c r="Y200" s="68" cm="1">
        <f t="array" ref="Y200">IF(Y199&lt;1,interpoler(mat_court,taux_court_act,Y199*(Y193-X193)),interpoler(mat,taux,Y199))</f>
        <v>2.3281430422376737E-2</v>
      </c>
      <c r="Z200" s="68" cm="1">
        <f t="array" ref="Z200">IF(Z199&lt;1,interpoler(mat_court,taux_court_act,Z199*(Z193-Y193)),interpoler(mat,taux,Z199))</f>
        <v>2.3281430422376737E-2</v>
      </c>
      <c r="AA200" s="68" cm="1">
        <f t="array" ref="AA200">IF(AA199&lt;1,interpoler(mat_court,taux_court_act,AA199*(AA193-Z193)),interpoler(mat,taux,AA199))</f>
        <v>2.3281430422376737E-2</v>
      </c>
      <c r="AB200" s="68" cm="1">
        <f t="array" ref="AB200">IF(AB199&lt;1,interpoler(mat_court,taux_court_act,AB199*(AB193-AA193)),interpoler(mat,taux,AB199))</f>
        <v>2.3281430422376737E-2</v>
      </c>
      <c r="AC200" s="68" cm="1">
        <f t="array" ref="AC200">IF(AC199&lt;1,interpoler(mat_court,taux_court_act,AC199*(AC193-AB193)),interpoler(mat,taux,AC199))</f>
        <v>2.3281430422376737E-2</v>
      </c>
      <c r="AD200" s="68" cm="1">
        <f t="array" ref="AD200">IF(AD199&lt;1,interpoler(mat_court,taux_court_act,AD199*(AD193-AC193)),interpoler(mat,taux,AD199))</f>
        <v>2.3281430422376737E-2</v>
      </c>
      <c r="AE200" s="68"/>
      <c r="AF200" s="68"/>
      <c r="AG200" s="68"/>
      <c r="AH200" s="68"/>
      <c r="AI200" s="68"/>
    </row>
    <row r="201" spans="18:35" x14ac:dyDescent="0.2">
      <c r="R201" s="63"/>
      <c r="S201" t="s">
        <v>1328</v>
      </c>
      <c r="T201" s="68"/>
      <c r="U201" s="29" t="e">
        <f>+Lignes_détenues!#REF!</f>
        <v>#REF!</v>
      </c>
      <c r="V201" s="29" t="e">
        <f>U201</f>
        <v>#REF!</v>
      </c>
      <c r="W201" s="29" t="e">
        <f t="shared" ref="W201:AD201" si="72">+V201</f>
        <v>#REF!</v>
      </c>
      <c r="X201" s="29" t="e">
        <f t="shared" si="72"/>
        <v>#REF!</v>
      </c>
      <c r="Y201" s="29" t="e">
        <f t="shared" si="72"/>
        <v>#REF!</v>
      </c>
      <c r="Z201" s="29" t="e">
        <f t="shared" si="72"/>
        <v>#REF!</v>
      </c>
      <c r="AA201" s="29" t="e">
        <f t="shared" si="72"/>
        <v>#REF!</v>
      </c>
      <c r="AB201" s="29" t="e">
        <f t="shared" si="72"/>
        <v>#REF!</v>
      </c>
      <c r="AC201" s="29" t="e">
        <f t="shared" si="72"/>
        <v>#REF!</v>
      </c>
      <c r="AD201" s="29" t="e">
        <f t="shared" si="72"/>
        <v>#REF!</v>
      </c>
      <c r="AE201" s="29"/>
      <c r="AF201" s="29"/>
      <c r="AG201" s="29"/>
      <c r="AH201" s="29"/>
      <c r="AI201" s="75"/>
    </row>
    <row r="202" spans="18:35" x14ac:dyDescent="0.2">
      <c r="R202" s="63"/>
      <c r="S202" t="s">
        <v>1329</v>
      </c>
      <c r="T202" s="68"/>
      <c r="U202" s="13" t="e">
        <f t="shared" ref="U202:AD202" si="73">+ROUND(U200+U201,6)</f>
        <v>#REF!</v>
      </c>
      <c r="V202" s="100" t="e">
        <f t="shared" si="73"/>
        <v>#REF!</v>
      </c>
      <c r="W202" s="101" t="e">
        <f t="shared" si="73"/>
        <v>#REF!</v>
      </c>
      <c r="X202" s="102" t="e">
        <f t="shared" si="73"/>
        <v>#REF!</v>
      </c>
      <c r="Y202" s="102" t="e">
        <f t="shared" si="73"/>
        <v>#REF!</v>
      </c>
      <c r="Z202" s="102" t="e">
        <f t="shared" si="73"/>
        <v>#REF!</v>
      </c>
      <c r="AA202" s="102" t="e">
        <f t="shared" si="73"/>
        <v>#REF!</v>
      </c>
      <c r="AB202" s="13" t="e">
        <f t="shared" si="73"/>
        <v>#REF!</v>
      </c>
      <c r="AC202" s="13" t="e">
        <f t="shared" si="73"/>
        <v>#REF!</v>
      </c>
      <c r="AD202" s="13" t="e">
        <f t="shared" si="73"/>
        <v>#REF!</v>
      </c>
      <c r="AE202" s="13"/>
      <c r="AF202" s="13"/>
      <c r="AG202" s="13"/>
      <c r="AH202" s="13"/>
      <c r="AI202" s="13"/>
    </row>
    <row r="203" spans="18:35" x14ac:dyDescent="0.2">
      <c r="R203" s="63"/>
      <c r="T203" s="68"/>
      <c r="U203" s="69" t="e">
        <f t="shared" ref="U203:AD203" si="74">+U198/(1+U202)^U199</f>
        <v>#REF!</v>
      </c>
      <c r="V203" s="69" t="e">
        <f t="shared" si="74"/>
        <v>#REF!</v>
      </c>
      <c r="W203" s="69" t="e">
        <f t="shared" si="74"/>
        <v>#REF!</v>
      </c>
      <c r="X203" s="69" t="e">
        <f t="shared" si="74"/>
        <v>#REF!</v>
      </c>
      <c r="Y203" s="69" t="e">
        <f t="shared" si="74"/>
        <v>#REF!</v>
      </c>
      <c r="Z203" s="69" t="e">
        <f t="shared" si="74"/>
        <v>#REF!</v>
      </c>
      <c r="AA203" s="69" t="e">
        <f t="shared" si="74"/>
        <v>#REF!</v>
      </c>
      <c r="AB203" s="69" t="e">
        <f t="shared" si="74"/>
        <v>#REF!</v>
      </c>
      <c r="AC203" s="69" t="e">
        <f t="shared" si="74"/>
        <v>#REF!</v>
      </c>
      <c r="AD203" s="69" t="e">
        <f t="shared" si="74"/>
        <v>#REF!</v>
      </c>
      <c r="AE203" s="69"/>
      <c r="AF203" s="69"/>
      <c r="AG203" s="69"/>
      <c r="AH203" s="69"/>
      <c r="AI203" s="70"/>
    </row>
    <row r="204" spans="18:35" x14ac:dyDescent="0.2">
      <c r="R204" s="63"/>
      <c r="T204" s="68"/>
      <c r="U204" s="13"/>
      <c r="V204" s="13"/>
      <c r="W204" s="13"/>
      <c r="X204" s="13"/>
      <c r="Y204" s="13"/>
      <c r="Z204" s="13"/>
      <c r="AA204" s="13"/>
      <c r="AB204" s="13"/>
      <c r="AC204" s="13"/>
      <c r="AD204" s="13"/>
      <c r="AE204" s="13"/>
      <c r="AF204" s="13"/>
      <c r="AG204" s="13"/>
      <c r="AH204" s="13"/>
      <c r="AI204" s="76"/>
    </row>
    <row r="205" spans="18:35" x14ac:dyDescent="0.2">
      <c r="R205" s="63"/>
      <c r="S205" t="s">
        <v>650</v>
      </c>
      <c r="T205" s="77" t="e">
        <f>+SUM(U203:AI203)</f>
        <v>#REF!</v>
      </c>
      <c r="U205" s="13"/>
      <c r="V205" s="13"/>
      <c r="W205" s="13"/>
      <c r="X205" s="13"/>
      <c r="Y205" s="13"/>
      <c r="Z205" s="13"/>
      <c r="AA205" s="13"/>
      <c r="AB205" s="13"/>
      <c r="AC205" s="13"/>
      <c r="AD205" s="13"/>
      <c r="AE205" s="13"/>
      <c r="AF205" s="13"/>
      <c r="AG205" s="13"/>
      <c r="AH205" s="13"/>
      <c r="AI205" s="76"/>
    </row>
    <row r="206" spans="18:35" ht="13.5" thickBot="1" x14ac:dyDescent="0.25">
      <c r="R206" s="78"/>
      <c r="S206" s="79" t="s">
        <v>1331</v>
      </c>
      <c r="T206" s="80" t="e">
        <f>+SUMPRODUCT(U199:AI199,U203:AI203)/T205</f>
        <v>#REF!</v>
      </c>
      <c r="U206" s="79"/>
      <c r="V206" s="79"/>
      <c r="W206" s="79"/>
      <c r="X206" s="79"/>
      <c r="Y206" s="79"/>
      <c r="Z206" s="79"/>
      <c r="AA206" s="79"/>
      <c r="AB206" s="79"/>
      <c r="AC206" s="79"/>
      <c r="AD206" s="79"/>
      <c r="AE206" s="79"/>
      <c r="AF206" s="79"/>
      <c r="AG206" s="79"/>
      <c r="AH206" s="79"/>
      <c r="AI206" s="81"/>
    </row>
    <row r="209" spans="18:35" ht="13.5" thickBot="1" x14ac:dyDescent="0.25">
      <c r="R209">
        <v>2067</v>
      </c>
    </row>
    <row r="210" spans="18:35" ht="15.75" x14ac:dyDescent="0.25">
      <c r="R210" s="82" t="s">
        <v>367</v>
      </c>
      <c r="S210" s="59"/>
      <c r="T210" s="60" t="s">
        <v>103</v>
      </c>
      <c r="U210" s="61">
        <f>+U191</f>
        <v>46107</v>
      </c>
      <c r="V210" s="59"/>
      <c r="W210" s="59"/>
      <c r="X210" s="59"/>
      <c r="Y210" s="59"/>
      <c r="Z210" s="59"/>
      <c r="AA210" s="59"/>
      <c r="AB210" s="59"/>
      <c r="AC210" s="59"/>
      <c r="AD210" s="59"/>
      <c r="AE210" s="59"/>
      <c r="AF210" s="59"/>
      <c r="AG210" s="59"/>
      <c r="AH210" s="59"/>
      <c r="AI210" s="62"/>
    </row>
    <row r="211" spans="18:35" x14ac:dyDescent="0.2">
      <c r="R211" s="63"/>
      <c r="T211" s="64" t="s">
        <v>105</v>
      </c>
      <c r="U211" s="13">
        <v>8.5000000000000006E-2</v>
      </c>
      <c r="V211" s="13"/>
      <c r="AI211" s="65"/>
    </row>
    <row r="212" spans="18:35" x14ac:dyDescent="0.2">
      <c r="R212" s="63"/>
      <c r="T212" s="66">
        <v>36241</v>
      </c>
      <c r="U212" s="8">
        <v>36607</v>
      </c>
      <c r="V212" s="66">
        <v>36972</v>
      </c>
      <c r="W212" s="8">
        <v>37337</v>
      </c>
      <c r="X212" s="66">
        <v>37702</v>
      </c>
      <c r="Y212" s="8">
        <v>38068</v>
      </c>
      <c r="Z212" s="66">
        <v>38433</v>
      </c>
      <c r="AA212" s="8">
        <v>38798</v>
      </c>
      <c r="AB212" s="66">
        <v>39163</v>
      </c>
      <c r="AC212" s="8">
        <v>39529</v>
      </c>
      <c r="AD212" s="66">
        <v>39894</v>
      </c>
      <c r="AE212" s="8">
        <v>40259</v>
      </c>
      <c r="AF212" s="66">
        <v>40624</v>
      </c>
      <c r="AG212" s="8">
        <v>40990</v>
      </c>
      <c r="AH212" s="66">
        <v>41355</v>
      </c>
      <c r="AI212" s="8">
        <v>41720</v>
      </c>
    </row>
    <row r="213" spans="18:35" x14ac:dyDescent="0.2">
      <c r="R213" s="63"/>
      <c r="S213" t="s">
        <v>1318</v>
      </c>
      <c r="T213" s="68"/>
      <c r="U213" s="69">
        <v>1000</v>
      </c>
      <c r="V213" s="69">
        <v>1000</v>
      </c>
      <c r="W213" s="69">
        <v>1000</v>
      </c>
      <c r="X213" s="69">
        <v>1000</v>
      </c>
      <c r="Y213" s="69">
        <v>1000</v>
      </c>
      <c r="Z213" s="69">
        <v>1000</v>
      </c>
      <c r="AA213" s="69">
        <v>1000</v>
      </c>
      <c r="AB213" s="69">
        <v>1000</v>
      </c>
      <c r="AC213" s="69">
        <v>1000</v>
      </c>
      <c r="AD213" s="69">
        <v>1000</v>
      </c>
      <c r="AE213" s="69">
        <v>1000</v>
      </c>
      <c r="AF213" s="69">
        <v>1000</v>
      </c>
      <c r="AG213" s="69">
        <v>1000</v>
      </c>
      <c r="AH213" s="69">
        <v>1000</v>
      </c>
      <c r="AI213" s="69">
        <v>1000</v>
      </c>
    </row>
    <row r="214" spans="18:35" x14ac:dyDescent="0.2">
      <c r="R214" s="63"/>
      <c r="S214" t="s">
        <v>1320</v>
      </c>
      <c r="T214" s="69">
        <v>15000</v>
      </c>
      <c r="U214" s="23">
        <f t="shared" ref="U214:AI214" si="75">+T214-U213</f>
        <v>14000</v>
      </c>
      <c r="V214" s="23">
        <f t="shared" si="75"/>
        <v>13000</v>
      </c>
      <c r="W214" s="23">
        <f t="shared" si="75"/>
        <v>12000</v>
      </c>
      <c r="X214" s="23">
        <f t="shared" si="75"/>
        <v>11000</v>
      </c>
      <c r="Y214" s="23">
        <f t="shared" si="75"/>
        <v>10000</v>
      </c>
      <c r="Z214" s="23">
        <f t="shared" si="75"/>
        <v>9000</v>
      </c>
      <c r="AA214" s="23">
        <f t="shared" si="75"/>
        <v>8000</v>
      </c>
      <c r="AB214" s="23">
        <f t="shared" si="75"/>
        <v>7000</v>
      </c>
      <c r="AC214" s="23">
        <f t="shared" si="75"/>
        <v>6000</v>
      </c>
      <c r="AD214" s="23">
        <f t="shared" si="75"/>
        <v>5000</v>
      </c>
      <c r="AE214" s="23">
        <f t="shared" si="75"/>
        <v>4000</v>
      </c>
      <c r="AF214" s="23">
        <f t="shared" si="75"/>
        <v>3000</v>
      </c>
      <c r="AG214" s="23">
        <f t="shared" si="75"/>
        <v>2000</v>
      </c>
      <c r="AH214" s="23">
        <f t="shared" si="75"/>
        <v>1000</v>
      </c>
      <c r="AI214" s="23">
        <f t="shared" si="75"/>
        <v>0</v>
      </c>
    </row>
    <row r="215" spans="18:35" x14ac:dyDescent="0.2">
      <c r="R215" s="63"/>
      <c r="S215" t="s">
        <v>1321</v>
      </c>
      <c r="T215" s="68"/>
      <c r="U215" s="25">
        <f>+$U$211*T214</f>
        <v>1275</v>
      </c>
      <c r="V215" s="25">
        <f>+$U$211*U214</f>
        <v>1190</v>
      </c>
      <c r="W215" s="25">
        <f>+$U$211*V214</f>
        <v>1105</v>
      </c>
      <c r="X215" s="25">
        <f t="shared" ref="X215:AI215" si="76">+$U$211*W214</f>
        <v>1020.0000000000001</v>
      </c>
      <c r="Y215" s="25">
        <f t="shared" si="76"/>
        <v>935.00000000000011</v>
      </c>
      <c r="Z215" s="25">
        <f t="shared" si="76"/>
        <v>850.00000000000011</v>
      </c>
      <c r="AA215" s="25">
        <f t="shared" si="76"/>
        <v>765</v>
      </c>
      <c r="AB215" s="25">
        <f t="shared" si="76"/>
        <v>680</v>
      </c>
      <c r="AC215" s="25">
        <f t="shared" si="76"/>
        <v>595</v>
      </c>
      <c r="AD215" s="25">
        <f t="shared" si="76"/>
        <v>510.00000000000006</v>
      </c>
      <c r="AE215" s="25">
        <f t="shared" si="76"/>
        <v>425.00000000000006</v>
      </c>
      <c r="AF215" s="25">
        <f t="shared" si="76"/>
        <v>340</v>
      </c>
      <c r="AG215" s="25">
        <f t="shared" si="76"/>
        <v>255.00000000000003</v>
      </c>
      <c r="AH215" s="25">
        <f t="shared" si="76"/>
        <v>170</v>
      </c>
      <c r="AI215" s="25">
        <f t="shared" si="76"/>
        <v>85</v>
      </c>
    </row>
    <row r="216" spans="18:35" x14ac:dyDescent="0.2">
      <c r="R216" s="63"/>
      <c r="S216" t="s">
        <v>1322</v>
      </c>
      <c r="T216" s="68"/>
      <c r="U216" s="25">
        <f>+U215+U213</f>
        <v>2275</v>
      </c>
      <c r="V216" s="25">
        <f t="shared" ref="V216:AI216" si="77">+V215+V213</f>
        <v>2190</v>
      </c>
      <c r="W216" s="25">
        <f>+W215+W213</f>
        <v>2105</v>
      </c>
      <c r="X216" s="25">
        <f t="shared" si="77"/>
        <v>2020</v>
      </c>
      <c r="Y216" s="25">
        <f t="shared" si="77"/>
        <v>1935</v>
      </c>
      <c r="Z216" s="25">
        <f t="shared" si="77"/>
        <v>1850</v>
      </c>
      <c r="AA216" s="25">
        <f t="shared" si="77"/>
        <v>1765</v>
      </c>
      <c r="AB216" s="25">
        <f t="shared" si="77"/>
        <v>1680</v>
      </c>
      <c r="AC216" s="25">
        <f t="shared" si="77"/>
        <v>1595</v>
      </c>
      <c r="AD216" s="25">
        <f t="shared" si="77"/>
        <v>1510</v>
      </c>
      <c r="AE216" s="25">
        <f t="shared" si="77"/>
        <v>1425</v>
      </c>
      <c r="AF216" s="25">
        <f t="shared" si="77"/>
        <v>1340</v>
      </c>
      <c r="AG216" s="25">
        <f t="shared" si="77"/>
        <v>1255</v>
      </c>
      <c r="AH216" s="25">
        <f t="shared" si="77"/>
        <v>1170</v>
      </c>
      <c r="AI216" s="25">
        <f t="shared" si="77"/>
        <v>1085</v>
      </c>
    </row>
    <row r="217" spans="18:35" x14ac:dyDescent="0.2">
      <c r="R217" s="63"/>
      <c r="S217" t="s">
        <v>1323</v>
      </c>
      <c r="T217" s="69"/>
      <c r="U217" s="25">
        <f t="shared" ref="U217:AI217" si="78">+IF(U212&gt;$U$1,U216,0)</f>
        <v>0</v>
      </c>
      <c r="V217" s="25">
        <f t="shared" si="78"/>
        <v>0</v>
      </c>
      <c r="W217" s="25">
        <f t="shared" si="78"/>
        <v>0</v>
      </c>
      <c r="X217" s="25">
        <f t="shared" si="78"/>
        <v>0</v>
      </c>
      <c r="Y217" s="25">
        <f t="shared" si="78"/>
        <v>0</v>
      </c>
      <c r="Z217" s="25">
        <f t="shared" si="78"/>
        <v>0</v>
      </c>
      <c r="AA217" s="25">
        <f t="shared" si="78"/>
        <v>0</v>
      </c>
      <c r="AB217" s="25">
        <f t="shared" si="78"/>
        <v>0</v>
      </c>
      <c r="AC217" s="25">
        <f t="shared" si="78"/>
        <v>0</v>
      </c>
      <c r="AD217" s="25">
        <f t="shared" si="78"/>
        <v>0</v>
      </c>
      <c r="AE217" s="25">
        <f t="shared" si="78"/>
        <v>0</v>
      </c>
      <c r="AF217" s="25">
        <f t="shared" si="78"/>
        <v>0</v>
      </c>
      <c r="AG217" s="25">
        <f t="shared" si="78"/>
        <v>0</v>
      </c>
      <c r="AH217" s="25">
        <f t="shared" si="78"/>
        <v>0</v>
      </c>
      <c r="AI217" s="25">
        <f t="shared" si="78"/>
        <v>0</v>
      </c>
    </row>
    <row r="218" spans="18:35" x14ac:dyDescent="0.2">
      <c r="R218" s="63"/>
      <c r="S218" t="s">
        <v>1324</v>
      </c>
      <c r="T218" s="73"/>
      <c r="U218">
        <f t="shared" ref="U218:AI218" si="79">+IF(T217=0,(U212-$U$1)/(U212-T212),T218+1)</f>
        <v>-25.956284153005466</v>
      </c>
      <c r="V218">
        <f t="shared" si="79"/>
        <v>-25.027397260273972</v>
      </c>
      <c r="W218">
        <f t="shared" si="79"/>
        <v>-24.027397260273972</v>
      </c>
      <c r="X218">
        <f t="shared" si="79"/>
        <v>-23.027397260273972</v>
      </c>
      <c r="Y218">
        <f t="shared" si="79"/>
        <v>-21.964480874316941</v>
      </c>
      <c r="Z218">
        <f t="shared" si="79"/>
        <v>-21.024657534246575</v>
      </c>
      <c r="AA218">
        <f t="shared" si="79"/>
        <v>-20.024657534246575</v>
      </c>
      <c r="AB218">
        <f t="shared" si="79"/>
        <v>-19.024657534246575</v>
      </c>
      <c r="AC218">
        <f t="shared" si="79"/>
        <v>-17.972677595628415</v>
      </c>
      <c r="AD218">
        <f t="shared" si="79"/>
        <v>-17.021917808219179</v>
      </c>
      <c r="AE218">
        <f t="shared" si="79"/>
        <v>-16.021917808219179</v>
      </c>
      <c r="AF218">
        <f t="shared" si="79"/>
        <v>-15.021917808219179</v>
      </c>
      <c r="AG218">
        <f t="shared" si="79"/>
        <v>-13.980874316939891</v>
      </c>
      <c r="AH218">
        <f t="shared" si="79"/>
        <v>-13.019178082191781</v>
      </c>
      <c r="AI218">
        <f t="shared" si="79"/>
        <v>-12.019178082191781</v>
      </c>
    </row>
    <row r="219" spans="18:35" x14ac:dyDescent="0.2">
      <c r="R219" s="63"/>
      <c r="S219" s="29" t="s">
        <v>1325</v>
      </c>
      <c r="T219" s="68"/>
      <c r="U219" s="68" cm="1">
        <f t="array" ref="U219">IF(U218&lt;1,interpoler(mat_court,taux_court_act,U218*(U212-T212)),interpoler(mat,taux,U218))</f>
        <v>2.3281430422376737E-2</v>
      </c>
      <c r="V219" s="68" cm="1">
        <f t="array" ref="V219">IF(V218&lt;1,interpoler(mat_court,taux_court_act,V218*(V212-U212)),interpoler(mat,taux,V218))</f>
        <v>2.3281430422376737E-2</v>
      </c>
      <c r="W219" s="68" cm="1">
        <f t="array" ref="W219">IF(W218&lt;1,interpoler(mat_court,taux_court_act,W218*(W212-V212)),interpoler(mat,taux,W218))</f>
        <v>2.3281430422376737E-2</v>
      </c>
      <c r="X219" s="68" cm="1">
        <f t="array" ref="X219">IF(X218&lt;1,interpoler(mat_court,taux_court_act,X218*(X212-W212)),interpoler(mat,taux,X218))</f>
        <v>2.3281430422376737E-2</v>
      </c>
      <c r="Y219" s="68" cm="1">
        <f t="array" ref="Y219">IF(Y218&lt;1,interpoler(mat_court,taux_court_act,Y218*(Y212-X212)),interpoler(mat,taux,Y218))</f>
        <v>2.3281430422376737E-2</v>
      </c>
      <c r="Z219" s="68" cm="1">
        <f t="array" ref="Z219">IF(Z218&lt;1,interpoler(mat_court,taux_court_act,Z218*(Z212-Y212)),interpoler(mat,taux,Z218))</f>
        <v>2.3281430422376737E-2</v>
      </c>
      <c r="AA219" s="68" cm="1">
        <f t="array" ref="AA219">IF(AA218&lt;1,interpoler(mat_court,taux_court_act,AA218*(AA212-Z212)),interpoler(mat,taux,AA218))</f>
        <v>2.3281430422376737E-2</v>
      </c>
      <c r="AB219" s="68" cm="1">
        <f t="array" ref="AB219">IF(AB218&lt;1,interpoler(mat_court,taux_court_act,AB218*(AB212-AA212)),interpoler(mat,taux,AB218))</f>
        <v>2.3281430422376737E-2</v>
      </c>
      <c r="AC219" s="68" cm="1">
        <f t="array" ref="AC219">IF(AC218&lt;1,interpoler(mat_court,taux_court_act,AC218*(AC212-AB212)),interpoler(mat,taux,AC218))</f>
        <v>2.3281430422376737E-2</v>
      </c>
      <c r="AD219" s="68" cm="1">
        <f t="array" ref="AD219">IF(AD218&lt;1,interpoler(mat_court,taux_court_act,AD218*(AD212-AC212)),interpoler(mat,taux,AD218))</f>
        <v>2.3281430422376737E-2</v>
      </c>
      <c r="AE219" s="68" cm="1">
        <f t="array" ref="AE219">IF(AE218&lt;1,interpoler(mat_court,taux_court_act,AE218*(AE212-AD212)),interpoler(mat,taux,AE218))</f>
        <v>2.3281430422376737E-2</v>
      </c>
      <c r="AF219" s="68" cm="1">
        <f t="array" ref="AF219">IF(AF218&lt;1,interpoler(mat_court,taux_court_act,AF218*(AF212-AE212)),interpoler(mat,taux,AF218))</f>
        <v>2.3281430422376737E-2</v>
      </c>
      <c r="AG219" s="68" cm="1">
        <f t="array" ref="AG219">IF(AG218&lt;1,interpoler(mat_court,taux_court_act,AG218*(AG212-AF212)),interpoler(mat,taux,AG218))</f>
        <v>2.3281430422376737E-2</v>
      </c>
      <c r="AH219" s="68" cm="1">
        <f t="array" ref="AH219">IF(AH218&lt;1,interpoler(mat_court,taux_court_act,AH218*(AH212-AG212)),interpoler(mat,taux,AH218))</f>
        <v>2.3281430422376737E-2</v>
      </c>
      <c r="AI219" s="68" cm="1">
        <f t="array" ref="AI219">IF(AI218&lt;1,interpoler(mat_court,taux_court_act,AI218*(AI212-AH212)),interpoler(mat,taux,AI218))</f>
        <v>2.3281430422376737E-2</v>
      </c>
    </row>
    <row r="220" spans="18:35" x14ac:dyDescent="0.2">
      <c r="R220" s="63"/>
      <c r="S220" t="s">
        <v>1328</v>
      </c>
      <c r="T220" s="68"/>
      <c r="U220" s="29" t="e">
        <f>+Lignes_détenues!#REF!</f>
        <v>#REF!</v>
      </c>
      <c r="V220" s="29" t="e">
        <f>U220</f>
        <v>#REF!</v>
      </c>
      <c r="W220" s="29" t="e">
        <f t="shared" ref="W220:AD220" si="80">+V220</f>
        <v>#REF!</v>
      </c>
      <c r="X220" s="29" t="e">
        <f t="shared" si="80"/>
        <v>#REF!</v>
      </c>
      <c r="Y220" s="29" t="e">
        <f t="shared" si="80"/>
        <v>#REF!</v>
      </c>
      <c r="Z220" s="29" t="e">
        <f t="shared" si="80"/>
        <v>#REF!</v>
      </c>
      <c r="AA220" s="29" t="e">
        <f t="shared" si="80"/>
        <v>#REF!</v>
      </c>
      <c r="AB220" s="29" t="e">
        <f t="shared" si="80"/>
        <v>#REF!</v>
      </c>
      <c r="AC220" s="29" t="e">
        <f t="shared" si="80"/>
        <v>#REF!</v>
      </c>
      <c r="AD220" s="29" t="e">
        <f t="shared" si="80"/>
        <v>#REF!</v>
      </c>
      <c r="AE220" s="29" t="e">
        <f>+AD220</f>
        <v>#REF!</v>
      </c>
      <c r="AF220" s="29" t="e">
        <f>+AE220</f>
        <v>#REF!</v>
      </c>
      <c r="AG220" s="29" t="e">
        <f>+AF220</f>
        <v>#REF!</v>
      </c>
      <c r="AH220" s="29" t="e">
        <f>+AG220</f>
        <v>#REF!</v>
      </c>
      <c r="AI220" s="29" t="e">
        <f>+AH220</f>
        <v>#REF!</v>
      </c>
    </row>
    <row r="221" spans="18:35" x14ac:dyDescent="0.2">
      <c r="R221" s="63"/>
      <c r="S221" t="s">
        <v>1329</v>
      </c>
      <c r="T221" s="68"/>
      <c r="U221" s="13" t="e">
        <f t="shared" ref="U221:AI221" si="81">+ROUND(U219+U220,6)</f>
        <v>#REF!</v>
      </c>
      <c r="V221" s="100" t="e">
        <f t="shared" si="81"/>
        <v>#REF!</v>
      </c>
      <c r="W221" s="101" t="e">
        <f t="shared" si="81"/>
        <v>#REF!</v>
      </c>
      <c r="X221" s="102" t="e">
        <f t="shared" si="81"/>
        <v>#REF!</v>
      </c>
      <c r="Y221" s="102" t="e">
        <f t="shared" si="81"/>
        <v>#REF!</v>
      </c>
      <c r="Z221" s="102" t="e">
        <f t="shared" si="81"/>
        <v>#REF!</v>
      </c>
      <c r="AA221" s="102" t="e">
        <f t="shared" si="81"/>
        <v>#REF!</v>
      </c>
      <c r="AB221" s="13" t="e">
        <f t="shared" si="81"/>
        <v>#REF!</v>
      </c>
      <c r="AC221" s="13" t="e">
        <f t="shared" si="81"/>
        <v>#REF!</v>
      </c>
      <c r="AD221" s="13" t="e">
        <f t="shared" si="81"/>
        <v>#REF!</v>
      </c>
      <c r="AE221" s="13" t="e">
        <f t="shared" si="81"/>
        <v>#REF!</v>
      </c>
      <c r="AF221" s="13" t="e">
        <f t="shared" si="81"/>
        <v>#REF!</v>
      </c>
      <c r="AG221" s="13" t="e">
        <f t="shared" si="81"/>
        <v>#REF!</v>
      </c>
      <c r="AH221" s="13" t="e">
        <f t="shared" si="81"/>
        <v>#REF!</v>
      </c>
      <c r="AI221" s="13" t="e">
        <f t="shared" si="81"/>
        <v>#REF!</v>
      </c>
    </row>
    <row r="222" spans="18:35" x14ac:dyDescent="0.2">
      <c r="R222" s="63"/>
      <c r="T222" s="68"/>
      <c r="U222" s="69" t="e">
        <f t="shared" ref="U222:AI222" si="82">+U217/(1+U221)^U218</f>
        <v>#REF!</v>
      </c>
      <c r="V222" s="69" t="e">
        <f t="shared" si="82"/>
        <v>#REF!</v>
      </c>
      <c r="W222" s="69" t="e">
        <f t="shared" si="82"/>
        <v>#REF!</v>
      </c>
      <c r="X222" s="69" t="e">
        <f t="shared" si="82"/>
        <v>#REF!</v>
      </c>
      <c r="Y222" s="69" t="e">
        <f t="shared" si="82"/>
        <v>#REF!</v>
      </c>
      <c r="Z222" s="69" t="e">
        <f t="shared" si="82"/>
        <v>#REF!</v>
      </c>
      <c r="AA222" s="69" t="e">
        <f t="shared" si="82"/>
        <v>#REF!</v>
      </c>
      <c r="AB222" s="69" t="e">
        <f t="shared" si="82"/>
        <v>#REF!</v>
      </c>
      <c r="AC222" s="69" t="e">
        <f t="shared" si="82"/>
        <v>#REF!</v>
      </c>
      <c r="AD222" s="69" t="e">
        <f t="shared" si="82"/>
        <v>#REF!</v>
      </c>
      <c r="AE222" s="69" t="e">
        <f t="shared" si="82"/>
        <v>#REF!</v>
      </c>
      <c r="AF222" s="69" t="e">
        <f t="shared" si="82"/>
        <v>#REF!</v>
      </c>
      <c r="AG222" s="69" t="e">
        <f t="shared" si="82"/>
        <v>#REF!</v>
      </c>
      <c r="AH222" s="69" t="e">
        <f t="shared" si="82"/>
        <v>#REF!</v>
      </c>
      <c r="AI222" s="69" t="e">
        <f t="shared" si="82"/>
        <v>#REF!</v>
      </c>
    </row>
    <row r="223" spans="18:35" x14ac:dyDescent="0.2">
      <c r="R223" s="63"/>
      <c r="T223" s="68"/>
      <c r="U223" s="13"/>
      <c r="V223" s="13"/>
      <c r="W223" s="13"/>
      <c r="X223" s="13"/>
      <c r="Y223" s="13"/>
      <c r="Z223" s="13"/>
      <c r="AA223" s="13"/>
      <c r="AB223" s="13"/>
      <c r="AC223" s="13"/>
      <c r="AD223" s="13"/>
      <c r="AE223" s="13"/>
      <c r="AF223" s="13"/>
      <c r="AG223" s="13"/>
      <c r="AH223" s="13"/>
      <c r="AI223" s="76"/>
    </row>
    <row r="224" spans="18:35" x14ac:dyDescent="0.2">
      <c r="R224" s="63"/>
      <c r="S224" t="s">
        <v>650</v>
      </c>
      <c r="T224" s="77" t="e">
        <f>+SUM(U222:AI222)</f>
        <v>#REF!</v>
      </c>
      <c r="U224" s="13"/>
      <c r="V224" s="13"/>
      <c r="W224" s="13"/>
      <c r="X224" s="13"/>
      <c r="Y224" s="13"/>
      <c r="Z224" s="13"/>
      <c r="AA224" s="13"/>
      <c r="AB224" s="13"/>
      <c r="AC224" s="13"/>
      <c r="AD224" s="13"/>
      <c r="AE224" s="13"/>
      <c r="AF224" s="13"/>
      <c r="AG224" s="13"/>
      <c r="AH224" s="13"/>
      <c r="AI224" s="76"/>
    </row>
    <row r="225" spans="18:35" ht="13.5" thickBot="1" x14ac:dyDescent="0.25">
      <c r="R225" s="78"/>
      <c r="S225" s="79" t="s">
        <v>1331</v>
      </c>
      <c r="T225" s="80" t="e">
        <f>+SUMPRODUCT(U218:AI218,U222:AI222)/T224</f>
        <v>#REF!</v>
      </c>
      <c r="U225" s="79"/>
      <c r="V225" s="79"/>
      <c r="W225" s="79"/>
      <c r="X225" s="79"/>
      <c r="Y225" s="79"/>
      <c r="Z225" s="79"/>
      <c r="AA225" s="79"/>
      <c r="AB225" s="79"/>
      <c r="AC225" s="79"/>
      <c r="AD225" s="79"/>
      <c r="AE225" s="79"/>
      <c r="AF225" s="79"/>
      <c r="AG225" s="79"/>
      <c r="AH225" s="79"/>
      <c r="AI225" s="81"/>
    </row>
    <row r="228" spans="18:35" ht="13.5" thickBot="1" x14ac:dyDescent="0.25">
      <c r="R228">
        <v>2073</v>
      </c>
    </row>
    <row r="229" spans="18:35" ht="15.75" x14ac:dyDescent="0.25">
      <c r="R229" s="82" t="s">
        <v>2005</v>
      </c>
      <c r="S229" s="59"/>
      <c r="T229" s="60" t="s">
        <v>103</v>
      </c>
      <c r="U229" s="61">
        <f>+U210</f>
        <v>46107</v>
      </c>
      <c r="V229" s="59"/>
      <c r="W229" s="59"/>
      <c r="X229" s="59"/>
      <c r="Y229" s="59"/>
      <c r="Z229" s="59"/>
      <c r="AA229" s="59"/>
      <c r="AB229" s="59"/>
      <c r="AC229" s="59"/>
      <c r="AD229" s="59"/>
      <c r="AE229" s="59"/>
      <c r="AF229" s="59"/>
      <c r="AG229" s="59"/>
      <c r="AH229" s="59"/>
      <c r="AI229" s="62"/>
    </row>
    <row r="230" spans="18:35" x14ac:dyDescent="0.2">
      <c r="R230" s="63"/>
      <c r="T230" s="64" t="s">
        <v>105</v>
      </c>
      <c r="U230" s="13">
        <v>7.0000000000000007E-2</v>
      </c>
      <c r="V230" s="13"/>
      <c r="AI230" s="65"/>
    </row>
    <row r="231" spans="18:35" x14ac:dyDescent="0.2">
      <c r="R231" s="63"/>
      <c r="T231" s="66">
        <v>37064</v>
      </c>
      <c r="U231" s="8">
        <v>37429</v>
      </c>
      <c r="V231" s="66">
        <v>37794</v>
      </c>
      <c r="W231" s="8">
        <v>38160</v>
      </c>
      <c r="X231" s="66">
        <v>38525</v>
      </c>
      <c r="Y231" s="8">
        <v>38890</v>
      </c>
      <c r="Z231" s="66"/>
      <c r="AA231" s="8"/>
      <c r="AB231" s="66"/>
      <c r="AC231" s="8"/>
      <c r="AD231" s="66"/>
      <c r="AE231" s="8"/>
      <c r="AF231" s="66"/>
      <c r="AG231" s="8"/>
      <c r="AH231" s="66"/>
      <c r="AI231" s="8"/>
    </row>
    <row r="232" spans="18:35" x14ac:dyDescent="0.2">
      <c r="R232" s="63"/>
      <c r="S232" t="s">
        <v>1318</v>
      </c>
      <c r="T232" s="68"/>
      <c r="U232" s="69">
        <v>2000</v>
      </c>
      <c r="V232" s="69">
        <v>2000</v>
      </c>
      <c r="W232" s="69">
        <v>2000</v>
      </c>
      <c r="X232" s="69">
        <v>2000</v>
      </c>
      <c r="Y232" s="69">
        <v>2000</v>
      </c>
      <c r="Z232" s="69"/>
      <c r="AA232" s="69"/>
      <c r="AB232" s="69"/>
      <c r="AC232" s="69"/>
      <c r="AD232" s="69"/>
      <c r="AE232" s="69"/>
      <c r="AF232" s="69"/>
      <c r="AG232" s="69"/>
      <c r="AH232" s="69"/>
      <c r="AI232" s="69"/>
    </row>
    <row r="233" spans="18:35" x14ac:dyDescent="0.2">
      <c r="R233" s="63"/>
      <c r="S233" t="s">
        <v>1320</v>
      </c>
      <c r="T233" s="69">
        <v>10000</v>
      </c>
      <c r="U233" s="23">
        <f>+T233-U232</f>
        <v>8000</v>
      </c>
      <c r="V233" s="23">
        <f>+U233-V232</f>
        <v>6000</v>
      </c>
      <c r="W233" s="23">
        <f>+V233-W232</f>
        <v>4000</v>
      </c>
      <c r="X233" s="23">
        <f>+W233-X232</f>
        <v>2000</v>
      </c>
      <c r="Y233" s="23">
        <f>+X233-Y232</f>
        <v>0</v>
      </c>
      <c r="Z233" s="23"/>
      <c r="AA233" s="23"/>
      <c r="AB233" s="23"/>
      <c r="AC233" s="23"/>
      <c r="AD233" s="23"/>
      <c r="AE233" s="23"/>
      <c r="AF233" s="23"/>
      <c r="AG233" s="23"/>
      <c r="AH233" s="23"/>
      <c r="AI233" s="23"/>
    </row>
    <row r="234" spans="18:35" x14ac:dyDescent="0.2">
      <c r="R234" s="63"/>
      <c r="S234" t="s">
        <v>1321</v>
      </c>
      <c r="T234" s="68"/>
      <c r="U234" s="25">
        <f>+$U$230*T233</f>
        <v>700.00000000000011</v>
      </c>
      <c r="V234" s="25">
        <f>+$U$230*U233</f>
        <v>560</v>
      </c>
      <c r="W234" s="25">
        <f>+$U$230*V233</f>
        <v>420.00000000000006</v>
      </c>
      <c r="X234" s="25">
        <f>+$U$230*W233</f>
        <v>280</v>
      </c>
      <c r="Y234" s="25">
        <f>+$U$230*X233</f>
        <v>140</v>
      </c>
      <c r="Z234" s="25"/>
      <c r="AA234" s="25"/>
      <c r="AB234" s="25"/>
      <c r="AC234" s="25"/>
      <c r="AD234" s="25"/>
      <c r="AE234" s="25"/>
      <c r="AF234" s="25"/>
      <c r="AG234" s="25"/>
      <c r="AH234" s="25"/>
      <c r="AI234" s="25"/>
    </row>
    <row r="235" spans="18:35" x14ac:dyDescent="0.2">
      <c r="R235" s="63"/>
      <c r="S235" t="s">
        <v>1322</v>
      </c>
      <c r="T235" s="68"/>
      <c r="U235" s="25">
        <f>+U234+U232</f>
        <v>2700</v>
      </c>
      <c r="V235" s="25">
        <f>+V234+V232</f>
        <v>2560</v>
      </c>
      <c r="W235" s="25">
        <f>+W234+W232</f>
        <v>2420</v>
      </c>
      <c r="X235" s="25">
        <f>+X234+X232</f>
        <v>2280</v>
      </c>
      <c r="Y235" s="25">
        <f>+Y234+Y232</f>
        <v>2140</v>
      </c>
      <c r="Z235" s="25"/>
      <c r="AA235" s="25"/>
      <c r="AB235" s="25"/>
      <c r="AC235" s="25"/>
      <c r="AD235" s="25"/>
      <c r="AE235" s="25"/>
      <c r="AF235" s="25"/>
      <c r="AG235" s="25"/>
      <c r="AH235" s="25"/>
      <c r="AI235" s="25"/>
    </row>
    <row r="236" spans="18:35" x14ac:dyDescent="0.2">
      <c r="R236" s="63"/>
      <c r="S236" t="s">
        <v>1323</v>
      </c>
      <c r="T236" s="69"/>
      <c r="U236" s="25">
        <f>+IF(U231&gt;$U$1,U235,0)</f>
        <v>0</v>
      </c>
      <c r="V236" s="25">
        <f>+IF(V231&gt;$U$1,V235,0)</f>
        <v>0</v>
      </c>
      <c r="W236" s="25">
        <f>+IF(W231&gt;$U$1,W235,0)</f>
        <v>0</v>
      </c>
      <c r="X236" s="25">
        <f>+IF(X231&gt;$U$1,X235,0)</f>
        <v>0</v>
      </c>
      <c r="Y236" s="25">
        <f>+IF(Y231&gt;$U$1,Y235,0)</f>
        <v>0</v>
      </c>
      <c r="Z236" s="25"/>
      <c r="AA236" s="25"/>
      <c r="AB236" s="25"/>
      <c r="AC236" s="25"/>
      <c r="AD236" s="25"/>
      <c r="AE236" s="25"/>
      <c r="AF236" s="25"/>
      <c r="AG236" s="25"/>
      <c r="AH236" s="25"/>
      <c r="AI236" s="25"/>
    </row>
    <row r="237" spans="18:35" x14ac:dyDescent="0.2">
      <c r="R237" s="63"/>
      <c r="S237" t="s">
        <v>1324</v>
      </c>
      <c r="T237" s="73"/>
      <c r="U237">
        <f>+IF(T236=0,(U231-$U$1)/(U231-T231),T237+1)</f>
        <v>-23.775342465753425</v>
      </c>
      <c r="V237">
        <f>+IF(U236=0,(V231-$U$1)/(V231-U231),U237+1)</f>
        <v>-22.775342465753425</v>
      </c>
      <c r="W237">
        <f>+IF(V236=0,(W231-$U$1)/(W231-V231),V237+1)</f>
        <v>-21.71311475409836</v>
      </c>
      <c r="X237">
        <f>+IF(W236=0,(X231-$U$1)/(X231-W231),W237+1)</f>
        <v>-20.772602739726029</v>
      </c>
      <c r="Y237">
        <f>+IF(X236=0,(Y231-$U$1)/(Y231-X231),X237+1)</f>
        <v>-19.772602739726029</v>
      </c>
    </row>
    <row r="238" spans="18:35" x14ac:dyDescent="0.2">
      <c r="R238" s="63"/>
      <c r="S238" s="29" t="s">
        <v>1325</v>
      </c>
      <c r="T238" s="68"/>
      <c r="U238" s="68" cm="1">
        <f t="array" ref="U238">IF(U237&lt;1,interpoler(mat_court,taux_court_act,U237*(U231-T231)),interpoler(mat,taux,U237))</f>
        <v>2.3281430422376737E-2</v>
      </c>
      <c r="V238" s="68" cm="1">
        <f t="array" ref="V238">IF(V237&lt;1,interpoler(mat_court,taux_court_act,V237*(V231-U231)),interpoler(mat,taux,V237))</f>
        <v>2.3281430422376737E-2</v>
      </c>
      <c r="W238" s="68" cm="1">
        <f t="array" ref="W238">IF(W237&lt;1,interpoler(mat_court,taux_court_act,W237*(W231-V231)),interpoler(mat,taux,W237))</f>
        <v>2.3281430422376737E-2</v>
      </c>
      <c r="X238" s="68" cm="1">
        <f t="array" ref="X238">IF(X237&lt;1,interpoler(mat_court,taux_court_act,X237*(X231-W231)),interpoler(mat,taux,X237))</f>
        <v>2.3281430422376737E-2</v>
      </c>
      <c r="Y238" s="68" cm="1">
        <f t="array" ref="Y238">IF(Y237&lt;1,interpoler(mat_court,taux_court_act,Y237*(Y231-X231)),interpoler(mat,taux,Y237))</f>
        <v>2.3281430422376737E-2</v>
      </c>
      <c r="Z238" s="68"/>
      <c r="AA238" s="68"/>
      <c r="AB238" s="68"/>
      <c r="AC238" s="68"/>
      <c r="AD238" s="68"/>
      <c r="AE238" s="68"/>
      <c r="AF238" s="68"/>
      <c r="AG238" s="68"/>
      <c r="AH238" s="68"/>
      <c r="AI238" s="68"/>
    </row>
    <row r="239" spans="18:35" x14ac:dyDescent="0.2">
      <c r="R239" s="63"/>
      <c r="S239" t="s">
        <v>1328</v>
      </c>
      <c r="T239" s="68"/>
      <c r="U239" s="29" t="e">
        <f>+Lignes_détenues!#REF!</f>
        <v>#REF!</v>
      </c>
      <c r="V239" s="29" t="e">
        <f>U239</f>
        <v>#REF!</v>
      </c>
      <c r="W239" s="29" t="e">
        <f>+V239</f>
        <v>#REF!</v>
      </c>
      <c r="X239" s="29" t="e">
        <f>+W239</f>
        <v>#REF!</v>
      </c>
      <c r="Y239" s="29" t="e">
        <f>+X239</f>
        <v>#REF!</v>
      </c>
      <c r="Z239" s="29"/>
      <c r="AA239" s="29"/>
      <c r="AB239" s="29"/>
      <c r="AC239" s="29"/>
      <c r="AD239" s="29"/>
      <c r="AE239" s="29"/>
      <c r="AF239" s="29"/>
      <c r="AG239" s="29"/>
      <c r="AH239" s="29"/>
      <c r="AI239" s="29"/>
    </row>
    <row r="240" spans="18:35" x14ac:dyDescent="0.2">
      <c r="R240" s="63"/>
      <c r="S240" t="s">
        <v>1329</v>
      </c>
      <c r="T240" s="68"/>
      <c r="U240" s="13" t="e">
        <f>+ROUND(U238+U239,6)</f>
        <v>#REF!</v>
      </c>
      <c r="V240" s="100" t="e">
        <f>+ROUND(V238+V239,6)</f>
        <v>#REF!</v>
      </c>
      <c r="W240" s="101" t="e">
        <f>+ROUND(W238+W239,6)</f>
        <v>#REF!</v>
      </c>
      <c r="X240" s="102" t="e">
        <f>+ROUND(X238+X239,6)</f>
        <v>#REF!</v>
      </c>
      <c r="Y240" s="102" t="e">
        <f>+ROUND(Y238+Y239,6)</f>
        <v>#REF!</v>
      </c>
      <c r="Z240" s="102"/>
      <c r="AA240" s="102"/>
      <c r="AB240" s="13"/>
      <c r="AC240" s="13"/>
      <c r="AD240" s="13"/>
      <c r="AE240" s="13"/>
      <c r="AF240" s="13"/>
      <c r="AG240" s="13"/>
      <c r="AH240" s="13"/>
      <c r="AI240" s="13"/>
    </row>
    <row r="241" spans="14:35" x14ac:dyDescent="0.2">
      <c r="R241" s="63"/>
      <c r="T241" s="68"/>
      <c r="U241" s="69" t="e">
        <f>+U236/(1+U240)^U237</f>
        <v>#REF!</v>
      </c>
      <c r="V241" s="69" t="e">
        <f>+V236/(1+V240)^V237</f>
        <v>#REF!</v>
      </c>
      <c r="W241" s="69" t="e">
        <f>+W236/(1+W240)^W237</f>
        <v>#REF!</v>
      </c>
      <c r="X241" s="69" t="e">
        <f>+X236/(1+X240)^X237</f>
        <v>#REF!</v>
      </c>
      <c r="Y241" s="69" t="e">
        <f>+Y236/(1+Y240)^Y237</f>
        <v>#REF!</v>
      </c>
      <c r="Z241" s="69"/>
      <c r="AA241" s="69"/>
      <c r="AB241" s="69"/>
      <c r="AC241" s="69"/>
      <c r="AD241" s="69"/>
      <c r="AE241" s="69"/>
      <c r="AF241" s="69"/>
      <c r="AG241" s="69"/>
      <c r="AH241" s="69"/>
      <c r="AI241" s="69"/>
    </row>
    <row r="242" spans="14:35" x14ac:dyDescent="0.2">
      <c r="R242" s="63"/>
      <c r="T242" s="68"/>
      <c r="U242" s="13"/>
      <c r="V242" s="13"/>
      <c r="W242" s="13"/>
      <c r="X242" s="13"/>
      <c r="Y242" s="13"/>
      <c r="Z242" s="13"/>
      <c r="AA242" s="13"/>
      <c r="AB242" s="13"/>
      <c r="AC242" s="13"/>
      <c r="AD242" s="13"/>
      <c r="AE242" s="13"/>
      <c r="AF242" s="13"/>
      <c r="AG242" s="13"/>
      <c r="AH242" s="13"/>
      <c r="AI242" s="76"/>
    </row>
    <row r="243" spans="14:35" x14ac:dyDescent="0.2">
      <c r="R243" s="63"/>
      <c r="S243" t="s">
        <v>650</v>
      </c>
      <c r="T243" s="77" t="e">
        <f>+SUM(U241:AI241)</f>
        <v>#REF!</v>
      </c>
      <c r="U243" s="13"/>
      <c r="V243" s="13"/>
      <c r="W243" s="13"/>
      <c r="X243" s="13"/>
      <c r="Y243" s="13"/>
      <c r="Z243" s="13"/>
      <c r="AA243" s="13"/>
      <c r="AB243" s="13"/>
      <c r="AC243" s="13"/>
      <c r="AD243" s="13"/>
      <c r="AE243" s="13"/>
      <c r="AF243" s="13"/>
      <c r="AG243" s="13"/>
      <c r="AH243" s="13"/>
      <c r="AI243" s="76"/>
    </row>
    <row r="244" spans="14:35" ht="13.5" thickBot="1" x14ac:dyDescent="0.25">
      <c r="R244" s="78"/>
      <c r="S244" s="79" t="s">
        <v>1331</v>
      </c>
      <c r="T244" s="80" t="e">
        <f>+SUMPRODUCT(U237:AI237,U241:AI241)/T243</f>
        <v>#REF!</v>
      </c>
      <c r="U244" s="79"/>
      <c r="V244" s="79"/>
      <c r="W244" s="79"/>
      <c r="X244" s="79"/>
      <c r="Y244" s="79"/>
      <c r="Z244" s="79"/>
      <c r="AA244" s="79"/>
      <c r="AB244" s="79"/>
      <c r="AC244" s="79"/>
      <c r="AD244" s="79"/>
      <c r="AE244" s="79"/>
      <c r="AF244" s="79"/>
      <c r="AG244" s="79"/>
      <c r="AH244" s="79"/>
      <c r="AI244" s="81"/>
    </row>
    <row r="246" spans="14:35" ht="13.5" thickBot="1" x14ac:dyDescent="0.25">
      <c r="R246">
        <v>2033</v>
      </c>
    </row>
    <row r="247" spans="14:35" ht="15.75" x14ac:dyDescent="0.25">
      <c r="R247" s="82" t="s">
        <v>367</v>
      </c>
      <c r="S247" s="59"/>
      <c r="T247" s="60" t="s">
        <v>103</v>
      </c>
      <c r="U247" s="61">
        <f>U229</f>
        <v>46107</v>
      </c>
      <c r="V247" s="59"/>
      <c r="W247" s="59"/>
      <c r="X247" s="59"/>
      <c r="Y247" s="59"/>
      <c r="Z247" s="59"/>
      <c r="AA247" s="59"/>
      <c r="AB247" s="59"/>
      <c r="AC247" s="59"/>
      <c r="AD247" s="59"/>
      <c r="AE247" s="59"/>
      <c r="AF247" s="59"/>
      <c r="AG247" s="59"/>
      <c r="AH247" s="59"/>
      <c r="AI247" s="62"/>
    </row>
    <row r="248" spans="14:35" x14ac:dyDescent="0.2">
      <c r="N248" s="91"/>
      <c r="O248" s="91"/>
      <c r="P248" s="8"/>
      <c r="Q248" s="1"/>
      <c r="R248" s="63"/>
      <c r="T248" s="64" t="s">
        <v>105</v>
      </c>
      <c r="U248" s="13">
        <v>0.11</v>
      </c>
      <c r="V248" s="13"/>
      <c r="AI248" s="65"/>
    </row>
    <row r="249" spans="14:35" x14ac:dyDescent="0.2">
      <c r="R249" s="63"/>
      <c r="T249" s="66">
        <v>34571</v>
      </c>
      <c r="U249" s="8">
        <v>34936</v>
      </c>
      <c r="V249" s="66">
        <v>35302</v>
      </c>
      <c r="W249" s="8">
        <v>35667</v>
      </c>
      <c r="X249" s="66">
        <v>36032</v>
      </c>
      <c r="Y249" s="8">
        <v>36397</v>
      </c>
      <c r="Z249" s="66">
        <v>36763</v>
      </c>
      <c r="AA249" s="8">
        <v>37128</v>
      </c>
      <c r="AB249" s="66">
        <v>37493</v>
      </c>
      <c r="AC249" s="8">
        <v>37858</v>
      </c>
      <c r="AD249" s="66">
        <v>38224</v>
      </c>
      <c r="AE249" s="8">
        <v>38589</v>
      </c>
      <c r="AF249" s="66">
        <v>38954</v>
      </c>
      <c r="AG249" s="8">
        <v>39319</v>
      </c>
      <c r="AH249" s="66">
        <v>39685</v>
      </c>
      <c r="AI249" s="8">
        <v>40050</v>
      </c>
    </row>
    <row r="250" spans="14:35" x14ac:dyDescent="0.2">
      <c r="R250" s="63"/>
      <c r="S250" t="s">
        <v>1318</v>
      </c>
      <c r="T250" s="68"/>
      <c r="U250" s="69">
        <f t="shared" ref="U250:AI250" si="83">ROUND(150000/15,2)</f>
        <v>10000</v>
      </c>
      <c r="V250" s="69">
        <f t="shared" si="83"/>
        <v>10000</v>
      </c>
      <c r="W250" s="69">
        <f t="shared" si="83"/>
        <v>10000</v>
      </c>
      <c r="X250" s="69">
        <f t="shared" si="83"/>
        <v>10000</v>
      </c>
      <c r="Y250" s="69">
        <f t="shared" si="83"/>
        <v>10000</v>
      </c>
      <c r="Z250" s="69">
        <f t="shared" si="83"/>
        <v>10000</v>
      </c>
      <c r="AA250" s="69">
        <f t="shared" si="83"/>
        <v>10000</v>
      </c>
      <c r="AB250" s="69">
        <f t="shared" si="83"/>
        <v>10000</v>
      </c>
      <c r="AC250" s="69">
        <f t="shared" si="83"/>
        <v>10000</v>
      </c>
      <c r="AD250" s="69">
        <f t="shared" si="83"/>
        <v>10000</v>
      </c>
      <c r="AE250" s="69">
        <f t="shared" si="83"/>
        <v>10000</v>
      </c>
      <c r="AF250" s="69">
        <f t="shared" si="83"/>
        <v>10000</v>
      </c>
      <c r="AG250" s="69">
        <f t="shared" si="83"/>
        <v>10000</v>
      </c>
      <c r="AH250" s="69">
        <f t="shared" si="83"/>
        <v>10000</v>
      </c>
      <c r="AI250" s="69">
        <f t="shared" si="83"/>
        <v>10000</v>
      </c>
    </row>
    <row r="251" spans="14:35" x14ac:dyDescent="0.2">
      <c r="R251" s="63"/>
      <c r="S251" t="s">
        <v>1320</v>
      </c>
      <c r="T251" s="69">
        <v>150000</v>
      </c>
      <c r="U251" s="23">
        <f t="shared" ref="U251:AI251" si="84">+T251-U250</f>
        <v>140000</v>
      </c>
      <c r="V251" s="23">
        <f t="shared" si="84"/>
        <v>130000</v>
      </c>
      <c r="W251" s="23">
        <f t="shared" si="84"/>
        <v>120000</v>
      </c>
      <c r="X251" s="23">
        <f t="shared" si="84"/>
        <v>110000</v>
      </c>
      <c r="Y251" s="23">
        <f t="shared" si="84"/>
        <v>100000</v>
      </c>
      <c r="Z251" s="23">
        <f t="shared" si="84"/>
        <v>90000</v>
      </c>
      <c r="AA251" s="23">
        <f t="shared" si="84"/>
        <v>80000</v>
      </c>
      <c r="AB251" s="23">
        <f t="shared" si="84"/>
        <v>70000</v>
      </c>
      <c r="AC251" s="23">
        <f t="shared" si="84"/>
        <v>60000</v>
      </c>
      <c r="AD251" s="23">
        <f t="shared" si="84"/>
        <v>50000</v>
      </c>
      <c r="AE251" s="23">
        <f t="shared" si="84"/>
        <v>40000</v>
      </c>
      <c r="AF251" s="23">
        <f t="shared" si="84"/>
        <v>30000</v>
      </c>
      <c r="AG251" s="23">
        <f t="shared" si="84"/>
        <v>20000</v>
      </c>
      <c r="AH251" s="23">
        <f t="shared" si="84"/>
        <v>10000</v>
      </c>
      <c r="AI251" s="71">
        <f t="shared" si="84"/>
        <v>0</v>
      </c>
    </row>
    <row r="252" spans="14:35" x14ac:dyDescent="0.2">
      <c r="R252" s="63"/>
      <c r="S252" t="s">
        <v>1321</v>
      </c>
      <c r="T252" s="68"/>
      <c r="U252" s="25">
        <f t="shared" ref="U252:AI252" si="85">+$U$135*T251</f>
        <v>16500</v>
      </c>
      <c r="V252" s="25">
        <f t="shared" si="85"/>
        <v>15400</v>
      </c>
      <c r="W252" s="25">
        <f t="shared" si="85"/>
        <v>14300</v>
      </c>
      <c r="X252" s="25">
        <f t="shared" si="85"/>
        <v>13200</v>
      </c>
      <c r="Y252" s="25">
        <f t="shared" si="85"/>
        <v>12100</v>
      </c>
      <c r="Z252" s="25">
        <f t="shared" si="85"/>
        <v>11000</v>
      </c>
      <c r="AA252" s="25">
        <f t="shared" si="85"/>
        <v>9900</v>
      </c>
      <c r="AB252" s="25">
        <f t="shared" si="85"/>
        <v>8800</v>
      </c>
      <c r="AC252" s="25">
        <f t="shared" si="85"/>
        <v>7700</v>
      </c>
      <c r="AD252" s="25">
        <f t="shared" si="85"/>
        <v>6600</v>
      </c>
      <c r="AE252" s="25">
        <f t="shared" si="85"/>
        <v>5500</v>
      </c>
      <c r="AF252" s="25">
        <f t="shared" si="85"/>
        <v>4400</v>
      </c>
      <c r="AG252" s="25">
        <f t="shared" si="85"/>
        <v>3300</v>
      </c>
      <c r="AH252" s="25">
        <f t="shared" si="85"/>
        <v>2200</v>
      </c>
      <c r="AI252" s="25">
        <f t="shared" si="85"/>
        <v>1100</v>
      </c>
    </row>
    <row r="253" spans="14:35" x14ac:dyDescent="0.2">
      <c r="R253" s="63"/>
      <c r="S253" t="s">
        <v>1322</v>
      </c>
      <c r="T253" s="68"/>
      <c r="U253" s="25">
        <f t="shared" ref="U253:AI253" si="86">+U252+U250</f>
        <v>26500</v>
      </c>
      <c r="V253" s="25">
        <f t="shared" si="86"/>
        <v>25400</v>
      </c>
      <c r="W253" s="25">
        <f t="shared" si="86"/>
        <v>24300</v>
      </c>
      <c r="X253" s="25">
        <f t="shared" si="86"/>
        <v>23200</v>
      </c>
      <c r="Y253" s="25">
        <f t="shared" si="86"/>
        <v>22100</v>
      </c>
      <c r="Z253" s="25">
        <f t="shared" si="86"/>
        <v>21000</v>
      </c>
      <c r="AA253" s="25">
        <f t="shared" si="86"/>
        <v>19900</v>
      </c>
      <c r="AB253" s="25">
        <f t="shared" si="86"/>
        <v>18800</v>
      </c>
      <c r="AC253" s="25">
        <f t="shared" si="86"/>
        <v>17700</v>
      </c>
      <c r="AD253" s="25">
        <f t="shared" si="86"/>
        <v>16600</v>
      </c>
      <c r="AE253" s="25">
        <f t="shared" si="86"/>
        <v>15500</v>
      </c>
      <c r="AF253" s="25">
        <f t="shared" si="86"/>
        <v>14400</v>
      </c>
      <c r="AG253" s="25">
        <f t="shared" si="86"/>
        <v>13300</v>
      </c>
      <c r="AH253" s="25">
        <f t="shared" si="86"/>
        <v>12200</v>
      </c>
      <c r="AI253" s="72">
        <f t="shared" si="86"/>
        <v>11100</v>
      </c>
    </row>
    <row r="254" spans="14:35" x14ac:dyDescent="0.2">
      <c r="R254" s="63"/>
      <c r="S254" t="s">
        <v>1323</v>
      </c>
      <c r="T254" s="69"/>
      <c r="U254" s="25">
        <f t="shared" ref="U254:AI254" si="87">+IF(U249&gt;$U$1,U253,0)</f>
        <v>0</v>
      </c>
      <c r="V254" s="25">
        <f t="shared" si="87"/>
        <v>0</v>
      </c>
      <c r="W254" s="25">
        <f t="shared" si="87"/>
        <v>0</v>
      </c>
      <c r="X254" s="25">
        <f t="shared" si="87"/>
        <v>0</v>
      </c>
      <c r="Y254" s="25">
        <f t="shared" si="87"/>
        <v>0</v>
      </c>
      <c r="Z254" s="25">
        <f t="shared" si="87"/>
        <v>0</v>
      </c>
      <c r="AA254" s="25">
        <f t="shared" si="87"/>
        <v>0</v>
      </c>
      <c r="AB254" s="25">
        <f t="shared" si="87"/>
        <v>0</v>
      </c>
      <c r="AC254" s="25">
        <f t="shared" si="87"/>
        <v>0</v>
      </c>
      <c r="AD254" s="25">
        <f t="shared" si="87"/>
        <v>0</v>
      </c>
      <c r="AE254" s="25">
        <f t="shared" si="87"/>
        <v>0</v>
      </c>
      <c r="AF254" s="25">
        <f t="shared" si="87"/>
        <v>0</v>
      </c>
      <c r="AG254" s="25">
        <f t="shared" si="87"/>
        <v>0</v>
      </c>
      <c r="AH254" s="25">
        <f t="shared" si="87"/>
        <v>0</v>
      </c>
      <c r="AI254" s="72">
        <f t="shared" si="87"/>
        <v>0</v>
      </c>
    </row>
    <row r="255" spans="14:35" x14ac:dyDescent="0.2">
      <c r="R255" s="63"/>
      <c r="S255" t="s">
        <v>1324</v>
      </c>
      <c r="T255" s="73"/>
      <c r="U255">
        <f t="shared" ref="U255:AI255" si="88">+IF(T254=0,(U249-$U$1)/(U249-T249),T255+1)</f>
        <v>-30.605479452054794</v>
      </c>
      <c r="V255">
        <f t="shared" si="88"/>
        <v>-29.521857923497269</v>
      </c>
      <c r="W255">
        <f t="shared" si="88"/>
        <v>-28.602739726027398</v>
      </c>
      <c r="X255">
        <f t="shared" si="88"/>
        <v>-27.602739726027398</v>
      </c>
      <c r="Y255">
        <f t="shared" si="88"/>
        <v>-26.602739726027398</v>
      </c>
      <c r="Z255">
        <f t="shared" si="88"/>
        <v>-25.530054644808743</v>
      </c>
      <c r="AA255">
        <f t="shared" si="88"/>
        <v>-24.6</v>
      </c>
      <c r="AB255">
        <f t="shared" si="88"/>
        <v>-23.6</v>
      </c>
      <c r="AC255">
        <f t="shared" si="88"/>
        <v>-22.6</v>
      </c>
      <c r="AD255">
        <f t="shared" si="88"/>
        <v>-21.538251366120218</v>
      </c>
      <c r="AE255">
        <f t="shared" si="88"/>
        <v>-20.597260273972601</v>
      </c>
      <c r="AF255">
        <f t="shared" si="88"/>
        <v>-19.597260273972601</v>
      </c>
      <c r="AG255">
        <f t="shared" si="88"/>
        <v>-18.597260273972601</v>
      </c>
      <c r="AH255">
        <f t="shared" si="88"/>
        <v>-17.546448087431695</v>
      </c>
      <c r="AI255">
        <f t="shared" si="88"/>
        <v>-16.594520547945205</v>
      </c>
    </row>
    <row r="256" spans="14:35" x14ac:dyDescent="0.2">
      <c r="R256" s="63"/>
      <c r="S256" s="29" t="s">
        <v>1325</v>
      </c>
      <c r="T256" s="68"/>
      <c r="U256" s="68" cm="1">
        <f t="array" ref="U256">IF(U255&lt;1,interpoler(mat_court,taux_court_act,U255*(U249-T249)),interpoler(mat,taux,U255))</f>
        <v>2.3281430422376737E-2</v>
      </c>
      <c r="V256" s="68" cm="1">
        <f t="array" ref="V256">IF(V255&lt;1,interpoler(mat_court,taux_court_act,V255*(V249-U249)),interpoler(mat,taux,V255))</f>
        <v>2.3281430422376737E-2</v>
      </c>
      <c r="W256" s="68" cm="1">
        <f t="array" ref="W256">IF(W255&lt;1,interpoler(mat_court,taux_court_act,W255*(W249-V249)),interpoler(mat,taux,W255))</f>
        <v>2.3281430422376737E-2</v>
      </c>
      <c r="X256" s="68" cm="1">
        <f t="array" ref="X256">IF(X255&lt;1,interpoler(mat_court,taux_court_act,X255*(X249-W249)),interpoler(mat,taux,X255))</f>
        <v>2.3281430422376737E-2</v>
      </c>
      <c r="Y256" s="68" cm="1">
        <f t="array" ref="Y256">IF(Y255&lt;1,interpoler(mat_court,taux_court_act,Y255*(Y249-X249)),interpoler(mat,taux,Y255))</f>
        <v>2.3281430422376737E-2</v>
      </c>
      <c r="Z256" s="68" cm="1">
        <f t="array" ref="Z256">IF(Z255&lt;1,interpoler(mat_court,taux_court_act,Z255*(Z249-Y249)),interpoler(mat,taux,Z255))</f>
        <v>2.3281430422376737E-2</v>
      </c>
      <c r="AA256" s="68" cm="1">
        <f t="array" ref="AA256">IF(AA255&lt;1,interpoler(mat_court,taux_court_act,AA255*(AA249-Z249)),interpoler(mat,taux,AA255))</f>
        <v>2.3281430422376737E-2</v>
      </c>
      <c r="AB256" s="68" cm="1">
        <f t="array" ref="AB256">IF(AB255&lt;1,interpoler(mat_court,taux_court_act,AB255*(AB249-AA249)),interpoler(mat,taux,AB255))</f>
        <v>2.3281430422376737E-2</v>
      </c>
      <c r="AC256" s="68" cm="1">
        <f t="array" ref="AC256">IF(AC255&lt;1,interpoler(mat_court,taux_court_act,AC255*(AC249-AB249)),interpoler(mat,taux,AC255))</f>
        <v>2.3281430422376737E-2</v>
      </c>
      <c r="AD256" s="68" cm="1">
        <f t="array" ref="AD256">IF(AD255&lt;1,interpoler(mat_court,taux_court_act,AD255*(AD249-AC249)),interpoler(mat,taux,AD255))</f>
        <v>2.3281430422376737E-2</v>
      </c>
      <c r="AE256" s="68" cm="1">
        <f t="array" ref="AE256">IF(AE255&lt;1,interpoler(mat_court,taux_court_act,AE255*(AE249-AD249)),interpoler(mat,taux,AE255))</f>
        <v>2.3281430422376737E-2</v>
      </c>
      <c r="AF256" s="68" cm="1">
        <f t="array" ref="AF256">IF(AF255&lt;1,interpoler(mat_court,taux_court_act,AF255*(AF249-AE249)),interpoler(mat,taux,AF255))</f>
        <v>2.3281430422376737E-2</v>
      </c>
      <c r="AG256" s="68" cm="1">
        <f t="array" ref="AG256">IF(AG255&lt;1,interpoler(mat_court,taux_court_act,AG255*(AG249-AF249)),interpoler(mat,taux,AG255))</f>
        <v>2.3281430422376737E-2</v>
      </c>
      <c r="AH256" s="68" cm="1">
        <f t="array" ref="AH256">IF(AH255&lt;1,interpoler(mat_court,taux_court_act,AH255*(AH249-AG249)),interpoler(mat,taux,AH255))</f>
        <v>2.3281430422376737E-2</v>
      </c>
      <c r="AI256" s="68" cm="1">
        <f t="array" ref="AI256">IF(AI255&lt;1,interpoler(mat_court,taux_court_act,AI255*(AI249-AH249)),interpoler(mat,taux,AI255))</f>
        <v>2.3281430422376737E-2</v>
      </c>
    </row>
    <row r="257" spans="18:35" x14ac:dyDescent="0.2">
      <c r="R257" s="63"/>
      <c r="S257" t="s">
        <v>1328</v>
      </c>
      <c r="T257" s="68"/>
      <c r="U257" s="29">
        <v>7.4999999999999997E-3</v>
      </c>
      <c r="V257" s="29">
        <f>U257</f>
        <v>7.4999999999999997E-3</v>
      </c>
      <c r="W257" s="29">
        <f t="shared" ref="W257:AI257" si="89">+V257</f>
        <v>7.4999999999999997E-3</v>
      </c>
      <c r="X257" s="29">
        <f t="shared" si="89"/>
        <v>7.4999999999999997E-3</v>
      </c>
      <c r="Y257" s="29">
        <f t="shared" si="89"/>
        <v>7.4999999999999997E-3</v>
      </c>
      <c r="Z257" s="29">
        <f t="shared" si="89"/>
        <v>7.4999999999999997E-3</v>
      </c>
      <c r="AA257" s="29">
        <f t="shared" si="89"/>
        <v>7.4999999999999997E-3</v>
      </c>
      <c r="AB257" s="29">
        <f t="shared" si="89"/>
        <v>7.4999999999999997E-3</v>
      </c>
      <c r="AC257" s="29">
        <f t="shared" si="89"/>
        <v>7.4999999999999997E-3</v>
      </c>
      <c r="AD257" s="29">
        <f t="shared" si="89"/>
        <v>7.4999999999999997E-3</v>
      </c>
      <c r="AE257" s="29">
        <f t="shared" si="89"/>
        <v>7.4999999999999997E-3</v>
      </c>
      <c r="AF257" s="29">
        <f t="shared" si="89"/>
        <v>7.4999999999999997E-3</v>
      </c>
      <c r="AG257" s="29">
        <f t="shared" si="89"/>
        <v>7.4999999999999997E-3</v>
      </c>
      <c r="AH257" s="29">
        <f t="shared" si="89"/>
        <v>7.4999999999999997E-3</v>
      </c>
      <c r="AI257" s="75">
        <f t="shared" si="89"/>
        <v>7.4999999999999997E-3</v>
      </c>
    </row>
    <row r="258" spans="18:35" x14ac:dyDescent="0.2">
      <c r="R258" s="63"/>
      <c r="S258" t="s">
        <v>1329</v>
      </c>
      <c r="T258" s="68"/>
      <c r="U258" s="13">
        <f t="shared" ref="U258:AI258" si="90">+ROUND(U256+U257,6)</f>
        <v>3.0780999999999999E-2</v>
      </c>
      <c r="V258" s="100">
        <f t="shared" si="90"/>
        <v>3.0780999999999999E-2</v>
      </c>
      <c r="W258" s="101">
        <f t="shared" si="90"/>
        <v>3.0780999999999999E-2</v>
      </c>
      <c r="X258" s="102">
        <f t="shared" si="90"/>
        <v>3.0780999999999999E-2</v>
      </c>
      <c r="Y258" s="102">
        <f t="shared" si="90"/>
        <v>3.0780999999999999E-2</v>
      </c>
      <c r="Z258" s="102">
        <f t="shared" si="90"/>
        <v>3.0780999999999999E-2</v>
      </c>
      <c r="AA258" s="102">
        <f t="shared" si="90"/>
        <v>3.0780999999999999E-2</v>
      </c>
      <c r="AB258" s="13">
        <f t="shared" si="90"/>
        <v>3.0780999999999999E-2</v>
      </c>
      <c r="AC258" s="13">
        <f t="shared" si="90"/>
        <v>3.0780999999999999E-2</v>
      </c>
      <c r="AD258" s="13">
        <f t="shared" si="90"/>
        <v>3.0780999999999999E-2</v>
      </c>
      <c r="AE258" s="13">
        <f t="shared" si="90"/>
        <v>3.0780999999999999E-2</v>
      </c>
      <c r="AF258" s="13">
        <f t="shared" si="90"/>
        <v>3.0780999999999999E-2</v>
      </c>
      <c r="AG258" s="13">
        <f t="shared" si="90"/>
        <v>3.0780999999999999E-2</v>
      </c>
      <c r="AH258" s="13">
        <f t="shared" si="90"/>
        <v>3.0780999999999999E-2</v>
      </c>
      <c r="AI258" s="13">
        <f t="shared" si="90"/>
        <v>3.0780999999999999E-2</v>
      </c>
    </row>
    <row r="259" spans="18:35" x14ac:dyDescent="0.2">
      <c r="R259" s="63"/>
      <c r="T259" s="68"/>
      <c r="U259" s="69">
        <f t="shared" ref="U259:AI259" si="91">+U254/(1+U258)^U255</f>
        <v>0</v>
      </c>
      <c r="V259" s="69">
        <f t="shared" si="91"/>
        <v>0</v>
      </c>
      <c r="W259" s="69">
        <f t="shared" si="91"/>
        <v>0</v>
      </c>
      <c r="X259" s="69">
        <f t="shared" si="91"/>
        <v>0</v>
      </c>
      <c r="Y259" s="69">
        <f t="shared" si="91"/>
        <v>0</v>
      </c>
      <c r="Z259" s="69">
        <f t="shared" si="91"/>
        <v>0</v>
      </c>
      <c r="AA259" s="69">
        <f t="shared" si="91"/>
        <v>0</v>
      </c>
      <c r="AB259" s="69">
        <f t="shared" si="91"/>
        <v>0</v>
      </c>
      <c r="AC259" s="69">
        <f t="shared" si="91"/>
        <v>0</v>
      </c>
      <c r="AD259" s="69">
        <f t="shared" si="91"/>
        <v>0</v>
      </c>
      <c r="AE259" s="69">
        <f t="shared" si="91"/>
        <v>0</v>
      </c>
      <c r="AF259" s="69">
        <f t="shared" si="91"/>
        <v>0</v>
      </c>
      <c r="AG259" s="69">
        <f t="shared" si="91"/>
        <v>0</v>
      </c>
      <c r="AH259" s="69">
        <f t="shared" si="91"/>
        <v>0</v>
      </c>
      <c r="AI259" s="70">
        <f t="shared" si="91"/>
        <v>0</v>
      </c>
    </row>
    <row r="260" spans="18:35" x14ac:dyDescent="0.2">
      <c r="R260" s="63"/>
      <c r="T260" s="68"/>
      <c r="U260" s="13"/>
      <c r="V260" s="13"/>
      <c r="W260" s="13"/>
      <c r="X260" s="13"/>
      <c r="Y260" s="13"/>
      <c r="Z260" s="13"/>
      <c r="AA260" s="13"/>
      <c r="AB260" s="13"/>
      <c r="AC260" s="13"/>
      <c r="AD260" s="13"/>
      <c r="AE260" s="13"/>
      <c r="AF260" s="13"/>
      <c r="AG260" s="13"/>
      <c r="AH260" s="13"/>
      <c r="AI260" s="76"/>
    </row>
    <row r="261" spans="18:35" x14ac:dyDescent="0.2">
      <c r="R261" s="63"/>
      <c r="S261" t="s">
        <v>650</v>
      </c>
      <c r="T261" s="77">
        <f>+SUM(U259:AI259)</f>
        <v>0</v>
      </c>
      <c r="U261" s="13"/>
      <c r="V261" s="13"/>
      <c r="W261" s="13"/>
      <c r="X261" s="13"/>
      <c r="Y261" s="13"/>
      <c r="Z261" s="13"/>
      <c r="AA261" s="13"/>
      <c r="AB261" s="13"/>
      <c r="AC261" s="13"/>
      <c r="AD261" s="13"/>
      <c r="AE261" s="13"/>
      <c r="AF261" s="13"/>
      <c r="AG261" s="13"/>
      <c r="AH261" s="13"/>
      <c r="AI261" s="76"/>
    </row>
    <row r="262" spans="18:35" ht="13.5" thickBot="1" x14ac:dyDescent="0.25">
      <c r="R262" s="78"/>
      <c r="S262" s="79" t="s">
        <v>1331</v>
      </c>
      <c r="T262" s="80" t="e">
        <f>+SUMPRODUCT(U255:AI255,U259:AI259)/T261</f>
        <v>#DIV/0!</v>
      </c>
      <c r="U262" s="79"/>
      <c r="V262" s="79"/>
      <c r="W262" s="79"/>
      <c r="X262" s="79"/>
      <c r="Y262" s="79"/>
      <c r="Z262" s="79"/>
      <c r="AA262" s="79"/>
      <c r="AB262" s="79"/>
      <c r="AC262" s="79"/>
      <c r="AD262" s="79"/>
      <c r="AE262" s="79"/>
      <c r="AF262" s="79"/>
      <c r="AG262" s="79"/>
      <c r="AH262" s="79"/>
      <c r="AI262" s="81"/>
    </row>
    <row r="264" spans="18:35" ht="13.5" thickBot="1" x14ac:dyDescent="0.25">
      <c r="R264">
        <v>2035</v>
      </c>
    </row>
    <row r="265" spans="18:35" ht="15.75" x14ac:dyDescent="0.25">
      <c r="R265" s="82" t="s">
        <v>367</v>
      </c>
      <c r="S265" s="59"/>
      <c r="T265" s="60" t="s">
        <v>103</v>
      </c>
      <c r="U265" s="61">
        <f>U247</f>
        <v>46107</v>
      </c>
      <c r="V265" s="59"/>
      <c r="W265" s="59"/>
      <c r="X265" s="59"/>
      <c r="Y265" s="59"/>
      <c r="Z265" s="59"/>
      <c r="AA265" s="59"/>
      <c r="AB265" s="59"/>
      <c r="AC265" s="59"/>
      <c r="AD265" s="59"/>
      <c r="AE265" s="59"/>
      <c r="AF265" s="59"/>
      <c r="AG265" s="59"/>
      <c r="AH265" s="59"/>
      <c r="AI265" s="62"/>
    </row>
    <row r="266" spans="18:35" x14ac:dyDescent="0.2">
      <c r="R266" s="63"/>
      <c r="T266" s="64" t="s">
        <v>105</v>
      </c>
      <c r="U266" s="13">
        <v>0.11</v>
      </c>
      <c r="V266" s="13"/>
      <c r="AI266" s="65"/>
    </row>
    <row r="267" spans="18:35" x14ac:dyDescent="0.2">
      <c r="R267" s="63"/>
      <c r="T267" s="66">
        <v>34669</v>
      </c>
      <c r="U267" s="8">
        <v>35034</v>
      </c>
      <c r="V267" s="66">
        <v>35400</v>
      </c>
      <c r="W267" s="8">
        <v>35765</v>
      </c>
      <c r="X267" s="66">
        <v>36130</v>
      </c>
      <c r="Y267" s="8">
        <v>36495</v>
      </c>
      <c r="Z267" s="66">
        <v>36861</v>
      </c>
      <c r="AA267" s="8">
        <v>37226</v>
      </c>
      <c r="AB267" s="66">
        <v>37591</v>
      </c>
      <c r="AC267" s="8">
        <v>37956</v>
      </c>
      <c r="AD267" s="66">
        <v>38322</v>
      </c>
      <c r="AE267" s="8">
        <v>38687</v>
      </c>
      <c r="AF267" s="66">
        <v>39052</v>
      </c>
      <c r="AG267" s="8">
        <v>39417</v>
      </c>
      <c r="AH267" s="66">
        <v>39783</v>
      </c>
      <c r="AI267" s="8">
        <v>40148</v>
      </c>
    </row>
    <row r="268" spans="18:35" x14ac:dyDescent="0.2">
      <c r="R268" s="63"/>
      <c r="S268" t="s">
        <v>1318</v>
      </c>
      <c r="T268" s="68"/>
      <c r="U268" s="69">
        <f t="shared" ref="U268:AI268" si="92">ROUND(150000/15,2)</f>
        <v>10000</v>
      </c>
      <c r="V268" s="69">
        <f t="shared" si="92"/>
        <v>10000</v>
      </c>
      <c r="W268" s="69">
        <f t="shared" si="92"/>
        <v>10000</v>
      </c>
      <c r="X268" s="69">
        <f t="shared" si="92"/>
        <v>10000</v>
      </c>
      <c r="Y268" s="69">
        <f t="shared" si="92"/>
        <v>10000</v>
      </c>
      <c r="Z268" s="69">
        <f t="shared" si="92"/>
        <v>10000</v>
      </c>
      <c r="AA268" s="69">
        <f t="shared" si="92"/>
        <v>10000</v>
      </c>
      <c r="AB268" s="69">
        <f t="shared" si="92"/>
        <v>10000</v>
      </c>
      <c r="AC268" s="69">
        <f t="shared" si="92"/>
        <v>10000</v>
      </c>
      <c r="AD268" s="69">
        <f t="shared" si="92"/>
        <v>10000</v>
      </c>
      <c r="AE268" s="69">
        <f t="shared" si="92"/>
        <v>10000</v>
      </c>
      <c r="AF268" s="69">
        <f t="shared" si="92"/>
        <v>10000</v>
      </c>
      <c r="AG268" s="69">
        <f t="shared" si="92"/>
        <v>10000</v>
      </c>
      <c r="AH268" s="69">
        <f t="shared" si="92"/>
        <v>10000</v>
      </c>
      <c r="AI268" s="69">
        <f t="shared" si="92"/>
        <v>10000</v>
      </c>
    </row>
    <row r="269" spans="18:35" x14ac:dyDescent="0.2">
      <c r="R269" s="63"/>
      <c r="S269" t="s">
        <v>1320</v>
      </c>
      <c r="T269" s="69">
        <v>150000</v>
      </c>
      <c r="U269" s="23">
        <f t="shared" ref="U269:AI269" si="93">+T269-U268</f>
        <v>140000</v>
      </c>
      <c r="V269" s="23">
        <f t="shared" si="93"/>
        <v>130000</v>
      </c>
      <c r="W269" s="23">
        <f t="shared" si="93"/>
        <v>120000</v>
      </c>
      <c r="X269" s="23">
        <f t="shared" si="93"/>
        <v>110000</v>
      </c>
      <c r="Y269" s="23">
        <f t="shared" si="93"/>
        <v>100000</v>
      </c>
      <c r="Z269" s="23">
        <f t="shared" si="93"/>
        <v>90000</v>
      </c>
      <c r="AA269" s="23">
        <f t="shared" si="93"/>
        <v>80000</v>
      </c>
      <c r="AB269" s="23">
        <f t="shared" si="93"/>
        <v>70000</v>
      </c>
      <c r="AC269" s="23">
        <f t="shared" si="93"/>
        <v>60000</v>
      </c>
      <c r="AD269" s="23">
        <f t="shared" si="93"/>
        <v>50000</v>
      </c>
      <c r="AE269" s="23">
        <f t="shared" si="93"/>
        <v>40000</v>
      </c>
      <c r="AF269" s="23">
        <f t="shared" si="93"/>
        <v>30000</v>
      </c>
      <c r="AG269" s="23">
        <f t="shared" si="93"/>
        <v>20000</v>
      </c>
      <c r="AH269" s="23">
        <f t="shared" si="93"/>
        <v>10000</v>
      </c>
      <c r="AI269" s="71">
        <f t="shared" si="93"/>
        <v>0</v>
      </c>
    </row>
    <row r="270" spans="18:35" x14ac:dyDescent="0.2">
      <c r="R270" s="63"/>
      <c r="S270" t="s">
        <v>1321</v>
      </c>
      <c r="T270" s="68"/>
      <c r="U270" s="25">
        <f t="shared" ref="U270:AH270" si="94">+$U$135*T269</f>
        <v>16500</v>
      </c>
      <c r="V270" s="25">
        <f t="shared" si="94"/>
        <v>15400</v>
      </c>
      <c r="W270" s="25">
        <f t="shared" si="94"/>
        <v>14300</v>
      </c>
      <c r="X270" s="25">
        <f>+$U$135*W269</f>
        <v>13200</v>
      </c>
      <c r="Y270" s="25">
        <f>+$U$266*X269</f>
        <v>12100</v>
      </c>
      <c r="Z270" s="25">
        <f t="shared" si="94"/>
        <v>11000</v>
      </c>
      <c r="AA270" s="25">
        <f t="shared" si="94"/>
        <v>9900</v>
      </c>
      <c r="AB270" s="25">
        <f t="shared" si="94"/>
        <v>8800</v>
      </c>
      <c r="AC270" s="25">
        <f t="shared" si="94"/>
        <v>7700</v>
      </c>
      <c r="AD270" s="25">
        <f t="shared" si="94"/>
        <v>6600</v>
      </c>
      <c r="AE270" s="25">
        <f t="shared" si="94"/>
        <v>5500</v>
      </c>
      <c r="AF270" s="25">
        <f t="shared" si="94"/>
        <v>4400</v>
      </c>
      <c r="AG270" s="25">
        <f t="shared" si="94"/>
        <v>3300</v>
      </c>
      <c r="AH270" s="25">
        <f t="shared" si="94"/>
        <v>2200</v>
      </c>
      <c r="AI270" s="25">
        <f>+$U$135*AH269</f>
        <v>1100</v>
      </c>
    </row>
    <row r="271" spans="18:35" x14ac:dyDescent="0.2">
      <c r="R271" s="63"/>
      <c r="S271" t="s">
        <v>1322</v>
      </c>
      <c r="T271" s="68"/>
      <c r="U271" s="25">
        <f t="shared" ref="U271:AI271" si="95">+U270+U268</f>
        <v>26500</v>
      </c>
      <c r="V271" s="25">
        <f t="shared" si="95"/>
        <v>25400</v>
      </c>
      <c r="W271" s="25">
        <f t="shared" si="95"/>
        <v>24300</v>
      </c>
      <c r="X271" s="25">
        <f t="shared" si="95"/>
        <v>23200</v>
      </c>
      <c r="Y271" s="25">
        <f t="shared" si="95"/>
        <v>22100</v>
      </c>
      <c r="Z271" s="25">
        <f t="shared" si="95"/>
        <v>21000</v>
      </c>
      <c r="AA271" s="25">
        <f t="shared" si="95"/>
        <v>19900</v>
      </c>
      <c r="AB271" s="25">
        <f t="shared" si="95"/>
        <v>18800</v>
      </c>
      <c r="AC271" s="25">
        <f t="shared" si="95"/>
        <v>17700</v>
      </c>
      <c r="AD271" s="25">
        <f t="shared" si="95"/>
        <v>16600</v>
      </c>
      <c r="AE271" s="25">
        <f t="shared" si="95"/>
        <v>15500</v>
      </c>
      <c r="AF271" s="25">
        <f t="shared" si="95"/>
        <v>14400</v>
      </c>
      <c r="AG271" s="25">
        <f t="shared" si="95"/>
        <v>13300</v>
      </c>
      <c r="AH271" s="25">
        <f t="shared" si="95"/>
        <v>12200</v>
      </c>
      <c r="AI271" s="72">
        <f t="shared" si="95"/>
        <v>11100</v>
      </c>
    </row>
    <row r="272" spans="18:35" x14ac:dyDescent="0.2">
      <c r="R272" s="63"/>
      <c r="S272" t="s">
        <v>1323</v>
      </c>
      <c r="T272" s="69"/>
      <c r="U272" s="25">
        <f t="shared" ref="U272:AI272" si="96">+IF(U267&gt;$U$1,U271,0)</f>
        <v>0</v>
      </c>
      <c r="V272" s="25">
        <f t="shared" si="96"/>
        <v>0</v>
      </c>
      <c r="W272" s="25">
        <f t="shared" si="96"/>
        <v>0</v>
      </c>
      <c r="X272" s="25">
        <f t="shared" si="96"/>
        <v>0</v>
      </c>
      <c r="Y272" s="25">
        <f t="shared" si="96"/>
        <v>0</v>
      </c>
      <c r="Z272" s="25">
        <f t="shared" si="96"/>
        <v>0</v>
      </c>
      <c r="AA272" s="25">
        <f t="shared" si="96"/>
        <v>0</v>
      </c>
      <c r="AB272" s="25">
        <f t="shared" si="96"/>
        <v>0</v>
      </c>
      <c r="AC272" s="25">
        <f t="shared" si="96"/>
        <v>0</v>
      </c>
      <c r="AD272" s="25">
        <f t="shared" si="96"/>
        <v>0</v>
      </c>
      <c r="AE272" s="25">
        <f t="shared" si="96"/>
        <v>0</v>
      </c>
      <c r="AF272" s="25">
        <f t="shared" si="96"/>
        <v>0</v>
      </c>
      <c r="AG272" s="25">
        <f t="shared" si="96"/>
        <v>0</v>
      </c>
      <c r="AH272" s="25">
        <f t="shared" si="96"/>
        <v>0</v>
      </c>
      <c r="AI272" s="72">
        <f t="shared" si="96"/>
        <v>0</v>
      </c>
    </row>
    <row r="273" spans="12:35" x14ac:dyDescent="0.2">
      <c r="R273" s="63"/>
      <c r="S273" t="s">
        <v>1324</v>
      </c>
      <c r="T273" s="73"/>
      <c r="U273">
        <f t="shared" ref="U273:AI273" si="97">+IF(T272=0,(U267-$U$1)/(U267-T267),T273+1)</f>
        <v>-30.336986301369862</v>
      </c>
      <c r="V273">
        <f t="shared" si="97"/>
        <v>-29.254098360655739</v>
      </c>
      <c r="W273">
        <f t="shared" si="97"/>
        <v>-28.334246575342465</v>
      </c>
      <c r="X273">
        <f t="shared" si="97"/>
        <v>-27.334246575342465</v>
      </c>
      <c r="Y273">
        <f t="shared" si="97"/>
        <v>-26.334246575342465</v>
      </c>
      <c r="Z273">
        <f t="shared" si="97"/>
        <v>-25.262295081967213</v>
      </c>
      <c r="AA273">
        <f t="shared" si="97"/>
        <v>-24.331506849315069</v>
      </c>
      <c r="AB273">
        <f t="shared" si="97"/>
        <v>-23.331506849315069</v>
      </c>
      <c r="AC273">
        <f t="shared" si="97"/>
        <v>-22.331506849315069</v>
      </c>
      <c r="AD273">
        <f t="shared" si="97"/>
        <v>-21.270491803278688</v>
      </c>
      <c r="AE273">
        <f t="shared" si="97"/>
        <v>-20.328767123287673</v>
      </c>
      <c r="AF273">
        <f t="shared" si="97"/>
        <v>-19.328767123287673</v>
      </c>
      <c r="AG273">
        <f t="shared" si="97"/>
        <v>-18.328767123287673</v>
      </c>
      <c r="AH273">
        <f t="shared" si="97"/>
        <v>-17.278688524590162</v>
      </c>
      <c r="AI273">
        <f t="shared" si="97"/>
        <v>-16.326027397260273</v>
      </c>
    </row>
    <row r="274" spans="12:35" x14ac:dyDescent="0.2">
      <c r="R274" s="63"/>
      <c r="S274" s="29" t="s">
        <v>1325</v>
      </c>
      <c r="T274" s="68"/>
      <c r="U274" s="68" cm="1">
        <f t="array" ref="U274">IF(U273&lt;1,interpoler(mat_court,taux_court_act,U273*(U267-T267)),interpoler(mat,taux,U273))</f>
        <v>2.3281430422376737E-2</v>
      </c>
      <c r="V274" s="68" cm="1">
        <f t="array" ref="V274">IF(V273&lt;1,interpoler(mat_court,taux_court_act,V273*(V267-U267)),interpoler(mat,taux,V273))</f>
        <v>2.3281430422376737E-2</v>
      </c>
      <c r="W274" s="68" cm="1">
        <f t="array" ref="W274">IF(W273&lt;1,interpoler(mat_court,taux_court_act,W273*(W267-V267)),interpoler(mat,taux,W273))</f>
        <v>2.3281430422376737E-2</v>
      </c>
      <c r="X274" s="68" cm="1">
        <f t="array" ref="X274">IF(X273&lt;1,interpoler(mat_court,taux_court_act,X273*(X267-W267)),interpoler(mat,taux,X273))</f>
        <v>2.3281430422376737E-2</v>
      </c>
      <c r="Y274" s="68" cm="1">
        <f t="array" ref="Y274">IF(Y273&lt;1,interpoler(mat_court,taux_court_act,Y273*(Y267-X267)),interpoler(mat,taux,Y273))</f>
        <v>2.3281430422376737E-2</v>
      </c>
      <c r="Z274" s="68" cm="1">
        <f t="array" ref="Z274">IF(Z273&lt;1,interpoler(mat_court,taux_court_act,Z273*(Z267-Y267)),interpoler(mat,taux,Z273))</f>
        <v>2.3281430422376737E-2</v>
      </c>
      <c r="AA274" s="68" cm="1">
        <f t="array" ref="AA274">IF(AA273&lt;1,interpoler(mat_court,taux_court_act,AA273*(AA267-Z267)),interpoler(mat,taux,AA273))</f>
        <v>2.3281430422376737E-2</v>
      </c>
      <c r="AB274" s="68" cm="1">
        <f t="array" ref="AB274">IF(AB273&lt;1,interpoler(mat_court,taux_court_act,AB273*(AB267-AA267)),interpoler(mat,taux,AB273))</f>
        <v>2.3281430422376737E-2</v>
      </c>
      <c r="AC274" s="68" cm="1">
        <f t="array" ref="AC274">IF(AC273&lt;1,interpoler(mat_court,taux_court_act,AC273*(AC267-AB267)),interpoler(mat,taux,AC273))</f>
        <v>2.3281430422376737E-2</v>
      </c>
      <c r="AD274" s="68" cm="1">
        <f t="array" ref="AD274">IF(AD273&lt;1,interpoler(mat_court,taux_court_act,AD273*(AD267-AC267)),interpoler(mat,taux,AD273))</f>
        <v>2.3281430422376737E-2</v>
      </c>
      <c r="AE274" s="68" cm="1">
        <f t="array" ref="AE274">IF(AE273&lt;1,interpoler(mat_court,taux_court_act,AE273*(AE267-AD267)),interpoler(mat,taux,AE273))</f>
        <v>2.3281430422376737E-2</v>
      </c>
      <c r="AF274" s="68" cm="1">
        <f t="array" ref="AF274">IF(AF273&lt;1,interpoler(mat_court,taux_court_act,AF273*(AF267-AE267)),interpoler(mat,taux,AF273))</f>
        <v>2.3281430422376737E-2</v>
      </c>
      <c r="AG274" s="68" cm="1">
        <f t="array" ref="AG274">IF(AG273&lt;1,interpoler(mat_court,taux_court_act,AG273*(AG267-AF267)),interpoler(mat,taux,AG273))</f>
        <v>2.3281430422376737E-2</v>
      </c>
      <c r="AH274" s="68" cm="1">
        <f t="array" ref="AH274">IF(AH273&lt;1,interpoler(mat_court,taux_court_act,AH273*(AH267-AG267)),interpoler(mat,taux,AH273))</f>
        <v>2.3281430422376737E-2</v>
      </c>
      <c r="AI274" s="68" cm="1">
        <f t="array" ref="AI274">IF(AI273&lt;1,interpoler(mat_court,taux_court_act,AI273*(AI267-AH267)),interpoler(mat,taux,AI273))</f>
        <v>2.3281430422376737E-2</v>
      </c>
    </row>
    <row r="275" spans="12:35" x14ac:dyDescent="0.2">
      <c r="R275" s="63"/>
      <c r="S275" t="s">
        <v>1328</v>
      </c>
      <c r="T275" s="68"/>
      <c r="U275" s="29">
        <v>7.4999999999999997E-3</v>
      </c>
      <c r="V275" s="29">
        <f>U275</f>
        <v>7.4999999999999997E-3</v>
      </c>
      <c r="W275" s="29">
        <f t="shared" ref="W275:AI275" si="98">+V275</f>
        <v>7.4999999999999997E-3</v>
      </c>
      <c r="X275" s="29">
        <f t="shared" si="98"/>
        <v>7.4999999999999997E-3</v>
      </c>
      <c r="Y275" s="29">
        <f t="shared" si="98"/>
        <v>7.4999999999999997E-3</v>
      </c>
      <c r="Z275" s="29">
        <f t="shared" si="98"/>
        <v>7.4999999999999997E-3</v>
      </c>
      <c r="AA275" s="29">
        <f t="shared" si="98"/>
        <v>7.4999999999999997E-3</v>
      </c>
      <c r="AB275" s="29">
        <f t="shared" si="98"/>
        <v>7.4999999999999997E-3</v>
      </c>
      <c r="AC275" s="29">
        <f t="shared" si="98"/>
        <v>7.4999999999999997E-3</v>
      </c>
      <c r="AD275" s="29">
        <f t="shared" si="98"/>
        <v>7.4999999999999997E-3</v>
      </c>
      <c r="AE275" s="29">
        <f t="shared" si="98"/>
        <v>7.4999999999999997E-3</v>
      </c>
      <c r="AF275" s="29">
        <f t="shared" si="98"/>
        <v>7.4999999999999997E-3</v>
      </c>
      <c r="AG275" s="29">
        <f t="shared" si="98"/>
        <v>7.4999999999999997E-3</v>
      </c>
      <c r="AH275" s="29">
        <f t="shared" si="98"/>
        <v>7.4999999999999997E-3</v>
      </c>
      <c r="AI275" s="75">
        <f t="shared" si="98"/>
        <v>7.4999999999999997E-3</v>
      </c>
    </row>
    <row r="276" spans="12:35" x14ac:dyDescent="0.2">
      <c r="R276" s="63"/>
      <c r="S276" t="s">
        <v>1329</v>
      </c>
      <c r="T276" s="68"/>
      <c r="U276" s="13">
        <f t="shared" ref="U276:AI276" si="99">+ROUND(U274+U275,6)</f>
        <v>3.0780999999999999E-2</v>
      </c>
      <c r="V276" s="100">
        <f t="shared" si="99"/>
        <v>3.0780999999999999E-2</v>
      </c>
      <c r="W276" s="101">
        <f t="shared" si="99"/>
        <v>3.0780999999999999E-2</v>
      </c>
      <c r="X276" s="102">
        <f t="shared" si="99"/>
        <v>3.0780999999999999E-2</v>
      </c>
      <c r="Y276" s="102">
        <f t="shared" si="99"/>
        <v>3.0780999999999999E-2</v>
      </c>
      <c r="Z276" s="102">
        <f t="shared" si="99"/>
        <v>3.0780999999999999E-2</v>
      </c>
      <c r="AA276" s="102">
        <f t="shared" si="99"/>
        <v>3.0780999999999999E-2</v>
      </c>
      <c r="AB276" s="13">
        <f t="shared" si="99"/>
        <v>3.0780999999999999E-2</v>
      </c>
      <c r="AC276" s="13">
        <f t="shared" si="99"/>
        <v>3.0780999999999999E-2</v>
      </c>
      <c r="AD276" s="13">
        <f t="shared" si="99"/>
        <v>3.0780999999999999E-2</v>
      </c>
      <c r="AE276" s="13">
        <f t="shared" si="99"/>
        <v>3.0780999999999999E-2</v>
      </c>
      <c r="AF276" s="13">
        <f t="shared" si="99"/>
        <v>3.0780999999999999E-2</v>
      </c>
      <c r="AG276" s="13">
        <f t="shared" si="99"/>
        <v>3.0780999999999999E-2</v>
      </c>
      <c r="AH276" s="13">
        <f t="shared" si="99"/>
        <v>3.0780999999999999E-2</v>
      </c>
      <c r="AI276" s="13">
        <f t="shared" si="99"/>
        <v>3.0780999999999999E-2</v>
      </c>
    </row>
    <row r="277" spans="12:35" x14ac:dyDescent="0.2">
      <c r="R277" s="63"/>
      <c r="T277" s="68"/>
      <c r="U277" s="69">
        <f t="shared" ref="U277:AI277" si="100">+U272/(1+U276)^U273</f>
        <v>0</v>
      </c>
      <c r="V277" s="69">
        <f t="shared" si="100"/>
        <v>0</v>
      </c>
      <c r="W277" s="69">
        <f t="shared" si="100"/>
        <v>0</v>
      </c>
      <c r="X277" s="69">
        <f t="shared" si="100"/>
        <v>0</v>
      </c>
      <c r="Y277" s="69">
        <f t="shared" si="100"/>
        <v>0</v>
      </c>
      <c r="Z277" s="69">
        <f t="shared" si="100"/>
        <v>0</v>
      </c>
      <c r="AA277" s="69">
        <f t="shared" si="100"/>
        <v>0</v>
      </c>
      <c r="AB277" s="69">
        <f t="shared" si="100"/>
        <v>0</v>
      </c>
      <c r="AC277" s="69">
        <f t="shared" si="100"/>
        <v>0</v>
      </c>
      <c r="AD277" s="69">
        <f t="shared" si="100"/>
        <v>0</v>
      </c>
      <c r="AE277" s="69">
        <f t="shared" si="100"/>
        <v>0</v>
      </c>
      <c r="AF277" s="69">
        <f t="shared" si="100"/>
        <v>0</v>
      </c>
      <c r="AG277" s="69">
        <f t="shared" si="100"/>
        <v>0</v>
      </c>
      <c r="AH277" s="69">
        <f t="shared" si="100"/>
        <v>0</v>
      </c>
      <c r="AI277" s="70">
        <f t="shared" si="100"/>
        <v>0</v>
      </c>
    </row>
    <row r="278" spans="12:35" x14ac:dyDescent="0.2">
      <c r="R278" s="63"/>
      <c r="T278" s="68"/>
      <c r="U278" s="13"/>
      <c r="V278" s="13"/>
      <c r="W278" s="13"/>
      <c r="X278" s="13"/>
      <c r="Y278" s="13"/>
      <c r="Z278" s="13"/>
      <c r="AA278" s="13"/>
      <c r="AB278" s="13"/>
      <c r="AC278" s="13"/>
      <c r="AD278" s="13"/>
      <c r="AE278" s="13"/>
      <c r="AF278" s="13"/>
      <c r="AG278" s="13"/>
      <c r="AH278" s="13"/>
      <c r="AI278" s="76"/>
    </row>
    <row r="279" spans="12:35" x14ac:dyDescent="0.2">
      <c r="R279" s="63"/>
      <c r="S279" t="s">
        <v>650</v>
      </c>
      <c r="T279" s="77">
        <f>+SUM(U277:AI277)</f>
        <v>0</v>
      </c>
      <c r="U279" s="13"/>
      <c r="V279" s="13"/>
      <c r="W279" s="13"/>
      <c r="X279" s="13"/>
      <c r="Y279" s="13"/>
      <c r="Z279" s="13"/>
      <c r="AA279" s="13"/>
      <c r="AB279" s="13"/>
      <c r="AC279" s="13"/>
      <c r="AD279" s="13"/>
      <c r="AE279" s="13"/>
      <c r="AF279" s="13"/>
      <c r="AG279" s="13"/>
      <c r="AH279" s="13"/>
      <c r="AI279" s="76"/>
    </row>
    <row r="280" spans="12:35" ht="13.5" thickBot="1" x14ac:dyDescent="0.25">
      <c r="R280" s="78"/>
      <c r="S280" s="79" t="s">
        <v>1331</v>
      </c>
      <c r="T280" s="80" t="e">
        <f>+SUMPRODUCT(U273:AI273,U277:AI277)/T279</f>
        <v>#DIV/0!</v>
      </c>
      <c r="U280" s="79"/>
      <c r="V280" s="79"/>
      <c r="W280" s="79"/>
      <c r="X280" s="79"/>
      <c r="Y280" s="79"/>
      <c r="Z280" s="79"/>
      <c r="AA280" s="79"/>
      <c r="AB280" s="79"/>
      <c r="AC280" s="79"/>
      <c r="AD280" s="79"/>
      <c r="AE280" s="79"/>
      <c r="AF280" s="79"/>
      <c r="AG280" s="79"/>
      <c r="AH280" s="79"/>
      <c r="AI280" s="81"/>
    </row>
    <row r="282" spans="12:35" ht="13.5" thickBot="1" x14ac:dyDescent="0.25">
      <c r="R282">
        <v>2104</v>
      </c>
    </row>
    <row r="283" spans="12:35" ht="15.75" x14ac:dyDescent="0.25">
      <c r="R283" s="82" t="s">
        <v>36</v>
      </c>
      <c r="S283" s="59"/>
      <c r="T283" s="60" t="s">
        <v>103</v>
      </c>
      <c r="U283" s="61">
        <f>U265</f>
        <v>46107</v>
      </c>
      <c r="V283" s="59"/>
      <c r="W283" s="59"/>
      <c r="X283" s="59"/>
      <c r="Y283" s="59"/>
      <c r="Z283" s="59"/>
      <c r="AA283" s="59"/>
      <c r="AB283" s="59"/>
      <c r="AC283" s="59"/>
      <c r="AD283" s="59"/>
      <c r="AE283" s="59"/>
      <c r="AF283" s="59"/>
      <c r="AG283" s="59"/>
      <c r="AH283" s="59"/>
      <c r="AI283" s="62"/>
    </row>
    <row r="284" spans="12:35" x14ac:dyDescent="0.2">
      <c r="R284" s="63"/>
      <c r="T284" s="64" t="s">
        <v>105</v>
      </c>
      <c r="U284" s="13">
        <v>5.5E-2</v>
      </c>
      <c r="V284" s="13"/>
      <c r="AI284" s="65"/>
    </row>
    <row r="285" spans="12:35" x14ac:dyDescent="0.2">
      <c r="L285" s="91"/>
      <c r="M285" s="8"/>
      <c r="N285" s="1"/>
      <c r="O285" s="1"/>
      <c r="R285" s="63"/>
      <c r="T285" s="66">
        <v>38187</v>
      </c>
      <c r="U285" s="8">
        <v>38552</v>
      </c>
      <c r="V285" s="66">
        <v>38917</v>
      </c>
      <c r="W285" s="8">
        <v>39282</v>
      </c>
      <c r="X285" s="66">
        <v>39648</v>
      </c>
      <c r="Y285" s="8">
        <v>40013</v>
      </c>
      <c r="Z285" s="66"/>
      <c r="AA285" s="8"/>
      <c r="AB285" s="66"/>
      <c r="AC285" s="8"/>
      <c r="AD285" s="66"/>
      <c r="AE285" s="8"/>
      <c r="AF285" s="66"/>
      <c r="AG285" s="8"/>
      <c r="AH285" s="66"/>
      <c r="AI285" s="8"/>
    </row>
    <row r="286" spans="12:35" x14ac:dyDescent="0.2">
      <c r="M286" s="8"/>
      <c r="N286" s="255"/>
      <c r="O286" s="255"/>
      <c r="R286" s="63"/>
      <c r="S286" t="s">
        <v>1318</v>
      </c>
      <c r="T286" s="68">
        <v>0</v>
      </c>
      <c r="U286" s="69">
        <v>20000</v>
      </c>
      <c r="V286" s="69">
        <v>20000</v>
      </c>
      <c r="W286" s="69">
        <v>20000</v>
      </c>
      <c r="X286" s="69">
        <v>20000</v>
      </c>
      <c r="Y286" s="69">
        <v>20000</v>
      </c>
      <c r="Z286" s="69"/>
      <c r="AA286" s="69"/>
      <c r="AB286" s="69"/>
      <c r="AC286" s="69"/>
      <c r="AD286" s="69"/>
      <c r="AE286" s="69"/>
      <c r="AF286" s="69"/>
      <c r="AG286" s="69"/>
      <c r="AH286" s="69"/>
      <c r="AI286" s="69"/>
    </row>
    <row r="287" spans="12:35" x14ac:dyDescent="0.2">
      <c r="M287" s="8"/>
      <c r="N287" s="255"/>
      <c r="O287" s="255"/>
      <c r="R287" s="63"/>
      <c r="S287" t="s">
        <v>1320</v>
      </c>
      <c r="T287" s="69">
        <v>100000</v>
      </c>
      <c r="U287" s="23">
        <v>80000</v>
      </c>
      <c r="V287" s="23">
        <v>60000</v>
      </c>
      <c r="W287" s="23">
        <v>40000</v>
      </c>
      <c r="X287" s="23">
        <v>20000</v>
      </c>
      <c r="Y287" s="23">
        <v>0</v>
      </c>
      <c r="Z287" s="23"/>
      <c r="AA287" s="23"/>
      <c r="AB287" s="23"/>
      <c r="AC287" s="23"/>
      <c r="AD287" s="23"/>
      <c r="AE287" s="23"/>
      <c r="AF287" s="23"/>
      <c r="AG287" s="23"/>
      <c r="AH287" s="23"/>
      <c r="AI287" s="71"/>
    </row>
    <row r="288" spans="12:35" x14ac:dyDescent="0.2">
      <c r="M288" s="8"/>
      <c r="N288" s="255"/>
      <c r="O288" s="255"/>
      <c r="R288" s="63"/>
      <c r="S288" t="s">
        <v>1321</v>
      </c>
      <c r="T288" s="68"/>
      <c r="U288" s="25">
        <f>+$U$135*T287</f>
        <v>11000</v>
      </c>
      <c r="V288" s="25">
        <f>+$U$135*U287</f>
        <v>8800</v>
      </c>
      <c r="W288" s="25">
        <f>+$U$135*V287</f>
        <v>6600</v>
      </c>
      <c r="X288" s="25">
        <f>+$U$135*W287</f>
        <v>4400</v>
      </c>
      <c r="Y288" s="25">
        <f>+$U$284*X287</f>
        <v>1100</v>
      </c>
      <c r="Z288" s="25"/>
      <c r="AA288" s="25"/>
      <c r="AB288" s="25"/>
      <c r="AC288" s="25"/>
      <c r="AD288" s="25"/>
      <c r="AE288" s="25"/>
      <c r="AF288" s="25"/>
      <c r="AG288" s="25"/>
      <c r="AH288" s="25"/>
      <c r="AI288" s="25"/>
    </row>
    <row r="289" spans="4:45" x14ac:dyDescent="0.2">
      <c r="M289" s="8"/>
      <c r="N289" s="255"/>
      <c r="O289" s="255"/>
      <c r="R289" s="63"/>
      <c r="S289" t="s">
        <v>1322</v>
      </c>
      <c r="T289" s="68"/>
      <c r="U289" s="25">
        <f>+U288+U286</f>
        <v>31000</v>
      </c>
      <c r="V289" s="25">
        <f>+V288+V286</f>
        <v>28800</v>
      </c>
      <c r="W289" s="25">
        <f>+W288+W286</f>
        <v>26600</v>
      </c>
      <c r="X289" s="25">
        <f>+X288+X286</f>
        <v>24400</v>
      </c>
      <c r="Y289" s="25">
        <f>+Y288+Y286</f>
        <v>21100</v>
      </c>
      <c r="Z289" s="25"/>
      <c r="AA289" s="25"/>
      <c r="AB289" s="25"/>
      <c r="AC289" s="25"/>
      <c r="AD289" s="25"/>
      <c r="AE289" s="25"/>
      <c r="AF289" s="25"/>
      <c r="AG289" s="25"/>
      <c r="AH289" s="25"/>
      <c r="AI289" s="72"/>
    </row>
    <row r="290" spans="4:45" x14ac:dyDescent="0.2">
      <c r="M290" s="8"/>
      <c r="N290" s="255"/>
      <c r="O290" s="255"/>
      <c r="R290" s="63"/>
      <c r="S290" t="s">
        <v>1323</v>
      </c>
      <c r="T290" s="69"/>
      <c r="U290" s="25">
        <f>+IF(U285&gt;$U$1,U289,0)</f>
        <v>0</v>
      </c>
      <c r="V290" s="25">
        <f>+IF(V285&gt;$U$1,V289,0)</f>
        <v>0</v>
      </c>
      <c r="W290" s="25">
        <f>+IF(W285&gt;$U$1,W289,0)</f>
        <v>0</v>
      </c>
      <c r="X290" s="25">
        <f>+IF(X285&gt;$U$1,X289,0)</f>
        <v>0</v>
      </c>
      <c r="Y290" s="25">
        <f>+IF(Y285&gt;$U$1,Y289,0)</f>
        <v>0</v>
      </c>
      <c r="Z290" s="25"/>
      <c r="AA290" s="25"/>
      <c r="AB290" s="25"/>
      <c r="AC290" s="25"/>
      <c r="AD290" s="25"/>
      <c r="AE290" s="25"/>
      <c r="AF290" s="25"/>
      <c r="AG290" s="25"/>
      <c r="AH290" s="25"/>
      <c r="AI290" s="72"/>
    </row>
    <row r="291" spans="4:45" x14ac:dyDescent="0.2">
      <c r="R291" s="63"/>
      <c r="S291" t="s">
        <v>1324</v>
      </c>
      <c r="T291" s="73"/>
      <c r="U291">
        <f>+IF(T290=0,(U285-$U$1)/(U285-T285),T291+1)</f>
        <v>-20.698630136986303</v>
      </c>
      <c r="V291">
        <f>+IF(U290=0,(V285-$U$1)/(V285-U285),U291+1)</f>
        <v>-19.698630136986303</v>
      </c>
      <c r="W291">
        <f>+IF(V290=0,(W285-$U$1)/(W285-V285),V291+1)</f>
        <v>-18.698630136986303</v>
      </c>
      <c r="X291">
        <f>+IF(W290=0,(X285-$U$1)/(X285-W285),W291+1)</f>
        <v>-17.647540983606557</v>
      </c>
      <c r="Y291">
        <f>+IF(X290=0,(Y285-$U$1)/(Y285-X285),X291+1)</f>
        <v>-16.695890410958903</v>
      </c>
    </row>
    <row r="292" spans="4:45" x14ac:dyDescent="0.2">
      <c r="R292" s="63"/>
      <c r="S292" s="29" t="s">
        <v>1325</v>
      </c>
      <c r="T292" s="68"/>
      <c r="U292" s="68" cm="1">
        <f t="array" ref="U292">IF(U291&lt;1,interpoler(mat_court,taux_court_act,U291*(U285-T285)),interpoler(mat,taux,U291))</f>
        <v>2.3281430422376737E-2</v>
      </c>
      <c r="V292" s="68" cm="1">
        <f t="array" ref="V292">IF(V291&lt;1,interpoler(mat_court,taux_court_act,V291*(V285-U285)),interpoler(mat,taux,V291))</f>
        <v>2.3281430422376737E-2</v>
      </c>
      <c r="W292" s="68" cm="1">
        <f t="array" ref="W292">IF(W291&lt;1,interpoler(mat_court,taux_court_act,W291*(W285-V285)),interpoler(mat,taux,W291))</f>
        <v>2.3281430422376737E-2</v>
      </c>
      <c r="X292" s="68" cm="1">
        <f t="array" ref="X292">IF(X291&lt;1,interpoler(mat_court,taux_court_act,X291*(X285-W285)),interpoler(mat,taux,X291))</f>
        <v>2.3281430422376737E-2</v>
      </c>
      <c r="Y292" s="68" cm="1">
        <f t="array" ref="Y292">IF(Y291&lt;1,interpoler(mat_court,taux_court_act,Y291*(Y285-X285)),interpoler(mat,taux,Y291))</f>
        <v>2.3281430422376737E-2</v>
      </c>
      <c r="Z292" s="68"/>
      <c r="AA292" s="68"/>
      <c r="AB292" s="68"/>
      <c r="AC292" s="68"/>
      <c r="AD292" s="68"/>
      <c r="AE292" s="68"/>
      <c r="AF292" s="68"/>
      <c r="AG292" s="68"/>
      <c r="AH292" s="68"/>
      <c r="AI292" s="68"/>
    </row>
    <row r="293" spans="4:45" x14ac:dyDescent="0.2">
      <c r="R293" s="63"/>
      <c r="S293" t="s">
        <v>1328</v>
      </c>
      <c r="T293" s="68"/>
      <c r="U293" s="29">
        <v>1.4999999999999999E-2</v>
      </c>
      <c r="V293" s="29">
        <f>U293</f>
        <v>1.4999999999999999E-2</v>
      </c>
      <c r="W293" s="29">
        <f>+V293</f>
        <v>1.4999999999999999E-2</v>
      </c>
      <c r="X293" s="29">
        <f>+W293</f>
        <v>1.4999999999999999E-2</v>
      </c>
      <c r="Y293" s="29">
        <f>+X293</f>
        <v>1.4999999999999999E-2</v>
      </c>
      <c r="Z293" s="29"/>
      <c r="AA293" s="29"/>
      <c r="AB293" s="29"/>
      <c r="AC293" s="29"/>
      <c r="AD293" s="29"/>
      <c r="AE293" s="29"/>
      <c r="AF293" s="29"/>
      <c r="AG293" s="29"/>
      <c r="AH293" s="29"/>
      <c r="AI293" s="75"/>
    </row>
    <row r="294" spans="4:45" x14ac:dyDescent="0.2">
      <c r="R294" s="63"/>
      <c r="S294" t="s">
        <v>1329</v>
      </c>
      <c r="T294" s="68"/>
      <c r="U294" s="13">
        <f>+ROUND(U292+U293,6)</f>
        <v>3.8281000000000003E-2</v>
      </c>
      <c r="V294" s="100">
        <f>+ROUND(V292+V293,6)</f>
        <v>3.8281000000000003E-2</v>
      </c>
      <c r="W294" s="101">
        <f>+ROUND(W292+W293,6)</f>
        <v>3.8281000000000003E-2</v>
      </c>
      <c r="X294" s="102">
        <f>+ROUND(X292+X293,6)</f>
        <v>3.8281000000000003E-2</v>
      </c>
      <c r="Y294" s="102">
        <f>+ROUND(Y292+Y293,6)</f>
        <v>3.8281000000000003E-2</v>
      </c>
      <c r="Z294" s="102"/>
      <c r="AA294" s="102"/>
      <c r="AB294" s="13"/>
      <c r="AC294" s="13"/>
      <c r="AD294" s="13"/>
      <c r="AE294" s="13"/>
      <c r="AF294" s="13"/>
      <c r="AG294" s="13"/>
      <c r="AH294" s="13"/>
      <c r="AI294" s="13"/>
    </row>
    <row r="295" spans="4:45" x14ac:dyDescent="0.2">
      <c r="R295" s="63"/>
      <c r="T295" s="68"/>
      <c r="U295" s="69">
        <f>+U290/(1+U294)^U291</f>
        <v>0</v>
      </c>
      <c r="V295" s="69">
        <f>+V290/(1+V294)^V291</f>
        <v>0</v>
      </c>
      <c r="W295" s="69">
        <f>+W290/(1+W294)^W291</f>
        <v>0</v>
      </c>
      <c r="X295" s="69">
        <f>+X290/(1+X294)^X291</f>
        <v>0</v>
      </c>
      <c r="Y295" s="69">
        <f>+Y290/(1+Y294)^Y291</f>
        <v>0</v>
      </c>
      <c r="Z295" s="69"/>
      <c r="AA295" s="69"/>
      <c r="AB295" s="69"/>
      <c r="AC295" s="69"/>
      <c r="AD295" s="69"/>
      <c r="AE295" s="69"/>
      <c r="AF295" s="69"/>
      <c r="AG295" s="69"/>
      <c r="AH295" s="69"/>
      <c r="AI295" s="70"/>
    </row>
    <row r="296" spans="4:45" x14ac:dyDescent="0.2">
      <c r="R296" s="63"/>
      <c r="T296" s="68"/>
      <c r="U296" s="13"/>
      <c r="V296" s="13"/>
      <c r="W296" s="13"/>
      <c r="X296" s="13"/>
      <c r="Y296" s="13"/>
      <c r="Z296" s="13"/>
      <c r="AA296" s="13"/>
      <c r="AB296" s="13"/>
      <c r="AC296" s="13"/>
      <c r="AD296" s="13"/>
      <c r="AE296" s="13"/>
      <c r="AF296" s="13"/>
      <c r="AG296" s="13"/>
      <c r="AH296" s="13"/>
      <c r="AI296" s="76"/>
    </row>
    <row r="297" spans="4:45" x14ac:dyDescent="0.2">
      <c r="R297" s="63"/>
      <c r="S297" t="s">
        <v>650</v>
      </c>
      <c r="T297" s="77">
        <f>+SUM(U295:AI295)</f>
        <v>0</v>
      </c>
      <c r="U297" s="13"/>
      <c r="V297" s="13"/>
      <c r="W297" s="13"/>
      <c r="X297" s="13"/>
      <c r="Y297" s="13"/>
      <c r="Z297" s="13"/>
      <c r="AA297" s="13"/>
      <c r="AB297" s="13"/>
      <c r="AC297" s="13"/>
      <c r="AD297" s="13"/>
      <c r="AE297" s="13"/>
      <c r="AF297" s="13"/>
      <c r="AG297" s="13"/>
      <c r="AH297" s="13"/>
      <c r="AI297" s="76"/>
    </row>
    <row r="298" spans="4:45" ht="13.5" thickBot="1" x14ac:dyDescent="0.25">
      <c r="R298" s="78"/>
      <c r="S298" s="79" t="s">
        <v>1331</v>
      </c>
      <c r="T298" s="80" t="e">
        <f>+SUMPRODUCT(U291:AI291,U295:AI295)/T297</f>
        <v>#DIV/0!</v>
      </c>
      <c r="U298" s="79"/>
      <c r="V298" s="79"/>
      <c r="W298" s="79"/>
      <c r="X298" s="79"/>
      <c r="Y298" s="79"/>
      <c r="Z298" s="79"/>
      <c r="AA298" s="79"/>
      <c r="AB298" s="79"/>
      <c r="AC298" s="79"/>
      <c r="AD298" s="79"/>
      <c r="AE298" s="79"/>
      <c r="AF298" s="79"/>
      <c r="AG298" s="79"/>
      <c r="AH298" s="79"/>
      <c r="AI298" s="81"/>
    </row>
    <row r="299" spans="4:45" x14ac:dyDescent="0.2">
      <c r="D299" t="e">
        <f>IF(D298&lt;1,interpoler(mat_court,taux_court,D298*(D292-C292)),interpoler(mat,taux,D298))</f>
        <v>#VALUE!</v>
      </c>
    </row>
    <row r="301" spans="4:45" ht="13.5" thickBot="1" x14ac:dyDescent="0.25">
      <c r="R301">
        <v>9050</v>
      </c>
      <c r="AI301">
        <f>AI304-AH304</f>
        <v>366</v>
      </c>
    </row>
    <row r="302" spans="4:45" ht="15.75" x14ac:dyDescent="0.25">
      <c r="M302" s="8"/>
      <c r="N302" s="1"/>
      <c r="O302" s="1"/>
      <c r="P302" s="255"/>
      <c r="R302" s="653" t="s">
        <v>37</v>
      </c>
      <c r="S302" s="59"/>
      <c r="T302" s="60" t="s">
        <v>103</v>
      </c>
      <c r="U302" s="61">
        <f>'Courbe des taux'!F1</f>
        <v>46107</v>
      </c>
      <c r="V302" s="59"/>
      <c r="W302" s="59"/>
      <c r="X302" s="59"/>
      <c r="Y302" s="59"/>
      <c r="Z302" s="59"/>
      <c r="AA302" s="59"/>
      <c r="AB302" s="59"/>
      <c r="AC302" s="59"/>
      <c r="AD302" s="59"/>
      <c r="AE302" s="59"/>
      <c r="AF302" s="59"/>
      <c r="AG302" s="59"/>
      <c r="AH302" s="59"/>
      <c r="AI302" s="59"/>
      <c r="AJ302" s="59"/>
      <c r="AK302" s="59"/>
      <c r="AL302" s="59"/>
      <c r="AM302" s="59"/>
      <c r="AN302" s="59"/>
      <c r="AO302" s="59"/>
      <c r="AP302" s="59"/>
      <c r="AQ302" s="59"/>
      <c r="AR302" s="59"/>
      <c r="AS302" s="62"/>
    </row>
    <row r="303" spans="4:45" x14ac:dyDescent="0.2">
      <c r="M303" s="8"/>
      <c r="N303" s="255"/>
      <c r="O303" s="255"/>
      <c r="R303" s="63"/>
      <c r="T303" s="64" t="s">
        <v>105</v>
      </c>
      <c r="U303" s="13">
        <v>3.4099999999999998E-2</v>
      </c>
      <c r="V303" s="13"/>
      <c r="AS303" s="65"/>
    </row>
    <row r="304" spans="4:45" x14ac:dyDescent="0.2">
      <c r="M304" s="8"/>
      <c r="N304" s="255"/>
      <c r="O304" s="255"/>
      <c r="R304" s="63"/>
      <c r="T304" s="66">
        <v>38638</v>
      </c>
      <c r="U304" s="8">
        <v>39003</v>
      </c>
      <c r="V304" s="66">
        <v>39368</v>
      </c>
      <c r="W304" s="8">
        <v>39734</v>
      </c>
      <c r="X304" s="66">
        <v>40099</v>
      </c>
      <c r="Y304" s="8">
        <v>40464</v>
      </c>
      <c r="Z304" s="66">
        <v>40829</v>
      </c>
      <c r="AA304" s="8">
        <v>41195</v>
      </c>
      <c r="AB304" s="66">
        <v>41560</v>
      </c>
      <c r="AC304" s="8">
        <v>41925</v>
      </c>
      <c r="AD304" s="66">
        <v>42290</v>
      </c>
      <c r="AE304" s="8">
        <v>42656</v>
      </c>
      <c r="AF304" s="66">
        <v>43021</v>
      </c>
      <c r="AG304" s="8">
        <v>43386</v>
      </c>
      <c r="AH304" s="66">
        <v>43751</v>
      </c>
      <c r="AI304" s="8">
        <v>44117</v>
      </c>
      <c r="AJ304" s="8">
        <v>44482</v>
      </c>
      <c r="AK304" s="8">
        <v>44847</v>
      </c>
      <c r="AL304" s="8">
        <v>45212</v>
      </c>
      <c r="AM304" s="8">
        <v>45578</v>
      </c>
      <c r="AN304" s="8">
        <v>45943</v>
      </c>
      <c r="AO304" s="8">
        <v>46308</v>
      </c>
      <c r="AP304" s="8">
        <v>46673</v>
      </c>
      <c r="AQ304" s="8">
        <v>47039</v>
      </c>
      <c r="AR304" s="8">
        <v>47404</v>
      </c>
      <c r="AS304" s="67">
        <v>47769</v>
      </c>
    </row>
    <row r="305" spans="7:45" x14ac:dyDescent="0.2">
      <c r="M305" s="8"/>
      <c r="N305" s="255"/>
      <c r="O305" s="255"/>
      <c r="R305" s="63"/>
      <c r="S305" t="s">
        <v>1318</v>
      </c>
      <c r="T305" s="68">
        <v>0</v>
      </c>
      <c r="U305" s="69">
        <v>4000</v>
      </c>
      <c r="V305" s="69">
        <v>4000</v>
      </c>
      <c r="W305" s="69">
        <v>4000</v>
      </c>
      <c r="X305" s="69">
        <v>4000</v>
      </c>
      <c r="Y305" s="69">
        <v>4000</v>
      </c>
      <c r="Z305" s="69">
        <v>4000</v>
      </c>
      <c r="AA305" s="69">
        <v>4000</v>
      </c>
      <c r="AB305" s="69">
        <v>4000</v>
      </c>
      <c r="AC305" s="69">
        <v>4000</v>
      </c>
      <c r="AD305" s="69">
        <v>4000</v>
      </c>
      <c r="AE305" s="69">
        <v>4000</v>
      </c>
      <c r="AF305" s="69">
        <v>4000</v>
      </c>
      <c r="AG305" s="69">
        <v>4000</v>
      </c>
      <c r="AH305" s="69">
        <v>4000</v>
      </c>
      <c r="AI305" s="69">
        <v>4000</v>
      </c>
      <c r="AJ305">
        <v>4000</v>
      </c>
      <c r="AK305">
        <v>4000</v>
      </c>
      <c r="AL305">
        <v>4000</v>
      </c>
      <c r="AM305">
        <v>4000</v>
      </c>
      <c r="AN305">
        <v>4000</v>
      </c>
      <c r="AO305">
        <v>4000</v>
      </c>
      <c r="AP305">
        <v>4000</v>
      </c>
      <c r="AQ305">
        <v>4000</v>
      </c>
      <c r="AR305">
        <v>4000</v>
      </c>
      <c r="AS305" s="65">
        <v>4000</v>
      </c>
    </row>
    <row r="306" spans="7:45" x14ac:dyDescent="0.2">
      <c r="M306" s="8"/>
      <c r="N306" s="255"/>
      <c r="O306" s="255"/>
      <c r="R306" s="63"/>
      <c r="S306" t="s">
        <v>1320</v>
      </c>
      <c r="T306" s="69">
        <v>100000</v>
      </c>
      <c r="U306" s="280">
        <f>T306-U305</f>
        <v>96000</v>
      </c>
      <c r="V306" s="280">
        <f t="shared" ref="V306:AI306" si="101">U306-V305</f>
        <v>92000</v>
      </c>
      <c r="W306" s="280">
        <f t="shared" si="101"/>
        <v>88000</v>
      </c>
      <c r="X306" s="280">
        <f t="shared" si="101"/>
        <v>84000</v>
      </c>
      <c r="Y306" s="280">
        <f t="shared" si="101"/>
        <v>80000</v>
      </c>
      <c r="Z306" s="280">
        <f t="shared" si="101"/>
        <v>76000</v>
      </c>
      <c r="AA306" s="280">
        <f t="shared" si="101"/>
        <v>72000</v>
      </c>
      <c r="AB306" s="280">
        <f t="shared" si="101"/>
        <v>68000</v>
      </c>
      <c r="AC306" s="280">
        <f t="shared" si="101"/>
        <v>64000</v>
      </c>
      <c r="AD306" s="280">
        <f t="shared" si="101"/>
        <v>60000</v>
      </c>
      <c r="AE306" s="280">
        <f t="shared" si="101"/>
        <v>56000</v>
      </c>
      <c r="AF306" s="280">
        <f t="shared" si="101"/>
        <v>52000</v>
      </c>
      <c r="AG306" s="280">
        <f t="shared" si="101"/>
        <v>48000</v>
      </c>
      <c r="AH306" s="280">
        <f t="shared" si="101"/>
        <v>44000</v>
      </c>
      <c r="AI306" s="280">
        <f t="shared" si="101"/>
        <v>40000</v>
      </c>
      <c r="AJ306" s="280">
        <f t="shared" ref="AJ306:AS306" si="102">AI306-AJ305</f>
        <v>36000</v>
      </c>
      <c r="AK306" s="280">
        <f t="shared" si="102"/>
        <v>32000</v>
      </c>
      <c r="AL306" s="280">
        <f t="shared" si="102"/>
        <v>28000</v>
      </c>
      <c r="AM306" s="280">
        <f t="shared" si="102"/>
        <v>24000</v>
      </c>
      <c r="AN306" s="280">
        <f t="shared" si="102"/>
        <v>20000</v>
      </c>
      <c r="AO306" s="280">
        <f t="shared" si="102"/>
        <v>16000</v>
      </c>
      <c r="AP306" s="280">
        <f t="shared" si="102"/>
        <v>12000</v>
      </c>
      <c r="AQ306" s="280">
        <f t="shared" si="102"/>
        <v>8000</v>
      </c>
      <c r="AR306" s="280">
        <f t="shared" si="102"/>
        <v>4000</v>
      </c>
      <c r="AS306" s="280">
        <f t="shared" si="102"/>
        <v>0</v>
      </c>
    </row>
    <row r="307" spans="7:45" x14ac:dyDescent="0.2">
      <c r="M307" s="8"/>
      <c r="N307" s="255"/>
      <c r="O307" s="255"/>
      <c r="R307" s="63"/>
      <c r="S307" t="s">
        <v>1321</v>
      </c>
      <c r="T307" s="68"/>
      <c r="U307" s="370">
        <f t="shared" ref="U307:AI307" si="103">+$U$303*T306</f>
        <v>3410</v>
      </c>
      <c r="V307" s="370">
        <f t="shared" si="103"/>
        <v>3273.6</v>
      </c>
      <c r="W307" s="370">
        <f t="shared" si="103"/>
        <v>3137.2</v>
      </c>
      <c r="X307" s="370">
        <f t="shared" si="103"/>
        <v>3000.7999999999997</v>
      </c>
      <c r="Y307" s="370">
        <f t="shared" si="103"/>
        <v>2864.3999999999996</v>
      </c>
      <c r="Z307" s="531">
        <f t="shared" si="103"/>
        <v>2728</v>
      </c>
      <c r="AA307" s="531">
        <f t="shared" si="103"/>
        <v>2591.6</v>
      </c>
      <c r="AB307" s="531">
        <f t="shared" si="103"/>
        <v>2455.1999999999998</v>
      </c>
      <c r="AC307" s="531">
        <f t="shared" si="103"/>
        <v>2318.7999999999997</v>
      </c>
      <c r="AD307" s="531">
        <f t="shared" si="103"/>
        <v>2182.4</v>
      </c>
      <c r="AE307" s="370">
        <f t="shared" si="103"/>
        <v>2046</v>
      </c>
      <c r="AF307" s="370">
        <f t="shared" si="103"/>
        <v>1909.6</v>
      </c>
      <c r="AG307" s="370">
        <f t="shared" si="103"/>
        <v>1773.1999999999998</v>
      </c>
      <c r="AH307" s="370">
        <f t="shared" si="103"/>
        <v>1636.8</v>
      </c>
      <c r="AI307" s="370">
        <f t="shared" si="103"/>
        <v>1500.3999999999999</v>
      </c>
      <c r="AJ307" s="531">
        <f>2.35%*AI306</f>
        <v>940</v>
      </c>
      <c r="AK307" s="531">
        <f>2.35%*AJ306</f>
        <v>846</v>
      </c>
      <c r="AL307" s="531">
        <f>2.35%*AK306</f>
        <v>752</v>
      </c>
      <c r="AM307" s="531">
        <f>2.35%*AL306</f>
        <v>658</v>
      </c>
      <c r="AN307" s="531">
        <f>2.35%*AM306</f>
        <v>564</v>
      </c>
      <c r="AO307" s="370">
        <f>+$U$303*AN306</f>
        <v>682</v>
      </c>
      <c r="AP307" s="370">
        <f>+$U$303*AO306</f>
        <v>545.6</v>
      </c>
      <c r="AQ307" s="370">
        <f>+$U$303*AP306</f>
        <v>409.2</v>
      </c>
      <c r="AR307" s="370">
        <f>+$U$303*AQ306</f>
        <v>272.8</v>
      </c>
      <c r="AS307" s="370">
        <f>+$U$303*AR306</f>
        <v>136.4</v>
      </c>
    </row>
    <row r="308" spans="7:45" x14ac:dyDescent="0.2">
      <c r="M308" s="8"/>
      <c r="N308" s="255"/>
      <c r="O308" s="255"/>
      <c r="R308" s="63"/>
      <c r="S308" t="s">
        <v>1322</v>
      </c>
      <c r="T308" s="68"/>
      <c r="U308" s="25">
        <f>+U307+U305</f>
        <v>7410</v>
      </c>
      <c r="V308" s="25">
        <f>+V307+V305</f>
        <v>7273.6</v>
      </c>
      <c r="W308" s="25">
        <f>+W307+W305</f>
        <v>7137.2</v>
      </c>
      <c r="X308" s="25">
        <f>+X307+X305</f>
        <v>7000.7999999999993</v>
      </c>
      <c r="Y308" s="25">
        <f t="shared" ref="Y308:AH308" si="104">+Y307+Y305</f>
        <v>6864.4</v>
      </c>
      <c r="Z308" s="25">
        <f>+Z307+Z305</f>
        <v>6728</v>
      </c>
      <c r="AA308" s="25">
        <f t="shared" si="104"/>
        <v>6591.6</v>
      </c>
      <c r="AB308" s="25">
        <f t="shared" si="104"/>
        <v>6455.2</v>
      </c>
      <c r="AC308" s="25">
        <f t="shared" si="104"/>
        <v>6318.7999999999993</v>
      </c>
      <c r="AD308" s="25">
        <f t="shared" si="104"/>
        <v>6182.4</v>
      </c>
      <c r="AE308" s="25">
        <f>+AE307+AE305</f>
        <v>6046</v>
      </c>
      <c r="AF308" s="25">
        <f>+AF307+AF305</f>
        <v>5909.6</v>
      </c>
      <c r="AG308" s="25">
        <f t="shared" si="104"/>
        <v>5773.2</v>
      </c>
      <c r="AH308" s="25">
        <f t="shared" si="104"/>
        <v>5636.8</v>
      </c>
      <c r="AI308" s="25">
        <f>+AI307+AI305</f>
        <v>5500.4</v>
      </c>
      <c r="AJ308" s="25">
        <f t="shared" ref="AJ308:AS308" si="105">+AJ307+AJ305</f>
        <v>4940</v>
      </c>
      <c r="AK308" s="25">
        <f t="shared" si="105"/>
        <v>4846</v>
      </c>
      <c r="AL308" s="25">
        <f t="shared" si="105"/>
        <v>4752</v>
      </c>
      <c r="AM308" s="25">
        <f t="shared" si="105"/>
        <v>4658</v>
      </c>
      <c r="AN308" s="25">
        <f t="shared" si="105"/>
        <v>4564</v>
      </c>
      <c r="AO308" s="25">
        <f t="shared" si="105"/>
        <v>4682</v>
      </c>
      <c r="AP308" s="25">
        <f t="shared" si="105"/>
        <v>4545.6000000000004</v>
      </c>
      <c r="AQ308" s="25">
        <f t="shared" si="105"/>
        <v>4409.2</v>
      </c>
      <c r="AR308" s="25">
        <f t="shared" si="105"/>
        <v>4272.8</v>
      </c>
      <c r="AS308" s="72">
        <f t="shared" si="105"/>
        <v>4136.3999999999996</v>
      </c>
    </row>
    <row r="309" spans="7:45" x14ac:dyDescent="0.2">
      <c r="G309" s="532"/>
      <c r="M309" s="8"/>
      <c r="N309" s="255"/>
      <c r="O309" s="255"/>
      <c r="R309" s="63"/>
      <c r="S309" t="s">
        <v>1323</v>
      </c>
      <c r="T309" s="533"/>
      <c r="U309" s="25">
        <f t="shared" ref="U309:AS309" si="106">+IF(U304&gt;$U$1,U308,0)</f>
        <v>0</v>
      </c>
      <c r="V309" s="25">
        <f t="shared" si="106"/>
        <v>0</v>
      </c>
      <c r="W309" s="25">
        <f t="shared" si="106"/>
        <v>0</v>
      </c>
      <c r="X309" s="25">
        <f t="shared" si="106"/>
        <v>0</v>
      </c>
      <c r="Y309" s="25">
        <f t="shared" si="106"/>
        <v>0</v>
      </c>
      <c r="Z309" s="25">
        <f t="shared" si="106"/>
        <v>0</v>
      </c>
      <c r="AA309" s="25">
        <f t="shared" si="106"/>
        <v>0</v>
      </c>
      <c r="AB309" s="25">
        <f t="shared" si="106"/>
        <v>0</v>
      </c>
      <c r="AC309" s="25">
        <f t="shared" si="106"/>
        <v>0</v>
      </c>
      <c r="AD309" s="25">
        <f t="shared" si="106"/>
        <v>0</v>
      </c>
      <c r="AE309" s="25">
        <f t="shared" si="106"/>
        <v>0</v>
      </c>
      <c r="AF309" s="25">
        <f t="shared" si="106"/>
        <v>0</v>
      </c>
      <c r="AG309" s="25">
        <f t="shared" si="106"/>
        <v>0</v>
      </c>
      <c r="AH309" s="25">
        <f t="shared" si="106"/>
        <v>0</v>
      </c>
      <c r="AI309" s="25">
        <f t="shared" si="106"/>
        <v>0</v>
      </c>
      <c r="AJ309" s="25">
        <f t="shared" si="106"/>
        <v>0</v>
      </c>
      <c r="AK309" s="25">
        <f t="shared" si="106"/>
        <v>0</v>
      </c>
      <c r="AL309" s="25">
        <f t="shared" si="106"/>
        <v>0</v>
      </c>
      <c r="AM309" s="25">
        <f t="shared" si="106"/>
        <v>0</v>
      </c>
      <c r="AN309" s="25">
        <f t="shared" si="106"/>
        <v>0</v>
      </c>
      <c r="AO309" s="25">
        <f t="shared" si="106"/>
        <v>4682</v>
      </c>
      <c r="AP309" s="25">
        <f t="shared" si="106"/>
        <v>4545.6000000000004</v>
      </c>
      <c r="AQ309" s="25">
        <f t="shared" si="106"/>
        <v>4409.2</v>
      </c>
      <c r="AR309" s="25">
        <f t="shared" si="106"/>
        <v>4272.8</v>
      </c>
      <c r="AS309" s="72">
        <f t="shared" si="106"/>
        <v>4136.3999999999996</v>
      </c>
    </row>
    <row r="310" spans="7:45" x14ac:dyDescent="0.2">
      <c r="M310" s="8"/>
      <c r="N310" s="255"/>
      <c r="O310" s="255"/>
      <c r="R310" s="63"/>
      <c r="S310" t="s">
        <v>1324</v>
      </c>
      <c r="T310" s="73"/>
      <c r="U310" s="280">
        <f t="shared" ref="U310:AS310" si="107">+IF(T309=0,(U304-$U$302)/(U304-T304),T310+1)</f>
        <v>-19.463013698630139</v>
      </c>
      <c r="V310" s="280">
        <f t="shared" si="107"/>
        <v>-18.463013698630139</v>
      </c>
      <c r="W310" s="280">
        <f t="shared" si="107"/>
        <v>-17.412568306010929</v>
      </c>
      <c r="X310" s="280">
        <f t="shared" si="107"/>
        <v>-16.460273972602739</v>
      </c>
      <c r="Y310" s="280">
        <f t="shared" si="107"/>
        <v>-15.46027397260274</v>
      </c>
      <c r="Z310" s="280">
        <f t="shared" si="107"/>
        <v>-14.46027397260274</v>
      </c>
      <c r="AA310" s="280">
        <f t="shared" si="107"/>
        <v>-13.420765027322405</v>
      </c>
      <c r="AB310" s="280">
        <f t="shared" si="107"/>
        <v>-12.457534246575342</v>
      </c>
      <c r="AC310" s="280">
        <f t="shared" si="107"/>
        <v>-11.457534246575342</v>
      </c>
      <c r="AD310" s="280">
        <f t="shared" si="107"/>
        <v>-10.457534246575342</v>
      </c>
      <c r="AE310" s="280">
        <f t="shared" si="107"/>
        <v>-9.4289617486338795</v>
      </c>
      <c r="AF310" s="280">
        <f t="shared" si="107"/>
        <v>-8.4547945205479458</v>
      </c>
      <c r="AG310" s="280">
        <f t="shared" si="107"/>
        <v>-7.4547945205479449</v>
      </c>
      <c r="AH310" s="280">
        <f t="shared" si="107"/>
        <v>-6.4547945205479449</v>
      </c>
      <c r="AI310" s="627">
        <f t="shared" si="107"/>
        <v>-5.4371584699453548</v>
      </c>
      <c r="AJ310" s="280">
        <f t="shared" si="107"/>
        <v>-4.4520547945205475</v>
      </c>
      <c r="AK310" s="280">
        <f t="shared" si="107"/>
        <v>-3.452054794520548</v>
      </c>
      <c r="AL310" s="280">
        <f t="shared" si="107"/>
        <v>-2.452054794520548</v>
      </c>
      <c r="AM310" s="280">
        <f t="shared" si="107"/>
        <v>-1.4453551912568305</v>
      </c>
      <c r="AN310" s="280">
        <f t="shared" si="107"/>
        <v>-0.44931506849315067</v>
      </c>
      <c r="AO310" s="280">
        <f t="shared" si="107"/>
        <v>0.55068493150684927</v>
      </c>
      <c r="AP310" s="280">
        <f t="shared" si="107"/>
        <v>1.5506849315068494</v>
      </c>
      <c r="AQ310" s="280">
        <f t="shared" si="107"/>
        <v>2.5506849315068494</v>
      </c>
      <c r="AR310" s="280">
        <f t="shared" si="107"/>
        <v>3.5506849315068494</v>
      </c>
      <c r="AS310" s="280">
        <f t="shared" si="107"/>
        <v>4.5506849315068489</v>
      </c>
    </row>
    <row r="311" spans="7:45" x14ac:dyDescent="0.2">
      <c r="M311" s="8"/>
      <c r="N311" s="255"/>
      <c r="O311" s="255"/>
      <c r="R311" s="63"/>
      <c r="S311" s="29" t="s">
        <v>1325</v>
      </c>
      <c r="T311" s="68"/>
      <c r="U311" s="68" cm="1">
        <f t="array" ref="U311">IF((U304-$U$302)&lt;=365,interpoler(mat_court,taux_court_act,(U304-$U$302)),interpoler(mat,taux,U310))</f>
        <v>2.3281430422376737E-2</v>
      </c>
      <c r="V311" s="68" cm="1">
        <f t="array" ref="V311">IF((V304-$U$302)&lt;=365,interpoler(mat_court,taux_court_act,(V304-$U$302)),interpoler(mat,taux,V310))</f>
        <v>2.3281430422376737E-2</v>
      </c>
      <c r="W311" s="68" cm="1">
        <f t="array" ref="W311">IF((W304-$U$302)&lt;=365,interpoler(mat_court,taux_court_act,(W304-$U$302)),interpoler(mat,taux,W310))</f>
        <v>2.3281430422376737E-2</v>
      </c>
      <c r="X311" s="68" cm="1">
        <f t="array" ref="X311">IF((X304-$U$302)&lt;=365,interpoler(mat_court,taux_court_act,(X304-$U$302)),interpoler(mat,taux,X310))</f>
        <v>2.3281430422376737E-2</v>
      </c>
      <c r="Y311" s="68" cm="1">
        <f t="array" ref="Y311">IF((Y304-$U$302)&lt;=365,interpoler(mat_court,taux_court_act,(Y304-$U$302)),interpoler(mat,taux,Y310))</f>
        <v>2.3281430422376737E-2</v>
      </c>
      <c r="Z311" s="68" cm="1">
        <f t="array" ref="Z311">IF((Z304-$U$302)&lt;=365,interpoler(mat_court,taux_court_act,(Z304-$U$302)),interpoler(mat,taux,Z310))</f>
        <v>2.3281430422376737E-2</v>
      </c>
      <c r="AA311" s="68" cm="1">
        <f t="array" ref="AA311">IF((AA304-$U$302)&lt;=365,interpoler(mat_court,taux_court_act,(AA304-$U$302)),interpoler(mat,taux,AA310))</f>
        <v>2.3281430422376737E-2</v>
      </c>
      <c r="AB311" s="68" cm="1">
        <f t="array" ref="AB311">IF((AB304-$U$302)&lt;=365,interpoler(mat_court,taux_court_act,(AB304-$U$302)),interpoler(mat,taux,AB310))</f>
        <v>2.3281430422376737E-2</v>
      </c>
      <c r="AC311" s="68" cm="1">
        <f t="array" ref="AC311">IF((AC304-$U$302)&lt;=365,interpoler(mat_court,taux_court_act,(AC304-$U$302)),interpoler(mat,taux,AC310))</f>
        <v>2.3281430422376737E-2</v>
      </c>
      <c r="AD311" s="68" cm="1">
        <f t="array" ref="AD311">IF((AD304-$U$302)&lt;=365,interpoler(mat_court,taux_court_act,(AD304-$U$302)),interpoler(mat,taux,AD310))</f>
        <v>2.3281430422376737E-2</v>
      </c>
      <c r="AE311" s="68" cm="1">
        <f t="array" ref="AE311">IF((AE304-$U$302)&lt;=365,interpoler(mat_court,taux_court_act,(AE304-$U$302)),interpoler(mat,taux,AE310))</f>
        <v>2.3281430422376737E-2</v>
      </c>
      <c r="AF311" s="68" cm="1">
        <f t="array" ref="AF311">IF((AF304-$U$302)&lt;=365,interpoler(mat_court,taux_court_act,(AF304-$U$302)),interpoler(mat,taux,AF310))</f>
        <v>2.3281430422376737E-2</v>
      </c>
      <c r="AG311" s="68" cm="1">
        <f t="array" ref="AG311">IF((AG304-$U$302)&lt;=365,interpoler(mat_court,taux_court_act,(AG304-$U$302)),interpoler(mat,taux,AG310))</f>
        <v>2.3281430422376737E-2</v>
      </c>
      <c r="AH311" s="68" cm="1">
        <f t="array" ref="AH311">IF((AH304-$U$302)&lt;=365,interpoler(mat_court,taux_court_act,(AH304-$U$302)),interpoler(mat,taux,AH310))</f>
        <v>2.3281430422376737E-2</v>
      </c>
      <c r="AI311" s="68" cm="1">
        <f t="array" ref="AI311">IF((AI304-$U$302)&lt;=365,interpoler(mat_court,taux_court_act,(AI304-$U$302)),interpoler(mat,taux,AI310))</f>
        <v>2.3281430422376737E-2</v>
      </c>
      <c r="AJ311" s="68" cm="1">
        <f t="array" ref="AJ311">IF((AJ304-$U$302)&lt;=365,interpoler(mat_court,taux_court_act,(AJ304-$U$302)),interpoler(mat,taux,AJ310))</f>
        <v>2.3281430422376737E-2</v>
      </c>
      <c r="AK311" s="68" cm="1">
        <f t="array" ref="AK311">IF((AK304-$U$302)&lt;=365,interpoler(mat_court,taux_court_act,(AK304-$U$302)),interpoler(mat,taux,AK310))</f>
        <v>2.3281430422376737E-2</v>
      </c>
      <c r="AL311" s="68" cm="1">
        <f t="array" ref="AL311">IF((AL304-$U$302)&lt;=365,interpoler(mat_court,taux_court_act,(AL304-$U$302)),interpoler(mat,taux,AL310))</f>
        <v>2.3281430422376737E-2</v>
      </c>
      <c r="AM311" s="68" cm="1">
        <f t="array" ref="AM311">IF((AM304-$U$302)&lt;=365,interpoler(mat_court,taux_court_act,(AM304-$U$302)),interpoler(mat,taux,AM310))</f>
        <v>2.3281430422376737E-2</v>
      </c>
      <c r="AN311" s="68" cm="1">
        <f t="array" ref="AN311">IF((AN304-$U$302)&lt;=365,interpoler(mat_court,taux_court_act,(AN304-$U$302)),interpoler(mat,taux,AN310))</f>
        <v>2.3281430422376737E-2</v>
      </c>
      <c r="AO311" s="68">
        <f>IF((AO304-$U$302)&lt;=365,interpoler(mat_court,taux_court_act,(AO304-$U$302)),interpoler(mat,taux,AO310))</f>
        <v>2.4233616623455204E-2</v>
      </c>
      <c r="AP311" s="68">
        <f>IF((AP304-$U$302)&lt;=365,interpoler(mat_court,taux_court_act,(AP304-$U$302)),interpoler(mat,taux,AP310))</f>
        <v>2.6000281242539721E-2</v>
      </c>
      <c r="AQ311" s="68">
        <f>IF((AQ304-$U$302)&lt;=365,interpoler(mat_court,taux_court_act,(AQ304-$U$302)),interpoler(mat,taux,AQ310))</f>
        <v>2.7558448785750894E-2</v>
      </c>
      <c r="AR311" s="68">
        <f>IF((AR304-$U$302)&lt;=365,interpoler(mat_court,taux_court_act,(AR304-$U$302)),interpoler(mat,taux,AR310))</f>
        <v>2.9124369181250352E-2</v>
      </c>
      <c r="AS311" s="68">
        <f>IF((AS304-$U$302)&lt;=365,interpoler(mat_court,taux_court_act,(AS304-$U$302)),interpoler(mat,taux,AS310))</f>
        <v>3.0425184122350141E-2</v>
      </c>
    </row>
    <row r="312" spans="7:45" x14ac:dyDescent="0.2">
      <c r="M312" s="8"/>
      <c r="N312" s="255"/>
      <c r="O312" s="255"/>
      <c r="R312" s="63"/>
      <c r="S312" t="s">
        <v>1328</v>
      </c>
      <c r="T312" s="68"/>
      <c r="U312" s="29">
        <v>2.5000000000000001E-3</v>
      </c>
      <c r="V312" s="29">
        <f>U312</f>
        <v>2.5000000000000001E-3</v>
      </c>
      <c r="W312" s="29">
        <f t="shared" ref="W312:AI312" si="108">+V312</f>
        <v>2.5000000000000001E-3</v>
      </c>
      <c r="X312" s="29">
        <f t="shared" si="108"/>
        <v>2.5000000000000001E-3</v>
      </c>
      <c r="Y312" s="29">
        <f t="shared" si="108"/>
        <v>2.5000000000000001E-3</v>
      </c>
      <c r="Z312" s="29">
        <f t="shared" si="108"/>
        <v>2.5000000000000001E-3</v>
      </c>
      <c r="AA312" s="29">
        <f t="shared" si="108"/>
        <v>2.5000000000000001E-3</v>
      </c>
      <c r="AB312" s="29">
        <f t="shared" si="108"/>
        <v>2.5000000000000001E-3</v>
      </c>
      <c r="AC312" s="29">
        <f t="shared" si="108"/>
        <v>2.5000000000000001E-3</v>
      </c>
      <c r="AD312" s="29">
        <f t="shared" si="108"/>
        <v>2.5000000000000001E-3</v>
      </c>
      <c r="AE312" s="29">
        <f t="shared" si="108"/>
        <v>2.5000000000000001E-3</v>
      </c>
      <c r="AF312" s="29">
        <f t="shared" si="108"/>
        <v>2.5000000000000001E-3</v>
      </c>
      <c r="AG312" s="29">
        <f t="shared" si="108"/>
        <v>2.5000000000000001E-3</v>
      </c>
      <c r="AH312" s="29">
        <f t="shared" si="108"/>
        <v>2.5000000000000001E-3</v>
      </c>
      <c r="AI312" s="29">
        <f t="shared" si="108"/>
        <v>2.5000000000000001E-3</v>
      </c>
      <c r="AJ312" s="29">
        <f t="shared" ref="AJ312:AS312" si="109">+AI312</f>
        <v>2.5000000000000001E-3</v>
      </c>
      <c r="AK312" s="29">
        <f t="shared" si="109"/>
        <v>2.5000000000000001E-3</v>
      </c>
      <c r="AL312" s="29">
        <f t="shared" si="109"/>
        <v>2.5000000000000001E-3</v>
      </c>
      <c r="AM312" s="29">
        <f t="shared" si="109"/>
        <v>2.5000000000000001E-3</v>
      </c>
      <c r="AN312" s="29">
        <f t="shared" si="109"/>
        <v>2.5000000000000001E-3</v>
      </c>
      <c r="AO312" s="29">
        <f t="shared" si="109"/>
        <v>2.5000000000000001E-3</v>
      </c>
      <c r="AP312" s="29">
        <f t="shared" si="109"/>
        <v>2.5000000000000001E-3</v>
      </c>
      <c r="AQ312" s="29">
        <f t="shared" si="109"/>
        <v>2.5000000000000001E-3</v>
      </c>
      <c r="AR312" s="29">
        <f t="shared" si="109"/>
        <v>2.5000000000000001E-3</v>
      </c>
      <c r="AS312" s="75">
        <f t="shared" si="109"/>
        <v>2.5000000000000001E-3</v>
      </c>
    </row>
    <row r="313" spans="7:45" x14ac:dyDescent="0.2">
      <c r="M313" s="8"/>
      <c r="N313" s="255"/>
      <c r="O313" s="255"/>
      <c r="R313" s="63"/>
      <c r="S313" t="s">
        <v>1329</v>
      </c>
      <c r="T313" s="68"/>
      <c r="U313" s="13">
        <f t="shared" ref="U313:AF313" si="110">+ROUND(U311+U312,6)</f>
        <v>2.5780999999999998E-2</v>
      </c>
      <c r="V313" s="100">
        <f t="shared" si="110"/>
        <v>2.5780999999999998E-2</v>
      </c>
      <c r="W313" s="101">
        <f t="shared" si="110"/>
        <v>2.5780999999999998E-2</v>
      </c>
      <c r="X313" s="102">
        <f t="shared" si="110"/>
        <v>2.5780999999999998E-2</v>
      </c>
      <c r="Y313" s="102">
        <f t="shared" si="110"/>
        <v>2.5780999999999998E-2</v>
      </c>
      <c r="Z313" s="102">
        <f t="shared" si="110"/>
        <v>2.5780999999999998E-2</v>
      </c>
      <c r="AA313" s="102">
        <f t="shared" si="110"/>
        <v>2.5780999999999998E-2</v>
      </c>
      <c r="AB313" s="13">
        <f t="shared" si="110"/>
        <v>2.5780999999999998E-2</v>
      </c>
      <c r="AC313" s="13">
        <f t="shared" si="110"/>
        <v>2.5780999999999998E-2</v>
      </c>
      <c r="AD313" s="13">
        <f t="shared" si="110"/>
        <v>2.5780999999999998E-2</v>
      </c>
      <c r="AE313" s="13">
        <f t="shared" si="110"/>
        <v>2.5780999999999998E-2</v>
      </c>
      <c r="AF313" s="13">
        <f t="shared" si="110"/>
        <v>2.5780999999999998E-2</v>
      </c>
      <c r="AG313" s="13">
        <f t="shared" ref="AG313:AN313" si="111">+ROUND(AG311+AG312,5)</f>
        <v>2.5780000000000001E-2</v>
      </c>
      <c r="AH313" s="13">
        <f t="shared" si="111"/>
        <v>2.5780000000000001E-2</v>
      </c>
      <c r="AI313" s="96">
        <f t="shared" si="111"/>
        <v>2.5780000000000001E-2</v>
      </c>
      <c r="AJ313" s="13">
        <f t="shared" si="111"/>
        <v>2.5780000000000001E-2</v>
      </c>
      <c r="AK313" s="13">
        <f t="shared" si="111"/>
        <v>2.5780000000000001E-2</v>
      </c>
      <c r="AL313" s="13">
        <f t="shared" si="111"/>
        <v>2.5780000000000001E-2</v>
      </c>
      <c r="AM313" s="13">
        <f t="shared" si="111"/>
        <v>2.5780000000000001E-2</v>
      </c>
      <c r="AN313" s="13">
        <f t="shared" si="111"/>
        <v>2.5780000000000001E-2</v>
      </c>
      <c r="AO313" s="13">
        <f>+ROUND(AO311+AO312,6)</f>
        <v>2.6734000000000001E-2</v>
      </c>
      <c r="AP313" s="13">
        <f>+ROUND(AP311+AP312,6)</f>
        <v>2.8500000000000001E-2</v>
      </c>
      <c r="AQ313" s="13">
        <f>+ROUND(AQ311+AQ312,6)</f>
        <v>3.0058000000000001E-2</v>
      </c>
      <c r="AR313" s="13">
        <f>+ROUND(AR311+AR312,6)</f>
        <v>3.1623999999999999E-2</v>
      </c>
      <c r="AS313" s="76">
        <f>+ROUND(AS311+AS312,6)</f>
        <v>3.2925000000000003E-2</v>
      </c>
    </row>
    <row r="314" spans="7:45" x14ac:dyDescent="0.2">
      <c r="M314" s="8"/>
      <c r="N314" s="255"/>
      <c r="O314" s="255"/>
      <c r="R314" s="63"/>
      <c r="T314" s="68"/>
      <c r="U314" s="69">
        <f t="shared" ref="U314:AS314" si="112">+U309/(1+U313)^U310</f>
        <v>0</v>
      </c>
      <c r="V314" s="69">
        <f t="shared" si="112"/>
        <v>0</v>
      </c>
      <c r="W314" s="69">
        <f t="shared" si="112"/>
        <v>0</v>
      </c>
      <c r="X314" s="69">
        <f t="shared" si="112"/>
        <v>0</v>
      </c>
      <c r="Y314" s="69">
        <f t="shared" si="112"/>
        <v>0</v>
      </c>
      <c r="Z314" s="69">
        <f t="shared" si="112"/>
        <v>0</v>
      </c>
      <c r="AA314" s="69">
        <f t="shared" si="112"/>
        <v>0</v>
      </c>
      <c r="AB314" s="69">
        <f t="shared" si="112"/>
        <v>0</v>
      </c>
      <c r="AC314" s="69">
        <f t="shared" si="112"/>
        <v>0</v>
      </c>
      <c r="AD314" s="69">
        <f t="shared" si="112"/>
        <v>0</v>
      </c>
      <c r="AE314" s="69">
        <f t="shared" si="112"/>
        <v>0</v>
      </c>
      <c r="AF314" s="69">
        <f t="shared" si="112"/>
        <v>0</v>
      </c>
      <c r="AG314" s="69">
        <f t="shared" si="112"/>
        <v>0</v>
      </c>
      <c r="AH314" s="69">
        <f t="shared" si="112"/>
        <v>0</v>
      </c>
      <c r="AI314" s="69">
        <f t="shared" si="112"/>
        <v>0</v>
      </c>
      <c r="AJ314" s="69">
        <f t="shared" si="112"/>
        <v>0</v>
      </c>
      <c r="AK314" s="69">
        <f t="shared" si="112"/>
        <v>0</v>
      </c>
      <c r="AL314" s="69">
        <f t="shared" si="112"/>
        <v>0</v>
      </c>
      <c r="AM314" s="69">
        <f t="shared" si="112"/>
        <v>0</v>
      </c>
      <c r="AN314" s="69">
        <f t="shared" si="112"/>
        <v>0</v>
      </c>
      <c r="AO314" s="69">
        <f t="shared" si="112"/>
        <v>4614.4685709870519</v>
      </c>
      <c r="AP314" s="69">
        <f t="shared" si="112"/>
        <v>4351.7726502230626</v>
      </c>
      <c r="AQ314" s="69">
        <f t="shared" si="112"/>
        <v>4088.4030802229599</v>
      </c>
      <c r="AR314" s="69">
        <f t="shared" si="112"/>
        <v>3825.6232825068641</v>
      </c>
      <c r="AS314" s="69">
        <f t="shared" si="112"/>
        <v>3569.4385039852596</v>
      </c>
    </row>
    <row r="315" spans="7:45" x14ac:dyDescent="0.2">
      <c r="M315" s="8"/>
      <c r="N315" s="255"/>
      <c r="O315" s="255"/>
      <c r="R315" s="63"/>
      <c r="T315" s="68"/>
      <c r="U315" s="370"/>
      <c r="V315" s="370"/>
      <c r="W315" s="370"/>
      <c r="X315" s="370"/>
      <c r="Y315" s="370"/>
      <c r="Z315" s="531"/>
      <c r="AA315" s="531"/>
      <c r="AB315" s="531"/>
      <c r="AC315" s="531"/>
      <c r="AD315" s="531"/>
      <c r="AE315" s="370">
        <f>AE314</f>
        <v>0</v>
      </c>
      <c r="AF315" s="370">
        <f>AF314</f>
        <v>0</v>
      </c>
      <c r="AG315" s="370">
        <f>AG314</f>
        <v>0</v>
      </c>
      <c r="AH315" s="370">
        <f>AH314</f>
        <v>0</v>
      </c>
      <c r="AI315" s="370">
        <f>+($AI$309+AI306)/(1+$AI$313)^$AI$310</f>
        <v>45937.100176738735</v>
      </c>
      <c r="AJ315" s="531">
        <f>AJ314</f>
        <v>0</v>
      </c>
      <c r="AK315" s="531">
        <f>AK314</f>
        <v>0</v>
      </c>
      <c r="AL315" s="531">
        <f>AL314</f>
        <v>0</v>
      </c>
      <c r="AM315" s="531">
        <f>AM314</f>
        <v>0</v>
      </c>
      <c r="AN315" s="780">
        <f>+($AN$309+AN306)/(1+$AN$313)^$AN$310</f>
        <v>20230.043961259518</v>
      </c>
      <c r="AO315" s="370"/>
      <c r="AP315" s="370"/>
      <c r="AQ315" s="370"/>
      <c r="AR315" s="370"/>
      <c r="AS315" s="370"/>
    </row>
    <row r="316" spans="7:45" x14ac:dyDescent="0.2">
      <c r="M316" s="8"/>
      <c r="N316" s="255"/>
      <c r="O316" s="255"/>
      <c r="R316" s="63"/>
      <c r="S316" t="s">
        <v>650</v>
      </c>
      <c r="T316" s="77">
        <f>+SUM(AJ315:AN315)</f>
        <v>20230.043961259518</v>
      </c>
      <c r="U316" s="13"/>
      <c r="V316" s="13"/>
      <c r="W316" s="13"/>
      <c r="X316" s="13"/>
      <c r="Y316" s="13"/>
      <c r="Z316" s="13"/>
      <c r="AA316" s="13"/>
      <c r="AB316" s="13"/>
      <c r="AC316" s="13"/>
      <c r="AD316" s="13"/>
      <c r="AE316" s="13"/>
      <c r="AF316" s="13"/>
      <c r="AG316" s="13"/>
      <c r="AH316" s="13"/>
      <c r="AI316" s="13"/>
      <c r="AS316" s="65"/>
    </row>
    <row r="317" spans="7:45" ht="13.5" thickBot="1" x14ac:dyDescent="0.25">
      <c r="M317" s="8"/>
      <c r="N317" s="255"/>
      <c r="O317" s="255"/>
      <c r="R317" s="78"/>
      <c r="S317" s="79" t="s">
        <v>1331</v>
      </c>
      <c r="T317" s="80">
        <f>+SUMPRODUCT(AF315:AI315,AF310:AI310)/T316</f>
        <v>-12.346354451279838</v>
      </c>
      <c r="U317" s="79"/>
      <c r="V317" s="79"/>
      <c r="W317" s="79"/>
      <c r="X317" s="79"/>
      <c r="Y317" s="79"/>
      <c r="Z317" s="79"/>
      <c r="AA317" s="79"/>
      <c r="AB317" s="79"/>
      <c r="AC317" s="79"/>
      <c r="AD317" s="79"/>
      <c r="AE317" s="79"/>
      <c r="AF317" s="79"/>
      <c r="AG317" s="79"/>
      <c r="AH317" s="79"/>
      <c r="AI317" s="79"/>
      <c r="AJ317" s="79"/>
      <c r="AK317" s="79"/>
      <c r="AL317" s="79"/>
      <c r="AM317" s="79"/>
      <c r="AN317" s="79"/>
      <c r="AO317" s="79"/>
      <c r="AP317" s="79"/>
      <c r="AQ317" s="79"/>
      <c r="AR317" s="79"/>
      <c r="AS317" s="81"/>
    </row>
    <row r="318" spans="7:45" x14ac:dyDescent="0.2">
      <c r="M318" s="8"/>
      <c r="N318" s="255"/>
      <c r="O318" s="255"/>
      <c r="U318" s="13">
        <v>3.4569999999999997E-2</v>
      </c>
      <c r="V318" s="29">
        <f>U318+U312</f>
        <v>3.7069999999999999E-2</v>
      </c>
      <c r="AI318" s="280">
        <f>(AI306+AI309)/(1+AI313)^AI310</f>
        <v>45937.100176738735</v>
      </c>
    </row>
    <row r="319" spans="7:45" x14ac:dyDescent="0.2">
      <c r="M319" s="8"/>
      <c r="N319" s="255"/>
      <c r="O319" s="255"/>
      <c r="V319" s="280">
        <f>T317/(1+V318)</f>
        <v>-11.905034810841929</v>
      </c>
    </row>
    <row r="320" spans="7:45" ht="13.5" thickBot="1" x14ac:dyDescent="0.25">
      <c r="M320" s="8"/>
      <c r="N320" s="255"/>
      <c r="O320" s="255"/>
      <c r="AB320" s="66"/>
      <c r="AC320" s="66"/>
      <c r="AD320" s="66"/>
      <c r="AE320" s="66"/>
      <c r="AF320" s="66"/>
      <c r="AG320" s="66"/>
      <c r="AH320" s="66"/>
      <c r="AI320" s="626">
        <f>2.3555+0.25</f>
        <v>2.6055000000000001</v>
      </c>
      <c r="AJ320" s="66"/>
      <c r="AK320" s="66"/>
      <c r="AL320" s="66"/>
      <c r="AM320" s="66"/>
      <c r="AN320" s="66"/>
      <c r="AO320" s="66"/>
      <c r="AP320" s="66"/>
      <c r="AQ320" s="66"/>
      <c r="AR320" s="66"/>
      <c r="AS320" s="66"/>
    </row>
    <row r="321" spans="13:45" ht="15.75" x14ac:dyDescent="0.25">
      <c r="M321" s="8"/>
      <c r="N321" s="255"/>
      <c r="O321" s="255"/>
      <c r="R321" s="383">
        <v>9127</v>
      </c>
      <c r="S321" s="384"/>
      <c r="T321" s="385" t="s">
        <v>103</v>
      </c>
      <c r="U321" s="386">
        <f>U302</f>
        <v>46107</v>
      </c>
      <c r="V321" s="384"/>
      <c r="W321" s="384"/>
      <c r="X321" s="384"/>
      <c r="Y321" s="384"/>
      <c r="Z321" s="384"/>
      <c r="AA321" s="387"/>
      <c r="AB321" s="66"/>
      <c r="AC321" s="66"/>
      <c r="AD321" s="66"/>
      <c r="AE321" s="66"/>
      <c r="AF321" s="66"/>
      <c r="AG321" s="66"/>
      <c r="AH321" s="66"/>
      <c r="AI321" s="66"/>
      <c r="AJ321" s="66"/>
      <c r="AK321" s="66"/>
      <c r="AL321" s="66"/>
      <c r="AM321" s="66"/>
      <c r="AN321" s="66"/>
      <c r="AO321" s="66"/>
      <c r="AP321" s="66"/>
      <c r="AQ321" s="66"/>
      <c r="AR321" s="66"/>
      <c r="AS321" s="66"/>
    </row>
    <row r="322" spans="13:45" x14ac:dyDescent="0.2">
      <c r="M322" s="8"/>
      <c r="N322" s="255"/>
      <c r="O322" s="255"/>
      <c r="R322" s="388"/>
      <c r="T322" s="64" t="s">
        <v>105</v>
      </c>
      <c r="U322" s="13">
        <v>4.87E-2</v>
      </c>
      <c r="V322" s="13"/>
      <c r="Y322" s="8">
        <v>42766</v>
      </c>
      <c r="AA322" s="389"/>
      <c r="AB322" s="66"/>
      <c r="AC322" s="66"/>
      <c r="AD322" s="66"/>
      <c r="AE322" s="66"/>
      <c r="AF322" s="66"/>
      <c r="AG322" s="66"/>
      <c r="AH322" s="66"/>
      <c r="AI322" s="66"/>
      <c r="AJ322" s="66"/>
      <c r="AK322" s="66"/>
      <c r="AL322" s="66"/>
      <c r="AM322" s="66"/>
      <c r="AN322" s="66"/>
      <c r="AO322" s="66"/>
      <c r="AP322" s="66"/>
      <c r="AQ322" s="66"/>
      <c r="AR322" s="66"/>
      <c r="AS322" s="66"/>
    </row>
    <row r="323" spans="13:45" x14ac:dyDescent="0.2">
      <c r="M323" s="8"/>
      <c r="N323" s="255"/>
      <c r="O323" s="255"/>
      <c r="R323" s="388"/>
      <c r="T323" s="66">
        <v>40574</v>
      </c>
      <c r="U323" s="8">
        <v>41268</v>
      </c>
      <c r="V323" s="8">
        <v>41633</v>
      </c>
      <c r="W323" s="8">
        <v>41998</v>
      </c>
      <c r="X323" s="8">
        <v>42363</v>
      </c>
      <c r="Y323" s="8">
        <v>42729</v>
      </c>
      <c r="Z323" s="8">
        <v>43094</v>
      </c>
      <c r="AA323" s="390">
        <v>43131</v>
      </c>
      <c r="AB323" s="66">
        <v>42766</v>
      </c>
      <c r="AC323" s="360"/>
      <c r="AD323" s="66"/>
      <c r="AE323" s="66"/>
      <c r="AF323" s="66"/>
      <c r="AG323" s="66"/>
      <c r="AH323" s="66"/>
      <c r="AI323" s="66"/>
      <c r="AJ323" s="66"/>
      <c r="AK323" s="66"/>
      <c r="AL323" s="66"/>
      <c r="AM323" s="66"/>
      <c r="AN323" s="66"/>
      <c r="AO323" s="66"/>
      <c r="AP323" s="66"/>
      <c r="AQ323" s="66"/>
      <c r="AR323" s="66"/>
      <c r="AS323" s="66"/>
    </row>
    <row r="324" spans="13:45" x14ac:dyDescent="0.2">
      <c r="M324" s="8"/>
      <c r="N324" s="255"/>
      <c r="O324" s="255"/>
      <c r="R324" s="388"/>
      <c r="S324" t="s">
        <v>1318</v>
      </c>
      <c r="T324" s="359">
        <v>0</v>
      </c>
      <c r="U324" s="359">
        <v>0</v>
      </c>
      <c r="V324" s="359">
        <v>0</v>
      </c>
      <c r="W324" s="359">
        <v>0</v>
      </c>
      <c r="X324" s="359">
        <v>0</v>
      </c>
      <c r="Y324" s="359">
        <v>0</v>
      </c>
      <c r="Z324" s="359">
        <v>0</v>
      </c>
      <c r="AA324" s="391">
        <v>100000</v>
      </c>
      <c r="AB324" s="66"/>
      <c r="AC324" s="66"/>
      <c r="AD324" s="66"/>
      <c r="AE324" s="66"/>
      <c r="AF324" s="66"/>
      <c r="AG324" s="66"/>
      <c r="AH324" s="66"/>
      <c r="AI324" s="66"/>
      <c r="AJ324" s="66"/>
      <c r="AK324" s="66"/>
      <c r="AL324" s="66"/>
      <c r="AM324" s="66"/>
      <c r="AN324" s="66"/>
      <c r="AO324" s="66"/>
      <c r="AP324" s="66"/>
      <c r="AQ324" s="66"/>
      <c r="AR324" s="66"/>
      <c r="AS324" s="66"/>
    </row>
    <row r="325" spans="13:45" x14ac:dyDescent="0.2">
      <c r="M325" s="8"/>
      <c r="N325" s="255"/>
      <c r="O325" s="255"/>
      <c r="R325" s="388"/>
      <c r="S325" t="s">
        <v>1320</v>
      </c>
      <c r="T325" s="69">
        <v>100000</v>
      </c>
      <c r="U325" s="69">
        <v>100000</v>
      </c>
      <c r="V325" s="69">
        <v>100000</v>
      </c>
      <c r="W325" s="69">
        <v>100000</v>
      </c>
      <c r="X325" s="69">
        <v>100000</v>
      </c>
      <c r="Y325" s="69">
        <v>100000</v>
      </c>
      <c r="Z325" s="69">
        <v>100000</v>
      </c>
      <c r="AA325" s="392">
        <v>100000</v>
      </c>
      <c r="AB325" s="66"/>
      <c r="AC325" s="66"/>
      <c r="AD325" s="66"/>
      <c r="AE325" s="66"/>
      <c r="AF325" s="66"/>
      <c r="AG325" s="66"/>
      <c r="AH325" s="66"/>
      <c r="AI325" s="66"/>
      <c r="AJ325" s="66"/>
      <c r="AK325" s="66"/>
      <c r="AL325" s="66"/>
      <c r="AM325" s="66"/>
      <c r="AN325" s="66"/>
      <c r="AO325" s="66"/>
      <c r="AP325" s="66"/>
      <c r="AQ325" s="66"/>
      <c r="AR325" s="66"/>
      <c r="AS325" s="66"/>
    </row>
    <row r="326" spans="13:45" x14ac:dyDescent="0.2">
      <c r="M326" s="8"/>
      <c r="N326" s="255"/>
      <c r="O326" s="255"/>
      <c r="R326" s="388"/>
      <c r="S326" t="s">
        <v>1321</v>
      </c>
      <c r="T326" s="68"/>
      <c r="U326" s="25">
        <f>$U$322*T325</f>
        <v>4870</v>
      </c>
      <c r="V326" s="25">
        <f>$U$322*U325</f>
        <v>4870</v>
      </c>
      <c r="W326" s="25">
        <f>$U$322*V325</f>
        <v>4870</v>
      </c>
      <c r="X326" s="25">
        <f>$U$322*W325</f>
        <v>4870</v>
      </c>
      <c r="Y326" s="25">
        <f>$U$322*X325</f>
        <v>4870</v>
      </c>
      <c r="Z326" s="25">
        <f>ROUND(U322*Z325+(U322*Z325*(AA323-Z323)/365)/(1+3.52%)^(37/365),2)</f>
        <v>5361.94</v>
      </c>
      <c r="AA326" s="393">
        <v>0</v>
      </c>
      <c r="AB326" s="66"/>
      <c r="AC326" s="382"/>
      <c r="AD326" s="378"/>
      <c r="AE326" s="378"/>
      <c r="AF326" s="378"/>
      <c r="AG326" s="66"/>
      <c r="AH326" s="66"/>
      <c r="AI326" s="66"/>
      <c r="AJ326" s="66"/>
      <c r="AK326" s="66"/>
      <c r="AL326" s="66"/>
      <c r="AM326" s="66"/>
      <c r="AN326" s="66"/>
      <c r="AO326" s="66"/>
      <c r="AP326" s="66"/>
      <c r="AQ326" s="66"/>
      <c r="AR326" s="66"/>
      <c r="AS326" s="66"/>
    </row>
    <row r="327" spans="13:45" x14ac:dyDescent="0.2">
      <c r="M327" s="8"/>
      <c r="N327" s="255"/>
      <c r="O327" s="255"/>
      <c r="R327" s="388"/>
      <c r="S327" t="s">
        <v>1322</v>
      </c>
      <c r="T327" s="68"/>
      <c r="U327">
        <f t="shared" ref="U327:AA327" si="113">+U326+U324</f>
        <v>4870</v>
      </c>
      <c r="V327" s="25">
        <f t="shared" si="113"/>
        <v>4870</v>
      </c>
      <c r="W327" s="25">
        <f t="shared" si="113"/>
        <v>4870</v>
      </c>
      <c r="X327" s="25">
        <f t="shared" si="113"/>
        <v>4870</v>
      </c>
      <c r="Y327" s="25">
        <f t="shared" si="113"/>
        <v>4870</v>
      </c>
      <c r="Z327" s="25">
        <f t="shared" si="113"/>
        <v>5361.94</v>
      </c>
      <c r="AA327" s="393">
        <f t="shared" si="113"/>
        <v>100000</v>
      </c>
      <c r="AB327" s="66"/>
      <c r="AC327" s="66"/>
      <c r="AD327" s="66"/>
      <c r="AE327" s="66"/>
      <c r="AF327" s="66"/>
      <c r="AG327" s="66"/>
      <c r="AH327" s="66"/>
      <c r="AI327" s="66"/>
      <c r="AJ327" s="66"/>
      <c r="AK327" s="66"/>
      <c r="AL327" s="66"/>
      <c r="AM327" s="66"/>
      <c r="AN327" s="66"/>
      <c r="AO327" s="66"/>
      <c r="AP327" s="66"/>
      <c r="AQ327" s="66"/>
      <c r="AR327" s="66"/>
      <c r="AS327" s="66"/>
    </row>
    <row r="328" spans="13:45" x14ac:dyDescent="0.2">
      <c r="R328" s="388"/>
      <c r="S328" t="s">
        <v>1323</v>
      </c>
      <c r="T328" s="69"/>
      <c r="U328" s="25">
        <f t="shared" ref="U328:AA328" si="114">+IF(U323&gt;$U$1,U327,0)</f>
        <v>0</v>
      </c>
      <c r="V328" s="25">
        <f t="shared" si="114"/>
        <v>0</v>
      </c>
      <c r="W328" s="25">
        <f t="shared" si="114"/>
        <v>0</v>
      </c>
      <c r="X328" s="25">
        <f t="shared" si="114"/>
        <v>0</v>
      </c>
      <c r="Y328" s="25">
        <f t="shared" si="114"/>
        <v>0</v>
      </c>
      <c r="Z328" s="25">
        <f t="shared" si="114"/>
        <v>0</v>
      </c>
      <c r="AA328" s="393">
        <f t="shared" si="114"/>
        <v>0</v>
      </c>
      <c r="AB328" s="66"/>
      <c r="AC328" s="360"/>
      <c r="AD328" s="66"/>
      <c r="AE328" s="66"/>
      <c r="AF328" s="66"/>
      <c r="AG328" s="66"/>
      <c r="AH328" s="66"/>
      <c r="AI328" s="66"/>
      <c r="AJ328" s="66"/>
      <c r="AK328" s="66"/>
      <c r="AL328" s="66"/>
      <c r="AM328" s="66"/>
      <c r="AN328" s="66"/>
      <c r="AO328" s="66"/>
      <c r="AP328" s="66"/>
      <c r="AQ328" s="66"/>
      <c r="AR328" s="66"/>
      <c r="AS328" s="66"/>
    </row>
    <row r="329" spans="13:45" x14ac:dyDescent="0.2">
      <c r="R329" s="388"/>
      <c r="S329" t="s">
        <v>1324</v>
      </c>
      <c r="T329" s="73"/>
      <c r="U329">
        <f>+IF(T328=0,(U323-$U$1)/(U323-T323),T329+1)</f>
        <v>-6.9726224783861674</v>
      </c>
      <c r="V329">
        <f>+IF(U328=0,(V323-$U$1)/(V323-U323),U329+1)</f>
        <v>-12.257534246575343</v>
      </c>
      <c r="W329">
        <f>+IF(V328=0,(W323-$U$1)/(W323-V323),V329+1)</f>
        <v>-11.257534246575343</v>
      </c>
      <c r="X329">
        <f>+IF(W328=0,(X323-$U$1)/(X323-W323),W329+1)</f>
        <v>-10.257534246575343</v>
      </c>
      <c r="Y329">
        <f>+IF(X328=0,(Y323-$U$1)/(Y323-X323),X329+1)</f>
        <v>-9.2295081967213122</v>
      </c>
      <c r="Z329">
        <f>+IF(Y328=0,(Z323-$U$321)/(Z323-Y323),Y329+1)</f>
        <v>-8.2547945205479447</v>
      </c>
      <c r="AA329" s="394">
        <f>Z329+(AA323-Z323)/365</f>
        <v>-8.1534246575342468</v>
      </c>
      <c r="AB329" s="360">
        <f>AA329*365</f>
        <v>-2976</v>
      </c>
      <c r="AC329" s="379"/>
      <c r="AD329" s="66"/>
      <c r="AE329" s="66"/>
      <c r="AF329" s="66"/>
      <c r="AG329" s="66"/>
      <c r="AH329" s="66"/>
      <c r="AI329" s="66"/>
      <c r="AJ329" s="66"/>
      <c r="AK329" s="66"/>
      <c r="AL329" s="66"/>
      <c r="AM329" s="66"/>
      <c r="AN329" s="66"/>
      <c r="AO329" s="66"/>
      <c r="AP329" s="66"/>
      <c r="AQ329" s="66"/>
      <c r="AR329" s="66"/>
      <c r="AS329" s="66"/>
    </row>
    <row r="330" spans="13:45" x14ac:dyDescent="0.2">
      <c r="R330" s="388"/>
      <c r="S330" s="29" t="s">
        <v>1325</v>
      </c>
      <c r="T330" s="68"/>
      <c r="U330" s="68" cm="1">
        <f t="array" ref="U330">IF(U329&lt;1,interpoler(mat_court,taux_court_act,U329*(U323-T323)),interpoler(mat,taux,U329))</f>
        <v>2.3281430422376737E-2</v>
      </c>
      <c r="V330" s="68" cm="1">
        <f t="array" ref="V330">IF(V329&lt;1,interpoler(mat_court,taux_court_act,V329*(V323-U323)),interpoler(mat,taux,V329))</f>
        <v>2.3281430422376737E-2</v>
      </c>
      <c r="W330" s="68" cm="1">
        <f t="array" ref="W330">IF(W329&lt;1,interpoler(mat_court,taux_court_act,W329*(W323-V323)),interpoler(mat,taux,W329))</f>
        <v>2.3281430422376737E-2</v>
      </c>
      <c r="X330" s="68" cm="1">
        <f t="array" ref="X330">IF(X329&lt;1,interpoler(mat_court,taux_court_act,X329*(X323-W323)),interpoler(mat,taux,X329))</f>
        <v>2.3281430422376737E-2</v>
      </c>
      <c r="Y330" s="68" cm="1">
        <f t="array" ref="Y330">IF(Y329&lt;1,interpoler(mat_court,taux_court_act,Y329*(Y323-X323)),interpoler(mat,taux,Y329))</f>
        <v>2.3281430422376737E-2</v>
      </c>
      <c r="Z330" s="68" cm="1">
        <f t="array" ref="Z330">IF(Z329&lt;1,interpoler(mat_court,taux_court_act,Z329*(Z323-Y323)),interpoler(mat,taux,Z329))</f>
        <v>2.3281430422376737E-2</v>
      </c>
      <c r="AA330" s="68" cm="1">
        <f t="array" ref="AA330">IF(AA329&lt;1,interpoler(mat_court,taux_court_act,AA329*365),interpoler(mat,taux,AA329))</f>
        <v>2.3281430422376737E-2</v>
      </c>
      <c r="AB330" s="66"/>
      <c r="AC330" s="66"/>
      <c r="AD330" s="66"/>
      <c r="AE330" s="66"/>
      <c r="AF330" s="66"/>
      <c r="AG330" s="66"/>
      <c r="AH330" s="66"/>
      <c r="AI330" s="66"/>
      <c r="AJ330" s="66"/>
      <c r="AK330" s="66"/>
      <c r="AL330" s="66"/>
      <c r="AM330" s="66"/>
      <c r="AN330" s="66"/>
      <c r="AO330" s="66"/>
      <c r="AP330" s="66"/>
      <c r="AQ330" s="66"/>
      <c r="AR330" s="66"/>
      <c r="AS330" s="66"/>
    </row>
    <row r="331" spans="13:45" x14ac:dyDescent="0.2">
      <c r="R331" s="388"/>
      <c r="S331" t="s">
        <v>1328</v>
      </c>
      <c r="T331" s="68"/>
      <c r="U331" s="29">
        <v>8.7299999999999999E-3</v>
      </c>
      <c r="V331" s="29">
        <v>8.7299999999999999E-3</v>
      </c>
      <c r="W331" s="29">
        <v>8.7299999999999999E-3</v>
      </c>
      <c r="X331" s="29">
        <v>8.7299999999999999E-3</v>
      </c>
      <c r="Y331" s="29">
        <v>8.7299999999999999E-3</v>
      </c>
      <c r="Z331" s="29">
        <v>8.7299999999999999E-3</v>
      </c>
      <c r="AA331" s="395">
        <v>8.7299999999999999E-3</v>
      </c>
      <c r="AB331" s="66"/>
      <c r="AC331" s="380"/>
      <c r="AD331" s="66"/>
      <c r="AE331" s="66"/>
      <c r="AF331" s="66"/>
      <c r="AG331" s="66"/>
      <c r="AH331" s="66"/>
      <c r="AI331" s="66"/>
      <c r="AJ331" s="66"/>
      <c r="AK331" s="66"/>
      <c r="AL331" s="66"/>
      <c r="AM331" s="66"/>
      <c r="AN331" s="66"/>
      <c r="AO331" s="66"/>
      <c r="AP331" s="66"/>
      <c r="AQ331" s="66"/>
      <c r="AR331" s="66"/>
      <c r="AS331" s="66"/>
    </row>
    <row r="332" spans="13:45" x14ac:dyDescent="0.2">
      <c r="R332" s="388"/>
      <c r="S332" t="s">
        <v>1329</v>
      </c>
      <c r="T332" s="68"/>
      <c r="U332" s="13">
        <f>+ROUND(U330+U331,6)</f>
        <v>3.2010999999999998E-2</v>
      </c>
      <c r="V332" s="100">
        <f>+ROUND(V330+V331,6)</f>
        <v>3.2010999999999998E-2</v>
      </c>
      <c r="W332" s="101">
        <f>+ROUND(W330+W331,6)</f>
        <v>3.2010999999999998E-2</v>
      </c>
      <c r="X332" s="102">
        <f>+ROUND(X330+X331,6)</f>
        <v>3.2010999999999998E-2</v>
      </c>
      <c r="Y332" s="102">
        <f>+ROUND(Y330+Y331,5)</f>
        <v>3.2009999999999997E-2</v>
      </c>
      <c r="Z332" s="102">
        <f>+ROUND(Z330+Z331,5)</f>
        <v>3.2009999999999997E-2</v>
      </c>
      <c r="AA332" s="396">
        <f>ROUND(AA331+AA330,5)</f>
        <v>3.2009999999999997E-2</v>
      </c>
      <c r="AB332" s="66"/>
      <c r="AC332" s="320"/>
      <c r="AD332" s="66"/>
      <c r="AE332" s="66"/>
      <c r="AF332" s="66"/>
      <c r="AG332" s="66"/>
      <c r="AH332" s="66"/>
      <c r="AI332" s="66"/>
      <c r="AJ332" s="66"/>
      <c r="AK332" s="66"/>
      <c r="AL332" s="66"/>
      <c r="AM332" s="66"/>
      <c r="AN332" s="66"/>
      <c r="AO332" s="66"/>
      <c r="AP332" s="66"/>
      <c r="AQ332" s="66"/>
      <c r="AR332" s="66"/>
      <c r="AS332" s="66"/>
    </row>
    <row r="333" spans="13:45" x14ac:dyDescent="0.2">
      <c r="R333" s="388"/>
      <c r="T333" s="68"/>
      <c r="U333" s="69">
        <f>+U328/(1+U332)^U329</f>
        <v>0</v>
      </c>
      <c r="V333" s="69">
        <f>+V328/(1+V332)^V329</f>
        <v>0</v>
      </c>
      <c r="W333" s="69">
        <f>+W328/(1+W332)^W329</f>
        <v>0</v>
      </c>
      <c r="X333" s="69">
        <f>+X328/(1+X332)^X329</f>
        <v>0</v>
      </c>
      <c r="Y333" s="69">
        <f>ROUND(+Y328/(1+Y332)^Y329,4)</f>
        <v>0</v>
      </c>
      <c r="Z333" s="246">
        <f>ROUND(+Z328/(1+Z332)^Z329,4)</f>
        <v>0</v>
      </c>
      <c r="AA333" s="391">
        <f>ROUND(+AA328/(1+AA332)^AA329,4)</f>
        <v>0</v>
      </c>
      <c r="AB333" s="66"/>
      <c r="AC333" s="320">
        <f>AA332-AA331</f>
        <v>2.3279999999999995E-2</v>
      </c>
      <c r="AD333" s="66"/>
      <c r="AE333" s="66"/>
      <c r="AF333" s="66"/>
      <c r="AG333" s="66"/>
      <c r="AH333" s="66"/>
      <c r="AI333" s="66"/>
      <c r="AJ333" s="66"/>
      <c r="AK333" s="66"/>
      <c r="AL333" s="66"/>
      <c r="AM333" s="66"/>
      <c r="AN333" s="66"/>
      <c r="AO333" s="66"/>
      <c r="AP333" s="66"/>
      <c r="AQ333" s="66"/>
      <c r="AR333" s="66"/>
      <c r="AS333" s="66"/>
    </row>
    <row r="334" spans="13:45" x14ac:dyDescent="0.2">
      <c r="R334" s="388"/>
      <c r="T334" s="68"/>
      <c r="U334" s="13"/>
      <c r="V334" s="13"/>
      <c r="W334" s="13"/>
      <c r="X334" s="13"/>
      <c r="Y334" s="13"/>
      <c r="Z334" s="13"/>
      <c r="AA334" s="397"/>
      <c r="AB334" s="66"/>
      <c r="AC334" s="66"/>
      <c r="AD334" s="66"/>
      <c r="AE334" s="66"/>
      <c r="AF334" s="66"/>
      <c r="AG334" s="66"/>
      <c r="AH334" s="66"/>
      <c r="AI334" s="66"/>
      <c r="AJ334" s="66"/>
      <c r="AK334" s="66"/>
      <c r="AL334" s="66"/>
      <c r="AM334" s="66"/>
      <c r="AN334" s="66"/>
      <c r="AO334" s="66"/>
      <c r="AP334" s="66"/>
      <c r="AQ334" s="66"/>
      <c r="AR334" s="66"/>
      <c r="AS334" s="66"/>
    </row>
    <row r="335" spans="13:45" x14ac:dyDescent="0.2">
      <c r="R335" s="388"/>
      <c r="S335" t="s">
        <v>650</v>
      </c>
      <c r="T335" s="77">
        <f>+SUM(U333:AA333)</f>
        <v>0</v>
      </c>
      <c r="U335" s="13"/>
      <c r="V335" s="13"/>
      <c r="W335" s="13"/>
      <c r="X335" s="13"/>
      <c r="Y335" s="13"/>
      <c r="Z335" s="13"/>
      <c r="AA335" s="397"/>
      <c r="AB335" s="66"/>
      <c r="AC335" s="360"/>
      <c r="AD335" s="66"/>
      <c r="AE335" s="66"/>
      <c r="AF335" s="66"/>
      <c r="AG335" s="66"/>
      <c r="AH335" s="66"/>
      <c r="AI335" s="66"/>
      <c r="AJ335" s="66"/>
      <c r="AK335" s="66"/>
      <c r="AL335" s="66"/>
      <c r="AM335" s="66"/>
      <c r="AN335" s="66"/>
      <c r="AO335" s="66"/>
      <c r="AP335" s="66"/>
      <c r="AQ335" s="66"/>
      <c r="AR335" s="66"/>
      <c r="AS335" s="66"/>
    </row>
    <row r="336" spans="13:45" ht="13.5" thickBot="1" x14ac:dyDescent="0.25">
      <c r="R336" s="398"/>
      <c r="S336" s="399" t="s">
        <v>1331</v>
      </c>
      <c r="T336" s="400" t="e">
        <f>+SUMPRODUCT(U329:AI329,U333:AI333)/T335</f>
        <v>#DIV/0!</v>
      </c>
      <c r="U336" s="399"/>
      <c r="V336" s="399"/>
      <c r="W336" s="399"/>
      <c r="X336" s="399"/>
      <c r="Y336" s="399"/>
      <c r="Z336" s="399"/>
      <c r="AA336" s="401"/>
      <c r="AB336" s="66"/>
      <c r="AC336" s="66"/>
      <c r="AD336" s="66"/>
      <c r="AE336" s="66"/>
      <c r="AF336" s="66"/>
      <c r="AG336" s="66"/>
      <c r="AH336" s="66"/>
      <c r="AI336" s="66"/>
      <c r="AJ336" s="66"/>
      <c r="AK336" s="66"/>
      <c r="AL336" s="66"/>
      <c r="AM336" s="66"/>
      <c r="AN336" s="66"/>
      <c r="AO336" s="66"/>
      <c r="AP336" s="66"/>
      <c r="AQ336" s="66"/>
      <c r="AR336" s="66"/>
      <c r="AS336" s="66"/>
    </row>
    <row r="338" spans="18:45" x14ac:dyDescent="0.2">
      <c r="Z338" s="332"/>
      <c r="AA338" s="332"/>
      <c r="AB338" s="332"/>
      <c r="AC338" s="332"/>
    </row>
    <row r="339" spans="18:45" x14ac:dyDescent="0.2">
      <c r="T339" s="77"/>
      <c r="Y339" s="13"/>
    </row>
    <row r="340" spans="18:45" ht="38.25" x14ac:dyDescent="0.2">
      <c r="Y340" s="378">
        <v>0.9945205479</v>
      </c>
      <c r="Z340" s="378">
        <v>363</v>
      </c>
      <c r="AA340" s="378" t="s">
        <v>2127</v>
      </c>
      <c r="AB340" s="378" t="s">
        <v>2128</v>
      </c>
    </row>
    <row r="341" spans="18:45" x14ac:dyDescent="0.2">
      <c r="T341" s="255"/>
      <c r="Z341" s="381"/>
    </row>
    <row r="343" spans="18:45" x14ac:dyDescent="0.2">
      <c r="V343" s="255"/>
    </row>
    <row r="344" spans="18:45" ht="13.5" thickBot="1" x14ac:dyDescent="0.25"/>
    <row r="345" spans="18:45" ht="15.75" x14ac:dyDescent="0.25">
      <c r="R345" s="82"/>
      <c r="S345" s="59"/>
      <c r="T345" s="60"/>
      <c r="U345" s="61"/>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62"/>
    </row>
    <row r="346" spans="18:45" x14ac:dyDescent="0.2">
      <c r="R346" s="63"/>
      <c r="T346" s="64"/>
      <c r="U346" s="13"/>
      <c r="V346" s="13"/>
      <c r="AS346" s="65"/>
    </row>
    <row r="347" spans="18:45" x14ac:dyDescent="0.2">
      <c r="R347" s="63"/>
      <c r="T347" s="66"/>
      <c r="U347" s="8"/>
      <c r="V347" s="66"/>
      <c r="W347" s="8"/>
      <c r="X347" s="66"/>
      <c r="Y347" s="8"/>
      <c r="Z347" s="66"/>
      <c r="AA347" s="8"/>
      <c r="AB347" s="66"/>
      <c r="AC347" s="8"/>
      <c r="AD347" s="66"/>
      <c r="AE347" s="8"/>
      <c r="AF347" s="66"/>
      <c r="AG347" s="8"/>
      <c r="AH347" s="66"/>
      <c r="AI347" s="8"/>
      <c r="AJ347" s="8"/>
      <c r="AK347" s="8"/>
      <c r="AL347" s="8"/>
      <c r="AM347" s="8"/>
      <c r="AN347" s="8"/>
      <c r="AO347" s="8"/>
      <c r="AP347" s="8"/>
      <c r="AQ347" s="8"/>
      <c r="AR347" s="8"/>
      <c r="AS347" s="67"/>
    </row>
    <row r="348" spans="18:45" x14ac:dyDescent="0.2">
      <c r="R348" s="63"/>
      <c r="T348" s="68"/>
      <c r="U348" s="69"/>
      <c r="V348" s="69"/>
      <c r="W348" s="69"/>
      <c r="X348" s="69"/>
      <c r="Y348" s="69"/>
      <c r="Z348" s="69"/>
      <c r="AA348" s="69"/>
      <c r="AB348" s="69"/>
      <c r="AC348" s="69"/>
      <c r="AD348" s="69"/>
      <c r="AE348" s="69"/>
      <c r="AF348" s="69"/>
      <c r="AG348" s="69"/>
      <c r="AH348" s="69"/>
      <c r="AI348" s="69"/>
      <c r="AS348" s="65"/>
    </row>
    <row r="349" spans="18:45" x14ac:dyDescent="0.2">
      <c r="R349" s="63"/>
      <c r="T349" s="69"/>
      <c r="U349" s="23"/>
      <c r="V349" s="23"/>
      <c r="W349" s="23"/>
      <c r="X349" s="23"/>
      <c r="Y349" s="23"/>
      <c r="Z349" s="23"/>
      <c r="AA349" s="23"/>
      <c r="AB349" s="23"/>
      <c r="AC349" s="23"/>
      <c r="AD349" s="23"/>
      <c r="AE349" s="23"/>
      <c r="AF349" s="23"/>
      <c r="AG349" s="23"/>
      <c r="AH349" s="23"/>
      <c r="AI349" s="23"/>
      <c r="AS349" s="65"/>
    </row>
    <row r="350" spans="18:45" x14ac:dyDescent="0.2">
      <c r="R350" s="63"/>
      <c r="T350" s="68"/>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72"/>
    </row>
    <row r="351" spans="18:45" x14ac:dyDescent="0.2">
      <c r="R351" s="63"/>
      <c r="T351" s="68"/>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72"/>
    </row>
    <row r="352" spans="18:45" x14ac:dyDescent="0.2">
      <c r="R352" s="63"/>
      <c r="T352" s="69"/>
      <c r="U352" s="419"/>
      <c r="V352" s="419"/>
      <c r="W352" s="419"/>
      <c r="X352" s="419"/>
      <c r="Y352" s="419"/>
      <c r="Z352" s="420"/>
      <c r="AA352" s="420"/>
      <c r="AB352" s="420"/>
      <c r="AC352" s="420"/>
      <c r="AD352" s="420"/>
      <c r="AE352" s="421"/>
      <c r="AF352" s="421"/>
      <c r="AG352" s="421"/>
      <c r="AH352" s="421"/>
      <c r="AI352" s="421"/>
      <c r="AJ352" s="422"/>
      <c r="AK352" s="422"/>
      <c r="AL352" s="422"/>
      <c r="AM352" s="422"/>
      <c r="AN352" s="422"/>
      <c r="AO352" s="419"/>
      <c r="AP352" s="419"/>
      <c r="AQ352" s="419"/>
      <c r="AR352" s="419"/>
      <c r="AS352" s="423"/>
    </row>
    <row r="353" spans="18:45" x14ac:dyDescent="0.2">
      <c r="R353" s="63"/>
      <c r="T353" s="73"/>
    </row>
    <row r="354" spans="18:45" x14ac:dyDescent="0.2">
      <c r="R354" s="63"/>
      <c r="S354" s="29"/>
      <c r="T354" s="68"/>
      <c r="U354" s="68"/>
      <c r="V354" s="68"/>
      <c r="W354" s="68"/>
      <c r="X354" s="68"/>
      <c r="Y354" s="68"/>
      <c r="Z354" s="68"/>
      <c r="AA354" s="68"/>
      <c r="AB354" s="68"/>
      <c r="AC354" s="68"/>
      <c r="AD354" s="68"/>
      <c r="AE354" s="68"/>
      <c r="AF354" s="68"/>
      <c r="AG354" s="68"/>
      <c r="AH354" s="68"/>
      <c r="AI354" s="68"/>
      <c r="AJ354" s="68"/>
      <c r="AK354" s="68"/>
      <c r="AL354" s="68"/>
      <c r="AM354" s="68"/>
      <c r="AN354" s="68"/>
      <c r="AO354" s="68"/>
      <c r="AP354" s="68"/>
      <c r="AQ354" s="68"/>
      <c r="AR354" s="68"/>
      <c r="AS354" s="68"/>
    </row>
    <row r="355" spans="18:45" x14ac:dyDescent="0.2">
      <c r="R355" s="63"/>
      <c r="T355" s="68"/>
      <c r="U355" s="29"/>
      <c r="V355" s="29"/>
      <c r="W355" s="29"/>
      <c r="X355" s="29"/>
      <c r="Y355" s="29"/>
      <c r="Z355" s="29"/>
      <c r="AA355" s="29"/>
      <c r="AB355" s="29"/>
      <c r="AC355" s="29"/>
      <c r="AD355" s="29"/>
      <c r="AE355" s="29"/>
      <c r="AF355" s="29"/>
      <c r="AG355" s="29"/>
      <c r="AH355" s="29"/>
      <c r="AI355" s="29"/>
      <c r="AJ355" s="29"/>
      <c r="AK355" s="29"/>
      <c r="AL355" s="29"/>
      <c r="AM355" s="29"/>
      <c r="AN355" s="29"/>
      <c r="AO355" s="29"/>
      <c r="AP355" s="29"/>
      <c r="AQ355" s="29"/>
      <c r="AR355" s="29"/>
      <c r="AS355" s="75"/>
    </row>
    <row r="356" spans="18:45" x14ac:dyDescent="0.2">
      <c r="R356" s="63"/>
      <c r="T356" s="68"/>
      <c r="U356" s="13"/>
      <c r="V356" s="100"/>
      <c r="W356" s="101"/>
      <c r="X356" s="102"/>
      <c r="Y356" s="102"/>
      <c r="Z356" s="102"/>
      <c r="AA356" s="102"/>
      <c r="AB356" s="13"/>
      <c r="AC356" s="13"/>
      <c r="AD356" s="13"/>
      <c r="AE356" s="13"/>
      <c r="AF356" s="13"/>
      <c r="AG356" s="13"/>
      <c r="AH356" s="13"/>
      <c r="AI356" s="13"/>
      <c r="AJ356" s="13"/>
      <c r="AK356" s="13"/>
      <c r="AL356" s="13"/>
      <c r="AM356" s="13"/>
      <c r="AN356" s="13"/>
      <c r="AO356" s="13"/>
      <c r="AP356" s="13"/>
      <c r="AQ356" s="13"/>
      <c r="AR356" s="13"/>
      <c r="AS356" s="76"/>
    </row>
    <row r="357" spans="18:45" x14ac:dyDescent="0.2">
      <c r="R357" s="63"/>
      <c r="T357" s="68"/>
      <c r="U357" s="69"/>
      <c r="V357" s="69"/>
      <c r="W357" s="69"/>
      <c r="X357" s="69"/>
      <c r="Y357" s="69"/>
      <c r="Z357" s="69"/>
      <c r="AA357" s="69"/>
      <c r="AB357" s="69"/>
      <c r="AC357" s="69"/>
      <c r="AD357" s="69"/>
      <c r="AE357" s="69"/>
      <c r="AF357" s="69"/>
      <c r="AG357" s="69"/>
      <c r="AH357" s="69"/>
      <c r="AI357" s="69"/>
      <c r="AJ357" s="69"/>
      <c r="AK357" s="69"/>
      <c r="AL357" s="69"/>
      <c r="AM357" s="69"/>
      <c r="AN357" s="69"/>
      <c r="AO357" s="69"/>
      <c r="AP357" s="69"/>
      <c r="AQ357" s="69"/>
      <c r="AR357" s="69"/>
      <c r="AS357" s="70"/>
    </row>
    <row r="358" spans="18:45" x14ac:dyDescent="0.2">
      <c r="R358" s="63"/>
      <c r="T358" s="68"/>
      <c r="U358" s="13"/>
      <c r="V358" s="13"/>
      <c r="W358" s="13"/>
      <c r="X358" s="13"/>
      <c r="Y358" s="13"/>
      <c r="Z358" s="13"/>
      <c r="AA358" s="13"/>
      <c r="AB358" s="13"/>
      <c r="AC358" s="13"/>
      <c r="AD358" s="13"/>
      <c r="AE358" s="13"/>
      <c r="AF358" s="23"/>
      <c r="AG358" s="23"/>
      <c r="AH358" s="23"/>
      <c r="AI358" s="69"/>
      <c r="AS358" s="65"/>
    </row>
    <row r="359" spans="18:45" x14ac:dyDescent="0.2">
      <c r="R359" s="63"/>
      <c r="T359" s="77"/>
      <c r="U359" s="13"/>
      <c r="V359" s="13"/>
      <c r="W359" s="13"/>
      <c r="X359" s="13"/>
      <c r="Y359" s="13"/>
      <c r="Z359" s="13"/>
      <c r="AA359" s="13"/>
      <c r="AB359" s="13"/>
      <c r="AC359" s="13"/>
      <c r="AD359" s="13"/>
      <c r="AE359" s="13"/>
      <c r="AF359" s="13"/>
      <c r="AG359" s="13"/>
      <c r="AH359" s="13"/>
      <c r="AI359" s="13"/>
      <c r="AS359" s="65"/>
    </row>
    <row r="360" spans="18:45" ht="13.5" thickBot="1" x14ac:dyDescent="0.25">
      <c r="R360" s="78"/>
      <c r="S360" s="79"/>
      <c r="T360" s="80"/>
      <c r="U360" s="79"/>
      <c r="V360" s="79"/>
      <c r="W360" s="79"/>
      <c r="X360" s="79"/>
      <c r="Y360" s="79"/>
      <c r="Z360" s="79"/>
      <c r="AA360" s="79"/>
      <c r="AB360" s="79"/>
      <c r="AC360" s="79"/>
      <c r="AD360" s="79"/>
      <c r="AE360" s="79"/>
      <c r="AF360" s="79"/>
      <c r="AG360" s="79"/>
      <c r="AH360" s="79"/>
      <c r="AI360" s="79"/>
      <c r="AJ360" s="79"/>
      <c r="AK360" s="79"/>
      <c r="AL360" s="79"/>
      <c r="AM360" s="79"/>
      <c r="AN360" s="79"/>
      <c r="AO360" s="79"/>
      <c r="AP360" s="79"/>
      <c r="AQ360" s="79"/>
      <c r="AR360" s="79"/>
      <c r="AS360" s="81"/>
    </row>
  </sheetData>
  <mergeCells count="4">
    <mergeCell ref="K1:L1"/>
    <mergeCell ref="G57:H57"/>
    <mergeCell ref="K70:L70"/>
    <mergeCell ref="D68:L68"/>
  </mergeCells>
  <phoneticPr fontId="0" type="noConversion"/>
  <pageMargins left="0.78740157499999996" right="0.78740157499999996" top="0.98" bottom="0.984251969" header="0.4921259845" footer="0.4921259845"/>
  <pageSetup paperSize="9"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5">
    <tabColor theme="0" tint="-0.14999847407452621"/>
    <pageSetUpPr fitToPage="1"/>
  </sheetPr>
  <dimension ref="A1:KW336"/>
  <sheetViews>
    <sheetView topLeftCell="N1" zoomScale="82" zoomScaleNormal="70" workbookViewId="0">
      <selection activeCell="H2" sqref="H2"/>
    </sheetView>
  </sheetViews>
  <sheetFormatPr baseColWidth="10" defaultColWidth="11.42578125" defaultRowHeight="12.75" x14ac:dyDescent="0.2"/>
  <cols>
    <col min="1" max="1" width="11.42578125" style="109"/>
    <col min="2" max="2" width="19" style="109" customWidth="1"/>
    <col min="3" max="3" width="11" style="109" bestFit="1" customWidth="1"/>
    <col min="4" max="4" width="13.85546875" style="109" bestFit="1" customWidth="1"/>
    <col min="5" max="5" width="21.42578125" style="109" bestFit="1" customWidth="1"/>
    <col min="6" max="6" width="11.7109375" style="109" bestFit="1" customWidth="1"/>
    <col min="7" max="7" width="9.140625" style="109" customWidth="1"/>
    <col min="8" max="11" width="16.7109375" style="109" customWidth="1"/>
    <col min="12" max="12" width="11.42578125" style="109"/>
    <col min="13" max="13" width="22.28515625" style="109" customWidth="1"/>
    <col min="14" max="14" width="11.42578125" style="109"/>
    <col min="15" max="15" width="13.7109375" style="111" bestFit="1" customWidth="1"/>
    <col min="16" max="16" width="16.7109375" style="111" bestFit="1" customWidth="1"/>
    <col min="17" max="23" width="16.7109375" style="111" customWidth="1"/>
    <col min="24" max="24" width="11.42578125" style="109"/>
    <col min="25" max="25" width="22.7109375" style="109" customWidth="1"/>
    <col min="26" max="26" width="16.85546875" style="109" bestFit="1" customWidth="1"/>
    <col min="27" max="27" width="15.42578125" style="109" bestFit="1" customWidth="1"/>
    <col min="28" max="28" width="13.85546875" style="109" bestFit="1" customWidth="1"/>
    <col min="29" max="29" width="16.7109375" style="109" bestFit="1" customWidth="1"/>
    <col min="30" max="35" width="16.7109375" style="109" customWidth="1"/>
    <col min="36" max="36" width="11.42578125" style="109"/>
    <col min="37" max="37" width="18.5703125" style="109" customWidth="1"/>
    <col min="38" max="38" width="16.85546875" style="109" bestFit="1" customWidth="1"/>
    <col min="39" max="39" width="13.7109375" style="109" bestFit="1" customWidth="1"/>
    <col min="40" max="40" width="16.7109375" style="109" bestFit="1" customWidth="1"/>
    <col min="41" max="47" width="16.7109375" style="109" customWidth="1"/>
    <col min="48" max="48" width="11.42578125" style="109"/>
    <col min="49" max="49" width="20.140625" style="109" customWidth="1"/>
    <col min="50" max="50" width="18.5703125" style="109" bestFit="1" customWidth="1"/>
    <col min="51" max="51" width="14.140625" style="109" customWidth="1"/>
    <col min="52" max="52" width="13" style="109" customWidth="1"/>
    <col min="53" max="53" width="15.28515625" style="109" bestFit="1" customWidth="1"/>
    <col min="54" max="54" width="11.42578125" style="109"/>
    <col min="55" max="55" width="12.140625" style="109" bestFit="1" customWidth="1"/>
    <col min="56" max="56" width="11.42578125" style="109"/>
    <col min="57" max="57" width="12.140625" style="109" bestFit="1" customWidth="1"/>
    <col min="58" max="58" width="17.5703125" style="838" customWidth="1"/>
    <col min="59" max="59" width="13.140625" style="112" customWidth="1"/>
    <col min="60" max="60" width="11.42578125" style="109"/>
    <col min="61" max="61" width="22" style="109" bestFit="1" customWidth="1"/>
    <col min="62" max="62" width="18.140625" style="109" bestFit="1" customWidth="1"/>
    <col min="63" max="63" width="11.42578125" style="109"/>
    <col min="64" max="64" width="12.28515625" style="109" bestFit="1" customWidth="1"/>
    <col min="65" max="65" width="15.28515625" style="109" bestFit="1" customWidth="1"/>
    <col min="67" max="70" width="11.42578125" style="109"/>
    <col min="71" max="71" width="13.140625" style="109" customWidth="1"/>
    <col min="72" max="73" width="11.42578125" style="109"/>
    <col min="74" max="74" width="18.140625" style="109" bestFit="1" customWidth="1"/>
    <col min="75" max="75" width="14" style="109" bestFit="1" customWidth="1"/>
    <col min="76" max="76" width="7.28515625" style="109" bestFit="1" customWidth="1"/>
    <col min="77" max="77" width="9.7109375" style="109" bestFit="1" customWidth="1"/>
    <col min="78" max="78" width="15.28515625" style="109" bestFit="1" customWidth="1"/>
    <col min="79" max="79" width="11.42578125" style="109"/>
    <col min="80" max="80" width="12.140625" style="109" bestFit="1" customWidth="1"/>
    <col min="81" max="81" width="43.85546875" style="109" bestFit="1" customWidth="1"/>
    <col min="82" max="82" width="12.140625" style="109" bestFit="1" customWidth="1"/>
    <col min="83" max="83" width="19.5703125" style="109" customWidth="1"/>
    <col min="84" max="84" width="13.140625" style="112" customWidth="1"/>
    <col min="85" max="85" width="11.42578125" style="109"/>
    <col min="86" max="86" width="20.5703125" style="109" bestFit="1" customWidth="1"/>
    <col min="87" max="87" width="18.140625" style="109" bestFit="1" customWidth="1"/>
    <col min="88" max="88" width="15.42578125" style="109" customWidth="1"/>
    <col min="89" max="89" width="12.28515625" style="109" bestFit="1" customWidth="1"/>
    <col min="90" max="90" width="15.28515625" style="109" bestFit="1" customWidth="1"/>
    <col min="91" max="91" width="44.42578125" customWidth="1"/>
    <col min="92" max="92" width="12.140625" style="109" bestFit="1" customWidth="1"/>
    <col min="93" max="93" width="11.42578125" style="109"/>
    <col min="94" max="94" width="12.140625" style="109" bestFit="1" customWidth="1"/>
    <col min="95" max="95" width="13.140625" style="109" bestFit="1" customWidth="1"/>
    <col min="96" max="96" width="13.140625" style="109" customWidth="1"/>
    <col min="97" max="97" width="11.42578125" style="109"/>
    <col min="98" max="98" width="20.5703125" style="109" bestFit="1" customWidth="1"/>
    <col min="99" max="99" width="18.140625" style="109" bestFit="1" customWidth="1"/>
    <col min="100" max="100" width="21.42578125" style="109" customWidth="1"/>
    <col min="101" max="101" width="17.7109375" style="109" customWidth="1"/>
    <col min="102" max="102" width="15.28515625" style="109" bestFit="1" customWidth="1"/>
    <col min="103" max="103" width="57.140625" customWidth="1"/>
    <col min="104" max="105" width="11.42578125" style="109"/>
    <col min="109" max="109" width="12.140625" style="109" bestFit="1" customWidth="1"/>
    <col min="110" max="110" width="11.42578125" style="109"/>
    <col min="111" max="111" width="12.140625" style="109" bestFit="1" customWidth="1"/>
    <col min="112" max="112" width="13.140625" style="109" bestFit="1" customWidth="1"/>
    <col min="113" max="113" width="13.140625" style="109" customWidth="1"/>
    <col min="114" max="114" width="11.42578125" style="109"/>
    <col min="115" max="116" width="18.140625" style="109" bestFit="1" customWidth="1"/>
    <col min="117" max="117" width="21.42578125" style="109" customWidth="1"/>
    <col min="118" max="118" width="12.28515625" style="109" bestFit="1" customWidth="1"/>
    <col min="119" max="119" width="15.28515625" style="109" bestFit="1" customWidth="1"/>
    <col min="120" max="120" width="11.42578125" style="109"/>
    <col min="121" max="121" width="11.7109375" style="109" bestFit="1" customWidth="1"/>
    <col min="122" max="122" width="28.85546875" style="109" bestFit="1" customWidth="1"/>
    <col min="123" max="123" width="11.7109375" style="109" bestFit="1" customWidth="1"/>
    <col min="124" max="124" width="13.140625" style="109" customWidth="1"/>
    <col min="125" max="125" width="17.85546875" style="109" bestFit="1" customWidth="1"/>
    <col min="126" max="126" width="11.42578125" style="109"/>
    <col min="127" max="127" width="19.28515625" style="109" bestFit="1" customWidth="1"/>
    <col min="128" max="128" width="18.140625" style="109" bestFit="1" customWidth="1"/>
    <col min="129" max="129" width="15.42578125" style="109" bestFit="1" customWidth="1"/>
    <col min="130" max="130" width="17.5703125" style="109" customWidth="1"/>
    <col min="131" max="131" width="15.28515625" style="109" bestFit="1" customWidth="1"/>
    <col min="132" max="132" width="11.42578125" style="109"/>
    <col min="133" max="133" width="11.7109375" style="109" bestFit="1" customWidth="1"/>
    <col min="134" max="134" width="28.85546875" style="109" bestFit="1" customWidth="1"/>
    <col min="135" max="135" width="11.7109375" style="109" bestFit="1" customWidth="1"/>
    <col min="136" max="136" width="13.85546875" style="109" bestFit="1" customWidth="1"/>
    <col min="137" max="137" width="17.85546875" style="109" bestFit="1" customWidth="1"/>
    <col min="138" max="138" width="11.42578125" style="109"/>
    <col min="139" max="139" width="19.28515625" style="109" bestFit="1" customWidth="1"/>
    <col min="140" max="140" width="18.140625" style="109" bestFit="1" customWidth="1"/>
    <col min="141" max="141" width="15.42578125" style="109" bestFit="1" customWidth="1"/>
    <col min="142" max="142" width="10.85546875" style="109" bestFit="1" customWidth="1"/>
    <col min="143" max="143" width="15.28515625" style="109" bestFit="1" customWidth="1"/>
    <col min="144" max="144" width="12.28515625" style="109" bestFit="1" customWidth="1"/>
    <col min="148" max="148" width="23.28515625" customWidth="1"/>
    <col min="150" max="150" width="11.42578125" style="109"/>
    <col min="151" max="151" width="18.42578125" style="109" customWidth="1"/>
    <col min="152" max="152" width="16.7109375" style="109" customWidth="1"/>
    <col min="153" max="159" width="11.42578125" style="109"/>
    <col min="161" max="161" width="23.28515625" customWidth="1"/>
    <col min="163" max="163" width="17.140625" style="109" customWidth="1"/>
    <col min="164" max="164" width="18.42578125" style="109" customWidth="1"/>
    <col min="165" max="165" width="19.28515625" style="112" bestFit="1" customWidth="1"/>
    <col min="166" max="167" width="11.42578125" style="109"/>
    <col min="168" max="168" width="20.28515625" style="109" customWidth="1"/>
    <col min="169" max="169" width="11.42578125" style="109"/>
    <col min="170" max="170" width="17.42578125" style="715" customWidth="1"/>
    <col min="171" max="172" width="11.42578125" style="109"/>
    <col min="174" max="174" width="23.28515625" customWidth="1"/>
    <col min="176" max="176" width="16.42578125" style="109" customWidth="1"/>
    <col min="177" max="177" width="19.7109375" style="657" customWidth="1"/>
    <col min="178" max="178" width="25.7109375" style="109" customWidth="1"/>
    <col min="179" max="184" width="11.42578125" style="109"/>
    <col min="185" max="185" width="11.42578125" style="221"/>
    <col min="186" max="186" width="11.42578125" style="109"/>
    <col min="187" max="187" width="28.85546875" style="109" bestFit="1" customWidth="1"/>
    <col min="188" max="188" width="11.7109375" style="109" bestFit="1" customWidth="1"/>
    <col min="189" max="189" width="16.140625" style="109" customWidth="1"/>
    <col min="190" max="190" width="24.5703125" style="109" customWidth="1"/>
    <col min="191" max="191" width="11.140625" style="109" customWidth="1"/>
    <col min="192" max="192" width="20.28515625" style="109" bestFit="1" customWidth="1"/>
    <col min="193" max="193" width="18.140625" style="109" bestFit="1" customWidth="1"/>
    <col min="194" max="194" width="15.42578125" style="221" bestFit="1" customWidth="1"/>
    <col min="195" max="195" width="9.7109375" style="109" bestFit="1" customWidth="1"/>
    <col min="196" max="196" width="15.28515625" style="109" bestFit="1" customWidth="1"/>
    <col min="197" max="197" width="15.28515625" style="109" customWidth="1"/>
    <col min="198" max="199" width="11.42578125" style="109"/>
    <col min="200" max="200" width="28.85546875" style="109" bestFit="1" customWidth="1"/>
    <col min="201" max="201" width="11.7109375" style="109" bestFit="1" customWidth="1"/>
    <col min="202" max="202" width="13.140625" style="109" customWidth="1"/>
    <col min="203" max="203" width="17.85546875" style="109" bestFit="1" customWidth="1"/>
    <col min="204" max="204" width="11.42578125" style="109"/>
    <col min="205" max="205" width="21" style="109" bestFit="1" customWidth="1"/>
    <col min="206" max="206" width="18.140625" style="109" bestFit="1" customWidth="1"/>
    <col min="207" max="207" width="20.85546875" style="221" customWidth="1"/>
    <col min="208" max="208" width="11" style="109" bestFit="1" customWidth="1"/>
    <col min="209" max="209" width="15.28515625" style="109" bestFit="1" customWidth="1"/>
    <col min="210" max="211" width="11.42578125" style="109"/>
    <col min="212" max="212" width="11.42578125" style="1382"/>
    <col min="213" max="213" width="28.85546875" style="109" bestFit="1" customWidth="1"/>
    <col min="214" max="214" width="11.7109375" style="109" bestFit="1" customWidth="1"/>
    <col min="215" max="215" width="13.140625" style="109" customWidth="1"/>
    <col min="216" max="216" width="17.85546875" style="109" bestFit="1" customWidth="1"/>
    <col min="217" max="217" width="11.42578125" style="109"/>
    <col min="218" max="218" width="19.28515625" style="109" bestFit="1" customWidth="1"/>
    <col min="219" max="219" width="18.140625" style="109" bestFit="1" customWidth="1"/>
    <col min="220" max="220" width="15.42578125" style="221" bestFit="1" customWidth="1"/>
    <col min="221" max="221" width="9.7109375" style="109" bestFit="1" customWidth="1"/>
    <col min="222" max="222" width="15.28515625" style="109" bestFit="1" customWidth="1"/>
    <col min="223" max="225" width="11.42578125" style="109"/>
    <col min="226" max="230" width="16.7109375" style="111" customWidth="1"/>
    <col min="231" max="231" width="14.28515625" style="112" customWidth="1"/>
    <col min="232" max="232" width="22.7109375" style="109" customWidth="1"/>
    <col min="233" max="233" width="16.85546875" style="109" bestFit="1" customWidth="1"/>
    <col min="234" max="234" width="15.42578125" style="109" bestFit="1" customWidth="1"/>
    <col min="235" max="235" width="13.85546875" style="109" bestFit="1" customWidth="1"/>
    <col min="236" max="236" width="16.7109375" style="109" bestFit="1" customWidth="1"/>
    <col min="237" max="237" width="11.42578125" style="109"/>
    <col min="238" max="242" width="16.7109375" style="111" customWidth="1"/>
    <col min="243" max="243" width="11.42578125" style="109"/>
    <col min="244" max="244" width="22.7109375" style="109" customWidth="1"/>
    <col min="245" max="245" width="16.85546875" style="109" bestFit="1" customWidth="1"/>
    <col min="246" max="246" width="17.42578125" style="109" bestFit="1" customWidth="1"/>
    <col min="247" max="247" width="13.85546875" style="109" bestFit="1" customWidth="1"/>
    <col min="248" max="248" width="16.7109375" style="221" bestFit="1" customWidth="1"/>
    <col min="249" max="249" width="11.42578125" style="109"/>
    <col min="250" max="250" width="16.7109375" style="1384" customWidth="1"/>
    <col min="251" max="254" width="16.7109375" style="111" customWidth="1"/>
    <col min="255" max="255" width="11.42578125" style="109"/>
    <col min="256" max="256" width="22.7109375" style="109" customWidth="1"/>
    <col min="257" max="257" width="16.85546875" style="109" bestFit="1" customWidth="1"/>
    <col min="258" max="258" width="17.42578125" style="109" bestFit="1" customWidth="1"/>
    <col min="259" max="259" width="13.85546875" style="109" bestFit="1" customWidth="1"/>
    <col min="260" max="260" width="16.7109375" style="221" bestFit="1" customWidth="1"/>
    <col min="261" max="263" width="11.42578125" style="109"/>
    <col min="264" max="268" width="16.7109375" style="111" customWidth="1"/>
    <col min="269" max="269" width="11.42578125" style="109"/>
    <col min="270" max="270" width="22.7109375" style="109" customWidth="1"/>
    <col min="271" max="271" width="16.85546875" style="109" bestFit="1" customWidth="1"/>
    <col min="272" max="272" width="17.42578125" style="109" bestFit="1" customWidth="1"/>
    <col min="273" max="273" width="13.85546875" style="109" bestFit="1" customWidth="1"/>
    <col min="274" max="274" width="16.7109375" style="221" bestFit="1" customWidth="1"/>
    <col min="275" max="275" width="11.42578125" style="109"/>
    <col min="276" max="280" width="16.7109375" style="111" customWidth="1"/>
    <col min="281" max="281" width="11.42578125" style="109"/>
    <col min="282" max="282" width="22.7109375" style="109" customWidth="1"/>
    <col min="283" max="283" width="16.85546875" style="109" bestFit="1" customWidth="1"/>
    <col min="284" max="284" width="21" style="109" bestFit="1" customWidth="1"/>
    <col min="285" max="285" width="13.85546875" style="109" bestFit="1" customWidth="1"/>
    <col min="286" max="286" width="16.7109375" style="221" bestFit="1" customWidth="1"/>
    <col min="287" max="287" width="11.42578125" style="109"/>
    <col min="288" max="291" width="16.7109375" style="111" customWidth="1"/>
    <col min="292" max="292" width="11.42578125" style="109"/>
    <col min="293" max="293" width="26.140625" style="109" customWidth="1"/>
    <col min="294" max="294" width="16.85546875" style="109" bestFit="1" customWidth="1"/>
    <col min="295" max="295" width="17.42578125" style="109" bestFit="1" customWidth="1"/>
    <col min="296" max="296" width="13.85546875" style="109" bestFit="1" customWidth="1"/>
    <col min="297" max="297" width="16.7109375" style="221" bestFit="1" customWidth="1"/>
    <col min="298" max="299" width="11.42578125" style="109"/>
    <col min="300" max="303" width="16.7109375" style="111" customWidth="1"/>
    <col min="304" max="304" width="11.42578125" style="109"/>
    <col min="305" max="305" width="26.140625" style="109" customWidth="1"/>
    <col min="306" max="306" width="16.85546875" style="109" bestFit="1" customWidth="1"/>
    <col min="307" max="307" width="17.42578125" style="109" bestFit="1" customWidth="1"/>
    <col min="308" max="308" width="13.85546875" style="109" bestFit="1" customWidth="1"/>
    <col min="309" max="309" width="16.7109375" style="1614" bestFit="1" customWidth="1"/>
    <col min="310" max="16384" width="11.42578125" style="109"/>
  </cols>
  <sheetData>
    <row r="1" spans="1:309" ht="14.25" customHeight="1" x14ac:dyDescent="0.25">
      <c r="A1" s="140" t="s">
        <v>1918</v>
      </c>
      <c r="B1" s="141">
        <f>+'Courbe des taux'!F1</f>
        <v>46107</v>
      </c>
      <c r="F1" s="142" t="s">
        <v>1751</v>
      </c>
      <c r="H1" s="110" t="s">
        <v>1470</v>
      </c>
      <c r="I1" s="110"/>
      <c r="J1" s="110"/>
      <c r="K1" s="110"/>
      <c r="L1" s="148" t="s">
        <v>815</v>
      </c>
      <c r="M1" s="142">
        <v>6.2199999999999998E-2</v>
      </c>
      <c r="O1" s="171"/>
      <c r="P1" s="171"/>
      <c r="Q1" s="142"/>
      <c r="R1" s="142" t="s">
        <v>1751</v>
      </c>
      <c r="S1" s="142"/>
      <c r="T1" s="110" t="s">
        <v>1459</v>
      </c>
      <c r="U1" s="110"/>
      <c r="V1" s="110"/>
      <c r="W1" s="110"/>
      <c r="X1" s="110" t="s">
        <v>815</v>
      </c>
      <c r="Y1" s="142">
        <v>7.3200000000000001E-2</v>
      </c>
      <c r="AD1" s="142" t="s">
        <v>1750</v>
      </c>
      <c r="AE1" s="142"/>
      <c r="AF1" s="110" t="s">
        <v>1470</v>
      </c>
      <c r="AG1" s="110"/>
      <c r="AH1" s="110"/>
      <c r="AI1" s="110"/>
      <c r="AJ1" s="110" t="s">
        <v>815</v>
      </c>
      <c r="AK1" s="142">
        <v>5.11E-2</v>
      </c>
      <c r="AO1" s="142"/>
      <c r="AP1" s="142" t="s">
        <v>1750</v>
      </c>
      <c r="AQ1" s="142"/>
      <c r="AR1" s="110" t="s">
        <v>1459</v>
      </c>
      <c r="AS1" s="110"/>
      <c r="AT1" s="110"/>
      <c r="AU1" s="110"/>
      <c r="AV1" s="110" t="s">
        <v>815</v>
      </c>
      <c r="AW1" s="142">
        <v>6.3899999999999998E-2</v>
      </c>
      <c r="BA1" s="256" t="s">
        <v>786</v>
      </c>
      <c r="BC1" s="142"/>
      <c r="BD1" s="110" t="s">
        <v>947</v>
      </c>
      <c r="BE1" s="110"/>
      <c r="BF1" s="147"/>
      <c r="BG1" s="110"/>
      <c r="BH1" s="110" t="s">
        <v>815</v>
      </c>
      <c r="BI1" s="142">
        <v>4.8300000000000003E-2</v>
      </c>
      <c r="BJ1" s="254"/>
      <c r="BP1" s="142"/>
      <c r="BQ1" s="110" t="s">
        <v>966</v>
      </c>
      <c r="BR1" s="110"/>
      <c r="BS1" s="110"/>
      <c r="BT1" s="110"/>
      <c r="BU1" s="110" t="s">
        <v>815</v>
      </c>
      <c r="BV1" s="142">
        <v>4.4200000000000003E-2</v>
      </c>
      <c r="BW1" s="254"/>
      <c r="CB1" s="142"/>
      <c r="CC1" s="110" t="s">
        <v>2316</v>
      </c>
      <c r="CD1" s="110"/>
      <c r="CE1" s="110"/>
      <c r="CF1" s="110"/>
      <c r="CG1" s="110" t="s">
        <v>815</v>
      </c>
      <c r="CH1" s="142">
        <v>4.0300000000000002E-2</v>
      </c>
      <c r="CI1" s="254"/>
      <c r="CN1" s="142"/>
      <c r="CO1" s="110" t="s">
        <v>947</v>
      </c>
      <c r="CP1" s="110"/>
      <c r="CQ1" s="110"/>
      <c r="CR1" s="110"/>
      <c r="CS1" s="110" t="s">
        <v>815</v>
      </c>
      <c r="CT1" s="142">
        <v>3.2199999999999999E-2</v>
      </c>
      <c r="CU1" s="254"/>
      <c r="CV1"/>
      <c r="CW1"/>
      <c r="CX1"/>
      <c r="CY1" s="448"/>
      <c r="DE1" s="142"/>
      <c r="DF1" s="110"/>
      <c r="DG1" s="110"/>
      <c r="DH1" s="110"/>
      <c r="DI1" s="110"/>
      <c r="DJ1" s="110" t="s">
        <v>815</v>
      </c>
      <c r="DK1" s="142">
        <v>2.6599999999999999E-2</v>
      </c>
      <c r="DL1" s="254"/>
      <c r="DM1"/>
      <c r="DN1"/>
      <c r="DO1"/>
      <c r="DQ1" s="110"/>
      <c r="DR1" s="110" t="s">
        <v>2350</v>
      </c>
      <c r="DS1" s="110"/>
      <c r="DT1" s="110"/>
      <c r="DU1" s="110"/>
      <c r="DV1" s="110" t="s">
        <v>815</v>
      </c>
      <c r="DW1" s="142">
        <v>4.4499999999999998E-2</v>
      </c>
      <c r="DX1" s="254"/>
      <c r="EC1" s="110"/>
      <c r="ED1" s="110" t="s">
        <v>2350</v>
      </c>
      <c r="EE1" s="110"/>
      <c r="EF1" s="110"/>
      <c r="EG1" s="110"/>
      <c r="EH1" s="110" t="s">
        <v>815</v>
      </c>
      <c r="EI1" s="142">
        <v>2.9700000000000001E-2</v>
      </c>
      <c r="EJ1" s="254"/>
      <c r="EQ1" s="110"/>
      <c r="ER1" s="110" t="s">
        <v>2350</v>
      </c>
      <c r="EU1" s="110" t="s">
        <v>815</v>
      </c>
      <c r="EV1" s="142">
        <v>4.3299999999999998E-2</v>
      </c>
      <c r="FD1" s="110"/>
      <c r="FE1" s="110" t="s">
        <v>2350</v>
      </c>
      <c r="FF1" s="424" t="s">
        <v>2501</v>
      </c>
      <c r="FH1" s="110" t="s">
        <v>815</v>
      </c>
      <c r="FI1" s="142">
        <v>3.0300000000000001E-2</v>
      </c>
      <c r="FM1" s="109">
        <f>(((FE8-FE7)*0.25/90))*(FE8-$B$1)/(FE8-FE7)</f>
        <v>-6.0916666666666668</v>
      </c>
      <c r="FQ1" s="110"/>
      <c r="FR1" s="110" t="s">
        <v>2350</v>
      </c>
      <c r="FS1" s="424" t="s">
        <v>2502</v>
      </c>
      <c r="FU1" s="148" t="s">
        <v>815</v>
      </c>
      <c r="FV1" s="142">
        <v>4.0300000000000002E-2</v>
      </c>
      <c r="GD1" s="142"/>
      <c r="GE1" s="110" t="s">
        <v>966</v>
      </c>
      <c r="GF1" s="110"/>
      <c r="GG1" s="110"/>
      <c r="GH1" s="110"/>
      <c r="GI1" s="110" t="s">
        <v>815</v>
      </c>
      <c r="GJ1" s="142">
        <v>2.63E-2</v>
      </c>
      <c r="GK1" s="254"/>
      <c r="GQ1" s="142"/>
      <c r="GR1" s="110" t="s">
        <v>966</v>
      </c>
      <c r="GS1" s="110"/>
      <c r="GT1" s="110"/>
      <c r="GU1" s="110"/>
      <c r="GV1" s="110" t="s">
        <v>815</v>
      </c>
      <c r="GW1" s="142">
        <v>4.0300000000000002E-2</v>
      </c>
      <c r="GX1" s="254"/>
      <c r="HD1" s="1381"/>
      <c r="HE1" s="110" t="s">
        <v>966</v>
      </c>
      <c r="HF1" s="110"/>
      <c r="HG1" s="110"/>
      <c r="HH1" s="110"/>
      <c r="HI1" s="110" t="s">
        <v>815</v>
      </c>
      <c r="HJ1" s="142">
        <v>4.4200000000000003E-2</v>
      </c>
      <c r="HK1" s="254"/>
      <c r="HR1" s="142"/>
      <c r="HS1" s="110" t="s">
        <v>1459</v>
      </c>
      <c r="HT1" s="110"/>
      <c r="HU1" s="110"/>
      <c r="HV1" s="110"/>
      <c r="HW1" s="110" t="s">
        <v>815</v>
      </c>
      <c r="HX1" s="142">
        <v>4.4999999999999998E-2</v>
      </c>
      <c r="ID1" s="142"/>
      <c r="IE1" s="110" t="s">
        <v>1459</v>
      </c>
      <c r="IF1" s="110"/>
      <c r="IG1" s="110"/>
      <c r="IH1" s="110"/>
      <c r="II1" s="110" t="s">
        <v>815</v>
      </c>
      <c r="IJ1" s="142">
        <v>3.7499999999999999E-2</v>
      </c>
      <c r="IP1" s="1381"/>
      <c r="IQ1" s="110" t="s">
        <v>1459</v>
      </c>
      <c r="IR1" s="110"/>
      <c r="IS1" s="110"/>
      <c r="IT1" s="110"/>
      <c r="IU1" s="110" t="s">
        <v>815</v>
      </c>
      <c r="IV1" s="142">
        <v>2.9399999999999999E-2</v>
      </c>
      <c r="JD1" s="142"/>
      <c r="JE1" s="110" t="s">
        <v>1459</v>
      </c>
      <c r="JF1" s="110"/>
      <c r="JG1" s="110"/>
      <c r="JH1" s="110"/>
      <c r="JI1" s="110" t="s">
        <v>815</v>
      </c>
      <c r="JJ1" s="142">
        <v>3.85E-2</v>
      </c>
      <c r="JP1" s="142"/>
      <c r="JQ1" s="110" t="s">
        <v>3033</v>
      </c>
      <c r="JR1" s="110"/>
      <c r="JS1" s="110"/>
      <c r="JT1" s="110"/>
      <c r="JU1" s="110" t="s">
        <v>815</v>
      </c>
      <c r="JV1" s="142">
        <v>5.45E-2</v>
      </c>
      <c r="KB1" s="110" t="s">
        <v>3033</v>
      </c>
      <c r="KC1" s="110"/>
      <c r="KD1" s="110"/>
      <c r="KE1" s="110"/>
      <c r="KF1" s="110" t="s">
        <v>815</v>
      </c>
      <c r="KG1" s="142">
        <v>5.45E-2</v>
      </c>
      <c r="KN1" s="110" t="s">
        <v>3033</v>
      </c>
      <c r="KO1" s="110"/>
      <c r="KP1" s="110"/>
      <c r="KQ1" s="110"/>
      <c r="KR1" s="110" t="s">
        <v>815</v>
      </c>
      <c r="KS1" s="142">
        <v>4.4699999999999997E-2</v>
      </c>
      <c r="KW1" s="1608"/>
    </row>
    <row r="2" spans="1:309" s="675" customFormat="1" ht="15" customHeight="1" x14ac:dyDescent="0.25">
      <c r="H2" s="676">
        <v>5000</v>
      </c>
      <c r="L2" s="148" t="s">
        <v>1328</v>
      </c>
      <c r="M2" s="142">
        <v>5.4999999999999997E-3</v>
      </c>
      <c r="O2" s="677"/>
      <c r="P2" s="677"/>
      <c r="Q2" s="142"/>
      <c r="R2" s="142"/>
      <c r="S2" s="142"/>
      <c r="T2" s="676">
        <v>5001</v>
      </c>
      <c r="U2" s="677"/>
      <c r="V2" s="142"/>
      <c r="W2" s="142"/>
      <c r="X2" s="110" t="s">
        <v>1328</v>
      </c>
      <c r="Y2" s="142">
        <v>7.4999999999999997E-3</v>
      </c>
      <c r="AD2" s="142"/>
      <c r="AE2" s="142"/>
      <c r="AF2" s="676">
        <v>5004</v>
      </c>
      <c r="AG2" s="142"/>
      <c r="AH2" s="142"/>
      <c r="AI2" s="142"/>
      <c r="AJ2" s="110" t="s">
        <v>1328</v>
      </c>
      <c r="AK2" s="142">
        <v>4.0000000000000001E-3</v>
      </c>
      <c r="AO2" s="142"/>
      <c r="AP2" s="142"/>
      <c r="AQ2" s="142"/>
      <c r="AR2" s="676">
        <v>5005</v>
      </c>
      <c r="AS2" s="142"/>
      <c r="AT2" s="142"/>
      <c r="AU2" s="142"/>
      <c r="AV2" s="110" t="s">
        <v>1328</v>
      </c>
      <c r="AW2" s="142">
        <v>6.4999999999999997E-3</v>
      </c>
      <c r="BC2" s="676">
        <v>5008</v>
      </c>
      <c r="BD2" s="676">
        <v>5109</v>
      </c>
      <c r="BE2" s="142"/>
      <c r="BF2" s="147"/>
      <c r="BG2" s="142"/>
      <c r="BH2" s="148" t="s">
        <v>1328</v>
      </c>
      <c r="BI2" s="142">
        <v>0.01</v>
      </c>
      <c r="BN2" s="452"/>
      <c r="BP2" s="142"/>
      <c r="BQ2" s="676"/>
      <c r="BR2" s="142"/>
      <c r="BS2" s="142"/>
      <c r="BT2" s="142"/>
      <c r="BU2" s="148" t="s">
        <v>1328</v>
      </c>
      <c r="BV2" s="142">
        <v>4.0000000000000001E-3</v>
      </c>
      <c r="CB2" s="142"/>
      <c r="CC2" s="676">
        <v>5061</v>
      </c>
      <c r="CD2" s="142"/>
      <c r="CE2" s="142"/>
      <c r="CF2" s="142"/>
      <c r="CG2" s="148" t="s">
        <v>1328</v>
      </c>
      <c r="CH2" s="142">
        <v>5.4999999999999997E-3</v>
      </c>
      <c r="CM2" s="452"/>
      <c r="CN2" s="142"/>
      <c r="CO2" s="676">
        <v>5060</v>
      </c>
      <c r="CP2" s="142"/>
      <c r="CQ2" s="142"/>
      <c r="CR2" s="142"/>
      <c r="CS2" s="148" t="s">
        <v>1328</v>
      </c>
      <c r="CT2" s="142">
        <v>4.0000000000000001E-3</v>
      </c>
      <c r="CV2" s="678">
        <v>760.94</v>
      </c>
      <c r="CW2" s="679">
        <f>CO9</f>
        <v>43275</v>
      </c>
      <c r="CX2" s="452"/>
      <c r="CY2" s="680"/>
      <c r="DB2" s="452"/>
      <c r="DC2" s="452"/>
      <c r="DD2" s="452"/>
      <c r="DE2" s="142"/>
      <c r="DF2" s="676">
        <v>7000</v>
      </c>
      <c r="DG2" s="142"/>
      <c r="DH2" s="142"/>
      <c r="DI2" s="142"/>
      <c r="DJ2" s="148" t="s">
        <v>1328</v>
      </c>
      <c r="DK2" s="142">
        <v>0</v>
      </c>
      <c r="DM2" s="678"/>
      <c r="DN2" s="679"/>
      <c r="DO2" s="452"/>
      <c r="DQ2" s="142"/>
      <c r="DR2" s="50">
        <v>5012</v>
      </c>
      <c r="DS2" s="142"/>
      <c r="DT2" s="142"/>
      <c r="DU2" s="142"/>
      <c r="DV2" s="148" t="s">
        <v>1328</v>
      </c>
      <c r="DW2" s="142">
        <v>2.3999999999999998E-3</v>
      </c>
      <c r="EC2" s="142"/>
      <c r="ED2" s="50">
        <v>5099</v>
      </c>
      <c r="EE2" s="142"/>
      <c r="EF2" s="142"/>
      <c r="EG2" s="142"/>
      <c r="EH2" s="148" t="s">
        <v>1328</v>
      </c>
      <c r="EI2" s="142">
        <v>4.0000000000000001E-3</v>
      </c>
      <c r="EO2" s="452"/>
      <c r="EP2" s="452"/>
      <c r="EQ2" s="142"/>
      <c r="ER2" s="50">
        <v>9394</v>
      </c>
      <c r="ES2" s="452"/>
      <c r="EU2" s="148" t="s">
        <v>1328</v>
      </c>
      <c r="EV2" s="142">
        <v>4.0000000000000001E-3</v>
      </c>
      <c r="FD2" s="142"/>
      <c r="FE2" s="50">
        <v>5106</v>
      </c>
      <c r="FF2" s="452"/>
      <c r="FH2" s="148" t="s">
        <v>1328</v>
      </c>
      <c r="FI2" s="142">
        <v>4.4999999999999997E-3</v>
      </c>
      <c r="FK2" s="675">
        <f>FE8-FE7</f>
        <v>106</v>
      </c>
      <c r="FL2" s="675">
        <f>FE8-FE7</f>
        <v>106</v>
      </c>
      <c r="FN2" s="716"/>
      <c r="FQ2" s="142"/>
      <c r="FR2" s="50">
        <v>5107</v>
      </c>
      <c r="FS2" s="452"/>
      <c r="FU2" s="148" t="s">
        <v>1328</v>
      </c>
      <c r="FV2" s="142">
        <v>6.0000000000000001E-3</v>
      </c>
      <c r="GC2" s="681"/>
      <c r="GD2" s="142"/>
      <c r="GE2" s="50">
        <v>5116</v>
      </c>
      <c r="GF2" s="486" t="s">
        <v>2327</v>
      </c>
      <c r="GG2" s="485"/>
      <c r="GH2" s="485"/>
      <c r="GI2" s="148" t="s">
        <v>1328</v>
      </c>
      <c r="GJ2" s="142">
        <v>5.0000000000000001E-3</v>
      </c>
      <c r="GL2" s="681"/>
      <c r="GQ2" s="142"/>
      <c r="GR2" s="50">
        <v>5117</v>
      </c>
      <c r="GS2" s="486" t="s">
        <v>2327</v>
      </c>
      <c r="GT2" s="485"/>
      <c r="GU2" s="485"/>
      <c r="GV2" s="148" t="s">
        <v>1328</v>
      </c>
      <c r="GW2" s="142">
        <v>6.4999999999999997E-3</v>
      </c>
      <c r="GY2" s="681"/>
      <c r="HD2" s="1381"/>
      <c r="HE2" s="50">
        <v>5032</v>
      </c>
      <c r="HF2" s="486" t="s">
        <v>2327</v>
      </c>
      <c r="HG2" s="485"/>
      <c r="HH2" s="485"/>
      <c r="HI2" s="148" t="s">
        <v>1328</v>
      </c>
      <c r="HJ2" s="142">
        <v>4.0000000000000001E-3</v>
      </c>
      <c r="HL2" s="681"/>
      <c r="HR2" s="142"/>
      <c r="HS2" s="676">
        <v>9202</v>
      </c>
      <c r="HT2" s="677"/>
      <c r="HU2" s="142"/>
      <c r="HV2" s="142"/>
      <c r="HW2" s="110" t="s">
        <v>1328</v>
      </c>
      <c r="HX2" s="142">
        <v>0</v>
      </c>
      <c r="ID2" s="142"/>
      <c r="IE2" s="676">
        <v>9473</v>
      </c>
      <c r="IF2" s="677"/>
      <c r="IG2" s="142"/>
      <c r="IH2" s="142"/>
      <c r="II2" s="110" t="s">
        <v>1328</v>
      </c>
      <c r="IJ2" s="142">
        <v>1.2999999999999999E-2</v>
      </c>
      <c r="IN2" s="681"/>
      <c r="IP2" s="1381"/>
      <c r="IQ2" s="676">
        <v>5174</v>
      </c>
      <c r="IR2" s="677"/>
      <c r="IS2" s="142"/>
      <c r="IT2" s="142"/>
      <c r="IU2" s="110" t="s">
        <v>1328</v>
      </c>
      <c r="IV2" s="142">
        <v>5.7999999999999996E-3</v>
      </c>
      <c r="IZ2" s="681"/>
      <c r="JD2" s="142"/>
      <c r="JE2" s="676">
        <v>5136</v>
      </c>
      <c r="JF2" s="677"/>
      <c r="JG2" s="142"/>
      <c r="JH2" s="142"/>
      <c r="JI2" s="110" t="s">
        <v>1328</v>
      </c>
      <c r="JJ2" s="142">
        <v>8.0000000000000002E-3</v>
      </c>
      <c r="JN2" s="681"/>
      <c r="JP2" s="142"/>
      <c r="JQ2" s="676">
        <v>9628</v>
      </c>
      <c r="JR2" s="677"/>
      <c r="JS2" s="142"/>
      <c r="JT2" s="142"/>
      <c r="JU2" s="110" t="s">
        <v>1328</v>
      </c>
      <c r="JV2" s="142">
        <v>0.02</v>
      </c>
      <c r="JZ2" s="681"/>
      <c r="KB2" s="676">
        <v>9557</v>
      </c>
      <c r="KC2" s="677"/>
      <c r="KD2" s="142"/>
      <c r="KE2" s="142"/>
      <c r="KF2" s="110" t="s">
        <v>1328</v>
      </c>
      <c r="KG2" s="142">
        <v>1.7100000000000001E-2</v>
      </c>
      <c r="KK2" s="681"/>
      <c r="KN2" s="676">
        <v>9670</v>
      </c>
      <c r="KO2" s="677"/>
      <c r="KP2" s="142"/>
      <c r="KQ2" s="142"/>
      <c r="KR2" s="110" t="s">
        <v>1328</v>
      </c>
      <c r="KS2" s="142">
        <v>6.0000000000000001E-3</v>
      </c>
      <c r="KW2" s="1609"/>
    </row>
    <row r="3" spans="1:309" ht="15.75" x14ac:dyDescent="0.25">
      <c r="L3" s="148" t="s">
        <v>650</v>
      </c>
      <c r="M3" s="147" t="e">
        <f>+SUM(Q8:Q35)</f>
        <v>#VALUE!</v>
      </c>
      <c r="N3" s="110"/>
      <c r="O3" s="110"/>
      <c r="P3" s="110"/>
      <c r="Q3" s="110"/>
      <c r="R3" s="109"/>
      <c r="S3" s="109"/>
      <c r="T3" s="171"/>
      <c r="U3" s="171"/>
      <c r="V3" s="171"/>
      <c r="W3" s="171"/>
      <c r="X3" s="148" t="s">
        <v>650</v>
      </c>
      <c r="Y3" s="147">
        <f>+SUM(AC8:AC70)</f>
        <v>0</v>
      </c>
      <c r="Z3" s="147"/>
      <c r="AA3" s="213"/>
      <c r="AB3" s="110"/>
      <c r="AC3" s="110"/>
      <c r="AJ3" s="148" t="s">
        <v>650</v>
      </c>
      <c r="AK3" s="147">
        <f>+SUM(AO8:AO34)</f>
        <v>0</v>
      </c>
      <c r="AL3" s="147"/>
      <c r="AM3" s="110"/>
      <c r="AN3" s="213"/>
      <c r="AO3" s="110"/>
      <c r="AV3" s="148" t="s">
        <v>650</v>
      </c>
      <c r="AW3" s="147">
        <f>+SUM(BA8:BA72)</f>
        <v>0</v>
      </c>
      <c r="AX3" s="147">
        <v>35118.960700000003</v>
      </c>
      <c r="AY3" s="110"/>
      <c r="AZ3" s="110"/>
      <c r="BA3" s="110"/>
      <c r="BC3" s="726" t="s">
        <v>2570</v>
      </c>
      <c r="BD3" s="727"/>
      <c r="BE3" s="727"/>
      <c r="BF3" s="837"/>
      <c r="BG3" s="833"/>
      <c r="BH3" s="148" t="s">
        <v>650</v>
      </c>
      <c r="BI3" s="767">
        <f>+SUM(BM8:BM63)</f>
        <v>0</v>
      </c>
      <c r="BJ3" s="147"/>
      <c r="BK3" s="110"/>
      <c r="BL3" s="110"/>
      <c r="BM3" s="110"/>
      <c r="BU3" s="148" t="s">
        <v>650</v>
      </c>
      <c r="BV3" s="147" t="e">
        <f>+SUM(BZ8:BZ64)</f>
        <v>#VALUE!</v>
      </c>
      <c r="BW3" s="147"/>
      <c r="BX3" s="110"/>
      <c r="BY3" s="110"/>
      <c r="BZ3" s="110"/>
      <c r="CG3" s="148" t="s">
        <v>650</v>
      </c>
      <c r="CH3" s="767">
        <f>+SUM(CL8:CL79)</f>
        <v>73369.259500000029</v>
      </c>
      <c r="CI3" s="147"/>
      <c r="CJ3" s="110"/>
      <c r="CK3" s="110"/>
      <c r="CL3" s="110"/>
      <c r="CS3" s="148" t="s">
        <v>650</v>
      </c>
      <c r="CT3" s="785">
        <f>+SUM(CX8:CX43)</f>
        <v>0</v>
      </c>
      <c r="CU3" s="147"/>
      <c r="CV3" s="449">
        <f>ROUNDDOWN(CQ8*$CT$1*0.25,2)</f>
        <v>760.94</v>
      </c>
      <c r="CW3" s="516">
        <v>43362</v>
      </c>
      <c r="CX3" s="449"/>
      <c r="CY3" s="448"/>
      <c r="DJ3" s="148" t="s">
        <v>650</v>
      </c>
      <c r="DK3" s="147">
        <f>+SUM(DO8:DO43)</f>
        <v>0</v>
      </c>
      <c r="DL3" s="147"/>
      <c r="DM3" s="449"/>
      <c r="DN3" s="516"/>
      <c r="DO3" s="449"/>
      <c r="DV3" s="148" t="s">
        <v>650</v>
      </c>
      <c r="DW3" s="147">
        <f>+SUM(EA8:EA53)</f>
        <v>0</v>
      </c>
      <c r="DX3" s="147"/>
      <c r="DY3" s="213"/>
      <c r="DZ3" s="110"/>
      <c r="EA3" s="110"/>
      <c r="EH3" s="148" t="s">
        <v>650</v>
      </c>
      <c r="EI3" s="767">
        <f>+SUM(EM8:EM30)</f>
        <v>0</v>
      </c>
      <c r="EJ3" s="567"/>
      <c r="EK3" s="213"/>
      <c r="EL3" s="110"/>
      <c r="EM3" s="110"/>
      <c r="EU3" s="148" t="s">
        <v>650</v>
      </c>
      <c r="EV3" s="147">
        <f>+SUM(EZ8:EZ30)</f>
        <v>0.49103999999999981</v>
      </c>
      <c r="FH3" s="148" t="s">
        <v>650</v>
      </c>
      <c r="FI3" s="720">
        <f>+SUM(FN30:FN54)</f>
        <v>29757.884849999995</v>
      </c>
      <c r="FK3" s="306">
        <v>44279</v>
      </c>
      <c r="FL3" s="109">
        <f>FL2/364</f>
        <v>0.29120879120879123</v>
      </c>
      <c r="FU3" s="148" t="s">
        <v>650</v>
      </c>
      <c r="FV3" s="767">
        <f>+SUM(GA8:GA74)</f>
        <v>98741.376600000018</v>
      </c>
      <c r="FX3" s="306">
        <v>44279</v>
      </c>
      <c r="GI3" s="148" t="s">
        <v>650</v>
      </c>
      <c r="GJ3" s="767">
        <f>+SUM(GN8:GN57)</f>
        <v>53193.035100000001</v>
      </c>
      <c r="GK3" s="147"/>
      <c r="GL3" s="671"/>
      <c r="GM3" s="110"/>
      <c r="GN3" s="110"/>
      <c r="GO3" s="110"/>
      <c r="GV3" s="148" t="s">
        <v>650</v>
      </c>
      <c r="GW3" s="147">
        <f>+SUM(HA8:HA133)</f>
        <v>80421.709939253822</v>
      </c>
      <c r="GX3" s="147"/>
      <c r="GY3" s="671"/>
      <c r="GZ3" s="110"/>
      <c r="HA3" s="110"/>
      <c r="HI3" s="148" t="s">
        <v>650</v>
      </c>
      <c r="HJ3" s="147" t="e">
        <f>+SUM(HN8:HN39)</f>
        <v>#VALUE!</v>
      </c>
      <c r="HK3" s="147"/>
      <c r="HL3" s="671"/>
      <c r="HM3" s="110"/>
      <c r="HN3" s="110"/>
      <c r="HR3" s="109"/>
      <c r="HS3" s="171"/>
      <c r="HT3" s="171"/>
      <c r="HU3" s="171"/>
      <c r="HV3" s="171"/>
      <c r="HW3" s="110" t="s">
        <v>650</v>
      </c>
      <c r="HX3" s="795">
        <f>+SUM(IB8:IB70)</f>
        <v>237.3827</v>
      </c>
      <c r="HY3" s="147"/>
      <c r="HZ3" s="213"/>
      <c r="IA3" s="110"/>
      <c r="IB3" s="110"/>
      <c r="ID3" s="109"/>
      <c r="IE3" s="171"/>
      <c r="IF3" s="171"/>
      <c r="IG3" s="171"/>
      <c r="IH3" s="171"/>
      <c r="II3" s="148" t="s">
        <v>650</v>
      </c>
      <c r="IJ3" s="720">
        <f>+SUM(IN8:IN70)</f>
        <v>68282.477399999989</v>
      </c>
      <c r="IK3" s="147"/>
      <c r="IL3" s="758"/>
      <c r="IM3" s="110"/>
      <c r="IN3" s="671"/>
      <c r="IP3" s="1382"/>
      <c r="IQ3" s="171"/>
      <c r="IR3" s="171"/>
      <c r="IS3" s="171"/>
      <c r="IT3" s="171"/>
      <c r="IU3" s="148" t="s">
        <v>650</v>
      </c>
      <c r="IV3" s="720">
        <f>+SUM(IZ8:IZ70)</f>
        <v>90118.524652092427</v>
      </c>
      <c r="IW3" s="147"/>
      <c r="IX3" s="758"/>
      <c r="IY3" s="110"/>
      <c r="IZ3" s="671"/>
      <c r="JD3" s="109"/>
      <c r="JE3" s="171"/>
      <c r="JF3" s="171"/>
      <c r="JG3" s="171"/>
      <c r="JH3" s="171"/>
      <c r="JI3" s="148" t="s">
        <v>650</v>
      </c>
      <c r="JJ3" s="720">
        <f>+SUM(JN8:JN70)</f>
        <v>0</v>
      </c>
      <c r="JK3" s="147"/>
      <c r="JL3" s="758"/>
      <c r="JM3" s="110"/>
      <c r="JN3" s="671"/>
      <c r="JP3" s="109"/>
      <c r="JQ3" s="171"/>
      <c r="JR3" s="171"/>
      <c r="JS3" s="171"/>
      <c r="JT3" s="171"/>
      <c r="JU3" s="148" t="s">
        <v>650</v>
      </c>
      <c r="JV3" s="720">
        <f>+SUM(JZ13:JZ35)</f>
        <v>101649.40629999999</v>
      </c>
      <c r="JW3" s="147"/>
      <c r="JX3" s="758"/>
      <c r="JY3" s="110"/>
      <c r="JZ3" s="671"/>
      <c r="KB3" s="171"/>
      <c r="KC3" s="171"/>
      <c r="KD3" s="171"/>
      <c r="KE3" s="171"/>
      <c r="KF3" s="148" t="s">
        <v>650</v>
      </c>
      <c r="KG3" s="720">
        <f>+SUM(KK8:KK70)</f>
        <v>69886.358300000007</v>
      </c>
      <c r="KH3" s="147"/>
      <c r="KI3" s="758"/>
      <c r="KJ3" s="110"/>
      <c r="KK3" s="671"/>
      <c r="KN3" s="171"/>
      <c r="KO3" s="171"/>
      <c r="KP3" s="171"/>
      <c r="KQ3" s="171"/>
      <c r="KR3" s="148" t="s">
        <v>650</v>
      </c>
      <c r="KS3" s="720">
        <f>+SUM(KW8:KW70)</f>
        <v>101888.39670000003</v>
      </c>
      <c r="KT3" s="147"/>
      <c r="KU3" s="758"/>
      <c r="KV3" s="110"/>
      <c r="KW3" s="767"/>
    </row>
    <row r="4" spans="1:309" ht="15.75" x14ac:dyDescent="0.25">
      <c r="A4" s="1650" t="s">
        <v>816</v>
      </c>
      <c r="B4" s="1650"/>
      <c r="C4" s="1650" t="s">
        <v>136</v>
      </c>
      <c r="D4" s="1650"/>
      <c r="L4" s="148" t="s">
        <v>1331</v>
      </c>
      <c r="M4" s="149" t="e">
        <f>+SUMPRODUCT(O8:O35,Q8:Q35)/M3</f>
        <v>#VALUE!</v>
      </c>
      <c r="O4" s="109"/>
      <c r="P4" s="109"/>
      <c r="Q4" s="109"/>
      <c r="R4" s="109"/>
      <c r="S4" s="109"/>
      <c r="T4" s="171"/>
      <c r="U4" s="171"/>
      <c r="V4" s="171"/>
      <c r="W4" s="171"/>
      <c r="X4" s="148" t="s">
        <v>1331</v>
      </c>
      <c r="Y4" s="292" t="e">
        <f>+SUMPRODUCT(AA8:AA71,AC8:AC70)/Y3</f>
        <v>#VALUE!</v>
      </c>
      <c r="Z4" s="110"/>
      <c r="AA4" s="110"/>
      <c r="AB4" s="110"/>
      <c r="AC4" s="110"/>
      <c r="AJ4" s="148" t="s">
        <v>1331</v>
      </c>
      <c r="AK4" s="149" t="e">
        <f>+SUMPRODUCT(AM8:AM34,AO8:AO34)/AK3</f>
        <v>#DIV/0!</v>
      </c>
      <c r="AV4" s="148" t="s">
        <v>1331</v>
      </c>
      <c r="AW4" s="149" t="e">
        <f>+SUMPRODUCT(AY8:AY72,BA8:BA72)/AW3</f>
        <v>#DIV/0!</v>
      </c>
      <c r="AX4" s="110"/>
      <c r="AY4" s="110"/>
      <c r="AZ4" s="110"/>
      <c r="BA4" s="110"/>
      <c r="BH4" s="148" t="s">
        <v>1331</v>
      </c>
      <c r="BI4" s="1043" t="e">
        <f>+SUMPRODUCT(BK8:BK63,BM8:BM63)/BI3</f>
        <v>#DIV/0!</v>
      </c>
      <c r="BJ4" s="213"/>
      <c r="BK4" s="110"/>
      <c r="BL4" s="213"/>
      <c r="BM4" s="110"/>
      <c r="BS4" s="221"/>
      <c r="BU4" s="148" t="s">
        <v>1331</v>
      </c>
      <c r="BV4" s="149" t="e">
        <f>+SUMPRODUCT(BX8:BX53,BZ8:BZ53)/BV3</f>
        <v>#VALUE!</v>
      </c>
      <c r="BW4" s="213"/>
      <c r="BX4" s="110"/>
      <c r="BY4" s="213"/>
      <c r="BZ4" s="110"/>
      <c r="CE4" s="221"/>
      <c r="CG4" s="148" t="s">
        <v>1331</v>
      </c>
      <c r="CH4" s="149">
        <f>+SUMPRODUCT(CJ8:CJ53,CL8:CL53)/CH3</f>
        <v>1.2399601493412526</v>
      </c>
      <c r="CI4" s="213"/>
      <c r="CJ4" s="110"/>
      <c r="CK4" s="213"/>
      <c r="CL4" s="110"/>
      <c r="CQ4" s="221"/>
      <c r="CS4" s="148" t="s">
        <v>1331</v>
      </c>
      <c r="CT4" s="149" t="e">
        <f>+SUMPRODUCT(CV8:CV53,CX8:CX53)/CT3</f>
        <v>#DIV/0!</v>
      </c>
      <c r="CU4" s="213"/>
      <c r="CV4" s="450"/>
      <c r="CW4" s="451"/>
      <c r="CX4" s="449"/>
      <c r="CY4" s="517"/>
      <c r="DH4" s="221"/>
      <c r="DJ4" s="148" t="s">
        <v>1331</v>
      </c>
      <c r="DK4" s="149" t="e">
        <f>+SUMPRODUCT(DM8:DM53,DO8:DO53)/DK3</f>
        <v>#DIV/0!</v>
      </c>
      <c r="DL4" s="213"/>
      <c r="DM4" s="450"/>
      <c r="DN4" s="451"/>
      <c r="DO4" s="449"/>
      <c r="DT4" s="221"/>
      <c r="DV4" s="148" t="s">
        <v>1331</v>
      </c>
      <c r="DW4" s="292" t="e">
        <f>+SUMPRODUCT(DY8:DY39,EA8:EA39)/DW3</f>
        <v>#DIV/0!</v>
      </c>
      <c r="DX4" s="213"/>
      <c r="DY4" s="110"/>
      <c r="DZ4" s="213"/>
      <c r="EA4" s="110"/>
      <c r="EC4" s="109">
        <f>ED9-ED8</f>
        <v>92</v>
      </c>
      <c r="ED4" s="306">
        <v>43446</v>
      </c>
      <c r="EF4" s="221"/>
      <c r="EH4" s="148" t="s">
        <v>1331</v>
      </c>
      <c r="EI4" s="149" t="e">
        <f>+SUMPRODUCT(EK8:EK30,EM8:EM30)/EI3</f>
        <v>#DIV/0!</v>
      </c>
      <c r="EJ4" s="213"/>
      <c r="EK4" s="110"/>
      <c r="EL4" s="577">
        <f>2.38%+EI2</f>
        <v>2.7799999999999998E-2</v>
      </c>
      <c r="EM4" s="110"/>
      <c r="EU4" s="148" t="s">
        <v>1331</v>
      </c>
      <c r="EV4" s="149">
        <f>+SUMPRODUCT(EX8:EX30,EZ8:EZ30)/EV3</f>
        <v>0</v>
      </c>
      <c r="FE4">
        <f>FE5-FE7</f>
        <v>91</v>
      </c>
      <c r="FH4" s="148" t="s">
        <v>1331</v>
      </c>
      <c r="FI4" s="213">
        <f>+SUMPRODUCT(FK8:FK30,FM8:FM30)/FI3</f>
        <v>0</v>
      </c>
      <c r="FK4" s="109">
        <f>FK3-FE8</f>
        <v>365</v>
      </c>
      <c r="FL4" s="656">
        <f>(FE8-$B$1)/(FE8-FE7)</f>
        <v>-20.688679245283019</v>
      </c>
      <c r="FM4" s="109">
        <f>106/91</f>
        <v>1.1648351648351649</v>
      </c>
      <c r="FN4" s="715">
        <f>FE8-FE7</f>
        <v>106</v>
      </c>
      <c r="FU4" s="148" t="s">
        <v>1331</v>
      </c>
      <c r="FV4" s="149">
        <f>+SUMPRODUCT(FX8:FX30,FZ8:FZ30)/FV3</f>
        <v>1.9300465170950431E-3</v>
      </c>
      <c r="FX4" s="109">
        <f>FX3-FR8</f>
        <v>365</v>
      </c>
      <c r="GF4" s="306"/>
      <c r="GG4" s="221"/>
      <c r="GH4" s="221"/>
      <c r="GI4" s="148" t="s">
        <v>1331</v>
      </c>
      <c r="GJ4" s="149">
        <f>+SUMPRODUCT(GL8:GL39,GN8:GN39)/GJ3</f>
        <v>1.1288947241338845</v>
      </c>
      <c r="GK4" s="213"/>
      <c r="GL4" s="671"/>
      <c r="GM4" s="213"/>
      <c r="GN4" s="110"/>
      <c r="GO4" s="110"/>
      <c r="GT4" s="221"/>
      <c r="GV4" s="148" t="s">
        <v>1331</v>
      </c>
      <c r="GW4" s="149">
        <f>+SUMPRODUCT(GY8:GY39,HA8:HA39)/GW3</f>
        <v>0.33375786392543522</v>
      </c>
      <c r="GX4" s="213"/>
      <c r="GY4" s="671"/>
      <c r="GZ4" s="213"/>
      <c r="HA4" s="110"/>
      <c r="HG4" s="221"/>
      <c r="HI4" s="148" t="s">
        <v>1331</v>
      </c>
      <c r="HJ4" s="149" t="e">
        <f>+SUMPRODUCT(HL8:HL39,HN8:HN39)/HJ3</f>
        <v>#VALUE!</v>
      </c>
      <c r="HK4" s="213"/>
      <c r="HL4" s="671"/>
      <c r="HM4" s="213"/>
      <c r="HN4" s="110"/>
      <c r="HR4" s="109"/>
      <c r="HS4" s="171"/>
      <c r="HT4" s="171"/>
      <c r="HU4" s="171"/>
      <c r="HV4" s="171"/>
      <c r="HW4" s="110" t="s">
        <v>1331</v>
      </c>
      <c r="HX4" s="292">
        <f>+SUMPRODUCT(HZ8:HZ70,IB8:IB70)/HX3</f>
        <v>0.41792369134977164</v>
      </c>
      <c r="HY4" s="110"/>
      <c r="HZ4" s="110"/>
      <c r="IA4" s="110"/>
      <c r="IB4" s="110"/>
      <c r="ID4" s="109"/>
      <c r="IE4" s="171"/>
      <c r="IF4" s="171"/>
      <c r="IG4" s="171"/>
      <c r="IH4" s="171"/>
      <c r="II4" s="148" t="s">
        <v>1331</v>
      </c>
      <c r="IJ4" s="764">
        <f>+SUMPRODUCT(IL8:IL70,IN8:IN70)/IJ3</f>
        <v>5.0380817357603975</v>
      </c>
      <c r="IK4" s="110"/>
      <c r="IL4" s="760"/>
      <c r="IM4" s="110"/>
      <c r="IN4" s="671"/>
      <c r="IP4" s="1382"/>
      <c r="IQ4" s="171"/>
      <c r="IR4" s="171"/>
      <c r="IS4" s="171"/>
      <c r="IT4" s="171"/>
      <c r="IU4" s="148" t="s">
        <v>1331</v>
      </c>
      <c r="IV4" s="764">
        <f>+SUMPRODUCT(IX8:IX70,IZ8:IZ70)/IV3</f>
        <v>1.4979897942425775</v>
      </c>
      <c r="IW4" s="110"/>
      <c r="IX4" s="760"/>
      <c r="IY4" s="110"/>
      <c r="IZ4" s="671"/>
      <c r="JD4" s="109"/>
      <c r="JE4" s="171"/>
      <c r="JF4" s="171"/>
      <c r="JG4" s="171"/>
      <c r="JH4" s="171"/>
      <c r="JI4" s="148" t="s">
        <v>1331</v>
      </c>
      <c r="JJ4" s="764" t="e">
        <f>+SUMPRODUCT(JL8:JL70,JN8:JN70)/JJ3</f>
        <v>#DIV/0!</v>
      </c>
      <c r="JK4" s="110"/>
      <c r="JL4" s="760"/>
      <c r="JM4" s="110"/>
      <c r="JN4" s="671"/>
      <c r="JP4" s="109"/>
      <c r="JQ4" s="171"/>
      <c r="JR4" s="171"/>
      <c r="JS4" s="171"/>
      <c r="JT4" s="171"/>
      <c r="JU4" s="148" t="s">
        <v>1331</v>
      </c>
      <c r="JV4" s="764"/>
      <c r="JW4" s="110"/>
      <c r="JX4" s="760"/>
      <c r="JY4" s="110"/>
      <c r="JZ4" s="671"/>
      <c r="KB4" s="171"/>
      <c r="KC4" s="171"/>
      <c r="KD4" s="171"/>
      <c r="KE4" s="171"/>
      <c r="KF4" s="148" t="s">
        <v>1331</v>
      </c>
      <c r="KG4" s="764"/>
      <c r="KH4" s="110"/>
      <c r="KI4" s="760"/>
      <c r="KJ4" s="110"/>
      <c r="KK4" s="671"/>
      <c r="KN4" s="171"/>
      <c r="KO4" s="171"/>
      <c r="KP4" s="171"/>
      <c r="KQ4" s="171"/>
      <c r="KR4" s="148" t="s">
        <v>1331</v>
      </c>
      <c r="KS4" s="764"/>
      <c r="KT4" s="110"/>
      <c r="KU4" s="760"/>
      <c r="KV4" s="110"/>
      <c r="KW4" s="767"/>
    </row>
    <row r="5" spans="1:309" ht="16.5" thickBot="1" x14ac:dyDescent="0.3">
      <c r="A5" s="95">
        <f>+CIH!A8</f>
        <v>1</v>
      </c>
      <c r="B5" s="315">
        <f>+CIH!B8</f>
        <v>2.3281430422376737E-2</v>
      </c>
      <c r="C5" s="95">
        <f>+CIH!K5</f>
        <v>1</v>
      </c>
      <c r="D5" s="315">
        <f>+CIH!L5</f>
        <v>2.5139999999999999E-2</v>
      </c>
      <c r="H5" s="169"/>
      <c r="I5" s="169"/>
      <c r="J5" s="169"/>
      <c r="K5" s="169"/>
      <c r="L5" s="169"/>
      <c r="M5" s="169"/>
      <c r="N5" s="169"/>
      <c r="O5" s="169"/>
      <c r="P5" s="169"/>
      <c r="Q5" s="169"/>
      <c r="R5" s="109"/>
      <c r="S5" s="109"/>
      <c r="T5" s="109"/>
      <c r="U5" s="171"/>
      <c r="V5" s="171"/>
      <c r="W5" s="171"/>
      <c r="X5" s="171"/>
      <c r="Y5" s="171"/>
      <c r="Z5" s="171"/>
      <c r="AA5" s="171"/>
      <c r="AB5" s="171"/>
      <c r="AC5" s="171"/>
      <c r="AF5" s="169"/>
      <c r="AG5" s="169"/>
      <c r="AH5" s="169"/>
      <c r="AI5" s="169"/>
      <c r="AJ5" s="169"/>
      <c r="AK5" s="169"/>
      <c r="AL5" s="169"/>
      <c r="AM5" s="169"/>
      <c r="AN5" s="169"/>
      <c r="AO5" s="169"/>
      <c r="BN5" t="s">
        <v>2543</v>
      </c>
      <c r="CE5" s="519">
        <v>100000</v>
      </c>
      <c r="CM5" s="13">
        <f>2.38%+CH2</f>
        <v>2.93E-2</v>
      </c>
      <c r="CQ5" s="519">
        <v>100000</v>
      </c>
      <c r="CV5" s="452" t="s">
        <v>2317</v>
      </c>
      <c r="CW5"/>
      <c r="CX5"/>
      <c r="CY5" s="448"/>
      <c r="DH5" s="522">
        <v>100000</v>
      </c>
      <c r="DM5" s="452"/>
      <c r="DN5"/>
      <c r="DO5"/>
      <c r="DT5" s="522">
        <v>100000</v>
      </c>
      <c r="EC5" s="109">
        <f>ED5-ED4</f>
        <v>90</v>
      </c>
      <c r="ED5" s="306">
        <v>43536</v>
      </c>
      <c r="EF5" s="522">
        <v>100000</v>
      </c>
      <c r="FD5">
        <f>FE9-FE8</f>
        <v>92</v>
      </c>
      <c r="FE5" s="8">
        <v>43899</v>
      </c>
      <c r="FG5" s="109">
        <v>100000</v>
      </c>
      <c r="FM5" s="109">
        <f>FM4/4</f>
        <v>0.29120879120879123</v>
      </c>
      <c r="FN5" s="715">
        <f>FN4/360</f>
        <v>0.29444444444444445</v>
      </c>
      <c r="FR5" s="8">
        <v>43899</v>
      </c>
      <c r="FT5" s="109">
        <v>100000</v>
      </c>
      <c r="GE5" s="306">
        <v>44450</v>
      </c>
      <c r="GF5" s="221"/>
      <c r="GY5" s="974"/>
      <c r="HR5" s="109"/>
      <c r="HS5" s="109"/>
      <c r="HT5" s="171"/>
      <c r="HU5" s="171">
        <v>1000</v>
      </c>
      <c r="HV5" s="171"/>
      <c r="HW5" s="794"/>
      <c r="HX5" s="171"/>
      <c r="HY5" s="171"/>
      <c r="HZ5" s="171"/>
      <c r="IA5" s="171"/>
      <c r="IB5" s="171"/>
      <c r="ID5" s="109"/>
      <c r="IE5" s="109"/>
      <c r="IF5" s="171"/>
      <c r="IG5" s="171">
        <v>1000</v>
      </c>
      <c r="IH5" s="171"/>
      <c r="II5" s="171"/>
      <c r="IJ5" s="171"/>
      <c r="IK5" s="171"/>
      <c r="IL5" s="759"/>
      <c r="IM5" s="171"/>
      <c r="IN5" s="775"/>
      <c r="IP5" s="1382"/>
      <c r="IQ5" s="109"/>
      <c r="IR5" s="171"/>
      <c r="IS5" s="171">
        <v>1000</v>
      </c>
      <c r="IT5" s="171"/>
      <c r="IU5" s="171"/>
      <c r="IV5" s="171"/>
      <c r="IW5" s="171"/>
      <c r="IX5" s="759"/>
      <c r="IY5" s="171"/>
      <c r="IZ5" s="775"/>
      <c r="JD5" s="109"/>
      <c r="JE5" s="109"/>
      <c r="JF5" s="171"/>
      <c r="JG5" s="171">
        <v>1000</v>
      </c>
      <c r="JH5" s="171"/>
      <c r="JI5" s="171"/>
      <c r="JJ5" s="171"/>
      <c r="JK5" s="171"/>
      <c r="JL5" s="759"/>
      <c r="JM5" s="171"/>
      <c r="JN5" s="775"/>
      <c r="JP5" s="109"/>
      <c r="JQ5" s="109"/>
      <c r="JR5" s="171"/>
      <c r="JS5" s="171">
        <v>1000</v>
      </c>
      <c r="JT5" s="171"/>
      <c r="JU5" s="171"/>
      <c r="JV5" s="171"/>
      <c r="JW5" s="171"/>
      <c r="JX5" s="759"/>
      <c r="JY5" s="171"/>
      <c r="JZ5" s="775"/>
      <c r="KB5" s="109"/>
      <c r="KC5" s="171"/>
      <c r="KD5" s="171">
        <v>1000</v>
      </c>
      <c r="KE5" s="171"/>
      <c r="KF5" s="171"/>
      <c r="KG5" s="171"/>
      <c r="KH5" s="171"/>
      <c r="KI5" s="759"/>
      <c r="KJ5" s="171"/>
      <c r="KK5" s="775"/>
      <c r="KN5" s="109"/>
      <c r="KO5" s="171"/>
      <c r="KP5" s="171">
        <v>1000</v>
      </c>
      <c r="KQ5" s="171"/>
      <c r="KR5" s="171"/>
      <c r="KS5" s="171"/>
      <c r="KT5" s="171"/>
      <c r="KU5" s="759"/>
      <c r="KV5" s="171"/>
      <c r="KW5" s="1610"/>
    </row>
    <row r="6" spans="1:309" ht="16.5" thickBot="1" x14ac:dyDescent="0.3">
      <c r="A6" s="168">
        <f>+IF('Courbe des taux'!A3="",A5,'Courbe des taux'!A3)</f>
        <v>53</v>
      </c>
      <c r="B6" s="315">
        <f>+CIH!B9</f>
        <v>2.3242907844156058E-2</v>
      </c>
      <c r="C6" s="168">
        <f>+CIH!K6</f>
        <v>2</v>
      </c>
      <c r="D6" s="684">
        <f>+CIH!L6</f>
        <v>2.6702202256353225E-2</v>
      </c>
      <c r="H6" s="169"/>
      <c r="I6" s="164" t="s">
        <v>1462</v>
      </c>
      <c r="J6" s="166" t="s">
        <v>1439</v>
      </c>
      <c r="K6" s="167"/>
      <c r="L6" s="11"/>
      <c r="M6" s="11"/>
      <c r="N6" s="11"/>
      <c r="O6" s="11"/>
      <c r="P6" s="11"/>
      <c r="Q6" s="11"/>
      <c r="R6" s="109"/>
      <c r="S6" s="109"/>
      <c r="T6" s="112"/>
      <c r="U6" s="160" t="s">
        <v>1462</v>
      </c>
      <c r="V6" s="162" t="s">
        <v>1463</v>
      </c>
      <c r="W6" s="163"/>
      <c r="X6" s="50"/>
      <c r="Y6" s="50"/>
      <c r="Z6" s="50"/>
      <c r="AA6" s="50"/>
      <c r="AB6" s="50"/>
      <c r="AC6" s="50"/>
      <c r="AF6" s="169"/>
      <c r="AG6" s="164" t="s">
        <v>1462</v>
      </c>
      <c r="AH6" s="166" t="s">
        <v>1439</v>
      </c>
      <c r="AI6" s="167"/>
      <c r="AJ6" s="11"/>
      <c r="AK6" s="11"/>
      <c r="AL6" s="11"/>
      <c r="AM6" s="11"/>
      <c r="AN6" s="11"/>
      <c r="AO6" s="11"/>
      <c r="AR6" s="112"/>
      <c r="AS6" s="160" t="s">
        <v>1462</v>
      </c>
      <c r="AT6" s="162" t="s">
        <v>1463</v>
      </c>
      <c r="AU6" s="163"/>
      <c r="AV6" s="50"/>
      <c r="AW6" s="50"/>
      <c r="AX6" s="50"/>
      <c r="AY6" s="50"/>
      <c r="AZ6" s="50"/>
      <c r="BA6" s="50"/>
      <c r="BD6" s="112"/>
      <c r="BE6" s="160" t="s">
        <v>1462</v>
      </c>
      <c r="BF6" s="839" t="s">
        <v>1463</v>
      </c>
      <c r="BG6" s="163"/>
      <c r="BH6" s="50"/>
      <c r="BI6" s="50"/>
      <c r="BJ6" s="50"/>
      <c r="BK6" s="50"/>
      <c r="BL6" s="50"/>
      <c r="BM6" s="50"/>
      <c r="BQ6" s="112"/>
      <c r="BR6" s="160" t="s">
        <v>1462</v>
      </c>
      <c r="BS6" s="162" t="s">
        <v>1463</v>
      </c>
      <c r="BT6" s="163"/>
      <c r="BU6" s="50"/>
      <c r="BV6" s="50"/>
      <c r="BW6" s="50"/>
      <c r="BX6" s="50"/>
      <c r="BY6" s="50"/>
      <c r="BZ6" s="50"/>
      <c r="CC6" s="112"/>
      <c r="CD6" s="160" t="s">
        <v>1462</v>
      </c>
      <c r="CE6" s="162" t="s">
        <v>1463</v>
      </c>
      <c r="CF6" s="163"/>
      <c r="CG6" s="50"/>
      <c r="CH6" s="50"/>
      <c r="CI6" s="50"/>
      <c r="CJ6" s="50"/>
      <c r="CK6" s="50"/>
      <c r="CL6" s="50"/>
      <c r="CO6" s="719">
        <v>44102</v>
      </c>
      <c r="CP6" s="160" t="s">
        <v>1462</v>
      </c>
      <c r="CQ6" s="162" t="s">
        <v>1463</v>
      </c>
      <c r="CR6" s="163"/>
      <c r="CS6" s="50"/>
      <c r="CT6" s="50"/>
      <c r="CU6" s="50"/>
      <c r="CV6" s="50"/>
      <c r="CW6" s="50"/>
      <c r="CX6" s="50"/>
      <c r="CY6" s="518"/>
      <c r="DF6" s="112"/>
      <c r="DG6" s="160" t="s">
        <v>1462</v>
      </c>
      <c r="DH6" s="162" t="s">
        <v>1463</v>
      </c>
      <c r="DI6" s="163"/>
      <c r="DJ6" s="50"/>
      <c r="DK6" s="50"/>
      <c r="DL6" s="50"/>
      <c r="DM6" s="50"/>
      <c r="DN6" s="50"/>
      <c r="DO6" s="50"/>
      <c r="DR6" s="403"/>
      <c r="DS6" s="160" t="s">
        <v>1462</v>
      </c>
      <c r="DT6" s="162" t="s">
        <v>1463</v>
      </c>
      <c r="DU6" s="163"/>
      <c r="DV6" s="50"/>
      <c r="DW6" s="50"/>
      <c r="DX6" s="50"/>
      <c r="DY6" s="50"/>
      <c r="DZ6" s="50"/>
      <c r="EA6" s="50"/>
      <c r="ED6" s="403"/>
      <c r="EE6" s="160" t="s">
        <v>1462</v>
      </c>
      <c r="EF6" s="162" t="s">
        <v>1463</v>
      </c>
      <c r="EG6" s="163"/>
      <c r="EH6" s="50"/>
      <c r="EI6" s="50"/>
      <c r="EJ6" s="50"/>
      <c r="EK6" s="50"/>
      <c r="EL6" s="50"/>
      <c r="EM6" s="50"/>
      <c r="EQ6" s="109"/>
      <c r="ER6" s="403"/>
      <c r="ES6" s="160" t="s">
        <v>1462</v>
      </c>
      <c r="ET6" s="162" t="s">
        <v>1463</v>
      </c>
      <c r="EU6" s="163"/>
      <c r="EV6" s="50"/>
      <c r="EW6" s="50"/>
      <c r="EX6" s="50"/>
      <c r="EY6" s="50"/>
      <c r="EZ6" s="50"/>
      <c r="FA6" s="50"/>
      <c r="FD6" s="109"/>
      <c r="FE6" s="403"/>
      <c r="FF6" s="160" t="s">
        <v>1462</v>
      </c>
      <c r="FG6" s="162" t="s">
        <v>1463</v>
      </c>
      <c r="FH6" s="163"/>
      <c r="FI6" s="50"/>
      <c r="FJ6" s="50"/>
      <c r="FK6" s="50"/>
      <c r="FL6" s="50"/>
      <c r="FM6" s="50"/>
      <c r="FN6" s="717"/>
      <c r="FQ6" s="109"/>
      <c r="FR6" s="403"/>
      <c r="FS6" s="160" t="s">
        <v>1462</v>
      </c>
      <c r="FT6" s="162" t="s">
        <v>1463</v>
      </c>
      <c r="FU6" s="658"/>
      <c r="FV6" s="50"/>
      <c r="FW6" s="50"/>
      <c r="FX6" s="50"/>
      <c r="FY6" s="50"/>
      <c r="FZ6" s="50"/>
      <c r="GA6" s="50"/>
      <c r="GE6" s="112"/>
      <c r="GF6" s="160" t="s">
        <v>1462</v>
      </c>
      <c r="GG6" s="162" t="s">
        <v>1463</v>
      </c>
      <c r="GH6" s="163"/>
      <c r="GI6" s="50"/>
      <c r="GJ6" s="50"/>
      <c r="GK6" s="50"/>
      <c r="GL6" s="672"/>
      <c r="GM6" s="50"/>
      <c r="GN6" s="50"/>
      <c r="GO6" s="50"/>
      <c r="GR6" s="979">
        <v>44450</v>
      </c>
      <c r="GS6" s="160" t="s">
        <v>1462</v>
      </c>
      <c r="GT6" s="162" t="s">
        <v>1463</v>
      </c>
      <c r="GU6" s="163"/>
      <c r="GV6" s="50"/>
      <c r="GW6" s="970"/>
      <c r="GX6" s="972"/>
      <c r="GY6" s="975"/>
      <c r="GZ6" s="972"/>
      <c r="HA6" s="50"/>
      <c r="HE6" s="112"/>
      <c r="HF6" s="160" t="s">
        <v>1462</v>
      </c>
      <c r="HG6" s="162" t="s">
        <v>1463</v>
      </c>
      <c r="HH6" s="163"/>
      <c r="HI6" s="50"/>
      <c r="HJ6" s="50"/>
      <c r="HK6" s="50"/>
      <c r="HL6" s="672"/>
      <c r="HM6" s="50"/>
      <c r="HN6" s="50"/>
      <c r="HR6" s="109"/>
      <c r="HS6" s="793"/>
      <c r="HT6" s="160" t="s">
        <v>2547</v>
      </c>
      <c r="HU6" s="162" t="s">
        <v>1463</v>
      </c>
      <c r="HV6" s="163"/>
      <c r="HW6" s="50"/>
      <c r="HX6" s="50"/>
      <c r="HY6" s="50"/>
      <c r="HZ6" s="50"/>
      <c r="IA6" s="50"/>
      <c r="IB6" s="50"/>
      <c r="ID6" s="109"/>
      <c r="IE6" s="719">
        <v>43921</v>
      </c>
      <c r="IF6" s="160" t="s">
        <v>2602</v>
      </c>
      <c r="IG6" s="162" t="s">
        <v>1463</v>
      </c>
      <c r="IH6" s="163"/>
      <c r="II6" s="50"/>
      <c r="IJ6" s="50"/>
      <c r="IK6" s="50"/>
      <c r="IL6" s="50"/>
      <c r="IM6" s="50"/>
      <c r="IN6" s="672"/>
      <c r="IP6" s="1382"/>
      <c r="IQ6" s="719"/>
      <c r="IR6" s="160" t="s">
        <v>2602</v>
      </c>
      <c r="IS6" s="162" t="s">
        <v>1463</v>
      </c>
      <c r="IT6" s="163"/>
      <c r="IU6" s="50"/>
      <c r="IV6" s="50"/>
      <c r="IW6" s="50"/>
      <c r="IX6" s="50"/>
      <c r="IY6" s="50"/>
      <c r="IZ6" s="672"/>
      <c r="JD6" s="109"/>
      <c r="JE6" s="719"/>
      <c r="JF6" s="160" t="s">
        <v>2602</v>
      </c>
      <c r="JG6" s="162" t="s">
        <v>1463</v>
      </c>
      <c r="JH6" s="163"/>
      <c r="JI6" s="50"/>
      <c r="JJ6" s="50"/>
      <c r="JK6" s="50"/>
      <c r="JL6" s="50"/>
      <c r="JM6" s="50"/>
      <c r="JN6" s="672"/>
      <c r="JP6" s="109"/>
      <c r="JQ6" s="719"/>
      <c r="JR6" s="160" t="s">
        <v>2602</v>
      </c>
      <c r="JS6" s="162" t="s">
        <v>1463</v>
      </c>
      <c r="JT6" s="163"/>
      <c r="JU6" s="50"/>
      <c r="JV6" s="50"/>
      <c r="JW6" s="50"/>
      <c r="JX6" s="50"/>
      <c r="JY6" s="50"/>
      <c r="JZ6" s="672"/>
      <c r="KB6" s="719"/>
      <c r="KC6" s="160" t="s">
        <v>2602</v>
      </c>
      <c r="KD6" s="162" t="s">
        <v>1463</v>
      </c>
      <c r="KE6" s="163"/>
      <c r="KF6" s="50"/>
      <c r="KG6" s="50"/>
      <c r="KH6" s="50"/>
      <c r="KI6" s="50"/>
      <c r="KJ6" s="50"/>
      <c r="KK6" s="672"/>
      <c r="KN6" s="719"/>
      <c r="KO6" s="160" t="s">
        <v>2602</v>
      </c>
      <c r="KP6" s="162" t="s">
        <v>1463</v>
      </c>
      <c r="KQ6" s="163"/>
      <c r="KR6" s="50"/>
      <c r="KS6" s="50"/>
      <c r="KT6" s="50"/>
      <c r="KU6" s="50"/>
      <c r="KV6" s="50"/>
      <c r="KW6" s="1611"/>
    </row>
    <row r="7" spans="1:309" ht="16.5" thickBot="1" x14ac:dyDescent="0.3">
      <c r="A7" s="168">
        <f>+IF('Courbe des taux'!A4="",A6,'Courbe des taux'!A4)</f>
        <v>144</v>
      </c>
      <c r="B7" s="315">
        <f>+CIH!B10</f>
        <v>2.3895688795851688E-2</v>
      </c>
      <c r="C7" s="168">
        <f>+CIH!K7</f>
        <v>3</v>
      </c>
      <c r="D7" s="684">
        <f>+CIH!L7</f>
        <v>2.825707779481168E-2</v>
      </c>
      <c r="H7" s="169"/>
      <c r="I7" s="165"/>
      <c r="J7" s="115" t="s">
        <v>1440</v>
      </c>
      <c r="K7" s="115" t="s">
        <v>1265</v>
      </c>
      <c r="L7" s="11" t="s">
        <v>1321</v>
      </c>
      <c r="M7" s="11" t="s">
        <v>1322</v>
      </c>
      <c r="N7" s="11" t="s">
        <v>1323</v>
      </c>
      <c r="O7" s="11" t="s">
        <v>1324</v>
      </c>
      <c r="P7" s="11" t="s">
        <v>84</v>
      </c>
      <c r="Q7" s="11" t="s">
        <v>814</v>
      </c>
      <c r="R7" s="109"/>
      <c r="S7" s="109"/>
      <c r="T7" s="112"/>
      <c r="U7" s="161"/>
      <c r="V7" s="113" t="s">
        <v>1440</v>
      </c>
      <c r="W7" s="114" t="s">
        <v>1265</v>
      </c>
      <c r="X7" s="11" t="s">
        <v>1321</v>
      </c>
      <c r="Y7" s="11" t="s">
        <v>1322</v>
      </c>
      <c r="Z7" s="11" t="s">
        <v>1323</v>
      </c>
      <c r="AA7" s="11" t="s">
        <v>1324</v>
      </c>
      <c r="AB7" s="11" t="s">
        <v>84</v>
      </c>
      <c r="AC7" s="11" t="s">
        <v>814</v>
      </c>
      <c r="AF7" s="170">
        <v>38607</v>
      </c>
      <c r="AG7" s="165"/>
      <c r="AH7" s="115" t="s">
        <v>1440</v>
      </c>
      <c r="AI7" s="115" t="s">
        <v>1265</v>
      </c>
      <c r="AJ7" s="11" t="s">
        <v>1321</v>
      </c>
      <c r="AK7" s="11" t="s">
        <v>1322</v>
      </c>
      <c r="AL7" s="11" t="s">
        <v>1323</v>
      </c>
      <c r="AM7" s="11" t="s">
        <v>1324</v>
      </c>
      <c r="AN7" s="11" t="s">
        <v>84</v>
      </c>
      <c r="AO7" s="11" t="s">
        <v>814</v>
      </c>
      <c r="AR7" s="158">
        <v>38607</v>
      </c>
      <c r="AS7" s="161"/>
      <c r="AT7" s="130" t="s">
        <v>1440</v>
      </c>
      <c r="AU7" s="131" t="s">
        <v>1265</v>
      </c>
      <c r="AV7" s="11" t="s">
        <v>1321</v>
      </c>
      <c r="AW7" s="11" t="s">
        <v>1322</v>
      </c>
      <c r="AX7" s="11" t="s">
        <v>1323</v>
      </c>
      <c r="AY7" s="11" t="s">
        <v>1324</v>
      </c>
      <c r="AZ7" s="11" t="s">
        <v>84</v>
      </c>
      <c r="BA7" s="11" t="s">
        <v>814</v>
      </c>
      <c r="BD7" s="278">
        <v>39804</v>
      </c>
      <c r="BE7" s="253"/>
      <c r="BF7" s="113" t="s">
        <v>1440</v>
      </c>
      <c r="BG7" s="131" t="s">
        <v>1265</v>
      </c>
      <c r="BH7" s="11" t="s">
        <v>1321</v>
      </c>
      <c r="BI7" s="11" t="s">
        <v>1322</v>
      </c>
      <c r="BJ7" s="11" t="s">
        <v>1323</v>
      </c>
      <c r="BK7" s="11" t="s">
        <v>1324</v>
      </c>
      <c r="BL7" s="11" t="s">
        <v>84</v>
      </c>
      <c r="BM7" s="11" t="s">
        <v>814</v>
      </c>
      <c r="BQ7" s="278">
        <v>43054</v>
      </c>
      <c r="BR7" s="253"/>
      <c r="BS7" s="130" t="s">
        <v>1440</v>
      </c>
      <c r="BT7" s="131" t="s">
        <v>1265</v>
      </c>
      <c r="BU7" s="11" t="s">
        <v>1321</v>
      </c>
      <c r="BV7" s="11" t="s">
        <v>1322</v>
      </c>
      <c r="BW7" s="11" t="s">
        <v>1323</v>
      </c>
      <c r="BX7" s="11" t="s">
        <v>1324</v>
      </c>
      <c r="BY7" s="11" t="s">
        <v>84</v>
      </c>
      <c r="BZ7" s="11" t="s">
        <v>814</v>
      </c>
      <c r="CC7" s="278">
        <v>43054</v>
      </c>
      <c r="CD7" s="253"/>
      <c r="CE7" s="130" t="s">
        <v>1440</v>
      </c>
      <c r="CF7" s="131" t="s">
        <v>1265</v>
      </c>
      <c r="CG7" s="11" t="s">
        <v>1321</v>
      </c>
      <c r="CH7" s="11" t="s">
        <v>1322</v>
      </c>
      <c r="CI7" s="11" t="s">
        <v>1323</v>
      </c>
      <c r="CJ7" s="11" t="s">
        <v>1324</v>
      </c>
      <c r="CK7" s="11" t="s">
        <v>84</v>
      </c>
      <c r="CL7" s="11" t="s">
        <v>814</v>
      </c>
      <c r="CO7" s="278">
        <v>43054</v>
      </c>
      <c r="CP7" s="253"/>
      <c r="CQ7" s="130" t="s">
        <v>1440</v>
      </c>
      <c r="CR7" s="131" t="s">
        <v>1265</v>
      </c>
      <c r="CS7" s="11" t="s">
        <v>1321</v>
      </c>
      <c r="CT7" s="11" t="s">
        <v>1322</v>
      </c>
      <c r="CU7" s="11" t="s">
        <v>1323</v>
      </c>
      <c r="CV7" s="11" t="s">
        <v>1324</v>
      </c>
      <c r="CW7" s="11" t="s">
        <v>84</v>
      </c>
      <c r="CX7" s="11" t="s">
        <v>814</v>
      </c>
      <c r="CY7" s="425"/>
      <c r="DF7" s="278">
        <v>43388</v>
      </c>
      <c r="DG7" s="253"/>
      <c r="DH7" s="130" t="s">
        <v>2346</v>
      </c>
      <c r="DI7" s="131" t="s">
        <v>1265</v>
      </c>
      <c r="DJ7" s="11" t="s">
        <v>1321</v>
      </c>
      <c r="DK7" s="11" t="s">
        <v>1322</v>
      </c>
      <c r="DL7" s="11" t="s">
        <v>1323</v>
      </c>
      <c r="DM7" s="11" t="s">
        <v>1324</v>
      </c>
      <c r="DN7" s="11" t="s">
        <v>84</v>
      </c>
      <c r="DO7" s="11" t="s">
        <v>814</v>
      </c>
      <c r="DR7" s="278">
        <v>40938</v>
      </c>
      <c r="DS7" s="253"/>
      <c r="DT7" s="130" t="s">
        <v>1440</v>
      </c>
      <c r="DU7" s="131" t="s">
        <v>1265</v>
      </c>
      <c r="DV7" s="50" t="s">
        <v>1321</v>
      </c>
      <c r="DW7" s="50" t="s">
        <v>1322</v>
      </c>
      <c r="DX7" s="50" t="s">
        <v>1323</v>
      </c>
      <c r="DY7" s="50" t="s">
        <v>1324</v>
      </c>
      <c r="DZ7" s="50" t="s">
        <v>84</v>
      </c>
      <c r="EA7" s="50" t="s">
        <v>814</v>
      </c>
      <c r="ED7" s="278">
        <v>43446</v>
      </c>
      <c r="EE7" s="253"/>
      <c r="EF7" s="130" t="s">
        <v>1440</v>
      </c>
      <c r="EG7" s="131" t="s">
        <v>1265</v>
      </c>
      <c r="EH7" s="50" t="s">
        <v>1321</v>
      </c>
      <c r="EI7" s="50" t="s">
        <v>1322</v>
      </c>
      <c r="EJ7" s="50" t="s">
        <v>1323</v>
      </c>
      <c r="EK7" s="50" t="s">
        <v>1324</v>
      </c>
      <c r="EL7" s="50" t="s">
        <v>84</v>
      </c>
      <c r="EM7" s="50" t="s">
        <v>814</v>
      </c>
      <c r="EQ7" s="109"/>
      <c r="ER7" s="278">
        <v>43446</v>
      </c>
      <c r="ES7" s="253"/>
      <c r="ET7" s="130" t="s">
        <v>1440</v>
      </c>
      <c r="EU7" s="131" t="s">
        <v>1265</v>
      </c>
      <c r="EV7" s="50" t="s">
        <v>1321</v>
      </c>
      <c r="EW7" s="50" t="s">
        <v>1322</v>
      </c>
      <c r="EX7" s="50" t="s">
        <v>1323</v>
      </c>
      <c r="EY7" s="50" t="s">
        <v>1324</v>
      </c>
      <c r="EZ7" s="50" t="s">
        <v>84</v>
      </c>
      <c r="FA7" s="50" t="s">
        <v>814</v>
      </c>
      <c r="FD7" s="109"/>
      <c r="FE7" s="278">
        <v>43808</v>
      </c>
      <c r="FF7" s="253"/>
      <c r="FG7" s="130" t="s">
        <v>1440</v>
      </c>
      <c r="FH7" s="131" t="s">
        <v>1265</v>
      </c>
      <c r="FI7" s="50" t="s">
        <v>1321</v>
      </c>
      <c r="FJ7" s="50" t="s">
        <v>1322</v>
      </c>
      <c r="FK7" s="50" t="s">
        <v>1323</v>
      </c>
      <c r="FL7" s="50" t="s">
        <v>1324</v>
      </c>
      <c r="FM7" s="50" t="s">
        <v>84</v>
      </c>
      <c r="FN7" s="717" t="s">
        <v>814</v>
      </c>
      <c r="FQ7" s="109"/>
      <c r="FR7" s="278">
        <v>43808</v>
      </c>
      <c r="FS7" s="253"/>
      <c r="FT7" s="130" t="s">
        <v>1440</v>
      </c>
      <c r="FU7" s="659" t="s">
        <v>1265</v>
      </c>
      <c r="FV7" s="50" t="s">
        <v>1321</v>
      </c>
      <c r="FW7" s="50" t="s">
        <v>1322</v>
      </c>
      <c r="FX7" s="50" t="s">
        <v>1323</v>
      </c>
      <c r="FY7" s="50" t="s">
        <v>1324</v>
      </c>
      <c r="FZ7" s="50" t="s">
        <v>84</v>
      </c>
      <c r="GA7" s="50" t="s">
        <v>814</v>
      </c>
      <c r="GE7" s="278">
        <v>44358</v>
      </c>
      <c r="GF7" s="253"/>
      <c r="GG7" s="130" t="s">
        <v>1440</v>
      </c>
      <c r="GH7" s="131" t="s">
        <v>1265</v>
      </c>
      <c r="GI7" s="50" t="s">
        <v>1321</v>
      </c>
      <c r="GJ7" s="50" t="s">
        <v>1322</v>
      </c>
      <c r="GK7" s="50" t="s">
        <v>1323</v>
      </c>
      <c r="GL7" s="672" t="s">
        <v>1324</v>
      </c>
      <c r="GM7" s="50" t="s">
        <v>84</v>
      </c>
      <c r="GN7" s="50" t="s">
        <v>814</v>
      </c>
      <c r="GO7" s="50"/>
      <c r="GR7" s="278">
        <v>44358</v>
      </c>
      <c r="GS7" s="253"/>
      <c r="GT7" s="131" t="s">
        <v>1440</v>
      </c>
      <c r="GU7" s="131" t="s">
        <v>1265</v>
      </c>
      <c r="GV7" s="50" t="s">
        <v>1321</v>
      </c>
      <c r="GW7" s="970" t="s">
        <v>1322</v>
      </c>
      <c r="GX7" s="972" t="s">
        <v>1323</v>
      </c>
      <c r="GY7" s="975" t="s">
        <v>1324</v>
      </c>
      <c r="GZ7" s="972" t="s">
        <v>84</v>
      </c>
      <c r="HA7" s="50" t="s">
        <v>814</v>
      </c>
      <c r="HE7" s="278">
        <v>41759</v>
      </c>
      <c r="HF7" s="253"/>
      <c r="HG7" s="130" t="s">
        <v>1440</v>
      </c>
      <c r="HH7" s="131" t="s">
        <v>1265</v>
      </c>
      <c r="HI7" s="50" t="s">
        <v>1321</v>
      </c>
      <c r="HJ7" s="50" t="s">
        <v>1322</v>
      </c>
      <c r="HK7" s="50" t="s">
        <v>1323</v>
      </c>
      <c r="HL7" s="672" t="s">
        <v>1324</v>
      </c>
      <c r="HM7" s="50" t="s">
        <v>84</v>
      </c>
      <c r="HN7" s="50" t="s">
        <v>814</v>
      </c>
      <c r="HR7" s="109"/>
      <c r="HS7" s="719">
        <v>41639</v>
      </c>
      <c r="HT7" s="161"/>
      <c r="HU7" s="113" t="s">
        <v>1440</v>
      </c>
      <c r="HV7" s="114" t="s">
        <v>1265</v>
      </c>
      <c r="HW7" s="50" t="s">
        <v>1321</v>
      </c>
      <c r="HX7" s="50" t="s">
        <v>1322</v>
      </c>
      <c r="HY7" s="50" t="s">
        <v>1323</v>
      </c>
      <c r="HZ7" s="50" t="s">
        <v>1324</v>
      </c>
      <c r="IA7" s="50" t="s">
        <v>84</v>
      </c>
      <c r="IB7" s="50" t="s">
        <v>814</v>
      </c>
      <c r="ID7" s="109"/>
      <c r="IE7" s="719">
        <v>44081</v>
      </c>
      <c r="IF7" s="161"/>
      <c r="IG7" s="113" t="s">
        <v>1440</v>
      </c>
      <c r="IH7" s="114" t="s">
        <v>1265</v>
      </c>
      <c r="II7" s="50" t="s">
        <v>1321</v>
      </c>
      <c r="IJ7" s="50" t="s">
        <v>1322</v>
      </c>
      <c r="IK7" s="50" t="s">
        <v>1323</v>
      </c>
      <c r="IL7" s="50" t="s">
        <v>1324</v>
      </c>
      <c r="IM7" s="50" t="s">
        <v>84</v>
      </c>
      <c r="IN7" s="672" t="s">
        <v>814</v>
      </c>
      <c r="IP7" s="1382"/>
      <c r="IQ7" s="719">
        <v>45531</v>
      </c>
      <c r="IR7" s="161"/>
      <c r="IS7" s="113" t="s">
        <v>1440</v>
      </c>
      <c r="IT7" s="114" t="s">
        <v>1265</v>
      </c>
      <c r="IU7" s="50" t="s">
        <v>1321</v>
      </c>
      <c r="IV7" s="50" t="s">
        <v>1322</v>
      </c>
      <c r="IW7" s="50" t="s">
        <v>1323</v>
      </c>
      <c r="IX7" s="50" t="s">
        <v>1324</v>
      </c>
      <c r="IY7" s="50" t="s">
        <v>84</v>
      </c>
      <c r="IZ7" s="672" t="s">
        <v>814</v>
      </c>
      <c r="JD7" s="109"/>
      <c r="JE7" s="719"/>
      <c r="JF7" s="161"/>
      <c r="JG7" s="113" t="s">
        <v>1440</v>
      </c>
      <c r="JH7" s="114" t="s">
        <v>1265</v>
      </c>
      <c r="JI7" s="50" t="s">
        <v>1321</v>
      </c>
      <c r="JJ7" s="50" t="s">
        <v>1322</v>
      </c>
      <c r="JK7" s="50" t="s">
        <v>1323</v>
      </c>
      <c r="JL7" s="50" t="s">
        <v>1324</v>
      </c>
      <c r="JM7" s="50" t="s">
        <v>84</v>
      </c>
      <c r="JN7" s="672" t="s">
        <v>814</v>
      </c>
      <c r="JP7" s="109"/>
      <c r="JQ7" s="719">
        <v>45118</v>
      </c>
      <c r="JR7" s="161"/>
      <c r="JS7" s="113" t="s">
        <v>1440</v>
      </c>
      <c r="JT7" s="113" t="s">
        <v>1265</v>
      </c>
      <c r="JU7" s="50" t="s">
        <v>1321</v>
      </c>
      <c r="JV7" s="50" t="s">
        <v>1322</v>
      </c>
      <c r="JW7" s="50" t="s">
        <v>1323</v>
      </c>
      <c r="JX7" s="50" t="s">
        <v>1324</v>
      </c>
      <c r="JY7" s="50" t="s">
        <v>84</v>
      </c>
      <c r="JZ7" s="672" t="s">
        <v>814</v>
      </c>
      <c r="KB7" s="719"/>
      <c r="KC7" s="161"/>
      <c r="KD7" s="113" t="s">
        <v>1440</v>
      </c>
      <c r="KE7" s="113" t="s">
        <v>1265</v>
      </c>
      <c r="KF7" s="50" t="s">
        <v>1321</v>
      </c>
      <c r="KG7" s="50" t="s">
        <v>1322</v>
      </c>
      <c r="KH7" s="50" t="s">
        <v>1323</v>
      </c>
      <c r="KI7" s="50" t="s">
        <v>1324</v>
      </c>
      <c r="KJ7" s="50" t="s">
        <v>84</v>
      </c>
      <c r="KK7" s="672" t="s">
        <v>814</v>
      </c>
      <c r="KN7" s="719"/>
      <c r="KO7" s="161"/>
      <c r="KP7" s="113" t="s">
        <v>1440</v>
      </c>
      <c r="KQ7" s="113" t="s">
        <v>1265</v>
      </c>
      <c r="KR7" s="50" t="s">
        <v>1321</v>
      </c>
      <c r="KS7" s="50" t="s">
        <v>1322</v>
      </c>
      <c r="KT7" s="50" t="s">
        <v>1323</v>
      </c>
      <c r="KU7" s="50" t="s">
        <v>1324</v>
      </c>
      <c r="KV7" s="50" t="s">
        <v>84</v>
      </c>
      <c r="KW7" s="1611" t="s">
        <v>814</v>
      </c>
    </row>
    <row r="8" spans="1:309" ht="17.25" thickTop="1" thickBot="1" x14ac:dyDescent="0.3">
      <c r="A8" s="168">
        <f>+IF('Courbe des taux'!A5="",A7,'Courbe des taux'!A5)</f>
        <v>326</v>
      </c>
      <c r="B8" s="315">
        <f>+CIH!B11</f>
        <v>2.4974686420831338E-2</v>
      </c>
      <c r="C8" s="95">
        <f>+CIH!K8</f>
        <v>4</v>
      </c>
      <c r="D8" s="145">
        <f>+CIH!L8</f>
        <v>2.9832009914463997E-2</v>
      </c>
      <c r="F8" s="150"/>
      <c r="G8" s="150">
        <f t="shared" ref="G8:G40" si="0">+IF(N8=0,0,G7+1)</f>
        <v>0</v>
      </c>
      <c r="H8" s="117">
        <v>37449</v>
      </c>
      <c r="I8" s="118">
        <v>1</v>
      </c>
      <c r="J8" s="183">
        <v>100000</v>
      </c>
      <c r="K8" s="184">
        <v>4291.6499999999996</v>
      </c>
      <c r="L8" s="137">
        <f t="shared" ref="L8:L19" si="1">+ROUND($M$1*J8/4,2)</f>
        <v>1555</v>
      </c>
      <c r="M8" s="137">
        <f t="shared" ref="M8:M19" si="2">+ROUND(K8+L8,2)</f>
        <v>5846.65</v>
      </c>
      <c r="N8" s="137">
        <f t="shared" ref="N8:N33" si="3">+IF($B$1&gt;=H8,0,M8)</f>
        <v>0</v>
      </c>
      <c r="O8" s="137">
        <f t="shared" ref="O8:O33" si="4">+IF(N8=0,0,IF(G8=1,((G8-1)+(H8-$B$1)/(H8-H7))*0.25,O7+0.25))</f>
        <v>0</v>
      </c>
      <c r="P8" s="146" cm="1">
        <f t="array" ref="P8">+ROUND(IF(O8&lt;1,interpoler($A$5:$A$24,$B$5:$B$24,(H8-$B$1)),interpoler($C$5:$C$24,$D$5:$D$24,O8))+$M$2,6)</f>
        <v>2.8781000000000001E-2</v>
      </c>
      <c r="Q8" s="137">
        <f t="shared" ref="Q8:Q33" si="5">+N8/(1+P8)^O8</f>
        <v>0</v>
      </c>
      <c r="R8" s="172"/>
      <c r="S8" s="150">
        <f t="shared" ref="S8:S39" si="6">+IF(Z8=0,0,S7+1)</f>
        <v>0</v>
      </c>
      <c r="T8" s="194">
        <v>37449</v>
      </c>
      <c r="U8" s="195">
        <v>1</v>
      </c>
      <c r="V8" s="196">
        <v>100000</v>
      </c>
      <c r="W8" s="197">
        <v>0</v>
      </c>
      <c r="X8" s="198">
        <f t="shared" ref="X8:X39" si="7">+ROUND($Y$1*V8/4,2)</f>
        <v>1830</v>
      </c>
      <c r="Y8" s="198">
        <f t="shared" ref="Y8:Y39" si="8">+ROUND(W8+X8,2)</f>
        <v>1830</v>
      </c>
      <c r="Z8" s="198">
        <f t="shared" ref="Z8:Z39" si="9">+IF($B$1&gt;=T8,0,Y8)</f>
        <v>0</v>
      </c>
      <c r="AA8" s="198">
        <f t="shared" ref="AA8:AA39" si="10">+IF(Z8=0,0,IF(S8=1,((S8-1)+(T8-$B$1)/(T8-T7))*0.25,AA7+0.25))</f>
        <v>0</v>
      </c>
      <c r="AB8" s="199" cm="1">
        <f t="array" ref="AB8">+ROUND(IF(AA8&lt;1,interpoler($A$5:$A$24,$B$5:$B$24,(T8-$B$1)),interpoler($C$5:$C$24,$D$5:$D$24,AA8))+$Y$2,6)</f>
        <v>3.0780999999999999E-2</v>
      </c>
      <c r="AC8" s="198">
        <f t="shared" ref="AC8:AC39" si="11">+Z8/(1+AB8)^AA8</f>
        <v>0</v>
      </c>
      <c r="AE8" s="150">
        <f t="shared" ref="AE8:AE40" si="12">+IF(AL8=0,0,AE7+1)</f>
        <v>0</v>
      </c>
      <c r="AF8" s="117">
        <v>38698</v>
      </c>
      <c r="AG8" s="118">
        <v>1</v>
      </c>
      <c r="AH8" s="183">
        <v>64004.58</v>
      </c>
      <c r="AI8" s="184">
        <v>5108.3900000000003</v>
      </c>
      <c r="AJ8" s="198">
        <f t="shared" ref="AJ8:AJ22" si="13">+ROUND($AK$1*AH8/4,2)</f>
        <v>817.66</v>
      </c>
      <c r="AK8" s="198">
        <f t="shared" ref="AK8:AK22" si="14">+ROUND(AI8+AJ8,2)</f>
        <v>5926.05</v>
      </c>
      <c r="AL8" s="198">
        <f t="shared" ref="AL8:AL22" si="15">+IF($B$1&gt;=AF8,0,AK8)</f>
        <v>0</v>
      </c>
      <c r="AM8" s="198">
        <f t="shared" ref="AM8:AM22" si="16">+IF(AL8=0,0,IF(AE8=1,((AE8-1)+(AF8-$B$1)/(AF8-AF7))*0.25,AM7+0.25))</f>
        <v>0</v>
      </c>
      <c r="AN8" s="199" cm="1">
        <f t="array" ref="AN8">+ROUND(IF(AM8&lt;1,interpoler($A$5:$A$24,$B$5:$B$24,(AF8-$B$1)),interpoler($C$5:$C$24,$D$5:$D$24,AM8))+$AK$2,6)</f>
        <v>2.7281E-2</v>
      </c>
      <c r="AO8" s="198">
        <f t="shared" ref="AO8:AO22" si="17">+AL8/(1+AN8)^AM8</f>
        <v>0</v>
      </c>
      <c r="AP8" s="172">
        <f t="shared" ref="AP8:AP34" si="18">+ROUND(AI8,2)</f>
        <v>5108.3900000000003</v>
      </c>
      <c r="AQ8" s="150">
        <f t="shared" ref="AQ8:AQ39" si="19">+IF(AX8=0,0,AQ7+1)</f>
        <v>0</v>
      </c>
      <c r="AR8" s="194">
        <v>38698</v>
      </c>
      <c r="AS8" s="209">
        <v>1</v>
      </c>
      <c r="AT8" s="203">
        <v>100000</v>
      </c>
      <c r="AU8" s="203">
        <v>0</v>
      </c>
      <c r="AV8" s="198">
        <f t="shared" ref="AV8:AV37" si="20">+ROUND($AW$1*AT8/4,2)</f>
        <v>1597.5</v>
      </c>
      <c r="AW8" s="198">
        <f t="shared" ref="AW8:AW39" si="21">+ROUND(AU8+AV8,2)</f>
        <v>1597.5</v>
      </c>
      <c r="AX8" s="198">
        <f t="shared" ref="AX8:AX39" si="22">+IF($B$1&gt;=AR8,0,AW8)</f>
        <v>0</v>
      </c>
      <c r="AY8" s="210">
        <f t="shared" ref="AY8:AY39" si="23">+IF(AX8=0,0,IF(AQ8=1,((AQ8-1)+(AR8-$B$1)/(AR8-AR7))*0.25,AY7+0.25))</f>
        <v>0</v>
      </c>
      <c r="AZ8" s="199" cm="1">
        <f t="array" ref="AZ8">+ROUND(IF(AY8&lt;1,interpoler($A$5:$A$24,$B$5:$B$24,(AR8-$B$1)),interpoler($C$5:$C$24,$D$5:$D$24,AY8))+$AW$2,6)</f>
        <v>2.9780999999999998E-2</v>
      </c>
      <c r="BA8" s="198">
        <f t="shared" ref="BA8:BA39" si="24">+AX8/(1+AZ8)^AY8</f>
        <v>0</v>
      </c>
      <c r="BC8" s="599">
        <f t="shared" ref="BC8:BC39" si="25">+IF(BJ8=0,0,BC7+1)</f>
        <v>0</v>
      </c>
      <c r="BD8" s="669">
        <v>39886</v>
      </c>
      <c r="BE8" s="670">
        <v>1</v>
      </c>
      <c r="BF8" s="840">
        <v>100000</v>
      </c>
      <c r="BG8" s="834">
        <v>1825.49</v>
      </c>
      <c r="BH8" s="529">
        <f>+ROUND($BI$1*BF8*(BD8-BD7)/360,2)</f>
        <v>1100.17</v>
      </c>
      <c r="BI8" s="529">
        <f t="shared" ref="BI8:BI39" si="26">+ROUND(BG8+BH8,2)</f>
        <v>2925.66</v>
      </c>
      <c r="BJ8" s="529">
        <f t="shared" ref="BJ8:BJ39" si="27">+IF($B$1&gt;=BD8,0,BI8)</f>
        <v>0</v>
      </c>
      <c r="BK8" s="529">
        <f t="shared" ref="BK8:BK39" si="28">+IF(BJ8=0,0,IF(BC8=1,((BC8-1)+(BD8-$B$1)/(BD8-BD7))*0.25,BK7+0.25))</f>
        <v>0</v>
      </c>
      <c r="BL8" s="530" cm="1">
        <f t="array" ref="BL8">+ROUND(IF(BK8&lt;1,interpoler($A$5:$A$24,$B$5:$B$24,(BD8-$B$1)),interpoler($C$5:$C$24,$D$5:$D$24,BK8))+$BI$2,6)</f>
        <v>3.3280999999999998E-2</v>
      </c>
      <c r="BM8" s="529">
        <f t="shared" ref="BM8:BM39" si="29">+BJ8/(1+BL8)^BK8</f>
        <v>0</v>
      </c>
      <c r="BP8" s="150">
        <f t="shared" ref="BP8:BP39" si="30">+IF(BW8=0,0,BP7+1)</f>
        <v>0</v>
      </c>
      <c r="BQ8" s="194">
        <v>43183</v>
      </c>
      <c r="BR8" s="209">
        <v>1</v>
      </c>
      <c r="BS8" s="303">
        <v>100000</v>
      </c>
      <c r="BT8" s="203">
        <v>3225.8064516129034</v>
      </c>
      <c r="BU8" s="198">
        <f>+ROUND($BV$1*BS8*(BQ8-BQ7)/365,2)</f>
        <v>1562.14</v>
      </c>
      <c r="BV8" s="198">
        <f t="shared" ref="BV8:BV33" si="31">+ROUND(BT8+BU8,2)</f>
        <v>4787.95</v>
      </c>
      <c r="BW8" s="198">
        <f t="shared" ref="BW8:BW39" si="32">+IF($B$1&gt;=BQ8,0,BV8)</f>
        <v>0</v>
      </c>
      <c r="BX8" s="198">
        <f t="shared" ref="BX8:BX39" si="33">+IF(BW8=0,0,IF(BP8=1,((BP8-1)+(BQ8-$B$1)/(BQ8-BQ7))*0.25,BX7+0.25))</f>
        <v>0</v>
      </c>
      <c r="BY8" s="199" cm="1">
        <f t="array" ref="BY8">+ROUND(IF(BX8&lt;1,interpoler($A$5:$A$24,$B$5:$B$24,(BQ8-$B$1)),interpoler($C$5:$C$24,$D$5:$D$24,BX8))+$BV$2,6)</f>
        <v>2.7281E-2</v>
      </c>
      <c r="BZ8" s="198">
        <f t="shared" ref="BZ8:BZ39" si="34">+BW8/(1+BY8)^BX8</f>
        <v>0</v>
      </c>
      <c r="CB8" s="520">
        <f t="shared" ref="CB8:CB39" si="35">+IF(CI8=0,0,CB7+1)</f>
        <v>0</v>
      </c>
      <c r="CC8" s="868">
        <v>43183</v>
      </c>
      <c r="CD8" s="865">
        <v>1</v>
      </c>
      <c r="CE8" s="845">
        <v>100000</v>
      </c>
      <c r="CF8" s="1035">
        <v>0</v>
      </c>
      <c r="CG8" s="847">
        <f>ROUNDDOWN(CE5*$CH$1*(CC8-CC7)/365,2)</f>
        <v>1424.3</v>
      </c>
      <c r="CH8" s="847">
        <f t="shared" ref="CH8:CH38" si="36">+ROUND(CF8+CG8,2)</f>
        <v>1424.3</v>
      </c>
      <c r="CI8" s="847">
        <f t="shared" ref="CI8:CI39" si="37">+IF($B$1&gt;=CC8,0,CH8)</f>
        <v>0</v>
      </c>
      <c r="CJ8" s="847">
        <f>(((CC8-CC7)*0.25/90))*(CC8-$B$1)/(CC8-CC7)</f>
        <v>-8.1222222222222218</v>
      </c>
      <c r="CK8" s="848" cm="1">
        <f t="array" ref="CK8">+ROUND(IF(CJ8&lt;1,interpoler($A$5:$A$24,$B$5:$B$24,(CC8-$B$1)),interpoler(CIH!K72:K103,CIH!L72:L103,CJ8))+$CH$2,4)</f>
        <v>2.8799999999999999E-2</v>
      </c>
      <c r="CL8" s="847">
        <f>+CI8/(1+CK8)^CJ8</f>
        <v>0</v>
      </c>
      <c r="CN8" s="520">
        <f t="shared" ref="CN8:CN32" si="38">+IF(CU8=0,0,CN7+1)</f>
        <v>0</v>
      </c>
      <c r="CO8" s="868">
        <v>43183</v>
      </c>
      <c r="CP8" s="865">
        <v>1</v>
      </c>
      <c r="CQ8" s="845">
        <f>CQ5-CR8</f>
        <v>94526.92</v>
      </c>
      <c r="CR8" s="845">
        <v>5473.08</v>
      </c>
      <c r="CS8" s="847">
        <f>ROUNDDOWN(CQ5*$CT$1*(CO8-CO7)/365,2)</f>
        <v>1138.02</v>
      </c>
      <c r="CT8" s="847">
        <f t="shared" ref="CT8:CT32" si="39">+ROUND(CR8+CS8,2)</f>
        <v>6611.1</v>
      </c>
      <c r="CU8" s="847">
        <f t="shared" ref="CU8:CU32" si="40">+IF($B$1&gt;=CO8,0,CT8)</f>
        <v>0</v>
      </c>
      <c r="CV8" s="866">
        <f t="shared" ref="CV8:CV15" si="41">(((CO8-CO7)*0.25/90))*(CO8-$B$1)/(CO8-CO7)</f>
        <v>-8.1222222222222218</v>
      </c>
      <c r="CW8" s="848" cm="1">
        <f t="array" ref="CW8">+ROUND(IF(CV8&lt;1,interpoler($A$5:$A$24,$B$5:$B$24,(CO8-$B$1)),interpoler($C$5:$C$24,$D$5:$D$24,CV8))+$CT$2,5)</f>
        <v>2.7279999999999999E-2</v>
      </c>
      <c r="CX8" s="847">
        <f>+CU8/(1+CW8)^CV8</f>
        <v>0</v>
      </c>
      <c r="CY8" s="13"/>
      <c r="DE8" s="150">
        <f>+IF(DL8=0,0,DE7+1)</f>
        <v>0</v>
      </c>
      <c r="DF8" s="194">
        <v>43753</v>
      </c>
      <c r="DG8" s="211">
        <v>1</v>
      </c>
      <c r="DH8" s="523">
        <f>DH5-DI8</f>
        <v>81036.08</v>
      </c>
      <c r="DI8" s="296">
        <v>18963.919999999998</v>
      </c>
      <c r="DJ8" s="198">
        <f>ROUND(DH5*$DK$1*(DF8-DF7)/365,2)</f>
        <v>2660</v>
      </c>
      <c r="DK8" s="198">
        <f>+ROUND(DI8+DJ8,2)</f>
        <v>21623.919999999998</v>
      </c>
      <c r="DL8" s="198">
        <f>+IF($B$1&gt;=DF8,0,DK8)</f>
        <v>0</v>
      </c>
      <c r="DM8" s="198">
        <f>(DF8-$B$1)/(DF8-DF7)</f>
        <v>-6.4493150684931511</v>
      </c>
      <c r="DN8" s="199" cm="1">
        <f t="array" ref="DN8">+ROUND(IF(DM8&lt;1,interpoler($A$5:$A$24,$B$5:$B$24,(DF8-$B$1)),interpoler($C$5:$C$24,$D$5:$D$24,DM8))+$DK$2,5)</f>
        <v>2.3279999999999999E-2</v>
      </c>
      <c r="DO8" s="198">
        <f>+DL8/(1+DN8)^DM8</f>
        <v>0</v>
      </c>
      <c r="DQ8" s="211">
        <f t="shared" ref="DQ8:DQ53" si="42">+IF(DX8=0,0,DQ7+1)</f>
        <v>0</v>
      </c>
      <c r="DR8" s="524">
        <v>41015</v>
      </c>
      <c r="DS8" s="211">
        <v>1</v>
      </c>
      <c r="DT8" s="304">
        <f>DT5-DU8</f>
        <v>97414.27</v>
      </c>
      <c r="DU8" s="402">
        <v>2585.73</v>
      </c>
      <c r="DV8" s="198">
        <f>+ROUND($DW$1*DT5*(DR8-DR7)/365,2)</f>
        <v>938.77</v>
      </c>
      <c r="DW8" s="198">
        <f t="shared" ref="DW8:DW53" si="43">+ROUND(DU8+DV8,2)</f>
        <v>3524.5</v>
      </c>
      <c r="DX8" s="198">
        <f t="shared" ref="DX8:DX53" si="44">+IF($B$1&gt;=DR8,0,DW8)</f>
        <v>0</v>
      </c>
      <c r="DY8" s="198">
        <f t="shared" ref="DY8:DY53" si="45">+IF(DX8=0,0,IF(DQ8=1,((DQ8-1)+(DR8-$B$1)/(DR8-DR7))*0.25,DY7+0.25))</f>
        <v>0</v>
      </c>
      <c r="DZ8" s="199" cm="1">
        <f t="array" ref="DZ8">+ROUND(IF(DY8&lt;1,interpoler($A$5:$A$24,$B$5:$B$24,(DR8-$B$1)),interpoler($C$5:$C$24,$D$5:$D$24,DY8))+$DW$2,5)</f>
        <v>2.5680000000000001E-2</v>
      </c>
      <c r="EA8" s="198">
        <f t="shared" ref="EA8:EA53" si="46">+DX8/(1+DZ8)^DY8</f>
        <v>0</v>
      </c>
      <c r="EC8" s="526">
        <f t="shared" ref="EC8:EC22" si="47">+IF(EJ8=0,0,EC7+1)</f>
        <v>0</v>
      </c>
      <c r="ED8" s="525">
        <v>43548</v>
      </c>
      <c r="EE8" s="526">
        <v>1</v>
      </c>
      <c r="EF8" s="729">
        <v>100000</v>
      </c>
      <c r="EG8" s="729">
        <v>13328.62</v>
      </c>
      <c r="EH8" s="655">
        <v>829.97</v>
      </c>
      <c r="EI8" s="529">
        <f t="shared" ref="EI8:EI23" si="48">+ROUND(EG8+EH8,2)</f>
        <v>14158.59</v>
      </c>
      <c r="EJ8" s="529">
        <f t="shared" ref="EJ8:EJ23" si="49">+IF($B$1&gt;=ED8,0,EI8)</f>
        <v>0</v>
      </c>
      <c r="EK8" s="937">
        <f t="shared" ref="EK8:EK22" si="50">+IF(EJ8=0,0,IF(EC8=1,((EC8-1)+(ED8-$B$1)/360),EK7+0.25))</f>
        <v>0</v>
      </c>
      <c r="EL8" s="934" cm="1">
        <f t="array" ref="EL8">+ROUND(IF(EK8&lt;1,interpoler($A$5:$A$24,$B$5:$B$24,(ED8-$B$1)),interpoler($C$5:$C$24,$D$5:$D$24,EK8))+$EI$2,5)</f>
        <v>2.7279999999999999E-2</v>
      </c>
      <c r="EM8" s="529">
        <f t="shared" ref="EM8:EM23" si="51">+EJ8/(1+EL8)^EK8</f>
        <v>0</v>
      </c>
      <c r="EN8" s="692">
        <f>EF5-EG8</f>
        <v>86671.38</v>
      </c>
      <c r="EQ8" s="526">
        <f t="shared" ref="EQ8:EQ25" si="52">+IF(EX8=0,0,EQ7+1)</f>
        <v>0</v>
      </c>
      <c r="ER8" s="525">
        <v>43548</v>
      </c>
      <c r="ES8" s="526">
        <v>1</v>
      </c>
      <c r="ET8" s="527">
        <f>ET5-EU8</f>
        <v>-13328.62</v>
      </c>
      <c r="EU8" s="576">
        <v>13328.62</v>
      </c>
      <c r="EV8" s="529">
        <f>+ROUND($EI$1*ET5*(ER8-ER7)/365,2)</f>
        <v>0</v>
      </c>
      <c r="EW8" s="529">
        <f t="shared" ref="EW8:EW25" si="53">+ROUND(EU8+EV8,2)</f>
        <v>13328.62</v>
      </c>
      <c r="EX8" s="529">
        <f t="shared" ref="EX8:EX25" si="54">+IF($B$1&gt;=ER8,0,EW8)</f>
        <v>0</v>
      </c>
      <c r="EY8" s="529">
        <f>+IF(EX8=0,0,IF(EQ8=1,((EQ8-1)+(ER8-$B$1)/360),EY7+0.25))</f>
        <v>0</v>
      </c>
      <c r="EZ8" s="530" cm="1">
        <f t="array" ref="EZ8">+ROUND(IF(EY8&lt;1,interpoler($A$5:$A$24,$B$5:$B$24,(ER8-$B$1)),interpoler($C$5:$C$24,$D$5:$D$24,EY8))+$EV$2,5)</f>
        <v>2.7279999999999999E-2</v>
      </c>
      <c r="FA8" s="529">
        <f t="shared" ref="FA8:FA25" si="55">+EX8/(1+EZ8)^EY8</f>
        <v>0</v>
      </c>
      <c r="FD8" s="526">
        <f t="shared" ref="FD8:FD50" si="56">+IF(FK8=0,0,FD7+1)</f>
        <v>0</v>
      </c>
      <c r="FE8" s="802">
        <v>43914</v>
      </c>
      <c r="FF8" s="803">
        <v>1</v>
      </c>
      <c r="FG8" s="804">
        <v>100000</v>
      </c>
      <c r="FH8" s="805">
        <v>2152.4899999999998</v>
      </c>
      <c r="FI8" s="806">
        <f>+ROUNDDOWN($FI$1*FG5*(FE8-FE7)/365,2)</f>
        <v>879.94</v>
      </c>
      <c r="FJ8" s="807">
        <f t="shared" ref="FJ8:FJ50" si="57">+ROUND(FH8+FI8,2)</f>
        <v>3032.43</v>
      </c>
      <c r="FK8" s="807">
        <f t="shared" ref="FK8:FK50" si="58">+IF($B$1&gt;=FE8,0,FJ8)</f>
        <v>0</v>
      </c>
      <c r="FL8" s="808">
        <f>((FE8-$B$1)/(FE5-FE7))/4</f>
        <v>-6.0247252747252746</v>
      </c>
      <c r="FM8" s="809" cm="1">
        <f t="array" ref="FM8">+ROUND(IF(FL8&lt;1,interpoler($A$5:$A$24,$B$5:$B$24,(FE8-$B$1)),interpoler($C$5:$C$24,$D$5:$D$24,FL8))+$FI$2,5)</f>
        <v>2.7779999999999999E-2</v>
      </c>
      <c r="FN8" s="810">
        <f>+FK8/(1+FM8)^FL8</f>
        <v>0</v>
      </c>
      <c r="FQ8" s="526">
        <f t="shared" ref="FQ8:FQ39" si="59">+IF(FX8=0,0,FQ7+1)</f>
        <v>0</v>
      </c>
      <c r="FR8" s="815">
        <v>43914</v>
      </c>
      <c r="FS8" s="816">
        <v>1</v>
      </c>
      <c r="FT8" s="899">
        <v>100000</v>
      </c>
      <c r="FU8" s="817">
        <v>0</v>
      </c>
      <c r="FV8" s="818">
        <f>+ROUNDDOWN($FV$1*FT5*(FR8-FR7)/365,2)</f>
        <v>1170.3499999999999</v>
      </c>
      <c r="FW8" s="818">
        <f t="shared" ref="FW8:FW39" si="60">+ROUND(FU8+FV8,2)</f>
        <v>1170.3499999999999</v>
      </c>
      <c r="FX8" s="818">
        <f t="shared" ref="FX8:FX39" si="61">+IF($B$1&gt;=FR8,0,FW8)</f>
        <v>0</v>
      </c>
      <c r="FY8" s="819">
        <f>((FR8-$B$1)/(FR5-FR7))/4</f>
        <v>-6.0247252747252746</v>
      </c>
      <c r="FZ8" s="820" cm="1">
        <f t="array" ref="FZ8">+ROUND(IF(FY8&lt;1,interpoler($A$5:$A$24,$B$5:$B$24,(FR8-$B$1)),interpoler(CIH!$K$72:$K$103,CIH!$L$72:$L$103,FY8))+$FV$2,4)</f>
        <v>2.93E-2</v>
      </c>
      <c r="GA8" s="818">
        <f t="shared" ref="GA8:GA39" si="62">ROUND(+FX8/(1+FZ8)^FY8,5)</f>
        <v>0</v>
      </c>
      <c r="GD8" s="150">
        <f t="shared" ref="GD8:GD39" si="63">+IF(GK8=0,0,GD7+1)</f>
        <v>0</v>
      </c>
      <c r="GE8" s="856">
        <v>44463</v>
      </c>
      <c r="GF8" s="857">
        <v>1</v>
      </c>
      <c r="GG8" s="858">
        <v>100000</v>
      </c>
      <c r="GH8" s="859">
        <v>2353.88</v>
      </c>
      <c r="GI8" s="846">
        <v>757.44</v>
      </c>
      <c r="GJ8" s="847">
        <f t="shared" ref="GJ8:GJ39" si="64">+ROUND(GH8+GI8,2)</f>
        <v>3111.32</v>
      </c>
      <c r="GK8" s="847">
        <f t="shared" ref="GK8:GK39" si="65">+IF($B$1&gt;=GE8,0,GJ8)</f>
        <v>0</v>
      </c>
      <c r="GL8" s="860">
        <f>((GE8-$B$1)/(GE5-GE7))/4</f>
        <v>-4.4673913043478262</v>
      </c>
      <c r="GM8" s="848" cm="1">
        <f t="array" ref="GM8">ROUND(interpoler(mat_zc,Taux_ZC,GL8)+$GJ$2,5)</f>
        <v>2.828E-2</v>
      </c>
      <c r="GN8" s="861">
        <f>+GK8/(1+GM8)^GL8</f>
        <v>0</v>
      </c>
      <c r="GO8" s="198"/>
      <c r="GQ8" s="150">
        <f t="shared" ref="GQ8:GQ39" si="66">+IF(GX8=0,0,GQ7+1)</f>
        <v>0</v>
      </c>
      <c r="GR8" s="856">
        <v>44463</v>
      </c>
      <c r="GS8" s="1030">
        <v>1</v>
      </c>
      <c r="GT8" s="967">
        <v>100000</v>
      </c>
      <c r="GU8" s="968">
        <v>790.1</v>
      </c>
      <c r="GV8" s="969">
        <v>892.8</v>
      </c>
      <c r="GW8" s="971">
        <f t="shared" ref="GW8:GW39" si="67">+ROUND(GU8+GV8,2)</f>
        <v>1682.9</v>
      </c>
      <c r="GX8" s="973">
        <f t="shared" ref="GX8:GX39" si="68">+IF($B$1&gt;=GR8,0,GW8)</f>
        <v>0</v>
      </c>
      <c r="GY8" s="971">
        <f>((GR8-$B$1)/(GR6-GR7))/4</f>
        <v>-4.4673913043478262</v>
      </c>
      <c r="GZ8" s="976" cm="1">
        <f t="array" ref="GZ8">+ROUND(IF(GY8&lt;1,interpoler($A$5:$A$24,$B$5:$B$24,(GR8-$B$1)),interpoler($C$5:$C$24,$D$5:$D$24,GY8))+$GW$2,5)</f>
        <v>2.9780000000000001E-2</v>
      </c>
      <c r="HA8" s="847">
        <f t="shared" ref="HA8:HA14" si="69">+GX8/(1+GZ8)^GY8</f>
        <v>0</v>
      </c>
      <c r="HD8" s="1382">
        <f t="shared" ref="HD8:HD39" si="70">+IF(HK8=0,0,HD7+1)</f>
        <v>0</v>
      </c>
      <c r="HE8" s="309">
        <v>41830</v>
      </c>
      <c r="HF8" s="209">
        <v>1</v>
      </c>
      <c r="HG8" s="303">
        <v>100000</v>
      </c>
      <c r="HH8" s="203">
        <v>5000</v>
      </c>
      <c r="HI8" s="198">
        <f>+ROUNDDOWN($HJ$1*HG8*(HE8-HE7)/365,2)</f>
        <v>859.78</v>
      </c>
      <c r="HJ8" s="198">
        <f t="shared" ref="HJ8:HJ39" si="71">+ROUND(HH8+HI8,2)</f>
        <v>5859.78</v>
      </c>
      <c r="HK8" s="198">
        <f t="shared" ref="HK8:HK39" si="72">+IF($B$1&gt;=HE8,0,HJ8)</f>
        <v>0</v>
      </c>
      <c r="HL8" s="198">
        <f t="shared" ref="HL8:HL39" si="73">+IF(HK8=0,0,IF(HD8=1,((HD8-1)+(HE8-$B$1)/(HE8-HE7))*0.25,HL7+0.25))</f>
        <v>0</v>
      </c>
      <c r="HM8" s="199" cm="1">
        <f t="array" ref="HM8">+ROUND(IF(HL8&lt;1,interpoler($A$5:$A$24,$B$5:$B$24,(HE8-$B$1)),interpoler($C$5:$C$24,$D$5:$D$24,HL8))+$HJ$2,5)</f>
        <v>2.7279999999999999E-2</v>
      </c>
      <c r="HN8" s="198">
        <f t="shared" ref="HN8:HN39" si="74">+HK8/(1+HM8)^HL8</f>
        <v>0</v>
      </c>
      <c r="HR8" s="150">
        <v>0</v>
      </c>
      <c r="HS8" s="714">
        <v>41729</v>
      </c>
      <c r="HT8" s="205">
        <v>1</v>
      </c>
      <c r="HU8" s="718">
        <f>HU5-HV8</f>
        <v>959.34796389999997</v>
      </c>
      <c r="HV8" s="718">
        <v>40.652036099999997</v>
      </c>
      <c r="HW8" s="786">
        <v>10.087172199999999</v>
      </c>
      <c r="HX8" s="198">
        <f t="shared" ref="HX8:HX22" si="75">HV8+HW8</f>
        <v>50.739208299999994</v>
      </c>
      <c r="HY8" s="198">
        <f t="shared" ref="HY8:HY22" si="76">+IF($B$1&gt;=HS8,0,HX8)</f>
        <v>0</v>
      </c>
      <c r="HZ8" s="198">
        <f t="shared" ref="HZ8:HZ13" si="77">+IF(HY8=0,0,IF(HR8=1,((HR8-1)+(HS8-$B$1)/(HS8-HS7))*1,HZ7+1))</f>
        <v>0</v>
      </c>
      <c r="IA8" s="199" cm="1">
        <f t="array" ref="IA8">+ROUND(IF(HZ8&lt;1,interpoler($A$5:$A$24,$B$5:$B$24,(HS8-$B$1)),interpoler($C$5:$C$24,$D$5:$D$24,HZ8))+$HX$2,5)</f>
        <v>2.3279999999999999E-2</v>
      </c>
      <c r="IB8" s="198">
        <f t="shared" ref="IB8:IB14" si="78">+HY8/(1+IA8)^HZ8</f>
        <v>0</v>
      </c>
      <c r="IC8" s="221"/>
      <c r="ID8" s="150">
        <v>1</v>
      </c>
      <c r="IE8" s="714">
        <v>44104</v>
      </c>
      <c r="IF8" s="205">
        <v>1</v>
      </c>
      <c r="IG8" s="205">
        <v>97222.22</v>
      </c>
      <c r="IH8" s="766">
        <v>2777.78</v>
      </c>
      <c r="II8" s="765">
        <v>235.66</v>
      </c>
      <c r="IJ8" s="198">
        <f t="shared" ref="IJ8:IJ43" si="79">+ROUND(IH8+II8,2)</f>
        <v>3013.44</v>
      </c>
      <c r="IK8" s="212">
        <f t="shared" ref="IK8:IK43" si="80">+IF($B$1&gt;=IE8,0,IJ8)</f>
        <v>0</v>
      </c>
      <c r="IL8" s="763">
        <f>ROUND((IE8-$B$1)/366,10)</f>
        <v>-5.4726775956000004</v>
      </c>
      <c r="IM8" s="199" cm="1">
        <f t="array" ref="IM8">+ROUND(IF(IL8&lt;1,interpoler($A$5:$A$24,$B$5:$B$24,(IE8-$B$1)),interpoler($C$5:$C$24,$D$5:$D$24,IL8))+$IJ$2,5)</f>
        <v>3.628E-2</v>
      </c>
      <c r="IN8" s="198">
        <f t="shared" ref="IN8:IN43" si="81">ROUND(IK8/(1+IM8)^IL8,4)</f>
        <v>0</v>
      </c>
      <c r="IP8" s="1382">
        <v>1</v>
      </c>
      <c r="IQ8" s="714">
        <v>45988</v>
      </c>
      <c r="IR8" s="205">
        <v>1</v>
      </c>
      <c r="IS8" s="198">
        <v>100000</v>
      </c>
      <c r="IT8" s="198">
        <v>0</v>
      </c>
      <c r="IU8" s="198">
        <v>0</v>
      </c>
      <c r="IV8" s="198">
        <f t="shared" ref="IV8:IV28" si="82">+ROUND(IT8+IU8,2)</f>
        <v>0</v>
      </c>
      <c r="IW8" s="212">
        <f t="shared" ref="IW8:IW28" si="83">+IF($B$1&gt;=IQ8,0,IV8)</f>
        <v>0</v>
      </c>
      <c r="IX8" s="198">
        <f>+IF(IW8=0,0,IF(IP8=1,((IP8-1)+(IQ8-$B$1)/(IQ8-IQ7))*0.25,IX7+0.25))</f>
        <v>0</v>
      </c>
      <c r="IY8" s="199" cm="1">
        <f t="array" ref="IY8">+ROUND(IF(IX8&lt;1,interpoler($A$5:$A$24,$B$5:$B$24,(IQ8-$B$1)),interpoler($C$5:$C$24,$D$5:$D$24,IX8))+$IV$2,5)</f>
        <v>2.9080000000000002E-2</v>
      </c>
      <c r="IZ8" s="198">
        <f t="shared" ref="IZ8:IZ28" si="84">+IW8/(1+IY8)^IX8</f>
        <v>0</v>
      </c>
      <c r="JD8" s="150">
        <v>1</v>
      </c>
      <c r="JE8" s="714">
        <v>45061</v>
      </c>
      <c r="JF8" s="205">
        <v>1</v>
      </c>
      <c r="JG8" s="205">
        <v>100000</v>
      </c>
      <c r="JH8" s="766">
        <v>0</v>
      </c>
      <c r="JI8" s="765">
        <v>949.33</v>
      </c>
      <c r="JJ8" s="198">
        <f>+ROUND(JH8+JI8,2)</f>
        <v>949.33</v>
      </c>
      <c r="JK8" s="212">
        <f>+IF($B$1&gt;=JE8,0,JJ8)</f>
        <v>0</v>
      </c>
      <c r="JL8" s="763">
        <f>ROUND((JE8-$B$1)/366,10)</f>
        <v>-2.8579234972999998</v>
      </c>
      <c r="JM8" s="199" cm="1">
        <f t="array" ref="JM8">+ROUND(IF(JL8&lt;1,interpoler($A$5:$A$24,$B$5:$B$24,(JE8-$B$1)),interpoler($C$5:$C$24,$D$5:$D$24,JL8))+$IJ$2,5)</f>
        <v>3.628E-2</v>
      </c>
      <c r="JN8" s="198">
        <f>ROUND(JK8/(1+JM8)^JL8,4)</f>
        <v>0</v>
      </c>
      <c r="JP8" s="150"/>
      <c r="JQ8" s="200" t="s">
        <v>3036</v>
      </c>
      <c r="JR8" s="205">
        <v>1</v>
      </c>
      <c r="JS8" s="205">
        <v>100000</v>
      </c>
      <c r="JT8" s="205">
        <v>0</v>
      </c>
      <c r="JU8" s="765">
        <v>1362.5</v>
      </c>
      <c r="JV8" s="198">
        <f>JT8+JU8</f>
        <v>1362.5</v>
      </c>
      <c r="JW8" s="212">
        <f>+IF($B$1&gt;=JQ8,0,JV8)</f>
        <v>1362.5</v>
      </c>
      <c r="JX8" s="770">
        <f>(JQ8-B1)/365</f>
        <v>-1.4547945205479451</v>
      </c>
      <c r="JY8" s="199" cm="1">
        <f t="array" ref="JY8">ROUND(interpoler(mat_zc,Taux_ZC,JX8)+$JV$2,5)</f>
        <v>4.3279999999999999E-2</v>
      </c>
      <c r="JZ8" s="198"/>
      <c r="KB8" s="205" t="s">
        <v>3073</v>
      </c>
      <c r="KC8" s="205">
        <v>1</v>
      </c>
      <c r="KD8" s="205">
        <v>115762.5</v>
      </c>
      <c r="KE8" s="205">
        <v>0</v>
      </c>
      <c r="KF8" s="765">
        <v>5788.125</v>
      </c>
      <c r="KG8" s="198">
        <f>KE8+KF8</f>
        <v>5788.125</v>
      </c>
      <c r="KH8" s="212">
        <f t="shared" ref="KH8:KH22" si="85">+IF($B$1&gt;=KB8,0,KG8)</f>
        <v>5788.125</v>
      </c>
      <c r="KI8" s="770">
        <f t="shared" ref="KI8:KI13" si="86">(KB8-$B$1)/365</f>
        <v>-3.5232876712328767</v>
      </c>
      <c r="KJ8" s="199" cm="1">
        <f t="array" ref="KJ8">ROUND(interpoler(mat_zc,Taux_ZC,KI8)+$JV$2,5)</f>
        <v>4.3279999999999999E-2</v>
      </c>
      <c r="KK8" s="198"/>
      <c r="KN8" s="1601">
        <v>46063</v>
      </c>
      <c r="KO8" s="205">
        <v>1</v>
      </c>
      <c r="KP8" s="1604">
        <v>100000</v>
      </c>
      <c r="KQ8" s="1443">
        <v>0</v>
      </c>
      <c r="KR8" s="1606">
        <v>4470</v>
      </c>
      <c r="KS8" s="198">
        <f>KQ8+KR8</f>
        <v>4470</v>
      </c>
      <c r="KT8" s="212">
        <f t="shared" ref="KT8:KT22" si="87">+IF($B$1&gt;=KN8,0,KS8)</f>
        <v>0</v>
      </c>
      <c r="KU8" s="761">
        <f t="shared" ref="KU8:KU10" si="88">(KN8-$B$1)/365</f>
        <v>-0.12054794520547946</v>
      </c>
      <c r="KV8" s="199" cm="1">
        <f t="array" ref="KV8">ROUND(interpoler(mat_zc,Taux_ZC,KU8)+$KS$2,5)</f>
        <v>2.928E-2</v>
      </c>
      <c r="KW8" s="1612">
        <f t="shared" ref="KW8:KW12" si="89">ROUND(KT8/(1+KV8)^KU8,4)</f>
        <v>0</v>
      </c>
    </row>
    <row r="9" spans="1:309" ht="16.5" thickBot="1" x14ac:dyDescent="0.3">
      <c r="A9" s="168">
        <f>+IF('Courbe des taux'!A6="",A8,'Courbe des taux'!A6)</f>
        <v>326</v>
      </c>
      <c r="B9" s="315">
        <f>+CIH!B12</f>
        <v>2.4974686420831338E-2</v>
      </c>
      <c r="C9" s="95">
        <f>+CIH!K9</f>
        <v>5</v>
      </c>
      <c r="D9" s="145">
        <f>+CIH!L9</f>
        <v>3.0909167058137843E-2</v>
      </c>
      <c r="F9" s="150"/>
      <c r="G9" s="150">
        <f t="shared" si="0"/>
        <v>0</v>
      </c>
      <c r="H9" s="117">
        <v>37541</v>
      </c>
      <c r="I9" s="120">
        <v>2</v>
      </c>
      <c r="J9" s="185">
        <v>95708.346471232871</v>
      </c>
      <c r="K9" s="186">
        <v>4764.1499999999996</v>
      </c>
      <c r="L9" s="137">
        <f t="shared" si="1"/>
        <v>1488.26</v>
      </c>
      <c r="M9" s="137">
        <f t="shared" si="2"/>
        <v>6252.41</v>
      </c>
      <c r="N9" s="137">
        <f t="shared" si="3"/>
        <v>0</v>
      </c>
      <c r="O9" s="137">
        <f t="shared" si="4"/>
        <v>0</v>
      </c>
      <c r="P9" s="146" cm="1">
        <f t="array" ref="P9">+ROUND(IF(O9&lt;1,interpoler($A$5:$A$24,$B$5:$B$24,(H9-$B$1)),interpoler($C$5:$C$24,$D$5:$D$24,O9))+$M$2,6)</f>
        <v>2.8781000000000001E-2</v>
      </c>
      <c r="Q9" s="137">
        <f t="shared" si="5"/>
        <v>0</v>
      </c>
      <c r="R9" s="172"/>
      <c r="S9" s="150">
        <f t="shared" si="6"/>
        <v>0</v>
      </c>
      <c r="T9" s="194">
        <v>37541</v>
      </c>
      <c r="U9" s="200">
        <v>2</v>
      </c>
      <c r="V9" s="196">
        <v>100000</v>
      </c>
      <c r="W9" s="201">
        <v>0</v>
      </c>
      <c r="X9" s="198">
        <f t="shared" si="7"/>
        <v>1830</v>
      </c>
      <c r="Y9" s="198">
        <f t="shared" si="8"/>
        <v>1830</v>
      </c>
      <c r="Z9" s="198">
        <f t="shared" si="9"/>
        <v>0</v>
      </c>
      <c r="AA9" s="198">
        <f t="shared" si="10"/>
        <v>0</v>
      </c>
      <c r="AB9" s="199" cm="1">
        <f t="array" ref="AB9">+ROUND(IF(AA9&lt;1,interpoler($A$5:$A$24,$B$5:$B$24,(T9-$B$1)),interpoler($C$5:$C$24,$D$5:$D$24,AA9))+$Y$2,6)</f>
        <v>3.0780999999999999E-2</v>
      </c>
      <c r="AC9" s="198">
        <f t="shared" si="11"/>
        <v>0</v>
      </c>
      <c r="AE9" s="150">
        <f t="shared" si="12"/>
        <v>0</v>
      </c>
      <c r="AF9" s="117">
        <v>38788</v>
      </c>
      <c r="AG9" s="120">
        <v>2</v>
      </c>
      <c r="AH9" s="185">
        <v>58896.19</v>
      </c>
      <c r="AI9" s="186">
        <v>4573.2700000000004</v>
      </c>
      <c r="AJ9" s="198">
        <f t="shared" si="13"/>
        <v>752.4</v>
      </c>
      <c r="AK9" s="198">
        <f t="shared" si="14"/>
        <v>5325.67</v>
      </c>
      <c r="AL9" s="198">
        <f t="shared" si="15"/>
        <v>0</v>
      </c>
      <c r="AM9" s="198">
        <f t="shared" si="16"/>
        <v>0</v>
      </c>
      <c r="AN9" s="199" cm="1">
        <f t="array" ref="AN9">+ROUND(IF(AM9&lt;1,interpoler($A$5:$A$24,$B$5:$B$24,(AF9-$B$1)),interpoler($C$5:$C$24,$D$5:$D$24,AM9))+$AK$2,6)</f>
        <v>2.7281E-2</v>
      </c>
      <c r="AO9" s="198">
        <f t="shared" si="17"/>
        <v>0</v>
      </c>
      <c r="AP9" s="172">
        <f t="shared" si="18"/>
        <v>4573.2700000000004</v>
      </c>
      <c r="AQ9" s="150">
        <f t="shared" si="19"/>
        <v>0</v>
      </c>
      <c r="AR9" s="194">
        <v>38788</v>
      </c>
      <c r="AS9" s="211">
        <v>2</v>
      </c>
      <c r="AT9" s="196">
        <v>100000</v>
      </c>
      <c r="AU9" s="196">
        <v>0</v>
      </c>
      <c r="AV9" s="198">
        <f t="shared" si="20"/>
        <v>1597.5</v>
      </c>
      <c r="AW9" s="198">
        <f t="shared" si="21"/>
        <v>1597.5</v>
      </c>
      <c r="AX9" s="198">
        <f t="shared" si="22"/>
        <v>0</v>
      </c>
      <c r="AY9" s="212">
        <f t="shared" si="23"/>
        <v>0</v>
      </c>
      <c r="AZ9" s="199" cm="1">
        <f t="array" ref="AZ9">+ROUND(IF(AY9&lt;1,interpoler($A$5:$A$24,$B$5:$B$24,(AR9-$B$1)),interpoler($C$5:$C$24,$D$5:$D$24,AY9))+$AW$2,6)</f>
        <v>2.9780999999999998E-2</v>
      </c>
      <c r="BA9" s="198">
        <f t="shared" si="24"/>
        <v>0</v>
      </c>
      <c r="BC9" s="599">
        <f t="shared" si="25"/>
        <v>0</v>
      </c>
      <c r="BD9" s="669">
        <v>39978</v>
      </c>
      <c r="BE9" s="526">
        <v>2</v>
      </c>
      <c r="BF9" s="841">
        <v>98174.51</v>
      </c>
      <c r="BG9" s="835">
        <v>2515.5500000000002</v>
      </c>
      <c r="BH9" s="529">
        <f t="shared" ref="BH9:BH53" si="90">+ROUND($BI$1*BF9/4,2)</f>
        <v>1185.46</v>
      </c>
      <c r="BI9" s="529">
        <f t="shared" si="26"/>
        <v>3701.01</v>
      </c>
      <c r="BJ9" s="529">
        <f t="shared" si="27"/>
        <v>0</v>
      </c>
      <c r="BK9" s="529">
        <f t="shared" si="28"/>
        <v>0</v>
      </c>
      <c r="BL9" s="530" cm="1">
        <f t="array" ref="BL9">+ROUND(IF(BK9&lt;1,interpoler($A$5:$A$24,$B$5:$B$24,(BD9-$B$1)),interpoler($C$5:$C$24,$D$5:$D$24,BK9))+$BI$2,6)</f>
        <v>3.3280999999999998E-2</v>
      </c>
      <c r="BM9" s="529">
        <f t="shared" si="29"/>
        <v>0</v>
      </c>
      <c r="BN9" s="280"/>
      <c r="BP9" s="150">
        <f t="shared" si="30"/>
        <v>1</v>
      </c>
      <c r="BQ9" s="194" t="s">
        <v>967</v>
      </c>
      <c r="BR9" s="211">
        <v>2</v>
      </c>
      <c r="BS9" s="304">
        <f t="shared" ref="BS9:BS39" si="91">(BS8-BT8)</f>
        <v>96774.193548387091</v>
      </c>
      <c r="BT9" s="196">
        <v>3225.8064516129034</v>
      </c>
      <c r="BU9" s="198">
        <f t="shared" ref="BU9:BU39" si="92">+ROUND($BV$1*BS9*(BQ9-BQ8)/360,2)</f>
        <v>-14982.85</v>
      </c>
      <c r="BV9" s="198">
        <f t="shared" si="31"/>
        <v>-11757.04</v>
      </c>
      <c r="BW9" s="198">
        <f t="shared" si="32"/>
        <v>-11757.04</v>
      </c>
      <c r="BX9" s="198">
        <f t="shared" si="33"/>
        <v>0.82969865186360037</v>
      </c>
      <c r="BY9" s="199" cm="1">
        <f t="array" ref="BY9">+ROUND(IF(BX9&lt;1,interpoler($A$5:$A$24,$B$5:$B$24,(BQ9-$B$1)),interpoler($C$5:$C$24,$D$5:$D$24,BX9))+$BV$2,6)</f>
        <v>2.7281E-2</v>
      </c>
      <c r="BZ9" s="198">
        <f t="shared" si="34"/>
        <v>-11497.394575841277</v>
      </c>
      <c r="CB9" s="520">
        <f t="shared" si="35"/>
        <v>0</v>
      </c>
      <c r="CC9" s="868">
        <v>43275</v>
      </c>
      <c r="CD9" s="857">
        <v>2</v>
      </c>
      <c r="CE9" s="859">
        <v>100000</v>
      </c>
      <c r="CF9" s="1035">
        <v>0</v>
      </c>
      <c r="CG9" s="847">
        <f t="shared" ref="CG9:CG16" si="93">ROUNDDOWN(CE8*$CH$1*0.25,2)</f>
        <v>1007.5</v>
      </c>
      <c r="CH9" s="847">
        <f t="shared" si="36"/>
        <v>1007.5</v>
      </c>
      <c r="CI9" s="847">
        <f t="shared" si="37"/>
        <v>0</v>
      </c>
      <c r="CJ9" s="847">
        <f>IF(CJ8&lt;0,(CC9-$B$1)/(CC9-CC8)*(3/12),CJ8+0.25)</f>
        <v>-7.6956521739130439</v>
      </c>
      <c r="CK9" s="848" cm="1">
        <f t="array" ref="CK9">+ROUND(IF(CJ9&lt;1,interpoler($A$5:$A$24,$B$5:$B$24,(CC9-$B$1)),interpoler($C$5:$C$24,$D$5:$D$24,CJ9))+$CH$2,5)</f>
        <v>2.878E-2</v>
      </c>
      <c r="CL9" s="847">
        <f>+CI9/(1+CK9)^CJ9</f>
        <v>0</v>
      </c>
      <c r="CN9" s="520">
        <f t="shared" si="38"/>
        <v>0</v>
      </c>
      <c r="CO9" s="868">
        <v>43275</v>
      </c>
      <c r="CP9" s="857">
        <v>2</v>
      </c>
      <c r="CQ9" s="859">
        <f>CQ8-CR9</f>
        <v>90391.819999999992</v>
      </c>
      <c r="CR9" s="859">
        <v>4135.1000000000004</v>
      </c>
      <c r="CS9" s="847">
        <f>ROUNDDOWN(CQ8*$CT$1*0.25,2)</f>
        <v>760.94</v>
      </c>
      <c r="CT9" s="847">
        <f t="shared" si="39"/>
        <v>4896.04</v>
      </c>
      <c r="CU9" s="847">
        <f t="shared" si="40"/>
        <v>0</v>
      </c>
      <c r="CV9" s="866">
        <f t="shared" si="41"/>
        <v>-7.8666666666666654</v>
      </c>
      <c r="CW9" s="848" cm="1">
        <f t="array" ref="CW9">+ROUND(IF(CV9&lt;1,interpoler($A$5:$A$24,$B$5:$B$24,(CO9-$B$1)),interpoler($C$5:$C$24,$D$5:$D$24,CV9))+$CT$2,5)</f>
        <v>2.7279999999999999E-2</v>
      </c>
      <c r="CX9" s="847">
        <f>+CU9/(1+CW9)^CV9</f>
        <v>0</v>
      </c>
      <c r="DE9" s="150">
        <f>+IF(DL9=0,0,DE8+1)</f>
        <v>0</v>
      </c>
      <c r="DF9" s="194">
        <v>44119</v>
      </c>
      <c r="DG9" s="211">
        <v>2</v>
      </c>
      <c r="DH9" s="523">
        <f>DH8-DI9</f>
        <v>61567.710000000006</v>
      </c>
      <c r="DI9" s="296">
        <v>19468.37</v>
      </c>
      <c r="DJ9" s="198">
        <f>ROUND(DH8*$DK$1*(DF9-DF8)/366,2)</f>
        <v>2155.56</v>
      </c>
      <c r="DK9" s="198">
        <f>+ROUND(DI9+DJ9,2)</f>
        <v>21623.93</v>
      </c>
      <c r="DL9" s="198">
        <f>+IF($B$1&gt;=DF9,0,DK9)</f>
        <v>0</v>
      </c>
      <c r="DM9" s="198">
        <f>IF(DL8=0,(DF9-$B$1)/(DF9-DF8),DM8+1)</f>
        <v>-5.4316939890710385</v>
      </c>
      <c r="DN9" s="199" cm="1">
        <f t="array" ref="DN9">+ROUND(IF(DM9*366&lt;365,interpoler($A$5:$A$24,$B$5:$B$24,(DF9-$B$1)),interpoler($C$5:$C$24,$D$5:$D$24,DM9))+$DK$2,5)</f>
        <v>2.3279999999999999E-2</v>
      </c>
      <c r="DO9" s="212">
        <f>+DL9/(1+DN9)^DM9</f>
        <v>0</v>
      </c>
      <c r="DQ9" s="211">
        <f t="shared" si="42"/>
        <v>0</v>
      </c>
      <c r="DR9" s="524">
        <v>41106</v>
      </c>
      <c r="DS9" s="211">
        <v>2</v>
      </c>
      <c r="DT9" s="304">
        <f t="shared" ref="DT9:DT53" si="94">DT8-DU9</f>
        <v>94816.53</v>
      </c>
      <c r="DU9" s="402">
        <v>2597.7399999999998</v>
      </c>
      <c r="DV9" s="198">
        <f t="shared" ref="DV9:DV53" si="95">+ROUND($DW$1*DT8/4,2)</f>
        <v>1083.73</v>
      </c>
      <c r="DW9" s="198">
        <f t="shared" si="43"/>
        <v>3681.47</v>
      </c>
      <c r="DX9" s="198">
        <f t="shared" si="44"/>
        <v>0</v>
      </c>
      <c r="DY9" s="198">
        <f t="shared" si="45"/>
        <v>0</v>
      </c>
      <c r="DZ9" s="199" cm="1">
        <f t="array" ref="DZ9">+ROUND(IF(DY9&lt;1,interpoler($A$5:$A$24,$B$5:$B$24,(DR9-$B$1)),interpoler($C$5:$C$24,$D$5:$D$24,DY9))+$DW$2,5)</f>
        <v>2.5680000000000001E-2</v>
      </c>
      <c r="EA9" s="198">
        <f t="shared" si="46"/>
        <v>0</v>
      </c>
      <c r="EC9" s="526">
        <f t="shared" si="47"/>
        <v>0</v>
      </c>
      <c r="ED9" s="525">
        <v>43640</v>
      </c>
      <c r="EE9" s="526">
        <v>2</v>
      </c>
      <c r="EF9" s="729">
        <v>86671.38</v>
      </c>
      <c r="EG9" s="729">
        <v>13528.01</v>
      </c>
      <c r="EH9" s="655">
        <v>643.53</v>
      </c>
      <c r="EI9" s="529">
        <f t="shared" si="48"/>
        <v>14171.54</v>
      </c>
      <c r="EJ9" s="529">
        <f t="shared" si="49"/>
        <v>0</v>
      </c>
      <c r="EK9" s="937">
        <f t="shared" si="50"/>
        <v>0</v>
      </c>
      <c r="EL9" s="934" cm="1">
        <f t="array" ref="EL9">+ROUND(IF(EK9&lt;1,interpoler($A$5:$A$24,$B$5:$B$24,(ED9-$B$1)),interpoler($C$5:$C$24,$D$5:$D$24,EK9))+$EI$2,5)</f>
        <v>2.7279999999999999E-2</v>
      </c>
      <c r="EM9" s="529">
        <f t="shared" si="51"/>
        <v>0</v>
      </c>
      <c r="EN9" s="692">
        <f t="shared" ref="EN9:EN24" si="96">EN8-EG9</f>
        <v>73143.37000000001</v>
      </c>
      <c r="EO9" s="280"/>
      <c r="EQ9" s="211">
        <f t="shared" si="52"/>
        <v>0</v>
      </c>
      <c r="ER9" s="524">
        <v>43640</v>
      </c>
      <c r="ES9" s="211">
        <v>2</v>
      </c>
      <c r="ET9" s="304">
        <f t="shared" ref="ET9:ET25" si="97">ET8-EU9</f>
        <v>-24634.74</v>
      </c>
      <c r="EU9" s="296">
        <v>11306.12</v>
      </c>
      <c r="EV9" s="198">
        <f t="shared" ref="EV9:EV25" si="98">+ROUNDDOWN($EI$1*ET8/4,2)</f>
        <v>-98.96</v>
      </c>
      <c r="EW9" s="198">
        <f t="shared" si="53"/>
        <v>11207.16</v>
      </c>
      <c r="EX9" s="198">
        <f t="shared" si="54"/>
        <v>0</v>
      </c>
      <c r="EY9" s="198">
        <f t="shared" ref="EY9:EY25" si="99">+IF(EX9=0,0,IF(EQ9=1,((EQ9-1)+(ER9-$B$1)/(ER9-ER8))*0.25,EY8+0.25))</f>
        <v>0</v>
      </c>
      <c r="EZ9" s="530" cm="1">
        <f t="array" ref="EZ9">+ROUND(IF(EY9&lt;1,interpoler($A$5:$A$24,$B$5:$B$24,(ER9-$B$1)),interpoler($C$5:$C$24,$D$5:$D$24,EY9))+$EV$2,5)</f>
        <v>2.7279999999999999E-2</v>
      </c>
      <c r="FA9" s="198">
        <f t="shared" si="55"/>
        <v>0</v>
      </c>
      <c r="FD9" s="526">
        <f t="shared" si="56"/>
        <v>0</v>
      </c>
      <c r="FE9" s="802">
        <v>44006</v>
      </c>
      <c r="FF9" s="803">
        <v>2</v>
      </c>
      <c r="FG9" s="804">
        <v>97238.06</v>
      </c>
      <c r="FH9" s="805">
        <v>2157.08</v>
      </c>
      <c r="FI9" s="805">
        <v>736.57</v>
      </c>
      <c r="FJ9" s="807">
        <f t="shared" si="57"/>
        <v>2893.65</v>
      </c>
      <c r="FK9" s="807">
        <f t="shared" si="58"/>
        <v>0</v>
      </c>
      <c r="FL9" s="808">
        <f>(((FE9-FE8)*0.25/92))*(FE9-$B$1)/(FE9-FE8)</f>
        <v>-5.7092391304347823</v>
      </c>
      <c r="FM9" s="809" cm="1">
        <f t="array" ref="FM9">+ROUND(IF(FL9&lt;1,interpoler($A$5:$A$24,$B$5:$B$24,(FE9-$B$1)),interpoler($C$5:$C$24,$D$5:$D$24,FL9))+$FI$2,5)</f>
        <v>2.7779999999999999E-2</v>
      </c>
      <c r="FN9" s="810">
        <f t="shared" ref="FN9:FN27" si="100">ROUND( +FK9/(1+FM9)^FL9,4)</f>
        <v>0</v>
      </c>
      <c r="FQ9" s="526">
        <f t="shared" si="59"/>
        <v>0</v>
      </c>
      <c r="FR9" s="815">
        <v>44006</v>
      </c>
      <c r="FS9" s="816">
        <v>2</v>
      </c>
      <c r="FT9" s="900">
        <v>100000</v>
      </c>
      <c r="FU9" s="821">
        <v>0</v>
      </c>
      <c r="FV9" s="818">
        <f t="shared" ref="FV9:FV14" si="101">+ROUNDDOWN($FV$1*FT8/4,2)</f>
        <v>1007.5</v>
      </c>
      <c r="FW9" s="818">
        <f t="shared" si="60"/>
        <v>1007.5</v>
      </c>
      <c r="FX9" s="818">
        <f t="shared" si="61"/>
        <v>0</v>
      </c>
      <c r="FY9" s="819">
        <f>(((FR9-FR8)*0.25/92))*(FR9-$B$1)/(FR9-FR8)</f>
        <v>-5.7092391304347823</v>
      </c>
      <c r="FZ9" s="820" cm="1">
        <f t="array" ref="FZ9">+ROUND(IF(FY9&lt;1,interpoler($A$5:$A$24,$B$5:$B$24,(FR9-$B$1)),interpoler($C$5:$C$24,$D$5:$D$24,FY9))+$FV$2,5)</f>
        <v>2.928E-2</v>
      </c>
      <c r="GA9" s="818">
        <f t="shared" si="62"/>
        <v>0</v>
      </c>
      <c r="GD9" s="150">
        <f t="shared" si="63"/>
        <v>0</v>
      </c>
      <c r="GE9" s="856">
        <v>44554</v>
      </c>
      <c r="GF9" s="857">
        <v>2</v>
      </c>
      <c r="GG9" s="858">
        <v>98221.5</v>
      </c>
      <c r="GH9" s="859">
        <v>2279.09</v>
      </c>
      <c r="GI9" s="846">
        <v>645.79999999999995</v>
      </c>
      <c r="GJ9" s="847">
        <f t="shared" si="64"/>
        <v>2924.89</v>
      </c>
      <c r="GK9" s="847">
        <f t="shared" si="65"/>
        <v>0</v>
      </c>
      <c r="GL9" s="860">
        <f>((GE9-$B$1)/(GE9-GE8))/4</f>
        <v>-4.2664835164835164</v>
      </c>
      <c r="GM9" s="848" cm="1">
        <f t="array" ref="GM9">ROUND(interpoler(mat_zc,Taux_ZC,GL9)+$GJ$2,5)</f>
        <v>2.828E-2</v>
      </c>
      <c r="GN9" s="861">
        <f t="shared" ref="GN9:GN54" si="102">ROUND(GK9/(1+GM9)^GL9,4)</f>
        <v>0</v>
      </c>
      <c r="GO9" s="198"/>
      <c r="GQ9" s="150">
        <f t="shared" si="66"/>
        <v>0</v>
      </c>
      <c r="GR9" s="856">
        <v>44554</v>
      </c>
      <c r="GS9" s="1030">
        <v>2</v>
      </c>
      <c r="GT9" s="967">
        <v>99403.05</v>
      </c>
      <c r="GU9" s="968">
        <v>764.98</v>
      </c>
      <c r="GV9" s="969">
        <v>770.37</v>
      </c>
      <c r="GW9" s="971">
        <f t="shared" si="67"/>
        <v>1535.35</v>
      </c>
      <c r="GX9" s="973">
        <f t="shared" si="68"/>
        <v>0</v>
      </c>
      <c r="GY9" s="971">
        <f>((GR9-$B$1)/(GR9-GR8))/4</f>
        <v>-4.2664835164835164</v>
      </c>
      <c r="GZ9" s="976" cm="1">
        <f t="array" ref="GZ9">+ROUND(IF(GY9&lt;1,interpoler($A$5:$A$24,$B$5:$B$24,(GR9-$B$1)),interpoler($C$5:$C$24,$D$5:$D$24,GY9))+$GW$2,5)</f>
        <v>2.9780000000000001E-2</v>
      </c>
      <c r="HA9" s="847">
        <f t="shared" si="69"/>
        <v>0</v>
      </c>
      <c r="HD9" s="1382">
        <f t="shared" si="70"/>
        <v>0</v>
      </c>
      <c r="HE9" s="309">
        <v>41922</v>
      </c>
      <c r="HF9" s="211">
        <v>2</v>
      </c>
      <c r="HG9" s="304">
        <f t="shared" ref="HG9:HG39" si="103">(HG8-HH8)</f>
        <v>95000</v>
      </c>
      <c r="HH9" s="196">
        <v>5312.5</v>
      </c>
      <c r="HI9" s="198">
        <f t="shared" ref="HI9:HI39" si="104">+ROUNDDOWN($HJ$1*HG9/4,2)</f>
        <v>1049.75</v>
      </c>
      <c r="HJ9" s="198">
        <f t="shared" si="71"/>
        <v>6362.25</v>
      </c>
      <c r="HK9" s="198">
        <f t="shared" si="72"/>
        <v>0</v>
      </c>
      <c r="HL9" s="198">
        <f t="shared" si="73"/>
        <v>0</v>
      </c>
      <c r="HM9" s="199" cm="1">
        <f t="array" ref="HM9">+ROUND(IF(HL9&lt;1,interpoler($A$5:$A$24,$B$5:$B$24,(HE9-$B$1)),interpoler($C$5:$C$24,$D$5:$D$24,HL9))+$HJ$2,5)</f>
        <v>2.7279999999999999E-2</v>
      </c>
      <c r="HN9" s="198">
        <f t="shared" si="74"/>
        <v>0</v>
      </c>
      <c r="HR9" s="150">
        <v>0</v>
      </c>
      <c r="HS9" s="714">
        <v>42094</v>
      </c>
      <c r="HT9" s="205">
        <v>2</v>
      </c>
      <c r="HU9" s="718">
        <f t="shared" ref="HU9:HU22" si="105">HU8-HV9</f>
        <v>950.77069259999996</v>
      </c>
      <c r="HV9" s="718">
        <v>8.5772712999999996</v>
      </c>
      <c r="HW9" s="786">
        <v>39.246049300000003</v>
      </c>
      <c r="HX9" s="198">
        <f t="shared" si="75"/>
        <v>47.823320600000002</v>
      </c>
      <c r="HY9" s="198">
        <f t="shared" si="76"/>
        <v>0</v>
      </c>
      <c r="HZ9" s="198">
        <f t="shared" si="77"/>
        <v>0</v>
      </c>
      <c r="IA9" s="199" cm="1">
        <f t="array" ref="IA9">+ROUND(IF(HZ9&lt;1,interpoler($A$5:$A$24,$B$5:$B$24,(HS9-$B$1)),interpoler($C$5:$C$24,$D$5:$D$24,HZ9))+$HX$2,5)</f>
        <v>2.3279999999999999E-2</v>
      </c>
      <c r="IB9" s="198">
        <f t="shared" si="78"/>
        <v>0</v>
      </c>
      <c r="IC9" s="221"/>
      <c r="ID9" s="150">
        <v>2</v>
      </c>
      <c r="IE9" s="714">
        <v>44286</v>
      </c>
      <c r="IF9" s="205">
        <v>2</v>
      </c>
      <c r="IG9" s="205">
        <v>94444.44</v>
      </c>
      <c r="IH9" s="766">
        <v>2777.78</v>
      </c>
      <c r="II9" s="765">
        <v>1817.92</v>
      </c>
      <c r="IJ9" s="198">
        <f t="shared" si="79"/>
        <v>4595.7</v>
      </c>
      <c r="IK9" s="212">
        <f t="shared" si="80"/>
        <v>0</v>
      </c>
      <c r="IL9" s="761">
        <f>ROUND((IE9-$B$1)/(IE9-IE6),10)</f>
        <v>-4.9890410959000002</v>
      </c>
      <c r="IM9" s="199" cm="1">
        <f t="array" ref="IM9">+ROUND(IF(IL9&lt;1,interpoler($A$5:$A$24,$B$5:$B$24,(IE9-$B$1)),interpoler($C$5:$C$24,$D$5:$D$24,IL9))+$IJ$2,5)</f>
        <v>3.628E-2</v>
      </c>
      <c r="IN9" s="198">
        <f t="shared" si="81"/>
        <v>0</v>
      </c>
      <c r="IP9" s="1382">
        <v>2</v>
      </c>
      <c r="IQ9" s="714">
        <v>46080</v>
      </c>
      <c r="IR9" s="205">
        <v>2</v>
      </c>
      <c r="IS9" s="198">
        <v>90384</v>
      </c>
      <c r="IT9" s="198">
        <v>9616</v>
      </c>
      <c r="IU9" s="198">
        <v>733.48</v>
      </c>
      <c r="IV9" s="198">
        <f>+ROUND(IT9+IU9,2)</f>
        <v>10349.48</v>
      </c>
      <c r="IW9" s="212">
        <f>+IF($B$1&gt;=IQ9,0,IV9)</f>
        <v>0</v>
      </c>
      <c r="IX9" s="447">
        <f>(IQ9-$B$1)/(IQ9-IQ8)*0.25</f>
        <v>-7.3369565217391311E-2</v>
      </c>
      <c r="IY9" s="199" cm="1">
        <f t="array" ref="IY9">+ROUND(IF(IX9&lt;1,interpoler($A$5:$A$24,$B$5:$B$24,(IQ9-$B$1)),interpoler($C$5:$C$24,$D$5:$D$24,IX9))+$IV$2,5)</f>
        <v>2.9080000000000002E-2</v>
      </c>
      <c r="IZ9" s="198">
        <f t="shared" si="84"/>
        <v>0</v>
      </c>
      <c r="JD9" s="150"/>
      <c r="JE9" s="714"/>
      <c r="JF9" s="205"/>
      <c r="JG9" s="205"/>
      <c r="JH9" s="766"/>
      <c r="JI9" s="765"/>
      <c r="JJ9" s="198"/>
      <c r="JK9" s="212"/>
      <c r="JL9" s="761"/>
      <c r="JM9" s="199"/>
      <c r="JN9" s="198"/>
      <c r="JP9" s="150"/>
      <c r="JQ9" s="200" t="s">
        <v>3037</v>
      </c>
      <c r="JR9" s="205">
        <v>2</v>
      </c>
      <c r="JS9" s="205">
        <v>100000</v>
      </c>
      <c r="JT9" s="205">
        <v>0</v>
      </c>
      <c r="JU9" s="765">
        <v>1362.5</v>
      </c>
      <c r="JV9" s="198">
        <f t="shared" ref="JV9:JV35" si="106">JT9+JU9</f>
        <v>1362.5</v>
      </c>
      <c r="JW9" s="212">
        <f>+IF($B$1&gt;=JQ9,0,JV9)</f>
        <v>1362.5</v>
      </c>
      <c r="JX9" s="1155">
        <f>(JQ9-B1)/365</f>
        <v>-1.2027397260273973</v>
      </c>
      <c r="JY9" s="199" cm="1">
        <f t="array" ref="JY9">ROUND(interpoler(mat_zc,Taux_ZC,JX9)+$JV$2,5)</f>
        <v>4.3279999999999999E-2</v>
      </c>
      <c r="JZ9" s="198">
        <f>ROUND(JW9/(1+JY9)^JX9,4)</f>
        <v>1433.732</v>
      </c>
      <c r="KB9" s="205" t="s">
        <v>3074</v>
      </c>
      <c r="KC9" s="205">
        <v>2</v>
      </c>
      <c r="KD9" s="205">
        <v>106115.62</v>
      </c>
      <c r="KE9" s="205">
        <v>9646.8799999999992</v>
      </c>
      <c r="KF9" s="765">
        <v>5788.125</v>
      </c>
      <c r="KG9" s="198">
        <f>KE9+KF9</f>
        <v>15435.004999999999</v>
      </c>
      <c r="KH9" s="212">
        <f t="shared" si="85"/>
        <v>15435.004999999999</v>
      </c>
      <c r="KI9" s="770">
        <f t="shared" si="86"/>
        <v>-2.5232876712328767</v>
      </c>
      <c r="KJ9" s="199" cm="1">
        <f t="array" ref="KJ9">ROUND(interpoler(mat_zc,Taux_ZC,KI9)+$JV$2,5)</f>
        <v>4.3279999999999999E-2</v>
      </c>
      <c r="KK9" s="198"/>
      <c r="KN9" s="1602">
        <v>46428</v>
      </c>
      <c r="KO9" s="205">
        <v>2</v>
      </c>
      <c r="KP9" s="1605">
        <v>100000</v>
      </c>
      <c r="KQ9" s="1442">
        <v>0</v>
      </c>
      <c r="KR9" s="1442">
        <v>4470</v>
      </c>
      <c r="KS9" s="198">
        <f>KQ9+KR9</f>
        <v>4470</v>
      </c>
      <c r="KT9" s="212">
        <f t="shared" si="87"/>
        <v>4470</v>
      </c>
      <c r="KU9" s="761">
        <f t="shared" si="88"/>
        <v>0.8794520547945206</v>
      </c>
      <c r="KV9" s="199" cm="1">
        <f t="array" ref="KV9">ROUND(interpoler(mat_zc,Taux_ZC,KU9)+$KS$2,5)</f>
        <v>3.0949999999999998E-2</v>
      </c>
      <c r="KW9" s="1612">
        <f t="shared" si="89"/>
        <v>4351.7674999999999</v>
      </c>
    </row>
    <row r="10" spans="1:309" ht="16.5" thickBot="1" x14ac:dyDescent="0.3">
      <c r="A10" s="168">
        <f>+IF('Courbe des taux'!A7="",A9,'Courbe des taux'!A7)</f>
        <v>326</v>
      </c>
      <c r="B10" s="315">
        <f>+CIH!B13</f>
        <v>2.4974686420831338E-2</v>
      </c>
      <c r="C10" s="95">
        <f>+CIH!K10</f>
        <v>6</v>
      </c>
      <c r="D10" s="145">
        <f>+CIH!L10</f>
        <v>3.1433270213076625E-2</v>
      </c>
      <c r="F10" s="150"/>
      <c r="G10" s="150">
        <f t="shared" si="0"/>
        <v>0</v>
      </c>
      <c r="H10" s="117">
        <v>37633</v>
      </c>
      <c r="I10" s="120">
        <v>3</v>
      </c>
      <c r="J10" s="186">
        <v>90944.2</v>
      </c>
      <c r="K10" s="186">
        <v>4538.47</v>
      </c>
      <c r="L10" s="137">
        <f t="shared" si="1"/>
        <v>1414.18</v>
      </c>
      <c r="M10" s="137">
        <f t="shared" si="2"/>
        <v>5952.65</v>
      </c>
      <c r="N10" s="137">
        <f t="shared" si="3"/>
        <v>0</v>
      </c>
      <c r="O10" s="137">
        <f t="shared" si="4"/>
        <v>0</v>
      </c>
      <c r="P10" s="146" cm="1">
        <f t="array" ref="P10">+ROUND(IF(O10&lt;1,interpoler($A$5:$A$24,$B$5:$B$24,(H10-$B$1)),interpoler($C$5:$C$24,$D$5:$D$24,O10))+$M$2,6)</f>
        <v>2.8781000000000001E-2</v>
      </c>
      <c r="Q10" s="137">
        <f t="shared" si="5"/>
        <v>0</v>
      </c>
      <c r="R10" s="172"/>
      <c r="S10" s="150">
        <f t="shared" si="6"/>
        <v>0</v>
      </c>
      <c r="T10" s="194">
        <v>37633</v>
      </c>
      <c r="U10" s="200">
        <v>3</v>
      </c>
      <c r="V10" s="196">
        <v>100000</v>
      </c>
      <c r="W10" s="201">
        <v>0</v>
      </c>
      <c r="X10" s="198">
        <f t="shared" si="7"/>
        <v>1830</v>
      </c>
      <c r="Y10" s="198">
        <f t="shared" si="8"/>
        <v>1830</v>
      </c>
      <c r="Z10" s="198">
        <f t="shared" si="9"/>
        <v>0</v>
      </c>
      <c r="AA10" s="198">
        <f t="shared" si="10"/>
        <v>0</v>
      </c>
      <c r="AB10" s="199" cm="1">
        <f t="array" ref="AB10">+ROUND(IF(AA10&lt;1,interpoler($A$5:$A$24,$B$5:$B$24,(T10-$B$1)),interpoler($C$5:$C$24,$D$5:$D$24,AA10))+$Y$2,6)</f>
        <v>3.0780999999999999E-2</v>
      </c>
      <c r="AC10" s="198">
        <f t="shared" si="11"/>
        <v>0</v>
      </c>
      <c r="AE10" s="150">
        <f t="shared" si="12"/>
        <v>0</v>
      </c>
      <c r="AF10" s="117">
        <v>38880</v>
      </c>
      <c r="AG10" s="120">
        <v>3</v>
      </c>
      <c r="AH10" s="185">
        <v>54822.06</v>
      </c>
      <c r="AI10" s="186">
        <v>4841.5600000000004</v>
      </c>
      <c r="AJ10" s="198">
        <f t="shared" si="13"/>
        <v>700.35</v>
      </c>
      <c r="AK10" s="198">
        <f t="shared" si="14"/>
        <v>5541.91</v>
      </c>
      <c r="AL10" s="198">
        <f t="shared" si="15"/>
        <v>0</v>
      </c>
      <c r="AM10" s="198">
        <f t="shared" si="16"/>
        <v>0</v>
      </c>
      <c r="AN10" s="199" cm="1">
        <f t="array" ref="AN10">+ROUND(IF(AM10&lt;1,interpoler($A$5:$A$24,$B$5:$B$24,(AF10-$B$1)),interpoler($C$5:$C$24,$D$5:$D$24,AM10))+$AK$2,6)</f>
        <v>2.7281E-2</v>
      </c>
      <c r="AO10" s="198">
        <f t="shared" si="17"/>
        <v>0</v>
      </c>
      <c r="AP10" s="172">
        <f t="shared" si="18"/>
        <v>4841.5600000000004</v>
      </c>
      <c r="AQ10" s="150">
        <f t="shared" si="19"/>
        <v>0</v>
      </c>
      <c r="AR10" s="194">
        <v>38880</v>
      </c>
      <c r="AS10" s="211">
        <v>3</v>
      </c>
      <c r="AT10" s="196">
        <v>100000</v>
      </c>
      <c r="AU10" s="196">
        <v>0</v>
      </c>
      <c r="AV10" s="198">
        <f t="shared" si="20"/>
        <v>1597.5</v>
      </c>
      <c r="AW10" s="198">
        <f t="shared" si="21"/>
        <v>1597.5</v>
      </c>
      <c r="AX10" s="198">
        <f t="shared" si="22"/>
        <v>0</v>
      </c>
      <c r="AY10" s="212">
        <f t="shared" si="23"/>
        <v>0</v>
      </c>
      <c r="AZ10" s="199" cm="1">
        <f t="array" ref="AZ10">+ROUND(IF(AY10&lt;1,interpoler($A$5:$A$24,$B$5:$B$24,(AR10-$B$1)),interpoler($C$5:$C$24,$D$5:$D$24,AY10))+$AW$2,6)</f>
        <v>2.9780999999999998E-2</v>
      </c>
      <c r="BA10" s="198">
        <f t="shared" si="24"/>
        <v>0</v>
      </c>
      <c r="BC10" s="599">
        <f t="shared" si="25"/>
        <v>0</v>
      </c>
      <c r="BD10" s="669">
        <v>40070</v>
      </c>
      <c r="BE10" s="526">
        <v>3</v>
      </c>
      <c r="BF10" s="841">
        <v>95658.96</v>
      </c>
      <c r="BG10" s="835">
        <v>2445.3200000000002</v>
      </c>
      <c r="BH10" s="529">
        <f t="shared" si="90"/>
        <v>1155.08</v>
      </c>
      <c r="BI10" s="529">
        <f t="shared" si="26"/>
        <v>3600.4</v>
      </c>
      <c r="BJ10" s="529">
        <f t="shared" si="27"/>
        <v>0</v>
      </c>
      <c r="BK10" s="529">
        <f t="shared" si="28"/>
        <v>0</v>
      </c>
      <c r="BL10" s="530" cm="1">
        <f t="array" ref="BL10">+ROUND(IF(BK10&lt;1,interpoler($A$5:$A$24,$B$5:$B$24,(BD10-$B$1)),interpoler($C$5:$C$24,$D$5:$D$24,BK10))+$BI$2,6)</f>
        <v>3.3280999999999998E-2</v>
      </c>
      <c r="BM10" s="529">
        <f t="shared" si="29"/>
        <v>0</v>
      </c>
      <c r="BN10" s="280"/>
      <c r="BP10" s="150">
        <f t="shared" si="30"/>
        <v>2</v>
      </c>
      <c r="BQ10" s="194" t="s">
        <v>968</v>
      </c>
      <c r="BR10" s="211">
        <v>3</v>
      </c>
      <c r="BS10" s="304">
        <f t="shared" si="91"/>
        <v>93548.387096774182</v>
      </c>
      <c r="BT10" s="196">
        <v>3225.8064516129034</v>
      </c>
      <c r="BU10" s="198">
        <f t="shared" si="92"/>
        <v>1056.68</v>
      </c>
      <c r="BV10" s="198">
        <f t="shared" si="31"/>
        <v>4282.49</v>
      </c>
      <c r="BW10" s="198">
        <f t="shared" si="32"/>
        <v>4282.49</v>
      </c>
      <c r="BX10" s="198">
        <f t="shared" si="33"/>
        <v>1.0796986518636005</v>
      </c>
      <c r="BY10" s="199" cm="1">
        <f t="array" ref="BY10">+ROUND(IF(BX10&lt;1,interpoler($A$5:$A$24,$B$5:$B$24,(BQ10-$B$1)),interpoler($C$5:$C$24,$D$5:$D$24,BX10))+$BV$2,6)</f>
        <v>2.9264999999999999E-2</v>
      </c>
      <c r="BZ10" s="198">
        <f t="shared" si="34"/>
        <v>4151.1722191336348</v>
      </c>
      <c r="CB10" s="520">
        <f t="shared" si="35"/>
        <v>0</v>
      </c>
      <c r="CC10" s="868">
        <v>43367</v>
      </c>
      <c r="CD10" s="857">
        <v>3</v>
      </c>
      <c r="CE10" s="859">
        <v>100000</v>
      </c>
      <c r="CF10" s="1035">
        <v>0</v>
      </c>
      <c r="CG10" s="847">
        <f t="shared" si="93"/>
        <v>1007.5</v>
      </c>
      <c r="CH10" s="847">
        <f t="shared" si="36"/>
        <v>1007.5</v>
      </c>
      <c r="CI10" s="847">
        <f t="shared" si="37"/>
        <v>0</v>
      </c>
      <c r="CJ10" s="847">
        <f>IF(CJ9&lt;0,(CC10-$B$1)/(CC10-CC9)*(3/12),CJ9+0.25)</f>
        <v>-7.4456521739130439</v>
      </c>
      <c r="CK10" s="848" cm="1">
        <f t="array" ref="CK10">+ROUND(IF(CJ10&lt;1,interpoler($A$5:$A$24,$B$5:$B$24,(CC10-$B$1)),interpoler($C$5:$C$24,$D$5:$D$24,CJ10))+$CH$2,5)</f>
        <v>2.878E-2</v>
      </c>
      <c r="CL10" s="847">
        <f>+CI10/(1+CK10)^CJ10</f>
        <v>0</v>
      </c>
      <c r="CN10" s="520">
        <f t="shared" si="38"/>
        <v>0</v>
      </c>
      <c r="CO10" s="868">
        <v>43367</v>
      </c>
      <c r="CP10" s="857">
        <v>3</v>
      </c>
      <c r="CQ10" s="859">
        <f>CQ9-CR10</f>
        <v>87162.84</v>
      </c>
      <c r="CR10" s="859">
        <v>3228.98</v>
      </c>
      <c r="CS10" s="847">
        <f>ROUNDDOWN(CQ9*$CT$1*0.25,2)</f>
        <v>727.65</v>
      </c>
      <c r="CT10" s="847">
        <f t="shared" si="39"/>
        <v>3956.63</v>
      </c>
      <c r="CU10" s="847">
        <f t="shared" si="40"/>
        <v>0</v>
      </c>
      <c r="CV10" s="866">
        <f t="shared" si="41"/>
        <v>-7.6111111111111107</v>
      </c>
      <c r="CW10" s="848" cm="1">
        <f t="array" ref="CW10">+ROUND(IF(CV10&lt;1,interpoler($A$5:$A$24,$B$5:$B$24,(CO10-$B$1)),interpoler($C$5:$C$24,$D$5:$D$24,CV10))+$CT$2,5)</f>
        <v>2.7279999999999999E-2</v>
      </c>
      <c r="CX10" s="847">
        <f>+CU10/(1+CW10)^CV10</f>
        <v>0</v>
      </c>
      <c r="DE10" s="150">
        <f>+IF(DL10=0,0,DE9+1)</f>
        <v>0</v>
      </c>
      <c r="DF10" s="194">
        <v>44484</v>
      </c>
      <c r="DG10" s="211">
        <v>3</v>
      </c>
      <c r="DH10" s="523">
        <f>DH9-DI10</f>
        <v>41581.490000000005</v>
      </c>
      <c r="DI10" s="296">
        <v>19986.22</v>
      </c>
      <c r="DJ10" s="198">
        <f>ROUND(DH9*$DK$1*(DF10-DF9)/365,2)</f>
        <v>1637.7</v>
      </c>
      <c r="DK10" s="198">
        <f>+ROUND(DI10+DJ10,2)</f>
        <v>21623.919999999998</v>
      </c>
      <c r="DL10" s="198">
        <f>+IF($B$1&gt;=DF10,0,DK10)</f>
        <v>0</v>
      </c>
      <c r="DM10" s="198">
        <f>IF(DL9=0,(DF10-$B$1)/(DF10-DF9),DM9+1)</f>
        <v>-4.4465753424657537</v>
      </c>
      <c r="DN10" s="199" cm="1">
        <f t="array" ref="DN10">+ROUND(IF(DM10&lt;1,interpoler($A$5:$A$24,$B$5:$B$24,(DF10-$B$1)),interpoler($C$5:$C$24,$D$5:$D$24,DM10))+$DK$2,5)</f>
        <v>2.3279999999999999E-2</v>
      </c>
      <c r="DO10" s="212">
        <f>+DL10/(1+DN10)^DM10</f>
        <v>0</v>
      </c>
      <c r="DQ10" s="211">
        <f t="shared" si="42"/>
        <v>0</v>
      </c>
      <c r="DR10" s="524">
        <v>41198</v>
      </c>
      <c r="DS10" s="211">
        <v>3</v>
      </c>
      <c r="DT10" s="304">
        <f t="shared" si="94"/>
        <v>92209.49</v>
      </c>
      <c r="DU10" s="402">
        <v>2607.04</v>
      </c>
      <c r="DV10" s="198">
        <f t="shared" si="95"/>
        <v>1054.83</v>
      </c>
      <c r="DW10" s="198">
        <f t="shared" si="43"/>
        <v>3661.87</v>
      </c>
      <c r="DX10" s="198">
        <f t="shared" si="44"/>
        <v>0</v>
      </c>
      <c r="DY10" s="198">
        <f t="shared" si="45"/>
        <v>0</v>
      </c>
      <c r="DZ10" s="199" cm="1">
        <f t="array" ref="DZ10">+ROUND(IF(DY10&lt;1,interpoler($A$5:$A$24,$B$5:$B$24,(DR10-$B$1)),interpoler($C$5:$C$24,$D$5:$D$24,DY10))+$DW$2,5)</f>
        <v>2.5680000000000001E-2</v>
      </c>
      <c r="EA10" s="198">
        <f t="shared" si="46"/>
        <v>0</v>
      </c>
      <c r="EC10" s="526">
        <f t="shared" si="47"/>
        <v>0</v>
      </c>
      <c r="ED10" s="525">
        <v>43732</v>
      </c>
      <c r="EE10" s="729">
        <v>3</v>
      </c>
      <c r="EF10" s="729">
        <v>73143.37</v>
      </c>
      <c r="EG10" s="655">
        <v>9938.27</v>
      </c>
      <c r="EH10" s="529">
        <v>644.53</v>
      </c>
      <c r="EI10" s="529">
        <f t="shared" si="48"/>
        <v>10582.8</v>
      </c>
      <c r="EJ10" s="655">
        <f t="shared" si="49"/>
        <v>0</v>
      </c>
      <c r="EK10" s="937">
        <f t="shared" si="50"/>
        <v>0</v>
      </c>
      <c r="EL10" s="934" cm="1">
        <f t="array" ref="EL10">+ROUND(IF(EK10&lt;1,interpoler($A$5:$A$24,$B$5:$B$24,(ED10-$B$1)),interpoler($C$5:$C$24,$D$5:$D$24,EK10))+$EI$2,5)</f>
        <v>2.7279999999999999E-2</v>
      </c>
      <c r="EM10" s="526">
        <f t="shared" si="51"/>
        <v>0</v>
      </c>
      <c r="EN10" s="692">
        <f t="shared" si="96"/>
        <v>63205.100000000006</v>
      </c>
      <c r="EO10" s="280"/>
      <c r="EQ10" s="211">
        <f t="shared" si="52"/>
        <v>0</v>
      </c>
      <c r="ER10" s="524">
        <v>43732</v>
      </c>
      <c r="ES10" s="211">
        <v>3</v>
      </c>
      <c r="ET10" s="304">
        <f t="shared" si="97"/>
        <v>-35002.350000000006</v>
      </c>
      <c r="EU10" s="296">
        <v>10367.61</v>
      </c>
      <c r="EV10" s="198">
        <f t="shared" si="98"/>
        <v>-182.91</v>
      </c>
      <c r="EW10" s="198">
        <f t="shared" si="53"/>
        <v>10184.700000000001</v>
      </c>
      <c r="EX10" s="198">
        <f t="shared" si="54"/>
        <v>0</v>
      </c>
      <c r="EY10" s="198">
        <f t="shared" si="99"/>
        <v>0</v>
      </c>
      <c r="EZ10" s="530" cm="1">
        <f t="array" ref="EZ10">+ROUND(IF(EY10&lt;1,interpoler($A$5:$A$24,$B$5:$B$24,(ER10-$B$1)),interpoler($C$5:$C$24,$D$5:$D$24,EY10))+$EV$2,5)</f>
        <v>2.7279999999999999E-2</v>
      </c>
      <c r="FA10" s="198">
        <f t="shared" si="55"/>
        <v>0</v>
      </c>
      <c r="FD10" s="526">
        <f t="shared" si="56"/>
        <v>0</v>
      </c>
      <c r="FE10" s="802">
        <v>44098</v>
      </c>
      <c r="FF10" s="803">
        <v>3</v>
      </c>
      <c r="FG10" s="811">
        <v>94819.18</v>
      </c>
      <c r="FH10" s="812">
        <v>2168.98</v>
      </c>
      <c r="FI10" s="812">
        <v>718.25</v>
      </c>
      <c r="FJ10" s="807">
        <f t="shared" si="57"/>
        <v>2887.23</v>
      </c>
      <c r="FK10" s="807">
        <f t="shared" si="58"/>
        <v>0</v>
      </c>
      <c r="FL10" s="808">
        <f>FL9+0.25</f>
        <v>-5.4592391304347823</v>
      </c>
      <c r="FM10" s="809" cm="1">
        <f t="array" ref="FM10">+ROUND(IF(FL10&lt;1,interpoler($A$5:$A$24,$B$5:$B$24,(FE10-$B$1)),interpoler($C$5:$C$24,$D$5:$D$24,FL10))+$FI$2,5)</f>
        <v>2.7779999999999999E-2</v>
      </c>
      <c r="FN10" s="810">
        <f t="shared" si="100"/>
        <v>0</v>
      </c>
      <c r="FQ10" s="526">
        <f t="shared" si="59"/>
        <v>0</v>
      </c>
      <c r="FR10" s="815">
        <v>44098</v>
      </c>
      <c r="FS10" s="816">
        <v>3</v>
      </c>
      <c r="FT10" s="900">
        <v>100000</v>
      </c>
      <c r="FU10" s="817">
        <v>0</v>
      </c>
      <c r="FV10" s="818">
        <f t="shared" si="101"/>
        <v>1007.5</v>
      </c>
      <c r="FW10" s="818">
        <f t="shared" si="60"/>
        <v>1007.5</v>
      </c>
      <c r="FX10" s="818">
        <f t="shared" si="61"/>
        <v>0</v>
      </c>
      <c r="FY10" s="819">
        <f>FY9+0.25</f>
        <v>-5.4592391304347823</v>
      </c>
      <c r="FZ10" s="820" cm="1">
        <f t="array" ref="FZ10">+ROUND(IF(FY10&lt;1,interpoler($A$5:$A$24,$B$5:$B$24,(FR10-$B$1)),interpoler($C$5:$C$24,$D$5:$D$24,FY10))+$FV$2,5)</f>
        <v>2.928E-2</v>
      </c>
      <c r="GA10" s="818">
        <f t="shared" si="62"/>
        <v>0</v>
      </c>
      <c r="GD10" s="150">
        <f t="shared" si="63"/>
        <v>0</v>
      </c>
      <c r="GE10" s="856">
        <v>44644</v>
      </c>
      <c r="GF10" s="857">
        <v>3</v>
      </c>
      <c r="GG10" s="858">
        <v>95942.41</v>
      </c>
      <c r="GH10" s="859">
        <v>2726.03</v>
      </c>
      <c r="GI10" s="846">
        <v>630.82000000000005</v>
      </c>
      <c r="GJ10" s="847">
        <f t="shared" si="64"/>
        <v>3356.85</v>
      </c>
      <c r="GK10" s="847">
        <f t="shared" si="65"/>
        <v>0</v>
      </c>
      <c r="GL10" s="860">
        <f>((GE10-$B$1)/(GE10-GE9))/4</f>
        <v>-4.0638888888888891</v>
      </c>
      <c r="GM10" s="848" cm="1">
        <f t="array" ref="GM10">ROUND(interpoler(mat_zc,Taux_ZC,GL10)+$GJ$2,5)</f>
        <v>2.828E-2</v>
      </c>
      <c r="GN10" s="861">
        <f t="shared" si="102"/>
        <v>0</v>
      </c>
      <c r="GO10" s="198"/>
      <c r="GQ10" s="150">
        <f t="shared" si="66"/>
        <v>0</v>
      </c>
      <c r="GR10" s="856">
        <v>44644</v>
      </c>
      <c r="GS10" s="1030">
        <v>3</v>
      </c>
      <c r="GT10" s="967">
        <v>98638.07</v>
      </c>
      <c r="GU10" s="968">
        <v>764.44</v>
      </c>
      <c r="GV10" s="969">
        <v>915.01</v>
      </c>
      <c r="GW10" s="971">
        <f t="shared" si="67"/>
        <v>1679.45</v>
      </c>
      <c r="GX10" s="973">
        <f t="shared" si="68"/>
        <v>0</v>
      </c>
      <c r="GY10" s="971">
        <f>((GR10-$B$1)/(GR10-GR9))/4</f>
        <v>-4.0638888888888891</v>
      </c>
      <c r="GZ10" s="976" cm="1">
        <f t="array" ref="GZ10">+ROUND(IF(GY10&lt;1,interpoler($A$5:$A$24,$B$5:$B$24,(GR10-$B$1)),interpoler($C$5:$C$24,$D$5:$D$24,GY10))+$GW$2,5)</f>
        <v>2.9780000000000001E-2</v>
      </c>
      <c r="HA10" s="847">
        <f t="shared" si="69"/>
        <v>0</v>
      </c>
      <c r="HD10" s="1382">
        <f t="shared" si="70"/>
        <v>0</v>
      </c>
      <c r="HE10" s="309">
        <v>42014</v>
      </c>
      <c r="HF10" s="211">
        <v>3</v>
      </c>
      <c r="HG10" s="304">
        <f t="shared" si="103"/>
        <v>89687.5</v>
      </c>
      <c r="HH10" s="196">
        <v>5312.5</v>
      </c>
      <c r="HI10" s="198">
        <f t="shared" si="104"/>
        <v>991.04</v>
      </c>
      <c r="HJ10" s="198">
        <f t="shared" si="71"/>
        <v>6303.54</v>
      </c>
      <c r="HK10" s="198">
        <f t="shared" si="72"/>
        <v>0</v>
      </c>
      <c r="HL10" s="198">
        <f t="shared" si="73"/>
        <v>0</v>
      </c>
      <c r="HM10" s="199" cm="1">
        <f t="array" ref="HM10">+ROUND(IF(HL10&lt;1,interpoler($A$5:$A$24,$B$5:$B$24,(HE10-$B$1)),interpoler($C$5:$C$24,$D$5:$D$24,HL10))+$HJ$2,5)</f>
        <v>2.7279999999999999E-2</v>
      </c>
      <c r="HN10" s="198">
        <f t="shared" si="74"/>
        <v>0</v>
      </c>
      <c r="HR10" s="150">
        <v>0</v>
      </c>
      <c r="HS10" s="714">
        <v>42460</v>
      </c>
      <c r="HT10" s="205">
        <v>3</v>
      </c>
      <c r="HU10" s="718">
        <f t="shared" si="105"/>
        <v>929.86421129999997</v>
      </c>
      <c r="HV10" s="718">
        <v>20.906481299999999</v>
      </c>
      <c r="HW10" s="786">
        <v>39.001722999999998</v>
      </c>
      <c r="HX10" s="198">
        <f t="shared" si="75"/>
        <v>59.908204299999994</v>
      </c>
      <c r="HY10" s="198">
        <f t="shared" si="76"/>
        <v>0</v>
      </c>
      <c r="HZ10" s="198">
        <f t="shared" si="77"/>
        <v>0</v>
      </c>
      <c r="IA10" s="199" cm="1">
        <f t="array" ref="IA10">+ROUND(IF(HZ10&lt;1,interpoler($A$5:$A$24,$B$5:$B$24,(HS10-$B$1)),interpoler($C$5:$C$24,$D$5:$D$24,HZ10))+$HX$2,5)</f>
        <v>2.3279999999999999E-2</v>
      </c>
      <c r="IB10" s="198">
        <f t="shared" si="78"/>
        <v>0</v>
      </c>
      <c r="IC10" s="221"/>
      <c r="ID10" s="150">
        <v>3</v>
      </c>
      <c r="IE10" s="714">
        <v>44469</v>
      </c>
      <c r="IF10" s="205">
        <v>3</v>
      </c>
      <c r="IG10" s="205">
        <v>91666.67</v>
      </c>
      <c r="IH10" s="766">
        <v>2777.78</v>
      </c>
      <c r="II10" s="765">
        <v>1775.68</v>
      </c>
      <c r="IJ10" s="198">
        <f t="shared" si="79"/>
        <v>4553.46</v>
      </c>
      <c r="IK10" s="212">
        <f t="shared" si="80"/>
        <v>0</v>
      </c>
      <c r="IL10" s="761">
        <f t="shared" ref="IL10:IL43" si="107">IL8+1</f>
        <v>-4.4726775956000004</v>
      </c>
      <c r="IM10" s="199" cm="1">
        <f t="array" ref="IM10">+ROUND(IF(IL10&lt;1,interpoler($A$5:$A$24,$B$5:$B$24,(IE10-$B$1)),interpoler($C$5:$C$24,$D$5:$D$24,IL10))+$IJ$2,5)</f>
        <v>3.628E-2</v>
      </c>
      <c r="IN10" s="198">
        <f t="shared" si="81"/>
        <v>0</v>
      </c>
      <c r="IP10" s="1382">
        <v>3</v>
      </c>
      <c r="IQ10" s="714">
        <v>46169</v>
      </c>
      <c r="IR10" s="205">
        <v>3</v>
      </c>
      <c r="IS10" s="198">
        <v>80650</v>
      </c>
      <c r="IT10" s="198">
        <v>9734</v>
      </c>
      <c r="IU10" s="198">
        <v>657.54</v>
      </c>
      <c r="IV10" s="198">
        <f t="shared" si="82"/>
        <v>10391.540000000001</v>
      </c>
      <c r="IW10" s="212">
        <f t="shared" si="83"/>
        <v>10391.540000000001</v>
      </c>
      <c r="IX10" s="447">
        <f t="shared" ref="IX10:IX28" si="108">+IF(IW10=0,0,IF(IP10=1,((IP10-1)+(IQ10-$B$1)/(IQ10-IQ9))*0.25,IX9+0.25))</f>
        <v>0.1766304347826087</v>
      </c>
      <c r="IY10" s="199" cm="1">
        <f t="array" ref="IY10">+ROUND(IF(IX10&lt;1,interpoler($A$5:$A$24,$B$5:$B$24,(IQ10-$B$1)),interpoler($C$5:$C$24,$D$5:$D$24,IX10))+$IV$2,5)</f>
        <v>2.911E-2</v>
      </c>
      <c r="IZ10" s="198">
        <f t="shared" si="84"/>
        <v>10339.005844273359</v>
      </c>
      <c r="JD10" s="150"/>
      <c r="JE10" s="714"/>
      <c r="JF10" s="205"/>
      <c r="JG10" s="205"/>
      <c r="JH10" s="766"/>
      <c r="JI10" s="765"/>
      <c r="JJ10" s="198"/>
      <c r="JK10" s="212"/>
      <c r="JL10" s="761"/>
      <c r="JM10" s="199"/>
      <c r="JN10" s="198"/>
      <c r="JO10" s="221"/>
      <c r="JP10" s="150"/>
      <c r="JQ10" s="200" t="s">
        <v>3038</v>
      </c>
      <c r="JR10" s="205">
        <v>3</v>
      </c>
      <c r="JS10" s="205">
        <v>100000</v>
      </c>
      <c r="JT10" s="205">
        <v>0</v>
      </c>
      <c r="JU10" s="765">
        <v>1362.5</v>
      </c>
      <c r="JV10" s="198">
        <f t="shared" si="106"/>
        <v>1362.5</v>
      </c>
      <c r="JW10" s="212">
        <f>+IF($B$1&gt;=JQ10,0,JV10)</f>
        <v>1362.5</v>
      </c>
      <c r="JX10" s="1155">
        <f>((JQ10-B1)/91)*0.25</f>
        <v>-0.95879120879120883</v>
      </c>
      <c r="JY10" s="199" cm="1">
        <f t="array" ref="JY10">ROUND(interpoler(mat_zc,Taux_ZC,JX10)+$JV$2,5)</f>
        <v>4.3279999999999999E-2</v>
      </c>
      <c r="JZ10" s="198">
        <f>ROUND(JW10/(1+JY10)^JX10,4)</f>
        <v>1418.9893</v>
      </c>
      <c r="KB10" s="205" t="s">
        <v>3075</v>
      </c>
      <c r="KC10" s="205">
        <v>3</v>
      </c>
      <c r="KD10" s="205">
        <v>70904.350000000006</v>
      </c>
      <c r="KE10" s="205">
        <v>35211.269999999997</v>
      </c>
      <c r="KF10" s="765">
        <v>0</v>
      </c>
      <c r="KG10" s="198">
        <f t="shared" ref="KG10:KG22" si="109">+ROUND(KE10+KF10,2)</f>
        <v>35211.269999999997</v>
      </c>
      <c r="KH10" s="212">
        <f t="shared" si="85"/>
        <v>35211.269999999997</v>
      </c>
      <c r="KI10" s="770">
        <f t="shared" si="86"/>
        <v>-2.4</v>
      </c>
      <c r="KJ10" s="199" cm="1">
        <f t="array" ref="KJ10">ROUND(interpoler(mat_zc,Taux_ZC,KI10)+$JV$2,5)</f>
        <v>4.3279999999999999E-2</v>
      </c>
      <c r="KK10" s="198"/>
      <c r="KN10" s="1603">
        <v>46793</v>
      </c>
      <c r="KO10" s="205">
        <v>3</v>
      </c>
      <c r="KP10" s="1604">
        <v>100000</v>
      </c>
      <c r="KQ10" s="1443">
        <v>0</v>
      </c>
      <c r="KR10" s="1443">
        <v>4470</v>
      </c>
      <c r="KS10" s="198">
        <f t="shared" ref="KS10:KS22" si="110">+ROUND(KQ10+KR10,2)</f>
        <v>4470</v>
      </c>
      <c r="KT10" s="212">
        <f t="shared" si="87"/>
        <v>4470</v>
      </c>
      <c r="KU10" s="761">
        <f t="shared" si="88"/>
        <v>1.8794520547945206</v>
      </c>
      <c r="KV10" s="199" cm="1">
        <f t="array" ref="KV10">ROUND(interpoler(mat_zc,Taux_ZC,KU10)+$KS$2,5)</f>
        <v>3.2509999999999997E-2</v>
      </c>
      <c r="KW10" s="1612">
        <f t="shared" si="89"/>
        <v>4209.1453000000001</v>
      </c>
    </row>
    <row r="11" spans="1:309" ht="15.75" customHeight="1" thickBot="1" x14ac:dyDescent="0.3">
      <c r="A11" s="168">
        <f>+IF('Courbe des taux'!A8="",A10,'Courbe des taux'!A8)</f>
        <v>326</v>
      </c>
      <c r="B11" s="315">
        <f>+CIH!B14</f>
        <v>2.4974686420831338E-2</v>
      </c>
      <c r="C11" s="95">
        <f>+CIH!K11</f>
        <v>7</v>
      </c>
      <c r="D11" s="145">
        <f>+CIH!L11</f>
        <v>3.1937146721479959E-2</v>
      </c>
      <c r="F11" s="150"/>
      <c r="G11" s="150">
        <f t="shared" si="0"/>
        <v>0</v>
      </c>
      <c r="H11" s="117">
        <v>37723</v>
      </c>
      <c r="I11" s="120">
        <v>4</v>
      </c>
      <c r="J11" s="186">
        <v>86405.72</v>
      </c>
      <c r="K11" s="186">
        <v>4495.8</v>
      </c>
      <c r="L11" s="137">
        <f t="shared" si="1"/>
        <v>1343.61</v>
      </c>
      <c r="M11" s="137">
        <f t="shared" si="2"/>
        <v>5839.41</v>
      </c>
      <c r="N11" s="137">
        <f t="shared" si="3"/>
        <v>0</v>
      </c>
      <c r="O11" s="137">
        <f t="shared" si="4"/>
        <v>0</v>
      </c>
      <c r="P11" s="146" cm="1">
        <f t="array" ref="P11">+ROUND(IF(O11&lt;1,interpoler($A$5:$A$24,$B$5:$B$24,(H11-$B$1)),interpoler($C$5:$C$24,$D$5:$D$24,O11))+$M$2,6)</f>
        <v>2.8781000000000001E-2</v>
      </c>
      <c r="Q11" s="137">
        <f t="shared" si="5"/>
        <v>0</v>
      </c>
      <c r="R11" s="172"/>
      <c r="S11" s="150">
        <f t="shared" si="6"/>
        <v>0</v>
      </c>
      <c r="T11" s="194">
        <v>37723</v>
      </c>
      <c r="U11" s="200">
        <v>4</v>
      </c>
      <c r="V11" s="196">
        <v>100000</v>
      </c>
      <c r="W11" s="202">
        <v>0</v>
      </c>
      <c r="X11" s="198">
        <f t="shared" si="7"/>
        <v>1830</v>
      </c>
      <c r="Y11" s="198">
        <f t="shared" si="8"/>
        <v>1830</v>
      </c>
      <c r="Z11" s="198">
        <f t="shared" si="9"/>
        <v>0</v>
      </c>
      <c r="AA11" s="198">
        <f t="shared" si="10"/>
        <v>0</v>
      </c>
      <c r="AB11" s="199" cm="1">
        <f t="array" ref="AB11">+ROUND(IF(AA11&lt;1,interpoler($A$5:$A$24,$B$5:$B$24,(T11-$B$1)),interpoler($C$5:$C$24,$D$5:$D$24,AA11))+$Y$2,6)</f>
        <v>3.0780999999999999E-2</v>
      </c>
      <c r="AC11" s="198">
        <f t="shared" si="11"/>
        <v>0</v>
      </c>
      <c r="AE11" s="150">
        <f t="shared" si="12"/>
        <v>0</v>
      </c>
      <c r="AF11" s="117">
        <v>38972</v>
      </c>
      <c r="AG11" s="120">
        <v>4</v>
      </c>
      <c r="AH11" s="185">
        <v>49980.5</v>
      </c>
      <c r="AI11" s="186">
        <v>5125.996832740213</v>
      </c>
      <c r="AJ11" s="198">
        <f t="shared" si="13"/>
        <v>638.5</v>
      </c>
      <c r="AK11" s="198">
        <f t="shared" si="14"/>
        <v>5764.5</v>
      </c>
      <c r="AL11" s="198">
        <f t="shared" si="15"/>
        <v>0</v>
      </c>
      <c r="AM11" s="198">
        <f t="shared" si="16"/>
        <v>0</v>
      </c>
      <c r="AN11" s="199" cm="1">
        <f t="array" ref="AN11">+ROUND(IF(AM11&lt;1,interpoler($A$5:$A$24,$B$5:$B$24,(AF11-$B$1)),interpoler($C$5:$C$24,$D$5:$D$24,AM11))+$AK$2,6)</f>
        <v>2.7281E-2</v>
      </c>
      <c r="AO11" s="198">
        <f t="shared" si="17"/>
        <v>0</v>
      </c>
      <c r="AP11" s="172">
        <f t="shared" si="18"/>
        <v>5126</v>
      </c>
      <c r="AQ11" s="150">
        <f t="shared" si="19"/>
        <v>0</v>
      </c>
      <c r="AR11" s="194">
        <v>38972</v>
      </c>
      <c r="AS11" s="211">
        <v>4</v>
      </c>
      <c r="AT11" s="196">
        <v>100000</v>
      </c>
      <c r="AU11" s="196">
        <v>0</v>
      </c>
      <c r="AV11" s="198">
        <f t="shared" si="20"/>
        <v>1597.5</v>
      </c>
      <c r="AW11" s="198">
        <f t="shared" si="21"/>
        <v>1597.5</v>
      </c>
      <c r="AX11" s="198">
        <f t="shared" si="22"/>
        <v>0</v>
      </c>
      <c r="AY11" s="212">
        <f t="shared" si="23"/>
        <v>0</v>
      </c>
      <c r="AZ11" s="199" cm="1">
        <f t="array" ref="AZ11">+ROUND(IF(AY11&lt;1,interpoler($A$5:$A$24,$B$5:$B$24,(AR11-$B$1)),interpoler($C$5:$C$24,$D$5:$D$24,AY11))+$AW$2,6)</f>
        <v>2.9780999999999998E-2</v>
      </c>
      <c r="BA11" s="198">
        <f t="shared" si="24"/>
        <v>0</v>
      </c>
      <c r="BC11" s="599">
        <f t="shared" si="25"/>
        <v>0</v>
      </c>
      <c r="BD11" s="669">
        <v>40161</v>
      </c>
      <c r="BE11" s="526">
        <v>4</v>
      </c>
      <c r="BF11" s="841">
        <v>93213.64</v>
      </c>
      <c r="BG11" s="835">
        <v>2681.5</v>
      </c>
      <c r="BH11" s="529">
        <f t="shared" si="90"/>
        <v>1125.55</v>
      </c>
      <c r="BI11" s="529">
        <f t="shared" si="26"/>
        <v>3807.05</v>
      </c>
      <c r="BJ11" s="529">
        <f t="shared" si="27"/>
        <v>0</v>
      </c>
      <c r="BK11" s="529">
        <f t="shared" si="28"/>
        <v>0</v>
      </c>
      <c r="BL11" s="530" cm="1">
        <f t="array" ref="BL11">+ROUND(IF(BK11&lt;1,interpoler($A$5:$A$24,$B$5:$B$24,(BD11-$B$1)),interpoler($C$5:$C$24,$D$5:$D$24,BK11))+$BI$2,6)</f>
        <v>3.3280999999999998E-2</v>
      </c>
      <c r="BM11" s="529">
        <f t="shared" si="29"/>
        <v>0</v>
      </c>
      <c r="BN11" s="280"/>
      <c r="BP11" s="150">
        <f t="shared" si="30"/>
        <v>3</v>
      </c>
      <c r="BQ11" s="194" t="s">
        <v>969</v>
      </c>
      <c r="BR11" s="211">
        <v>4</v>
      </c>
      <c r="BS11" s="304">
        <f t="shared" si="91"/>
        <v>90322.580645161273</v>
      </c>
      <c r="BT11" s="196">
        <v>3225.8064516129034</v>
      </c>
      <c r="BU11" s="198">
        <f t="shared" si="92"/>
        <v>998.06</v>
      </c>
      <c r="BV11" s="198">
        <f t="shared" si="31"/>
        <v>4223.87</v>
      </c>
      <c r="BW11" s="198">
        <f t="shared" si="32"/>
        <v>4223.87</v>
      </c>
      <c r="BX11" s="198">
        <f t="shared" si="33"/>
        <v>1.3296986518636005</v>
      </c>
      <c r="BY11" s="199" cm="1">
        <f t="array" ref="BY11">+ROUND(IF(BX11&lt;1,interpoler($A$5:$A$24,$B$5:$B$24,(BQ11-$B$1)),interpoler($C$5:$C$24,$D$5:$D$24,BX11))+$BV$2,6)</f>
        <v>2.9655000000000001E-2</v>
      </c>
      <c r="BZ11" s="198">
        <f t="shared" si="34"/>
        <v>4062.8834424334573</v>
      </c>
      <c r="CB11" s="520">
        <f t="shared" si="35"/>
        <v>0</v>
      </c>
      <c r="CC11" s="868">
        <v>43458</v>
      </c>
      <c r="CD11" s="857">
        <v>4</v>
      </c>
      <c r="CE11" s="859">
        <v>100000</v>
      </c>
      <c r="CF11" s="1035">
        <v>0</v>
      </c>
      <c r="CG11" s="847">
        <f t="shared" si="93"/>
        <v>1007.5</v>
      </c>
      <c r="CH11" s="847">
        <f t="shared" si="36"/>
        <v>1007.5</v>
      </c>
      <c r="CI11" s="847">
        <f t="shared" si="37"/>
        <v>0</v>
      </c>
      <c r="CJ11" s="847">
        <f>IF(CJ10&lt;0,(CC11-$B$1)/(CC11-CC10)*(3/12),CJ10+0.25)</f>
        <v>-7.2774725274725274</v>
      </c>
      <c r="CK11" s="848" cm="1">
        <f t="array" ref="CK11">+ROUND(IF(CJ11&lt;1,interpoler($A$5:$A$24,$B$5:$B$24,(CC11-$B$1)),interpoler($C$5:$C$24,$D$5:$D$24,CJ11))+$CH$2,5)</f>
        <v>2.878E-2</v>
      </c>
      <c r="CL11" s="847">
        <f>+CI11/(1+CK11)^CJ11</f>
        <v>0</v>
      </c>
      <c r="CN11" s="520">
        <f t="shared" si="38"/>
        <v>0</v>
      </c>
      <c r="CO11" s="868">
        <v>43458</v>
      </c>
      <c r="CP11" s="857">
        <v>4</v>
      </c>
      <c r="CQ11" s="859">
        <f>CQ10-CR11</f>
        <v>83668.66</v>
      </c>
      <c r="CR11" s="859">
        <v>3494.18</v>
      </c>
      <c r="CS11" s="847">
        <f>ROUNDDOWN(CQ10*$CT$1*0.25,2)</f>
        <v>701.66</v>
      </c>
      <c r="CT11" s="847">
        <f t="shared" si="39"/>
        <v>4195.84</v>
      </c>
      <c r="CU11" s="847">
        <f t="shared" si="40"/>
        <v>0</v>
      </c>
      <c r="CV11" s="866">
        <f t="shared" si="41"/>
        <v>-7.3583333333333334</v>
      </c>
      <c r="CW11" s="848" cm="1">
        <f t="array" ref="CW11">+ROUND(IF(CV11&lt;1,interpoler($A$5:$A$24,$B$5:$B$24,(CO11-$B$1)),interpoler($C$5:$C$24,$D$5:$D$24,CV11))+$CT$2,5)</f>
        <v>2.7279999999999999E-2</v>
      </c>
      <c r="CX11" s="847">
        <f>+CU11/(1+CW11)^CV11</f>
        <v>0</v>
      </c>
      <c r="DB11" s="453"/>
      <c r="DC11" s="454"/>
      <c r="DE11" s="150">
        <f>+IF(DL11=0,0,DE10+1)</f>
        <v>0</v>
      </c>
      <c r="DF11" s="194">
        <v>44849</v>
      </c>
      <c r="DG11" s="211">
        <v>4</v>
      </c>
      <c r="DH11" s="523">
        <f>DH10-DI11</f>
        <v>21063.630000000005</v>
      </c>
      <c r="DI11" s="296">
        <v>20517.86</v>
      </c>
      <c r="DJ11" s="198">
        <f>ROUND(DH10*$DK$1*(DF11-DF10)/365,2)</f>
        <v>1106.07</v>
      </c>
      <c r="DK11" s="198">
        <f>+ROUND(DI11+DJ11,2)</f>
        <v>21623.93</v>
      </c>
      <c r="DL11" s="198">
        <f>+IF($B$1&gt;=DF11,0,DK11)</f>
        <v>0</v>
      </c>
      <c r="DM11" s="198">
        <f>IF(DL10=0,(DF11-$B$1)/(DF11-DF10),DM10+1)</f>
        <v>-3.4465753424657533</v>
      </c>
      <c r="DN11" s="199" cm="1">
        <f t="array" ref="DN11">+ROUND(IF(DM11&lt;1,interpoler($A$5:$A$24,$B$5:$B$24,(DF11-$B$1)),interpoler($C$5:$C$24,$D$5:$D$24,DM11))+$DK$2,5)</f>
        <v>2.3279999999999999E-2</v>
      </c>
      <c r="DO11" s="212">
        <f>+DL11/(1+DN11)^DM11</f>
        <v>0</v>
      </c>
      <c r="DQ11" s="211">
        <f t="shared" si="42"/>
        <v>0</v>
      </c>
      <c r="DR11" s="524">
        <v>41290</v>
      </c>
      <c r="DS11" s="211">
        <v>4</v>
      </c>
      <c r="DT11" s="304">
        <f t="shared" si="94"/>
        <v>89594.5</v>
      </c>
      <c r="DU11" s="402">
        <v>2614.9899999999998</v>
      </c>
      <c r="DV11" s="198">
        <f t="shared" si="95"/>
        <v>1025.83</v>
      </c>
      <c r="DW11" s="198">
        <f t="shared" si="43"/>
        <v>3640.82</v>
      </c>
      <c r="DX11" s="198">
        <f t="shared" si="44"/>
        <v>0</v>
      </c>
      <c r="DY11" s="198">
        <f t="shared" si="45"/>
        <v>0</v>
      </c>
      <c r="DZ11" s="199" cm="1">
        <f t="array" ref="DZ11">+ROUND(IF(DY11&lt;1,interpoler($A$5:$A$24,$B$5:$B$24,(DR11-$B$1)),interpoler($C$5:$C$24,$D$5:$D$24,DY11))+$DW$2,5)</f>
        <v>2.5680000000000001E-2</v>
      </c>
      <c r="EA11" s="198">
        <f t="shared" si="46"/>
        <v>0</v>
      </c>
      <c r="EC11" s="526">
        <f t="shared" si="47"/>
        <v>0</v>
      </c>
      <c r="ED11" s="525">
        <v>43823</v>
      </c>
      <c r="EE11" s="729">
        <v>4</v>
      </c>
      <c r="EF11" s="729">
        <v>60991.57</v>
      </c>
      <c r="EG11" s="655">
        <v>8994.02</v>
      </c>
      <c r="EH11" s="529">
        <v>645.53</v>
      </c>
      <c r="EI11" s="529">
        <f t="shared" si="48"/>
        <v>9639.5499999999993</v>
      </c>
      <c r="EJ11" s="655">
        <f t="shared" si="49"/>
        <v>0</v>
      </c>
      <c r="EK11" s="937">
        <f t="shared" si="50"/>
        <v>0</v>
      </c>
      <c r="EL11" s="934" cm="1">
        <f t="array" ref="EL11">+ROUND(IF(EK11&lt;1,interpoler($A$5:$A$24,$B$5:$B$24,(ED11-$B$1)),interpoler($C$5:$C$24,$D$5:$D$24,EK11))+$EI$2,5)</f>
        <v>2.7279999999999999E-2</v>
      </c>
      <c r="EM11" s="526">
        <f t="shared" si="51"/>
        <v>0</v>
      </c>
      <c r="EN11" s="692">
        <f t="shared" si="96"/>
        <v>54211.08</v>
      </c>
      <c r="EO11" s="280"/>
      <c r="EQ11" s="211">
        <f t="shared" si="52"/>
        <v>0</v>
      </c>
      <c r="ER11" s="524">
        <v>43823</v>
      </c>
      <c r="ES11" s="211">
        <v>4</v>
      </c>
      <c r="ET11" s="304">
        <f t="shared" si="97"/>
        <v>-44544.69</v>
      </c>
      <c r="EU11" s="296">
        <v>9542.34</v>
      </c>
      <c r="EV11" s="198">
        <f t="shared" si="98"/>
        <v>-259.89</v>
      </c>
      <c r="EW11" s="198">
        <f t="shared" si="53"/>
        <v>9282.4500000000007</v>
      </c>
      <c r="EX11" s="198">
        <f t="shared" si="54"/>
        <v>0</v>
      </c>
      <c r="EY11" s="198">
        <f t="shared" si="99"/>
        <v>0</v>
      </c>
      <c r="EZ11" s="530" cm="1">
        <f t="array" ref="EZ11">+ROUND(IF(EY11&lt;1,interpoler($A$5:$A$24,$B$5:$B$24,(ER11-$B$1)),interpoler($C$5:$C$24,$D$5:$D$24,EY11))+$EV$2,5)</f>
        <v>2.7279999999999999E-2</v>
      </c>
      <c r="FA11" s="198">
        <f t="shared" si="55"/>
        <v>0</v>
      </c>
      <c r="FD11" s="526">
        <f t="shared" si="56"/>
        <v>0</v>
      </c>
      <c r="FE11" s="802">
        <v>44189</v>
      </c>
      <c r="FF11" s="803">
        <v>4</v>
      </c>
      <c r="FG11" s="804">
        <v>92156.45</v>
      </c>
      <c r="FH11" s="805">
        <v>2173.29</v>
      </c>
      <c r="FI11" s="805">
        <v>698.08</v>
      </c>
      <c r="FJ11" s="807">
        <f t="shared" si="57"/>
        <v>2871.37</v>
      </c>
      <c r="FK11" s="807">
        <f t="shared" si="58"/>
        <v>0</v>
      </c>
      <c r="FL11" s="808">
        <f>(((FE11-FE10)*0.25/91))*(FE11-$B$1)/(FE11-FE10)</f>
        <v>-5.2692307692307692</v>
      </c>
      <c r="FM11" s="809" cm="1">
        <f t="array" ref="FM11">+ROUND(IF(FL11&lt;1,interpoler($A$5:$A$24,$B$5:$B$24,(FE11-$B$1)),interpoler($C$5:$C$24,$D$5:$D$24,FL11))+$FI$2,5)</f>
        <v>2.7779999999999999E-2</v>
      </c>
      <c r="FN11" s="810">
        <f t="shared" si="100"/>
        <v>0</v>
      </c>
      <c r="FQ11" s="526">
        <f t="shared" si="59"/>
        <v>0</v>
      </c>
      <c r="FR11" s="815">
        <v>44189</v>
      </c>
      <c r="FS11" s="816">
        <v>4</v>
      </c>
      <c r="FT11" s="900">
        <v>100000</v>
      </c>
      <c r="FU11" s="821">
        <v>0</v>
      </c>
      <c r="FV11" s="818">
        <f t="shared" si="101"/>
        <v>1007.5</v>
      </c>
      <c r="FW11" s="818">
        <f t="shared" si="60"/>
        <v>1007.5</v>
      </c>
      <c r="FX11" s="818">
        <f t="shared" si="61"/>
        <v>0</v>
      </c>
      <c r="FY11" s="819">
        <f>(((FR11-FR10)*0.25/91))*(FR11-$B$1)/(FR11-FR10)</f>
        <v>-5.2692307692307692</v>
      </c>
      <c r="FZ11" s="820" cm="1">
        <f t="array" ref="FZ11">+ROUND(IF(FY11&lt;1,interpoler($A$5:$A$24,$B$5:$B$24,(FR11-$B$1)),interpoler($C$5:$C$24,$D$5:$D$24,FY11))+$FV$2,5)</f>
        <v>2.928E-2</v>
      </c>
      <c r="GA11" s="818">
        <f t="shared" si="62"/>
        <v>0</v>
      </c>
      <c r="GD11" s="150">
        <f t="shared" si="63"/>
        <v>0</v>
      </c>
      <c r="GE11" s="856">
        <v>44736</v>
      </c>
      <c r="GF11" s="857">
        <v>4</v>
      </c>
      <c r="GG11" s="858">
        <v>93216.38</v>
      </c>
      <c r="GH11" s="859">
        <v>2635.79</v>
      </c>
      <c r="GI11" s="846">
        <v>612.89</v>
      </c>
      <c r="GJ11" s="847">
        <f t="shared" si="64"/>
        <v>3248.68</v>
      </c>
      <c r="GK11" s="847">
        <f t="shared" si="65"/>
        <v>0</v>
      </c>
      <c r="GL11" s="860">
        <f>((GE11-$B$1)/(GE11-GE10))/4</f>
        <v>-3.7255434782608696</v>
      </c>
      <c r="GM11" s="848" cm="1">
        <f t="array" ref="GM11">ROUND(interpoler(mat_zc,Taux_ZC,GL11)+$GJ$2,5)</f>
        <v>2.828E-2</v>
      </c>
      <c r="GN11" s="861">
        <f t="shared" si="102"/>
        <v>0</v>
      </c>
      <c r="GO11" s="198"/>
      <c r="GQ11" s="150">
        <f t="shared" si="66"/>
        <v>0</v>
      </c>
      <c r="GR11" s="856">
        <v>44736</v>
      </c>
      <c r="GS11" s="1030">
        <v>4</v>
      </c>
      <c r="GT11" s="967">
        <v>97723.06</v>
      </c>
      <c r="GU11" s="968">
        <v>757.35</v>
      </c>
      <c r="GV11" s="969">
        <v>884.72</v>
      </c>
      <c r="GW11" s="971">
        <f t="shared" si="67"/>
        <v>1642.07</v>
      </c>
      <c r="GX11" s="973">
        <f t="shared" si="68"/>
        <v>0</v>
      </c>
      <c r="GY11" s="971">
        <f>((GR11-$B$1)/(GR11-GR10))/4</f>
        <v>-3.7255434782608696</v>
      </c>
      <c r="GZ11" s="976" cm="1">
        <f t="array" ref="GZ11">+ROUND(IF(GY11&lt;1,interpoler($A$5:$A$24,$B$5:$B$24,(GR11-$B$1)),interpoler($C$5:$C$24,$D$5:$D$24,GY11))+$GW$2,5)</f>
        <v>2.9780000000000001E-2</v>
      </c>
      <c r="HA11" s="847">
        <f t="shared" si="69"/>
        <v>0</v>
      </c>
      <c r="HD11" s="1382">
        <f t="shared" si="70"/>
        <v>0</v>
      </c>
      <c r="HE11" s="309">
        <v>42104</v>
      </c>
      <c r="HF11" s="211">
        <v>4</v>
      </c>
      <c r="HG11" s="304">
        <f t="shared" si="103"/>
        <v>84375</v>
      </c>
      <c r="HH11" s="196">
        <v>5104.16</v>
      </c>
      <c r="HI11" s="198">
        <f t="shared" si="104"/>
        <v>932.34</v>
      </c>
      <c r="HJ11" s="198">
        <f t="shared" si="71"/>
        <v>6036.5</v>
      </c>
      <c r="HK11" s="198">
        <f t="shared" si="72"/>
        <v>0</v>
      </c>
      <c r="HL11" s="198">
        <f t="shared" si="73"/>
        <v>0</v>
      </c>
      <c r="HM11" s="199" cm="1">
        <f t="array" ref="HM11">+ROUND(IF(HL11&lt;1,interpoler($A$5:$A$24,$B$5:$B$24,(HE11-$B$1)),interpoler($C$5:$C$24,$D$5:$D$24,HL11))+$HJ$2,5)</f>
        <v>2.7279999999999999E-2</v>
      </c>
      <c r="HN11" s="198">
        <f t="shared" si="74"/>
        <v>0</v>
      </c>
      <c r="HR11" s="150">
        <v>0</v>
      </c>
      <c r="HS11" s="714">
        <v>42825</v>
      </c>
      <c r="HT11" s="205">
        <v>4</v>
      </c>
      <c r="HU11" s="718">
        <f t="shared" si="105"/>
        <v>906.59049749999997</v>
      </c>
      <c r="HV11" s="718">
        <v>23.273713799999999</v>
      </c>
      <c r="HW11" s="786">
        <v>38.039895799999996</v>
      </c>
      <c r="HX11" s="198">
        <f t="shared" si="75"/>
        <v>61.313609599999992</v>
      </c>
      <c r="HY11" s="198">
        <f t="shared" si="76"/>
        <v>0</v>
      </c>
      <c r="HZ11" s="198">
        <f t="shared" si="77"/>
        <v>0</v>
      </c>
      <c r="IA11" s="199" cm="1">
        <f t="array" ref="IA11">+ROUND(IF(HZ11&lt;1,interpoler($A$5:$A$24,$B$5:$B$24,(HS11-$B$1)),interpoler($C$5:$C$24,$D$5:$D$24,HZ11))+$HX$2,5)</f>
        <v>2.3279999999999999E-2</v>
      </c>
      <c r="IB11" s="198">
        <f t="shared" si="78"/>
        <v>0</v>
      </c>
      <c r="IC11" s="221"/>
      <c r="ID11" s="150">
        <v>4</v>
      </c>
      <c r="IE11" s="714">
        <v>44651</v>
      </c>
      <c r="IF11" s="205">
        <v>4</v>
      </c>
      <c r="IG11" s="205">
        <v>88888.89</v>
      </c>
      <c r="IH11" s="766">
        <v>2777.78</v>
      </c>
      <c r="II11" s="765">
        <v>1714.04</v>
      </c>
      <c r="IJ11" s="198">
        <f t="shared" si="79"/>
        <v>4491.82</v>
      </c>
      <c r="IK11" s="212">
        <f t="shared" si="80"/>
        <v>0</v>
      </c>
      <c r="IL11" s="761">
        <f t="shared" si="107"/>
        <v>-3.9890410959000002</v>
      </c>
      <c r="IM11" s="199" cm="1">
        <f t="array" ref="IM11">+ROUND(IF(IL11&lt;1,interpoler($A$5:$A$24,$B$5:$B$24,(IE11-$B$1)),interpoler($C$5:$C$24,$D$5:$D$24,IL11))+$IJ$2,5)</f>
        <v>3.628E-2</v>
      </c>
      <c r="IN11" s="198">
        <f t="shared" si="81"/>
        <v>0</v>
      </c>
      <c r="IP11" s="1382">
        <v>4</v>
      </c>
      <c r="IQ11" s="714">
        <v>46261</v>
      </c>
      <c r="IR11" s="205">
        <v>4</v>
      </c>
      <c r="IS11" s="198">
        <v>71194</v>
      </c>
      <c r="IT11" s="198">
        <v>9456</v>
      </c>
      <c r="IU11" s="198">
        <v>586.73</v>
      </c>
      <c r="IV11" s="198">
        <f t="shared" si="82"/>
        <v>10042.73</v>
      </c>
      <c r="IW11" s="212">
        <f t="shared" si="83"/>
        <v>10042.73</v>
      </c>
      <c r="IX11" s="447">
        <f t="shared" si="108"/>
        <v>0.4266304347826087</v>
      </c>
      <c r="IY11" s="199" cm="1">
        <f t="array" ref="IY11">+ROUND(IF(IX11&lt;1,interpoler($A$5:$A$24,$B$5:$B$24,(IQ11-$B$1)),interpoler($C$5:$C$24,$D$5:$D$24,IX11))+$IV$2,5)</f>
        <v>2.9749999999999999E-2</v>
      </c>
      <c r="IZ11" s="198">
        <f t="shared" si="84"/>
        <v>9917.906578623777</v>
      </c>
      <c r="JD11" s="150"/>
      <c r="JE11" s="714"/>
      <c r="JF11" s="205"/>
      <c r="JG11" s="205"/>
      <c r="JH11" s="766"/>
      <c r="JI11" s="765"/>
      <c r="JJ11" s="198"/>
      <c r="JK11" s="212"/>
      <c r="JL11" s="761"/>
      <c r="JM11" s="199"/>
      <c r="JN11" s="198"/>
      <c r="JP11" s="150"/>
      <c r="JQ11" s="200" t="s">
        <v>3039</v>
      </c>
      <c r="JR11" s="205">
        <v>4</v>
      </c>
      <c r="JS11" s="205">
        <v>100000</v>
      </c>
      <c r="JT11" s="205">
        <v>0</v>
      </c>
      <c r="JU11" s="765">
        <v>1362.5</v>
      </c>
      <c r="JV11" s="198">
        <f t="shared" si="106"/>
        <v>1362.5</v>
      </c>
      <c r="JW11" s="212">
        <f t="shared" ref="JW11:JW34" si="111">+IF($B$1&gt;=JQ11,0,JV11)</f>
        <v>1362.5</v>
      </c>
      <c r="JX11" s="1155">
        <f>JX10+3/12</f>
        <v>-0.70879120879120883</v>
      </c>
      <c r="JY11" s="199" cm="1">
        <f t="array" ref="JY11">ROUND(interpoler(mat_zc,Taux_ZC,JX11)+$JV$2,5)</f>
        <v>4.3279999999999999E-2</v>
      </c>
      <c r="JZ11" s="198">
        <f>ROUND(JW11/(1+JY11)^JX11,4)</f>
        <v>1404.0381</v>
      </c>
      <c r="KB11" s="205" t="s">
        <v>3076</v>
      </c>
      <c r="KC11" s="205">
        <v>4</v>
      </c>
      <c r="KD11" s="205">
        <v>64458.5</v>
      </c>
      <c r="KE11" s="205">
        <v>6445.85</v>
      </c>
      <c r="KF11" s="765">
        <v>3108.14</v>
      </c>
      <c r="KG11" s="198">
        <f t="shared" si="109"/>
        <v>9553.99</v>
      </c>
      <c r="KH11" s="212">
        <f t="shared" si="85"/>
        <v>9553.99</v>
      </c>
      <c r="KI11" s="770">
        <f t="shared" si="86"/>
        <v>-1.5205479452054795</v>
      </c>
      <c r="KJ11" s="199" cm="1">
        <f t="array" ref="KJ11">ROUND(interpoler(mat_zc,Taux_ZC,KI11)+$JV$2,5)</f>
        <v>4.3279999999999999E-2</v>
      </c>
      <c r="KK11" s="198"/>
      <c r="KN11" s="1602">
        <v>47159</v>
      </c>
      <c r="KO11" s="205">
        <v>4</v>
      </c>
      <c r="KP11" s="1605">
        <v>100000</v>
      </c>
      <c r="KQ11" s="1442">
        <v>0</v>
      </c>
      <c r="KR11" s="1442">
        <v>4470</v>
      </c>
      <c r="KS11" s="198">
        <f t="shared" si="110"/>
        <v>4470</v>
      </c>
      <c r="KT11" s="212">
        <f t="shared" si="87"/>
        <v>4470</v>
      </c>
      <c r="KU11" s="1607">
        <f>KU10+1</f>
        <v>2.8794520547945206</v>
      </c>
      <c r="KV11" s="199" cm="1">
        <f t="array" ref="KV11">ROUND(interpoler(mat_zc,Taux_ZC,KU11)+$KS$2,5)</f>
        <v>3.4070000000000003E-2</v>
      </c>
      <c r="KW11" s="1612">
        <f t="shared" si="89"/>
        <v>4058.931</v>
      </c>
    </row>
    <row r="12" spans="1:309" ht="16.5" thickBot="1" x14ac:dyDescent="0.3">
      <c r="A12" s="95">
        <f>+CIH!A15</f>
        <v>326</v>
      </c>
      <c r="B12" s="315">
        <f>+CIH!B15</f>
        <v>2.4974686420831338E-2</v>
      </c>
      <c r="C12" s="95">
        <f>+CIH!K12</f>
        <v>8</v>
      </c>
      <c r="D12" s="145">
        <f>+CIH!L12</f>
        <v>3.2451122230424012E-2</v>
      </c>
      <c r="F12" s="150"/>
      <c r="G12" s="150">
        <f t="shared" si="0"/>
        <v>0</v>
      </c>
      <c r="H12" s="117">
        <v>37814</v>
      </c>
      <c r="I12" s="122">
        <v>5</v>
      </c>
      <c r="J12" s="183">
        <v>81909.919999999998</v>
      </c>
      <c r="K12" s="184">
        <v>4855.13</v>
      </c>
      <c r="L12" s="137">
        <f t="shared" si="1"/>
        <v>1273.7</v>
      </c>
      <c r="M12" s="137">
        <f t="shared" si="2"/>
        <v>6128.83</v>
      </c>
      <c r="N12" s="137">
        <f t="shared" si="3"/>
        <v>0</v>
      </c>
      <c r="O12" s="137">
        <f t="shared" si="4"/>
        <v>0</v>
      </c>
      <c r="P12" s="146" cm="1">
        <f t="array" ref="P12">+ROUND(IF(O12&lt;1,interpoler($A$5:$A$24,$B$5:$B$24,(H12-$B$1)),interpoler($C$5:$C$24,$D$5:$D$24,O12))+$M$2,6)</f>
        <v>2.8781000000000001E-2</v>
      </c>
      <c r="Q12" s="137">
        <f t="shared" si="5"/>
        <v>0</v>
      </c>
      <c r="R12" s="172"/>
      <c r="S12" s="150">
        <f t="shared" si="6"/>
        <v>0</v>
      </c>
      <c r="T12" s="194">
        <v>37814</v>
      </c>
      <c r="U12" s="195">
        <v>5</v>
      </c>
      <c r="V12" s="203">
        <v>100000</v>
      </c>
      <c r="W12" s="197">
        <v>0</v>
      </c>
      <c r="X12" s="198">
        <f t="shared" si="7"/>
        <v>1830</v>
      </c>
      <c r="Y12" s="198">
        <f t="shared" si="8"/>
        <v>1830</v>
      </c>
      <c r="Z12" s="198">
        <f t="shared" si="9"/>
        <v>0</v>
      </c>
      <c r="AA12" s="198">
        <f t="shared" si="10"/>
        <v>0</v>
      </c>
      <c r="AB12" s="199" cm="1">
        <f t="array" ref="AB12">+ROUND(IF(AA12&lt;1,interpoler($A$5:$A$24,$B$5:$B$24,(T12-$B$1)),interpoler($C$5:$C$24,$D$5:$D$24,AA12))+$Y$2,6)</f>
        <v>3.0780999999999999E-2</v>
      </c>
      <c r="AC12" s="198">
        <f t="shared" si="11"/>
        <v>0</v>
      </c>
      <c r="AE12" s="150">
        <f t="shared" si="12"/>
        <v>0</v>
      </c>
      <c r="AF12" s="117">
        <v>39063</v>
      </c>
      <c r="AG12" s="122">
        <v>5</v>
      </c>
      <c r="AH12" s="185">
        <v>45361.23</v>
      </c>
      <c r="AI12" s="186">
        <v>4999.93</v>
      </c>
      <c r="AJ12" s="198">
        <f t="shared" si="13"/>
        <v>579.49</v>
      </c>
      <c r="AK12" s="198">
        <f t="shared" si="14"/>
        <v>5579.42</v>
      </c>
      <c r="AL12" s="198">
        <f t="shared" si="15"/>
        <v>0</v>
      </c>
      <c r="AM12" s="198">
        <f t="shared" si="16"/>
        <v>0</v>
      </c>
      <c r="AN12" s="199" cm="1">
        <f t="array" ref="AN12">+ROUND(IF(AM12&lt;1,interpoler($A$5:$A$24,$B$5:$B$24,(AF12-$B$1)),interpoler($C$5:$C$24,$D$5:$D$24,AM12))+$AK$2,6)</f>
        <v>2.7281E-2</v>
      </c>
      <c r="AO12" s="198">
        <f t="shared" si="17"/>
        <v>0</v>
      </c>
      <c r="AP12" s="172">
        <f t="shared" si="18"/>
        <v>4999.93</v>
      </c>
      <c r="AQ12" s="150">
        <f t="shared" si="19"/>
        <v>0</v>
      </c>
      <c r="AR12" s="194">
        <v>39063</v>
      </c>
      <c r="AS12" s="211">
        <v>5</v>
      </c>
      <c r="AT12" s="196">
        <v>100000</v>
      </c>
      <c r="AU12" s="196">
        <v>0</v>
      </c>
      <c r="AV12" s="198">
        <f t="shared" si="20"/>
        <v>1597.5</v>
      </c>
      <c r="AW12" s="198">
        <f t="shared" si="21"/>
        <v>1597.5</v>
      </c>
      <c r="AX12" s="198">
        <f t="shared" si="22"/>
        <v>0</v>
      </c>
      <c r="AY12" s="212">
        <f t="shared" si="23"/>
        <v>0</v>
      </c>
      <c r="AZ12" s="199" cm="1">
        <f t="array" ref="AZ12">+ROUND(IF(AY12&lt;1,interpoler($A$5:$A$24,$B$5:$B$24,(AR12-$B$1)),interpoler($C$5:$C$24,$D$5:$D$24,AY12))+$AW$2,6)</f>
        <v>2.9780999999999998E-2</v>
      </c>
      <c r="BA12" s="198">
        <f t="shared" si="24"/>
        <v>0</v>
      </c>
      <c r="BC12" s="599">
        <f t="shared" si="25"/>
        <v>0</v>
      </c>
      <c r="BD12" s="669">
        <v>40251</v>
      </c>
      <c r="BE12" s="526">
        <v>5</v>
      </c>
      <c r="BF12" s="841">
        <v>90532.14</v>
      </c>
      <c r="BG12" s="835">
        <v>2543.23</v>
      </c>
      <c r="BH12" s="529">
        <f t="shared" si="90"/>
        <v>1093.18</v>
      </c>
      <c r="BI12" s="529">
        <f t="shared" si="26"/>
        <v>3636.41</v>
      </c>
      <c r="BJ12" s="529">
        <f t="shared" si="27"/>
        <v>0</v>
      </c>
      <c r="BK12" s="529">
        <f t="shared" si="28"/>
        <v>0</v>
      </c>
      <c r="BL12" s="530" cm="1">
        <f t="array" ref="BL12">+ROUND(IF(BK12&lt;1,interpoler($A$5:$A$24,$B$5:$B$24,(BD12-$B$1)),interpoler($C$5:$C$24,$D$5:$D$24,BK12))+$BI$2,6)</f>
        <v>3.3280999999999998E-2</v>
      </c>
      <c r="BM12" s="529">
        <f t="shared" si="29"/>
        <v>0</v>
      </c>
      <c r="BN12" s="280"/>
      <c r="BP12" s="150">
        <f t="shared" si="30"/>
        <v>4</v>
      </c>
      <c r="BQ12" s="194" t="s">
        <v>970</v>
      </c>
      <c r="BR12" s="211">
        <v>5</v>
      </c>
      <c r="BS12" s="304">
        <f t="shared" si="91"/>
        <v>87096.774193548365</v>
      </c>
      <c r="BT12" s="196">
        <v>3225.8064516129034</v>
      </c>
      <c r="BU12" s="198">
        <f t="shared" si="92"/>
        <v>973.11</v>
      </c>
      <c r="BV12" s="198">
        <f t="shared" si="31"/>
        <v>4198.92</v>
      </c>
      <c r="BW12" s="198">
        <f t="shared" si="32"/>
        <v>4198.92</v>
      </c>
      <c r="BX12" s="198">
        <f t="shared" si="33"/>
        <v>1.5796986518636005</v>
      </c>
      <c r="BY12" s="199" cm="1">
        <f t="array" ref="BY12">+ROUND(IF(BX12&lt;1,interpoler($A$5:$A$24,$B$5:$B$24,(BQ12-$B$1)),interpoler($C$5:$C$24,$D$5:$D$24,BX12))+$BV$2,6)</f>
        <v>3.0046E-2</v>
      </c>
      <c r="BZ12" s="198">
        <f t="shared" si="34"/>
        <v>4007.0800189317242</v>
      </c>
      <c r="CB12" s="520">
        <f t="shared" si="35"/>
        <v>0</v>
      </c>
      <c r="CC12" s="868">
        <v>43548</v>
      </c>
      <c r="CD12" s="857">
        <v>5</v>
      </c>
      <c r="CE12" s="859">
        <v>100000</v>
      </c>
      <c r="CF12" s="1035">
        <v>0</v>
      </c>
      <c r="CG12" s="847">
        <f t="shared" si="93"/>
        <v>1007.5</v>
      </c>
      <c r="CH12" s="847">
        <f t="shared" si="36"/>
        <v>1007.5</v>
      </c>
      <c r="CI12" s="847">
        <f t="shared" si="37"/>
        <v>0</v>
      </c>
      <c r="CJ12" s="847">
        <f>IF(CJ11&lt;0,(CC12-$B$1)/(CC12-CC11)*(3/12),CJ11+0.25)</f>
        <v>-7.1083333333333334</v>
      </c>
      <c r="CK12" s="848" cm="1">
        <f t="array" ref="CK12">+ROUND(IF(CJ12&lt;1,interpoler($A$5:$A$24,$B$5:$B$24,(CC12-$B$1)),interpoler($C$5:$C$24,$D$5:$D$24,CJ12))+$CH$2,5)</f>
        <v>2.878E-2</v>
      </c>
      <c r="CL12" s="847">
        <f>+CI12/(1+CK12)^CJ12</f>
        <v>0</v>
      </c>
      <c r="CN12" s="520">
        <f t="shared" si="38"/>
        <v>0</v>
      </c>
      <c r="CO12" s="868">
        <v>43548</v>
      </c>
      <c r="CP12" s="857">
        <v>5</v>
      </c>
      <c r="CQ12" s="859">
        <f>CQ11-CR12</f>
        <v>79522.260000000009</v>
      </c>
      <c r="CR12" s="859">
        <v>4146.3999999999996</v>
      </c>
      <c r="CS12" s="847">
        <f>ROUNDDOWN(CQ11*$CT$1*0.25,2)</f>
        <v>673.53</v>
      </c>
      <c r="CT12" s="847">
        <f t="shared" si="39"/>
        <v>4819.93</v>
      </c>
      <c r="CU12" s="847">
        <f t="shared" si="40"/>
        <v>0</v>
      </c>
      <c r="CV12" s="866">
        <f t="shared" si="41"/>
        <v>-7.1083333333333334</v>
      </c>
      <c r="CW12" s="848" cm="1">
        <f t="array" ref="CW12">+ROUND(IF(CV12&lt;1,interpoler($A$5:$A$24,$B$5:$B$24,(CO12-$B$1)),interpoler($C$5:$C$24,$D$5:$D$24,CV12))+$CT$2,5)</f>
        <v>2.7279999999999999E-2</v>
      </c>
      <c r="CX12" s="847">
        <f>+CU12/(1+CW12)^CV12</f>
        <v>0</v>
      </c>
      <c r="DE12" s="150">
        <f>+IF(DL12=0,0,DE11+1)</f>
        <v>0</v>
      </c>
      <c r="DF12" s="194">
        <v>45214</v>
      </c>
      <c r="DG12" s="211">
        <v>5</v>
      </c>
      <c r="DH12" s="523">
        <f>DH11-DI12</f>
        <v>0</v>
      </c>
      <c r="DI12" s="296">
        <v>21063.63</v>
      </c>
      <c r="DJ12" s="198">
        <f>ROUND(DH11*$DK$1*(DF12-DF11)/365,2)</f>
        <v>560.29</v>
      </c>
      <c r="DK12" s="198">
        <f>+ROUND(DI12+DJ12,2)</f>
        <v>21623.919999999998</v>
      </c>
      <c r="DL12" s="198">
        <f>+IF($B$1&gt;=DF12,0,DK12)</f>
        <v>0</v>
      </c>
      <c r="DM12" s="198">
        <f>IF(DL11=0,(DF12-$B$1)/(DF12-DF11),DM11+1)</f>
        <v>-2.4465753424657533</v>
      </c>
      <c r="DN12" s="199" cm="1">
        <f t="array" ref="DN12">+ROUND(IF(DM12&lt;1,interpoler($A$5:$A$24,$B$5:$B$24,(DF12-$B$1)),interpoler($C$5:$C$24,$D$5:$D$24,DM12))+$DK$2,5)</f>
        <v>2.3279999999999999E-2</v>
      </c>
      <c r="DO12" s="212">
        <f>+DL12/(1+DN12)^DM12</f>
        <v>0</v>
      </c>
      <c r="DQ12" s="211">
        <f t="shared" si="42"/>
        <v>0</v>
      </c>
      <c r="DR12" s="524">
        <v>41380</v>
      </c>
      <c r="DS12" s="211">
        <v>5</v>
      </c>
      <c r="DT12" s="304">
        <f t="shared" si="94"/>
        <v>86971.520000000004</v>
      </c>
      <c r="DU12" s="402">
        <v>2622.98</v>
      </c>
      <c r="DV12" s="198">
        <f t="shared" si="95"/>
        <v>996.74</v>
      </c>
      <c r="DW12" s="198">
        <f t="shared" si="43"/>
        <v>3619.72</v>
      </c>
      <c r="DX12" s="198">
        <f t="shared" si="44"/>
        <v>0</v>
      </c>
      <c r="DY12" s="198">
        <f t="shared" si="45"/>
        <v>0</v>
      </c>
      <c r="DZ12" s="199" cm="1">
        <f t="array" ref="DZ12">+ROUND(IF(DY12&lt;1,interpoler($A$5:$A$24,$B$5:$B$24,(DR12-$B$1)),interpoler($C$5:$C$24,$D$5:$D$24,DY12))+$DW$2,5)</f>
        <v>2.5680000000000001E-2</v>
      </c>
      <c r="EA12" s="198">
        <f t="shared" si="46"/>
        <v>0</v>
      </c>
      <c r="EC12" s="211">
        <f t="shared" si="47"/>
        <v>0</v>
      </c>
      <c r="ED12" s="525">
        <v>43914</v>
      </c>
      <c r="EE12" s="729">
        <v>5</v>
      </c>
      <c r="EF12" s="729">
        <v>50093.88</v>
      </c>
      <c r="EG12" s="655">
        <v>7159.3</v>
      </c>
      <c r="EH12" s="529">
        <v>646.53</v>
      </c>
      <c r="EI12" s="529">
        <f t="shared" si="48"/>
        <v>7805.83</v>
      </c>
      <c r="EJ12" s="655">
        <f t="shared" si="49"/>
        <v>0</v>
      </c>
      <c r="EK12" s="937">
        <f t="shared" si="50"/>
        <v>0</v>
      </c>
      <c r="EL12" s="934" cm="1">
        <f t="array" ref="EL12">+ROUND(IF(EK12&lt;1,interpoler($A$5:$A$24,$B$5:$B$24,(ED12-$B$1)),interpoler($C$5:$C$24,$D$5:$D$24,EK12))+$EI$2,5)</f>
        <v>2.7279999999999999E-2</v>
      </c>
      <c r="EM12" s="526">
        <f t="shared" si="51"/>
        <v>0</v>
      </c>
      <c r="EN12" s="692">
        <f t="shared" si="96"/>
        <v>47051.78</v>
      </c>
      <c r="EO12" s="280"/>
      <c r="EQ12" s="211">
        <f t="shared" si="52"/>
        <v>0</v>
      </c>
      <c r="ER12" s="524">
        <v>43914</v>
      </c>
      <c r="ES12" s="211">
        <v>5</v>
      </c>
      <c r="ET12" s="304">
        <f t="shared" si="97"/>
        <v>-53140.22</v>
      </c>
      <c r="EU12" s="296">
        <v>8595.5300000000007</v>
      </c>
      <c r="EV12" s="198">
        <f t="shared" si="98"/>
        <v>-330.74</v>
      </c>
      <c r="EW12" s="198">
        <f t="shared" si="53"/>
        <v>8264.7900000000009</v>
      </c>
      <c r="EX12" s="198">
        <f t="shared" si="54"/>
        <v>0</v>
      </c>
      <c r="EY12" s="198">
        <f t="shared" si="99"/>
        <v>0</v>
      </c>
      <c r="EZ12" s="530" cm="1">
        <f t="array" ref="EZ12">+ROUND(IF(EY12&lt;1,interpoler($A$5:$A$24,$B$5:$B$24,(ER12-$B$1)),interpoler($C$5:$C$24,$D$5:$D$24,EY12))+$EV$2,5)</f>
        <v>2.7279999999999999E-2</v>
      </c>
      <c r="FA12" s="198">
        <f t="shared" si="55"/>
        <v>0</v>
      </c>
      <c r="FD12" s="526">
        <f t="shared" si="56"/>
        <v>0</v>
      </c>
      <c r="FE12" s="802">
        <v>44279</v>
      </c>
      <c r="FF12" s="803">
        <v>5</v>
      </c>
      <c r="FG12" s="811">
        <v>85675.03</v>
      </c>
      <c r="FH12" s="812">
        <v>2173.9499999999998</v>
      </c>
      <c r="FI12" s="812">
        <v>671.54</v>
      </c>
      <c r="FJ12" s="807">
        <f t="shared" si="57"/>
        <v>2845.49</v>
      </c>
      <c r="FK12" s="807">
        <f t="shared" si="58"/>
        <v>0</v>
      </c>
      <c r="FL12" s="808">
        <f t="shared" ref="FL12:FL22" si="112">ROUND((IF(FL11&lt;0,(FE12-$B$1)/(FE12-FE11)*(3/12),FL11+0.25)),8)</f>
        <v>-5.0777777799999999</v>
      </c>
      <c r="FM12" s="809" cm="1">
        <f t="array" ref="FM12">+ROUND(IF(FL12&lt;1,interpoler($A$5:$A$24,$B$5:$B$24,(FE12-$B$1)),interpoler($C$5:$C$24,$D$5:$D$24,FL12))+$FI$2,5)</f>
        <v>2.7779999999999999E-2</v>
      </c>
      <c r="FN12" s="810">
        <f t="shared" si="100"/>
        <v>0</v>
      </c>
      <c r="FQ12" s="526">
        <f t="shared" si="59"/>
        <v>0</v>
      </c>
      <c r="FR12" s="815">
        <v>44279</v>
      </c>
      <c r="FS12" s="816">
        <v>5</v>
      </c>
      <c r="FT12" s="900">
        <v>100000</v>
      </c>
      <c r="FU12" s="821">
        <v>0</v>
      </c>
      <c r="FV12" s="818">
        <f t="shared" si="101"/>
        <v>1007.5</v>
      </c>
      <c r="FW12" s="818">
        <f t="shared" si="60"/>
        <v>1007.5</v>
      </c>
      <c r="FX12" s="818">
        <f t="shared" si="61"/>
        <v>0</v>
      </c>
      <c r="FY12" s="819">
        <f t="shared" ref="FY12:FY43" si="113">ROUND((IF(FY11&lt;0,(FR12-$B$1)/(FR12-FR11)*(3/12),FY11+0.25)),8)</f>
        <v>-5.0777777799999999</v>
      </c>
      <c r="FZ12" s="820" cm="1">
        <f t="array" ref="FZ12">+ROUND(IF(FY12&lt;1,interpoler($A$5:$A$24,$B$5:$B$24,(FR12-$B$1)),interpoler($C$5:$C$24,$D$5:$D$24,FY12))+$FV$2,5)</f>
        <v>2.928E-2</v>
      </c>
      <c r="GA12" s="818">
        <f t="shared" si="62"/>
        <v>0</v>
      </c>
      <c r="GD12" s="150">
        <f t="shared" si="63"/>
        <v>0</v>
      </c>
      <c r="GE12" s="856">
        <v>44828</v>
      </c>
      <c r="GF12" s="857">
        <v>5</v>
      </c>
      <c r="GG12" s="858">
        <v>90580.59</v>
      </c>
      <c r="GH12" s="859">
        <v>2332.04</v>
      </c>
      <c r="GI12" s="846">
        <v>595.55999999999995</v>
      </c>
      <c r="GJ12" s="847">
        <f t="shared" si="64"/>
        <v>2927.6</v>
      </c>
      <c r="GK12" s="847">
        <f t="shared" si="65"/>
        <v>0</v>
      </c>
      <c r="GL12" s="860">
        <f>GL11+0.25</f>
        <v>-3.4755434782608696</v>
      </c>
      <c r="GM12" s="848" cm="1">
        <f t="array" ref="GM12">ROUND(interpoler(mat_zc,Taux_ZC,GL12)+$GJ$2,5)</f>
        <v>2.828E-2</v>
      </c>
      <c r="GN12" s="861">
        <f t="shared" si="102"/>
        <v>0</v>
      </c>
      <c r="GO12" s="198"/>
      <c r="GQ12" s="150">
        <f t="shared" si="66"/>
        <v>0</v>
      </c>
      <c r="GR12" s="856">
        <v>44828</v>
      </c>
      <c r="GS12" s="1030">
        <v>5</v>
      </c>
      <c r="GT12" s="967">
        <v>96838.34</v>
      </c>
      <c r="GU12" s="968">
        <v>782.75</v>
      </c>
      <c r="GV12" s="969">
        <v>750.49</v>
      </c>
      <c r="GW12" s="971">
        <f t="shared" si="67"/>
        <v>1533.24</v>
      </c>
      <c r="GX12" s="973">
        <f t="shared" si="68"/>
        <v>0</v>
      </c>
      <c r="GY12" s="971">
        <f>+GY11+0.25</f>
        <v>-3.4755434782608696</v>
      </c>
      <c r="GZ12" s="976" cm="1">
        <f t="array" ref="GZ12">+ROUND(IF(GY12&lt;1,interpoler($A$5:$A$24,$B$5:$B$24,(GR12-$B$1)),interpoler($C$5:$C$24,$D$5:$D$24,GY12))+$GW$2,5)</f>
        <v>2.9780000000000001E-2</v>
      </c>
      <c r="HA12" s="847">
        <f t="shared" si="69"/>
        <v>0</v>
      </c>
      <c r="HD12" s="1382">
        <f t="shared" si="70"/>
        <v>0</v>
      </c>
      <c r="HE12" s="309">
        <v>42195</v>
      </c>
      <c r="HF12" s="211">
        <v>5</v>
      </c>
      <c r="HG12" s="304">
        <f t="shared" si="103"/>
        <v>79270.84</v>
      </c>
      <c r="HH12" s="196">
        <v>4895.83</v>
      </c>
      <c r="HI12" s="198">
        <f t="shared" si="104"/>
        <v>875.94</v>
      </c>
      <c r="HJ12" s="198">
        <f t="shared" si="71"/>
        <v>5771.77</v>
      </c>
      <c r="HK12" s="198">
        <f t="shared" si="72"/>
        <v>0</v>
      </c>
      <c r="HL12" s="198">
        <f t="shared" si="73"/>
        <v>0</v>
      </c>
      <c r="HM12" s="199" cm="1">
        <f t="array" ref="HM12">+ROUND(IF(HL12&lt;1,interpoler($A$5:$A$24,$B$5:$B$24,(HE12-$B$1)),interpoler($C$5:$C$24,$D$5:$D$24,HL12))+$HJ$2,5)</f>
        <v>2.7279999999999999E-2</v>
      </c>
      <c r="HN12" s="198">
        <f t="shared" si="74"/>
        <v>0</v>
      </c>
      <c r="HR12" s="150">
        <v>0</v>
      </c>
      <c r="HS12" s="714">
        <v>43190</v>
      </c>
      <c r="HT12" s="205">
        <v>5</v>
      </c>
      <c r="HU12" s="718">
        <f t="shared" si="105"/>
        <v>874.8866299</v>
      </c>
      <c r="HV12" s="718">
        <v>31.703867599999999</v>
      </c>
      <c r="HW12" s="786">
        <v>37.087789299999997</v>
      </c>
      <c r="HX12" s="198">
        <f t="shared" si="75"/>
        <v>68.791656899999992</v>
      </c>
      <c r="HY12" s="198">
        <f t="shared" si="76"/>
        <v>0</v>
      </c>
      <c r="HZ12" s="198">
        <f t="shared" si="77"/>
        <v>0</v>
      </c>
      <c r="IA12" s="199" cm="1">
        <f t="array" ref="IA12">+ROUND(IF(HZ12&lt;1,interpoler($A$5:$A$24,$B$5:$B$24,(HS12-$B$1)),interpoler($C$5:$C$24,$D$5:$D$24,HZ12))+$HX$2,5)</f>
        <v>2.3279999999999999E-2</v>
      </c>
      <c r="IB12" s="198">
        <f t="shared" si="78"/>
        <v>0</v>
      </c>
      <c r="IC12" s="221"/>
      <c r="ID12" s="150">
        <v>5</v>
      </c>
      <c r="IE12" s="714">
        <v>44834</v>
      </c>
      <c r="IF12" s="205">
        <v>5</v>
      </c>
      <c r="IG12" s="205">
        <v>86111.11</v>
      </c>
      <c r="IH12" s="766">
        <v>2777.78</v>
      </c>
      <c r="II12" s="765">
        <v>1671.23</v>
      </c>
      <c r="IJ12" s="198">
        <f t="shared" si="79"/>
        <v>4449.01</v>
      </c>
      <c r="IK12" s="212">
        <f t="shared" si="80"/>
        <v>0</v>
      </c>
      <c r="IL12" s="761">
        <f t="shared" si="107"/>
        <v>-3.4726775956000004</v>
      </c>
      <c r="IM12" s="199" cm="1">
        <f t="array" ref="IM12">+ROUND(IF(IL12&lt;1,interpoler($A$5:$A$24,$B$5:$B$24,(IE12-$B$1)),interpoler($C$5:$C$24,$D$5:$D$24,IL12))+$IJ$2,5)</f>
        <v>3.628E-2</v>
      </c>
      <c r="IN12" s="198">
        <f t="shared" si="81"/>
        <v>0</v>
      </c>
      <c r="IP12" s="1382">
        <v>5</v>
      </c>
      <c r="IQ12" s="714">
        <v>46353</v>
      </c>
      <c r="IR12" s="205">
        <v>5</v>
      </c>
      <c r="IS12" s="198">
        <v>62108</v>
      </c>
      <c r="IT12" s="198">
        <v>9086</v>
      </c>
      <c r="IU12" s="198">
        <v>517.94000000000005</v>
      </c>
      <c r="IV12" s="198">
        <f t="shared" si="82"/>
        <v>9603.94</v>
      </c>
      <c r="IW12" s="212">
        <f t="shared" si="83"/>
        <v>9603.94</v>
      </c>
      <c r="IX12" s="447">
        <f t="shared" si="108"/>
        <v>0.67663043478260865</v>
      </c>
      <c r="IY12" s="199" cm="1">
        <f t="array" ref="IY12">+ROUND(IF(IX12&lt;1,interpoler($A$5:$A$24,$B$5:$B$24,(IQ12-$B$1)),interpoler($C$5:$C$24,$D$5:$D$24,IX12))+$IV$2,5)</f>
        <v>3.0300000000000001E-2</v>
      </c>
      <c r="IZ12" s="198">
        <f t="shared" si="84"/>
        <v>9411.9108380463167</v>
      </c>
      <c r="JD12" s="150"/>
      <c r="JE12" s="714"/>
      <c r="JF12" s="205"/>
      <c r="JG12" s="205"/>
      <c r="JH12" s="766"/>
      <c r="JI12" s="765"/>
      <c r="JJ12" s="198"/>
      <c r="JK12" s="212"/>
      <c r="JL12" s="761"/>
      <c r="JM12" s="199"/>
      <c r="JN12" s="198"/>
      <c r="JP12" s="150"/>
      <c r="JQ12" s="200" t="s">
        <v>3040</v>
      </c>
      <c r="JR12" s="205">
        <v>5</v>
      </c>
      <c r="JS12" s="205">
        <v>97500</v>
      </c>
      <c r="JT12" s="205">
        <v>2500</v>
      </c>
      <c r="JU12" s="765">
        <v>1362.5</v>
      </c>
      <c r="JV12" s="198">
        <f>JT12+JU12</f>
        <v>3862.5</v>
      </c>
      <c r="JW12" s="212">
        <f>+IF($B$1&gt;=JQ12,0,JV12)</f>
        <v>3862.5</v>
      </c>
      <c r="JX12" s="1335">
        <f>((JQ12-B1)/92)*0.25</f>
        <v>-0.45108695652173914</v>
      </c>
      <c r="JY12" s="199" cm="1">
        <f t="array" ref="JY12">ROUND(interpoler(mat_zc,Taux_ZC,JX12)+$JV$2,5)</f>
        <v>4.3279999999999999E-2</v>
      </c>
      <c r="JZ12" s="198">
        <f>ROUND(JW12/(1+JY12)^JX12,4)</f>
        <v>3937.0315000000001</v>
      </c>
      <c r="KB12" s="205" t="s">
        <v>3036</v>
      </c>
      <c r="KC12" s="205">
        <v>5</v>
      </c>
      <c r="KD12" s="205">
        <v>64458.5</v>
      </c>
      <c r="KE12" s="205">
        <v>0</v>
      </c>
      <c r="KF12" s="765">
        <v>654.14</v>
      </c>
      <c r="KG12" s="198">
        <f t="shared" si="109"/>
        <v>654.14</v>
      </c>
      <c r="KH12" s="212">
        <f t="shared" si="85"/>
        <v>654.14</v>
      </c>
      <c r="KI12" s="770">
        <f t="shared" si="86"/>
        <v>-1.4547945205479451</v>
      </c>
      <c r="KJ12" s="199" cm="1">
        <f t="array" ref="KJ12">ROUND(interpoler(mat_zc,Taux_ZC,KI12)+$KG$2,5)</f>
        <v>4.0379999999999999E-2</v>
      </c>
      <c r="KK12" s="198"/>
      <c r="KN12" s="1603">
        <v>47524</v>
      </c>
      <c r="KO12" s="205">
        <v>5</v>
      </c>
      <c r="KP12" s="1604">
        <v>100000</v>
      </c>
      <c r="KQ12" s="1443">
        <v>0</v>
      </c>
      <c r="KR12" s="1443">
        <v>4470</v>
      </c>
      <c r="KS12" s="198">
        <f t="shared" si="110"/>
        <v>4470</v>
      </c>
      <c r="KT12" s="212">
        <f t="shared" si="87"/>
        <v>4470</v>
      </c>
      <c r="KU12" s="1607">
        <f t="shared" ref="KU12:KU37" si="114">KU11+1</f>
        <v>3.8794520547945206</v>
      </c>
      <c r="KV12" s="199" cm="1">
        <f t="array" ref="KV12">ROUND(interpoler(mat_zc,Taux_ZC,KU12)+$KS$2,5)</f>
        <v>3.5639999999999998E-2</v>
      </c>
      <c r="KW12" s="1612">
        <f t="shared" si="89"/>
        <v>3902.1651999999999</v>
      </c>
    </row>
    <row r="13" spans="1:309" ht="16.5" thickBot="1" x14ac:dyDescent="0.3">
      <c r="A13" s="95">
        <f>+CIH!A16</f>
        <v>326</v>
      </c>
      <c r="B13" s="315">
        <f>+CIH!B16</f>
        <v>2.4974686420831338E-2</v>
      </c>
      <c r="C13" s="95">
        <f>+CIH!K13</f>
        <v>9</v>
      </c>
      <c r="D13" s="145">
        <f>+CIH!L13</f>
        <v>3.2974775639287524E-2</v>
      </c>
      <c r="F13" s="150"/>
      <c r="G13" s="150">
        <f t="shared" si="0"/>
        <v>0</v>
      </c>
      <c r="H13" s="117">
        <v>37906</v>
      </c>
      <c r="I13" s="120">
        <v>6</v>
      </c>
      <c r="J13" s="185">
        <v>77054.789999999994</v>
      </c>
      <c r="K13" s="186">
        <v>5039.7299999999996</v>
      </c>
      <c r="L13" s="137">
        <f t="shared" si="1"/>
        <v>1198.2</v>
      </c>
      <c r="M13" s="137">
        <f t="shared" si="2"/>
        <v>6237.93</v>
      </c>
      <c r="N13" s="137">
        <f t="shared" si="3"/>
        <v>0</v>
      </c>
      <c r="O13" s="137">
        <f t="shared" si="4"/>
        <v>0</v>
      </c>
      <c r="P13" s="146" cm="1">
        <f t="array" ref="P13">+ROUND(IF(O13&lt;1,interpoler($A$5:$A$24,$B$5:$B$24,(H13-$B$1)),interpoler($C$5:$C$24,$D$5:$D$24,O13))+$M$2,6)</f>
        <v>2.8781000000000001E-2</v>
      </c>
      <c r="Q13" s="137">
        <f t="shared" si="5"/>
        <v>0</v>
      </c>
      <c r="R13" s="172"/>
      <c r="S13" s="150">
        <f t="shared" si="6"/>
        <v>0</v>
      </c>
      <c r="T13" s="194">
        <v>37906</v>
      </c>
      <c r="U13" s="200">
        <v>6</v>
      </c>
      <c r="V13" s="196">
        <v>100000</v>
      </c>
      <c r="W13" s="201">
        <v>0</v>
      </c>
      <c r="X13" s="198">
        <f t="shared" si="7"/>
        <v>1830</v>
      </c>
      <c r="Y13" s="198">
        <f t="shared" si="8"/>
        <v>1830</v>
      </c>
      <c r="Z13" s="198">
        <f t="shared" si="9"/>
        <v>0</v>
      </c>
      <c r="AA13" s="198">
        <f t="shared" si="10"/>
        <v>0</v>
      </c>
      <c r="AB13" s="199" cm="1">
        <f t="array" ref="AB13">+ROUND(IF(AA13&lt;1,interpoler($A$5:$A$24,$B$5:$B$24,(T13-$B$1)),interpoler($C$5:$C$24,$D$5:$D$24,AA13))+$Y$2,6)</f>
        <v>3.0780999999999999E-2</v>
      </c>
      <c r="AC13" s="198">
        <f t="shared" si="11"/>
        <v>0</v>
      </c>
      <c r="AE13" s="150">
        <f t="shared" si="12"/>
        <v>0</v>
      </c>
      <c r="AF13" s="117">
        <v>39153</v>
      </c>
      <c r="AG13" s="120">
        <v>6</v>
      </c>
      <c r="AH13" s="186">
        <v>40642.639999999999</v>
      </c>
      <c r="AI13" s="186">
        <v>4721.59</v>
      </c>
      <c r="AJ13" s="198">
        <f t="shared" si="13"/>
        <v>519.21</v>
      </c>
      <c r="AK13" s="198">
        <f t="shared" si="14"/>
        <v>5240.8</v>
      </c>
      <c r="AL13" s="198">
        <f t="shared" si="15"/>
        <v>0</v>
      </c>
      <c r="AM13" s="198">
        <f t="shared" si="16"/>
        <v>0</v>
      </c>
      <c r="AN13" s="199" cm="1">
        <f t="array" ref="AN13">+ROUND(IF(AM13&lt;1,interpoler($A$5:$A$24,$B$5:$B$24,(AF13-$B$1)),interpoler($C$5:$C$24,$D$5:$D$24,AM13))+$AK$2,6)</f>
        <v>2.7281E-2</v>
      </c>
      <c r="AO13" s="198">
        <f t="shared" si="17"/>
        <v>0</v>
      </c>
      <c r="AP13" s="172">
        <f t="shared" si="18"/>
        <v>4721.59</v>
      </c>
      <c r="AQ13" s="150">
        <f t="shared" si="19"/>
        <v>0</v>
      </c>
      <c r="AR13" s="194">
        <v>39153</v>
      </c>
      <c r="AS13" s="211">
        <v>6</v>
      </c>
      <c r="AT13" s="196">
        <v>100000</v>
      </c>
      <c r="AU13" s="196">
        <v>0</v>
      </c>
      <c r="AV13" s="198">
        <f t="shared" si="20"/>
        <v>1597.5</v>
      </c>
      <c r="AW13" s="198">
        <f t="shared" si="21"/>
        <v>1597.5</v>
      </c>
      <c r="AX13" s="198">
        <f t="shared" si="22"/>
        <v>0</v>
      </c>
      <c r="AY13" s="198">
        <f t="shared" si="23"/>
        <v>0</v>
      </c>
      <c r="AZ13" s="199" cm="1">
        <f t="array" ref="AZ13">+ROUND(IF(AY13&lt;1,interpoler($A$5:$A$24,$B$5:$B$24,(AR13-$B$1)),interpoler($C$5:$C$24,$D$5:$D$24,AY13))+$AW$2,6)</f>
        <v>2.9780999999999998E-2</v>
      </c>
      <c r="BA13" s="198">
        <f t="shared" si="24"/>
        <v>0</v>
      </c>
      <c r="BC13" s="599">
        <f t="shared" si="25"/>
        <v>0</v>
      </c>
      <c r="BD13" s="669">
        <v>40343</v>
      </c>
      <c r="BE13" s="526">
        <v>6</v>
      </c>
      <c r="BF13" s="841">
        <v>87988.91</v>
      </c>
      <c r="BG13" s="835">
        <v>2323.64</v>
      </c>
      <c r="BH13" s="529">
        <f t="shared" si="90"/>
        <v>1062.47</v>
      </c>
      <c r="BI13" s="529">
        <f t="shared" si="26"/>
        <v>3386.11</v>
      </c>
      <c r="BJ13" s="529">
        <f t="shared" si="27"/>
        <v>0</v>
      </c>
      <c r="BK13" s="529">
        <f t="shared" si="28"/>
        <v>0</v>
      </c>
      <c r="BL13" s="530" cm="1">
        <f t="array" ref="BL13">+ROUND(IF(BK13&lt;1,interpoler($A$5:$A$24,$B$5:$B$24,(BD13-$B$1)),interpoler($C$5:$C$24,$D$5:$D$24,BK13))+$BI$2,6)</f>
        <v>3.3280999999999998E-2</v>
      </c>
      <c r="BM13" s="529">
        <f t="shared" si="29"/>
        <v>0</v>
      </c>
      <c r="BN13" s="280"/>
      <c r="BP13" s="150">
        <f t="shared" si="30"/>
        <v>5</v>
      </c>
      <c r="BQ13" s="194" t="s">
        <v>971</v>
      </c>
      <c r="BR13" s="211">
        <v>6</v>
      </c>
      <c r="BS13" s="304">
        <f t="shared" si="91"/>
        <v>83870.967741935456</v>
      </c>
      <c r="BT13" s="196">
        <v>3225.8064516129034</v>
      </c>
      <c r="BU13" s="198">
        <f t="shared" si="92"/>
        <v>947.37</v>
      </c>
      <c r="BV13" s="198">
        <f t="shared" si="31"/>
        <v>4173.18</v>
      </c>
      <c r="BW13" s="198">
        <f t="shared" si="32"/>
        <v>4173.18</v>
      </c>
      <c r="BX13" s="198">
        <f t="shared" si="33"/>
        <v>1.8296986518636005</v>
      </c>
      <c r="BY13" s="199" cm="1">
        <f t="array" ref="BY13">+ROUND(IF(BX13&lt;1,interpoler($A$5:$A$24,$B$5:$B$24,(BQ13-$B$1)),interpoler($C$5:$C$24,$D$5:$D$24,BX13))+$BV$2,6)</f>
        <v>3.0436000000000001E-2</v>
      </c>
      <c r="BZ13" s="198">
        <f t="shared" si="34"/>
        <v>3950.4136113561221</v>
      </c>
      <c r="CB13" s="520">
        <f t="shared" si="35"/>
        <v>0</v>
      </c>
      <c r="CC13" s="868">
        <v>43640</v>
      </c>
      <c r="CD13" s="857">
        <v>6</v>
      </c>
      <c r="CE13" s="859">
        <v>100000</v>
      </c>
      <c r="CF13" s="1035">
        <v>0</v>
      </c>
      <c r="CG13" s="847">
        <f t="shared" si="93"/>
        <v>1007.5</v>
      </c>
      <c r="CH13" s="847">
        <f t="shared" si="36"/>
        <v>1007.5</v>
      </c>
      <c r="CI13" s="847">
        <f t="shared" si="37"/>
        <v>0</v>
      </c>
      <c r="CJ13" s="847">
        <f>ROUND((IF(CJ12&lt;0,(CC13-$B$1)/(CC13-CC12)*(3/12),CJ12+0.25)),4)</f>
        <v>-6.7038000000000002</v>
      </c>
      <c r="CK13" s="848" cm="1">
        <f t="array" ref="CK13">ROUND(ROUND(IF(CJ13&lt;1,interpoler($A$5:$A$24,$B$5:$B$24,(CC13-$B$1)),interpoler($C$5:$C$24,$D$5:$D$24,CJ13))+$CH$2,5),5)</f>
        <v>2.878E-2</v>
      </c>
      <c r="CL13" s="847">
        <f t="shared" ref="CL13:CL44" si="115">ROUND((+CI13/(1+CK13)^CJ13),4)</f>
        <v>0</v>
      </c>
      <c r="CM13" s="280"/>
      <c r="CN13" s="520">
        <f t="shared" si="38"/>
        <v>0</v>
      </c>
      <c r="CO13" s="868">
        <v>43640</v>
      </c>
      <c r="CP13" s="857">
        <v>6</v>
      </c>
      <c r="CQ13" s="859">
        <v>79522.27</v>
      </c>
      <c r="CR13" s="859">
        <v>3647.04</v>
      </c>
      <c r="CS13" s="847">
        <f>ROUNDDOWN(CQ13*$CT$1*0.25,2)</f>
        <v>640.15</v>
      </c>
      <c r="CT13" s="847">
        <f t="shared" si="39"/>
        <v>4287.1899999999996</v>
      </c>
      <c r="CU13" s="847">
        <f t="shared" si="40"/>
        <v>0</v>
      </c>
      <c r="CV13" s="866">
        <f t="shared" si="41"/>
        <v>-6.852777777777777</v>
      </c>
      <c r="CW13" s="848" cm="1">
        <f t="array" ref="CW13">+ROUND(IF(CV13&lt;1,interpoler($A$5:$A$24,$B$5:$B$24,(CO13-$B$1)),interpoler($C$5:$C$24,$D$5:$D$24,CV13))+$CT$2,5)</f>
        <v>2.7279999999999999E-2</v>
      </c>
      <c r="CX13" s="847">
        <f t="shared" ref="CX13:CX32" si="116">ROUND((CU13/(1+CW13)^CV13),5)</f>
        <v>0</v>
      </c>
      <c r="CY13" s="255"/>
      <c r="DE13" s="150"/>
      <c r="DF13" s="194"/>
      <c r="DG13" s="211"/>
      <c r="DH13" s="296"/>
      <c r="DI13" s="296"/>
      <c r="DJ13" s="198"/>
      <c r="DK13" s="198"/>
      <c r="DL13" s="198"/>
      <c r="DM13" s="447"/>
      <c r="DN13" s="199"/>
      <c r="DO13" s="198"/>
      <c r="DQ13" s="211">
        <f t="shared" si="42"/>
        <v>0</v>
      </c>
      <c r="DR13" s="524">
        <v>41471</v>
      </c>
      <c r="DS13" s="211">
        <v>6</v>
      </c>
      <c r="DT13" s="304">
        <f t="shared" si="94"/>
        <v>84340.5</v>
      </c>
      <c r="DU13" s="402">
        <v>2631.02</v>
      </c>
      <c r="DV13" s="198">
        <f t="shared" si="95"/>
        <v>967.56</v>
      </c>
      <c r="DW13" s="198">
        <f t="shared" si="43"/>
        <v>3598.58</v>
      </c>
      <c r="DX13" s="198">
        <f t="shared" si="44"/>
        <v>0</v>
      </c>
      <c r="DY13" s="198">
        <f t="shared" si="45"/>
        <v>0</v>
      </c>
      <c r="DZ13" s="199" cm="1">
        <f t="array" ref="DZ13">+ROUND(IF(DY13&lt;1,interpoler($A$5:$A$24,$B$5:$B$24,(DR13-$B$1)),interpoler($C$5:$C$24,$D$5:$D$24,DY13))+$DW$2,5)</f>
        <v>2.5680000000000001E-2</v>
      </c>
      <c r="EA13" s="198">
        <f t="shared" si="46"/>
        <v>0</v>
      </c>
      <c r="EC13" s="211">
        <f t="shared" si="47"/>
        <v>0</v>
      </c>
      <c r="ED13" s="525">
        <v>44006</v>
      </c>
      <c r="EE13" s="729">
        <v>6</v>
      </c>
      <c r="EF13" s="729">
        <v>39815.880000000005</v>
      </c>
      <c r="EG13" s="655">
        <v>7159.3</v>
      </c>
      <c r="EH13" s="529">
        <v>295.63</v>
      </c>
      <c r="EI13" s="529">
        <f t="shared" si="48"/>
        <v>7454.93</v>
      </c>
      <c r="EJ13" s="655">
        <f t="shared" si="49"/>
        <v>0</v>
      </c>
      <c r="EK13" s="937">
        <f t="shared" si="50"/>
        <v>0</v>
      </c>
      <c r="EL13" s="934" cm="1">
        <f t="array" ref="EL13">+ROUND(IF(EK13&lt;1,interpoler($A$5:$A$24,$B$5:$B$24,(ED13-$B$1)),interpoler($C$5:$C$24,$D$5:$D$24,EK13))+$EI$2,5)</f>
        <v>2.7279999999999999E-2</v>
      </c>
      <c r="EM13" s="526">
        <f t="shared" si="51"/>
        <v>0</v>
      </c>
      <c r="EN13" s="692">
        <f t="shared" si="96"/>
        <v>39892.479999999996</v>
      </c>
      <c r="EO13" s="280"/>
      <c r="EQ13" s="211">
        <f t="shared" si="52"/>
        <v>0</v>
      </c>
      <c r="ER13" s="524">
        <v>44006</v>
      </c>
      <c r="ES13" s="211">
        <v>6</v>
      </c>
      <c r="ET13" s="304">
        <f t="shared" si="97"/>
        <v>-60776.62</v>
      </c>
      <c r="EU13" s="296">
        <v>7636.4</v>
      </c>
      <c r="EV13" s="198">
        <f t="shared" si="98"/>
        <v>-394.56</v>
      </c>
      <c r="EW13" s="198">
        <f t="shared" si="53"/>
        <v>7241.84</v>
      </c>
      <c r="EX13" s="198">
        <f t="shared" si="54"/>
        <v>0</v>
      </c>
      <c r="EY13" s="198">
        <f t="shared" si="99"/>
        <v>0</v>
      </c>
      <c r="EZ13" s="530" cm="1">
        <f t="array" ref="EZ13">+ROUND(IF(EY13&lt;1,interpoler($A$5:$A$24,$B$5:$B$24,(ER13-$B$1)),interpoler($C$5:$C$24,$D$5:$D$24,EY13))+$EV$2,5)</f>
        <v>2.7279999999999999E-2</v>
      </c>
      <c r="FA13" s="198">
        <f t="shared" si="55"/>
        <v>0</v>
      </c>
      <c r="FD13" s="526">
        <f t="shared" si="56"/>
        <v>0</v>
      </c>
      <c r="FE13" s="802">
        <v>44371</v>
      </c>
      <c r="FF13" s="803">
        <v>6</v>
      </c>
      <c r="FG13" s="804">
        <v>82541.539999999994</v>
      </c>
      <c r="FH13" s="805">
        <v>2175.38</v>
      </c>
      <c r="FI13" s="805">
        <f>ROUNDDOWN(FG12*$FI$1/4,2)</f>
        <v>648.98</v>
      </c>
      <c r="FJ13" s="807">
        <f t="shared" si="57"/>
        <v>2824.36</v>
      </c>
      <c r="FK13" s="807">
        <f t="shared" si="58"/>
        <v>0</v>
      </c>
      <c r="FL13" s="808">
        <f t="shared" si="112"/>
        <v>-4.7173913000000001</v>
      </c>
      <c r="FM13" s="809" cm="1">
        <f t="array" ref="FM13">+ROUND(IF(FL13&lt;1,interpoler($A$5:$A$24,$B$5:$B$24,(FE13-$B$1)),interpoler($C$5:$C$24,$D$5:$D$24,FL13))+$FI$2,5)</f>
        <v>2.7779999999999999E-2</v>
      </c>
      <c r="FN13" s="810">
        <f t="shared" si="100"/>
        <v>0</v>
      </c>
      <c r="FO13" s="813"/>
      <c r="FP13" s="221"/>
      <c r="FQ13" s="526">
        <f t="shared" si="59"/>
        <v>0</v>
      </c>
      <c r="FR13" s="815">
        <v>44371</v>
      </c>
      <c r="FS13" s="816">
        <v>6</v>
      </c>
      <c r="FT13" s="900">
        <v>100000</v>
      </c>
      <c r="FU13" s="821">
        <v>0</v>
      </c>
      <c r="FV13" s="818">
        <f t="shared" si="101"/>
        <v>1007.5</v>
      </c>
      <c r="FW13" s="818">
        <f t="shared" si="60"/>
        <v>1007.5</v>
      </c>
      <c r="FX13" s="818">
        <f t="shared" si="61"/>
        <v>0</v>
      </c>
      <c r="FY13" s="819">
        <f t="shared" si="113"/>
        <v>-4.7173913000000001</v>
      </c>
      <c r="FZ13" s="820" cm="1">
        <f t="array" ref="FZ13">+ROUND(IF(FY13&lt;1,interpoler($A$5:$A$24,$B$5:$B$24,(FR13-$B$1)),interpoler($C$5:$C$24,$D$5:$D$24,FY13))+$FV$2,5)</f>
        <v>2.928E-2</v>
      </c>
      <c r="GA13" s="818">
        <f t="shared" si="62"/>
        <v>0</v>
      </c>
      <c r="GB13" s="484"/>
      <c r="GC13" s="522"/>
      <c r="GD13" s="314">
        <f t="shared" si="63"/>
        <v>0</v>
      </c>
      <c r="GE13" s="856">
        <v>44919</v>
      </c>
      <c r="GF13" s="857">
        <v>6</v>
      </c>
      <c r="GG13" s="858">
        <v>88248.55</v>
      </c>
      <c r="GH13" s="859">
        <v>2321.06</v>
      </c>
      <c r="GI13" s="846">
        <v>580.23</v>
      </c>
      <c r="GJ13" s="847">
        <f t="shared" si="64"/>
        <v>2901.29</v>
      </c>
      <c r="GK13" s="847">
        <f t="shared" si="65"/>
        <v>0</v>
      </c>
      <c r="GL13" s="860">
        <f>+IF(GK13=0,0,IF(GD13=1,((GD13-1)+(GE13-$B$1)/(GE13-GE12))*0.25,GL12+0.25))</f>
        <v>0</v>
      </c>
      <c r="GM13" s="848" cm="1">
        <f t="array" ref="GM13">ROUND(interpoler(mat_zc,Taux_ZC,GL13)+$GJ$2,5)</f>
        <v>2.828E-2</v>
      </c>
      <c r="GN13" s="861">
        <f t="shared" si="102"/>
        <v>0</v>
      </c>
      <c r="GO13" s="198"/>
      <c r="GQ13" s="314">
        <f t="shared" si="66"/>
        <v>0</v>
      </c>
      <c r="GR13" s="856">
        <v>44919</v>
      </c>
      <c r="GS13" s="1030">
        <v>6</v>
      </c>
      <c r="GT13" s="967">
        <v>96055.59</v>
      </c>
      <c r="GU13" s="968">
        <v>779.06</v>
      </c>
      <c r="GV13" s="969">
        <v>744.43</v>
      </c>
      <c r="GW13" s="971">
        <f t="shared" si="67"/>
        <v>1523.49</v>
      </c>
      <c r="GX13" s="973">
        <f t="shared" si="68"/>
        <v>0</v>
      </c>
      <c r="GY13" s="971">
        <f>+IF(GX13=0,0,IF(GQ13=1,((GQ13-1)+(GR13-$B$1)/(GR13-GR12))*0.25,GY12+0.25))</f>
        <v>0</v>
      </c>
      <c r="GZ13" s="976" cm="1">
        <f t="array" ref="GZ13">+ROUND(IF(GY13&lt;1,interpoler($A$5:$A$24,$B$5:$B$24,(GR13-$B$1)),interpoler($C$5:$C$24,$D$5:$D$24,GY13))+$GW$2,5)</f>
        <v>2.9780000000000001E-2</v>
      </c>
      <c r="HA13" s="847">
        <f t="shared" si="69"/>
        <v>0</v>
      </c>
      <c r="HD13" s="1382">
        <f t="shared" si="70"/>
        <v>0</v>
      </c>
      <c r="HE13" s="316">
        <v>42287</v>
      </c>
      <c r="HF13" s="311">
        <v>6</v>
      </c>
      <c r="HG13" s="317">
        <f t="shared" si="103"/>
        <v>74375.009999999995</v>
      </c>
      <c r="HH13" s="312">
        <v>4791.66</v>
      </c>
      <c r="HI13" s="198">
        <f t="shared" si="104"/>
        <v>821.84</v>
      </c>
      <c r="HJ13" s="313">
        <f t="shared" si="71"/>
        <v>5613.5</v>
      </c>
      <c r="HK13" s="313">
        <f t="shared" si="72"/>
        <v>0</v>
      </c>
      <c r="HL13" s="313">
        <f t="shared" si="73"/>
        <v>0</v>
      </c>
      <c r="HM13" s="199" cm="1">
        <f t="array" ref="HM13">+ROUND(IF(HL13&lt;1,interpoler($A$5:$A$24,$B$5:$B$24,(HE13-$B$1)),interpoler($C$5:$C$24,$D$5:$D$24,HL13))+$HJ$2,5)</f>
        <v>2.7279999999999999E-2</v>
      </c>
      <c r="HN13" s="313">
        <f t="shared" si="74"/>
        <v>0</v>
      </c>
      <c r="HR13" s="150">
        <v>0</v>
      </c>
      <c r="HS13" s="714">
        <v>43555</v>
      </c>
      <c r="HT13" s="205">
        <v>6</v>
      </c>
      <c r="HU13" s="718">
        <f t="shared" si="105"/>
        <v>822.72160899999994</v>
      </c>
      <c r="HV13" s="718">
        <v>52.165020900000002</v>
      </c>
      <c r="HW13" s="786">
        <v>35.790812899999999</v>
      </c>
      <c r="HX13" s="198">
        <f t="shared" si="75"/>
        <v>87.955833799999994</v>
      </c>
      <c r="HY13" s="198">
        <f t="shared" si="76"/>
        <v>0</v>
      </c>
      <c r="HZ13" s="198">
        <f t="shared" si="77"/>
        <v>0</v>
      </c>
      <c r="IA13" s="199" cm="1">
        <f t="array" ref="IA13">+ROUND(IF(HZ13&lt;1,interpoler($A$5:$A$24,$B$5:$B$24,(HS13-$B$1)),interpoler($C$5:$C$24,$D$5:$D$24,HZ13))+$HX$2,5)</f>
        <v>2.3279999999999999E-2</v>
      </c>
      <c r="IB13" s="198">
        <f t="shared" si="78"/>
        <v>0</v>
      </c>
      <c r="IC13" s="221"/>
      <c r="ID13" s="150">
        <v>6</v>
      </c>
      <c r="IE13" s="714">
        <v>45016</v>
      </c>
      <c r="IF13" s="205">
        <v>6</v>
      </c>
      <c r="IG13" s="205">
        <v>83333.33</v>
      </c>
      <c r="IH13" s="766">
        <v>2777.78</v>
      </c>
      <c r="II13" s="765">
        <v>1610.16</v>
      </c>
      <c r="IJ13" s="198">
        <f t="shared" si="79"/>
        <v>4387.9399999999996</v>
      </c>
      <c r="IK13" s="212">
        <f t="shared" si="80"/>
        <v>0</v>
      </c>
      <c r="IL13" s="761">
        <f t="shared" si="107"/>
        <v>-2.9890410959000002</v>
      </c>
      <c r="IM13" s="199" cm="1">
        <f t="array" ref="IM13">+ROUND(IF(IL13&lt;1,interpoler($A$5:$A$24,$B$5:$B$24,(IE13-$B$1)),interpoler($C$5:$C$24,$D$5:$D$24,IL13))+$IJ$2,5)</f>
        <v>3.628E-2</v>
      </c>
      <c r="IN13" s="198">
        <f t="shared" si="81"/>
        <v>0</v>
      </c>
      <c r="IP13" s="1382">
        <v>6</v>
      </c>
      <c r="IQ13" s="714">
        <v>46445</v>
      </c>
      <c r="IR13" s="205">
        <v>6</v>
      </c>
      <c r="IS13" s="198">
        <v>53557</v>
      </c>
      <c r="IT13" s="198">
        <v>8551</v>
      </c>
      <c r="IU13" s="198">
        <v>451.84</v>
      </c>
      <c r="IV13" s="198">
        <f t="shared" si="82"/>
        <v>9002.84</v>
      </c>
      <c r="IW13" s="212">
        <f t="shared" si="83"/>
        <v>9002.84</v>
      </c>
      <c r="IX13" s="447">
        <f t="shared" si="108"/>
        <v>0.92663043478260865</v>
      </c>
      <c r="IY13" s="199" cm="1">
        <f t="array" ref="IY13">+ROUND(IF(IX13&lt;1,interpoler($A$5:$A$24,$B$5:$B$24,(IQ13-$B$1)),interpoler($C$5:$C$24,$D$5:$D$24,IX13))+$IV$2,5)</f>
        <v>3.083E-2</v>
      </c>
      <c r="IZ13" s="198">
        <f t="shared" si="84"/>
        <v>8753.0621210557601</v>
      </c>
      <c r="JD13" s="150"/>
      <c r="JE13" s="714"/>
      <c r="JF13" s="205"/>
      <c r="JG13" s="205"/>
      <c r="JH13" s="766"/>
      <c r="JI13" s="765"/>
      <c r="JJ13" s="198"/>
      <c r="JK13" s="212"/>
      <c r="JL13" s="761"/>
      <c r="JM13" s="199"/>
      <c r="JN13" s="198"/>
      <c r="JP13" s="150">
        <f>JQ12-JQ11</f>
        <v>92</v>
      </c>
      <c r="JQ13" s="200" t="s">
        <v>3041</v>
      </c>
      <c r="JR13" s="205">
        <v>6</v>
      </c>
      <c r="JS13" s="205">
        <v>95000</v>
      </c>
      <c r="JT13" s="205">
        <v>2500</v>
      </c>
      <c r="JU13" s="765">
        <v>1328.43</v>
      </c>
      <c r="JV13" s="198">
        <f t="shared" si="106"/>
        <v>3828.4300000000003</v>
      </c>
      <c r="JW13" s="212">
        <f t="shared" si="111"/>
        <v>3828.4300000000003</v>
      </c>
      <c r="JX13" s="1335">
        <f t="shared" ref="JX13:JX35" si="117">JX12+3/12</f>
        <v>-0.20108695652173914</v>
      </c>
      <c r="JY13" s="199" cm="1">
        <f t="array" ref="JY13">ROUND(interpoler(mat_zc,Taux_ZC,JX13)+$JV$2,5)</f>
        <v>4.3279999999999999E-2</v>
      </c>
      <c r="JZ13" s="198">
        <f t="shared" ref="JZ13:JZ35" si="118">ROUND(JW13/(1+JY13)^JX13,4)</f>
        <v>3861.1875</v>
      </c>
      <c r="KB13" s="205" t="s">
        <v>3077</v>
      </c>
      <c r="KC13" s="205">
        <v>6</v>
      </c>
      <c r="KD13" s="205">
        <v>58012.65</v>
      </c>
      <c r="KE13" s="205">
        <v>6445.85</v>
      </c>
      <c r="KF13" s="765">
        <v>3222.93</v>
      </c>
      <c r="KG13" s="198">
        <f t="shared" si="109"/>
        <v>9668.7800000000007</v>
      </c>
      <c r="KH13" s="212">
        <f t="shared" si="85"/>
        <v>9668.7800000000007</v>
      </c>
      <c r="KI13" s="770">
        <f t="shared" si="86"/>
        <v>-0.52054794520547942</v>
      </c>
      <c r="KJ13" s="199" cm="1">
        <f t="array" ref="KJ13">ROUND(interpoler(mat_zc,Taux_ZC,KI13)+$KG$2,5)</f>
        <v>4.0379999999999999E-2</v>
      </c>
      <c r="KK13" s="198">
        <f>ROUND(KH13/(1+KJ13)^KI13,4)</f>
        <v>9870.0859999999993</v>
      </c>
      <c r="KN13" s="1602">
        <v>47889</v>
      </c>
      <c r="KO13" s="205">
        <v>6</v>
      </c>
      <c r="KP13" s="1605">
        <v>100000</v>
      </c>
      <c r="KQ13" s="1442">
        <v>0</v>
      </c>
      <c r="KR13" s="1442">
        <v>4470</v>
      </c>
      <c r="KS13" s="198">
        <f t="shared" si="110"/>
        <v>4470</v>
      </c>
      <c r="KT13" s="212">
        <f t="shared" si="87"/>
        <v>4470</v>
      </c>
      <c r="KU13" s="1607">
        <f t="shared" si="114"/>
        <v>4.8794520547945206</v>
      </c>
      <c r="KV13" s="199" cm="1">
        <f t="array" ref="KV13">ROUND(interpoler(mat_zc,Taux_ZC,KU13)+$KS$2,5)</f>
        <v>3.678E-2</v>
      </c>
      <c r="KW13" s="1612">
        <f>ROUND(KT13/(1+KV13)^KU13,4)</f>
        <v>3747.7055</v>
      </c>
    </row>
    <row r="14" spans="1:309" ht="16.5" thickBot="1" x14ac:dyDescent="0.3">
      <c r="A14" s="95">
        <f>+CIH!A17</f>
        <v>326</v>
      </c>
      <c r="B14" s="315">
        <f>+CIH!B17</f>
        <v>2.4974686420831338E-2</v>
      </c>
      <c r="C14" s="95">
        <f>+CIH!K14</f>
        <v>10</v>
      </c>
      <c r="D14" s="145">
        <f>+CIH!L14</f>
        <v>3.3586697115974617E-2</v>
      </c>
      <c r="F14" s="150"/>
      <c r="G14" s="150">
        <f t="shared" si="0"/>
        <v>0</v>
      </c>
      <c r="H14" s="117">
        <v>37998</v>
      </c>
      <c r="I14" s="120">
        <v>7</v>
      </c>
      <c r="J14" s="185">
        <v>72015.070000000007</v>
      </c>
      <c r="K14" s="186">
        <v>4596.22</v>
      </c>
      <c r="L14" s="137">
        <f t="shared" si="1"/>
        <v>1119.83</v>
      </c>
      <c r="M14" s="137">
        <f t="shared" si="2"/>
        <v>5716.05</v>
      </c>
      <c r="N14" s="137">
        <f t="shared" si="3"/>
        <v>0</v>
      </c>
      <c r="O14" s="137">
        <f t="shared" si="4"/>
        <v>0</v>
      </c>
      <c r="P14" s="146" cm="1">
        <f t="array" ref="P14">+ROUND(IF(O14&lt;1,interpoler($A$5:$A$24,$B$5:$B$24,(H14-$B$1)),interpoler($C$5:$C$24,$D$5:$D$24,O14))+$M$2,6)</f>
        <v>2.8781000000000001E-2</v>
      </c>
      <c r="Q14" s="137">
        <f t="shared" si="5"/>
        <v>0</v>
      </c>
      <c r="R14" s="172"/>
      <c r="S14" s="150">
        <f t="shared" si="6"/>
        <v>0</v>
      </c>
      <c r="T14" s="194">
        <v>37998</v>
      </c>
      <c r="U14" s="200">
        <v>7</v>
      </c>
      <c r="V14" s="196">
        <v>100000</v>
      </c>
      <c r="W14" s="201">
        <v>0</v>
      </c>
      <c r="X14" s="198">
        <f t="shared" si="7"/>
        <v>1830</v>
      </c>
      <c r="Y14" s="198">
        <f t="shared" si="8"/>
        <v>1830</v>
      </c>
      <c r="Z14" s="198">
        <f t="shared" si="9"/>
        <v>0</v>
      </c>
      <c r="AA14" s="198">
        <f t="shared" si="10"/>
        <v>0</v>
      </c>
      <c r="AB14" s="199" cm="1">
        <f t="array" ref="AB14">+ROUND(IF(AA14&lt;1,interpoler($A$5:$A$24,$B$5:$B$24,(T14-$B$1)),interpoler($C$5:$C$24,$D$5:$D$24,AA14))+$Y$2,6)</f>
        <v>3.0780999999999999E-2</v>
      </c>
      <c r="AC14" s="198">
        <f t="shared" si="11"/>
        <v>0</v>
      </c>
      <c r="AE14" s="150">
        <f t="shared" si="12"/>
        <v>0</v>
      </c>
      <c r="AF14" s="117">
        <v>39245</v>
      </c>
      <c r="AG14" s="120">
        <v>7</v>
      </c>
      <c r="AH14" s="186">
        <v>35921.050000000003</v>
      </c>
      <c r="AI14" s="186">
        <v>4730.34</v>
      </c>
      <c r="AJ14" s="198">
        <f t="shared" si="13"/>
        <v>458.89</v>
      </c>
      <c r="AK14" s="198">
        <f t="shared" si="14"/>
        <v>5189.2299999999996</v>
      </c>
      <c r="AL14" s="198">
        <f t="shared" si="15"/>
        <v>0</v>
      </c>
      <c r="AM14" s="198">
        <f t="shared" si="16"/>
        <v>0</v>
      </c>
      <c r="AN14" s="199" cm="1">
        <f t="array" ref="AN14">+ROUND(IF(AM14&lt;1,interpoler($A$5:$A$24,$B$5:$B$24,(AF14-$B$1)),interpoler($C$5:$C$24,$D$5:$D$24,AM14))+$AK$2,6)</f>
        <v>2.7281E-2</v>
      </c>
      <c r="AO14" s="198">
        <f t="shared" si="17"/>
        <v>0</v>
      </c>
      <c r="AP14" s="172">
        <f t="shared" si="18"/>
        <v>4730.34</v>
      </c>
      <c r="AQ14" s="150">
        <f t="shared" si="19"/>
        <v>0</v>
      </c>
      <c r="AR14" s="194">
        <v>39245</v>
      </c>
      <c r="AS14" s="211">
        <v>7</v>
      </c>
      <c r="AT14" s="196">
        <v>100000</v>
      </c>
      <c r="AU14" s="196">
        <v>0</v>
      </c>
      <c r="AV14" s="198">
        <f t="shared" si="20"/>
        <v>1597.5</v>
      </c>
      <c r="AW14" s="198">
        <f t="shared" si="21"/>
        <v>1597.5</v>
      </c>
      <c r="AX14" s="198">
        <f t="shared" si="22"/>
        <v>0</v>
      </c>
      <c r="AY14" s="198">
        <f t="shared" si="23"/>
        <v>0</v>
      </c>
      <c r="AZ14" s="199" cm="1">
        <f t="array" ref="AZ14">+ROUND(IF(AY14&lt;1,interpoler($A$5:$A$24,$B$5:$B$24,(AR14-$B$1)),interpoler($C$5:$C$24,$D$5:$D$24,AY14))+$AW$2,6)</f>
        <v>2.9780999999999998E-2</v>
      </c>
      <c r="BA14" s="198">
        <f t="shared" si="24"/>
        <v>0</v>
      </c>
      <c r="BC14" s="599">
        <f t="shared" si="25"/>
        <v>0</v>
      </c>
      <c r="BD14" s="669">
        <v>40435</v>
      </c>
      <c r="BE14" s="526">
        <v>7</v>
      </c>
      <c r="BF14" s="841">
        <v>85665.27</v>
      </c>
      <c r="BG14" s="835">
        <v>2396.89</v>
      </c>
      <c r="BH14" s="529">
        <f t="shared" si="90"/>
        <v>1034.4100000000001</v>
      </c>
      <c r="BI14" s="529">
        <f t="shared" si="26"/>
        <v>3431.3</v>
      </c>
      <c r="BJ14" s="529">
        <f t="shared" si="27"/>
        <v>0</v>
      </c>
      <c r="BK14" s="529">
        <f t="shared" si="28"/>
        <v>0</v>
      </c>
      <c r="BL14" s="530" cm="1">
        <f t="array" ref="BL14">+ROUND(IF(BK14&lt;1,interpoler($A$5:$A$24,$B$5:$B$24,(BD14-$B$1)),interpoler($C$5:$C$24,$D$5:$D$24,BK14))+$BI$2,6)</f>
        <v>3.3280999999999998E-2</v>
      </c>
      <c r="BM14" s="529">
        <f t="shared" si="29"/>
        <v>0</v>
      </c>
      <c r="BN14" s="280"/>
      <c r="BP14" s="150">
        <f t="shared" si="30"/>
        <v>6</v>
      </c>
      <c r="BQ14" s="194" t="s">
        <v>972</v>
      </c>
      <c r="BR14" s="211">
        <v>7</v>
      </c>
      <c r="BS14" s="304">
        <f t="shared" si="91"/>
        <v>80645.161290322547</v>
      </c>
      <c r="BT14" s="196">
        <v>3225.8064516129034</v>
      </c>
      <c r="BU14" s="198">
        <f t="shared" si="92"/>
        <v>910.93</v>
      </c>
      <c r="BV14" s="198">
        <f t="shared" si="31"/>
        <v>4136.74</v>
      </c>
      <c r="BW14" s="198">
        <f t="shared" si="32"/>
        <v>4136.74</v>
      </c>
      <c r="BX14" s="198">
        <f t="shared" si="33"/>
        <v>2.0796986518636005</v>
      </c>
      <c r="BY14" s="199" cm="1">
        <f t="array" ref="BY14">+ROUND(IF(BX14&lt;1,interpoler($A$5:$A$24,$B$5:$B$24,(BQ14-$B$1)),interpoler($C$5:$C$24,$D$5:$D$24,BX14))+$BV$2,6)</f>
        <v>3.0825999999999999E-2</v>
      </c>
      <c r="BZ14" s="198">
        <f t="shared" si="34"/>
        <v>3883.6192221333736</v>
      </c>
      <c r="CB14" s="520">
        <f t="shared" si="35"/>
        <v>0</v>
      </c>
      <c r="CC14" s="868">
        <v>43732</v>
      </c>
      <c r="CD14" s="857">
        <v>7</v>
      </c>
      <c r="CE14" s="859">
        <v>100000</v>
      </c>
      <c r="CF14" s="1035">
        <v>0</v>
      </c>
      <c r="CG14" s="847">
        <f t="shared" si="93"/>
        <v>1007.5</v>
      </c>
      <c r="CH14" s="847">
        <f t="shared" si="36"/>
        <v>1007.5</v>
      </c>
      <c r="CI14" s="847">
        <f t="shared" si="37"/>
        <v>0</v>
      </c>
      <c r="CJ14" s="847">
        <f>ROUND((IF(CJ13&lt;0,(CC14-$B$1)/(CC14-CC13)*(3/12),CJ13+0.25)),4)</f>
        <v>-6.4538000000000002</v>
      </c>
      <c r="CK14" s="848" cm="1">
        <f t="array" ref="CK14">ROUND(ROUND(IF(CJ14&lt;1,interpoler($A$5:$A$24,$B$5:$B$24,(CC14-$B$1)),interpoler($C$5:$C$24,$D$5:$D$24,CJ14))+$CH$2,5),5)</f>
        <v>2.878E-2</v>
      </c>
      <c r="CL14" s="847">
        <f t="shared" si="115"/>
        <v>0</v>
      </c>
      <c r="CM14" s="280"/>
      <c r="CN14" s="520">
        <f t="shared" si="38"/>
        <v>0</v>
      </c>
      <c r="CO14" s="868">
        <v>43732</v>
      </c>
      <c r="CP14" s="857">
        <v>7</v>
      </c>
      <c r="CQ14" s="859">
        <v>75875.23</v>
      </c>
      <c r="CR14" s="859">
        <v>2514.46</v>
      </c>
      <c r="CS14" s="847">
        <f>ROUNDDOWN(CQ14*$CT$1*0.25,2)</f>
        <v>610.79</v>
      </c>
      <c r="CT14" s="847">
        <f t="shared" si="39"/>
        <v>3125.25</v>
      </c>
      <c r="CU14" s="847">
        <f t="shared" si="40"/>
        <v>0</v>
      </c>
      <c r="CV14" s="866">
        <f t="shared" si="41"/>
        <v>-6.5972222222222214</v>
      </c>
      <c r="CW14" s="848" cm="1">
        <f t="array" ref="CW14">+ROUND(IF(CV14&lt;1,interpoler($A$5:$A$24,$B$5:$B$24,(CO14-$B$1)),interpoler($C$5:$C$24,$D$5:$D$24,CV14))+$CT$2,5)</f>
        <v>2.7279999999999999E-2</v>
      </c>
      <c r="CX14" s="847">
        <f t="shared" si="116"/>
        <v>0</v>
      </c>
      <c r="DE14" s="150"/>
      <c r="DF14" s="194"/>
      <c r="DG14" s="211"/>
      <c r="DH14" s="296"/>
      <c r="DI14" s="296"/>
      <c r="DJ14" s="198"/>
      <c r="DK14" s="198"/>
      <c r="DL14" s="198"/>
      <c r="DM14" s="447"/>
      <c r="DN14" s="199"/>
      <c r="DO14" s="198"/>
      <c r="DQ14" s="211">
        <f t="shared" si="42"/>
        <v>0</v>
      </c>
      <c r="DR14" s="524">
        <v>41563</v>
      </c>
      <c r="DS14" s="211">
        <v>7</v>
      </c>
      <c r="DT14" s="304">
        <f t="shared" si="94"/>
        <v>81701.41</v>
      </c>
      <c r="DU14" s="402">
        <v>2639.09</v>
      </c>
      <c r="DV14" s="198">
        <f t="shared" si="95"/>
        <v>938.29</v>
      </c>
      <c r="DW14" s="198">
        <f t="shared" si="43"/>
        <v>3577.38</v>
      </c>
      <c r="DX14" s="198">
        <f t="shared" si="44"/>
        <v>0</v>
      </c>
      <c r="DY14" s="198">
        <f t="shared" si="45"/>
        <v>0</v>
      </c>
      <c r="DZ14" s="199" cm="1">
        <f t="array" ref="DZ14">+ROUND(IF(DY14&lt;1,interpoler($A$5:$A$24,$B$5:$B$24,(DR14-$B$1)),interpoler($C$5:$C$24,$D$5:$D$24,DY14))+$DW$2,5)</f>
        <v>2.5680000000000001E-2</v>
      </c>
      <c r="EA14" s="198">
        <f t="shared" si="46"/>
        <v>0</v>
      </c>
      <c r="EC14" s="211">
        <f t="shared" si="47"/>
        <v>0</v>
      </c>
      <c r="ED14" s="525">
        <v>44098</v>
      </c>
      <c r="EE14" s="729">
        <v>7</v>
      </c>
      <c r="EF14" s="729">
        <v>33733.69</v>
      </c>
      <c r="EG14" s="655">
        <v>6073.88</v>
      </c>
      <c r="EH14" s="529">
        <v>250.47</v>
      </c>
      <c r="EI14" s="529">
        <f t="shared" si="48"/>
        <v>6324.35</v>
      </c>
      <c r="EJ14" s="655">
        <f t="shared" si="49"/>
        <v>0</v>
      </c>
      <c r="EK14" s="937">
        <f t="shared" si="50"/>
        <v>0</v>
      </c>
      <c r="EL14" s="934" cm="1">
        <f t="array" ref="EL14">+ROUND(IF(EK14&lt;1,interpoler($A$5:$A$24,$B$5:$B$24,(ED14-$B$1)),interpoler($C$5:$C$24,$D$5:$D$24,EK14))+$EI$2,5)</f>
        <v>2.7279999999999999E-2</v>
      </c>
      <c r="EM14" s="526">
        <f t="shared" si="51"/>
        <v>0</v>
      </c>
      <c r="EN14" s="692">
        <f t="shared" si="96"/>
        <v>33818.6</v>
      </c>
      <c r="EO14" s="280"/>
      <c r="EQ14" s="211">
        <f t="shared" si="52"/>
        <v>0</v>
      </c>
      <c r="ER14" s="566">
        <v>44098</v>
      </c>
      <c r="ES14" s="211">
        <v>7</v>
      </c>
      <c r="ET14" s="304">
        <f t="shared" si="97"/>
        <v>-67506.98</v>
      </c>
      <c r="EU14" s="296">
        <v>6730.36</v>
      </c>
      <c r="EV14" s="198">
        <f t="shared" si="98"/>
        <v>-451.26</v>
      </c>
      <c r="EW14" s="198">
        <f t="shared" si="53"/>
        <v>6279.1</v>
      </c>
      <c r="EX14" s="198">
        <f t="shared" si="54"/>
        <v>0</v>
      </c>
      <c r="EY14" s="198">
        <f t="shared" si="99"/>
        <v>0</v>
      </c>
      <c r="EZ14" s="530" cm="1">
        <f t="array" ref="EZ14">+ROUND(IF(EY14&lt;1,interpoler($A$5:$A$24,$B$5:$B$24,(ER14-$B$1)),interpoler($C$5:$C$24,$D$5:$D$24,EY14))+$EV$2,5)</f>
        <v>2.7279999999999999E-2</v>
      </c>
      <c r="FA14" s="198">
        <f t="shared" si="55"/>
        <v>0</v>
      </c>
      <c r="FD14" s="526">
        <f t="shared" si="56"/>
        <v>0</v>
      </c>
      <c r="FE14" s="802">
        <v>44463</v>
      </c>
      <c r="FF14" s="803">
        <v>7</v>
      </c>
      <c r="FG14" s="811">
        <f>FG13-FH14</f>
        <v>80369.78</v>
      </c>
      <c r="FH14" s="812">
        <v>2171.7600000000002</v>
      </c>
      <c r="FI14" s="812">
        <f>ROUNDDOWN(FG13*$FI$1/4,2)</f>
        <v>625.25</v>
      </c>
      <c r="FJ14" s="807">
        <f t="shared" si="57"/>
        <v>2797.01</v>
      </c>
      <c r="FK14" s="807">
        <f t="shared" si="58"/>
        <v>0</v>
      </c>
      <c r="FL14" s="808">
        <f t="shared" si="112"/>
        <v>-4.4673913000000001</v>
      </c>
      <c r="FM14" s="809" cm="1">
        <f t="array" ref="FM14">+ROUND(IF(FL14&lt;1,interpoler($A$5:$A$24,$B$5:$B$24,(FE14-$B$1)),interpoler($C$5:$C$24,$D$5:$D$24,FL14))+$FI$2,5)</f>
        <v>2.7779999999999999E-2</v>
      </c>
      <c r="FN14" s="810">
        <f t="shared" si="100"/>
        <v>0</v>
      </c>
      <c r="FO14" s="814"/>
      <c r="FP14" s="221"/>
      <c r="FQ14" s="526">
        <f t="shared" si="59"/>
        <v>0</v>
      </c>
      <c r="FR14" s="815">
        <v>44463</v>
      </c>
      <c r="FS14" s="816">
        <v>7</v>
      </c>
      <c r="FT14" s="900">
        <v>100000</v>
      </c>
      <c r="FU14" s="821">
        <v>0</v>
      </c>
      <c r="FV14" s="818">
        <f t="shared" si="101"/>
        <v>1007.5</v>
      </c>
      <c r="FW14" s="818">
        <f t="shared" si="60"/>
        <v>1007.5</v>
      </c>
      <c r="FX14" s="818">
        <f t="shared" si="61"/>
        <v>0</v>
      </c>
      <c r="FY14" s="819">
        <f t="shared" si="113"/>
        <v>-4.4673913000000001</v>
      </c>
      <c r="FZ14" s="820" cm="1">
        <f t="array" ref="FZ14">+ROUND(IF(FY14&lt;1,interpoler($A$5:$A$24,$B$5:$B$24,(FR14-$B$1)),interpoler($C$5:$C$24,$D$5:$D$24,FY14))+$FV$2,5)</f>
        <v>2.928E-2</v>
      </c>
      <c r="GA14" s="818">
        <f t="shared" si="62"/>
        <v>0</v>
      </c>
      <c r="GB14" s="484"/>
      <c r="GC14" s="522"/>
      <c r="GD14" s="150">
        <f t="shared" si="63"/>
        <v>0</v>
      </c>
      <c r="GE14" s="856">
        <v>45009</v>
      </c>
      <c r="GF14" s="857">
        <v>7</v>
      </c>
      <c r="GG14" s="858">
        <v>85923.92</v>
      </c>
      <c r="GH14" s="859">
        <v>2313.1</v>
      </c>
      <c r="GI14" s="846">
        <v>564.94000000000005</v>
      </c>
      <c r="GJ14" s="847">
        <f t="shared" si="64"/>
        <v>2878.04</v>
      </c>
      <c r="GK14" s="847">
        <f t="shared" si="65"/>
        <v>0</v>
      </c>
      <c r="GL14" s="860">
        <f>+IF(GK14=0,0,IF(GD14=1,((GD14-1)+(GE14-$B$1)/(GE14-GE13))*0.25,GL13+0.25))</f>
        <v>0</v>
      </c>
      <c r="GM14" s="848" cm="1">
        <f t="array" ref="GM14">ROUND(interpoler(mat_zc,Taux_ZC,GL14)+$GJ$2,5)</f>
        <v>2.828E-2</v>
      </c>
      <c r="GN14" s="861">
        <f t="shared" si="102"/>
        <v>0</v>
      </c>
      <c r="GO14" s="198"/>
      <c r="GQ14" s="150">
        <f t="shared" si="66"/>
        <v>0</v>
      </c>
      <c r="GR14" s="856">
        <v>45009</v>
      </c>
      <c r="GS14" s="1030">
        <v>7</v>
      </c>
      <c r="GT14" s="967">
        <v>95275.33</v>
      </c>
      <c r="GU14" s="968">
        <v>776.41</v>
      </c>
      <c r="GV14" s="969">
        <v>738.38</v>
      </c>
      <c r="GW14" s="971">
        <f t="shared" si="67"/>
        <v>1514.79</v>
      </c>
      <c r="GX14" s="973">
        <f t="shared" si="68"/>
        <v>0</v>
      </c>
      <c r="GY14" s="971">
        <f>ROUND((IF(GY13&lt;=0,(GR14-$B$1)/(GR14-GR13)*(3/12),GY13+0.25)),8)</f>
        <v>-3.05</v>
      </c>
      <c r="GZ14" s="976" cm="1">
        <f t="array" ref="GZ14">+ROUND(IF(GY14&lt;1,interpoler($A$5:$A$24,$B$5:$B$24,(GR14-$B$1)),interpoler(CIH!K72:K103,CIH!L72:L103,GY14))+$GW$2,5)</f>
        <v>2.9780000000000001E-2</v>
      </c>
      <c r="HA14" s="847">
        <f t="shared" si="69"/>
        <v>0</v>
      </c>
      <c r="HD14" s="1382">
        <f t="shared" si="70"/>
        <v>0</v>
      </c>
      <c r="HE14" s="309">
        <v>42379</v>
      </c>
      <c r="HF14" s="211">
        <v>7</v>
      </c>
      <c r="HG14" s="304">
        <f t="shared" si="103"/>
        <v>69583.349999999991</v>
      </c>
      <c r="HH14" s="196">
        <v>4687.5</v>
      </c>
      <c r="HI14" s="198">
        <f t="shared" si="104"/>
        <v>768.89</v>
      </c>
      <c r="HJ14" s="198">
        <f t="shared" si="71"/>
        <v>5456.39</v>
      </c>
      <c r="HK14" s="198">
        <f t="shared" si="72"/>
        <v>0</v>
      </c>
      <c r="HL14" s="198">
        <f t="shared" si="73"/>
        <v>0</v>
      </c>
      <c r="HM14" s="199" cm="1">
        <f t="array" ref="HM14">+ROUND(IF(HL14&lt;1,interpoler($A$5:$A$24,$B$5:$B$24,(HE14-$B$1)),interpoler($C$5:$C$24,$D$5:$D$24,HL14))+$HJ$2,5)</f>
        <v>2.7279999999999999E-2</v>
      </c>
      <c r="HN14" s="198">
        <f t="shared" si="74"/>
        <v>0</v>
      </c>
      <c r="HR14" s="150">
        <v>1</v>
      </c>
      <c r="HS14" s="714">
        <v>43921</v>
      </c>
      <c r="HT14" s="205">
        <v>7</v>
      </c>
      <c r="HU14" s="718">
        <f t="shared" si="105"/>
        <v>739.29513369999995</v>
      </c>
      <c r="HV14" s="718">
        <v>83.426475300000007</v>
      </c>
      <c r="HW14" s="786">
        <v>33.748999699999999</v>
      </c>
      <c r="HX14" s="198">
        <f t="shared" si="75"/>
        <v>117.17547500000001</v>
      </c>
      <c r="HY14" s="198">
        <f t="shared" si="76"/>
        <v>0</v>
      </c>
      <c r="HZ14" s="198">
        <f>ROUND(+IF(HY14=0,0,IF(HR14=1,((HR14-1)+(HS14-$B$1)/(HS14-HS13))*1,HZ13+1)),4)</f>
        <v>0</v>
      </c>
      <c r="IA14" s="199" cm="1">
        <f t="array" ref="IA14">+ROUND(IF(HZ14&lt;1,interpoler($A$5:$A$24,$B$5:$B$24,(HS14-$B$1)),interpoler($C$5:$C$24,$D$5:$D$24,HZ14))+$HX$2,5)</f>
        <v>2.3279999999999999E-2</v>
      </c>
      <c r="IB14" s="198">
        <f t="shared" si="78"/>
        <v>0</v>
      </c>
      <c r="IC14" s="221"/>
      <c r="ID14" s="150">
        <v>7</v>
      </c>
      <c r="IE14" s="714">
        <v>45199</v>
      </c>
      <c r="IF14" s="205">
        <v>7</v>
      </c>
      <c r="IG14" s="205">
        <v>80555.56</v>
      </c>
      <c r="IH14" s="766">
        <v>2777.78</v>
      </c>
      <c r="II14" s="765">
        <v>1566.78</v>
      </c>
      <c r="IJ14" s="198">
        <f t="shared" si="79"/>
        <v>4344.5600000000004</v>
      </c>
      <c r="IK14" s="212">
        <f t="shared" si="80"/>
        <v>0</v>
      </c>
      <c r="IL14" s="761">
        <f t="shared" si="107"/>
        <v>-2.4726775956000004</v>
      </c>
      <c r="IM14" s="199" cm="1">
        <f t="array" ref="IM14">+ROUND(IF(IL14&lt;1,interpoler($A$5:$A$24,$B$5:$B$24,(IE14-$B$1)),interpoler($C$5:$C$24,$D$5:$D$24,IL14))+$IJ$2,5)</f>
        <v>3.628E-2</v>
      </c>
      <c r="IN14" s="198">
        <f t="shared" si="81"/>
        <v>0</v>
      </c>
      <c r="IP14" s="1382">
        <v>7</v>
      </c>
      <c r="IQ14" s="714">
        <v>46534</v>
      </c>
      <c r="IR14" s="205">
        <v>7</v>
      </c>
      <c r="IS14" s="198">
        <v>45613</v>
      </c>
      <c r="IT14" s="198">
        <v>7944</v>
      </c>
      <c r="IU14" s="198">
        <v>389.63</v>
      </c>
      <c r="IV14" s="198">
        <f t="shared" si="82"/>
        <v>8333.6299999999992</v>
      </c>
      <c r="IW14" s="212">
        <f t="shared" si="83"/>
        <v>8333.6299999999992</v>
      </c>
      <c r="IX14" s="447">
        <f t="shared" si="108"/>
        <v>1.1766304347826086</v>
      </c>
      <c r="IY14" s="199" cm="1">
        <f t="array" ref="IY14">+ROUND(IF(IX14&lt;1,interpoler($A$5:$A$24,$B$5:$B$24,(IQ14-$B$1)),interpoler($C$5:$C$24,$D$5:$D$24,IX14))+$IV$2,5)</f>
        <v>3.1220000000000001E-2</v>
      </c>
      <c r="IZ14" s="198">
        <f t="shared" si="84"/>
        <v>8037.5675605635652</v>
      </c>
      <c r="JD14" s="150"/>
      <c r="JE14" s="714"/>
      <c r="JF14" s="205"/>
      <c r="JG14" s="205"/>
      <c r="JH14" s="766"/>
      <c r="JI14" s="765"/>
      <c r="JJ14" s="198"/>
      <c r="JK14" s="212"/>
      <c r="JL14" s="761"/>
      <c r="JM14" s="199"/>
      <c r="JN14" s="198"/>
      <c r="JP14" s="150"/>
      <c r="JQ14" s="200" t="s">
        <v>3042</v>
      </c>
      <c r="JR14" s="205">
        <v>7</v>
      </c>
      <c r="JS14" s="205">
        <v>92500</v>
      </c>
      <c r="JT14" s="205">
        <v>2500</v>
      </c>
      <c r="JU14" s="765">
        <v>1294.3699999999999</v>
      </c>
      <c r="JV14" s="198">
        <f t="shared" si="106"/>
        <v>3794.37</v>
      </c>
      <c r="JW14" s="212">
        <f t="shared" si="111"/>
        <v>3794.37</v>
      </c>
      <c r="JX14" s="1335">
        <f t="shared" si="117"/>
        <v>4.8913043478260865E-2</v>
      </c>
      <c r="JY14" s="199" cm="1">
        <f t="array" ref="JY14">ROUND(interpoler(mat_zc,Taux_ZC,JX14)+$JV$2,5)</f>
        <v>4.3270000000000003E-2</v>
      </c>
      <c r="JZ14" s="198">
        <f t="shared" si="118"/>
        <v>3786.5164</v>
      </c>
      <c r="KB14" s="205" t="s">
        <v>3078</v>
      </c>
      <c r="KC14" s="205">
        <v>7</v>
      </c>
      <c r="KD14" s="205">
        <v>51566.8</v>
      </c>
      <c r="KE14" s="205">
        <v>6445.85</v>
      </c>
      <c r="KF14" s="765">
        <v>2900.63</v>
      </c>
      <c r="KG14" s="198">
        <f t="shared" si="109"/>
        <v>9346.48</v>
      </c>
      <c r="KH14" s="212">
        <f t="shared" si="85"/>
        <v>9346.48</v>
      </c>
      <c r="KI14" s="770">
        <f>KI13+1</f>
        <v>0.47945205479452058</v>
      </c>
      <c r="KJ14" s="199" cm="1">
        <f t="array" ref="KJ14">ROUND(interpoler(mat_zc,Taux_ZC,KI14)+$KG$2,5)</f>
        <v>4.1180000000000001E-2</v>
      </c>
      <c r="KK14" s="198">
        <f t="shared" ref="KK14:KK21" si="119">ROUND(KH14/(1+KJ14)^KI14,4)</f>
        <v>9167.3811999999998</v>
      </c>
      <c r="KN14" s="1603">
        <v>48254</v>
      </c>
      <c r="KO14" s="205">
        <v>7</v>
      </c>
      <c r="KP14" s="1604">
        <v>100000</v>
      </c>
      <c r="KQ14" s="1443">
        <v>0</v>
      </c>
      <c r="KR14" s="1443">
        <v>4470</v>
      </c>
      <c r="KS14" s="198">
        <f t="shared" si="110"/>
        <v>4470</v>
      </c>
      <c r="KT14" s="212">
        <f t="shared" si="87"/>
        <v>4470</v>
      </c>
      <c r="KU14" s="1607">
        <f t="shared" si="114"/>
        <v>5.8794520547945206</v>
      </c>
      <c r="KV14" s="199" cm="1">
        <f t="array" ref="KV14">ROUND(interpoler(mat_zc,Taux_ZC,KU14)+$KS$2,5)</f>
        <v>3.737E-2</v>
      </c>
      <c r="KW14" s="1612">
        <f t="shared" ref="KW14:KW21" si="120">ROUND(KT14/(1+KV14)^KU14,4)</f>
        <v>3602.6842000000001</v>
      </c>
    </row>
    <row r="15" spans="1:309" ht="16.5" thickBot="1" x14ac:dyDescent="0.3">
      <c r="A15" s="95">
        <f>+CIH!A18</f>
        <v>326</v>
      </c>
      <c r="B15" s="315">
        <f>+CIH!B18</f>
        <v>2.4974686420831338E-2</v>
      </c>
      <c r="C15" s="95">
        <f>+CIH!K15</f>
        <v>11</v>
      </c>
      <c r="D15" s="145">
        <f>+CIH!L15</f>
        <v>3.4231322261192521E-2</v>
      </c>
      <c r="F15" s="150"/>
      <c r="G15" s="150">
        <f t="shared" si="0"/>
        <v>0</v>
      </c>
      <c r="H15" s="117">
        <v>38089</v>
      </c>
      <c r="I15" s="123">
        <v>8</v>
      </c>
      <c r="J15" s="187">
        <v>67418.84</v>
      </c>
      <c r="K15" s="188">
        <v>4424.37</v>
      </c>
      <c r="L15" s="137">
        <f t="shared" si="1"/>
        <v>1048.3599999999999</v>
      </c>
      <c r="M15" s="137">
        <f t="shared" si="2"/>
        <v>5472.73</v>
      </c>
      <c r="N15" s="137">
        <f t="shared" si="3"/>
        <v>0</v>
      </c>
      <c r="O15" s="137">
        <f t="shared" si="4"/>
        <v>0</v>
      </c>
      <c r="P15" s="146" cm="1">
        <f t="array" ref="P15">+ROUND(IF(O15&lt;1,interpoler($A$5:$A$24,$B$5:$B$24,(H15-$B$1)),interpoler($C$5:$C$24,$D$5:$D$24,O15))+$M$2,6)</f>
        <v>2.8781000000000001E-2</v>
      </c>
      <c r="Q15" s="137">
        <f t="shared" si="5"/>
        <v>0</v>
      </c>
      <c r="R15" s="172"/>
      <c r="S15" s="150">
        <f t="shared" si="6"/>
        <v>0</v>
      </c>
      <c r="T15" s="194">
        <v>38089</v>
      </c>
      <c r="U15" s="204">
        <v>8</v>
      </c>
      <c r="V15" s="196">
        <v>100000</v>
      </c>
      <c r="W15" s="202">
        <v>0</v>
      </c>
      <c r="X15" s="198">
        <f t="shared" si="7"/>
        <v>1830</v>
      </c>
      <c r="Y15" s="198">
        <f t="shared" si="8"/>
        <v>1830</v>
      </c>
      <c r="Z15" s="198">
        <f t="shared" si="9"/>
        <v>0</v>
      </c>
      <c r="AA15" s="198">
        <f t="shared" si="10"/>
        <v>0</v>
      </c>
      <c r="AB15" s="199" cm="1">
        <f t="array" ref="AB15">+ROUND(IF(AA15&lt;1,interpoler($A$5:$A$24,$B$5:$B$24,(T15-$B$1)),interpoler($C$5:$C$24,$D$5:$D$24,AA15))+$Y$2,6)</f>
        <v>3.0780999999999999E-2</v>
      </c>
      <c r="AC15" s="198">
        <f t="shared" si="11"/>
        <v>0</v>
      </c>
      <c r="AE15" s="150">
        <f t="shared" si="12"/>
        <v>0</v>
      </c>
      <c r="AF15" s="117">
        <v>39337</v>
      </c>
      <c r="AG15" s="123">
        <v>8</v>
      </c>
      <c r="AH15" s="186">
        <v>31190.71</v>
      </c>
      <c r="AI15" s="186">
        <v>4918.53</v>
      </c>
      <c r="AJ15" s="198">
        <f t="shared" si="13"/>
        <v>398.46</v>
      </c>
      <c r="AK15" s="198">
        <f t="shared" si="14"/>
        <v>5316.99</v>
      </c>
      <c r="AL15" s="198">
        <f t="shared" si="15"/>
        <v>0</v>
      </c>
      <c r="AM15" s="198">
        <f t="shared" si="16"/>
        <v>0</v>
      </c>
      <c r="AN15" s="199" cm="1">
        <f t="array" ref="AN15">+ROUND(IF(AM15&lt;1,interpoler($A$5:$A$24,$B$5:$B$24,(AF15-$B$1)),interpoler($C$5:$C$24,$D$5:$D$24,AM15))+$AK$2,6)</f>
        <v>2.7281E-2</v>
      </c>
      <c r="AO15" s="198">
        <f t="shared" si="17"/>
        <v>0</v>
      </c>
      <c r="AP15" s="172">
        <f t="shared" si="18"/>
        <v>4918.53</v>
      </c>
      <c r="AQ15" s="150">
        <f t="shared" si="19"/>
        <v>0</v>
      </c>
      <c r="AR15" s="194">
        <v>39337</v>
      </c>
      <c r="AS15" s="211">
        <v>8</v>
      </c>
      <c r="AT15" s="196">
        <v>100000</v>
      </c>
      <c r="AU15" s="196">
        <v>0</v>
      </c>
      <c r="AV15" s="198">
        <f t="shared" si="20"/>
        <v>1597.5</v>
      </c>
      <c r="AW15" s="198">
        <f t="shared" si="21"/>
        <v>1597.5</v>
      </c>
      <c r="AX15" s="198">
        <f t="shared" si="22"/>
        <v>0</v>
      </c>
      <c r="AY15" s="198">
        <f t="shared" si="23"/>
        <v>0</v>
      </c>
      <c r="AZ15" s="199" cm="1">
        <f t="array" ref="AZ15">+ROUND(IF(AY15&lt;1,interpoler($A$5:$A$24,$B$5:$B$24,(AR15-$B$1)),interpoler($C$5:$C$24,$D$5:$D$24,AY15))+$AW$2,6)</f>
        <v>2.9780999999999998E-2</v>
      </c>
      <c r="BA15" s="198">
        <f t="shared" si="24"/>
        <v>0</v>
      </c>
      <c r="BC15" s="599">
        <f t="shared" si="25"/>
        <v>0</v>
      </c>
      <c r="BD15" s="669">
        <v>40526</v>
      </c>
      <c r="BE15" s="526">
        <v>8</v>
      </c>
      <c r="BF15" s="841">
        <v>83268.38</v>
      </c>
      <c r="BG15" s="835">
        <v>2400.7800000000002</v>
      </c>
      <c r="BH15" s="529">
        <f t="shared" si="90"/>
        <v>1005.47</v>
      </c>
      <c r="BI15" s="529">
        <f t="shared" si="26"/>
        <v>3406.25</v>
      </c>
      <c r="BJ15" s="529">
        <f t="shared" si="27"/>
        <v>0</v>
      </c>
      <c r="BK15" s="529">
        <f t="shared" si="28"/>
        <v>0</v>
      </c>
      <c r="BL15" s="530" cm="1">
        <f t="array" ref="BL15">+ROUND(IF(BK15&lt;1,interpoler($A$5:$A$24,$B$5:$B$24,(BD15-$B$1)),interpoler($C$5:$C$24,$D$5:$D$24,BK15))+$BI$2,6)</f>
        <v>3.3280999999999998E-2</v>
      </c>
      <c r="BM15" s="529">
        <f t="shared" si="29"/>
        <v>0</v>
      </c>
      <c r="BN15" s="280"/>
      <c r="BP15" s="150">
        <f t="shared" si="30"/>
        <v>7</v>
      </c>
      <c r="BQ15" s="194" t="s">
        <v>973</v>
      </c>
      <c r="BR15" s="211">
        <v>8</v>
      </c>
      <c r="BS15" s="304">
        <f t="shared" si="91"/>
        <v>77419.354838709638</v>
      </c>
      <c r="BT15" s="196">
        <v>3225.8064516129034</v>
      </c>
      <c r="BU15" s="198">
        <f t="shared" si="92"/>
        <v>864.99</v>
      </c>
      <c r="BV15" s="198">
        <f t="shared" si="31"/>
        <v>4090.8</v>
      </c>
      <c r="BW15" s="198">
        <f t="shared" si="32"/>
        <v>4090.8</v>
      </c>
      <c r="BX15" s="198">
        <f t="shared" si="33"/>
        <v>2.3296986518636005</v>
      </c>
      <c r="BY15" s="199" cm="1">
        <f t="array" ref="BY15">+ROUND(IF(BX15&lt;1,interpoler($A$5:$A$24,$B$5:$B$24,(BQ15-$B$1)),interpoler($C$5:$C$24,$D$5:$D$24,BX15))+$BV$2,6)</f>
        <v>3.1215E-2</v>
      </c>
      <c r="BZ15" s="198">
        <f t="shared" si="34"/>
        <v>3808.1020984607999</v>
      </c>
      <c r="CB15" s="520">
        <f t="shared" si="35"/>
        <v>0</v>
      </c>
      <c r="CC15" s="868">
        <v>43823</v>
      </c>
      <c r="CD15" s="857">
        <v>8</v>
      </c>
      <c r="CE15" s="859">
        <v>100000</v>
      </c>
      <c r="CF15" s="1035">
        <v>0</v>
      </c>
      <c r="CG15" s="847">
        <f t="shared" si="93"/>
        <v>1007.5</v>
      </c>
      <c r="CH15" s="847">
        <f t="shared" si="36"/>
        <v>1007.5</v>
      </c>
      <c r="CI15" s="847">
        <f t="shared" si="37"/>
        <v>0</v>
      </c>
      <c r="CJ15" s="847">
        <f t="shared" ref="CJ15:CJ28" si="121">ROUND((IF(CJ14&lt;0,(CC15-$B$1)/(CC15-CC14)*(3/12),CJ14+0.25)),8)</f>
        <v>-6.2747252700000002</v>
      </c>
      <c r="CK15" s="848" cm="1">
        <f t="array" ref="CK15">ROUND(ROUND(IF(CJ15&lt;1,interpoler($A$5:$A$24,$B$5:$B$24,(CC15-$B$1)),interpoler($C$5:$C$24,$D$5:$D$24,CJ15))+$CH$2,5),5)</f>
        <v>2.878E-2</v>
      </c>
      <c r="CL15" s="847">
        <f t="shared" si="115"/>
        <v>0</v>
      </c>
      <c r="CM15" s="280"/>
      <c r="CN15" s="520">
        <f t="shared" si="38"/>
        <v>0</v>
      </c>
      <c r="CO15" s="868">
        <v>43914</v>
      </c>
      <c r="CP15" s="857">
        <v>8</v>
      </c>
      <c r="CQ15" s="859">
        <v>71850.590000000026</v>
      </c>
      <c r="CR15" s="859">
        <v>2520.79</v>
      </c>
      <c r="CS15" s="847">
        <f>ROUNDDOWN(CQ15*$CT$1*0.25,2)</f>
        <v>578.39</v>
      </c>
      <c r="CT15" s="847">
        <f t="shared" si="39"/>
        <v>3099.18</v>
      </c>
      <c r="CU15" s="847">
        <f t="shared" si="40"/>
        <v>0</v>
      </c>
      <c r="CV15" s="866">
        <f t="shared" si="41"/>
        <v>-6.0916666666666668</v>
      </c>
      <c r="CW15" s="848" cm="1">
        <f t="array" ref="CW15">+ROUND(IF(CV15&lt;1,interpoler($A$5:$A$24,$B$5:$B$24,(CO15-$B$1)),interpoler($C$5:$C$24,$D$5:$D$24,CV15))+$CT$2,5)</f>
        <v>2.7279999999999999E-2</v>
      </c>
      <c r="CX15" s="847">
        <f t="shared" si="116"/>
        <v>0</v>
      </c>
      <c r="CY15" s="448"/>
      <c r="DE15" s="150"/>
      <c r="DF15" s="194"/>
      <c r="DG15" s="211"/>
      <c r="DH15" s="296"/>
      <c r="DI15" s="296"/>
      <c r="DJ15" s="198"/>
      <c r="DK15" s="198"/>
      <c r="DL15" s="198"/>
      <c r="DM15" s="447"/>
      <c r="DN15" s="199"/>
      <c r="DO15" s="198"/>
      <c r="DQ15" s="211">
        <f t="shared" si="42"/>
        <v>0</v>
      </c>
      <c r="DR15" s="524">
        <v>41655</v>
      </c>
      <c r="DS15" s="211">
        <v>8</v>
      </c>
      <c r="DT15" s="304">
        <f t="shared" si="94"/>
        <v>79054.2</v>
      </c>
      <c r="DU15" s="402">
        <v>2647.21</v>
      </c>
      <c r="DV15" s="198">
        <f t="shared" si="95"/>
        <v>908.93</v>
      </c>
      <c r="DW15" s="198">
        <f t="shared" si="43"/>
        <v>3556.14</v>
      </c>
      <c r="DX15" s="198">
        <f t="shared" si="44"/>
        <v>0</v>
      </c>
      <c r="DY15" s="198">
        <f t="shared" si="45"/>
        <v>0</v>
      </c>
      <c r="DZ15" s="199" cm="1">
        <f t="array" ref="DZ15">+ROUND(IF(DY15&lt;1,interpoler($A$5:$A$24,$B$5:$B$24,(DR15-$B$1)),interpoler($C$5:$C$24,$D$5:$D$24,DY15))+$DW$2,5)</f>
        <v>2.5680000000000001E-2</v>
      </c>
      <c r="EA15" s="198">
        <f t="shared" si="46"/>
        <v>0</v>
      </c>
      <c r="EC15" s="211">
        <f t="shared" si="47"/>
        <v>0</v>
      </c>
      <c r="ED15" s="525">
        <v>44189</v>
      </c>
      <c r="EE15" s="729">
        <v>8</v>
      </c>
      <c r="EF15" s="729">
        <v>27676.400000000001</v>
      </c>
      <c r="EG15" s="655">
        <v>5351.57</v>
      </c>
      <c r="EH15" s="529">
        <v>205.49</v>
      </c>
      <c r="EI15" s="529">
        <f t="shared" si="48"/>
        <v>5557.06</v>
      </c>
      <c r="EJ15" s="655">
        <f t="shared" si="49"/>
        <v>0</v>
      </c>
      <c r="EK15" s="937">
        <f t="shared" si="50"/>
        <v>0</v>
      </c>
      <c r="EL15" s="934" cm="1">
        <f t="array" ref="EL15">+ROUND(IF(EK15&lt;1,interpoler($A$5:$A$24,$B$5:$B$24,(ED15-$B$1)),interpoler($C$5:$C$24,$D$5:$D$24,EK15))+$EI$2,5)</f>
        <v>2.7279999999999999E-2</v>
      </c>
      <c r="EM15" s="526">
        <f t="shared" si="51"/>
        <v>0</v>
      </c>
      <c r="EN15" s="692">
        <f t="shared" si="96"/>
        <v>28467.03</v>
      </c>
      <c r="EO15" s="280"/>
      <c r="EQ15" s="211">
        <f t="shared" si="52"/>
        <v>0</v>
      </c>
      <c r="ER15" s="524">
        <v>44189</v>
      </c>
      <c r="ES15" s="211">
        <v>8</v>
      </c>
      <c r="ET15" s="304">
        <f t="shared" si="97"/>
        <v>-73410.83</v>
      </c>
      <c r="EU15" s="296">
        <v>5903.85</v>
      </c>
      <c r="EV15" s="198">
        <f t="shared" si="98"/>
        <v>-501.23</v>
      </c>
      <c r="EW15" s="198">
        <f t="shared" si="53"/>
        <v>5402.62</v>
      </c>
      <c r="EX15" s="198">
        <f t="shared" si="54"/>
        <v>0</v>
      </c>
      <c r="EY15" s="198">
        <f t="shared" si="99"/>
        <v>0</v>
      </c>
      <c r="EZ15" s="530" cm="1">
        <f t="array" ref="EZ15">+ROUND(IF(EY15&lt;1,interpoler($A$5:$A$24,$B$5:$B$24,(ER15-$B$1)),interpoler($C$5:$C$24,$D$5:$D$24,EY15))+$EV$2,5)</f>
        <v>2.7279999999999999E-2</v>
      </c>
      <c r="FA15" s="198">
        <f t="shared" si="55"/>
        <v>0</v>
      </c>
      <c r="FD15" s="526">
        <f t="shared" si="56"/>
        <v>0</v>
      </c>
      <c r="FE15" s="802">
        <v>44554</v>
      </c>
      <c r="FF15" s="803">
        <v>8</v>
      </c>
      <c r="FG15" s="811">
        <v>79560.94</v>
      </c>
      <c r="FH15" s="812">
        <v>3624.7</v>
      </c>
      <c r="FI15" s="812">
        <v>602.66999999999996</v>
      </c>
      <c r="FJ15" s="807">
        <f t="shared" si="57"/>
        <v>4227.37</v>
      </c>
      <c r="FK15" s="807">
        <f t="shared" si="58"/>
        <v>0</v>
      </c>
      <c r="FL15" s="808">
        <f t="shared" si="112"/>
        <v>-4.2664835200000004</v>
      </c>
      <c r="FM15" s="809" cm="1">
        <f t="array" ref="FM15">+ROUND(IF(FL15&lt;1,interpoler($A$5:$A$24,$B$5:$B$24,(FE15-$B$1)),interpoler($C$5:$C$24,$D$5:$D$24,FL15))+$FI$2,5)</f>
        <v>2.7779999999999999E-2</v>
      </c>
      <c r="FN15" s="810">
        <f t="shared" si="100"/>
        <v>0</v>
      </c>
      <c r="FO15" s="813"/>
      <c r="FP15" s="221"/>
      <c r="FQ15" s="526">
        <f t="shared" si="59"/>
        <v>0</v>
      </c>
      <c r="FR15" s="815">
        <v>44554</v>
      </c>
      <c r="FS15" s="816">
        <v>8</v>
      </c>
      <c r="FT15" s="900">
        <v>100000</v>
      </c>
      <c r="FU15" s="817">
        <v>0</v>
      </c>
      <c r="FV15" s="818">
        <v>877.5</v>
      </c>
      <c r="FW15" s="818">
        <f t="shared" si="60"/>
        <v>877.5</v>
      </c>
      <c r="FX15" s="818">
        <f t="shared" si="61"/>
        <v>0</v>
      </c>
      <c r="FY15" s="819">
        <f t="shared" si="113"/>
        <v>-4.2664835200000004</v>
      </c>
      <c r="FZ15" s="820" cm="1">
        <f t="array" ref="FZ15">+ROUND(IF(FY15&lt;1,interpoler($A$5:$A$24,$B$5:$B$24,(FR15-$B$1)),interpoler($C$5:$C$24,$D$5:$D$24,FY15))+$FV$2,5)</f>
        <v>2.928E-2</v>
      </c>
      <c r="GA15" s="818">
        <f t="shared" si="62"/>
        <v>0</v>
      </c>
      <c r="GB15" s="484"/>
      <c r="GC15" s="522"/>
      <c r="GD15" s="150">
        <f t="shared" si="63"/>
        <v>0</v>
      </c>
      <c r="GE15" s="856">
        <v>45101</v>
      </c>
      <c r="GF15" s="857">
        <v>8</v>
      </c>
      <c r="GG15" s="858">
        <v>82942.13</v>
      </c>
      <c r="GH15" s="859">
        <v>2639.04</v>
      </c>
      <c r="GI15" s="846">
        <v>545.34</v>
      </c>
      <c r="GJ15" s="847">
        <f t="shared" si="64"/>
        <v>3184.38</v>
      </c>
      <c r="GK15" s="847">
        <f t="shared" si="65"/>
        <v>0</v>
      </c>
      <c r="GL15" s="860">
        <f>+IF(GK15=0,0,IF(GD15=1,((GD15-1)+(GE15-$B$1)/(GE15-GE14))*0.25,GL14+0.25))</f>
        <v>0</v>
      </c>
      <c r="GM15" s="848" cm="1">
        <f t="array" ref="GM15">ROUND(interpoler(mat_zc,Taux_ZC,GL15)+$GJ$2,5)</f>
        <v>2.828E-2</v>
      </c>
      <c r="GN15" s="861">
        <f t="shared" si="102"/>
        <v>0</v>
      </c>
      <c r="GO15" s="198"/>
      <c r="GQ15" s="150">
        <f t="shared" si="66"/>
        <v>0</v>
      </c>
      <c r="GR15" s="856">
        <v>45101</v>
      </c>
      <c r="GS15" s="1030">
        <v>8</v>
      </c>
      <c r="GT15" s="967">
        <v>94274.47</v>
      </c>
      <c r="GU15" s="968">
        <v>885.8</v>
      </c>
      <c r="GV15" s="969">
        <v>730.62</v>
      </c>
      <c r="GW15" s="971">
        <f t="shared" si="67"/>
        <v>1616.42</v>
      </c>
      <c r="GX15" s="973">
        <f t="shared" si="68"/>
        <v>0</v>
      </c>
      <c r="GY15" s="971">
        <f>+IF(GX15=0,0,IF(GQ15=1,((GQ15-1)+(GR15-$B$1)/(GR15-GR14))*0.25,GY14+0.25))</f>
        <v>0</v>
      </c>
      <c r="GZ15" s="976" cm="1">
        <f t="array" ref="GZ15">+ROUND(IF(GY15&lt;1,interpoler($A$5:$A$24,$B$5:$B$24,(GR15-$B$1)),interpoler($C$5:$C$24,$D$5:$D$24,GY15))+$GW$2,5)</f>
        <v>2.9780000000000001E-2</v>
      </c>
      <c r="HA15" s="847">
        <f>ROUND(GX15/(1+GZ15)^GY15,4)</f>
        <v>0</v>
      </c>
      <c r="HD15" s="1382">
        <f t="shared" si="70"/>
        <v>0</v>
      </c>
      <c r="HE15" s="309">
        <v>42470</v>
      </c>
      <c r="HF15" s="211">
        <v>8</v>
      </c>
      <c r="HG15" s="304">
        <f t="shared" si="103"/>
        <v>64895.849999999991</v>
      </c>
      <c r="HH15" s="196">
        <v>4479.16</v>
      </c>
      <c r="HI15" s="198">
        <f t="shared" si="104"/>
        <v>717.09</v>
      </c>
      <c r="HJ15" s="198">
        <f t="shared" si="71"/>
        <v>5196.25</v>
      </c>
      <c r="HK15" s="198">
        <f t="shared" si="72"/>
        <v>0</v>
      </c>
      <c r="HL15" s="198">
        <f t="shared" si="73"/>
        <v>0</v>
      </c>
      <c r="HM15" s="199" cm="1">
        <f t="array" ref="HM15">+ROUND(IF(HL15&lt;1,interpoler($A$5:$A$24,$B$5:$B$24,(HE15-$B$1)),interpoler($C$5:$C$24,$D$5:$D$24,HL15))+$HJ$2,5)</f>
        <v>2.7279999999999999E-2</v>
      </c>
      <c r="HN15" s="198">
        <f t="shared" si="74"/>
        <v>0</v>
      </c>
      <c r="HR15" s="150">
        <v>2</v>
      </c>
      <c r="HS15" s="714">
        <v>44286</v>
      </c>
      <c r="HT15" s="205">
        <v>8</v>
      </c>
      <c r="HU15" s="718">
        <f t="shared" si="105"/>
        <v>650.35829619999993</v>
      </c>
      <c r="HV15" s="718">
        <v>88.936837499999996</v>
      </c>
      <c r="HW15" s="786">
        <v>30.243888099999999</v>
      </c>
      <c r="HX15" s="198">
        <f t="shared" si="75"/>
        <v>119.18072559999999</v>
      </c>
      <c r="HY15" s="198">
        <f t="shared" si="76"/>
        <v>0</v>
      </c>
      <c r="HZ15" s="198">
        <f>(HS15-B1)/(HS15-HS14)</f>
        <v>-4.9890410958904106</v>
      </c>
      <c r="IA15" s="199" cm="1">
        <f t="array" ref="IA15">+ROUND(IF(HZ15&lt;1,interpoler($A$5:$A$24,$B$5:$B$24,(HS15-$B$1)),interpoler($C$5:$C$24,$D$5:$D$24,HZ15))+$HX$2,5)</f>
        <v>2.3279999999999999E-2</v>
      </c>
      <c r="IB15" s="212">
        <f t="shared" ref="IB15:IB22" si="122">ROUND(HY15/(1+IA15)^HZ15,4)</f>
        <v>0</v>
      </c>
      <c r="IC15" s="221"/>
      <c r="ID15" s="150">
        <v>8</v>
      </c>
      <c r="IE15" s="714">
        <v>45382</v>
      </c>
      <c r="IF15" s="205">
        <v>8</v>
      </c>
      <c r="IG15" s="205">
        <v>77777.78</v>
      </c>
      <c r="IH15" s="766">
        <v>2777.78</v>
      </c>
      <c r="II15" s="765">
        <v>1510.42</v>
      </c>
      <c r="IJ15" s="198">
        <f t="shared" si="79"/>
        <v>4288.2</v>
      </c>
      <c r="IK15" s="212">
        <f t="shared" si="80"/>
        <v>0</v>
      </c>
      <c r="IL15" s="761">
        <f t="shared" si="107"/>
        <v>-1.9890410959000002</v>
      </c>
      <c r="IM15" s="199" cm="1">
        <f t="array" ref="IM15">+ROUND(IF(IL15&lt;1,interpoler($A$5:$A$24,$B$5:$B$24,(IE15-$B$1)),interpoler($C$5:$C$24,$D$5:$D$24,IL15))+$IJ$2,5)</f>
        <v>3.628E-2</v>
      </c>
      <c r="IN15" s="198">
        <f t="shared" si="81"/>
        <v>0</v>
      </c>
      <c r="IP15" s="1382">
        <v>8</v>
      </c>
      <c r="IQ15" s="714">
        <v>46626</v>
      </c>
      <c r="IR15" s="205">
        <v>8</v>
      </c>
      <c r="IS15" s="198">
        <v>38429</v>
      </c>
      <c r="IT15" s="198">
        <v>7184</v>
      </c>
      <c r="IU15" s="198">
        <v>331.83</v>
      </c>
      <c r="IV15" s="198">
        <f t="shared" si="82"/>
        <v>7515.83</v>
      </c>
      <c r="IW15" s="212">
        <f t="shared" si="83"/>
        <v>7515.83</v>
      </c>
      <c r="IX15" s="447">
        <f t="shared" si="108"/>
        <v>1.4266304347826086</v>
      </c>
      <c r="IY15" s="199" cm="1">
        <f t="array" ref="IY15">+ROUND(IF(IX15&lt;1,interpoler($A$5:$A$24,$B$5:$B$24,(IQ15-$B$1)),interpoler($C$5:$C$24,$D$5:$D$24,IX15))+$IV$2,5)</f>
        <v>3.1609999999999999E-2</v>
      </c>
      <c r="IZ15" s="198">
        <f t="shared" si="84"/>
        <v>7189.4432966738686</v>
      </c>
      <c r="JD15" s="150"/>
      <c r="JE15" s="714"/>
      <c r="JF15" s="205"/>
      <c r="JG15" s="205"/>
      <c r="JH15" s="766"/>
      <c r="JI15" s="765"/>
      <c r="JJ15" s="198"/>
      <c r="JK15" s="212"/>
      <c r="JL15" s="761"/>
      <c r="JM15" s="199"/>
      <c r="JN15" s="198"/>
      <c r="JP15" s="150"/>
      <c r="JQ15" s="200" t="s">
        <v>3043</v>
      </c>
      <c r="JR15" s="205">
        <v>8</v>
      </c>
      <c r="JS15" s="205">
        <v>90000</v>
      </c>
      <c r="JT15" s="205">
        <v>2500</v>
      </c>
      <c r="JU15" s="765">
        <v>1260.31</v>
      </c>
      <c r="JV15" s="198">
        <f t="shared" si="106"/>
        <v>3760.31</v>
      </c>
      <c r="JW15" s="212">
        <f t="shared" si="111"/>
        <v>3760.31</v>
      </c>
      <c r="JX15" s="1335">
        <f t="shared" si="117"/>
        <v>0.29891304347826086</v>
      </c>
      <c r="JY15" s="199" cm="1">
        <f t="array" ref="JY15">ROUND(interpoler(mat_zc,Taux_ZC,JX15)+$JV$2,5)</f>
        <v>4.3650000000000001E-2</v>
      </c>
      <c r="JZ15" s="198">
        <f t="shared" si="118"/>
        <v>3712.5931</v>
      </c>
      <c r="KB15" s="205" t="s">
        <v>3079</v>
      </c>
      <c r="KC15" s="205">
        <v>8</v>
      </c>
      <c r="KD15" s="205">
        <v>45120.95</v>
      </c>
      <c r="KE15" s="205">
        <v>6445.85</v>
      </c>
      <c r="KF15" s="765">
        <v>2578.34</v>
      </c>
      <c r="KG15" s="198">
        <f t="shared" si="109"/>
        <v>9024.19</v>
      </c>
      <c r="KH15" s="212">
        <f t="shared" si="85"/>
        <v>9024.19</v>
      </c>
      <c r="KI15" s="770">
        <f t="shared" ref="KI15:KI22" si="123">KI14+1</f>
        <v>1.4794520547945207</v>
      </c>
      <c r="KJ15" s="199" cm="1">
        <f t="array" ref="KJ15">ROUND(interpoler(mat_zc,Taux_ZC,KI15)+$KG$2,5)</f>
        <v>4.299E-2</v>
      </c>
      <c r="KK15" s="198">
        <f t="shared" si="119"/>
        <v>8479.3708999999999</v>
      </c>
      <c r="KN15" s="1602">
        <v>48620</v>
      </c>
      <c r="KO15" s="205">
        <v>8</v>
      </c>
      <c r="KP15" s="1605">
        <v>100000</v>
      </c>
      <c r="KQ15" s="1442">
        <v>0</v>
      </c>
      <c r="KR15" s="1442">
        <v>4470</v>
      </c>
      <c r="KS15" s="198">
        <f t="shared" si="110"/>
        <v>4470</v>
      </c>
      <c r="KT15" s="212">
        <f t="shared" si="87"/>
        <v>4470</v>
      </c>
      <c r="KU15" s="1607">
        <f t="shared" si="114"/>
        <v>6.8794520547945206</v>
      </c>
      <c r="KV15" s="199" cm="1">
        <f t="array" ref="KV15">ROUND(interpoler(mat_zc,Taux_ZC,KU15)+$KS$2,5)</f>
        <v>3.7879999999999997E-2</v>
      </c>
      <c r="KW15" s="1612">
        <f t="shared" si="120"/>
        <v>3461.1786999999999</v>
      </c>
    </row>
    <row r="16" spans="1:309" ht="16.5" thickBot="1" x14ac:dyDescent="0.3">
      <c r="A16" s="95">
        <f>+CIH!A19</f>
        <v>326</v>
      </c>
      <c r="B16" s="315">
        <f>+CIH!B19</f>
        <v>2.4974686420831338E-2</v>
      </c>
      <c r="C16" s="95">
        <f>+CIH!K16</f>
        <v>12</v>
      </c>
      <c r="D16" s="145">
        <f>+CIH!L16</f>
        <v>3.4888111785712717E-2</v>
      </c>
      <c r="F16" s="150"/>
      <c r="G16" s="150">
        <f t="shared" si="0"/>
        <v>0</v>
      </c>
      <c r="H16" s="117">
        <v>38180</v>
      </c>
      <c r="I16" s="120">
        <v>9</v>
      </c>
      <c r="J16" s="186">
        <v>62994.47</v>
      </c>
      <c r="K16" s="186">
        <v>4107.3</v>
      </c>
      <c r="L16" s="137">
        <f t="shared" si="1"/>
        <v>979.56</v>
      </c>
      <c r="M16" s="137">
        <f t="shared" si="2"/>
        <v>5086.8599999999997</v>
      </c>
      <c r="N16" s="137">
        <f t="shared" si="3"/>
        <v>0</v>
      </c>
      <c r="O16" s="137">
        <f t="shared" si="4"/>
        <v>0</v>
      </c>
      <c r="P16" s="146" cm="1">
        <f t="array" ref="P16">+ROUND(IF(O16&lt;1,interpoler($A$5:$A$24,$B$5:$B$24,(H16-$B$1)),interpoler($C$5:$C$24,$D$5:$D$24,O16))+$M$2,6)</f>
        <v>2.8781000000000001E-2</v>
      </c>
      <c r="Q16" s="137">
        <f t="shared" si="5"/>
        <v>0</v>
      </c>
      <c r="R16" s="172"/>
      <c r="S16" s="150">
        <f t="shared" si="6"/>
        <v>0</v>
      </c>
      <c r="T16" s="194">
        <v>38180</v>
      </c>
      <c r="U16" s="205">
        <v>9</v>
      </c>
      <c r="V16" s="203">
        <v>100000</v>
      </c>
      <c r="W16" s="206">
        <v>0</v>
      </c>
      <c r="X16" s="198">
        <f t="shared" si="7"/>
        <v>1830</v>
      </c>
      <c r="Y16" s="198">
        <f t="shared" si="8"/>
        <v>1830</v>
      </c>
      <c r="Z16" s="198">
        <f t="shared" si="9"/>
        <v>0</v>
      </c>
      <c r="AA16" s="198">
        <f t="shared" si="10"/>
        <v>0</v>
      </c>
      <c r="AB16" s="199" cm="1">
        <f t="array" ref="AB16">+ROUND(IF(AA16&lt;1,interpoler($A$5:$A$24,$B$5:$B$24,(T16-$B$1)),interpoler($C$5:$C$24,$D$5:$D$24,AA16))+$Y$2,6)</f>
        <v>3.0780999999999999E-2</v>
      </c>
      <c r="AC16" s="198">
        <f t="shared" si="11"/>
        <v>0</v>
      </c>
      <c r="AE16" s="150">
        <f t="shared" si="12"/>
        <v>0</v>
      </c>
      <c r="AF16" s="117">
        <v>39428</v>
      </c>
      <c r="AG16" s="120">
        <v>9</v>
      </c>
      <c r="AH16" s="186">
        <v>26272.18</v>
      </c>
      <c r="AI16" s="186">
        <v>4785.29</v>
      </c>
      <c r="AJ16" s="198">
        <f t="shared" si="13"/>
        <v>335.63</v>
      </c>
      <c r="AK16" s="198">
        <f t="shared" si="14"/>
        <v>5120.92</v>
      </c>
      <c r="AL16" s="198">
        <f t="shared" si="15"/>
        <v>0</v>
      </c>
      <c r="AM16" s="198">
        <f t="shared" si="16"/>
        <v>0</v>
      </c>
      <c r="AN16" s="199" cm="1">
        <f t="array" ref="AN16">+ROUND(IF(AM16&lt;1,interpoler($A$5:$A$24,$B$5:$B$24,(AF16-$B$1)),interpoler($C$5:$C$24,$D$5:$D$24,AM16))+$AK$2,6)</f>
        <v>2.7281E-2</v>
      </c>
      <c r="AO16" s="198">
        <f t="shared" si="17"/>
        <v>0</v>
      </c>
      <c r="AP16" s="172">
        <f t="shared" si="18"/>
        <v>4785.29</v>
      </c>
      <c r="AQ16" s="150">
        <f t="shared" si="19"/>
        <v>0</v>
      </c>
      <c r="AR16" s="194">
        <v>39428</v>
      </c>
      <c r="AS16" s="211">
        <v>9</v>
      </c>
      <c r="AT16" s="196">
        <v>100000</v>
      </c>
      <c r="AU16" s="196">
        <v>0</v>
      </c>
      <c r="AV16" s="198">
        <f t="shared" si="20"/>
        <v>1597.5</v>
      </c>
      <c r="AW16" s="198">
        <f t="shared" si="21"/>
        <v>1597.5</v>
      </c>
      <c r="AX16" s="198">
        <f t="shared" si="22"/>
        <v>0</v>
      </c>
      <c r="AY16" s="198">
        <f t="shared" si="23"/>
        <v>0</v>
      </c>
      <c r="AZ16" s="199" cm="1">
        <f t="array" ref="AZ16">+ROUND(IF(AY16&lt;1,interpoler($A$5:$A$24,$B$5:$B$24,(AR16-$B$1)),interpoler($C$5:$C$24,$D$5:$D$24,AY16))+$AW$2,6)</f>
        <v>2.9780999999999998E-2</v>
      </c>
      <c r="BA16" s="198">
        <f t="shared" si="24"/>
        <v>0</v>
      </c>
      <c r="BC16" s="599">
        <f t="shared" si="25"/>
        <v>0</v>
      </c>
      <c r="BD16" s="669">
        <v>40616</v>
      </c>
      <c r="BE16" s="526">
        <v>9</v>
      </c>
      <c r="BF16" s="841">
        <f>BF15-BG15</f>
        <v>80867.600000000006</v>
      </c>
      <c r="BG16" s="835">
        <v>2376.56</v>
      </c>
      <c r="BH16" s="529">
        <f t="shared" si="90"/>
        <v>976.48</v>
      </c>
      <c r="BI16" s="529">
        <f t="shared" si="26"/>
        <v>3353.04</v>
      </c>
      <c r="BJ16" s="529">
        <f t="shared" si="27"/>
        <v>0</v>
      </c>
      <c r="BK16" s="529">
        <f t="shared" si="28"/>
        <v>0</v>
      </c>
      <c r="BL16" s="530" cm="1">
        <f t="array" ref="BL16">+ROUND(IF(BK16&lt;1,interpoler($A$5:$A$24,$B$5:$B$24,(BD16-$B$1)),interpoler($C$5:$C$24,$D$5:$D$24,BK16))+$BI$2,6)</f>
        <v>3.3280999999999998E-2</v>
      </c>
      <c r="BM16" s="529">
        <f t="shared" si="29"/>
        <v>0</v>
      </c>
      <c r="BN16" s="280"/>
      <c r="BP16" s="150">
        <f t="shared" si="30"/>
        <v>8</v>
      </c>
      <c r="BQ16" s="194" t="s">
        <v>974</v>
      </c>
      <c r="BR16" s="211">
        <v>9</v>
      </c>
      <c r="BS16" s="304">
        <f t="shared" si="91"/>
        <v>74193.548387096729</v>
      </c>
      <c r="BT16" s="196">
        <v>3225.8064516129034</v>
      </c>
      <c r="BU16" s="198">
        <f t="shared" si="92"/>
        <v>828.95</v>
      </c>
      <c r="BV16" s="198">
        <f t="shared" si="31"/>
        <v>4054.76</v>
      </c>
      <c r="BW16" s="198">
        <f t="shared" si="32"/>
        <v>4054.76</v>
      </c>
      <c r="BX16" s="198">
        <f t="shared" si="33"/>
        <v>2.5796986518636005</v>
      </c>
      <c r="BY16" s="199" cm="1">
        <f t="array" ref="BY16">+ROUND(IF(BX16&lt;1,interpoler($A$5:$A$24,$B$5:$B$24,(BQ16-$B$1)),interpoler($C$5:$C$24,$D$5:$D$24,BX16))+$BV$2,6)</f>
        <v>3.1604E-2</v>
      </c>
      <c r="BZ16" s="198">
        <f t="shared" si="34"/>
        <v>3742.016005167487</v>
      </c>
      <c r="CB16" s="520">
        <f t="shared" si="35"/>
        <v>0</v>
      </c>
      <c r="CC16" s="868">
        <v>43914</v>
      </c>
      <c r="CD16" s="857">
        <v>9</v>
      </c>
      <c r="CE16" s="859">
        <v>100000</v>
      </c>
      <c r="CF16" s="1035">
        <v>0</v>
      </c>
      <c r="CG16" s="847">
        <f t="shared" si="93"/>
        <v>1007.5</v>
      </c>
      <c r="CH16" s="847">
        <f t="shared" si="36"/>
        <v>1007.5</v>
      </c>
      <c r="CI16" s="847">
        <f t="shared" si="37"/>
        <v>0</v>
      </c>
      <c r="CJ16" s="847">
        <f t="shared" si="121"/>
        <v>-6.0247252700000002</v>
      </c>
      <c r="CK16" s="848" cm="1">
        <f t="array" ref="CK16">ROUND(ROUND(IF(CJ16&lt;1,interpoler($A$5:$A$24,$B$5:$B$24,(CC16-$B$1)),interpoler($C$5:$C$24,$D$5:$D$24,CJ16))+$CH$2,5),5)</f>
        <v>2.878E-2</v>
      </c>
      <c r="CL16" s="847">
        <f t="shared" si="115"/>
        <v>0</v>
      </c>
      <c r="CM16" s="575" t="s">
        <v>2410</v>
      </c>
      <c r="CN16" s="150">
        <f t="shared" si="38"/>
        <v>0</v>
      </c>
      <c r="CO16" s="868">
        <v>44006</v>
      </c>
      <c r="CP16" s="857">
        <v>9</v>
      </c>
      <c r="CQ16" s="859">
        <v>63479.050000000017</v>
      </c>
      <c r="CR16" s="859">
        <v>2526.46</v>
      </c>
      <c r="CS16" s="847">
        <v>511</v>
      </c>
      <c r="CT16" s="847">
        <f t="shared" si="39"/>
        <v>3037.46</v>
      </c>
      <c r="CU16" s="847">
        <f t="shared" si="40"/>
        <v>0</v>
      </c>
      <c r="CV16" s="866">
        <f>(((CO16-CO15)*0.25/92))*(CO16-$B$1)/(CO16-CO15)</f>
        <v>-5.7092391304347823</v>
      </c>
      <c r="CW16" s="848" cm="1">
        <f t="array" ref="CW16">+ROUND(IF(CV16&lt;1,interpoler($A$5:$A$24,$B$5:$B$24,(CO16-$B$1)),interpoler($C$5:$C$24,$D$5:$D$24,CV16))+$CT$2,5)</f>
        <v>2.7279999999999999E-2</v>
      </c>
      <c r="CX16" s="847">
        <f t="shared" si="116"/>
        <v>0</v>
      </c>
      <c r="CY16" s="575" t="s">
        <v>2410</v>
      </c>
      <c r="DE16" s="150"/>
      <c r="DF16" s="194"/>
      <c r="DG16" s="211"/>
      <c r="DH16" s="296"/>
      <c r="DI16" s="296"/>
      <c r="DJ16" s="198"/>
      <c r="DK16" s="198"/>
      <c r="DL16" s="198"/>
      <c r="DM16" s="447"/>
      <c r="DN16" s="199"/>
      <c r="DO16" s="198"/>
      <c r="DQ16" s="211">
        <f t="shared" si="42"/>
        <v>0</v>
      </c>
      <c r="DR16" s="524">
        <v>41745</v>
      </c>
      <c r="DS16" s="211">
        <v>9</v>
      </c>
      <c r="DT16" s="304">
        <f t="shared" si="94"/>
        <v>76398.84</v>
      </c>
      <c r="DU16" s="402">
        <v>2655.36</v>
      </c>
      <c r="DV16" s="198">
        <f t="shared" si="95"/>
        <v>879.48</v>
      </c>
      <c r="DW16" s="198">
        <f t="shared" si="43"/>
        <v>3534.84</v>
      </c>
      <c r="DX16" s="198">
        <f t="shared" si="44"/>
        <v>0</v>
      </c>
      <c r="DY16" s="198">
        <f t="shared" si="45"/>
        <v>0</v>
      </c>
      <c r="DZ16" s="199" cm="1">
        <f t="array" ref="DZ16">+ROUND(IF(DY16&lt;1,interpoler($A$5:$A$24,$B$5:$B$24,(DR16-$B$1)),interpoler($C$5:$C$24,$D$5:$D$24,DY16))+$DW$2,5)</f>
        <v>2.5680000000000001E-2</v>
      </c>
      <c r="EA16" s="198">
        <f t="shared" si="46"/>
        <v>0</v>
      </c>
      <c r="EC16" s="211">
        <f t="shared" si="47"/>
        <v>0</v>
      </c>
      <c r="ED16" s="525">
        <v>44279</v>
      </c>
      <c r="EE16" s="729">
        <v>9</v>
      </c>
      <c r="EF16" s="729">
        <v>16023.560000000001</v>
      </c>
      <c r="EG16" s="655">
        <v>4507.47</v>
      </c>
      <c r="EH16" s="529">
        <v>159.75</v>
      </c>
      <c r="EI16" s="529">
        <f t="shared" si="48"/>
        <v>4667.22</v>
      </c>
      <c r="EJ16" s="655">
        <f t="shared" si="49"/>
        <v>0</v>
      </c>
      <c r="EK16" s="937">
        <f t="shared" si="50"/>
        <v>0</v>
      </c>
      <c r="EL16" s="934" cm="1">
        <f t="array" ref="EL16">+ROUND(IF(EK16&lt;1,interpoler($A$5:$A$24,$B$5:$B$24,(ED16-$B$1)),interpoler($C$5:$C$24,$D$5:$D$24,EK16))+$EI$2,5)</f>
        <v>2.7279999999999999E-2</v>
      </c>
      <c r="EM16" s="526">
        <f t="shared" si="51"/>
        <v>0</v>
      </c>
      <c r="EN16" s="692">
        <f t="shared" si="96"/>
        <v>23959.559999999998</v>
      </c>
      <c r="EO16" s="280"/>
      <c r="EQ16" s="211">
        <f t="shared" si="52"/>
        <v>0</v>
      </c>
      <c r="ER16" s="524">
        <v>44279</v>
      </c>
      <c r="ES16" s="211">
        <v>9</v>
      </c>
      <c r="ET16" s="304">
        <f t="shared" si="97"/>
        <v>-78554.680000000008</v>
      </c>
      <c r="EU16" s="296">
        <v>5143.8500000000004</v>
      </c>
      <c r="EV16" s="198">
        <f t="shared" si="98"/>
        <v>-545.07000000000005</v>
      </c>
      <c r="EW16" s="198">
        <f t="shared" si="53"/>
        <v>4598.78</v>
      </c>
      <c r="EX16" s="198">
        <f t="shared" si="54"/>
        <v>0</v>
      </c>
      <c r="EY16" s="198">
        <f t="shared" si="99"/>
        <v>0</v>
      </c>
      <c r="EZ16" s="530" cm="1">
        <f t="array" ref="EZ16">+ROUND(IF(EY16&lt;1,interpoler($A$5:$A$24,$B$5:$B$24,(ER16-$B$1)),interpoler($C$5:$C$24,$D$5:$D$24,EY16))+$EV$2,5)</f>
        <v>2.7279999999999999E-2</v>
      </c>
      <c r="FA16" s="198">
        <f t="shared" si="55"/>
        <v>0</v>
      </c>
      <c r="FD16" s="526">
        <f t="shared" si="56"/>
        <v>0</v>
      </c>
      <c r="FE16" s="802">
        <v>44644</v>
      </c>
      <c r="FF16" s="803">
        <v>9</v>
      </c>
      <c r="FG16" s="804">
        <v>75936.240000000005</v>
      </c>
      <c r="FH16" s="805">
        <v>3211.96</v>
      </c>
      <c r="FI16" s="805">
        <v>575.21</v>
      </c>
      <c r="FJ16" s="807">
        <f t="shared" si="57"/>
        <v>3787.17</v>
      </c>
      <c r="FK16" s="807">
        <f t="shared" si="58"/>
        <v>0</v>
      </c>
      <c r="FL16" s="808">
        <f t="shared" si="112"/>
        <v>-4.0638888900000003</v>
      </c>
      <c r="FM16" s="809" cm="1">
        <f t="array" ref="FM16">+ROUND(IF(FL16&lt;1,interpoler($A$5:$A$24,$B$5:$B$24,(FE16-$B$1)),interpoler($C$5:$C$24,$D$5:$D$24,FL16))+$FI$2,5)</f>
        <v>2.7779999999999999E-2</v>
      </c>
      <c r="FN16" s="810">
        <f t="shared" si="100"/>
        <v>0</v>
      </c>
      <c r="FO16" s="814"/>
      <c r="FP16" s="221"/>
      <c r="FQ16" s="526">
        <f t="shared" si="59"/>
        <v>0</v>
      </c>
      <c r="FR16" s="815">
        <v>44644</v>
      </c>
      <c r="FS16" s="816">
        <v>9</v>
      </c>
      <c r="FT16" s="900">
        <v>100000</v>
      </c>
      <c r="FU16" s="821">
        <v>0</v>
      </c>
      <c r="FV16" s="818">
        <v>877.5</v>
      </c>
      <c r="FW16" s="818">
        <f t="shared" si="60"/>
        <v>877.5</v>
      </c>
      <c r="FX16" s="818">
        <f t="shared" si="61"/>
        <v>0</v>
      </c>
      <c r="FY16" s="819">
        <f t="shared" si="113"/>
        <v>-4.0638888900000003</v>
      </c>
      <c r="FZ16" s="820" cm="1">
        <f t="array" ref="FZ16">+ROUND(IF(FY16&lt;1,interpoler($A$5:$A$24,$B$5:$B$24,(FR16-$B$1)),interpoler($C$5:$C$24,$D$5:$D$24,FY16))+$FV$2,5)</f>
        <v>2.928E-2</v>
      </c>
      <c r="GA16" s="818">
        <f t="shared" si="62"/>
        <v>0</v>
      </c>
      <c r="GB16" s="484"/>
      <c r="GC16" s="522"/>
      <c r="GD16" s="150">
        <f t="shared" si="63"/>
        <v>0</v>
      </c>
      <c r="GE16" s="856">
        <v>45193</v>
      </c>
      <c r="GF16" s="857">
        <v>9</v>
      </c>
      <c r="GG16" s="858">
        <v>80303.09</v>
      </c>
      <c r="GH16" s="859">
        <v>2255.29</v>
      </c>
      <c r="GI16" s="846">
        <v>527.99</v>
      </c>
      <c r="GJ16" s="847">
        <f t="shared" si="64"/>
        <v>2783.28</v>
      </c>
      <c r="GK16" s="847">
        <f t="shared" si="65"/>
        <v>0</v>
      </c>
      <c r="GL16" s="860">
        <f>+IF(GK16=0,0,IF(GD16=1,((GD16-1)+(GE16-$B$1)/(GE16-GE15))*0.25,GL15+0.25))</f>
        <v>0</v>
      </c>
      <c r="GM16" s="848" cm="1">
        <f t="array" ref="GM16">ROUND(interpoler(mat_zc,Taux_ZC,GL16)+$GJ$2,5)</f>
        <v>2.828E-2</v>
      </c>
      <c r="GN16" s="861">
        <f t="shared" si="102"/>
        <v>0</v>
      </c>
      <c r="GO16" s="198"/>
      <c r="GQ16" s="150">
        <f t="shared" si="66"/>
        <v>0</v>
      </c>
      <c r="GR16" s="856">
        <v>45193</v>
      </c>
      <c r="GS16" s="1030">
        <v>9</v>
      </c>
      <c r="GT16" s="967">
        <v>93388.67</v>
      </c>
      <c r="GU16" s="968">
        <v>723.76</v>
      </c>
      <c r="GV16" s="969">
        <v>757.01</v>
      </c>
      <c r="GW16" s="971">
        <f t="shared" si="67"/>
        <v>1480.77</v>
      </c>
      <c r="GX16" s="973">
        <f t="shared" si="68"/>
        <v>0</v>
      </c>
      <c r="GY16" s="971">
        <f>+IF(GX16=0,0,IF(GQ16=1,((GQ16-1)+(GR16-$B$1)/(GR16-GR15))*0.25,GY15+0.25))</f>
        <v>0</v>
      </c>
      <c r="GZ16" s="976" cm="1">
        <f t="array" ref="GZ16">+ROUND(IF(GY16&lt;1,interpoler($A$5:$A$24,$B$5:$B$24,(GR16-$B$1)),interpoler(CIH!$K$72:$K$103,CIH!$L$72:$L$103,GY16))+$GW$2,5)</f>
        <v>2.9780000000000001E-2</v>
      </c>
      <c r="HA16" s="847">
        <f>ROUND(GX16/(1+GZ16)^GY16,4)</f>
        <v>0</v>
      </c>
      <c r="HD16" s="1382">
        <f t="shared" si="70"/>
        <v>0</v>
      </c>
      <c r="HE16" s="309">
        <v>42561</v>
      </c>
      <c r="HF16" s="211">
        <v>9</v>
      </c>
      <c r="HG16" s="304">
        <f t="shared" si="103"/>
        <v>60416.689999999988</v>
      </c>
      <c r="HH16" s="196">
        <v>4375</v>
      </c>
      <c r="HI16" s="198">
        <f t="shared" si="104"/>
        <v>667.6</v>
      </c>
      <c r="HJ16" s="198">
        <f t="shared" si="71"/>
        <v>5042.6000000000004</v>
      </c>
      <c r="HK16" s="198">
        <f t="shared" si="72"/>
        <v>0</v>
      </c>
      <c r="HL16" s="198">
        <f t="shared" si="73"/>
        <v>0</v>
      </c>
      <c r="HM16" s="199" cm="1">
        <f t="array" ref="HM16">+ROUND(IF(HL16&lt;1,interpoler($A$5:$A$24,$B$5:$B$24,(HE16-$B$1)),interpoler($C$5:$C$24,$D$5:$D$24,HL16))+$HJ$2,5)</f>
        <v>2.7279999999999999E-2</v>
      </c>
      <c r="HN16" s="198">
        <f t="shared" si="74"/>
        <v>0</v>
      </c>
      <c r="HR16" s="150">
        <v>3</v>
      </c>
      <c r="HS16" s="714">
        <v>44651</v>
      </c>
      <c r="HT16" s="205">
        <v>9</v>
      </c>
      <c r="HU16" s="718">
        <f t="shared" si="105"/>
        <v>556.19964219999997</v>
      </c>
      <c r="HV16" s="718">
        <v>94.158653999999999</v>
      </c>
      <c r="HW16" s="786">
        <v>26.605562899999999</v>
      </c>
      <c r="HX16" s="198">
        <f t="shared" si="75"/>
        <v>120.76421689999999</v>
      </c>
      <c r="HY16" s="198">
        <f t="shared" si="76"/>
        <v>0</v>
      </c>
      <c r="HZ16" s="198">
        <f t="shared" ref="HZ16:HZ22" si="124">HZ15+1</f>
        <v>-3.9890410958904106</v>
      </c>
      <c r="IA16" s="199" cm="1">
        <f t="array" ref="IA16">+ROUND(IF(HZ16&lt;1,interpoler($A$5:$A$24,$B$5:$B$24,(HS16-$B$1)),interpoler($C$5:$C$24,$D$5:$D$24,HZ16))+$HX$2,5)</f>
        <v>2.3279999999999999E-2</v>
      </c>
      <c r="IB16" s="212">
        <f t="shared" si="122"/>
        <v>0</v>
      </c>
      <c r="IC16" s="221"/>
      <c r="ID16" s="150">
        <v>9</v>
      </c>
      <c r="IE16" s="714">
        <v>45565</v>
      </c>
      <c r="IF16" s="205">
        <v>9</v>
      </c>
      <c r="IG16" s="205">
        <v>75000</v>
      </c>
      <c r="IH16" s="766">
        <v>2777.78</v>
      </c>
      <c r="II16" s="765">
        <v>1458.33</v>
      </c>
      <c r="IJ16" s="198">
        <f t="shared" si="79"/>
        <v>4236.1099999999997</v>
      </c>
      <c r="IK16" s="212">
        <f t="shared" si="80"/>
        <v>0</v>
      </c>
      <c r="IL16" s="761">
        <f t="shared" si="107"/>
        <v>-1.4726775956000004</v>
      </c>
      <c r="IM16" s="199" cm="1">
        <f t="array" ref="IM16">+ROUND(IF(IL16&lt;1,interpoler($A$5:$A$24,$B$5:$B$24,(IE16-$B$1)),interpoler($C$5:$C$24,$D$5:$D$24,IL16))+$IJ$2,5)</f>
        <v>3.628E-2</v>
      </c>
      <c r="IN16" s="198">
        <f t="shared" si="81"/>
        <v>0</v>
      </c>
      <c r="IP16" s="1382">
        <v>9</v>
      </c>
      <c r="IQ16" s="714">
        <v>46718</v>
      </c>
      <c r="IR16" s="205">
        <v>9</v>
      </c>
      <c r="IS16" s="198">
        <v>32205</v>
      </c>
      <c r="IT16" s="198">
        <v>6224</v>
      </c>
      <c r="IU16" s="198">
        <v>279.57</v>
      </c>
      <c r="IV16" s="198">
        <f t="shared" si="82"/>
        <v>6503.57</v>
      </c>
      <c r="IW16" s="212">
        <f t="shared" si="83"/>
        <v>6503.57</v>
      </c>
      <c r="IX16" s="447">
        <f t="shared" si="108"/>
        <v>1.6766304347826086</v>
      </c>
      <c r="IY16" s="199" cm="1">
        <f t="array" ref="IY16">+ROUND(IF(IX16&lt;1,interpoler($A$5:$A$24,$B$5:$B$24,(IQ16-$B$1)),interpoler($C$5:$C$24,$D$5:$D$24,IX16))+$IV$2,5)</f>
        <v>3.2000000000000001E-2</v>
      </c>
      <c r="IZ16" s="198">
        <f t="shared" si="84"/>
        <v>6169.0177841698451</v>
      </c>
      <c r="JD16" s="150"/>
      <c r="JE16" s="714"/>
      <c r="JF16" s="205"/>
      <c r="JG16" s="205"/>
      <c r="JH16" s="766"/>
      <c r="JI16" s="765"/>
      <c r="JJ16" s="198"/>
      <c r="JK16" s="212"/>
      <c r="JL16" s="761"/>
      <c r="JM16" s="199"/>
      <c r="JN16" s="198"/>
      <c r="JP16" s="150"/>
      <c r="JQ16" s="200" t="s">
        <v>3044</v>
      </c>
      <c r="JR16" s="205">
        <v>9</v>
      </c>
      <c r="JS16" s="205">
        <v>87500</v>
      </c>
      <c r="JT16" s="205">
        <v>2500</v>
      </c>
      <c r="JU16" s="765">
        <v>1226.25</v>
      </c>
      <c r="JV16" s="198">
        <f t="shared" si="106"/>
        <v>3726.25</v>
      </c>
      <c r="JW16" s="212">
        <f t="shared" si="111"/>
        <v>3726.25</v>
      </c>
      <c r="JX16" s="1335">
        <f t="shared" si="117"/>
        <v>0.54891304347826086</v>
      </c>
      <c r="JY16" s="199" cm="1">
        <f t="array" ref="JY16">ROUND(interpoler(mat_zc,Taux_ZC,JX16)+$JV$2,5)</f>
        <v>4.4229999999999998E-2</v>
      </c>
      <c r="JZ16" s="198">
        <f t="shared" si="118"/>
        <v>3638.7694000000001</v>
      </c>
      <c r="KB16" s="205" t="s">
        <v>3080</v>
      </c>
      <c r="KC16" s="205">
        <v>9</v>
      </c>
      <c r="KD16" s="205">
        <v>38675.1</v>
      </c>
      <c r="KE16" s="205">
        <v>6445.85</v>
      </c>
      <c r="KF16" s="765">
        <v>2256.0500000000002</v>
      </c>
      <c r="KG16" s="198">
        <f t="shared" si="109"/>
        <v>8701.9</v>
      </c>
      <c r="KH16" s="212">
        <f t="shared" si="85"/>
        <v>8701.9</v>
      </c>
      <c r="KI16" s="770">
        <f t="shared" si="123"/>
        <v>2.4794520547945207</v>
      </c>
      <c r="KJ16" s="199" cm="1">
        <f t="array" ref="KJ16">ROUND(interpoler(mat_zc,Taux_ZC,KI16)+$KG$2,5)</f>
        <v>4.4549999999999999E-2</v>
      </c>
      <c r="KK16" s="198">
        <f t="shared" si="119"/>
        <v>7810.5201999999999</v>
      </c>
      <c r="KN16" s="1603">
        <v>48985</v>
      </c>
      <c r="KO16" s="205">
        <v>9</v>
      </c>
      <c r="KP16" s="1604">
        <v>100000</v>
      </c>
      <c r="KQ16" s="1443">
        <v>0</v>
      </c>
      <c r="KR16" s="1443">
        <v>4470</v>
      </c>
      <c r="KS16" s="198">
        <f t="shared" si="110"/>
        <v>4470</v>
      </c>
      <c r="KT16" s="212">
        <f t="shared" si="87"/>
        <v>4470</v>
      </c>
      <c r="KU16" s="1607">
        <f t="shared" si="114"/>
        <v>7.8794520547945206</v>
      </c>
      <c r="KV16" s="199" cm="1">
        <f t="array" ref="KV16">ROUND(interpoler(mat_zc,Taux_ZC,KU16)+$KS$2,5)</f>
        <v>3.8390000000000001E-2</v>
      </c>
      <c r="KW16" s="1612">
        <f t="shared" si="120"/>
        <v>3321.9704999999999</v>
      </c>
    </row>
    <row r="17" spans="1:309" ht="16.5" thickBot="1" x14ac:dyDescent="0.3">
      <c r="A17" s="95">
        <f>+CIH!A20</f>
        <v>326</v>
      </c>
      <c r="B17" s="315">
        <f>+CIH!B20</f>
        <v>2.4974686420831338E-2</v>
      </c>
      <c r="C17" s="95">
        <f>+CIH!K17</f>
        <v>13</v>
      </c>
      <c r="D17" s="145">
        <f>+CIH!L17</f>
        <v>3.5557991688015766E-2</v>
      </c>
      <c r="F17" s="150"/>
      <c r="G17" s="150">
        <f t="shared" si="0"/>
        <v>0</v>
      </c>
      <c r="H17" s="117">
        <v>38272</v>
      </c>
      <c r="I17" s="120">
        <v>10</v>
      </c>
      <c r="J17" s="186">
        <v>58887.17</v>
      </c>
      <c r="K17" s="186">
        <v>4497.95</v>
      </c>
      <c r="L17" s="137">
        <f t="shared" si="1"/>
        <v>915.7</v>
      </c>
      <c r="M17" s="137">
        <f t="shared" si="2"/>
        <v>5413.65</v>
      </c>
      <c r="N17" s="137">
        <f t="shared" si="3"/>
        <v>0</v>
      </c>
      <c r="O17" s="137">
        <f t="shared" si="4"/>
        <v>0</v>
      </c>
      <c r="P17" s="146" cm="1">
        <f t="array" ref="P17">+ROUND(IF(O17&lt;1,interpoler($A$5:$A$24,$B$5:$B$24,(H17-$B$1)),interpoler($C$5:$C$24,$D$5:$D$24,O17))+$M$2,6)</f>
        <v>2.8781000000000001E-2</v>
      </c>
      <c r="Q17" s="137">
        <f t="shared" si="5"/>
        <v>0</v>
      </c>
      <c r="R17" s="172"/>
      <c r="S17" s="150">
        <f t="shared" si="6"/>
        <v>0</v>
      </c>
      <c r="T17" s="194">
        <v>38272</v>
      </c>
      <c r="U17" s="205">
        <v>10</v>
      </c>
      <c r="V17" s="196">
        <v>100000</v>
      </c>
      <c r="W17" s="207">
        <v>0</v>
      </c>
      <c r="X17" s="198">
        <f t="shared" si="7"/>
        <v>1830</v>
      </c>
      <c r="Y17" s="198">
        <f t="shared" si="8"/>
        <v>1830</v>
      </c>
      <c r="Z17" s="198">
        <f t="shared" si="9"/>
        <v>0</v>
      </c>
      <c r="AA17" s="198">
        <f t="shared" si="10"/>
        <v>0</v>
      </c>
      <c r="AB17" s="199" cm="1">
        <f t="array" ref="AB17">+ROUND(IF(AA17&lt;1,interpoler($A$5:$A$24,$B$5:$B$24,(T17-$B$1)),interpoler($C$5:$C$24,$D$5:$D$24,AA17))+$Y$2,6)</f>
        <v>3.0780999999999999E-2</v>
      </c>
      <c r="AC17" s="198">
        <f t="shared" si="11"/>
        <v>0</v>
      </c>
      <c r="AE17" s="150">
        <f t="shared" si="12"/>
        <v>0</v>
      </c>
      <c r="AF17" s="117">
        <v>39519</v>
      </c>
      <c r="AG17" s="120">
        <v>10</v>
      </c>
      <c r="AH17" s="186">
        <f t="shared" ref="AH17:AH22" si="125">+AH16-AI16</f>
        <v>21486.89</v>
      </c>
      <c r="AI17" s="186">
        <v>4227.2299999999996</v>
      </c>
      <c r="AJ17" s="198">
        <f t="shared" si="13"/>
        <v>274.5</v>
      </c>
      <c r="AK17" s="198">
        <f t="shared" si="14"/>
        <v>4501.7299999999996</v>
      </c>
      <c r="AL17" s="198">
        <f t="shared" si="15"/>
        <v>0</v>
      </c>
      <c r="AM17" s="198">
        <f t="shared" si="16"/>
        <v>0</v>
      </c>
      <c r="AN17" s="199" cm="1">
        <f t="array" ref="AN17">+ROUND(IF(AM17&lt;1,interpoler($A$5:$A$24,$B$5:$B$24,(AF17-$B$1)),interpoler($C$5:$C$24,$D$5:$D$24,AM17))+$AK$2,6)</f>
        <v>2.7281E-2</v>
      </c>
      <c r="AO17" s="198">
        <f t="shared" si="17"/>
        <v>0</v>
      </c>
      <c r="AP17" s="172">
        <f t="shared" si="18"/>
        <v>4227.2299999999996</v>
      </c>
      <c r="AQ17" s="150">
        <f t="shared" si="19"/>
        <v>0</v>
      </c>
      <c r="AR17" s="194">
        <v>39519</v>
      </c>
      <c r="AS17" s="211">
        <v>10</v>
      </c>
      <c r="AT17" s="196">
        <v>100000</v>
      </c>
      <c r="AU17" s="196">
        <v>0</v>
      </c>
      <c r="AV17" s="198">
        <f t="shared" si="20"/>
        <v>1597.5</v>
      </c>
      <c r="AW17" s="198">
        <f t="shared" si="21"/>
        <v>1597.5</v>
      </c>
      <c r="AX17" s="198">
        <f t="shared" si="22"/>
        <v>0</v>
      </c>
      <c r="AY17" s="198">
        <f t="shared" si="23"/>
        <v>0</v>
      </c>
      <c r="AZ17" s="199" cm="1">
        <f t="array" ref="AZ17">+ROUND(IF(AY17&lt;1,interpoler($A$5:$A$24,$B$5:$B$24,(AR17-$B$1)),interpoler($C$5:$C$24,$D$5:$D$24,AY17))+$AW$2,6)</f>
        <v>2.9780999999999998E-2</v>
      </c>
      <c r="BA17" s="198">
        <f t="shared" si="24"/>
        <v>0</v>
      </c>
      <c r="BC17" s="599">
        <f t="shared" si="25"/>
        <v>0</v>
      </c>
      <c r="BD17" s="669">
        <v>40708</v>
      </c>
      <c r="BE17" s="526">
        <v>10</v>
      </c>
      <c r="BF17" s="841">
        <f>BF16-BG16</f>
        <v>78491.040000000008</v>
      </c>
      <c r="BG17" s="835">
        <v>2590.71</v>
      </c>
      <c r="BH17" s="529">
        <f t="shared" si="90"/>
        <v>947.78</v>
      </c>
      <c r="BI17" s="529">
        <f t="shared" si="26"/>
        <v>3538.49</v>
      </c>
      <c r="BJ17" s="529">
        <f t="shared" si="27"/>
        <v>0</v>
      </c>
      <c r="BK17" s="529">
        <f t="shared" si="28"/>
        <v>0</v>
      </c>
      <c r="BL17" s="530" cm="1">
        <f t="array" ref="BL17">+ROUND(IF(BK17&lt;1,interpoler($A$5:$A$24,$B$5:$B$24,(BD17-$B$1)),interpoler($C$5:$C$24,$D$5:$D$24,BK17))+$BI$2,6)</f>
        <v>3.3280999999999998E-2</v>
      </c>
      <c r="BM17" s="529">
        <f t="shared" si="29"/>
        <v>0</v>
      </c>
      <c r="BN17" s="280"/>
      <c r="BP17" s="150">
        <f t="shared" si="30"/>
        <v>9</v>
      </c>
      <c r="BQ17" s="194" t="s">
        <v>975</v>
      </c>
      <c r="BR17" s="211">
        <v>10</v>
      </c>
      <c r="BS17" s="304">
        <f t="shared" si="91"/>
        <v>70967.74193548382</v>
      </c>
      <c r="BT17" s="196">
        <v>3225.8064516129034</v>
      </c>
      <c r="BU17" s="198">
        <f t="shared" si="92"/>
        <v>801.62</v>
      </c>
      <c r="BV17" s="198">
        <f t="shared" si="31"/>
        <v>4027.43</v>
      </c>
      <c r="BW17" s="198">
        <f t="shared" si="32"/>
        <v>4027.43</v>
      </c>
      <c r="BX17" s="198">
        <f t="shared" si="33"/>
        <v>2.8296986518636005</v>
      </c>
      <c r="BY17" s="199" cm="1">
        <f t="array" ref="BY17">+ROUND(IF(BX17&lt;1,interpoler($A$5:$A$24,$B$5:$B$24,(BQ17-$B$1)),interpoler($C$5:$C$24,$D$5:$D$24,BX17))+$BV$2,6)</f>
        <v>3.1992E-2</v>
      </c>
      <c r="BZ17" s="198">
        <f t="shared" si="34"/>
        <v>3684.07197514361</v>
      </c>
      <c r="CB17" s="520">
        <f t="shared" si="35"/>
        <v>0</v>
      </c>
      <c r="CC17" s="868">
        <v>44006</v>
      </c>
      <c r="CD17" s="857">
        <v>10</v>
      </c>
      <c r="CE17" s="859">
        <v>100000</v>
      </c>
      <c r="CF17" s="1035">
        <v>0</v>
      </c>
      <c r="CG17" s="847">
        <v>1007.5</v>
      </c>
      <c r="CH17" s="847">
        <f t="shared" si="36"/>
        <v>1007.5</v>
      </c>
      <c r="CI17" s="847">
        <f t="shared" si="37"/>
        <v>0</v>
      </c>
      <c r="CJ17" s="847">
        <f t="shared" si="121"/>
        <v>-5.7092391300000003</v>
      </c>
      <c r="CK17" s="848" cm="1">
        <f t="array" ref="CK17">ROUND(ROUND(IF(CJ17&lt;1,interpoler($A$5:$A$24,$B$5:$B$24,(CC17-$B$1)),interpoler($C$5:$C$24,$D$5:$D$24,CJ17))+$CH$2,5),5)</f>
        <v>2.878E-2</v>
      </c>
      <c r="CL17" s="847">
        <f t="shared" si="115"/>
        <v>0</v>
      </c>
      <c r="CM17" s="280"/>
      <c r="CN17" s="150">
        <f t="shared" si="38"/>
        <v>0</v>
      </c>
      <c r="CO17" s="868">
        <v>44098</v>
      </c>
      <c r="CP17" s="857">
        <v>10</v>
      </c>
      <c r="CQ17" s="859">
        <v>60154.580000000016</v>
      </c>
      <c r="CR17" s="859">
        <v>2538.7399999999998</v>
      </c>
      <c r="CS17" s="847">
        <v>484.24</v>
      </c>
      <c r="CT17" s="847">
        <f t="shared" si="39"/>
        <v>3022.98</v>
      </c>
      <c r="CU17" s="847">
        <f t="shared" si="40"/>
        <v>0</v>
      </c>
      <c r="CV17" s="866">
        <f>CV16+0.25</f>
        <v>-5.4592391304347823</v>
      </c>
      <c r="CW17" s="848" cm="1">
        <f t="array" ref="CW17">+ROUND(IF(CV17&lt;1,interpoler($A$5:$A$24,$B$5:$B$24,(CO17-$B$1)),interpoler($C$5:$C$24,$D$5:$D$24,CV17))+$CT$2,5)</f>
        <v>2.7279999999999999E-2</v>
      </c>
      <c r="CX17" s="847">
        <f t="shared" si="116"/>
        <v>0</v>
      </c>
      <c r="CY17" s="448"/>
      <c r="DH17"/>
      <c r="DI17"/>
      <c r="DJ17"/>
      <c r="DK17"/>
      <c r="DL17"/>
      <c r="DQ17" s="211">
        <f t="shared" si="42"/>
        <v>0</v>
      </c>
      <c r="DR17" s="524">
        <v>41836</v>
      </c>
      <c r="DS17" s="211">
        <v>10</v>
      </c>
      <c r="DT17" s="304">
        <f t="shared" si="94"/>
        <v>73735.28</v>
      </c>
      <c r="DU17" s="402">
        <v>2663.56</v>
      </c>
      <c r="DV17" s="198">
        <f t="shared" si="95"/>
        <v>849.94</v>
      </c>
      <c r="DW17" s="198">
        <f t="shared" si="43"/>
        <v>3513.5</v>
      </c>
      <c r="DX17" s="198">
        <f t="shared" si="44"/>
        <v>0</v>
      </c>
      <c r="DY17" s="198">
        <f t="shared" si="45"/>
        <v>0</v>
      </c>
      <c r="DZ17" s="199" cm="1">
        <f t="array" ref="DZ17">+ROUND(IF(DY17&lt;1,interpoler($A$5:$A$24,$B$5:$B$24,(DR17-$B$1)),interpoler($C$5:$C$24,$D$5:$D$24,DY17))+$DW$2,5)</f>
        <v>2.5680000000000001E-2</v>
      </c>
      <c r="EA17" s="198">
        <f t="shared" si="46"/>
        <v>0</v>
      </c>
      <c r="EC17" s="211">
        <f t="shared" si="47"/>
        <v>0</v>
      </c>
      <c r="ED17" s="525">
        <v>44371</v>
      </c>
      <c r="EE17" s="729">
        <v>10</v>
      </c>
      <c r="EF17" s="729">
        <v>12211.060000000001</v>
      </c>
      <c r="EG17" s="655">
        <v>3639.41</v>
      </c>
      <c r="EH17" s="529">
        <f>ROUNDDOWN(EF16*$EI$1/4,2)</f>
        <v>118.97</v>
      </c>
      <c r="EI17" s="529">
        <f t="shared" si="48"/>
        <v>3758.38</v>
      </c>
      <c r="EJ17" s="655">
        <f t="shared" si="49"/>
        <v>0</v>
      </c>
      <c r="EK17" s="937">
        <f t="shared" si="50"/>
        <v>0</v>
      </c>
      <c r="EL17" s="934" cm="1">
        <f t="array" ref="EL17">+ROUND(IF(EK17&lt;1,interpoler($A$5:$A$24,$B$5:$B$24,(ED17-$B$1)),interpoler($C$5:$C$24,$D$5:$D$24,EK17))+$EI$2,5)</f>
        <v>2.7279999999999999E-2</v>
      </c>
      <c r="EM17" s="526">
        <f t="shared" si="51"/>
        <v>0</v>
      </c>
      <c r="EN17" s="692">
        <f t="shared" si="96"/>
        <v>20320.149999999998</v>
      </c>
      <c r="EO17" s="280"/>
      <c r="EQ17" s="211">
        <f t="shared" si="52"/>
        <v>0</v>
      </c>
      <c r="ER17" s="524">
        <v>44371</v>
      </c>
      <c r="ES17" s="211">
        <v>10</v>
      </c>
      <c r="ET17" s="304">
        <f t="shared" si="97"/>
        <v>-82909.860000000015</v>
      </c>
      <c r="EU17" s="296">
        <v>4355.18</v>
      </c>
      <c r="EV17" s="198">
        <f t="shared" si="98"/>
        <v>-583.26</v>
      </c>
      <c r="EW17" s="198">
        <f t="shared" si="53"/>
        <v>3771.92</v>
      </c>
      <c r="EX17" s="198">
        <f t="shared" si="54"/>
        <v>0</v>
      </c>
      <c r="EY17" s="198">
        <f t="shared" si="99"/>
        <v>0</v>
      </c>
      <c r="EZ17" s="530" cm="1">
        <f t="array" ref="EZ17">+ROUND(IF(EY17&lt;1,interpoler($A$5:$A$24,$B$5:$B$24,(ER17-$B$1)),interpoler($C$5:$C$24,$D$5:$D$24,EY17))+$EV$2,5)</f>
        <v>2.7279999999999999E-2</v>
      </c>
      <c r="FA17" s="198">
        <f t="shared" si="55"/>
        <v>0</v>
      </c>
      <c r="FD17" s="526">
        <f t="shared" si="56"/>
        <v>0</v>
      </c>
      <c r="FE17" s="802">
        <v>44736</v>
      </c>
      <c r="FF17" s="803">
        <v>10</v>
      </c>
      <c r="FG17" s="811">
        <v>72724.28</v>
      </c>
      <c r="FH17" s="812">
        <v>3180.99</v>
      </c>
      <c r="FI17" s="812">
        <v>550.88</v>
      </c>
      <c r="FJ17" s="807">
        <f t="shared" si="57"/>
        <v>3731.87</v>
      </c>
      <c r="FK17" s="807">
        <f t="shared" si="58"/>
        <v>0</v>
      </c>
      <c r="FL17" s="808">
        <f t="shared" si="112"/>
        <v>-3.7255434799999998</v>
      </c>
      <c r="FM17" s="809" cm="1">
        <f t="array" ref="FM17">+ROUND(IF(FL17&lt;1,interpoler($A$5:$A$24,$B$5:$B$24,(FE17-$B$1)),interpoler($C$5:$C$24,$D$5:$D$24,FL17))+$FI$2,5)</f>
        <v>2.7779999999999999E-2</v>
      </c>
      <c r="FN17" s="810">
        <f t="shared" si="100"/>
        <v>0</v>
      </c>
      <c r="FO17" s="813"/>
      <c r="FP17" s="221"/>
      <c r="FQ17" s="526">
        <f t="shared" si="59"/>
        <v>0</v>
      </c>
      <c r="FR17" s="815">
        <v>44736</v>
      </c>
      <c r="FS17" s="816">
        <v>10</v>
      </c>
      <c r="FT17" s="900">
        <v>100000</v>
      </c>
      <c r="FU17" s="821">
        <v>0</v>
      </c>
      <c r="FV17" s="818">
        <v>877.5</v>
      </c>
      <c r="FW17" s="818">
        <f t="shared" si="60"/>
        <v>877.5</v>
      </c>
      <c r="FX17" s="818">
        <f t="shared" si="61"/>
        <v>0</v>
      </c>
      <c r="FY17" s="819">
        <f t="shared" si="113"/>
        <v>-3.7255434799999998</v>
      </c>
      <c r="FZ17" s="820" cm="1">
        <f t="array" ref="FZ17">+ROUND(IF(FY17&lt;1,interpoler($A$5:$A$24,$B$5:$B$24,(FR17-$B$1)),interpoler($C$5:$C$24,$D$5:$D$24,FY17))+$FV$2,5)</f>
        <v>2.928E-2</v>
      </c>
      <c r="GA17" s="818">
        <f t="shared" si="62"/>
        <v>0</v>
      </c>
      <c r="GB17" s="484"/>
      <c r="GC17" s="522"/>
      <c r="GD17" s="150">
        <f t="shared" si="63"/>
        <v>0</v>
      </c>
      <c r="GE17" s="856">
        <v>45284</v>
      </c>
      <c r="GF17" s="857">
        <v>10</v>
      </c>
      <c r="GG17" s="858">
        <v>78047.8</v>
      </c>
      <c r="GH17" s="859">
        <v>2521.5</v>
      </c>
      <c r="GI17" s="846">
        <v>513.16</v>
      </c>
      <c r="GJ17" s="847">
        <f t="shared" si="64"/>
        <v>3034.66</v>
      </c>
      <c r="GK17" s="847">
        <f t="shared" si="65"/>
        <v>0</v>
      </c>
      <c r="GL17" s="860">
        <f t="shared" ref="GL17:GL54" si="126">ROUND(IF(GK17=0,0,IF(GD17=1,((GD17-1)+(GE17-$B$1)/(GE17-GE16))*0.25,GL16+0.25)),10)</f>
        <v>0</v>
      </c>
      <c r="GM17" s="848" cm="1">
        <f t="array" ref="GM17">ROUND(interpoler(mat_zc,Taux_ZC,GL17)+$GJ$2,5)</f>
        <v>2.828E-2</v>
      </c>
      <c r="GN17" s="861">
        <f t="shared" si="102"/>
        <v>0</v>
      </c>
      <c r="GO17" s="198"/>
      <c r="GQ17" s="150">
        <f t="shared" si="66"/>
        <v>0</v>
      </c>
      <c r="GR17" s="856">
        <v>45284</v>
      </c>
      <c r="GS17" s="1030">
        <v>10</v>
      </c>
      <c r="GT17" s="967">
        <v>92631.66</v>
      </c>
      <c r="GU17" s="968">
        <v>846.34</v>
      </c>
      <c r="GV17" s="969">
        <v>717.89</v>
      </c>
      <c r="GW17" s="971">
        <f t="shared" si="67"/>
        <v>1564.23</v>
      </c>
      <c r="GX17" s="973">
        <f t="shared" si="68"/>
        <v>0</v>
      </c>
      <c r="GY17" s="971">
        <f t="shared" ref="GY17:GY48" si="127">ROUND(IF(GX17=0,0,IF(GQ17=1,((GQ17-1)+(GR17-$B$1)/(GR17-GR16))*0.25,GY16+0.25)),10)</f>
        <v>0</v>
      </c>
      <c r="GZ17" s="976" cm="1">
        <f t="array" ref="GZ17">+ROUND(IF(GY17&lt;1,interpoler($A$5:$A$24,$B$5:$B$24,(GR17-$B$1)),interpoler(CIH!$K$72:$K$103,CIH!$L$72:$L$103,GY17))+$GW$2,5)</f>
        <v>2.9780000000000001E-2</v>
      </c>
      <c r="HA17" s="847">
        <f>ROUND(GX17/(1+GZ17)^GY17,4)</f>
        <v>0</v>
      </c>
      <c r="HD17" s="1382">
        <f t="shared" si="70"/>
        <v>0</v>
      </c>
      <c r="HE17" s="309">
        <v>42653</v>
      </c>
      <c r="HF17" s="211">
        <v>10</v>
      </c>
      <c r="HG17" s="304">
        <f t="shared" si="103"/>
        <v>56041.689999999988</v>
      </c>
      <c r="HH17" s="196">
        <v>4166.66</v>
      </c>
      <c r="HI17" s="198">
        <f t="shared" si="104"/>
        <v>619.26</v>
      </c>
      <c r="HJ17" s="198">
        <f t="shared" si="71"/>
        <v>4785.92</v>
      </c>
      <c r="HK17" s="198">
        <f t="shared" si="72"/>
        <v>0</v>
      </c>
      <c r="HL17" s="198">
        <f t="shared" si="73"/>
        <v>0</v>
      </c>
      <c r="HM17" s="199" cm="1">
        <f t="array" ref="HM17">+ROUND(IF(HL17&lt;1,interpoler($A$5:$A$24,$B$5:$B$24,(HE17-$B$1)),interpoler($C$5:$C$24,$D$5:$D$24,HL17))+$HJ$2,5)</f>
        <v>2.7279999999999999E-2</v>
      </c>
      <c r="HN17" s="198">
        <f t="shared" si="74"/>
        <v>0</v>
      </c>
      <c r="HR17" s="150">
        <v>4</v>
      </c>
      <c r="HS17" s="714">
        <v>45016</v>
      </c>
      <c r="HT17" s="205">
        <v>10</v>
      </c>
      <c r="HU17" s="718">
        <f t="shared" si="105"/>
        <v>456.03207939999999</v>
      </c>
      <c r="HV17" s="718">
        <v>100.1675628</v>
      </c>
      <c r="HW17" s="786">
        <v>22.753617999999999</v>
      </c>
      <c r="HX17" s="198">
        <f t="shared" si="75"/>
        <v>122.9211808</v>
      </c>
      <c r="HY17" s="198">
        <f t="shared" si="76"/>
        <v>0</v>
      </c>
      <c r="HZ17" s="198">
        <f t="shared" si="124"/>
        <v>-2.9890410958904106</v>
      </c>
      <c r="IA17" s="199" cm="1">
        <f t="array" ref="IA17">+ROUND(IF(HZ17&lt;1,interpoler($A$5:$A$24,$B$5:$B$24,(HS17-$B$1)),interpoler($C$5:$C$24,$D$5:$D$24,HZ17))+$HX$2,5)</f>
        <v>2.3279999999999999E-2</v>
      </c>
      <c r="IB17" s="212">
        <f t="shared" si="122"/>
        <v>0</v>
      </c>
      <c r="IC17" s="221"/>
      <c r="ID17" s="150">
        <v>10</v>
      </c>
      <c r="IE17" s="714">
        <v>45747</v>
      </c>
      <c r="IF17" s="205">
        <v>10</v>
      </c>
      <c r="IG17" s="205">
        <v>72222.22</v>
      </c>
      <c r="IH17" s="766">
        <v>2777.78</v>
      </c>
      <c r="II17" s="765">
        <v>1402.4</v>
      </c>
      <c r="IJ17" s="198">
        <f t="shared" si="79"/>
        <v>4180.18</v>
      </c>
      <c r="IK17" s="212">
        <f t="shared" si="80"/>
        <v>0</v>
      </c>
      <c r="IL17" s="761">
        <f t="shared" si="107"/>
        <v>-0.98904109590000022</v>
      </c>
      <c r="IM17" s="199" cm="1">
        <f t="array" ref="IM17">+ROUND(IF(IL17&lt;1,interpoler($A$5:$A$24,$B$5:$B$24,(IE17-$B$1)),interpoler($C$5:$C$24,$D$5:$D$24,IL17))+$IJ$2,5)</f>
        <v>3.628E-2</v>
      </c>
      <c r="IN17" s="198">
        <f t="shared" si="81"/>
        <v>0</v>
      </c>
      <c r="IP17" s="1382">
        <v>10</v>
      </c>
      <c r="IQ17" s="714">
        <v>46810</v>
      </c>
      <c r="IR17" s="205">
        <v>10</v>
      </c>
      <c r="IS17" s="198">
        <v>27159</v>
      </c>
      <c r="IT17" s="198">
        <v>5046</v>
      </c>
      <c r="IU17" s="198">
        <v>234.29</v>
      </c>
      <c r="IV17" s="198">
        <f t="shared" si="82"/>
        <v>5280.29</v>
      </c>
      <c r="IW17" s="212">
        <f t="shared" si="83"/>
        <v>5280.29</v>
      </c>
      <c r="IX17" s="447">
        <f t="shared" si="108"/>
        <v>1.9266304347826086</v>
      </c>
      <c r="IY17" s="199" cm="1">
        <f t="array" ref="IY17">+ROUND(IF(IX17&lt;1,interpoler($A$5:$A$24,$B$5:$B$24,(IQ17-$B$1)),interpoler($C$5:$C$24,$D$5:$D$24,IX17))+$IV$2,5)</f>
        <v>3.2390000000000002E-2</v>
      </c>
      <c r="IZ17" s="198">
        <f t="shared" si="84"/>
        <v>4965.7621005878545</v>
      </c>
      <c r="JD17" s="150"/>
      <c r="JE17" s="714"/>
      <c r="JF17" s="205"/>
      <c r="JG17" s="205"/>
      <c r="JH17" s="766"/>
      <c r="JI17" s="765"/>
      <c r="JJ17" s="198"/>
      <c r="JK17" s="212"/>
      <c r="JL17" s="761"/>
      <c r="JM17" s="199"/>
      <c r="JN17" s="198"/>
      <c r="JP17" s="150"/>
      <c r="JQ17" s="200" t="s">
        <v>3045</v>
      </c>
      <c r="JR17" s="205">
        <v>10</v>
      </c>
      <c r="JS17" s="205">
        <v>85000</v>
      </c>
      <c r="JT17" s="205">
        <v>2500</v>
      </c>
      <c r="JU17" s="765">
        <v>1192.18</v>
      </c>
      <c r="JV17" s="198">
        <f t="shared" si="106"/>
        <v>3692.1800000000003</v>
      </c>
      <c r="JW17" s="212">
        <f t="shared" si="111"/>
        <v>3692.1800000000003</v>
      </c>
      <c r="JX17" s="1335">
        <f t="shared" si="117"/>
        <v>0.79891304347826086</v>
      </c>
      <c r="JY17" s="199" cm="1">
        <f t="array" ref="JY17">ROUND(interpoler(mat_zc,Taux_ZC,JX17)+$JV$2,5)</f>
        <v>4.4769999999999997E-2</v>
      </c>
      <c r="JZ17" s="198">
        <f t="shared" si="118"/>
        <v>3565.2253000000001</v>
      </c>
      <c r="KB17" s="205" t="s">
        <v>3081</v>
      </c>
      <c r="KC17" s="205">
        <v>10</v>
      </c>
      <c r="KD17" s="205">
        <v>32229.25</v>
      </c>
      <c r="KE17" s="205">
        <v>6445.85</v>
      </c>
      <c r="KF17" s="765">
        <v>1933.75</v>
      </c>
      <c r="KG17" s="198">
        <f t="shared" si="109"/>
        <v>8379.6</v>
      </c>
      <c r="KH17" s="212">
        <f t="shared" si="85"/>
        <v>8379.6</v>
      </c>
      <c r="KI17" s="770">
        <f t="shared" si="123"/>
        <v>3.4794520547945207</v>
      </c>
      <c r="KJ17" s="199" cm="1">
        <f t="array" ref="KJ17">ROUND(interpoler(mat_zc,Taux_ZC,KI17)+$KG$2,5)</f>
        <v>4.6109999999999998E-2</v>
      </c>
      <c r="KK17" s="198">
        <f t="shared" si="119"/>
        <v>7163.1629000000003</v>
      </c>
      <c r="KN17" s="1602">
        <v>49350</v>
      </c>
      <c r="KO17" s="205">
        <v>10</v>
      </c>
      <c r="KP17" s="1605">
        <v>100000</v>
      </c>
      <c r="KQ17" s="1442">
        <v>0</v>
      </c>
      <c r="KR17" s="1442">
        <v>4470</v>
      </c>
      <c r="KS17" s="198">
        <f t="shared" si="110"/>
        <v>4470</v>
      </c>
      <c r="KT17" s="212">
        <f t="shared" si="87"/>
        <v>4470</v>
      </c>
      <c r="KU17" s="1607">
        <f t="shared" si="114"/>
        <v>8.8794520547945197</v>
      </c>
      <c r="KV17" s="199" cm="1">
        <f t="array" ref="KV17">ROUND(interpoler(mat_zc,Taux_ZC,KU17)+$KS$2,5)</f>
        <v>3.891E-2</v>
      </c>
      <c r="KW17" s="1612">
        <f t="shared" si="120"/>
        <v>3184.9647</v>
      </c>
    </row>
    <row r="18" spans="1:309" ht="16.5" thickBot="1" x14ac:dyDescent="0.3">
      <c r="A18" s="95">
        <f>+CIH!A21</f>
        <v>326</v>
      </c>
      <c r="B18" s="315">
        <f>+CIH!B21</f>
        <v>2.4974686420831338E-2</v>
      </c>
      <c r="C18" s="95">
        <f>+CIH!K18</f>
        <v>14</v>
      </c>
      <c r="D18" s="145">
        <f>+CIH!L18</f>
        <v>3.5945585159940174E-2</v>
      </c>
      <c r="F18" s="150"/>
      <c r="G18" s="150">
        <f t="shared" si="0"/>
        <v>0</v>
      </c>
      <c r="H18" s="117">
        <v>38364</v>
      </c>
      <c r="I18" s="120">
        <v>11</v>
      </c>
      <c r="J18" s="186">
        <v>54389.22</v>
      </c>
      <c r="K18" s="186">
        <v>4090.59</v>
      </c>
      <c r="L18" s="137">
        <f t="shared" si="1"/>
        <v>845.75</v>
      </c>
      <c r="M18" s="137">
        <f t="shared" si="2"/>
        <v>4936.34</v>
      </c>
      <c r="N18" s="137">
        <f t="shared" si="3"/>
        <v>0</v>
      </c>
      <c r="O18" s="137">
        <f t="shared" si="4"/>
        <v>0</v>
      </c>
      <c r="P18" s="146" cm="1">
        <f t="array" ref="P18">+ROUND(IF(O18&lt;1,interpoler($A$5:$A$24,$B$5:$B$24,(H18-$B$1)),interpoler($C$5:$C$24,$D$5:$D$24,O18))+$M$2,6)</f>
        <v>2.8781000000000001E-2</v>
      </c>
      <c r="Q18" s="137">
        <f t="shared" si="5"/>
        <v>0</v>
      </c>
      <c r="R18" s="172"/>
      <c r="S18" s="150">
        <f t="shared" si="6"/>
        <v>0</v>
      </c>
      <c r="T18" s="194">
        <v>38364</v>
      </c>
      <c r="U18" s="205">
        <v>11</v>
      </c>
      <c r="V18" s="196">
        <v>100000</v>
      </c>
      <c r="W18" s="207">
        <v>0</v>
      </c>
      <c r="X18" s="198">
        <f t="shared" si="7"/>
        <v>1830</v>
      </c>
      <c r="Y18" s="198">
        <f t="shared" si="8"/>
        <v>1830</v>
      </c>
      <c r="Z18" s="198">
        <f t="shared" si="9"/>
        <v>0</v>
      </c>
      <c r="AA18" s="198">
        <f t="shared" si="10"/>
        <v>0</v>
      </c>
      <c r="AB18" s="199" cm="1">
        <f t="array" ref="AB18">+ROUND(IF(AA18&lt;1,interpoler($A$5:$A$24,$B$5:$B$24,(T18-$B$1)),interpoler($C$5:$C$24,$D$5:$D$24,AA18))+$Y$2,6)</f>
        <v>3.0780999999999999E-2</v>
      </c>
      <c r="AC18" s="198">
        <f t="shared" si="11"/>
        <v>0</v>
      </c>
      <c r="AE18" s="150">
        <f t="shared" si="12"/>
        <v>0</v>
      </c>
      <c r="AF18" s="117">
        <v>39611</v>
      </c>
      <c r="AG18" s="120">
        <v>11</v>
      </c>
      <c r="AH18" s="186">
        <f t="shared" si="125"/>
        <v>17259.66</v>
      </c>
      <c r="AI18" s="186">
        <v>4321.7299999999996</v>
      </c>
      <c r="AJ18" s="198">
        <f t="shared" si="13"/>
        <v>220.49</v>
      </c>
      <c r="AK18" s="198">
        <f t="shared" si="14"/>
        <v>4542.22</v>
      </c>
      <c r="AL18" s="198">
        <f t="shared" si="15"/>
        <v>0</v>
      </c>
      <c r="AM18" s="198">
        <f t="shared" si="16"/>
        <v>0</v>
      </c>
      <c r="AN18" s="199" cm="1">
        <f t="array" ref="AN18">+ROUND(IF(AM18&lt;1,interpoler($A$5:$A$24,$B$5:$B$24,(AF18-$B$1)),interpoler($C$5:$C$24,$D$5:$D$24,AM18))+$AK$2,6)</f>
        <v>2.7281E-2</v>
      </c>
      <c r="AO18" s="198">
        <f t="shared" si="17"/>
        <v>0</v>
      </c>
      <c r="AP18" s="172">
        <f t="shared" si="18"/>
        <v>4321.7299999999996</v>
      </c>
      <c r="AQ18" s="150">
        <f t="shared" si="19"/>
        <v>0</v>
      </c>
      <c r="AR18" s="194">
        <v>39611</v>
      </c>
      <c r="AS18" s="211">
        <v>11</v>
      </c>
      <c r="AT18" s="196">
        <v>100000</v>
      </c>
      <c r="AU18" s="196">
        <v>0</v>
      </c>
      <c r="AV18" s="198">
        <f t="shared" si="20"/>
        <v>1597.5</v>
      </c>
      <c r="AW18" s="198">
        <f t="shared" si="21"/>
        <v>1597.5</v>
      </c>
      <c r="AX18" s="198">
        <f t="shared" si="22"/>
        <v>0</v>
      </c>
      <c r="AY18" s="198">
        <f t="shared" si="23"/>
        <v>0</v>
      </c>
      <c r="AZ18" s="199" cm="1">
        <f t="array" ref="AZ18">+ROUND(IF(AY18&lt;1,interpoler($A$5:$A$24,$B$5:$B$24,(AR18-$B$1)),interpoler($C$5:$C$24,$D$5:$D$24,AY18))+$AW$2,6)</f>
        <v>2.9780999999999998E-2</v>
      </c>
      <c r="BA18" s="198">
        <f t="shared" si="24"/>
        <v>0</v>
      </c>
      <c r="BC18" s="599">
        <f t="shared" si="25"/>
        <v>0</v>
      </c>
      <c r="BD18" s="669">
        <v>40800</v>
      </c>
      <c r="BE18" s="526">
        <v>11</v>
      </c>
      <c r="BF18" s="841">
        <v>75900.33</v>
      </c>
      <c r="BG18" s="835">
        <v>2415.7399999999998</v>
      </c>
      <c r="BH18" s="529">
        <f t="shared" si="90"/>
        <v>916.5</v>
      </c>
      <c r="BI18" s="529">
        <f t="shared" si="26"/>
        <v>3332.24</v>
      </c>
      <c r="BJ18" s="529">
        <f t="shared" si="27"/>
        <v>0</v>
      </c>
      <c r="BK18" s="529">
        <f t="shared" si="28"/>
        <v>0</v>
      </c>
      <c r="BL18" s="530" cm="1">
        <f t="array" ref="BL18">+ROUND(IF(BK18&lt;1,interpoler($A$5:$A$24,$B$5:$B$24,(BD18-$B$1)),interpoler($C$5:$C$24,$D$5:$D$24,BK18))+$BI$2,6)</f>
        <v>3.3280999999999998E-2</v>
      </c>
      <c r="BM18" s="529">
        <f t="shared" si="29"/>
        <v>0</v>
      </c>
      <c r="BN18" s="280"/>
      <c r="BP18" s="150">
        <f t="shared" si="30"/>
        <v>10</v>
      </c>
      <c r="BQ18" s="194" t="s">
        <v>976</v>
      </c>
      <c r="BR18" s="211">
        <v>11</v>
      </c>
      <c r="BS18" s="304">
        <f t="shared" si="91"/>
        <v>67741.935483870911</v>
      </c>
      <c r="BT18" s="196">
        <v>3225.8064516129034</v>
      </c>
      <c r="BU18" s="198">
        <f t="shared" si="92"/>
        <v>765.18</v>
      </c>
      <c r="BV18" s="198">
        <f t="shared" si="31"/>
        <v>3990.99</v>
      </c>
      <c r="BW18" s="198">
        <f t="shared" si="32"/>
        <v>3990.99</v>
      </c>
      <c r="BX18" s="198">
        <f t="shared" si="33"/>
        <v>3.0796986518636005</v>
      </c>
      <c r="BY18" s="199" cm="1">
        <f t="array" ref="BY18">+ROUND(IF(BX18&lt;1,interpoler($A$5:$A$24,$B$5:$B$24,(BQ18-$B$1)),interpoler($C$5:$C$24,$D$5:$D$24,BX18))+$BV$2,6)</f>
        <v>3.2383000000000002E-2</v>
      </c>
      <c r="BZ18" s="198">
        <f t="shared" si="34"/>
        <v>3617.887094228407</v>
      </c>
      <c r="CB18" s="520">
        <f t="shared" si="35"/>
        <v>0</v>
      </c>
      <c r="CC18" s="868">
        <v>44098</v>
      </c>
      <c r="CD18" s="857">
        <v>11</v>
      </c>
      <c r="CE18" s="859">
        <v>100000</v>
      </c>
      <c r="CF18" s="1035">
        <v>0</v>
      </c>
      <c r="CG18" s="847">
        <v>1007.5</v>
      </c>
      <c r="CH18" s="847">
        <f t="shared" si="36"/>
        <v>1007.5</v>
      </c>
      <c r="CI18" s="847">
        <f t="shared" si="37"/>
        <v>0</v>
      </c>
      <c r="CJ18" s="847">
        <f t="shared" si="121"/>
        <v>-5.4592391300000003</v>
      </c>
      <c r="CK18" s="848" cm="1">
        <f t="array" ref="CK18">ROUND(ROUND(IF(CJ18&lt;1,interpoler($A$5:$A$24,$B$5:$B$24,(CC18-$B$1)),interpoler($C$5:$C$24,$D$5:$D$24,CJ18))+$CH$2,5),5)</f>
        <v>2.878E-2</v>
      </c>
      <c r="CL18" s="847">
        <f t="shared" si="115"/>
        <v>0</v>
      </c>
      <c r="CM18" s="280"/>
      <c r="CN18" s="150">
        <f t="shared" si="38"/>
        <v>0</v>
      </c>
      <c r="CO18" s="868">
        <v>44189</v>
      </c>
      <c r="CP18" s="857">
        <v>11</v>
      </c>
      <c r="CQ18" s="859">
        <v>56139.020000000019</v>
      </c>
      <c r="CR18" s="859">
        <v>2534.2600000000002</v>
      </c>
      <c r="CS18" s="847">
        <v>451.91</v>
      </c>
      <c r="CT18" s="847">
        <f t="shared" si="39"/>
        <v>2986.17</v>
      </c>
      <c r="CU18" s="847">
        <f t="shared" si="40"/>
        <v>0</v>
      </c>
      <c r="CV18" s="866">
        <f>(((CO18-CO17)*0.25/91))*(CO18-$B$1)/(CO18-CO17)</f>
        <v>-5.2692307692307692</v>
      </c>
      <c r="CW18" s="848" cm="1">
        <f t="array" ref="CW18">+ROUND(IF(CV18&lt;1,interpoler($A$5:$A$24,$B$5:$B$24,(CO18-$B$1)),interpoler($C$5:$C$24,$D$5:$D$24,CV18))+$CT$2,5)</f>
        <v>2.7279999999999999E-2</v>
      </c>
      <c r="CX18" s="847">
        <f t="shared" si="116"/>
        <v>0</v>
      </c>
      <c r="CY18" s="448"/>
      <c r="DA18" s="221"/>
      <c r="DH18" s="8">
        <v>43754</v>
      </c>
      <c r="DI18"/>
      <c r="DJ18"/>
      <c r="DK18"/>
      <c r="DL18"/>
      <c r="DQ18" s="211">
        <f t="shared" si="42"/>
        <v>0</v>
      </c>
      <c r="DR18" s="524">
        <v>41928</v>
      </c>
      <c r="DS18" s="211">
        <v>11</v>
      </c>
      <c r="DT18" s="304">
        <f t="shared" si="94"/>
        <v>71063.48</v>
      </c>
      <c r="DU18" s="402">
        <v>2671.8</v>
      </c>
      <c r="DV18" s="198">
        <f t="shared" si="95"/>
        <v>820.3</v>
      </c>
      <c r="DW18" s="198">
        <f t="shared" si="43"/>
        <v>3492.1</v>
      </c>
      <c r="DX18" s="198">
        <f t="shared" si="44"/>
        <v>0</v>
      </c>
      <c r="DY18" s="198">
        <f t="shared" si="45"/>
        <v>0</v>
      </c>
      <c r="DZ18" s="199" cm="1">
        <f t="array" ref="DZ18">+ROUND(IF(DY18&lt;1,interpoler($A$5:$A$24,$B$5:$B$24,(DR18-$B$1)),interpoler($C$5:$C$24,$D$5:$D$24,DY18))+$DW$2,5)</f>
        <v>2.5680000000000001E-2</v>
      </c>
      <c r="EA18" s="198">
        <f t="shared" si="46"/>
        <v>0</v>
      </c>
      <c r="EC18" s="211">
        <f t="shared" si="47"/>
        <v>0</v>
      </c>
      <c r="ED18" s="525">
        <v>44463</v>
      </c>
      <c r="EE18" s="729">
        <v>11</v>
      </c>
      <c r="EF18" s="729">
        <f>EF17-EG18</f>
        <v>9165.2900000000009</v>
      </c>
      <c r="EG18" s="655">
        <v>3045.77</v>
      </c>
      <c r="EH18" s="529">
        <f>ROUNDDOWN(EF17*$EI$1/4,2)</f>
        <v>90.66</v>
      </c>
      <c r="EI18" s="529">
        <f t="shared" si="48"/>
        <v>3136.43</v>
      </c>
      <c r="EJ18" s="655">
        <f t="shared" si="49"/>
        <v>0</v>
      </c>
      <c r="EK18" s="937">
        <f t="shared" si="50"/>
        <v>0</v>
      </c>
      <c r="EL18" s="934" cm="1">
        <f t="array" ref="EL18">+ROUND(IF(EK18&lt;1,interpoler($A$5:$A$24,$B$5:$B$24,(ED18-$B$1)),interpoler($C$5:$C$24,$D$5:$D$24,EK18))+$EI$2,5)</f>
        <v>2.7279999999999999E-2</v>
      </c>
      <c r="EM18" s="526">
        <f t="shared" si="51"/>
        <v>0</v>
      </c>
      <c r="EN18" s="692">
        <f t="shared" si="96"/>
        <v>17274.379999999997</v>
      </c>
      <c r="EO18" s="280"/>
      <c r="EQ18" s="211">
        <f t="shared" si="52"/>
        <v>0</v>
      </c>
      <c r="ER18" s="524">
        <v>44463</v>
      </c>
      <c r="ES18" s="211">
        <v>11</v>
      </c>
      <c r="ET18" s="304">
        <f t="shared" si="97"/>
        <v>-86599.85000000002</v>
      </c>
      <c r="EU18" s="296">
        <v>3689.99</v>
      </c>
      <c r="EV18" s="198">
        <f t="shared" si="98"/>
        <v>-615.6</v>
      </c>
      <c r="EW18" s="198">
        <f t="shared" si="53"/>
        <v>3074.39</v>
      </c>
      <c r="EX18" s="198">
        <f t="shared" si="54"/>
        <v>0</v>
      </c>
      <c r="EY18" s="198">
        <f t="shared" si="99"/>
        <v>0</v>
      </c>
      <c r="EZ18" s="530" cm="1">
        <f t="array" ref="EZ18">+ROUND(IF(EY18&lt;1,interpoler($A$5:$A$24,$B$5:$B$24,(ER18-$B$1)),interpoler($C$5:$C$24,$D$5:$D$24,EY18))+$EV$2,5)</f>
        <v>2.7279999999999999E-2</v>
      </c>
      <c r="FA18" s="198">
        <f t="shared" si="55"/>
        <v>0</v>
      </c>
      <c r="FD18" s="526">
        <f t="shared" si="56"/>
        <v>0</v>
      </c>
      <c r="FE18" s="802">
        <v>44828</v>
      </c>
      <c r="FF18" s="803">
        <v>11</v>
      </c>
      <c r="FG18" s="811">
        <v>69543.289999999994</v>
      </c>
      <c r="FH18" s="812">
        <v>3014.94</v>
      </c>
      <c r="FI18" s="812">
        <v>526.79</v>
      </c>
      <c r="FJ18" s="807">
        <f t="shared" si="57"/>
        <v>3541.73</v>
      </c>
      <c r="FK18" s="807">
        <f t="shared" si="58"/>
        <v>0</v>
      </c>
      <c r="FL18" s="808">
        <f t="shared" si="112"/>
        <v>-3.4755434799999998</v>
      </c>
      <c r="FM18" s="809" cm="1">
        <f t="array" ref="FM18">+ROUND(IF(FL18&lt;1,interpoler($A$5:$A$24,$B$5:$B$24,(FE18-$B$1)),interpoler($C$5:$C$24,$D$5:$D$24,FL18))+$FI$2,5)</f>
        <v>2.7779999999999999E-2</v>
      </c>
      <c r="FN18" s="810">
        <f t="shared" si="100"/>
        <v>0</v>
      </c>
      <c r="FO18" s="814"/>
      <c r="FP18" s="221"/>
      <c r="FQ18" s="526">
        <f t="shared" si="59"/>
        <v>0</v>
      </c>
      <c r="FR18" s="815">
        <v>44828</v>
      </c>
      <c r="FS18" s="816">
        <v>11</v>
      </c>
      <c r="FT18" s="900">
        <v>100000</v>
      </c>
      <c r="FU18" s="821">
        <v>0</v>
      </c>
      <c r="FV18" s="818">
        <v>877.5</v>
      </c>
      <c r="FW18" s="818">
        <f t="shared" si="60"/>
        <v>877.5</v>
      </c>
      <c r="FX18" s="818">
        <f t="shared" si="61"/>
        <v>0</v>
      </c>
      <c r="FY18" s="819">
        <f t="shared" si="113"/>
        <v>-3.4755434799999998</v>
      </c>
      <c r="FZ18" s="820" cm="1">
        <f t="array" ref="FZ18">+ROUND(IF(FY18&lt;1,interpoler($A$5:$A$24,$B$5:$B$24,(FR18-$B$1)),interpoler($C$5:$C$24,$D$5:$D$24,FY18))+$FV$2,5)</f>
        <v>2.928E-2</v>
      </c>
      <c r="GA18" s="818">
        <f t="shared" si="62"/>
        <v>0</v>
      </c>
      <c r="GB18" s="484"/>
      <c r="GC18" s="522"/>
      <c r="GD18" s="150">
        <f t="shared" si="63"/>
        <v>0</v>
      </c>
      <c r="GE18" s="856">
        <v>45375</v>
      </c>
      <c r="GF18" s="857">
        <v>11</v>
      </c>
      <c r="GG18" s="858">
        <v>75526.3</v>
      </c>
      <c r="GH18" s="859">
        <v>2245.38</v>
      </c>
      <c r="GI18" s="846">
        <v>496.58</v>
      </c>
      <c r="GJ18" s="847">
        <f t="shared" si="64"/>
        <v>2741.96</v>
      </c>
      <c r="GK18" s="847">
        <f t="shared" si="65"/>
        <v>0</v>
      </c>
      <c r="GL18" s="860">
        <f t="shared" si="126"/>
        <v>0</v>
      </c>
      <c r="GM18" s="848" cm="1">
        <f t="array" ref="GM18">ROUND(interpoler(mat_zc,Taux_ZC,GL18)+$GJ$2,5)</f>
        <v>2.828E-2</v>
      </c>
      <c r="GN18" s="861">
        <f t="shared" si="102"/>
        <v>0</v>
      </c>
      <c r="GO18" s="198"/>
      <c r="GQ18" s="150">
        <f t="shared" si="66"/>
        <v>0</v>
      </c>
      <c r="GR18" s="856">
        <v>45375</v>
      </c>
      <c r="GS18" s="1030">
        <v>11</v>
      </c>
      <c r="GT18" s="967">
        <v>91785.32</v>
      </c>
      <c r="GU18" s="968">
        <v>753.67</v>
      </c>
      <c r="GV18" s="969">
        <v>711.33</v>
      </c>
      <c r="GW18" s="971">
        <f t="shared" si="67"/>
        <v>1465</v>
      </c>
      <c r="GX18" s="973">
        <f t="shared" si="68"/>
        <v>0</v>
      </c>
      <c r="GY18" s="971">
        <f t="shared" si="127"/>
        <v>0</v>
      </c>
      <c r="GZ18" s="976" cm="1">
        <f t="array" ref="GZ18">+ROUND(IF(GY18&lt;1,interpoler($A$5:$A$24,$B$5:$B$24,(GR18-$B$1)),interpoler(CIH!$K$72:$K$103,CIH!$L$72:$L$103,GY18))+$GW$2,5)</f>
        <v>2.9780000000000001E-2</v>
      </c>
      <c r="HA18" s="847">
        <f>ROUND(GX18/(1+GZ18)^GY18,4)</f>
        <v>0</v>
      </c>
      <c r="HD18" s="1382">
        <f t="shared" si="70"/>
        <v>0</v>
      </c>
      <c r="HE18" s="309">
        <v>42745</v>
      </c>
      <c r="HF18" s="211">
        <v>11</v>
      </c>
      <c r="HG18" s="304">
        <f t="shared" si="103"/>
        <v>51875.029999999984</v>
      </c>
      <c r="HH18" s="196">
        <v>4062.5</v>
      </c>
      <c r="HI18" s="198">
        <f t="shared" si="104"/>
        <v>573.21</v>
      </c>
      <c r="HJ18" s="198">
        <f t="shared" si="71"/>
        <v>4635.71</v>
      </c>
      <c r="HK18" s="198">
        <f t="shared" si="72"/>
        <v>0</v>
      </c>
      <c r="HL18" s="198">
        <f t="shared" si="73"/>
        <v>0</v>
      </c>
      <c r="HM18" s="199" cm="1">
        <f t="array" ref="HM18">+ROUND(IF(HL18&lt;1,interpoler($A$5:$A$24,$B$5:$B$24,(HE18-$B$1)),interpoler($C$5:$C$24,$D$5:$D$24,HL18))+$HJ$2,5)</f>
        <v>2.7279999999999999E-2</v>
      </c>
      <c r="HN18" s="198">
        <f t="shared" si="74"/>
        <v>0</v>
      </c>
      <c r="HR18" s="150">
        <v>5</v>
      </c>
      <c r="HS18" s="714">
        <v>45382</v>
      </c>
      <c r="HT18" s="205">
        <v>11</v>
      </c>
      <c r="HU18" s="718">
        <f t="shared" si="105"/>
        <v>350.10357879999998</v>
      </c>
      <c r="HV18" s="718">
        <v>105.92850060000001</v>
      </c>
      <c r="HW18" s="786">
        <v>18.706966000000001</v>
      </c>
      <c r="HX18" s="198">
        <f t="shared" si="75"/>
        <v>124.6354666</v>
      </c>
      <c r="HY18" s="198">
        <f t="shared" si="76"/>
        <v>0</v>
      </c>
      <c r="HZ18" s="198">
        <f t="shared" si="124"/>
        <v>-1.9890410958904106</v>
      </c>
      <c r="IA18" s="199" cm="1">
        <f t="array" ref="IA18">+ROUND(IF(HZ18&lt;1,interpoler($A$5:$A$24,$B$5:$B$24,(HS18-$B$1)),interpoler($C$5:$C$24,$D$5:$D$24,HZ18))+$HX$2,5)</f>
        <v>2.3279999999999999E-2</v>
      </c>
      <c r="IB18" s="212">
        <f t="shared" si="122"/>
        <v>0</v>
      </c>
      <c r="IC18" s="221"/>
      <c r="ID18" s="150">
        <v>11</v>
      </c>
      <c r="IE18" s="714">
        <v>45930</v>
      </c>
      <c r="IF18" s="205">
        <v>11</v>
      </c>
      <c r="IG18" s="205">
        <v>69444.44</v>
      </c>
      <c r="IH18" s="766">
        <v>2777.78</v>
      </c>
      <c r="II18" s="765">
        <v>1357.88</v>
      </c>
      <c r="IJ18" s="198">
        <f t="shared" si="79"/>
        <v>4135.66</v>
      </c>
      <c r="IK18" s="212">
        <f t="shared" si="80"/>
        <v>0</v>
      </c>
      <c r="IL18" s="761">
        <f t="shared" si="107"/>
        <v>-0.47267759560000044</v>
      </c>
      <c r="IM18" s="199" cm="1">
        <f t="array" ref="IM18">+ROUND(IF(IL18&lt;1,interpoler($A$5:$A$24,$B$5:$B$24,(IE18-$B$1)),interpoler($C$5:$C$24,$D$5:$D$24,IL18))+$IJ$2,5)</f>
        <v>3.628E-2</v>
      </c>
      <c r="IN18" s="198">
        <f t="shared" si="81"/>
        <v>0</v>
      </c>
      <c r="IP18" s="1382">
        <v>11</v>
      </c>
      <c r="IQ18" s="714">
        <v>46900</v>
      </c>
      <c r="IR18" s="205">
        <v>11</v>
      </c>
      <c r="IS18" s="198">
        <v>22625</v>
      </c>
      <c r="IT18" s="198">
        <v>4534</v>
      </c>
      <c r="IU18" s="198">
        <v>197.58</v>
      </c>
      <c r="IV18" s="198">
        <f t="shared" si="82"/>
        <v>4731.58</v>
      </c>
      <c r="IW18" s="212">
        <f t="shared" si="83"/>
        <v>4731.58</v>
      </c>
      <c r="IX18" s="447">
        <f t="shared" si="108"/>
        <v>2.1766304347826084</v>
      </c>
      <c r="IY18" s="199" cm="1">
        <f t="array" ref="IY18">+ROUND(IF(IX18&lt;1,interpoler($A$5:$A$24,$B$5:$B$24,(IQ18-$B$1)),interpoler($C$5:$C$24,$D$5:$D$24,IX18))+$IV$2,5)</f>
        <v>3.2779999999999997E-2</v>
      </c>
      <c r="IZ18" s="198">
        <f t="shared" si="84"/>
        <v>4410.7896004025079</v>
      </c>
      <c r="JD18" s="150"/>
      <c r="JE18" s="714"/>
      <c r="JF18" s="205"/>
      <c r="JG18" s="205"/>
      <c r="JH18" s="766"/>
      <c r="JI18" s="765"/>
      <c r="JJ18" s="198"/>
      <c r="JK18" s="212"/>
      <c r="JL18" s="761"/>
      <c r="JM18" s="199"/>
      <c r="JN18" s="198"/>
      <c r="JP18" s="150"/>
      <c r="JQ18" s="200" t="s">
        <v>3046</v>
      </c>
      <c r="JR18" s="205">
        <v>11</v>
      </c>
      <c r="JS18" s="205">
        <v>82500</v>
      </c>
      <c r="JT18" s="205">
        <v>2500</v>
      </c>
      <c r="JU18" s="765">
        <v>1158.1199999999999</v>
      </c>
      <c r="JV18" s="198">
        <f t="shared" si="106"/>
        <v>3658.12</v>
      </c>
      <c r="JW18" s="212">
        <f t="shared" si="111"/>
        <v>3658.12</v>
      </c>
      <c r="JX18" s="1335">
        <f t="shared" si="117"/>
        <v>1.0489130434782608</v>
      </c>
      <c r="JY18" s="199" cm="1">
        <f t="array" ref="JY18">ROUND(interpoler(mat_zc,Taux_ZC,JX18)+$JV$2,5)</f>
        <v>4.5220000000000003E-2</v>
      </c>
      <c r="JZ18" s="198">
        <f t="shared" si="118"/>
        <v>3492.2934</v>
      </c>
      <c r="KB18" s="205" t="s">
        <v>3082</v>
      </c>
      <c r="KC18" s="205">
        <v>11</v>
      </c>
      <c r="KD18" s="205">
        <v>25783.4</v>
      </c>
      <c r="KE18" s="205">
        <v>6445.85</v>
      </c>
      <c r="KF18" s="765">
        <v>1611.46</v>
      </c>
      <c r="KG18" s="198">
        <f t="shared" si="109"/>
        <v>8057.31</v>
      </c>
      <c r="KH18" s="212">
        <f t="shared" si="85"/>
        <v>8057.31</v>
      </c>
      <c r="KI18" s="770">
        <f t="shared" si="123"/>
        <v>4.4794520547945211</v>
      </c>
      <c r="KJ18" s="199" cm="1">
        <f t="array" ref="KJ18">ROUND(interpoler(mat_zc,Taux_ZC,KI18)+$KG$2,5)</f>
        <v>4.7449999999999999E-2</v>
      </c>
      <c r="KK18" s="198">
        <f t="shared" si="119"/>
        <v>6546.4207999999999</v>
      </c>
      <c r="KN18" s="1603">
        <v>49715</v>
      </c>
      <c r="KO18" s="205">
        <v>11</v>
      </c>
      <c r="KP18" s="1604">
        <v>100000</v>
      </c>
      <c r="KQ18" s="1443">
        <v>0</v>
      </c>
      <c r="KR18" s="1443">
        <v>4470</v>
      </c>
      <c r="KS18" s="198">
        <f t="shared" si="110"/>
        <v>4470</v>
      </c>
      <c r="KT18" s="212">
        <f t="shared" si="87"/>
        <v>4470</v>
      </c>
      <c r="KU18" s="1607">
        <f t="shared" si="114"/>
        <v>9.8794520547945197</v>
      </c>
      <c r="KV18" s="199" cm="1">
        <f t="array" ref="KV18">ROUND(interpoler(mat_zc,Taux_ZC,KU18)+$KS$2,5)</f>
        <v>3.9510000000000003E-2</v>
      </c>
      <c r="KW18" s="1612">
        <f t="shared" si="120"/>
        <v>3048.2422000000001</v>
      </c>
    </row>
    <row r="19" spans="1:309" ht="16.5" thickBot="1" x14ac:dyDescent="0.3">
      <c r="A19" s="95">
        <f>+CIH!A22</f>
        <v>326</v>
      </c>
      <c r="B19" s="315">
        <f>+CIH!B22</f>
        <v>2.4974686420831338E-2</v>
      </c>
      <c r="C19" s="95">
        <f>+CIH!K19</f>
        <v>15</v>
      </c>
      <c r="D19" s="145">
        <f>+CIH!L19</f>
        <v>3.6204260276183176E-2</v>
      </c>
      <c r="F19" s="150"/>
      <c r="G19" s="150">
        <f t="shared" si="0"/>
        <v>0</v>
      </c>
      <c r="H19" s="117">
        <v>38454</v>
      </c>
      <c r="I19" s="123">
        <v>12</v>
      </c>
      <c r="J19" s="188">
        <v>50298.63</v>
      </c>
      <c r="K19" s="189">
        <v>3977.17</v>
      </c>
      <c r="L19" s="137">
        <f t="shared" si="1"/>
        <v>782.14</v>
      </c>
      <c r="M19" s="137">
        <f t="shared" si="2"/>
        <v>4759.3100000000004</v>
      </c>
      <c r="N19" s="137">
        <f t="shared" si="3"/>
        <v>0</v>
      </c>
      <c r="O19" s="137">
        <f t="shared" si="4"/>
        <v>0</v>
      </c>
      <c r="P19" s="146" cm="1">
        <f t="array" ref="P19">+ROUND(IF(O19&lt;1,interpoler($A$5:$A$24,$B$5:$B$24,(H19-$B$1)),interpoler($C$5:$C$24,$D$5:$D$24,O19))+$M$2,6)</f>
        <v>2.8781000000000001E-2</v>
      </c>
      <c r="Q19" s="137">
        <f t="shared" si="5"/>
        <v>0</v>
      </c>
      <c r="R19" s="172"/>
      <c r="S19" s="150">
        <f t="shared" si="6"/>
        <v>0</v>
      </c>
      <c r="T19" s="194">
        <v>38454</v>
      </c>
      <c r="U19" s="204">
        <v>12</v>
      </c>
      <c r="V19" s="196">
        <v>100000</v>
      </c>
      <c r="W19" s="208">
        <v>0</v>
      </c>
      <c r="X19" s="198">
        <f t="shared" si="7"/>
        <v>1830</v>
      </c>
      <c r="Y19" s="198">
        <f t="shared" si="8"/>
        <v>1830</v>
      </c>
      <c r="Z19" s="198">
        <f t="shared" si="9"/>
        <v>0</v>
      </c>
      <c r="AA19" s="198">
        <f t="shared" si="10"/>
        <v>0</v>
      </c>
      <c r="AB19" s="199" cm="1">
        <f t="array" ref="AB19">+ROUND(IF(AA19&lt;1,interpoler($A$5:$A$24,$B$5:$B$24,(T19-$B$1)),interpoler($C$5:$C$24,$D$5:$D$24,AA19))+$Y$2,6)</f>
        <v>3.0780999999999999E-2</v>
      </c>
      <c r="AC19" s="198">
        <f t="shared" si="11"/>
        <v>0</v>
      </c>
      <c r="AE19" s="150">
        <f t="shared" si="12"/>
        <v>0</v>
      </c>
      <c r="AF19" s="117">
        <v>39703</v>
      </c>
      <c r="AG19" s="123">
        <v>12</v>
      </c>
      <c r="AH19" s="186">
        <f t="shared" si="125"/>
        <v>12937.93</v>
      </c>
      <c r="AI19" s="186">
        <v>3874.19</v>
      </c>
      <c r="AJ19" s="198">
        <f t="shared" si="13"/>
        <v>165.28</v>
      </c>
      <c r="AK19" s="198">
        <f t="shared" si="14"/>
        <v>4039.47</v>
      </c>
      <c r="AL19" s="198">
        <f t="shared" si="15"/>
        <v>0</v>
      </c>
      <c r="AM19" s="198">
        <f t="shared" si="16"/>
        <v>0</v>
      </c>
      <c r="AN19" s="199" cm="1">
        <f t="array" ref="AN19">+ROUND(IF(AM19&lt;1,interpoler($A$5:$A$24,$B$5:$B$24,(AF19-$B$1)),interpoler($C$5:$C$24,$D$5:$D$24,AM19))+$AK$2,6)</f>
        <v>2.7281E-2</v>
      </c>
      <c r="AO19" s="198">
        <f t="shared" si="17"/>
        <v>0</v>
      </c>
      <c r="AP19" s="172">
        <f t="shared" si="18"/>
        <v>3874.19</v>
      </c>
      <c r="AQ19" s="150">
        <f t="shared" si="19"/>
        <v>0</v>
      </c>
      <c r="AR19" s="194">
        <v>39703</v>
      </c>
      <c r="AS19" s="211">
        <v>12</v>
      </c>
      <c r="AT19" s="196">
        <v>100000</v>
      </c>
      <c r="AU19" s="196">
        <v>0</v>
      </c>
      <c r="AV19" s="198">
        <f t="shared" si="20"/>
        <v>1597.5</v>
      </c>
      <c r="AW19" s="198">
        <f t="shared" si="21"/>
        <v>1597.5</v>
      </c>
      <c r="AX19" s="198">
        <f t="shared" si="22"/>
        <v>0</v>
      </c>
      <c r="AY19" s="198">
        <f t="shared" si="23"/>
        <v>0</v>
      </c>
      <c r="AZ19" s="199" cm="1">
        <f t="array" ref="AZ19">+ROUND(IF(AY19&lt;1,interpoler($A$5:$A$24,$B$5:$B$24,(AR19-$B$1)),interpoler($C$5:$C$24,$D$5:$D$24,AY19))+$AW$2,6)</f>
        <v>2.9780999999999998E-2</v>
      </c>
      <c r="BA19" s="198">
        <f t="shared" si="24"/>
        <v>0</v>
      </c>
      <c r="BC19" s="599">
        <f t="shared" si="25"/>
        <v>0</v>
      </c>
      <c r="BD19" s="669">
        <v>40891</v>
      </c>
      <c r="BE19" s="526">
        <v>12</v>
      </c>
      <c r="BF19" s="841">
        <v>73484.59</v>
      </c>
      <c r="BG19" s="835">
        <v>2427.0700000000002</v>
      </c>
      <c r="BH19" s="529">
        <f t="shared" si="90"/>
        <v>887.33</v>
      </c>
      <c r="BI19" s="529">
        <f t="shared" si="26"/>
        <v>3314.4</v>
      </c>
      <c r="BJ19" s="529">
        <f t="shared" si="27"/>
        <v>0</v>
      </c>
      <c r="BK19" s="529">
        <f t="shared" si="28"/>
        <v>0</v>
      </c>
      <c r="BL19" s="530" cm="1">
        <f t="array" ref="BL19">+ROUND(IF(BK19&lt;1,interpoler($A$5:$A$24,$B$5:$B$24,(BD19-$B$1)),interpoler($C$5:$C$24,$D$5:$D$24,BK19))+$BI$2,6)</f>
        <v>3.3280999999999998E-2</v>
      </c>
      <c r="BM19" s="529">
        <f t="shared" si="29"/>
        <v>0</v>
      </c>
      <c r="BN19" s="280"/>
      <c r="BP19" s="150">
        <f t="shared" si="30"/>
        <v>11</v>
      </c>
      <c r="BQ19" s="194" t="s">
        <v>977</v>
      </c>
      <c r="BR19" s="211">
        <v>12</v>
      </c>
      <c r="BS19" s="304">
        <f t="shared" si="91"/>
        <v>64516.12903225801</v>
      </c>
      <c r="BT19" s="196">
        <v>3225.8064516129034</v>
      </c>
      <c r="BU19" s="198">
        <f t="shared" si="92"/>
        <v>712.9</v>
      </c>
      <c r="BV19" s="198">
        <f t="shared" si="31"/>
        <v>3938.71</v>
      </c>
      <c r="BW19" s="198">
        <f t="shared" si="32"/>
        <v>3938.71</v>
      </c>
      <c r="BX19" s="198">
        <f t="shared" si="33"/>
        <v>3.3296986518636005</v>
      </c>
      <c r="BY19" s="199" cm="1">
        <f t="array" ref="BY19">+ROUND(IF(BX19&lt;1,interpoler($A$5:$A$24,$B$5:$B$24,(BQ19-$B$1)),interpoler($C$5:$C$24,$D$5:$D$24,BX19))+$BV$2,6)</f>
        <v>3.2776E-2</v>
      </c>
      <c r="BZ19" s="198">
        <f t="shared" si="34"/>
        <v>3537.6738380044394</v>
      </c>
      <c r="CB19" s="520">
        <f t="shared" si="35"/>
        <v>0</v>
      </c>
      <c r="CC19" s="868">
        <v>44189</v>
      </c>
      <c r="CD19" s="857">
        <v>12</v>
      </c>
      <c r="CE19" s="859">
        <v>100000</v>
      </c>
      <c r="CF19" s="1035">
        <v>0</v>
      </c>
      <c r="CG19" s="847">
        <v>1007.5</v>
      </c>
      <c r="CH19" s="847">
        <f t="shared" si="36"/>
        <v>1007.5</v>
      </c>
      <c r="CI19" s="847">
        <f t="shared" si="37"/>
        <v>0</v>
      </c>
      <c r="CJ19" s="847">
        <f t="shared" si="121"/>
        <v>-5.2692307700000001</v>
      </c>
      <c r="CK19" s="848" cm="1">
        <f t="array" ref="CK19">ROUND(ROUND(IF(CJ19&lt;1,interpoler($A$5:$A$24,$B$5:$B$24,(CC19-$B$1)),interpoler($C$5:$C$24,$D$5:$D$24,CJ19))+$CH$2,5),5)</f>
        <v>2.878E-2</v>
      </c>
      <c r="CL19" s="847">
        <f t="shared" si="115"/>
        <v>0</v>
      </c>
      <c r="CM19" s="280"/>
      <c r="CN19" s="150">
        <f t="shared" si="38"/>
        <v>0</v>
      </c>
      <c r="CO19" s="868">
        <v>44279</v>
      </c>
      <c r="CP19" s="857">
        <v>12</v>
      </c>
      <c r="CQ19" s="859">
        <v>46494.92000000002</v>
      </c>
      <c r="CR19" s="859">
        <v>2524.71</v>
      </c>
      <c r="CS19" s="847">
        <v>412.87</v>
      </c>
      <c r="CT19" s="847">
        <f t="shared" si="39"/>
        <v>2937.58</v>
      </c>
      <c r="CU19" s="847">
        <f t="shared" si="40"/>
        <v>0</v>
      </c>
      <c r="CV19" s="866">
        <f t="shared" ref="CV19:CV32" si="128">+IF(CU19=0,0,IF(CN19=1,((CN19-1)+(CO19-$B$1)/(CO19-CO18))*0.25,CV18+0.25))</f>
        <v>0</v>
      </c>
      <c r="CW19" s="848" cm="1">
        <f t="array" ref="CW19">+ROUND(IF(CV19&lt;1,interpoler($A$5:$A$24,$B$5:$B$24,(CO19-$B$1)),interpoler($C$5:$C$24,$D$5:$D$24,CV19))+$CT$2,5)</f>
        <v>2.7279999999999999E-2</v>
      </c>
      <c r="CX19" s="847">
        <f t="shared" si="116"/>
        <v>0</v>
      </c>
      <c r="CY19" s="448"/>
      <c r="DH19" s="280">
        <f>DF9-DH18</f>
        <v>365</v>
      </c>
      <c r="DI19">
        <f>DF9-DF8</f>
        <v>366</v>
      </c>
      <c r="DJ19"/>
      <c r="DK19"/>
      <c r="DL19"/>
      <c r="DQ19" s="211">
        <f t="shared" si="42"/>
        <v>0</v>
      </c>
      <c r="DR19" s="524">
        <v>42020</v>
      </c>
      <c r="DS19" s="211">
        <v>12</v>
      </c>
      <c r="DT19" s="304">
        <f t="shared" si="94"/>
        <v>68383.399999999994</v>
      </c>
      <c r="DU19" s="402">
        <v>2680.08</v>
      </c>
      <c r="DV19" s="198">
        <f t="shared" si="95"/>
        <v>790.58</v>
      </c>
      <c r="DW19" s="198">
        <f t="shared" si="43"/>
        <v>3470.66</v>
      </c>
      <c r="DX19" s="198">
        <f t="shared" si="44"/>
        <v>0</v>
      </c>
      <c r="DY19" s="198">
        <f t="shared" si="45"/>
        <v>0</v>
      </c>
      <c r="DZ19" s="199" cm="1">
        <f t="array" ref="DZ19">+ROUND(IF(DY19&lt;1,interpoler($A$5:$A$24,$B$5:$B$24,(DR19-$B$1)),interpoler($C$5:$C$24,$D$5:$D$24,DY19))+$DW$2,5)</f>
        <v>2.5680000000000001E-2</v>
      </c>
      <c r="EA19" s="198">
        <f t="shared" si="46"/>
        <v>0</v>
      </c>
      <c r="EC19" s="211">
        <f t="shared" si="47"/>
        <v>0</v>
      </c>
      <c r="ED19" s="525">
        <v>44554</v>
      </c>
      <c r="EE19" s="729">
        <v>12</v>
      </c>
      <c r="EF19" s="729">
        <v>9079.630000000001</v>
      </c>
      <c r="EG19" s="655">
        <v>2537.1999999999998</v>
      </c>
      <c r="EH19" s="529">
        <v>67.41</v>
      </c>
      <c r="EI19" s="529">
        <f t="shared" si="48"/>
        <v>2604.61</v>
      </c>
      <c r="EJ19" s="655">
        <f t="shared" si="49"/>
        <v>0</v>
      </c>
      <c r="EK19" s="937">
        <f t="shared" si="50"/>
        <v>0</v>
      </c>
      <c r="EL19" s="934" cm="1">
        <f t="array" ref="EL19">+ROUND(IF(EK19&lt;1,interpoler($A$5:$A$24,$B$5:$B$24,(ED19-$B$1)),interpoler($C$5:$C$24,$D$5:$D$24,EK19))+$EI$2,5)</f>
        <v>2.7279999999999999E-2</v>
      </c>
      <c r="EM19" s="526">
        <f t="shared" si="51"/>
        <v>0</v>
      </c>
      <c r="EN19" s="692">
        <f t="shared" si="96"/>
        <v>14737.179999999997</v>
      </c>
      <c r="EO19" s="280"/>
      <c r="EQ19" s="211">
        <f t="shared" si="52"/>
        <v>0</v>
      </c>
      <c r="ER19" s="524">
        <v>44554</v>
      </c>
      <c r="ES19" s="211">
        <v>12</v>
      </c>
      <c r="ET19" s="304">
        <f t="shared" si="97"/>
        <v>-89723.910000000018</v>
      </c>
      <c r="EU19" s="296">
        <v>3124.06</v>
      </c>
      <c r="EV19" s="198">
        <f t="shared" si="98"/>
        <v>-643</v>
      </c>
      <c r="EW19" s="198">
        <f t="shared" si="53"/>
        <v>2481.06</v>
      </c>
      <c r="EX19" s="198">
        <f t="shared" si="54"/>
        <v>0</v>
      </c>
      <c r="EY19" s="198">
        <f t="shared" si="99"/>
        <v>0</v>
      </c>
      <c r="EZ19" s="530" cm="1">
        <f t="array" ref="EZ19">+ROUND(IF(EY19&lt;1,interpoler($A$5:$A$24,$B$5:$B$24,(ER19-$B$1)),interpoler($C$5:$C$24,$D$5:$D$24,EY19))+$EV$2,5)</f>
        <v>2.7279999999999999E-2</v>
      </c>
      <c r="FA19" s="198">
        <f t="shared" si="55"/>
        <v>0</v>
      </c>
      <c r="FD19" s="526">
        <f t="shared" si="56"/>
        <v>0</v>
      </c>
      <c r="FE19" s="802">
        <v>44919</v>
      </c>
      <c r="FF19" s="803">
        <v>12</v>
      </c>
      <c r="FG19" s="804">
        <v>66528.350000000006</v>
      </c>
      <c r="FH19" s="805">
        <v>3124.37</v>
      </c>
      <c r="FI19" s="805">
        <v>503.95</v>
      </c>
      <c r="FJ19" s="807">
        <f t="shared" si="57"/>
        <v>3628.32</v>
      </c>
      <c r="FK19" s="807">
        <f t="shared" si="58"/>
        <v>0</v>
      </c>
      <c r="FL19" s="808">
        <f t="shared" si="112"/>
        <v>-3.2637362599999999</v>
      </c>
      <c r="FM19" s="809" cm="1">
        <f t="array" ref="FM19">+ROUND(IF(FL19&lt;1,interpoler($A$5:$A$24,$B$5:$B$24,(FE19-$B$1)),interpoler($C$5:$C$24,$D$5:$D$24,FL19))+$FI$2,5)</f>
        <v>2.7779999999999999E-2</v>
      </c>
      <c r="FN19" s="810">
        <f t="shared" si="100"/>
        <v>0</v>
      </c>
      <c r="FO19" s="813"/>
      <c r="FP19" s="221"/>
      <c r="FQ19" s="526">
        <f t="shared" si="59"/>
        <v>0</v>
      </c>
      <c r="FR19" s="815">
        <v>44919</v>
      </c>
      <c r="FS19" s="816">
        <v>12</v>
      </c>
      <c r="FT19" s="900">
        <v>100000</v>
      </c>
      <c r="FU19" s="821">
        <v>0</v>
      </c>
      <c r="FV19" s="818">
        <v>877.5</v>
      </c>
      <c r="FW19" s="818">
        <f t="shared" si="60"/>
        <v>877.5</v>
      </c>
      <c r="FX19" s="818">
        <f t="shared" si="61"/>
        <v>0</v>
      </c>
      <c r="FY19" s="819">
        <f t="shared" si="113"/>
        <v>-3.2637362599999999</v>
      </c>
      <c r="FZ19" s="820" cm="1">
        <f t="array" ref="FZ19">+ROUND(IF(FY19&lt;1,interpoler($A$5:$A$24,$B$5:$B$24,(FR19-$B$1)),interpoler($C$5:$C$24,$D$5:$D$24,FY19))+$FV$2,5)</f>
        <v>2.928E-2</v>
      </c>
      <c r="GA19" s="818">
        <f t="shared" si="62"/>
        <v>0</v>
      </c>
      <c r="GB19" s="484"/>
      <c r="GC19" s="522"/>
      <c r="GD19" s="150">
        <f t="shared" si="63"/>
        <v>0</v>
      </c>
      <c r="GE19" s="856">
        <v>45467</v>
      </c>
      <c r="GF19" s="857">
        <v>12</v>
      </c>
      <c r="GG19" s="858">
        <v>73382.410000000033</v>
      </c>
      <c r="GH19" s="859">
        <v>2231.2199999999998</v>
      </c>
      <c r="GI19" s="846">
        <v>482.48</v>
      </c>
      <c r="GJ19" s="847">
        <f t="shared" si="64"/>
        <v>2713.7</v>
      </c>
      <c r="GK19" s="847">
        <f t="shared" si="65"/>
        <v>0</v>
      </c>
      <c r="GL19" s="860">
        <f t="shared" si="126"/>
        <v>0</v>
      </c>
      <c r="GM19" s="848" cm="1">
        <f t="array" ref="GM19">ROUND(interpoler(mat_zc,Taux_ZC,GL19)+$GJ$2,5)</f>
        <v>2.828E-2</v>
      </c>
      <c r="GN19" s="861">
        <f t="shared" si="102"/>
        <v>0</v>
      </c>
      <c r="GO19" s="198"/>
      <c r="GQ19" s="150">
        <f t="shared" si="66"/>
        <v>0</v>
      </c>
      <c r="GR19" s="856">
        <v>45467</v>
      </c>
      <c r="GS19" s="1030">
        <v>12</v>
      </c>
      <c r="GT19" s="967">
        <v>91065.720000000016</v>
      </c>
      <c r="GU19" s="968">
        <v>748.93</v>
      </c>
      <c r="GV19" s="969">
        <v>705.75</v>
      </c>
      <c r="GW19" s="971">
        <f t="shared" si="67"/>
        <v>1454.68</v>
      </c>
      <c r="GX19" s="973">
        <f t="shared" si="68"/>
        <v>0</v>
      </c>
      <c r="GY19" s="971">
        <f t="shared" si="127"/>
        <v>0</v>
      </c>
      <c r="GZ19" s="976" cm="1">
        <f t="array" ref="GZ19">+ROUND(IF(GY19&lt;1,interpoler($A$5:$A$24,$B$5:$B$24,(GR19-$B$1)),interpoler(CIH!$K$72:$K$103,CIH!$L$72:$L$103,GY19))+$GW$2,5)</f>
        <v>2.9780000000000001E-2</v>
      </c>
      <c r="HA19" s="847">
        <f t="shared" ref="HA19:HA50" si="129">ROUND(GX19/(1+GZ19)^GY19,20)</f>
        <v>0</v>
      </c>
      <c r="HD19" s="1382">
        <f t="shared" si="70"/>
        <v>0</v>
      </c>
      <c r="HE19" s="309">
        <v>42835</v>
      </c>
      <c r="HF19" s="211">
        <v>12</v>
      </c>
      <c r="HG19" s="304">
        <f t="shared" si="103"/>
        <v>47812.529999999984</v>
      </c>
      <c r="HH19" s="196">
        <v>3854.16</v>
      </c>
      <c r="HI19" s="198">
        <f t="shared" si="104"/>
        <v>528.32000000000005</v>
      </c>
      <c r="HJ19" s="198">
        <f t="shared" si="71"/>
        <v>4382.4799999999996</v>
      </c>
      <c r="HK19" s="198">
        <f t="shared" si="72"/>
        <v>0</v>
      </c>
      <c r="HL19" s="198">
        <f t="shared" si="73"/>
        <v>0</v>
      </c>
      <c r="HM19" s="199" cm="1">
        <f t="array" ref="HM19">+ROUND(IF(HL19&lt;1,interpoler($A$5:$A$24,$B$5:$B$24,(HE19-$B$1)),interpoler($C$5:$C$24,$D$5:$D$24,HL19))+$HJ$2,5)</f>
        <v>2.7279999999999999E-2</v>
      </c>
      <c r="HN19" s="198">
        <f t="shared" si="74"/>
        <v>0</v>
      </c>
      <c r="HR19" s="150">
        <v>6</v>
      </c>
      <c r="HS19" s="714">
        <v>45747</v>
      </c>
      <c r="HT19" s="205">
        <v>12</v>
      </c>
      <c r="HU19" s="718">
        <f t="shared" si="105"/>
        <v>225.52263849999997</v>
      </c>
      <c r="HV19" s="718">
        <v>124.58094029999999</v>
      </c>
      <c r="HW19" s="786">
        <v>14.322415400000001</v>
      </c>
      <c r="HX19" s="198">
        <f t="shared" si="75"/>
        <v>138.90335569999999</v>
      </c>
      <c r="HY19" s="198">
        <f t="shared" si="76"/>
        <v>0</v>
      </c>
      <c r="HZ19" s="198">
        <f t="shared" si="124"/>
        <v>-0.98904109589041056</v>
      </c>
      <c r="IA19" s="199" cm="1">
        <f t="array" ref="IA19">+ROUND(IF(HZ19&lt;1,interpoler($A$5:$A$24,$B$5:$B$24,(HS19-$B$1)),interpoler($C$5:$C$24,$D$5:$D$24,HZ19))+$HX$2,5)</f>
        <v>2.3279999999999999E-2</v>
      </c>
      <c r="IB19" s="212">
        <f t="shared" si="122"/>
        <v>0</v>
      </c>
      <c r="IC19" s="221"/>
      <c r="ID19" s="150">
        <v>12</v>
      </c>
      <c r="IE19" s="714">
        <v>46112</v>
      </c>
      <c r="IF19" s="205">
        <v>12</v>
      </c>
      <c r="IG19" s="205">
        <v>66666.67</v>
      </c>
      <c r="IH19" s="766">
        <v>2777.78</v>
      </c>
      <c r="II19" s="765">
        <v>1298.52</v>
      </c>
      <c r="IJ19" s="198">
        <f t="shared" si="79"/>
        <v>4076.3</v>
      </c>
      <c r="IK19" s="212">
        <f t="shared" si="80"/>
        <v>4076.3</v>
      </c>
      <c r="IL19" s="761">
        <f t="shared" si="107"/>
        <v>1.0958904099999778E-2</v>
      </c>
      <c r="IM19" s="199" cm="1">
        <f t="array" ref="IM19">+ROUND(IF(IL19&lt;1,interpoler($A$5:$A$24,$B$5:$B$24,(IE19-$B$1)),interpoler($C$5:$C$24,$D$5:$D$24,IL19))+$IJ$2,5)</f>
        <v>3.628E-2</v>
      </c>
      <c r="IN19" s="198">
        <f>ROUND(IK19/(1+IM19)^IL19,4)</f>
        <v>4074.7082999999998</v>
      </c>
      <c r="IP19" s="1382">
        <v>12</v>
      </c>
      <c r="IQ19" s="714">
        <v>46992</v>
      </c>
      <c r="IR19" s="205">
        <v>12</v>
      </c>
      <c r="IS19" s="198">
        <v>18478</v>
      </c>
      <c r="IT19" s="198">
        <v>4147</v>
      </c>
      <c r="IU19" s="198">
        <v>164.6</v>
      </c>
      <c r="IV19" s="198">
        <f t="shared" si="82"/>
        <v>4311.6000000000004</v>
      </c>
      <c r="IW19" s="212">
        <f t="shared" si="83"/>
        <v>4311.6000000000004</v>
      </c>
      <c r="IX19" s="447">
        <f t="shared" si="108"/>
        <v>2.4266304347826084</v>
      </c>
      <c r="IY19" s="199" cm="1">
        <f t="array" ref="IY19">+ROUND(IF(IX19&lt;1,interpoler($A$5:$A$24,$B$5:$B$24,(IQ19-$B$1)),interpoler($C$5:$C$24,$D$5:$D$24,IX19))+$IV$2,5)</f>
        <v>3.3169999999999998E-2</v>
      </c>
      <c r="IZ19" s="198">
        <f t="shared" si="84"/>
        <v>3983.352802660143</v>
      </c>
      <c r="JD19" s="150"/>
      <c r="JE19" s="714"/>
      <c r="JF19" s="205"/>
      <c r="JG19" s="205"/>
      <c r="JH19" s="766"/>
      <c r="JI19" s="765"/>
      <c r="JJ19" s="198"/>
      <c r="JK19" s="212"/>
      <c r="JL19" s="761"/>
      <c r="JM19" s="199"/>
      <c r="JN19" s="198"/>
      <c r="JP19" s="150"/>
      <c r="JQ19" s="200" t="s">
        <v>3047</v>
      </c>
      <c r="JR19" s="205">
        <v>12</v>
      </c>
      <c r="JS19" s="205">
        <v>80000</v>
      </c>
      <c r="JT19" s="205">
        <v>2500</v>
      </c>
      <c r="JU19" s="765">
        <v>1124.06</v>
      </c>
      <c r="JV19" s="198">
        <f t="shared" si="106"/>
        <v>3624.06</v>
      </c>
      <c r="JW19" s="212">
        <f t="shared" si="111"/>
        <v>3624.06</v>
      </c>
      <c r="JX19" s="1335">
        <f t="shared" si="117"/>
        <v>1.2989130434782608</v>
      </c>
      <c r="JY19" s="199" cm="1">
        <f t="array" ref="JY19">ROUND(interpoler(mat_zc,Taux_ZC,JX19)+$JV$2,5)</f>
        <v>4.5609999999999998E-2</v>
      </c>
      <c r="JZ19" s="198">
        <f t="shared" si="118"/>
        <v>3420.0762</v>
      </c>
      <c r="KB19" s="205" t="s">
        <v>3083</v>
      </c>
      <c r="KC19" s="205">
        <v>12</v>
      </c>
      <c r="KD19" s="205">
        <v>19337.55</v>
      </c>
      <c r="KE19" s="205">
        <v>6445.85</v>
      </c>
      <c r="KF19" s="765">
        <v>1289.17</v>
      </c>
      <c r="KG19" s="198">
        <f t="shared" si="109"/>
        <v>7735.02</v>
      </c>
      <c r="KH19" s="212">
        <f t="shared" si="85"/>
        <v>7735.02</v>
      </c>
      <c r="KI19" s="770">
        <f t="shared" si="123"/>
        <v>5.4794520547945211</v>
      </c>
      <c r="KJ19" s="199" cm="1">
        <f t="array" ref="KJ19">ROUND(interpoler(mat_zc,Taux_ZC,KI19)+$KG$2,5)</f>
        <v>4.8259999999999997E-2</v>
      </c>
      <c r="KK19" s="198">
        <f t="shared" si="119"/>
        <v>5974.5123000000003</v>
      </c>
      <c r="KN19" s="1602">
        <v>50081</v>
      </c>
      <c r="KO19" s="205">
        <v>12</v>
      </c>
      <c r="KP19" s="1605">
        <v>100000</v>
      </c>
      <c r="KQ19" s="1442">
        <v>0</v>
      </c>
      <c r="KR19" s="1442">
        <v>4470</v>
      </c>
      <c r="KS19" s="198">
        <f t="shared" si="110"/>
        <v>4470</v>
      </c>
      <c r="KT19" s="212">
        <f t="shared" si="87"/>
        <v>4470</v>
      </c>
      <c r="KU19" s="1607">
        <f t="shared" si="114"/>
        <v>10.87945205479452</v>
      </c>
      <c r="KV19" s="199" cm="1">
        <f t="array" ref="KV19">ROUND(interpoler(mat_zc,Taux_ZC,KU19)+$KS$2,5)</f>
        <v>4.0149999999999998E-2</v>
      </c>
      <c r="KW19" s="1612">
        <f t="shared" si="120"/>
        <v>2912.8136</v>
      </c>
    </row>
    <row r="20" spans="1:309" ht="16.5" thickBot="1" x14ac:dyDescent="0.3">
      <c r="A20" s="95">
        <f>+CIH!A23</f>
        <v>326</v>
      </c>
      <c r="B20" s="315">
        <f>+CIH!B23</f>
        <v>2.4974686420831338E-2</v>
      </c>
      <c r="C20" s="95">
        <f>+CIH!K20</f>
        <v>16</v>
      </c>
      <c r="D20" s="145">
        <f>+CIH!L20</f>
        <v>3.6470866213529574E-2</v>
      </c>
      <c r="F20" s="150"/>
      <c r="G20" s="150">
        <f t="shared" si="0"/>
        <v>0</v>
      </c>
      <c r="H20" s="117">
        <f>J9</f>
        <v>95708.346471232871</v>
      </c>
      <c r="I20" s="117">
        <f>H20-G20</f>
        <v>95708.346471232871</v>
      </c>
      <c r="J20" s="190" t="str">
        <f>IF(I20&gt;0,"p","q")</f>
        <v>p</v>
      </c>
      <c r="K20" s="191">
        <v>3894.29</v>
      </c>
      <c r="L20" s="137"/>
      <c r="M20" s="137"/>
      <c r="N20" s="137">
        <f t="shared" si="3"/>
        <v>0</v>
      </c>
      <c r="O20" s="137">
        <f t="shared" si="4"/>
        <v>0</v>
      </c>
      <c r="P20" s="146" t="e" cm="1">
        <f t="array" ref="P20">+ROUND(IF(O20&lt;1,interpoler($A$5:$A$24,$B$5:$B$24,(H20-$B$1)),interpoler($C$5:$C$24,$D$5:$D$24,O20))+$M$2,6)</f>
        <v>#VALUE!</v>
      </c>
      <c r="Q20" s="137" t="e">
        <f t="shared" si="5"/>
        <v>#VALUE!</v>
      </c>
      <c r="R20" s="172"/>
      <c r="S20" s="150">
        <f t="shared" si="6"/>
        <v>0</v>
      </c>
      <c r="T20" s="194">
        <v>38545</v>
      </c>
      <c r="U20" s="205">
        <v>13</v>
      </c>
      <c r="V20" s="203">
        <v>100000</v>
      </c>
      <c r="W20" s="206">
        <v>0</v>
      </c>
      <c r="X20" s="198">
        <f t="shared" si="7"/>
        <v>1830</v>
      </c>
      <c r="Y20" s="198">
        <f t="shared" si="8"/>
        <v>1830</v>
      </c>
      <c r="Z20" s="198">
        <f t="shared" si="9"/>
        <v>0</v>
      </c>
      <c r="AA20" s="198">
        <f t="shared" si="10"/>
        <v>0</v>
      </c>
      <c r="AB20" s="199" cm="1">
        <f t="array" ref="AB20">+ROUND(IF(AA20&lt;1,interpoler($A$5:$A$24,$B$5:$B$24,(T20-$B$1)),interpoler($C$5:$C$24,$D$5:$D$24,AA20))+$Y$2,6)</f>
        <v>3.0780999999999999E-2</v>
      </c>
      <c r="AC20" s="198">
        <f t="shared" si="11"/>
        <v>0</v>
      </c>
      <c r="AE20" s="150">
        <f t="shared" si="12"/>
        <v>0</v>
      </c>
      <c r="AF20" s="117">
        <v>39794</v>
      </c>
      <c r="AG20" s="120">
        <v>13</v>
      </c>
      <c r="AH20" s="121">
        <f t="shared" si="125"/>
        <v>9063.74</v>
      </c>
      <c r="AI20" s="119">
        <v>3854.29</v>
      </c>
      <c r="AJ20" s="137">
        <f t="shared" si="13"/>
        <v>115.79</v>
      </c>
      <c r="AK20" s="137">
        <f t="shared" si="14"/>
        <v>3970.08</v>
      </c>
      <c r="AL20" s="137">
        <f t="shared" si="15"/>
        <v>0</v>
      </c>
      <c r="AM20" s="137">
        <f t="shared" si="16"/>
        <v>0</v>
      </c>
      <c r="AN20" s="146" cm="1">
        <f t="array" ref="AN20">+ROUND(IF(AM20&lt;1,interpoler($A$5:$A$24,$B$5:$B$24,(AF20-$B$1)),interpoler($C$5:$C$24,$D$5:$D$24,AM20))+$AK$2,6)</f>
        <v>2.7281E-2</v>
      </c>
      <c r="AO20" s="137">
        <f t="shared" si="17"/>
        <v>0</v>
      </c>
      <c r="AP20" s="172">
        <f t="shared" si="18"/>
        <v>3854.29</v>
      </c>
      <c r="AQ20" s="150">
        <f t="shared" si="19"/>
        <v>0</v>
      </c>
      <c r="AR20" s="194">
        <v>39794</v>
      </c>
      <c r="AS20" s="211">
        <v>13</v>
      </c>
      <c r="AT20" s="196">
        <v>100000</v>
      </c>
      <c r="AU20" s="196">
        <v>0</v>
      </c>
      <c r="AV20" s="198">
        <f t="shared" si="20"/>
        <v>1597.5</v>
      </c>
      <c r="AW20" s="198">
        <f t="shared" si="21"/>
        <v>1597.5</v>
      </c>
      <c r="AX20" s="198">
        <f t="shared" si="22"/>
        <v>0</v>
      </c>
      <c r="AY20" s="198">
        <f t="shared" si="23"/>
        <v>0</v>
      </c>
      <c r="AZ20" s="199" cm="1">
        <f t="array" ref="AZ20">+ROUND(IF(AY20&lt;1,interpoler($A$5:$A$24,$B$5:$B$24,(AR20-$B$1)),interpoler($C$5:$C$24,$D$5:$D$24,AY20))+$AW$2,6)</f>
        <v>2.9780999999999998E-2</v>
      </c>
      <c r="BA20" s="198">
        <f t="shared" si="24"/>
        <v>0</v>
      </c>
      <c r="BC20" s="599">
        <f t="shared" si="25"/>
        <v>0</v>
      </c>
      <c r="BD20" s="669">
        <v>40982</v>
      </c>
      <c r="BE20" s="526">
        <v>13</v>
      </c>
      <c r="BF20" s="841">
        <f>+BF19-BG19</f>
        <v>71057.51999999999</v>
      </c>
      <c r="BG20" s="835">
        <v>2645.14</v>
      </c>
      <c r="BH20" s="529">
        <f t="shared" si="90"/>
        <v>858.02</v>
      </c>
      <c r="BI20" s="529">
        <f t="shared" si="26"/>
        <v>3503.16</v>
      </c>
      <c r="BJ20" s="529">
        <f t="shared" si="27"/>
        <v>0</v>
      </c>
      <c r="BK20" s="529">
        <f t="shared" si="28"/>
        <v>0</v>
      </c>
      <c r="BL20" s="530" cm="1">
        <f t="array" ref="BL20">+ROUND(IF(BK20&lt;1,interpoler($A$5:$A$24,$B$5:$B$24,(BD20-$B$1)),interpoler($C$5:$C$24,$D$5:$D$24,BK20))+$BI$2,6)</f>
        <v>3.3280999999999998E-2</v>
      </c>
      <c r="BM20" s="529">
        <f t="shared" si="29"/>
        <v>0</v>
      </c>
      <c r="BN20" s="280"/>
      <c r="BP20" s="150">
        <f t="shared" si="30"/>
        <v>12</v>
      </c>
      <c r="BQ20" s="194" t="s">
        <v>978</v>
      </c>
      <c r="BR20" s="211">
        <v>13</v>
      </c>
      <c r="BS20" s="304">
        <f t="shared" si="91"/>
        <v>61290.322580645108</v>
      </c>
      <c r="BT20" s="196">
        <v>3225.8064516129034</v>
      </c>
      <c r="BU20" s="198">
        <f t="shared" si="92"/>
        <v>684.78</v>
      </c>
      <c r="BV20" s="198">
        <f t="shared" si="31"/>
        <v>3910.59</v>
      </c>
      <c r="BW20" s="198">
        <f t="shared" si="32"/>
        <v>3910.59</v>
      </c>
      <c r="BX20" s="198">
        <f t="shared" si="33"/>
        <v>3.5796986518636005</v>
      </c>
      <c r="BY20" s="199" cm="1">
        <f t="array" ref="BY20">+ROUND(IF(BX20&lt;1,interpoler($A$5:$A$24,$B$5:$B$24,(BQ20-$B$1)),interpoler($C$5:$C$24,$D$5:$D$24,BX20))+$BV$2,6)</f>
        <v>3.3169999999999998E-2</v>
      </c>
      <c r="BZ20" s="198">
        <f t="shared" si="34"/>
        <v>3479.4576754650752</v>
      </c>
      <c r="CB20" s="520">
        <f t="shared" si="35"/>
        <v>0</v>
      </c>
      <c r="CC20" s="868">
        <v>44279</v>
      </c>
      <c r="CD20" s="857">
        <v>13</v>
      </c>
      <c r="CE20" s="859">
        <v>100000</v>
      </c>
      <c r="CF20" s="1035"/>
      <c r="CG20" s="847">
        <v>1007.5</v>
      </c>
      <c r="CH20" s="847">
        <f t="shared" si="36"/>
        <v>1007.5</v>
      </c>
      <c r="CI20" s="847">
        <f t="shared" si="37"/>
        <v>0</v>
      </c>
      <c r="CJ20" s="847">
        <f t="shared" si="121"/>
        <v>-5.0777777799999999</v>
      </c>
      <c r="CK20" s="848" cm="1">
        <f t="array" ref="CK20">ROUND(ROUND(IF(CJ20&lt;1,interpoler($A$5:$A$24,$B$5:$B$24,(CC20-$B$1)),interpoler($C$5:$C$24,$D$5:$D$24,CJ20))+$CH$2,5),5)</f>
        <v>2.878E-2</v>
      </c>
      <c r="CL20" s="847">
        <f t="shared" si="115"/>
        <v>0</v>
      </c>
      <c r="CM20" s="280"/>
      <c r="CN20" s="150">
        <f t="shared" si="38"/>
        <v>0</v>
      </c>
      <c r="CO20" s="869">
        <v>44371</v>
      </c>
      <c r="CP20" s="857">
        <v>13</v>
      </c>
      <c r="CQ20" s="867">
        <v>41849.130000000019</v>
      </c>
      <c r="CR20" s="859">
        <v>2514.37</v>
      </c>
      <c r="CS20" s="862">
        <f>ROUNDDOWN(CQ19*$CT$1/4,2)</f>
        <v>374.28</v>
      </c>
      <c r="CT20" s="847">
        <f t="shared" si="39"/>
        <v>2888.65</v>
      </c>
      <c r="CU20" s="847">
        <f t="shared" si="40"/>
        <v>0</v>
      </c>
      <c r="CV20" s="863">
        <f t="shared" si="128"/>
        <v>0</v>
      </c>
      <c r="CW20" s="864" cm="1">
        <f t="array" ref="CW20">+ROUND(IF(CV20&lt;1,interpoler($A$5:$A$24,$B$5:$B$24,(CO20-$B$1)),interpoler($C$5:$C$24,$D$5:$D$24,CV20))+$CT$2,5)</f>
        <v>2.7279999999999999E-2</v>
      </c>
      <c r="CX20" s="861">
        <f t="shared" si="116"/>
        <v>0</v>
      </c>
      <c r="CY20" s="448"/>
      <c r="DA20" s="426"/>
      <c r="DH20"/>
      <c r="DI20"/>
      <c r="DJ20"/>
      <c r="DK20"/>
      <c r="DL20"/>
      <c r="DQ20" s="211">
        <f t="shared" si="42"/>
        <v>0</v>
      </c>
      <c r="DR20" s="524">
        <v>42110</v>
      </c>
      <c r="DS20" s="211">
        <v>13</v>
      </c>
      <c r="DT20" s="304">
        <f t="shared" si="94"/>
        <v>65695</v>
      </c>
      <c r="DU20" s="402">
        <v>2688.4</v>
      </c>
      <c r="DV20" s="198">
        <f t="shared" si="95"/>
        <v>760.77</v>
      </c>
      <c r="DW20" s="198">
        <f t="shared" si="43"/>
        <v>3449.17</v>
      </c>
      <c r="DX20" s="198">
        <f t="shared" si="44"/>
        <v>0</v>
      </c>
      <c r="DY20" s="198">
        <f t="shared" si="45"/>
        <v>0</v>
      </c>
      <c r="DZ20" s="199" cm="1">
        <f t="array" ref="DZ20">+ROUND(IF(DY20&lt;1,interpoler($A$5:$A$24,$B$5:$B$24,(DR20-$B$1)),interpoler($C$5:$C$24,$D$5:$D$24,DY20))+$DW$2,5)</f>
        <v>2.5680000000000001E-2</v>
      </c>
      <c r="EA20" s="198">
        <f t="shared" si="46"/>
        <v>0</v>
      </c>
      <c r="EC20" s="211">
        <f t="shared" si="47"/>
        <v>0</v>
      </c>
      <c r="ED20" s="525">
        <v>44644</v>
      </c>
      <c r="EE20" s="729">
        <v>13</v>
      </c>
      <c r="EF20" s="729">
        <v>6483.5400000000009</v>
      </c>
      <c r="EG20" s="655">
        <v>2135.7399999999998</v>
      </c>
      <c r="EH20" s="529">
        <v>48.14</v>
      </c>
      <c r="EI20" s="529">
        <f t="shared" si="48"/>
        <v>2183.88</v>
      </c>
      <c r="EJ20" s="655">
        <f t="shared" si="49"/>
        <v>0</v>
      </c>
      <c r="EK20" s="937">
        <f t="shared" si="50"/>
        <v>0</v>
      </c>
      <c r="EL20" s="934" cm="1">
        <f t="array" ref="EL20">+ROUND(IF(EK20&lt;1,interpoler($A$5:$A$24,$B$5:$B$24,(ED20-$B$1)),interpoler($C$5:$C$24,$D$5:$D$24,EK20))+$EI$2,5)</f>
        <v>2.7279999999999999E-2</v>
      </c>
      <c r="EM20" s="526">
        <f t="shared" si="51"/>
        <v>0</v>
      </c>
      <c r="EN20" s="692">
        <f t="shared" si="96"/>
        <v>12601.439999999997</v>
      </c>
      <c r="EO20" s="280"/>
      <c r="EQ20" s="211">
        <f t="shared" si="52"/>
        <v>0</v>
      </c>
      <c r="ER20" s="524">
        <v>44644</v>
      </c>
      <c r="ES20" s="211">
        <v>13</v>
      </c>
      <c r="ET20" s="304">
        <f t="shared" si="97"/>
        <v>-92407.830000000016</v>
      </c>
      <c r="EU20" s="296">
        <v>2683.92</v>
      </c>
      <c r="EV20" s="198">
        <f t="shared" si="98"/>
        <v>-666.2</v>
      </c>
      <c r="EW20" s="198">
        <f t="shared" si="53"/>
        <v>2017.72</v>
      </c>
      <c r="EX20" s="198">
        <f t="shared" si="54"/>
        <v>0</v>
      </c>
      <c r="EY20" s="198">
        <f t="shared" si="99"/>
        <v>0</v>
      </c>
      <c r="EZ20" s="530" cm="1">
        <f t="array" ref="EZ20">+ROUND(IF(EY20&lt;1,interpoler($A$5:$A$24,$B$5:$B$24,(ER20-$B$1)),interpoler($C$5:$C$24,$D$5:$D$24,EY20))+$EV$2,5)</f>
        <v>2.7279999999999999E-2</v>
      </c>
      <c r="FA20" s="198">
        <f t="shared" si="55"/>
        <v>0</v>
      </c>
      <c r="FD20" s="526">
        <f t="shared" si="56"/>
        <v>0</v>
      </c>
      <c r="FE20" s="802">
        <v>45009</v>
      </c>
      <c r="FF20" s="803">
        <v>13</v>
      </c>
      <c r="FG20" s="804">
        <v>63403.98</v>
      </c>
      <c r="FH20" s="805">
        <v>2107.5700000000002</v>
      </c>
      <c r="FI20" s="805">
        <v>480.28</v>
      </c>
      <c r="FJ20" s="807">
        <f t="shared" si="57"/>
        <v>2587.85</v>
      </c>
      <c r="FK20" s="807">
        <f t="shared" si="58"/>
        <v>0</v>
      </c>
      <c r="FL20" s="808">
        <f t="shared" si="112"/>
        <v>-3.05</v>
      </c>
      <c r="FM20" s="809" cm="1">
        <f t="array" ref="FM20">+ROUND(IF(FL20&lt;1,interpoler($A$5:$A$24,$B$5:$B$24,(FE20-$B$1)),interpoler($C$5:$C$24,$D$5:$D$24,FL20))+$FI$2,5)</f>
        <v>2.7779999999999999E-2</v>
      </c>
      <c r="FN20" s="810">
        <f t="shared" si="100"/>
        <v>0</v>
      </c>
      <c r="FO20" s="814"/>
      <c r="FP20" s="221"/>
      <c r="FQ20" s="526">
        <f t="shared" si="59"/>
        <v>0</v>
      </c>
      <c r="FR20" s="815">
        <v>45009</v>
      </c>
      <c r="FS20" s="816">
        <v>13</v>
      </c>
      <c r="FT20" s="900">
        <v>100000</v>
      </c>
      <c r="FU20" s="817">
        <v>0</v>
      </c>
      <c r="FV20" s="818">
        <v>877.5</v>
      </c>
      <c r="FW20" s="818">
        <f t="shared" si="60"/>
        <v>877.5</v>
      </c>
      <c r="FX20" s="818">
        <f t="shared" si="61"/>
        <v>0</v>
      </c>
      <c r="FY20" s="819">
        <f t="shared" si="113"/>
        <v>-3.05</v>
      </c>
      <c r="FZ20" s="820" cm="1">
        <f t="array" ref="FZ20">+ROUND(IF(FY20&lt;1,interpoler($A$5:$A$24,$B$5:$B$24,(FR20-$B$1)),interpoler(CIH!$K$72:$K$103,CIH!$L$72:$L$103,FY20))+$FV$2,5)</f>
        <v>2.928E-2</v>
      </c>
      <c r="GA20" s="818">
        <f t="shared" si="62"/>
        <v>0</v>
      </c>
      <c r="GB20" s="484"/>
      <c r="GC20" s="522"/>
      <c r="GD20" s="150">
        <f t="shared" si="63"/>
        <v>0</v>
      </c>
      <c r="GE20" s="856">
        <v>45559</v>
      </c>
      <c r="GF20" s="857">
        <v>13</v>
      </c>
      <c r="GG20" s="858">
        <v>71257.119999999995</v>
      </c>
      <c r="GH20" s="859">
        <v>2293.11</v>
      </c>
      <c r="GI20" s="846">
        <v>468.51</v>
      </c>
      <c r="GJ20" s="847">
        <f t="shared" si="64"/>
        <v>2761.62</v>
      </c>
      <c r="GK20" s="847">
        <f t="shared" si="65"/>
        <v>0</v>
      </c>
      <c r="GL20" s="860">
        <f t="shared" si="126"/>
        <v>0</v>
      </c>
      <c r="GM20" s="848" cm="1">
        <f t="array" ref="GM20">ROUND(interpoler(mat_zc,Taux_ZC,GL20)+$GJ$2,5)</f>
        <v>2.828E-2</v>
      </c>
      <c r="GN20" s="861">
        <f t="shared" si="102"/>
        <v>0</v>
      </c>
      <c r="GO20" s="198"/>
      <c r="GQ20" s="150">
        <f t="shared" si="66"/>
        <v>0</v>
      </c>
      <c r="GR20" s="856">
        <v>45559</v>
      </c>
      <c r="GS20" s="1030">
        <v>13</v>
      </c>
      <c r="GT20" s="967">
        <v>90352.37</v>
      </c>
      <c r="GU20" s="968">
        <v>769.69</v>
      </c>
      <c r="GV20" s="969">
        <v>700.23</v>
      </c>
      <c r="GW20" s="971">
        <f t="shared" si="67"/>
        <v>1469.92</v>
      </c>
      <c r="GX20" s="973">
        <f t="shared" si="68"/>
        <v>0</v>
      </c>
      <c r="GY20" s="971">
        <f t="shared" si="127"/>
        <v>0</v>
      </c>
      <c r="GZ20" s="976" cm="1">
        <f t="array" ref="GZ20">+ROUND(IF(GY20&lt;1,interpoler($A$5:$A$24,$B$5:$B$24,(GR20-$B$1)),interpoler(CIH!$K$72:$K$103,CIH!$L$72:$L$103,GY20))+$GW$2,5)</f>
        <v>2.9780000000000001E-2</v>
      </c>
      <c r="HA20" s="847">
        <f t="shared" si="129"/>
        <v>0</v>
      </c>
      <c r="HD20" s="1382">
        <f t="shared" si="70"/>
        <v>0</v>
      </c>
      <c r="HE20" s="309">
        <v>42926</v>
      </c>
      <c r="HF20" s="211">
        <v>13</v>
      </c>
      <c r="HG20" s="304">
        <f t="shared" si="103"/>
        <v>43958.369999999981</v>
      </c>
      <c r="HH20" s="196">
        <v>3645.83</v>
      </c>
      <c r="HI20" s="198">
        <f t="shared" si="104"/>
        <v>485.73</v>
      </c>
      <c r="HJ20" s="198">
        <f t="shared" si="71"/>
        <v>4131.5600000000004</v>
      </c>
      <c r="HK20" s="198">
        <f t="shared" si="72"/>
        <v>0</v>
      </c>
      <c r="HL20" s="198">
        <f t="shared" si="73"/>
        <v>0</v>
      </c>
      <c r="HM20" s="199" cm="1">
        <f t="array" ref="HM20">+ROUND(IF(HL20&lt;1,interpoler($A$5:$A$24,$B$5:$B$24,(HE20-$B$1)),interpoler($C$5:$C$24,$D$5:$D$24,HL20))+$HJ$2,5)</f>
        <v>2.7279999999999999E-2</v>
      </c>
      <c r="HN20" s="198">
        <f t="shared" si="74"/>
        <v>0</v>
      </c>
      <c r="HR20" s="150">
        <v>7</v>
      </c>
      <c r="HS20" s="714">
        <v>46112</v>
      </c>
      <c r="HT20" s="205">
        <v>13</v>
      </c>
      <c r="HU20" s="718">
        <f t="shared" si="105"/>
        <v>93.936769599999963</v>
      </c>
      <c r="HV20" s="718">
        <v>131.58586890000001</v>
      </c>
      <c r="HW20" s="786">
        <v>9.2259224</v>
      </c>
      <c r="HX20" s="198">
        <f t="shared" si="75"/>
        <v>140.81179130000001</v>
      </c>
      <c r="HY20" s="198">
        <f t="shared" si="76"/>
        <v>140.81179130000001</v>
      </c>
      <c r="HZ20" s="198">
        <f t="shared" si="124"/>
        <v>1.095890410958944E-2</v>
      </c>
      <c r="IA20" s="199" cm="1">
        <f t="array" ref="IA20">+ROUND(IF(HZ20&lt;1,interpoler($A$5:$A$24,$B$5:$B$24,(HS20-$B$1)),interpoler($C$5:$C$24,$D$5:$D$24,HZ20))+$HX$2,5)</f>
        <v>2.3279999999999999E-2</v>
      </c>
      <c r="IB20" s="212">
        <f t="shared" si="122"/>
        <v>140.77629999999999</v>
      </c>
      <c r="IC20" s="221"/>
      <c r="ID20" s="150">
        <v>13</v>
      </c>
      <c r="IE20" s="714">
        <v>46295</v>
      </c>
      <c r="IF20" s="205">
        <v>13</v>
      </c>
      <c r="IG20" s="205">
        <v>63888.89</v>
      </c>
      <c r="IH20" s="766">
        <v>2777.78</v>
      </c>
      <c r="II20" s="765">
        <v>1253.42</v>
      </c>
      <c r="IJ20" s="198">
        <f t="shared" si="79"/>
        <v>4031.2</v>
      </c>
      <c r="IK20" s="212">
        <f t="shared" si="80"/>
        <v>4031.2</v>
      </c>
      <c r="IL20" s="761">
        <f t="shared" si="107"/>
        <v>0.52732240439999956</v>
      </c>
      <c r="IM20" s="199" cm="1">
        <f t="array" ref="IM20">+ROUND(IF(IL20&lt;1,interpoler($A$5:$A$24,$B$5:$B$24,(IE20-$B$1)),interpoler($C$5:$C$24,$D$5:$D$24,IL20))+$IJ$2,5)</f>
        <v>3.7159999999999999E-2</v>
      </c>
      <c r="IN20" s="198">
        <f t="shared" si="81"/>
        <v>3954.3811000000001</v>
      </c>
      <c r="IP20" s="1382">
        <v>13</v>
      </c>
      <c r="IQ20" s="714">
        <v>47084</v>
      </c>
      <c r="IR20" s="205">
        <v>13</v>
      </c>
      <c r="IS20" s="198">
        <v>14571</v>
      </c>
      <c r="IT20" s="198">
        <v>3907</v>
      </c>
      <c r="IU20" s="198">
        <v>134.43</v>
      </c>
      <c r="IV20" s="198">
        <f t="shared" si="82"/>
        <v>4041.43</v>
      </c>
      <c r="IW20" s="212">
        <f t="shared" si="83"/>
        <v>4041.43</v>
      </c>
      <c r="IX20" s="447">
        <f t="shared" si="108"/>
        <v>2.6766304347826084</v>
      </c>
      <c r="IY20" s="199" cm="1">
        <f t="array" ref="IY20">+ROUND(IF(IX20&lt;1,interpoler($A$5:$A$24,$B$5:$B$24,(IQ20-$B$1)),interpoler($C$5:$C$24,$D$5:$D$24,IX20))+$IV$2,5)</f>
        <v>3.3550000000000003E-2</v>
      </c>
      <c r="IZ20" s="198">
        <f t="shared" si="84"/>
        <v>3699.7719473117209</v>
      </c>
      <c r="JD20" s="150"/>
      <c r="JE20" s="714"/>
      <c r="JF20" s="205"/>
      <c r="JG20" s="205"/>
      <c r="JH20" s="766"/>
      <c r="JI20" s="765"/>
      <c r="JJ20" s="198"/>
      <c r="JK20" s="212"/>
      <c r="JL20" s="761"/>
      <c r="JM20" s="199"/>
      <c r="JN20" s="198"/>
      <c r="JP20" s="150"/>
      <c r="JQ20" s="200" t="s">
        <v>3048</v>
      </c>
      <c r="JR20" s="205">
        <v>13</v>
      </c>
      <c r="JS20" s="205">
        <v>77500</v>
      </c>
      <c r="JT20" s="205">
        <v>2500</v>
      </c>
      <c r="JU20" s="765">
        <v>1090</v>
      </c>
      <c r="JV20" s="198">
        <f t="shared" si="106"/>
        <v>3590</v>
      </c>
      <c r="JW20" s="212">
        <f t="shared" si="111"/>
        <v>3590</v>
      </c>
      <c r="JX20" s="1335">
        <f t="shared" si="117"/>
        <v>1.5489130434782608</v>
      </c>
      <c r="JY20" s="199" cm="1">
        <f t="array" ref="JY20">ROUND(interpoler(mat_zc,Taux_ZC,JX20)+$JV$2,5)</f>
        <v>4.5999999999999999E-2</v>
      </c>
      <c r="JZ20" s="198">
        <f t="shared" si="118"/>
        <v>3348.4326000000001</v>
      </c>
      <c r="KB20" s="205" t="s">
        <v>3084</v>
      </c>
      <c r="KC20" s="205">
        <v>13</v>
      </c>
      <c r="KD20" s="205">
        <v>12891.7</v>
      </c>
      <c r="KE20" s="205">
        <v>6445.85</v>
      </c>
      <c r="KF20" s="765">
        <v>966.88</v>
      </c>
      <c r="KG20" s="198">
        <f t="shared" si="109"/>
        <v>7412.73</v>
      </c>
      <c r="KH20" s="212">
        <f t="shared" si="85"/>
        <v>7412.73</v>
      </c>
      <c r="KI20" s="770">
        <f t="shared" si="123"/>
        <v>6.4794520547945211</v>
      </c>
      <c r="KJ20" s="199" cm="1">
        <f t="array" ref="KJ20">ROUND(interpoler(mat_zc,Taux_ZC,KI20)+$KG$2,5)</f>
        <v>4.8770000000000001E-2</v>
      </c>
      <c r="KK20" s="198">
        <f t="shared" si="119"/>
        <v>5444.7939999999999</v>
      </c>
      <c r="KN20" s="1603">
        <v>50446</v>
      </c>
      <c r="KO20" s="205">
        <v>13</v>
      </c>
      <c r="KP20" s="1604">
        <v>100000</v>
      </c>
      <c r="KQ20" s="1443">
        <v>0</v>
      </c>
      <c r="KR20" s="1443">
        <v>4470</v>
      </c>
      <c r="KS20" s="198">
        <f t="shared" si="110"/>
        <v>4470</v>
      </c>
      <c r="KT20" s="212">
        <f t="shared" si="87"/>
        <v>4470</v>
      </c>
      <c r="KU20" s="1607">
        <f t="shared" si="114"/>
        <v>11.87945205479452</v>
      </c>
      <c r="KV20" s="199" cm="1">
        <f t="array" ref="KV20">ROUND(interpoler(mat_zc,Taux_ZC,KU20)+$KS$2,5)</f>
        <v>4.0809999999999999E-2</v>
      </c>
      <c r="KW20" s="1612">
        <f t="shared" si="120"/>
        <v>2779.3557999999998</v>
      </c>
    </row>
    <row r="21" spans="1:309" ht="16.5" thickBot="1" x14ac:dyDescent="0.3">
      <c r="A21" s="95">
        <f>+CIH!A24</f>
        <v>326</v>
      </c>
      <c r="B21" s="315">
        <f>+CIH!B24</f>
        <v>2.4974686420831338E-2</v>
      </c>
      <c r="C21" s="95">
        <f>+CIH!K21</f>
        <v>17</v>
      </c>
      <c r="D21" s="145">
        <f>+CIH!L21</f>
        <v>3.6745176572350546E-2</v>
      </c>
      <c r="E21" s="157"/>
      <c r="F21" s="156"/>
      <c r="G21" s="150">
        <f t="shared" si="0"/>
        <v>1</v>
      </c>
      <c r="H21" s="117">
        <f>J10</f>
        <v>90944.2</v>
      </c>
      <c r="I21" s="117">
        <f>H21-G21</f>
        <v>90943.2</v>
      </c>
      <c r="J21" s="192">
        <v>42427.17</v>
      </c>
      <c r="K21" s="193">
        <v>4436.7700000000004</v>
      </c>
      <c r="L21" s="137">
        <f t="shared" ref="L21:L33" si="130">+ROUND($M$1*J21/4,2)</f>
        <v>659.74</v>
      </c>
      <c r="M21" s="137">
        <f t="shared" ref="M21:M33" si="131">+ROUND(K21+L21,2)</f>
        <v>5096.51</v>
      </c>
      <c r="N21" s="137">
        <f t="shared" si="3"/>
        <v>5096.51</v>
      </c>
      <c r="O21" s="137">
        <f t="shared" si="4"/>
        <v>-2.3528453769598809</v>
      </c>
      <c r="P21" s="146" t="e" cm="1">
        <f t="array" ref="P21">+ROUND(IF(O21&lt;1,interpoler($A$5:$A$24,$B$5:$B$24,(H21-$B$1)),interpoler($C$5:$C$24,$D$5:$D$24,O21))+$M$2,6)</f>
        <v>#VALUE!</v>
      </c>
      <c r="Q21" s="137" t="e">
        <f t="shared" si="5"/>
        <v>#VALUE!</v>
      </c>
      <c r="R21" s="172"/>
      <c r="S21" s="150">
        <f t="shared" si="6"/>
        <v>0</v>
      </c>
      <c r="T21" s="194">
        <v>38637</v>
      </c>
      <c r="U21" s="205">
        <v>14</v>
      </c>
      <c r="V21" s="196">
        <v>100000</v>
      </c>
      <c r="W21" s="207">
        <v>0</v>
      </c>
      <c r="X21" s="198">
        <f t="shared" si="7"/>
        <v>1830</v>
      </c>
      <c r="Y21" s="198">
        <f t="shared" si="8"/>
        <v>1830</v>
      </c>
      <c r="Z21" s="198">
        <f t="shared" si="9"/>
        <v>0</v>
      </c>
      <c r="AA21" s="198">
        <f t="shared" si="10"/>
        <v>0</v>
      </c>
      <c r="AB21" s="199" cm="1">
        <f t="array" ref="AB21">+ROUND(IF(AA21&lt;1,interpoler($A$5:$A$24,$B$5:$B$24,(T21-$B$1)),interpoler($C$5:$C$24,$D$5:$D$24,AA21))+$Y$2,6)</f>
        <v>3.0780999999999999E-2</v>
      </c>
      <c r="AC21" s="198">
        <f t="shared" si="11"/>
        <v>0</v>
      </c>
      <c r="AE21" s="150">
        <f t="shared" si="12"/>
        <v>0</v>
      </c>
      <c r="AF21" s="117">
        <v>39884</v>
      </c>
      <c r="AG21" s="120">
        <v>14</v>
      </c>
      <c r="AH21" s="121">
        <f t="shared" si="125"/>
        <v>5209.45</v>
      </c>
      <c r="AI21" s="121">
        <v>3332.94</v>
      </c>
      <c r="AJ21" s="137">
        <f t="shared" si="13"/>
        <v>66.55</v>
      </c>
      <c r="AK21" s="137">
        <f t="shared" si="14"/>
        <v>3399.49</v>
      </c>
      <c r="AL21" s="137">
        <f t="shared" si="15"/>
        <v>0</v>
      </c>
      <c r="AM21" s="137">
        <f t="shared" si="16"/>
        <v>0</v>
      </c>
      <c r="AN21" s="146" cm="1">
        <f t="array" ref="AN21">+ROUND(IF(AM21&lt;1,interpoler($A$5:$A$24,$B$5:$B$24,(AF21-$B$1)),interpoler($C$5:$C$24,$D$5:$D$24,AM21))+$AK$2,6)</f>
        <v>2.7281E-2</v>
      </c>
      <c r="AO21" s="137">
        <f t="shared" si="17"/>
        <v>0</v>
      </c>
      <c r="AP21" s="172">
        <f t="shared" si="18"/>
        <v>3332.94</v>
      </c>
      <c r="AQ21" s="150">
        <f t="shared" si="19"/>
        <v>0</v>
      </c>
      <c r="AR21" s="194">
        <v>39884</v>
      </c>
      <c r="AS21" s="211">
        <v>14</v>
      </c>
      <c r="AT21" s="196">
        <v>100000</v>
      </c>
      <c r="AU21" s="196">
        <v>0</v>
      </c>
      <c r="AV21" s="198">
        <f t="shared" si="20"/>
        <v>1597.5</v>
      </c>
      <c r="AW21" s="198">
        <f t="shared" si="21"/>
        <v>1597.5</v>
      </c>
      <c r="AX21" s="198">
        <f t="shared" si="22"/>
        <v>0</v>
      </c>
      <c r="AY21" s="198">
        <f t="shared" si="23"/>
        <v>0</v>
      </c>
      <c r="AZ21" s="199" cm="1">
        <f t="array" ref="AZ21">+ROUND(IF(AY21&lt;1,interpoler($A$5:$A$24,$B$5:$B$24,(AR21-$B$1)),interpoler($C$5:$C$24,$D$5:$D$24,AY21))+$AW$2,6)</f>
        <v>2.9780999999999998E-2</v>
      </c>
      <c r="BA21" s="198">
        <f t="shared" si="24"/>
        <v>0</v>
      </c>
      <c r="BC21" s="599">
        <f t="shared" si="25"/>
        <v>0</v>
      </c>
      <c r="BD21" s="669">
        <v>41074</v>
      </c>
      <c r="BE21" s="526">
        <v>14</v>
      </c>
      <c r="BF21" s="841">
        <f>+BF20-BG20</f>
        <v>68412.37999999999</v>
      </c>
      <c r="BG21" s="835">
        <v>2393.87</v>
      </c>
      <c r="BH21" s="529">
        <f t="shared" si="90"/>
        <v>826.08</v>
      </c>
      <c r="BI21" s="529">
        <f t="shared" si="26"/>
        <v>3219.95</v>
      </c>
      <c r="BJ21" s="529">
        <f t="shared" si="27"/>
        <v>0</v>
      </c>
      <c r="BK21" s="529">
        <f t="shared" si="28"/>
        <v>0</v>
      </c>
      <c r="BL21" s="530" cm="1">
        <f t="array" ref="BL21">+ROUND(IF(BK21&lt;1,interpoler($A$5:$A$24,$B$5:$B$24,(BD21-$B$1)),interpoler($C$5:$C$24,$D$5:$D$24,BK21))+$BI$2,6)</f>
        <v>3.3280999999999998E-2</v>
      </c>
      <c r="BM21" s="529">
        <f t="shared" si="29"/>
        <v>0</v>
      </c>
      <c r="BN21" s="280"/>
      <c r="BP21" s="150">
        <f t="shared" si="30"/>
        <v>13</v>
      </c>
      <c r="BQ21" s="194" t="s">
        <v>979</v>
      </c>
      <c r="BR21" s="211">
        <v>14</v>
      </c>
      <c r="BS21" s="304">
        <f t="shared" si="91"/>
        <v>58064.516129032207</v>
      </c>
      <c r="BT21" s="196">
        <v>3225.8064516129034</v>
      </c>
      <c r="BU21" s="198">
        <f t="shared" si="92"/>
        <v>655.87</v>
      </c>
      <c r="BV21" s="198">
        <f t="shared" si="31"/>
        <v>3881.68</v>
      </c>
      <c r="BW21" s="198">
        <f t="shared" si="32"/>
        <v>3881.68</v>
      </c>
      <c r="BX21" s="198">
        <f t="shared" si="33"/>
        <v>3.8296986518636005</v>
      </c>
      <c r="BY21" s="199" cm="1">
        <f t="array" ref="BY21">+ROUND(IF(BX21&lt;1,interpoler($A$5:$A$24,$B$5:$B$24,(BQ21-$B$1)),interpoler($C$5:$C$24,$D$5:$D$24,BX21))+$BV$2,6)</f>
        <v>3.3563999999999997E-2</v>
      </c>
      <c r="BZ21" s="198">
        <f t="shared" si="34"/>
        <v>3420.6757428480219</v>
      </c>
      <c r="CB21" s="150">
        <f t="shared" si="35"/>
        <v>0</v>
      </c>
      <c r="CC21" s="868">
        <v>44371</v>
      </c>
      <c r="CD21" s="857">
        <v>14</v>
      </c>
      <c r="CE21" s="859">
        <f>CE20-CF21</f>
        <v>100000</v>
      </c>
      <c r="CF21" s="1035">
        <v>0</v>
      </c>
      <c r="CG21" s="847">
        <f>ROUNDDOWN(CE20*$CH$1/4,2)</f>
        <v>1007.5</v>
      </c>
      <c r="CH21" s="847">
        <f t="shared" si="36"/>
        <v>1007.5</v>
      </c>
      <c r="CI21" s="847">
        <f t="shared" si="37"/>
        <v>0</v>
      </c>
      <c r="CJ21" s="847">
        <f t="shared" si="121"/>
        <v>-4.7173913000000001</v>
      </c>
      <c r="CK21" s="848" cm="1">
        <f t="array" ref="CK21">ROUND(ROUND(IF(CJ21&lt;1,interpoler($A$5:$A$24,$B$5:$B$24,(CC21-$B$1)),interpoler($C$5:$C$24,$D$5:$D$24,CJ21))+$CH$2,5),5)</f>
        <v>2.878E-2</v>
      </c>
      <c r="CL21" s="847">
        <f t="shared" si="115"/>
        <v>0</v>
      </c>
      <c r="CM21" s="280"/>
      <c r="CN21" s="150">
        <f t="shared" si="38"/>
        <v>0</v>
      </c>
      <c r="CO21" s="869">
        <v>44463</v>
      </c>
      <c r="CP21" s="857">
        <v>14</v>
      </c>
      <c r="CQ21" s="859">
        <f>CQ20-CR21</f>
        <v>39394.42000000002</v>
      </c>
      <c r="CR21" s="859">
        <v>2454.71</v>
      </c>
      <c r="CS21" s="862">
        <f>ROUNDDOWN(CQ20*$CT$1/4,2)</f>
        <v>336.88</v>
      </c>
      <c r="CT21" s="847">
        <f t="shared" si="39"/>
        <v>2791.59</v>
      </c>
      <c r="CU21" s="847">
        <f t="shared" si="40"/>
        <v>0</v>
      </c>
      <c r="CV21" s="863">
        <f t="shared" si="128"/>
        <v>0</v>
      </c>
      <c r="CW21" s="864" cm="1">
        <f t="array" ref="CW21">+ROUND(IF(CV21&lt;1,interpoler($A$5:$A$24,$B$5:$B$24,(CO21-$B$1)),interpoler($C$5:$C$24,$D$5:$D$24,CV21))+$CT$2,5)</f>
        <v>2.7279999999999999E-2</v>
      </c>
      <c r="CX21" s="861">
        <f t="shared" si="116"/>
        <v>0</v>
      </c>
      <c r="CY21" s="448"/>
      <c r="DH21"/>
      <c r="DI21"/>
      <c r="DJ21"/>
      <c r="DK21"/>
      <c r="DL21"/>
      <c r="DQ21" s="211">
        <f t="shared" si="42"/>
        <v>0</v>
      </c>
      <c r="DR21" s="524">
        <v>42201</v>
      </c>
      <c r="DS21" s="211">
        <v>14</v>
      </c>
      <c r="DT21" s="304">
        <f t="shared" si="94"/>
        <v>62998.23</v>
      </c>
      <c r="DU21" s="402">
        <v>2696.77</v>
      </c>
      <c r="DV21" s="198">
        <f t="shared" si="95"/>
        <v>730.86</v>
      </c>
      <c r="DW21" s="198">
        <f t="shared" si="43"/>
        <v>3427.63</v>
      </c>
      <c r="DX21" s="198">
        <f t="shared" si="44"/>
        <v>0</v>
      </c>
      <c r="DY21" s="198">
        <f t="shared" si="45"/>
        <v>0</v>
      </c>
      <c r="DZ21" s="199" cm="1">
        <f t="array" ref="DZ21">+ROUND(IF(DY21&lt;1,interpoler($A$5:$A$24,$B$5:$B$24,(DR21-$B$1)),interpoler($C$5:$C$24,$D$5:$D$24,DY21))+$DW$2,5)</f>
        <v>2.5680000000000001E-2</v>
      </c>
      <c r="EA21" s="198">
        <f t="shared" si="46"/>
        <v>0</v>
      </c>
      <c r="EC21" s="211">
        <f t="shared" si="47"/>
        <v>0</v>
      </c>
      <c r="ED21" s="524">
        <v>44736</v>
      </c>
      <c r="EE21" s="211">
        <v>14</v>
      </c>
      <c r="EF21" s="924">
        <v>4285.3999999999996</v>
      </c>
      <c r="EG21" s="924">
        <v>1712.43</v>
      </c>
      <c r="EH21" s="924">
        <v>31.81</v>
      </c>
      <c r="EI21" s="768">
        <f t="shared" si="48"/>
        <v>1744.24</v>
      </c>
      <c r="EJ21" s="768">
        <f t="shared" si="49"/>
        <v>0</v>
      </c>
      <c r="EK21" s="937">
        <f t="shared" si="50"/>
        <v>0</v>
      </c>
      <c r="EL21" s="935" cm="1">
        <f t="array" ref="EL21">+ROUND(IF(EK21&lt;1,interpoler($A$5:$A$24,$B$5:$B$24,(ED21-$B$1)),interpoler($C$5:$C$24,$D$5:$D$24,EK21))+$EI$2,5)</f>
        <v>2.7279999999999999E-2</v>
      </c>
      <c r="EM21" s="768">
        <f t="shared" si="51"/>
        <v>0</v>
      </c>
      <c r="EN21" s="692">
        <f t="shared" si="96"/>
        <v>10889.009999999997</v>
      </c>
      <c r="EO21" s="280"/>
      <c r="EQ21" s="211">
        <f t="shared" si="52"/>
        <v>0</v>
      </c>
      <c r="ER21" s="524">
        <v>44736</v>
      </c>
      <c r="ES21" s="211">
        <v>14</v>
      </c>
      <c r="ET21" s="304">
        <f t="shared" si="97"/>
        <v>-94670.010000000009</v>
      </c>
      <c r="EU21" s="296">
        <v>2262.1799999999998</v>
      </c>
      <c r="EV21" s="198">
        <f t="shared" si="98"/>
        <v>-686.12</v>
      </c>
      <c r="EW21" s="198">
        <f t="shared" si="53"/>
        <v>1576.06</v>
      </c>
      <c r="EX21" s="198">
        <f t="shared" si="54"/>
        <v>0</v>
      </c>
      <c r="EY21" s="198">
        <f t="shared" si="99"/>
        <v>0</v>
      </c>
      <c r="EZ21" s="530" cm="1">
        <f t="array" ref="EZ21">+ROUND(IF(EY21&lt;1,interpoler($A$5:$A$24,$B$5:$B$24,(ER21-$B$1)),interpoler($C$5:$C$24,$D$5:$D$24,EY21))+$EV$2,5)</f>
        <v>2.7279999999999999E-2</v>
      </c>
      <c r="FA21" s="198">
        <f t="shared" si="55"/>
        <v>0</v>
      </c>
      <c r="FD21" s="526">
        <f t="shared" si="56"/>
        <v>0</v>
      </c>
      <c r="FE21" s="802">
        <v>45101</v>
      </c>
      <c r="FF21" s="803">
        <v>14</v>
      </c>
      <c r="FG21" s="811">
        <v>60655.68</v>
      </c>
      <c r="FH21" s="812">
        <v>3347.75</v>
      </c>
      <c r="FI21" s="812">
        <v>459.46</v>
      </c>
      <c r="FJ21" s="807">
        <f t="shared" si="57"/>
        <v>3807.21</v>
      </c>
      <c r="FK21" s="807">
        <f t="shared" si="58"/>
        <v>0</v>
      </c>
      <c r="FL21" s="808">
        <f t="shared" si="112"/>
        <v>-2.73369565</v>
      </c>
      <c r="FM21" s="809" cm="1">
        <f t="array" ref="FM21">+ROUND(IF(FL21&lt;1,interpoler($A$5:$A$24,$B$5:$B$24,(FE21-$B$1)),interpoler($C$5:$C$24,$D$5:$D$24,FL21))+$FI$2,5)</f>
        <v>2.7779999999999999E-2</v>
      </c>
      <c r="FN21" s="810">
        <f t="shared" si="100"/>
        <v>0</v>
      </c>
      <c r="FO21" s="813"/>
      <c r="FP21" s="221"/>
      <c r="FQ21" s="526">
        <f t="shared" si="59"/>
        <v>0</v>
      </c>
      <c r="FR21" s="815">
        <v>45101</v>
      </c>
      <c r="FS21" s="816">
        <v>14</v>
      </c>
      <c r="FT21" s="900">
        <v>100000</v>
      </c>
      <c r="FU21" s="821">
        <v>0</v>
      </c>
      <c r="FV21" s="818">
        <v>877.5</v>
      </c>
      <c r="FW21" s="818">
        <f t="shared" si="60"/>
        <v>877.5</v>
      </c>
      <c r="FX21" s="818">
        <f t="shared" si="61"/>
        <v>0</v>
      </c>
      <c r="FY21" s="819">
        <f t="shared" si="113"/>
        <v>-2.73369565</v>
      </c>
      <c r="FZ21" s="820" cm="1">
        <f t="array" ref="FZ21">+ROUND(IF(FY21&lt;1,interpoler($A$5:$A$24,$B$5:$B$24,(FR21-$B$1)),interpoler(CIH!$K$72:$K$103,CIH!$L$72:$L$103,FY21))+$FV$2,5)</f>
        <v>2.928E-2</v>
      </c>
      <c r="GA21" s="818">
        <f t="shared" si="62"/>
        <v>0</v>
      </c>
      <c r="GB21" s="484"/>
      <c r="GC21" s="522"/>
      <c r="GD21" s="150">
        <f t="shared" si="63"/>
        <v>0</v>
      </c>
      <c r="GE21" s="856">
        <v>45650</v>
      </c>
      <c r="GF21" s="857">
        <v>14</v>
      </c>
      <c r="GG21" s="858">
        <v>68964.009999999995</v>
      </c>
      <c r="GH21" s="859">
        <v>2207.3200000000002</v>
      </c>
      <c r="GI21" s="846">
        <v>453.43</v>
      </c>
      <c r="GJ21" s="847">
        <f t="shared" si="64"/>
        <v>2660.75</v>
      </c>
      <c r="GK21" s="847">
        <f t="shared" si="65"/>
        <v>0</v>
      </c>
      <c r="GL21" s="860">
        <f t="shared" si="126"/>
        <v>0</v>
      </c>
      <c r="GM21" s="848" cm="1">
        <f t="array" ref="GM21">ROUND(interpoler(mat_zc,Taux_ZC,GL21)+$GJ$2,5)</f>
        <v>2.828E-2</v>
      </c>
      <c r="GN21" s="861">
        <f t="shared" si="102"/>
        <v>0</v>
      </c>
      <c r="GO21" s="198"/>
      <c r="GQ21" s="150">
        <f t="shared" si="66"/>
        <v>0</v>
      </c>
      <c r="GR21" s="856">
        <v>45650</v>
      </c>
      <c r="GS21" s="1030">
        <v>14</v>
      </c>
      <c r="GT21" s="967">
        <v>89582.68</v>
      </c>
      <c r="GU21" s="968">
        <v>740.88</v>
      </c>
      <c r="GV21" s="969">
        <v>694.26</v>
      </c>
      <c r="GW21" s="971">
        <f t="shared" si="67"/>
        <v>1435.14</v>
      </c>
      <c r="GX21" s="973">
        <f t="shared" si="68"/>
        <v>0</v>
      </c>
      <c r="GY21" s="971">
        <f t="shared" si="127"/>
        <v>0</v>
      </c>
      <c r="GZ21" s="976" cm="1">
        <f t="array" ref="GZ21">+ROUND(IF(GY21&lt;1,interpoler($A$5:$A$24,$B$5:$B$24,(GR21-$B$1)),interpoler(CIH!$K$72:$K$103,CIH!$L$72:$L$103,GY21))+$GW$2,5)</f>
        <v>2.9780000000000001E-2</v>
      </c>
      <c r="HA21" s="847">
        <f t="shared" si="129"/>
        <v>0</v>
      </c>
      <c r="HD21" s="1382">
        <f t="shared" si="70"/>
        <v>0</v>
      </c>
      <c r="HE21" s="309">
        <v>43018</v>
      </c>
      <c r="HF21" s="211">
        <v>14</v>
      </c>
      <c r="HG21" s="304">
        <f t="shared" si="103"/>
        <v>40312.539999999979</v>
      </c>
      <c r="HH21" s="196">
        <v>3541.66</v>
      </c>
      <c r="HI21" s="198">
        <f t="shared" si="104"/>
        <v>445.45</v>
      </c>
      <c r="HJ21" s="198">
        <f t="shared" si="71"/>
        <v>3987.11</v>
      </c>
      <c r="HK21" s="198">
        <f t="shared" si="72"/>
        <v>0</v>
      </c>
      <c r="HL21" s="198">
        <f t="shared" si="73"/>
        <v>0</v>
      </c>
      <c r="HM21" s="199" cm="1">
        <f t="array" ref="HM21">+ROUND(IF(HL21&lt;1,interpoler($A$5:$A$24,$B$5:$B$24,(HE21-$B$1)),interpoler($C$5:$C$24,$D$5:$D$24,HL21))+$HJ$2,5)</f>
        <v>2.7279999999999999E-2</v>
      </c>
      <c r="HN21" s="198">
        <f t="shared" si="74"/>
        <v>0</v>
      </c>
      <c r="HR21" s="150">
        <v>8</v>
      </c>
      <c r="HS21" s="714">
        <v>46477</v>
      </c>
      <c r="HT21" s="205">
        <v>14</v>
      </c>
      <c r="HU21" s="718">
        <f t="shared" si="105"/>
        <v>9.1599999961999856E-5</v>
      </c>
      <c r="HV21" s="718">
        <v>93.936678000000001</v>
      </c>
      <c r="HW21" s="786">
        <v>5.1273283000000003</v>
      </c>
      <c r="HX21" s="198">
        <f t="shared" si="75"/>
        <v>99.064006300000003</v>
      </c>
      <c r="HY21" s="198">
        <f t="shared" si="76"/>
        <v>99.064006300000003</v>
      </c>
      <c r="HZ21" s="198">
        <f t="shared" si="124"/>
        <v>1.0109589041095894</v>
      </c>
      <c r="IA21" s="199" cm="1">
        <f t="array" ref="IA21">+ROUND(IF(HZ21&lt;1,interpoler($A$5:$A$24,$B$5:$B$24,(HS21-$B$1)),interpoler($C$5:$C$24,$D$5:$D$24,HZ21))+$HX$2,5)</f>
        <v>2.5159999999999998E-2</v>
      </c>
      <c r="IB21" s="212">
        <f t="shared" si="122"/>
        <v>96.606399999999994</v>
      </c>
      <c r="IC21" s="221"/>
      <c r="ID21" s="150">
        <v>14</v>
      </c>
      <c r="IE21" s="714">
        <v>46477</v>
      </c>
      <c r="IF21" s="205">
        <v>14</v>
      </c>
      <c r="IG21" s="205">
        <v>61111.11</v>
      </c>
      <c r="IH21" s="766">
        <v>2777.78</v>
      </c>
      <c r="II21" s="765">
        <v>1194.6300000000001</v>
      </c>
      <c r="IJ21" s="198">
        <f t="shared" si="79"/>
        <v>3972.41</v>
      </c>
      <c r="IK21" s="212">
        <f t="shared" si="80"/>
        <v>3972.41</v>
      </c>
      <c r="IL21" s="761">
        <f t="shared" si="107"/>
        <v>1.0109589040999998</v>
      </c>
      <c r="IM21" s="199" cm="1">
        <f t="array" ref="IM21">+ROUND(IF(IL21&lt;1,interpoler($A$5:$A$24,$B$5:$B$24,(IE21-$B$1)),interpoler($C$5:$C$24,$D$5:$D$24,IL21))+$IJ$2,5)</f>
        <v>3.8159999999999999E-2</v>
      </c>
      <c r="IN21" s="198">
        <f t="shared" si="81"/>
        <v>3824.8247000000001</v>
      </c>
      <c r="IP21" s="1382">
        <v>14</v>
      </c>
      <c r="IQ21" s="714">
        <v>47176</v>
      </c>
      <c r="IR21" s="205">
        <v>14</v>
      </c>
      <c r="IS21" s="198">
        <v>11020</v>
      </c>
      <c r="IT21" s="198">
        <v>3551</v>
      </c>
      <c r="IU21" s="198">
        <v>106</v>
      </c>
      <c r="IV21" s="198">
        <f t="shared" si="82"/>
        <v>3657</v>
      </c>
      <c r="IW21" s="212">
        <f t="shared" si="83"/>
        <v>3657</v>
      </c>
      <c r="IX21" s="447">
        <f t="shared" si="108"/>
        <v>2.9266304347826084</v>
      </c>
      <c r="IY21" s="199" cm="1">
        <f t="array" ref="IY21">+ROUND(IF(IX21&lt;1,interpoler($A$5:$A$24,$B$5:$B$24,(IQ21-$B$1)),interpoler($C$5:$C$24,$D$5:$D$24,IX21))+$IV$2,5)</f>
        <v>3.3939999999999998E-2</v>
      </c>
      <c r="IZ21" s="198">
        <f t="shared" si="84"/>
        <v>3316.6715492494886</v>
      </c>
      <c r="JD21" s="150"/>
      <c r="JE21" s="714"/>
      <c r="JF21" s="205"/>
      <c r="JG21" s="205"/>
      <c r="JH21" s="766"/>
      <c r="JI21" s="765"/>
      <c r="JJ21" s="198"/>
      <c r="JK21" s="212"/>
      <c r="JL21" s="761"/>
      <c r="JM21" s="199"/>
      <c r="JN21" s="198"/>
      <c r="JP21" s="150"/>
      <c r="JQ21" s="200" t="s">
        <v>3049</v>
      </c>
      <c r="JR21" s="205">
        <v>14</v>
      </c>
      <c r="JS21" s="205">
        <v>75000</v>
      </c>
      <c r="JT21" s="205">
        <v>2500</v>
      </c>
      <c r="JU21" s="765">
        <v>1055.93</v>
      </c>
      <c r="JV21" s="198">
        <f t="shared" si="106"/>
        <v>3555.9300000000003</v>
      </c>
      <c r="JW21" s="212">
        <f t="shared" si="111"/>
        <v>3555.9300000000003</v>
      </c>
      <c r="JX21" s="1335">
        <f t="shared" si="117"/>
        <v>1.7989130434782608</v>
      </c>
      <c r="JY21" s="199" cm="1">
        <f t="array" ref="JY21">ROUND(interpoler(mat_zc,Taux_ZC,JX21)+$JV$2,5)</f>
        <v>4.6390000000000001E-2</v>
      </c>
      <c r="JZ21" s="198">
        <f t="shared" si="118"/>
        <v>3277.3751999999999</v>
      </c>
      <c r="KB21" s="205" t="s">
        <v>3085</v>
      </c>
      <c r="KC21" s="205">
        <v>14</v>
      </c>
      <c r="KD21" s="205">
        <v>6445.85</v>
      </c>
      <c r="KE21" s="205">
        <v>6445.85</v>
      </c>
      <c r="KF21" s="765">
        <v>644.58000000000004</v>
      </c>
      <c r="KG21" s="198">
        <f t="shared" si="109"/>
        <v>7090.43</v>
      </c>
      <c r="KH21" s="212">
        <f t="shared" si="85"/>
        <v>7090.43</v>
      </c>
      <c r="KI21" s="770">
        <f t="shared" si="123"/>
        <v>7.4794520547945211</v>
      </c>
      <c r="KJ21" s="199" cm="1">
        <f t="array" ref="KJ21">ROUND(interpoler(mat_zc,Taux_ZC,KI21)+$KG$2,5)</f>
        <v>4.9279999999999997E-2</v>
      </c>
      <c r="KK21" s="198">
        <f t="shared" si="119"/>
        <v>4947.8483999999999</v>
      </c>
      <c r="KN21" s="1602">
        <v>50811</v>
      </c>
      <c r="KO21" s="205">
        <v>14</v>
      </c>
      <c r="KP21" s="1605">
        <v>100000</v>
      </c>
      <c r="KQ21" s="1442">
        <v>0</v>
      </c>
      <c r="KR21" s="1442">
        <v>4470</v>
      </c>
      <c r="KS21" s="198">
        <f t="shared" si="110"/>
        <v>4470</v>
      </c>
      <c r="KT21" s="212">
        <f t="shared" si="87"/>
        <v>4470</v>
      </c>
      <c r="KU21" s="1607">
        <f t="shared" si="114"/>
        <v>12.87945205479452</v>
      </c>
      <c r="KV21" s="199" cm="1">
        <f t="array" ref="KV21">ROUND(interpoler(mat_zc,Taux_ZC,KU21)+$KS$2,5)</f>
        <v>4.1480000000000003E-2</v>
      </c>
      <c r="KW21" s="1612">
        <f t="shared" si="120"/>
        <v>2648.3364999999999</v>
      </c>
    </row>
    <row r="22" spans="1:309" ht="16.5" thickBot="1" x14ac:dyDescent="0.3">
      <c r="A22" s="95">
        <f>+CIH!A25</f>
        <v>326</v>
      </c>
      <c r="B22" s="315">
        <f>+CIH!B25</f>
        <v>2.4974686420831338E-2</v>
      </c>
      <c r="C22" s="95">
        <f>+CIH!K22</f>
        <v>18</v>
      </c>
      <c r="D22" s="145">
        <f>+CIH!L22</f>
        <v>3.7027994063701275E-2</v>
      </c>
      <c r="E22" s="157"/>
      <c r="F22" s="156"/>
      <c r="G22" s="150">
        <f t="shared" si="0"/>
        <v>0</v>
      </c>
      <c r="H22" s="117">
        <v>38729</v>
      </c>
      <c r="I22" s="120">
        <v>15</v>
      </c>
      <c r="J22" s="192">
        <v>37990.400000000001</v>
      </c>
      <c r="K22" s="193">
        <v>4541.22</v>
      </c>
      <c r="L22" s="137">
        <f t="shared" si="130"/>
        <v>590.75</v>
      </c>
      <c r="M22" s="137">
        <f t="shared" si="131"/>
        <v>5131.97</v>
      </c>
      <c r="N22" s="137">
        <f t="shared" si="3"/>
        <v>0</v>
      </c>
      <c r="O22" s="137">
        <f t="shared" si="4"/>
        <v>0</v>
      </c>
      <c r="P22" s="146" cm="1">
        <f t="array" ref="P22">+ROUND(IF(O22&lt;1,interpoler($A$5:$A$24,$B$5:$B$24,(H22-$B$1)),interpoler($C$5:$C$24,$D$5:$D$24,O22))+$M$2,6)</f>
        <v>2.8781000000000001E-2</v>
      </c>
      <c r="Q22" s="137">
        <f t="shared" si="5"/>
        <v>0</v>
      </c>
      <c r="R22" s="172"/>
      <c r="S22" s="150">
        <f t="shared" si="6"/>
        <v>0</v>
      </c>
      <c r="T22" s="194">
        <v>38729</v>
      </c>
      <c r="U22" s="205">
        <v>15</v>
      </c>
      <c r="V22" s="196">
        <v>100000</v>
      </c>
      <c r="W22" s="207">
        <v>0</v>
      </c>
      <c r="X22" s="198">
        <f t="shared" si="7"/>
        <v>1830</v>
      </c>
      <c r="Y22" s="198">
        <f t="shared" si="8"/>
        <v>1830</v>
      </c>
      <c r="Z22" s="198">
        <f t="shared" si="9"/>
        <v>0</v>
      </c>
      <c r="AA22" s="198">
        <f t="shared" si="10"/>
        <v>0</v>
      </c>
      <c r="AB22" s="199" cm="1">
        <f t="array" ref="AB22">+ROUND(IF(AA22&lt;1,interpoler($A$5:$A$24,$B$5:$B$24,(T22-$B$1)),interpoler($C$5:$C$24,$D$5:$D$24,AA22))+$Y$2,6)</f>
        <v>3.0780999999999999E-2</v>
      </c>
      <c r="AC22" s="198">
        <f t="shared" si="11"/>
        <v>0</v>
      </c>
      <c r="AD22" s="173"/>
      <c r="AE22" s="150">
        <f t="shared" si="12"/>
        <v>0</v>
      </c>
      <c r="AF22" s="117">
        <v>39976</v>
      </c>
      <c r="AG22" s="120">
        <v>15</v>
      </c>
      <c r="AH22" s="121">
        <f t="shared" si="125"/>
        <v>1876.5099999999998</v>
      </c>
      <c r="AI22" s="121">
        <v>1876.51</v>
      </c>
      <c r="AJ22" s="137">
        <f t="shared" si="13"/>
        <v>23.97</v>
      </c>
      <c r="AK22" s="137">
        <f t="shared" si="14"/>
        <v>1900.48</v>
      </c>
      <c r="AL22" s="137">
        <f t="shared" si="15"/>
        <v>0</v>
      </c>
      <c r="AM22" s="137">
        <f t="shared" si="16"/>
        <v>0</v>
      </c>
      <c r="AN22" s="146" cm="1">
        <f t="array" ref="AN22">+ROUND(IF(AM22&lt;1,interpoler($A$5:$A$24,$B$5:$B$24,(AF22-$B$1)),interpoler($C$5:$C$24,$D$5:$D$24,AM22))+$AK$2,6)</f>
        <v>2.7281E-2</v>
      </c>
      <c r="AO22" s="137">
        <f t="shared" si="17"/>
        <v>0</v>
      </c>
      <c r="AP22" s="172">
        <f t="shared" si="18"/>
        <v>1876.51</v>
      </c>
      <c r="AQ22" s="150">
        <f t="shared" si="19"/>
        <v>0</v>
      </c>
      <c r="AR22" s="194">
        <v>39976</v>
      </c>
      <c r="AS22" s="211">
        <v>15</v>
      </c>
      <c r="AT22" s="196">
        <v>100000</v>
      </c>
      <c r="AU22" s="196">
        <v>2487.0700000000002</v>
      </c>
      <c r="AV22" s="198">
        <f t="shared" si="20"/>
        <v>1597.5</v>
      </c>
      <c r="AW22" s="198">
        <f t="shared" si="21"/>
        <v>4084.57</v>
      </c>
      <c r="AX22" s="198">
        <f t="shared" si="22"/>
        <v>0</v>
      </c>
      <c r="AY22" s="198">
        <f t="shared" si="23"/>
        <v>0</v>
      </c>
      <c r="AZ22" s="199" cm="1">
        <f t="array" ref="AZ22">+ROUND(IF(AY22&lt;1,interpoler($A$5:$A$24,$B$5:$B$24,(AR22-$B$1)),interpoler($C$5:$C$24,$D$5:$D$24,AY22))+$AW$2,6)</f>
        <v>2.9780999999999998E-2</v>
      </c>
      <c r="BA22" s="198">
        <f t="shared" si="24"/>
        <v>0</v>
      </c>
      <c r="BB22" s="221"/>
      <c r="BC22" s="599">
        <f t="shared" si="25"/>
        <v>0</v>
      </c>
      <c r="BD22" s="669">
        <v>41166</v>
      </c>
      <c r="BE22" s="526">
        <v>15</v>
      </c>
      <c r="BF22" s="841">
        <f>+BF21-BG21</f>
        <v>66018.509999999995</v>
      </c>
      <c r="BG22" s="835">
        <v>2250.59</v>
      </c>
      <c r="BH22" s="529">
        <f t="shared" si="90"/>
        <v>797.17</v>
      </c>
      <c r="BI22" s="529">
        <f t="shared" si="26"/>
        <v>3047.76</v>
      </c>
      <c r="BJ22" s="529">
        <f t="shared" si="27"/>
        <v>0</v>
      </c>
      <c r="BK22" s="529">
        <f t="shared" si="28"/>
        <v>0</v>
      </c>
      <c r="BL22" s="530" cm="1">
        <f t="array" ref="BL22">+ROUND(IF(BK22&lt;1,interpoler($A$5:$A$24,$B$5:$B$24,(BD22-$B$1)),interpoler($C$5:$C$24,$D$5:$D$24,BK22))+$BI$2,6)</f>
        <v>3.3280999999999998E-2</v>
      </c>
      <c r="BM22" s="529">
        <f t="shared" si="29"/>
        <v>0</v>
      </c>
      <c r="BN22" s="280"/>
      <c r="BP22" s="150">
        <f t="shared" si="30"/>
        <v>14</v>
      </c>
      <c r="BQ22" s="194" t="s">
        <v>315</v>
      </c>
      <c r="BR22" s="211">
        <v>15</v>
      </c>
      <c r="BS22" s="304">
        <f t="shared" si="91"/>
        <v>54838.709677419305</v>
      </c>
      <c r="BT22" s="196">
        <v>3225.8064516129034</v>
      </c>
      <c r="BU22" s="198">
        <f t="shared" si="92"/>
        <v>619.42999999999995</v>
      </c>
      <c r="BV22" s="198">
        <f t="shared" si="31"/>
        <v>3845.24</v>
      </c>
      <c r="BW22" s="198">
        <f t="shared" si="32"/>
        <v>3845.24</v>
      </c>
      <c r="BX22" s="198">
        <f t="shared" si="33"/>
        <v>4.0796986518636</v>
      </c>
      <c r="BY22" s="199" cm="1">
        <f t="array" ref="BY22">+ROUND(IF(BX22&lt;1,interpoler($A$5:$A$24,$B$5:$B$24,(BQ22-$B$1)),interpoler($C$5:$C$24,$D$5:$D$24,BX22))+$BV$2,6)</f>
        <v>3.3917999999999997E-2</v>
      </c>
      <c r="BZ22" s="198">
        <f t="shared" si="34"/>
        <v>3356.0200291092024</v>
      </c>
      <c r="CB22" s="150">
        <f t="shared" si="35"/>
        <v>0</v>
      </c>
      <c r="CC22" s="868">
        <v>44463</v>
      </c>
      <c r="CD22" s="857">
        <v>15</v>
      </c>
      <c r="CE22" s="859">
        <f>CE21-CF22</f>
        <v>100000</v>
      </c>
      <c r="CF22" s="1035">
        <v>0</v>
      </c>
      <c r="CG22" s="847">
        <f>ROUNDDOWN(CE21*$CH$1/4,2)</f>
        <v>1007.5</v>
      </c>
      <c r="CH22" s="847">
        <f t="shared" si="36"/>
        <v>1007.5</v>
      </c>
      <c r="CI22" s="847">
        <f t="shared" si="37"/>
        <v>0</v>
      </c>
      <c r="CJ22" s="847">
        <f t="shared" si="121"/>
        <v>-4.4673913000000001</v>
      </c>
      <c r="CK22" s="848" cm="1">
        <f t="array" ref="CK22">ROUND(ROUND(IF(CJ22&lt;1,interpoler($A$5:$A$24,$B$5:$B$24,(CC22-$B$1)),interpoler($C$5:$C$24,$D$5:$D$24,CJ22))+$CH$2,5),5)</f>
        <v>2.878E-2</v>
      </c>
      <c r="CL22" s="847">
        <f t="shared" si="115"/>
        <v>0</v>
      </c>
      <c r="CM22" s="280"/>
      <c r="CN22" s="150">
        <f t="shared" si="38"/>
        <v>0</v>
      </c>
      <c r="CO22" s="869">
        <v>44554</v>
      </c>
      <c r="CP22" s="857">
        <v>15</v>
      </c>
      <c r="CQ22" s="859">
        <v>37570.10000000002</v>
      </c>
      <c r="CR22" s="859">
        <v>2443.5500000000002</v>
      </c>
      <c r="CS22" s="862">
        <v>302.43</v>
      </c>
      <c r="CT22" s="847">
        <f t="shared" si="39"/>
        <v>2745.98</v>
      </c>
      <c r="CU22" s="847">
        <f t="shared" si="40"/>
        <v>0</v>
      </c>
      <c r="CV22" s="863">
        <f t="shared" si="128"/>
        <v>0</v>
      </c>
      <c r="CW22" s="864" cm="1">
        <f t="array" ref="CW22">+ROUND(IF(CV22&lt;1,interpoler($A$5:$A$24,$B$5:$B$24,(CO22-$B$1)),interpoler($C$5:$C$24,$D$5:$D$24,CV22))+$CT$2,5)</f>
        <v>2.7279999999999999E-2</v>
      </c>
      <c r="CX22" s="861">
        <f t="shared" si="116"/>
        <v>0</v>
      </c>
      <c r="CY22" s="448"/>
      <c r="DH22"/>
      <c r="DI22"/>
      <c r="DJ22"/>
      <c r="DK22"/>
      <c r="DL22"/>
      <c r="DQ22" s="211">
        <f t="shared" si="42"/>
        <v>0</v>
      </c>
      <c r="DR22" s="524">
        <v>42293</v>
      </c>
      <c r="DS22" s="211">
        <v>15</v>
      </c>
      <c r="DT22" s="304">
        <f t="shared" si="94"/>
        <v>60293.05</v>
      </c>
      <c r="DU22" s="402">
        <v>2705.18</v>
      </c>
      <c r="DV22" s="198">
        <f t="shared" si="95"/>
        <v>700.86</v>
      </c>
      <c r="DW22" s="198">
        <f t="shared" si="43"/>
        <v>3406.04</v>
      </c>
      <c r="DX22" s="198">
        <f t="shared" si="44"/>
        <v>0</v>
      </c>
      <c r="DY22" s="198">
        <f t="shared" si="45"/>
        <v>0</v>
      </c>
      <c r="DZ22" s="199" cm="1">
        <f t="array" ref="DZ22">+ROUND(IF(DY22&lt;1,interpoler($A$5:$A$24,$B$5:$B$24,(DR22-$B$1)),interpoler($C$5:$C$24,$D$5:$D$24,DY22))+$DW$2,5)</f>
        <v>2.5680000000000001E-2</v>
      </c>
      <c r="EA22" s="198">
        <f t="shared" si="46"/>
        <v>0</v>
      </c>
      <c r="EC22" s="211">
        <f t="shared" si="47"/>
        <v>0</v>
      </c>
      <c r="ED22" s="524">
        <v>44828</v>
      </c>
      <c r="EE22" s="211">
        <v>15</v>
      </c>
      <c r="EF22" s="924">
        <v>2572.9699999999998</v>
      </c>
      <c r="EG22" s="924">
        <v>1516.33</v>
      </c>
      <c r="EH22" s="924">
        <v>19.100000000000001</v>
      </c>
      <c r="EI22" s="768">
        <f t="shared" si="48"/>
        <v>1535.43</v>
      </c>
      <c r="EJ22" s="768">
        <f t="shared" si="49"/>
        <v>0</v>
      </c>
      <c r="EK22" s="937">
        <f t="shared" si="50"/>
        <v>0</v>
      </c>
      <c r="EL22" s="935" cm="1">
        <f t="array" ref="EL22">+ROUND(IF(EK22&lt;1,interpoler($A$5:$A$24,$B$5:$B$24,(ED22-$B$1)),interpoler($C$5:$C$24,$D$5:$D$24,EK22))+$EI$2,5)</f>
        <v>2.7279999999999999E-2</v>
      </c>
      <c r="EM22" s="768">
        <f t="shared" si="51"/>
        <v>0</v>
      </c>
      <c r="EN22" s="692">
        <f t="shared" si="96"/>
        <v>9372.6799999999967</v>
      </c>
      <c r="EO22" s="280"/>
      <c r="EQ22" s="211">
        <f t="shared" si="52"/>
        <v>0</v>
      </c>
      <c r="ER22" s="524">
        <v>44828</v>
      </c>
      <c r="ES22" s="211">
        <v>15</v>
      </c>
      <c r="ET22" s="304">
        <f t="shared" si="97"/>
        <v>-96548.220000000016</v>
      </c>
      <c r="EU22" s="296">
        <v>1878.21</v>
      </c>
      <c r="EV22" s="198">
        <f t="shared" si="98"/>
        <v>-702.92</v>
      </c>
      <c r="EW22" s="198">
        <f t="shared" si="53"/>
        <v>1175.29</v>
      </c>
      <c r="EX22" s="198">
        <f t="shared" si="54"/>
        <v>0</v>
      </c>
      <c r="EY22" s="198">
        <f t="shared" si="99"/>
        <v>0</v>
      </c>
      <c r="EZ22" s="530" cm="1">
        <f t="array" ref="EZ22">+ROUND(IF(EY22&lt;1,interpoler($A$5:$A$24,$B$5:$B$24,(ER22-$B$1)),interpoler($C$5:$C$24,$D$5:$D$24,EY22))+$EV$2,5)</f>
        <v>2.7279999999999999E-2</v>
      </c>
      <c r="FA22" s="198">
        <f t="shared" si="55"/>
        <v>0</v>
      </c>
      <c r="FD22" s="526">
        <f t="shared" si="56"/>
        <v>0</v>
      </c>
      <c r="FE22" s="802">
        <v>45193</v>
      </c>
      <c r="FF22" s="803">
        <v>15</v>
      </c>
      <c r="FG22" s="811">
        <v>57307.93</v>
      </c>
      <c r="FH22" s="812">
        <v>2744.99</v>
      </c>
      <c r="FI22" s="812">
        <v>434.1</v>
      </c>
      <c r="FJ22" s="807">
        <f t="shared" si="57"/>
        <v>3179.09</v>
      </c>
      <c r="FK22" s="807">
        <f t="shared" si="58"/>
        <v>0</v>
      </c>
      <c r="FL22" s="808">
        <f t="shared" si="112"/>
        <v>-2.48369565</v>
      </c>
      <c r="FM22" s="809" cm="1">
        <f t="array" ref="FM22">+ROUND(IF(FL22&lt;1,interpoler($A$5:$A$24,$B$5:$B$24,(FE22-$B$1)),interpoler($C$5:$C$24,$D$5:$D$24,FL22))+$FI$2,5)</f>
        <v>2.7779999999999999E-2</v>
      </c>
      <c r="FN22" s="810">
        <f t="shared" si="100"/>
        <v>0</v>
      </c>
      <c r="FO22" s="814"/>
      <c r="FP22" s="221"/>
      <c r="FQ22" s="526">
        <f t="shared" si="59"/>
        <v>0</v>
      </c>
      <c r="FR22" s="815">
        <v>45284</v>
      </c>
      <c r="FS22" s="816">
        <v>15</v>
      </c>
      <c r="FT22" s="900">
        <v>100000</v>
      </c>
      <c r="FU22" s="821">
        <v>0</v>
      </c>
      <c r="FV22" s="818">
        <v>877.5</v>
      </c>
      <c r="FW22" s="818">
        <f t="shared" si="60"/>
        <v>877.5</v>
      </c>
      <c r="FX22" s="818">
        <f t="shared" si="61"/>
        <v>0</v>
      </c>
      <c r="FY22" s="819">
        <f t="shared" si="113"/>
        <v>-1.1243169399999999</v>
      </c>
      <c r="FZ22" s="820" cm="1">
        <f t="array" ref="FZ22">+ROUND(IF(FY22&lt;1,interpoler($A$5:$A$24,$B$5:$B$24,(FR22-$B$1)),interpoler(CIH!$K$72:$K$103,CIH!$L$72:$L$103,FY22))+$FV$2,5)</f>
        <v>2.928E-2</v>
      </c>
      <c r="GA22" s="818">
        <f t="shared" si="62"/>
        <v>0</v>
      </c>
      <c r="GB22" s="484"/>
      <c r="GC22" s="522"/>
      <c r="GD22" s="150">
        <f t="shared" si="63"/>
        <v>0</v>
      </c>
      <c r="GE22" s="856">
        <v>45740</v>
      </c>
      <c r="GF22" s="857">
        <v>15</v>
      </c>
      <c r="GG22" s="1031">
        <v>66577.02</v>
      </c>
      <c r="GH22" s="1032">
        <v>2663.47</v>
      </c>
      <c r="GI22" s="1033">
        <v>437.74</v>
      </c>
      <c r="GJ22" s="847">
        <f t="shared" si="64"/>
        <v>3101.21</v>
      </c>
      <c r="GK22" s="847">
        <f t="shared" si="65"/>
        <v>0</v>
      </c>
      <c r="GL22" s="860">
        <f>((GE22-$B$1)/90)*0.25</f>
        <v>-1.0194444444444444</v>
      </c>
      <c r="GM22" s="848" cm="1">
        <f t="array" ref="GM22">ROUND(interpoler(mat_zc,Taux_ZC,GL22)+$GJ$2,5)</f>
        <v>2.828E-2</v>
      </c>
      <c r="GN22" s="861">
        <f t="shared" si="102"/>
        <v>0</v>
      </c>
      <c r="GO22" s="198"/>
      <c r="GQ22" s="150">
        <f t="shared" si="66"/>
        <v>0</v>
      </c>
      <c r="GR22" s="856">
        <v>45740</v>
      </c>
      <c r="GS22" s="1030">
        <v>15</v>
      </c>
      <c r="GT22" s="967">
        <v>88781.48</v>
      </c>
      <c r="GU22" s="968">
        <v>894</v>
      </c>
      <c r="GV22" s="969">
        <v>688.05</v>
      </c>
      <c r="GW22" s="971">
        <f t="shared" si="67"/>
        <v>1582.05</v>
      </c>
      <c r="GX22" s="973">
        <f t="shared" si="68"/>
        <v>0</v>
      </c>
      <c r="GY22" s="971">
        <f t="shared" si="127"/>
        <v>0</v>
      </c>
      <c r="GZ22" s="976" cm="1">
        <f t="array" ref="GZ22">+ROUND(IF(GY22&lt;1,interpoler($A$5:$A$24,$B$5:$B$24,(GR22-$B$1)),interpoler(CIH!$K$72:$K$103,CIH!$L$72:$L$103,GY22))+$GW$2,5)</f>
        <v>2.9780000000000001E-2</v>
      </c>
      <c r="HA22" s="847">
        <f t="shared" si="129"/>
        <v>0</v>
      </c>
      <c r="HD22" s="1382">
        <f t="shared" si="70"/>
        <v>0</v>
      </c>
      <c r="HE22" s="309">
        <v>43110</v>
      </c>
      <c r="HF22" s="211">
        <v>15</v>
      </c>
      <c r="HG22" s="304">
        <f t="shared" si="103"/>
        <v>36770.879999999976</v>
      </c>
      <c r="HH22" s="196">
        <v>3333.33</v>
      </c>
      <c r="HI22" s="198">
        <f t="shared" si="104"/>
        <v>406.31</v>
      </c>
      <c r="HJ22" s="198">
        <f t="shared" si="71"/>
        <v>3739.64</v>
      </c>
      <c r="HK22" s="198">
        <f t="shared" si="72"/>
        <v>0</v>
      </c>
      <c r="HL22" s="198">
        <f t="shared" si="73"/>
        <v>0</v>
      </c>
      <c r="HM22" s="199" cm="1">
        <f t="array" ref="HM22">+ROUND(IF(HL22&lt;1,interpoler($A$5:$A$24,$B$5:$B$24,(HE22-$B$1)),interpoler($C$5:$C$24,$D$5:$D$24,HL22))+$HJ$2,5)</f>
        <v>2.7279999999999999E-2</v>
      </c>
      <c r="HN22" s="198">
        <f t="shared" si="74"/>
        <v>0</v>
      </c>
      <c r="HR22" s="150"/>
      <c r="HS22" s="714">
        <v>46600</v>
      </c>
      <c r="HT22" s="205"/>
      <c r="HU22" s="718">
        <f t="shared" si="105"/>
        <v>9.1599999961999856E-5</v>
      </c>
      <c r="HV22" s="718">
        <v>0</v>
      </c>
      <c r="HW22" s="786">
        <v>0</v>
      </c>
      <c r="HX22" s="198">
        <f t="shared" si="75"/>
        <v>0</v>
      </c>
      <c r="HY22" s="198">
        <f t="shared" si="76"/>
        <v>0</v>
      </c>
      <c r="HZ22" s="198">
        <f t="shared" si="124"/>
        <v>2.0109589041095894</v>
      </c>
      <c r="IA22" s="199">
        <v>0</v>
      </c>
      <c r="IB22" s="212">
        <f t="shared" si="122"/>
        <v>0</v>
      </c>
      <c r="IC22" s="221"/>
      <c r="ID22" s="150">
        <v>15</v>
      </c>
      <c r="IE22" s="714">
        <v>46660</v>
      </c>
      <c r="IF22" s="205">
        <v>15</v>
      </c>
      <c r="IG22" s="205">
        <v>58333.33</v>
      </c>
      <c r="IH22" s="766">
        <v>2777.78</v>
      </c>
      <c r="II22" s="765">
        <v>1148.97</v>
      </c>
      <c r="IJ22" s="198">
        <f t="shared" si="79"/>
        <v>3926.75</v>
      </c>
      <c r="IK22" s="212">
        <f t="shared" si="80"/>
        <v>3926.75</v>
      </c>
      <c r="IL22" s="761">
        <f t="shared" si="107"/>
        <v>1.5273224043999996</v>
      </c>
      <c r="IM22" s="199" cm="1">
        <f t="array" ref="IM22">+ROUND(IF(IL22&lt;1,interpoler($A$5:$A$24,$B$5:$B$24,(IE22-$B$1)),interpoler($C$5:$C$24,$D$5:$D$24,IL22))+$IJ$2,5)</f>
        <v>3.8960000000000002E-2</v>
      </c>
      <c r="IN22" s="198">
        <f t="shared" si="81"/>
        <v>3704.0897</v>
      </c>
      <c r="IP22" s="1382">
        <v>15</v>
      </c>
      <c r="IQ22" s="714">
        <v>47265</v>
      </c>
      <c r="IR22" s="205">
        <v>15</v>
      </c>
      <c r="IS22" s="198">
        <v>8049</v>
      </c>
      <c r="IT22" s="198">
        <v>2971</v>
      </c>
      <c r="IU22" s="198">
        <v>80.17</v>
      </c>
      <c r="IV22" s="198">
        <f t="shared" si="82"/>
        <v>3051.17</v>
      </c>
      <c r="IW22" s="212">
        <f t="shared" si="83"/>
        <v>3051.17</v>
      </c>
      <c r="IX22" s="447">
        <f t="shared" si="108"/>
        <v>3.1766304347826084</v>
      </c>
      <c r="IY22" s="199" cm="1">
        <f t="array" ref="IY22">+ROUND(IF(IX22&lt;1,interpoler($A$5:$A$24,$B$5:$B$24,(IQ22-$B$1)),interpoler($C$5:$C$24,$D$5:$D$24,IX22))+$IV$2,5)</f>
        <v>3.4340000000000002E-2</v>
      </c>
      <c r="IZ22" s="198">
        <f t="shared" si="84"/>
        <v>2740.8575010581517</v>
      </c>
      <c r="JD22" s="150"/>
      <c r="JE22" s="714"/>
      <c r="JF22" s="205"/>
      <c r="JG22" s="205"/>
      <c r="JH22" s="766"/>
      <c r="JI22" s="765"/>
      <c r="JJ22" s="198"/>
      <c r="JK22" s="212"/>
      <c r="JL22" s="761"/>
      <c r="JM22" s="199"/>
      <c r="JN22" s="198"/>
      <c r="JP22" s="150"/>
      <c r="JQ22" s="200" t="s">
        <v>3050</v>
      </c>
      <c r="JR22" s="205">
        <v>15</v>
      </c>
      <c r="JS22" s="205">
        <v>72500</v>
      </c>
      <c r="JT22" s="205">
        <v>2500</v>
      </c>
      <c r="JU22" s="765">
        <v>1021.87</v>
      </c>
      <c r="JV22" s="198">
        <f t="shared" si="106"/>
        <v>3521.87</v>
      </c>
      <c r="JW22" s="212">
        <f t="shared" si="111"/>
        <v>3521.87</v>
      </c>
      <c r="JX22" s="1335">
        <f t="shared" si="117"/>
        <v>2.0489130434782608</v>
      </c>
      <c r="JY22" s="199" cm="1">
        <f t="array" ref="JY22">ROUND(interpoler(mat_zc,Taux_ZC,JX22)+$JV$2,5)</f>
        <v>4.6780000000000002E-2</v>
      </c>
      <c r="JZ22" s="198">
        <f t="shared" si="118"/>
        <v>3206.9434000000001</v>
      </c>
      <c r="KB22" s="205" t="s">
        <v>3086</v>
      </c>
      <c r="KC22" s="205">
        <v>15</v>
      </c>
      <c r="KD22" s="205">
        <v>0</v>
      </c>
      <c r="KE22" s="205">
        <v>6445.85</v>
      </c>
      <c r="KF22" s="765">
        <v>322.29000000000002</v>
      </c>
      <c r="KG22" s="198">
        <f t="shared" si="109"/>
        <v>6768.14</v>
      </c>
      <c r="KH22" s="212">
        <f t="shared" si="85"/>
        <v>6768.14</v>
      </c>
      <c r="KI22" s="770">
        <f t="shared" si="123"/>
        <v>8.4794520547945211</v>
      </c>
      <c r="KJ22" s="199" cm="1">
        <f t="array" ref="KJ22">ROUND(interpoler(mat_zc,Taux_ZC,KI22)+$KG$2,5)</f>
        <v>4.9799999999999997E-2</v>
      </c>
      <c r="KK22" s="198">
        <f>ROUND(KH22/(1+KJ22)^KI22,4)</f>
        <v>4482.2615999999998</v>
      </c>
      <c r="KN22" s="1603">
        <v>51176</v>
      </c>
      <c r="KO22" s="205">
        <v>15</v>
      </c>
      <c r="KP22" s="1604">
        <v>100000</v>
      </c>
      <c r="KQ22" s="1443">
        <v>0</v>
      </c>
      <c r="KR22" s="1443">
        <v>4470</v>
      </c>
      <c r="KS22" s="198">
        <f t="shared" si="110"/>
        <v>4470</v>
      </c>
      <c r="KT22" s="212">
        <f t="shared" si="87"/>
        <v>4470</v>
      </c>
      <c r="KU22" s="1607">
        <f t="shared" si="114"/>
        <v>13.87945205479452</v>
      </c>
      <c r="KV22" s="199" cm="1">
        <f t="array" ref="KV22">ROUND(interpoler(mat_zc,Taux_ZC,KU22)+$KS$2,5)</f>
        <v>4.19E-2</v>
      </c>
      <c r="KW22" s="1612">
        <f>ROUND(KT22/(1+KV22)^KU22,4)</f>
        <v>2528.6684</v>
      </c>
    </row>
    <row r="23" spans="1:309" ht="16.5" thickBot="1" x14ac:dyDescent="0.3">
      <c r="A23" s="95">
        <f>+CIH!A26</f>
        <v>365</v>
      </c>
      <c r="B23" s="315">
        <f>+CIH!B26</f>
        <v>2.5143169815572186E-2</v>
      </c>
      <c r="C23" s="95">
        <f>+CIH!K23</f>
        <v>19</v>
      </c>
      <c r="D23" s="145">
        <f>+CIH!L23</f>
        <v>3.7317530141429689E-2</v>
      </c>
      <c r="E23" s="157"/>
      <c r="F23" s="156"/>
      <c r="G23" s="150">
        <f t="shared" si="0"/>
        <v>1</v>
      </c>
      <c r="H23" s="117">
        <f t="shared" ref="H23:H28" si="132">J12</f>
        <v>81909.919999999998</v>
      </c>
      <c r="I23" s="123">
        <v>16</v>
      </c>
      <c r="J23" s="222">
        <v>33449.18</v>
      </c>
      <c r="K23" s="223">
        <v>3802.71</v>
      </c>
      <c r="L23" s="137">
        <f t="shared" si="130"/>
        <v>520.13</v>
      </c>
      <c r="M23" s="137">
        <f t="shared" si="131"/>
        <v>4322.84</v>
      </c>
      <c r="N23" s="137">
        <f t="shared" si="3"/>
        <v>4322.84</v>
      </c>
      <c r="O23" s="137">
        <f t="shared" si="4"/>
        <v>0.20728437467288793</v>
      </c>
      <c r="P23" s="146" t="e" cm="1">
        <f t="array" ref="P23">+ROUND(IF(O23&lt;1,interpoler($A$5:$A$24,$B$5:$B$24,(H23-$B$1)),interpoler($C$5:$C$24,$D$5:$D$24,O23))+$M$2,6)</f>
        <v>#VALUE!</v>
      </c>
      <c r="Q23" s="137" t="e">
        <f t="shared" si="5"/>
        <v>#VALUE!</v>
      </c>
      <c r="R23" s="172"/>
      <c r="S23" s="150">
        <f t="shared" si="6"/>
        <v>0</v>
      </c>
      <c r="T23" s="194">
        <v>38819</v>
      </c>
      <c r="U23" s="204">
        <v>16</v>
      </c>
      <c r="V23" s="196">
        <v>100000</v>
      </c>
      <c r="W23" s="208">
        <v>0</v>
      </c>
      <c r="X23" s="198">
        <f t="shared" si="7"/>
        <v>1830</v>
      </c>
      <c r="Y23" s="198">
        <f t="shared" si="8"/>
        <v>1830</v>
      </c>
      <c r="Z23" s="198">
        <f t="shared" si="9"/>
        <v>0</v>
      </c>
      <c r="AA23" s="198">
        <f t="shared" si="10"/>
        <v>0</v>
      </c>
      <c r="AB23" s="199" cm="1">
        <f t="array" ref="AB23">+ROUND(IF(AA23&lt;1,interpoler($A$5:$A$24,$B$5:$B$24,(T23-$B$1)),interpoler($C$5:$C$24,$D$5:$D$24,AA23))+$Y$2,6)</f>
        <v>3.0780999999999999E-2</v>
      </c>
      <c r="AC23" s="198">
        <f t="shared" si="11"/>
        <v>0</v>
      </c>
      <c r="AE23" s="150">
        <f t="shared" si="12"/>
        <v>0</v>
      </c>
      <c r="AF23" s="117"/>
      <c r="AG23" s="123"/>
      <c r="AH23" s="121"/>
      <c r="AI23" s="124"/>
      <c r="AJ23" s="137"/>
      <c r="AK23" s="137"/>
      <c r="AL23" s="137"/>
      <c r="AM23" s="137"/>
      <c r="AN23" s="146"/>
      <c r="AO23" s="137"/>
      <c r="AP23" s="172">
        <f t="shared" si="18"/>
        <v>0</v>
      </c>
      <c r="AQ23" s="150">
        <f t="shared" si="19"/>
        <v>0</v>
      </c>
      <c r="AR23" s="194">
        <v>40068</v>
      </c>
      <c r="AS23" s="211">
        <v>16</v>
      </c>
      <c r="AT23" s="196">
        <v>97512.93</v>
      </c>
      <c r="AU23" s="196">
        <v>4944.93</v>
      </c>
      <c r="AV23" s="198">
        <f t="shared" si="20"/>
        <v>1557.77</v>
      </c>
      <c r="AW23" s="198">
        <f t="shared" si="21"/>
        <v>6502.7</v>
      </c>
      <c r="AX23" s="198">
        <f t="shared" si="22"/>
        <v>0</v>
      </c>
      <c r="AY23" s="198">
        <f t="shared" si="23"/>
        <v>0</v>
      </c>
      <c r="AZ23" s="199" cm="1">
        <f t="array" ref="AZ23">+ROUND(IF(AY23&lt;1,interpoler($A$5:$A$24,$B$5:$B$24,(AR23-$B$1)),interpoler($C$5:$C$24,$D$5:$D$24,AY23))+$AW$2,6)</f>
        <v>2.9780999999999998E-2</v>
      </c>
      <c r="BA23" s="198">
        <f t="shared" si="24"/>
        <v>0</v>
      </c>
      <c r="BB23" s="221"/>
      <c r="BC23" s="599">
        <f t="shared" si="25"/>
        <v>0</v>
      </c>
      <c r="BD23" s="669">
        <v>41257</v>
      </c>
      <c r="BE23" s="526">
        <v>16</v>
      </c>
      <c r="BF23" s="841">
        <f>+BF22-BG22</f>
        <v>63767.92</v>
      </c>
      <c r="BG23" s="835">
        <v>2299.27</v>
      </c>
      <c r="BH23" s="529">
        <f t="shared" si="90"/>
        <v>770</v>
      </c>
      <c r="BI23" s="529">
        <f t="shared" si="26"/>
        <v>3069.27</v>
      </c>
      <c r="BJ23" s="529">
        <f t="shared" si="27"/>
        <v>0</v>
      </c>
      <c r="BK23" s="529">
        <f t="shared" si="28"/>
        <v>0</v>
      </c>
      <c r="BL23" s="530" cm="1">
        <f t="array" ref="BL23">+ROUND(IF(BK23&lt;1,interpoler($A$5:$A$24,$B$5:$B$24,(BD23-$B$1)),interpoler($C$5:$C$24,$D$5:$D$24,BK23))+$BI$2,6)</f>
        <v>3.3280999999999998E-2</v>
      </c>
      <c r="BM23" s="529">
        <f t="shared" si="29"/>
        <v>0</v>
      </c>
      <c r="BN23" s="280"/>
      <c r="BP23" s="150">
        <f t="shared" si="30"/>
        <v>15</v>
      </c>
      <c r="BQ23" s="194" t="s">
        <v>316</v>
      </c>
      <c r="BR23" s="211">
        <v>16</v>
      </c>
      <c r="BS23" s="304">
        <f t="shared" si="91"/>
        <v>51612.903225806403</v>
      </c>
      <c r="BT23" s="196">
        <v>3225.8064516129034</v>
      </c>
      <c r="BU23" s="198">
        <f t="shared" si="92"/>
        <v>570.32000000000005</v>
      </c>
      <c r="BV23" s="198">
        <f t="shared" si="31"/>
        <v>3796.13</v>
      </c>
      <c r="BW23" s="198">
        <f t="shared" si="32"/>
        <v>3796.13</v>
      </c>
      <c r="BX23" s="198">
        <f t="shared" si="33"/>
        <v>4.3296986518636</v>
      </c>
      <c r="BY23" s="199" cm="1">
        <f t="array" ref="BY23">+ROUND(IF(BX23&lt;1,interpoler($A$5:$A$24,$B$5:$B$24,(BQ23-$B$1)),interpoler($C$5:$C$24,$D$5:$D$24,BX23))+$BV$2,6)</f>
        <v>3.4187000000000002E-2</v>
      </c>
      <c r="BZ23" s="198">
        <f t="shared" si="34"/>
        <v>3281.9464031227485</v>
      </c>
      <c r="CB23" s="150">
        <f t="shared" si="35"/>
        <v>0</v>
      </c>
      <c r="CC23" s="868">
        <v>44554</v>
      </c>
      <c r="CD23" s="857">
        <v>16</v>
      </c>
      <c r="CE23" s="859">
        <v>100000</v>
      </c>
      <c r="CF23" s="1035">
        <v>0</v>
      </c>
      <c r="CG23" s="847">
        <v>1007.5</v>
      </c>
      <c r="CH23" s="847">
        <f t="shared" si="36"/>
        <v>1007.5</v>
      </c>
      <c r="CI23" s="847">
        <f t="shared" si="37"/>
        <v>0</v>
      </c>
      <c r="CJ23" s="847">
        <f t="shared" si="121"/>
        <v>-4.2664835200000004</v>
      </c>
      <c r="CK23" s="848" cm="1">
        <f t="array" ref="CK23">ROUND(ROUND(IF(CJ23&lt;1,interpoler($A$5:$A$24,$B$5:$B$24,(CC23-$B$1)),interpoler($C$5:$C$24,$D$5:$D$24,CJ23))+$CH$2,5),5)</f>
        <v>2.878E-2</v>
      </c>
      <c r="CL23" s="847">
        <f t="shared" si="115"/>
        <v>0</v>
      </c>
      <c r="CM23" s="280"/>
      <c r="CN23" s="150">
        <f t="shared" si="38"/>
        <v>0</v>
      </c>
      <c r="CO23" s="869">
        <v>44644</v>
      </c>
      <c r="CP23" s="857">
        <v>16</v>
      </c>
      <c r="CQ23" s="859">
        <v>33016.83</v>
      </c>
      <c r="CR23" s="859">
        <v>2454.71</v>
      </c>
      <c r="CS23" s="862">
        <v>265.77999999999997</v>
      </c>
      <c r="CT23" s="847">
        <f t="shared" si="39"/>
        <v>2720.49</v>
      </c>
      <c r="CU23" s="847">
        <f t="shared" si="40"/>
        <v>0</v>
      </c>
      <c r="CV23" s="863">
        <f t="shared" si="128"/>
        <v>0</v>
      </c>
      <c r="CW23" s="864" cm="1">
        <f t="array" ref="CW23">+ROUND(IF(CV23&lt;1,interpoler($A$5:$A$24,$B$5:$B$24,(CO23-$B$1)),interpoler($C$5:$C$24,$D$5:$D$24,CV23))+$CT$2,5)</f>
        <v>2.7279999999999999E-2</v>
      </c>
      <c r="CX23" s="861">
        <f t="shared" si="116"/>
        <v>0</v>
      </c>
      <c r="CY23" s="448"/>
      <c r="DH23"/>
      <c r="DI23"/>
      <c r="DJ23"/>
      <c r="DK23"/>
      <c r="DL23"/>
      <c r="DQ23" s="211">
        <f t="shared" si="42"/>
        <v>0</v>
      </c>
      <c r="DR23" s="524">
        <v>42385</v>
      </c>
      <c r="DS23" s="211">
        <v>16</v>
      </c>
      <c r="DT23" s="304">
        <f t="shared" si="94"/>
        <v>57587.66</v>
      </c>
      <c r="DU23" s="402">
        <v>2705.39</v>
      </c>
      <c r="DV23" s="198">
        <f t="shared" si="95"/>
        <v>670.76</v>
      </c>
      <c r="DW23" s="198">
        <f t="shared" si="43"/>
        <v>3376.15</v>
      </c>
      <c r="DX23" s="198">
        <f t="shared" si="44"/>
        <v>0</v>
      </c>
      <c r="DY23" s="198">
        <f t="shared" si="45"/>
        <v>0</v>
      </c>
      <c r="DZ23" s="199" cm="1">
        <f t="array" ref="DZ23">+ROUND(IF(DY23&lt;1,interpoler($A$5:$A$24,$B$5:$B$24,(DR23-$B$1)),interpoler($C$5:$C$24,$D$5:$D$24,DY23))+$DW$2,5)</f>
        <v>2.5680000000000001E-2</v>
      </c>
      <c r="EA23" s="198">
        <f t="shared" si="46"/>
        <v>0</v>
      </c>
      <c r="EC23" s="211">
        <v>1</v>
      </c>
      <c r="ED23" s="524">
        <v>44919</v>
      </c>
      <c r="EE23" s="211">
        <v>16</v>
      </c>
      <c r="EF23" s="924">
        <v>1056.6400000000001</v>
      </c>
      <c r="EG23" s="924">
        <v>1056.6400000000001</v>
      </c>
      <c r="EH23" s="924">
        <v>7.84</v>
      </c>
      <c r="EI23" s="768">
        <f t="shared" si="48"/>
        <v>1064.48</v>
      </c>
      <c r="EJ23" s="768">
        <f t="shared" si="49"/>
        <v>0</v>
      </c>
      <c r="EK23" s="939">
        <f>+IF(EJ23=0,0,IF(EC23=1,((EC23-1)+(ED23-$B$1)/(ED23-ED22))*0.25,EK22+0.25))</f>
        <v>0</v>
      </c>
      <c r="EL23" s="935" cm="1">
        <f t="array" ref="EL23">+ROUND(IF(EK23&lt;1,interpoler($A$5:$A$24,$B$5:$B$24,(ED23-$B$1)),interpoler($C$5:$C$24,$D$5:$D$24,EK23))+$EI$2,5)</f>
        <v>2.7279999999999999E-2</v>
      </c>
      <c r="EM23" s="768">
        <f t="shared" si="51"/>
        <v>0</v>
      </c>
      <c r="EN23" s="692">
        <f t="shared" si="96"/>
        <v>8316.0399999999972</v>
      </c>
      <c r="EO23" s="280"/>
      <c r="EQ23" s="211">
        <f t="shared" si="52"/>
        <v>0</v>
      </c>
      <c r="ER23" s="524">
        <v>44919</v>
      </c>
      <c r="ES23" s="211">
        <v>16</v>
      </c>
      <c r="ET23" s="304">
        <f t="shared" si="97"/>
        <v>-98184.780000000013</v>
      </c>
      <c r="EU23" s="296">
        <v>1636.56</v>
      </c>
      <c r="EV23" s="198">
        <f t="shared" si="98"/>
        <v>-716.87</v>
      </c>
      <c r="EW23" s="198">
        <f t="shared" si="53"/>
        <v>919.69</v>
      </c>
      <c r="EX23" s="198">
        <f t="shared" si="54"/>
        <v>0</v>
      </c>
      <c r="EY23" s="198">
        <f t="shared" si="99"/>
        <v>0</v>
      </c>
      <c r="EZ23" s="530" cm="1">
        <f t="array" ref="EZ23">+ROUND(IF(EY23&lt;1,interpoler($A$5:$A$24,$B$5:$B$24,(ER23-$B$1)),interpoler($C$5:$C$24,$D$5:$D$24,EY23))+$EV$2,5)</f>
        <v>2.7279999999999999E-2</v>
      </c>
      <c r="FA23" s="198">
        <f t="shared" si="55"/>
        <v>0</v>
      </c>
      <c r="FD23" s="526">
        <f t="shared" si="56"/>
        <v>0</v>
      </c>
      <c r="FE23" s="802">
        <v>45284</v>
      </c>
      <c r="FF23" s="803">
        <v>16</v>
      </c>
      <c r="FG23" s="811">
        <v>54562.94</v>
      </c>
      <c r="FH23" s="812">
        <v>2681.47</v>
      </c>
      <c r="FI23" s="812">
        <v>413.31</v>
      </c>
      <c r="FJ23" s="807">
        <f t="shared" si="57"/>
        <v>3094.78</v>
      </c>
      <c r="FK23" s="807">
        <f t="shared" si="58"/>
        <v>0</v>
      </c>
      <c r="FL23" s="808">
        <f t="shared" ref="FL23:FL32" si="133">ROUND((IF(FL22&lt;0,(FE23-$B$1)/(FE23-FE22)*(3/12),FL22+0.25)),10)</f>
        <v>-2.2609890109999999</v>
      </c>
      <c r="FM23" s="809" cm="1">
        <f t="array" ref="FM23">+ROUND(IF(FL23&lt;1,interpoler($A$5:$A$24,$B$5:$B$24,(FE23-$B$1)),interpoler($C$5:$C$24,$D$5:$D$24,FL23))+$FI$2,5)</f>
        <v>2.7779999999999999E-2</v>
      </c>
      <c r="FN23" s="810">
        <f t="shared" si="100"/>
        <v>0</v>
      </c>
      <c r="FO23" s="1034"/>
      <c r="FP23" s="221"/>
      <c r="FQ23" s="526">
        <f t="shared" si="59"/>
        <v>0</v>
      </c>
      <c r="FR23" s="1151">
        <v>46105</v>
      </c>
      <c r="FS23" s="905">
        <v>1</v>
      </c>
      <c r="FT23" s="1629">
        <v>100000</v>
      </c>
      <c r="FU23" s="1626">
        <v>0</v>
      </c>
      <c r="FV23" s="1632">
        <v>877.5</v>
      </c>
      <c r="FW23" s="798">
        <f t="shared" si="60"/>
        <v>877.5</v>
      </c>
      <c r="FX23" s="798">
        <f t="shared" si="61"/>
        <v>0</v>
      </c>
      <c r="FY23" s="799">
        <f t="shared" si="113"/>
        <v>-6.0901E-4</v>
      </c>
      <c r="FZ23" s="800" cm="1">
        <f t="array" ref="FZ23">+ROUND(IF(FY23&lt;1,interpoler($A$5:$A$24,$B$5:$B$24,(FR23-$B$1)),interpoler(CIH!$K$72:$K$103,CIH!$L$72:$L$103,FY23))+$FV$2,5)</f>
        <v>2.928E-2</v>
      </c>
      <c r="GA23" s="798">
        <f t="shared" si="62"/>
        <v>0</v>
      </c>
      <c r="GB23" s="484"/>
      <c r="GC23" s="522"/>
      <c r="GD23" s="150">
        <f t="shared" si="63"/>
        <v>0</v>
      </c>
      <c r="GE23" s="1151">
        <v>46105</v>
      </c>
      <c r="GF23" s="905">
        <f>GF22+1</f>
        <v>16</v>
      </c>
      <c r="GG23" s="1328">
        <v>57070.55</v>
      </c>
      <c r="GH23" s="1626">
        <v>2384.5100000000002</v>
      </c>
      <c r="GI23" s="1626">
        <v>375.23</v>
      </c>
      <c r="GJ23" s="198">
        <f t="shared" si="64"/>
        <v>2759.74</v>
      </c>
      <c r="GK23" s="198">
        <f t="shared" si="65"/>
        <v>0</v>
      </c>
      <c r="GL23" s="447">
        <f t="shared" si="126"/>
        <v>0</v>
      </c>
      <c r="GM23" s="199" cm="1">
        <f t="array" ref="GM23">ROUND(interpoler(mat_zc,Taux_ZC,GL23)+$GJ$2,5)</f>
        <v>2.828E-2</v>
      </c>
      <c r="GN23" s="762">
        <f t="shared" si="102"/>
        <v>0</v>
      </c>
      <c r="GO23" s="198"/>
      <c r="GQ23" s="150">
        <f t="shared" si="66"/>
        <v>0</v>
      </c>
      <c r="GR23" s="856">
        <v>45832</v>
      </c>
      <c r="GS23" s="1030">
        <v>16</v>
      </c>
      <c r="GT23" s="967">
        <v>87127.74</v>
      </c>
      <c r="GU23" s="968">
        <v>721.58</v>
      </c>
      <c r="GV23" s="969">
        <v>681.12</v>
      </c>
      <c r="GW23" s="971">
        <f t="shared" si="67"/>
        <v>1402.7</v>
      </c>
      <c r="GX23" s="973">
        <f t="shared" si="68"/>
        <v>0</v>
      </c>
      <c r="GY23" s="971">
        <f t="shared" si="127"/>
        <v>0</v>
      </c>
      <c r="GZ23" s="976" cm="1">
        <f t="array" ref="GZ23">+ROUND(IF(GY23&lt;1,interpoler($A$5:$A$24,$B$5:$B$24,(GR23-$B$1)),interpoler(CIH!$K$72:$K$103,CIH!$L$72:$L$103,GY23))+$GW$2,5)</f>
        <v>2.9780000000000001E-2</v>
      </c>
      <c r="HA23" s="847">
        <f t="shared" si="129"/>
        <v>0</v>
      </c>
      <c r="HD23" s="1382">
        <f t="shared" si="70"/>
        <v>0</v>
      </c>
      <c r="HE23" s="309">
        <v>43200</v>
      </c>
      <c r="HF23" s="211">
        <v>16</v>
      </c>
      <c r="HG23" s="304">
        <f t="shared" si="103"/>
        <v>33437.549999999974</v>
      </c>
      <c r="HH23" s="196">
        <v>3125</v>
      </c>
      <c r="HI23" s="198">
        <f t="shared" si="104"/>
        <v>369.48</v>
      </c>
      <c r="HJ23" s="198">
        <f t="shared" si="71"/>
        <v>3494.48</v>
      </c>
      <c r="HK23" s="198">
        <f t="shared" si="72"/>
        <v>0</v>
      </c>
      <c r="HL23" s="198">
        <f t="shared" si="73"/>
        <v>0</v>
      </c>
      <c r="HM23" s="199" cm="1">
        <f t="array" ref="HM23">+ROUND(IF(HL23&lt;1,interpoler($A$5:$A$24,$B$5:$B$24,(HE23-$B$1)),interpoler($C$5:$C$24,$D$5:$D$24,HL23))+$HJ$2,5)</f>
        <v>2.7279999999999999E-2</v>
      </c>
      <c r="HN23" s="198">
        <f t="shared" si="74"/>
        <v>0</v>
      </c>
      <c r="HR23" s="150">
        <f t="shared" ref="HR23:HR54" si="134">+IF(HY23=0,0,HR22+1)</f>
        <v>0</v>
      </c>
      <c r="HS23" s="714"/>
      <c r="HT23" s="205"/>
      <c r="HU23" s="718"/>
      <c r="HV23" s="718"/>
      <c r="HW23" s="786"/>
      <c r="HX23" s="198"/>
      <c r="HY23" s="198"/>
      <c r="HZ23" s="198"/>
      <c r="IA23" s="199"/>
      <c r="IB23" s="212"/>
      <c r="ID23" s="150">
        <v>16</v>
      </c>
      <c r="IE23" s="714">
        <v>46843</v>
      </c>
      <c r="IF23" s="205">
        <v>16</v>
      </c>
      <c r="IG23" s="205">
        <v>55555.56</v>
      </c>
      <c r="IH23" s="766">
        <v>2777.78</v>
      </c>
      <c r="II23" s="765">
        <v>1093.75</v>
      </c>
      <c r="IJ23" s="198">
        <f t="shared" si="79"/>
        <v>3871.53</v>
      </c>
      <c r="IK23" s="212">
        <f t="shared" si="80"/>
        <v>3871.53</v>
      </c>
      <c r="IL23" s="761">
        <f t="shared" si="107"/>
        <v>2.0109589040999998</v>
      </c>
      <c r="IM23" s="199" cm="1">
        <f t="array" ref="IM23">+ROUND(IF(IL23&lt;1,interpoler($A$5:$A$24,$B$5:$B$24,(IE23-$B$1)),interpoler($C$5:$C$24,$D$5:$D$24,IL23))+$IJ$2,5)</f>
        <v>3.9719999999999998E-2</v>
      </c>
      <c r="IN23" s="198">
        <f t="shared" si="81"/>
        <v>3579.8469</v>
      </c>
      <c r="IP23" s="1382">
        <v>16</v>
      </c>
      <c r="IQ23" s="714">
        <v>47357</v>
      </c>
      <c r="IR23" s="205">
        <v>16</v>
      </c>
      <c r="IS23" s="198">
        <v>5530</v>
      </c>
      <c r="IT23" s="198">
        <v>2519</v>
      </c>
      <c r="IU23" s="198">
        <v>58.56</v>
      </c>
      <c r="IV23" s="198">
        <f t="shared" si="82"/>
        <v>2577.56</v>
      </c>
      <c r="IW23" s="212">
        <f t="shared" si="83"/>
        <v>2577.56</v>
      </c>
      <c r="IX23" s="447">
        <f t="shared" si="108"/>
        <v>3.4266304347826084</v>
      </c>
      <c r="IY23" s="199" cm="1">
        <f t="array" ref="IY23">+ROUND(IF(IX23&lt;1,interpoler($A$5:$A$24,$B$5:$B$24,(IQ23-$B$1)),interpoler($C$5:$C$24,$D$5:$D$24,IX23))+$IV$2,5)</f>
        <v>3.4729999999999997E-2</v>
      </c>
      <c r="IZ23" s="198">
        <f t="shared" si="84"/>
        <v>2292.9891210049791</v>
      </c>
      <c r="JD23" s="150"/>
      <c r="JE23" s="714"/>
      <c r="JF23" s="205"/>
      <c r="JG23" s="205"/>
      <c r="JH23" s="766"/>
      <c r="JI23" s="765"/>
      <c r="JJ23" s="198"/>
      <c r="JK23" s="212"/>
      <c r="JL23" s="761"/>
      <c r="JM23" s="199"/>
      <c r="JN23" s="198"/>
      <c r="JP23" s="150"/>
      <c r="JQ23" s="200" t="s">
        <v>3051</v>
      </c>
      <c r="JR23" s="205">
        <v>16</v>
      </c>
      <c r="JS23" s="205">
        <v>70000</v>
      </c>
      <c r="JT23" s="205">
        <v>2500</v>
      </c>
      <c r="JU23" s="765">
        <v>987.81</v>
      </c>
      <c r="JV23" s="198">
        <f t="shared" si="106"/>
        <v>3487.81</v>
      </c>
      <c r="JW23" s="212">
        <f t="shared" si="111"/>
        <v>3487.81</v>
      </c>
      <c r="JX23" s="1335">
        <f t="shared" si="117"/>
        <v>2.2989130434782608</v>
      </c>
      <c r="JY23" s="199" cm="1">
        <f t="array" ref="JY23">ROUND(interpoler(mat_zc,Taux_ZC,JX23)+$JV$2,5)</f>
        <v>4.7169999999999997E-2</v>
      </c>
      <c r="JZ23" s="198">
        <f t="shared" si="118"/>
        <v>3137.1482000000001</v>
      </c>
      <c r="KB23" s="205"/>
      <c r="KC23" s="205"/>
      <c r="KD23" s="205"/>
      <c r="KE23" s="205"/>
      <c r="KF23" s="765"/>
      <c r="KG23" s="198"/>
      <c r="KH23" s="212"/>
      <c r="KI23" s="765"/>
      <c r="KJ23" s="199"/>
      <c r="KK23" s="198"/>
      <c r="KN23" s="1602">
        <v>51542</v>
      </c>
      <c r="KO23" s="205">
        <f>KO22+1</f>
        <v>16</v>
      </c>
      <c r="KP23" s="1605">
        <v>100000</v>
      </c>
      <c r="KQ23" s="1442">
        <v>6666.666666666667</v>
      </c>
      <c r="KR23" s="1442">
        <v>4470</v>
      </c>
      <c r="KS23" s="198">
        <f t="shared" ref="KS23:KS37" si="135">+ROUND(KQ23+KR23,2)</f>
        <v>11136.67</v>
      </c>
      <c r="KT23" s="212">
        <f t="shared" ref="KT23:KT37" si="136">+IF($B$1&gt;=KN23,0,KS23)</f>
        <v>11136.67</v>
      </c>
      <c r="KU23" s="1607">
        <f t="shared" si="114"/>
        <v>14.87945205479452</v>
      </c>
      <c r="KV23" s="199" cm="1">
        <f t="array" ref="KV23">ROUND(interpoler(mat_zc,Taux_ZC,KU23)+$KS$2,5)</f>
        <v>4.2169999999999999E-2</v>
      </c>
      <c r="KW23" s="1612">
        <f t="shared" ref="KW23:KW37" si="137">ROUND(KT23/(1+KV23)^KU23,4)</f>
        <v>6023.3666000000003</v>
      </c>
    </row>
    <row r="24" spans="1:309" ht="16.5" thickBot="1" x14ac:dyDescent="0.3">
      <c r="A24" s="95">
        <f>+CIH!A27</f>
        <v>365</v>
      </c>
      <c r="B24" s="315">
        <f>+CIH!B27</f>
        <v>0</v>
      </c>
      <c r="C24" s="95">
        <f>+CIH!K24</f>
        <v>20</v>
      </c>
      <c r="D24" s="145">
        <f>+CIH!L24</f>
        <v>3.7810906767328456E-2</v>
      </c>
      <c r="E24" s="157"/>
      <c r="F24" s="156"/>
      <c r="G24" s="150">
        <f t="shared" si="0"/>
        <v>2</v>
      </c>
      <c r="H24" s="117">
        <f t="shared" si="132"/>
        <v>77054.789999999994</v>
      </c>
      <c r="I24" s="120">
        <v>17</v>
      </c>
      <c r="J24" s="192">
        <v>29646.47</v>
      </c>
      <c r="K24" s="193">
        <v>3462.51</v>
      </c>
      <c r="L24" s="137">
        <f t="shared" si="130"/>
        <v>461</v>
      </c>
      <c r="M24" s="137">
        <f t="shared" si="131"/>
        <v>3923.51</v>
      </c>
      <c r="N24" s="137">
        <f t="shared" si="3"/>
        <v>3923.51</v>
      </c>
      <c r="O24" s="137">
        <f t="shared" si="4"/>
        <v>0.45728437467288796</v>
      </c>
      <c r="P24" s="146" t="e" cm="1">
        <f t="array" ref="P24">+ROUND(IF(O24&lt;1,interpoler($A$5:$A$24,$B$5:$B$24,(H24-$B$1)),interpoler($C$5:$C$24,$D$5:$D$24,O24))+$M$2,6)</f>
        <v>#VALUE!</v>
      </c>
      <c r="Q24" s="137" t="e">
        <f t="shared" si="5"/>
        <v>#VALUE!</v>
      </c>
      <c r="R24" s="172"/>
      <c r="S24" s="150">
        <f t="shared" si="6"/>
        <v>0</v>
      </c>
      <c r="T24" s="194">
        <v>38910</v>
      </c>
      <c r="U24" s="205">
        <v>17</v>
      </c>
      <c r="V24" s="203">
        <v>100000</v>
      </c>
      <c r="W24" s="206">
        <v>0</v>
      </c>
      <c r="X24" s="198">
        <f t="shared" si="7"/>
        <v>1830</v>
      </c>
      <c r="Y24" s="198">
        <f t="shared" si="8"/>
        <v>1830</v>
      </c>
      <c r="Z24" s="198">
        <f t="shared" si="9"/>
        <v>0</v>
      </c>
      <c r="AA24" s="198">
        <f t="shared" si="10"/>
        <v>0</v>
      </c>
      <c r="AB24" s="199" cm="1">
        <f t="array" ref="AB24">+ROUND(IF(AA24&lt;1,interpoler($A$5:$A$24,$B$5:$B$24,(T24-$B$1)),interpoler($C$5:$C$24,$D$5:$D$24,AA24))+$Y$2,6)</f>
        <v>3.0780999999999999E-2</v>
      </c>
      <c r="AC24" s="198">
        <f t="shared" si="11"/>
        <v>0</v>
      </c>
      <c r="AE24" s="150">
        <f t="shared" si="12"/>
        <v>0</v>
      </c>
      <c r="AF24" s="117"/>
      <c r="AG24" s="120"/>
      <c r="AH24" s="121"/>
      <c r="AI24" s="121"/>
      <c r="AJ24" s="137"/>
      <c r="AK24" s="137"/>
      <c r="AL24" s="137"/>
      <c r="AM24" s="137"/>
      <c r="AN24" s="146"/>
      <c r="AO24" s="137"/>
      <c r="AP24" s="172">
        <f t="shared" si="18"/>
        <v>0</v>
      </c>
      <c r="AQ24" s="150">
        <f t="shared" si="19"/>
        <v>0</v>
      </c>
      <c r="AR24" s="194">
        <v>40159</v>
      </c>
      <c r="AS24" s="211">
        <v>17</v>
      </c>
      <c r="AT24" s="196">
        <v>92568</v>
      </c>
      <c r="AU24" s="196">
        <v>4764.82</v>
      </c>
      <c r="AV24" s="198">
        <f t="shared" si="20"/>
        <v>1478.77</v>
      </c>
      <c r="AW24" s="198">
        <f t="shared" si="21"/>
        <v>6243.59</v>
      </c>
      <c r="AX24" s="198">
        <f t="shared" si="22"/>
        <v>0</v>
      </c>
      <c r="AY24" s="198">
        <f t="shared" si="23"/>
        <v>0</v>
      </c>
      <c r="AZ24" s="199" cm="1">
        <f t="array" ref="AZ24">+ROUND(IF(AY24&lt;1,interpoler($A$5:$A$24,$B$5:$B$24,(AR24-$B$1)),interpoler($C$5:$C$24,$D$5:$D$24,AY24))+$AW$2,6)</f>
        <v>2.9780999999999998E-2</v>
      </c>
      <c r="BA24" s="198">
        <f t="shared" si="24"/>
        <v>0</v>
      </c>
      <c r="BB24" s="221"/>
      <c r="BC24" s="599">
        <f t="shared" si="25"/>
        <v>0</v>
      </c>
      <c r="BD24" s="669">
        <v>41347</v>
      </c>
      <c r="BE24" s="526">
        <v>17</v>
      </c>
      <c r="BF24" s="841">
        <v>61468.65</v>
      </c>
      <c r="BG24" s="835">
        <v>2106.38</v>
      </c>
      <c r="BH24" s="529">
        <f t="shared" si="90"/>
        <v>742.23</v>
      </c>
      <c r="BI24" s="529">
        <f t="shared" si="26"/>
        <v>2848.61</v>
      </c>
      <c r="BJ24" s="529">
        <f t="shared" si="27"/>
        <v>0</v>
      </c>
      <c r="BK24" s="529">
        <f t="shared" si="28"/>
        <v>0</v>
      </c>
      <c r="BL24" s="530" cm="1">
        <f t="array" ref="BL24">+ROUND(IF(BK24&lt;1,interpoler($A$5:$A$24,$B$5:$B$24,(BD24-$B$1)),interpoler($C$5:$C$24,$D$5:$D$24,BK24))+$BI$2,6)</f>
        <v>3.3280999999999998E-2</v>
      </c>
      <c r="BM24" s="529">
        <f t="shared" si="29"/>
        <v>0</v>
      </c>
      <c r="BN24" s="280"/>
      <c r="BP24" s="150">
        <f t="shared" si="30"/>
        <v>16</v>
      </c>
      <c r="BQ24" s="194" t="s">
        <v>317</v>
      </c>
      <c r="BR24" s="211">
        <v>17</v>
      </c>
      <c r="BS24" s="304">
        <f t="shared" si="91"/>
        <v>48387.096774193502</v>
      </c>
      <c r="BT24" s="196">
        <v>3225.8064516129034</v>
      </c>
      <c r="BU24" s="198">
        <f t="shared" si="92"/>
        <v>540.62</v>
      </c>
      <c r="BV24" s="198">
        <f t="shared" si="31"/>
        <v>3766.43</v>
      </c>
      <c r="BW24" s="198">
        <f t="shared" si="32"/>
        <v>3766.43</v>
      </c>
      <c r="BX24" s="198">
        <f t="shared" si="33"/>
        <v>4.5796986518636</v>
      </c>
      <c r="BY24" s="199" cm="1">
        <f t="array" ref="BY24">+ROUND(IF(BX24&lt;1,interpoler($A$5:$A$24,$B$5:$B$24,(BQ24-$B$1)),interpoler($C$5:$C$24,$D$5:$D$24,BX24))+$BV$2,6)</f>
        <v>3.4456000000000001E-2</v>
      </c>
      <c r="BZ24" s="198">
        <f t="shared" si="34"/>
        <v>3225.1748820932457</v>
      </c>
      <c r="CB24" s="150">
        <f t="shared" si="35"/>
        <v>0</v>
      </c>
      <c r="CC24" s="868">
        <v>44644</v>
      </c>
      <c r="CD24" s="857">
        <v>17</v>
      </c>
      <c r="CE24" s="859">
        <v>100000</v>
      </c>
      <c r="CF24" s="1035">
        <v>0</v>
      </c>
      <c r="CG24" s="847">
        <v>1007.5</v>
      </c>
      <c r="CH24" s="847">
        <f t="shared" si="36"/>
        <v>1007.5</v>
      </c>
      <c r="CI24" s="847">
        <f t="shared" si="37"/>
        <v>0</v>
      </c>
      <c r="CJ24" s="847">
        <f t="shared" si="121"/>
        <v>-4.0638888900000003</v>
      </c>
      <c r="CK24" s="848" cm="1">
        <f t="array" ref="CK24">ROUND(ROUND(IF(CJ24&lt;1,interpoler($A$5:$A$24,$B$5:$B$24,(CC24-$B$1)),interpoler($C$5:$C$24,$D$5:$D$24,CJ24))+$CH$2,5),5)</f>
        <v>2.878E-2</v>
      </c>
      <c r="CL24" s="847">
        <f t="shared" si="115"/>
        <v>0</v>
      </c>
      <c r="CM24" s="280"/>
      <c r="CN24" s="150">
        <f t="shared" si="38"/>
        <v>0</v>
      </c>
      <c r="CO24" s="869">
        <v>44736</v>
      </c>
      <c r="CP24" s="857">
        <v>17</v>
      </c>
      <c r="CQ24" s="859">
        <v>28479.26</v>
      </c>
      <c r="CR24" s="859">
        <v>3915.01</v>
      </c>
      <c r="CS24" s="862">
        <v>229.11</v>
      </c>
      <c r="CT24" s="847">
        <f t="shared" si="39"/>
        <v>4144.12</v>
      </c>
      <c r="CU24" s="847">
        <f t="shared" si="40"/>
        <v>0</v>
      </c>
      <c r="CV24" s="863">
        <f t="shared" si="128"/>
        <v>0</v>
      </c>
      <c r="CW24" s="864" cm="1">
        <f t="array" ref="CW24">+ROUND(IF(CV24&lt;1,interpoler($A$5:$A$24,$B$5:$B$24,(CO24-$B$1)),interpoler($C$5:$C$24,$D$5:$D$24,CV24))+$CT$2,5)</f>
        <v>2.7279999999999999E-2</v>
      </c>
      <c r="CX24" s="861">
        <f t="shared" si="116"/>
        <v>0</v>
      </c>
      <c r="CY24" s="448"/>
      <c r="DH24"/>
      <c r="DI24"/>
      <c r="DJ24"/>
      <c r="DK24"/>
      <c r="DL24"/>
      <c r="DQ24" s="211">
        <f t="shared" si="42"/>
        <v>0</v>
      </c>
      <c r="DR24" s="524">
        <v>42476</v>
      </c>
      <c r="DS24" s="211">
        <v>17</v>
      </c>
      <c r="DT24" s="304">
        <f t="shared" si="94"/>
        <v>54924.3</v>
      </c>
      <c r="DU24" s="402">
        <v>2663.36</v>
      </c>
      <c r="DV24" s="198">
        <f t="shared" si="95"/>
        <v>640.66</v>
      </c>
      <c r="DW24" s="198">
        <f t="shared" si="43"/>
        <v>3304.02</v>
      </c>
      <c r="DX24" s="198">
        <f t="shared" si="44"/>
        <v>0</v>
      </c>
      <c r="DY24" s="198">
        <f t="shared" si="45"/>
        <v>0</v>
      </c>
      <c r="DZ24" s="199" cm="1">
        <f t="array" ref="DZ24">+ROUND(IF(DY24&lt;1,interpoler($A$5:$A$24,$B$5:$B$24,(DR24-$B$1)),interpoler($C$5:$C$24,$D$5:$D$24,DY24))+$DW$2,5)</f>
        <v>2.5680000000000001E-2</v>
      </c>
      <c r="EA24" s="198">
        <f t="shared" si="46"/>
        <v>0</v>
      </c>
      <c r="EC24" s="211">
        <v>2</v>
      </c>
      <c r="ED24" s="524"/>
      <c r="EE24" s="211"/>
      <c r="EF24" s="768"/>
      <c r="EG24" s="768"/>
      <c r="EH24" s="768"/>
      <c r="EI24" s="768"/>
      <c r="EJ24" s="768"/>
      <c r="EK24" s="938"/>
      <c r="EL24" s="935"/>
      <c r="EM24" s="768"/>
      <c r="EN24" s="692">
        <f t="shared" si="96"/>
        <v>8316.0399999999972</v>
      </c>
      <c r="EO24" s="280"/>
      <c r="EQ24" s="211">
        <f t="shared" si="52"/>
        <v>0</v>
      </c>
      <c r="ER24" s="524">
        <v>45009</v>
      </c>
      <c r="ES24" s="211">
        <v>17</v>
      </c>
      <c r="ET24" s="304">
        <f t="shared" si="97"/>
        <v>-99582.030000000013</v>
      </c>
      <c r="EU24" s="296">
        <v>1397.25</v>
      </c>
      <c r="EV24" s="198">
        <f t="shared" si="98"/>
        <v>-729.02</v>
      </c>
      <c r="EW24" s="198">
        <f t="shared" si="53"/>
        <v>668.23</v>
      </c>
      <c r="EX24" s="198">
        <f t="shared" si="54"/>
        <v>0</v>
      </c>
      <c r="EY24" s="198">
        <f t="shared" si="99"/>
        <v>0</v>
      </c>
      <c r="EZ24" s="530" cm="1">
        <f t="array" ref="EZ24">+ROUND(IF(EY24&lt;1,interpoler($A$5:$A$24,$B$5:$B$24,(ER24-$B$1)),interpoler($C$5:$C$24,$D$5:$D$24,EY24))+$EV$2,5)</f>
        <v>2.7279999999999999E-2</v>
      </c>
      <c r="FA24" s="198">
        <f t="shared" si="55"/>
        <v>0</v>
      </c>
      <c r="FD24" s="526">
        <f t="shared" si="56"/>
        <v>0</v>
      </c>
      <c r="FE24" s="802">
        <v>45375</v>
      </c>
      <c r="FF24" s="803">
        <v>17</v>
      </c>
      <c r="FG24" s="811">
        <v>51881.47</v>
      </c>
      <c r="FH24" s="812">
        <v>2035.26</v>
      </c>
      <c r="FI24" s="812">
        <v>393</v>
      </c>
      <c r="FJ24" s="807">
        <f t="shared" si="57"/>
        <v>2428.2600000000002</v>
      </c>
      <c r="FK24" s="807">
        <f t="shared" si="58"/>
        <v>0</v>
      </c>
      <c r="FL24" s="808">
        <f t="shared" si="133"/>
        <v>-2.0109890109999999</v>
      </c>
      <c r="FM24" s="809" cm="1">
        <f t="array" ref="FM24">+ROUND(IF(FL24&lt;1,interpoler($A$5:$A$24,$B$5:$B$24,(FE24-$B$1)),interpoler($C$5:$C$24,$D$5:$D$24,FL24))+$FI$2,5)</f>
        <v>2.7779999999999999E-2</v>
      </c>
      <c r="FN24" s="810">
        <f t="shared" si="100"/>
        <v>0</v>
      </c>
      <c r="FO24" s="814"/>
      <c r="FP24" s="221"/>
      <c r="FQ24" s="526">
        <f t="shared" si="59"/>
        <v>1</v>
      </c>
      <c r="FR24" s="1151">
        <v>46197</v>
      </c>
      <c r="FS24" s="905">
        <v>2</v>
      </c>
      <c r="FT24" s="1629">
        <v>100000</v>
      </c>
      <c r="FU24" s="1626">
        <v>0</v>
      </c>
      <c r="FV24" s="1632">
        <v>877.5</v>
      </c>
      <c r="FW24" s="798">
        <f t="shared" si="60"/>
        <v>877.5</v>
      </c>
      <c r="FX24" s="798">
        <f t="shared" si="61"/>
        <v>877.5</v>
      </c>
      <c r="FY24" s="799">
        <f t="shared" si="113"/>
        <v>0.24456522</v>
      </c>
      <c r="FZ24" s="800" cm="1">
        <f t="array" ref="FZ24">+ROUND(IF(FY24&lt;1,interpoler($A$5:$A$24,$B$5:$B$24,(FR24-$B$1)),interpoler(CIH!$K$72:$K$103,CIH!$L$72:$L$103,FY24))+$FV$2,5)</f>
        <v>2.9510000000000002E-2</v>
      </c>
      <c r="GA24" s="798">
        <f t="shared" si="62"/>
        <v>871.28076999999996</v>
      </c>
      <c r="GB24" s="484"/>
      <c r="GC24" s="522"/>
      <c r="GD24" s="150">
        <f t="shared" si="63"/>
        <v>0</v>
      </c>
      <c r="GE24" s="1151">
        <v>46105</v>
      </c>
      <c r="GF24" s="905">
        <v>1</v>
      </c>
      <c r="GG24" s="1328">
        <v>57070.55</v>
      </c>
      <c r="GH24" s="1626">
        <v>2384.5100000000002</v>
      </c>
      <c r="GI24" s="1626">
        <v>375.23</v>
      </c>
      <c r="GJ24" s="198">
        <f t="shared" si="64"/>
        <v>2759.74</v>
      </c>
      <c r="GK24" s="198">
        <f t="shared" si="65"/>
        <v>0</v>
      </c>
      <c r="GL24" s="447">
        <f t="shared" si="126"/>
        <v>0</v>
      </c>
      <c r="GM24" s="199" cm="1">
        <f t="array" ref="GM24">ROUND(interpoler(mat_zc,Taux_ZC,GL24)+$GJ$2,5)</f>
        <v>2.828E-2</v>
      </c>
      <c r="GN24" s="762">
        <f t="shared" si="102"/>
        <v>0</v>
      </c>
      <c r="GO24" s="198"/>
      <c r="GQ24" s="150">
        <f t="shared" si="66"/>
        <v>0</v>
      </c>
      <c r="GR24" s="856">
        <v>45924</v>
      </c>
      <c r="GS24" s="1030">
        <v>17</v>
      </c>
      <c r="GT24" s="967">
        <v>87127.74</v>
      </c>
      <c r="GU24" s="968">
        <v>747</v>
      </c>
      <c r="GV24" s="969">
        <v>675.23</v>
      </c>
      <c r="GW24" s="971">
        <f t="shared" si="67"/>
        <v>1422.23</v>
      </c>
      <c r="GX24" s="973">
        <f t="shared" si="68"/>
        <v>0</v>
      </c>
      <c r="GY24" s="971">
        <f t="shared" si="127"/>
        <v>0</v>
      </c>
      <c r="GZ24" s="976" cm="1">
        <f t="array" ref="GZ24">+ROUND(IF(GY24&lt;1,interpoler($A$5:$A$24,$B$5:$B$24,(GR24-$B$1)),interpoler(CIH!$K$72:$K$103,CIH!$L$72:$L$103,GY24))+$GW$2,5)</f>
        <v>2.9780000000000001E-2</v>
      </c>
      <c r="HA24" s="847">
        <f t="shared" si="129"/>
        <v>0</v>
      </c>
      <c r="HD24" s="1382">
        <f t="shared" si="70"/>
        <v>0</v>
      </c>
      <c r="HE24" s="309">
        <v>43291</v>
      </c>
      <c r="HF24" s="211">
        <v>17</v>
      </c>
      <c r="HG24" s="304">
        <f t="shared" si="103"/>
        <v>30312.549999999974</v>
      </c>
      <c r="HH24" s="196">
        <v>3020.83</v>
      </c>
      <c r="HI24" s="198">
        <f t="shared" si="104"/>
        <v>334.95</v>
      </c>
      <c r="HJ24" s="198">
        <f t="shared" si="71"/>
        <v>3355.78</v>
      </c>
      <c r="HK24" s="198">
        <f t="shared" si="72"/>
        <v>0</v>
      </c>
      <c r="HL24" s="198">
        <f t="shared" si="73"/>
        <v>0</v>
      </c>
      <c r="HM24" s="199" cm="1">
        <f t="array" ref="HM24">+ROUND(IF(HL24&lt;1,interpoler($A$5:$A$24,$B$5:$B$24,(HE24-$B$1)),interpoler($C$5:$C$24,$D$5:$D$24,HL24))+$HJ$2,5)</f>
        <v>2.7279999999999999E-2</v>
      </c>
      <c r="HN24" s="198">
        <f t="shared" si="74"/>
        <v>0</v>
      </c>
      <c r="HR24" s="150">
        <f t="shared" si="134"/>
        <v>0</v>
      </c>
      <c r="HS24" s="714"/>
      <c r="HT24" s="205"/>
      <c r="HU24" s="718"/>
      <c r="HV24" s="718"/>
      <c r="HW24" s="786"/>
      <c r="HX24" s="198"/>
      <c r="HY24" s="198"/>
      <c r="HZ24" s="198"/>
      <c r="IA24" s="199"/>
      <c r="IB24" s="212"/>
      <c r="ID24" s="150">
        <v>17</v>
      </c>
      <c r="IE24" s="714">
        <v>47026</v>
      </c>
      <c r="IF24" s="205">
        <v>17</v>
      </c>
      <c r="IG24" s="205">
        <v>52777.78</v>
      </c>
      <c r="IH24" s="766">
        <v>2777.78</v>
      </c>
      <c r="II24" s="765">
        <v>1041.67</v>
      </c>
      <c r="IJ24" s="198">
        <f t="shared" si="79"/>
        <v>3819.45</v>
      </c>
      <c r="IK24" s="212">
        <f t="shared" si="80"/>
        <v>3819.45</v>
      </c>
      <c r="IL24" s="761">
        <f t="shared" si="107"/>
        <v>2.5273224043999996</v>
      </c>
      <c r="IM24" s="199" cm="1">
        <f t="array" ref="IM24">+ROUND(IF(IL24&lt;1,interpoler($A$5:$A$24,$B$5:$B$24,(IE24-$B$1)),interpoler($C$5:$C$24,$D$5:$D$24,IL24))+$IJ$2,5)</f>
        <v>4.052E-2</v>
      </c>
      <c r="IN24" s="198">
        <f t="shared" si="81"/>
        <v>3454.645</v>
      </c>
      <c r="IP24" s="1382">
        <v>17</v>
      </c>
      <c r="IQ24" s="714">
        <v>47449</v>
      </c>
      <c r="IR24" s="205">
        <v>17</v>
      </c>
      <c r="IS24" s="198">
        <v>3424</v>
      </c>
      <c r="IT24" s="198">
        <v>2106</v>
      </c>
      <c r="IU24" s="198">
        <v>40.229999999999997</v>
      </c>
      <c r="IV24" s="198">
        <f t="shared" si="82"/>
        <v>2146.23</v>
      </c>
      <c r="IW24" s="212">
        <f t="shared" si="83"/>
        <v>2146.23</v>
      </c>
      <c r="IX24" s="447">
        <f t="shared" si="108"/>
        <v>3.6766304347826084</v>
      </c>
      <c r="IY24" s="199" cm="1">
        <f t="array" ref="IY24">+ROUND(IF(IX24&lt;1,interpoler($A$5:$A$24,$B$5:$B$24,(IQ24-$B$1)),interpoler($C$5:$C$24,$D$5:$D$24,IX24))+$IV$2,5)</f>
        <v>3.5119999999999998E-2</v>
      </c>
      <c r="IZ24" s="198">
        <f t="shared" si="84"/>
        <v>1890.4317286738294</v>
      </c>
      <c r="JD24" s="150"/>
      <c r="JE24" s="714"/>
      <c r="JF24" s="205"/>
      <c r="JG24" s="205"/>
      <c r="JH24" s="766"/>
      <c r="JI24" s="765"/>
      <c r="JJ24" s="198"/>
      <c r="JK24" s="212"/>
      <c r="JL24" s="761"/>
      <c r="JM24" s="199"/>
      <c r="JN24" s="198"/>
      <c r="JP24" s="150"/>
      <c r="JQ24" s="200" t="s">
        <v>3052</v>
      </c>
      <c r="JR24" s="205">
        <v>17</v>
      </c>
      <c r="JS24" s="205">
        <v>67500</v>
      </c>
      <c r="JT24" s="205">
        <v>2500</v>
      </c>
      <c r="JU24" s="765">
        <v>953.75</v>
      </c>
      <c r="JV24" s="198">
        <f t="shared" si="106"/>
        <v>3453.75</v>
      </c>
      <c r="JW24" s="212">
        <f t="shared" si="111"/>
        <v>3453.75</v>
      </c>
      <c r="JX24" s="1335">
        <f t="shared" si="117"/>
        <v>2.5489130434782608</v>
      </c>
      <c r="JY24" s="199" cm="1">
        <f t="array" ref="JY24">ROUND(interpoler(mat_zc,Taux_ZC,JX24)+$JV$2,5)</f>
        <v>4.7559999999999998E-2</v>
      </c>
      <c r="JZ24" s="198">
        <f t="shared" si="118"/>
        <v>3068.0088999999998</v>
      </c>
      <c r="KB24" s="205"/>
      <c r="KC24" s="205"/>
      <c r="KD24" s="205"/>
      <c r="KE24" s="205"/>
      <c r="KF24" s="765"/>
      <c r="KG24" s="198"/>
      <c r="KH24" s="212"/>
      <c r="KI24" s="765"/>
      <c r="KJ24" s="199"/>
      <c r="KK24" s="198"/>
      <c r="KN24" s="1603">
        <v>51907</v>
      </c>
      <c r="KO24" s="205">
        <f t="shared" ref="KO24:KO37" si="138">KO23+1</f>
        <v>17</v>
      </c>
      <c r="KP24" s="1604">
        <v>93333.333333333328</v>
      </c>
      <c r="KQ24" s="1443">
        <v>6666.666666666667</v>
      </c>
      <c r="KR24" s="1443">
        <v>4171.9999999999991</v>
      </c>
      <c r="KS24" s="198">
        <f t="shared" si="135"/>
        <v>10838.67</v>
      </c>
      <c r="KT24" s="212">
        <f t="shared" si="136"/>
        <v>10838.67</v>
      </c>
      <c r="KU24" s="1607">
        <f t="shared" si="114"/>
        <v>15.87945205479452</v>
      </c>
      <c r="KV24" s="199" cm="1">
        <f t="array" ref="KV24">ROUND(interpoler(mat_zc,Taux_ZC,KU24)+$KS$2,5)</f>
        <v>4.2439999999999999E-2</v>
      </c>
      <c r="KW24" s="1612">
        <f t="shared" si="137"/>
        <v>5601.8945999999996</v>
      </c>
    </row>
    <row r="25" spans="1:309" ht="15.75" x14ac:dyDescent="0.25">
      <c r="C25" s="95"/>
      <c r="D25" s="145"/>
      <c r="E25" s="157"/>
      <c r="F25" s="156"/>
      <c r="G25" s="150">
        <f t="shared" si="0"/>
        <v>3</v>
      </c>
      <c r="H25" s="117">
        <f t="shared" si="132"/>
        <v>72015.070000000007</v>
      </c>
      <c r="I25" s="120">
        <v>18</v>
      </c>
      <c r="J25" s="196">
        <v>26183.96</v>
      </c>
      <c r="K25" s="196">
        <v>3526.39</v>
      </c>
      <c r="L25" s="137">
        <f t="shared" si="130"/>
        <v>407.16</v>
      </c>
      <c r="M25" s="137">
        <f t="shared" si="131"/>
        <v>3933.55</v>
      </c>
      <c r="N25" s="137">
        <f t="shared" si="3"/>
        <v>3933.55</v>
      </c>
      <c r="O25" s="137">
        <f t="shared" si="4"/>
        <v>0.70728437467288796</v>
      </c>
      <c r="P25" s="146" t="e" cm="1">
        <f t="array" ref="P25">+ROUND(IF(O25&lt;1,interpoler($A$5:$A$24,$B$5:$B$24,(H25-$B$1)),interpoler($C$5:$C$24,$D$5:$D$24,O25))+$M$2,6)</f>
        <v>#VALUE!</v>
      </c>
      <c r="Q25" s="137" t="e">
        <f t="shared" si="5"/>
        <v>#VALUE!</v>
      </c>
      <c r="R25" s="172"/>
      <c r="S25" s="150">
        <f t="shared" si="6"/>
        <v>0</v>
      </c>
      <c r="T25" s="194">
        <v>39002</v>
      </c>
      <c r="U25" s="205">
        <v>18</v>
      </c>
      <c r="V25" s="196">
        <v>100000</v>
      </c>
      <c r="W25" s="207">
        <v>0</v>
      </c>
      <c r="X25" s="198">
        <f t="shared" si="7"/>
        <v>1830</v>
      </c>
      <c r="Y25" s="198">
        <f t="shared" si="8"/>
        <v>1830</v>
      </c>
      <c r="Z25" s="198">
        <f t="shared" si="9"/>
        <v>0</v>
      </c>
      <c r="AA25" s="198">
        <f t="shared" si="10"/>
        <v>0</v>
      </c>
      <c r="AB25" s="199" cm="1">
        <f t="array" ref="AB25">+ROUND(IF(AA25&lt;1,interpoler($A$5:$A$24,$B$5:$B$24,(T25-$B$1)),interpoler($C$5:$C$24,$D$5:$D$24,AA25))+$Y$2,6)</f>
        <v>3.0780999999999999E-2</v>
      </c>
      <c r="AC25" s="198">
        <f t="shared" si="11"/>
        <v>0</v>
      </c>
      <c r="AE25" s="150">
        <f t="shared" si="12"/>
        <v>0</v>
      </c>
      <c r="AF25" s="117"/>
      <c r="AG25" s="120"/>
      <c r="AH25" s="121"/>
      <c r="AI25" s="121"/>
      <c r="AJ25" s="137"/>
      <c r="AK25" s="137"/>
      <c r="AL25" s="137"/>
      <c r="AM25" s="137"/>
      <c r="AN25" s="146"/>
      <c r="AO25" s="137"/>
      <c r="AP25" s="172">
        <f t="shared" si="18"/>
        <v>0</v>
      </c>
      <c r="AQ25" s="150">
        <f t="shared" si="19"/>
        <v>0</v>
      </c>
      <c r="AR25" s="194">
        <v>40249</v>
      </c>
      <c r="AS25" s="211">
        <v>18</v>
      </c>
      <c r="AT25" s="196">
        <v>87803.18</v>
      </c>
      <c r="AU25" s="196">
        <v>4563.8100000000004</v>
      </c>
      <c r="AV25" s="198">
        <f t="shared" si="20"/>
        <v>1402.66</v>
      </c>
      <c r="AW25" s="198">
        <f t="shared" si="21"/>
        <v>5966.47</v>
      </c>
      <c r="AX25" s="198">
        <f t="shared" si="22"/>
        <v>0</v>
      </c>
      <c r="AY25" s="198">
        <f t="shared" si="23"/>
        <v>0</v>
      </c>
      <c r="AZ25" s="199" cm="1">
        <f t="array" ref="AZ25">+ROUND(IF(AY25&lt;1,interpoler($A$5:$A$24,$B$5:$B$24,(AR25-$B$1)),interpoler($C$5:$C$24,$D$5:$D$24,AY25))+$AW$2,6)</f>
        <v>2.9780999999999998E-2</v>
      </c>
      <c r="BA25" s="198">
        <f t="shared" si="24"/>
        <v>0</v>
      </c>
      <c r="BB25" s="221"/>
      <c r="BC25" s="599">
        <f t="shared" si="25"/>
        <v>0</v>
      </c>
      <c r="BD25" s="669">
        <v>41439</v>
      </c>
      <c r="BE25" s="526">
        <v>18</v>
      </c>
      <c r="BF25" s="841">
        <f>+BF24-BG24</f>
        <v>59362.270000000004</v>
      </c>
      <c r="BG25" s="835">
        <v>2169.7976290196079</v>
      </c>
      <c r="BH25" s="529">
        <f t="shared" si="90"/>
        <v>716.8</v>
      </c>
      <c r="BI25" s="529">
        <f t="shared" si="26"/>
        <v>2886.6</v>
      </c>
      <c r="BJ25" s="529">
        <f t="shared" si="27"/>
        <v>0</v>
      </c>
      <c r="BK25" s="529">
        <f t="shared" si="28"/>
        <v>0</v>
      </c>
      <c r="BL25" s="530" cm="1">
        <f t="array" ref="BL25">+ROUND(IF(BK25&lt;1,interpoler($A$5:$A$24,$B$5:$B$24,(BD25-$B$1)),interpoler($C$5:$C$24,$D$5:$D$24,BK25))+$BI$2,6)</f>
        <v>3.3280999999999998E-2</v>
      </c>
      <c r="BM25" s="529">
        <f t="shared" si="29"/>
        <v>0</v>
      </c>
      <c r="BN25" s="280"/>
      <c r="BP25" s="150">
        <f t="shared" si="30"/>
        <v>17</v>
      </c>
      <c r="BQ25" s="194" t="s">
        <v>318</v>
      </c>
      <c r="BR25" s="211">
        <v>18</v>
      </c>
      <c r="BS25" s="304">
        <f t="shared" si="91"/>
        <v>45161.2903225806</v>
      </c>
      <c r="BT25" s="196">
        <v>3225.8064516129034</v>
      </c>
      <c r="BU25" s="198">
        <f t="shared" si="92"/>
        <v>510.12</v>
      </c>
      <c r="BV25" s="198">
        <f t="shared" si="31"/>
        <v>3735.93</v>
      </c>
      <c r="BW25" s="198">
        <f t="shared" si="32"/>
        <v>3735.93</v>
      </c>
      <c r="BX25" s="198">
        <f t="shared" si="33"/>
        <v>4.8296986518636</v>
      </c>
      <c r="BY25" s="199" cm="1">
        <f t="array" ref="BY25">+ROUND(IF(BX25&lt;1,interpoler($A$5:$A$24,$B$5:$B$24,(BQ25-$B$1)),interpoler($C$5:$C$24,$D$5:$D$24,BX25))+$BV$2,6)</f>
        <v>3.4726E-2</v>
      </c>
      <c r="BZ25" s="198">
        <f t="shared" si="34"/>
        <v>3168.0840847321783</v>
      </c>
      <c r="CB25" s="150">
        <f t="shared" si="35"/>
        <v>0</v>
      </c>
      <c r="CC25" s="868">
        <v>44736</v>
      </c>
      <c r="CD25" s="857">
        <v>18</v>
      </c>
      <c r="CE25" s="859">
        <v>100000</v>
      </c>
      <c r="CF25" s="1035">
        <v>0</v>
      </c>
      <c r="CG25" s="847">
        <v>1007.5</v>
      </c>
      <c r="CH25" s="847">
        <f t="shared" si="36"/>
        <v>1007.5</v>
      </c>
      <c r="CI25" s="847">
        <f t="shared" si="37"/>
        <v>0</v>
      </c>
      <c r="CJ25" s="847">
        <f t="shared" si="121"/>
        <v>-3.7255434799999998</v>
      </c>
      <c r="CK25" s="848" cm="1">
        <f t="array" ref="CK25">ROUND(ROUND(IF(CJ25&lt;1,interpoler($A$5:$A$24,$B$5:$B$24,(CC25-$B$1)),interpoler($C$5:$C$24,$D$5:$D$24,CJ25))+$CH$2,5),5)</f>
        <v>2.878E-2</v>
      </c>
      <c r="CL25" s="847">
        <f t="shared" si="115"/>
        <v>0</v>
      </c>
      <c r="CM25" s="280"/>
      <c r="CN25" s="150">
        <f t="shared" si="38"/>
        <v>0</v>
      </c>
      <c r="CO25" s="869">
        <v>44828</v>
      </c>
      <c r="CP25" s="857">
        <v>18</v>
      </c>
      <c r="CQ25" s="859">
        <v>24546.25</v>
      </c>
      <c r="CR25" s="859">
        <v>3511.8</v>
      </c>
      <c r="CS25" s="862">
        <v>197.59</v>
      </c>
      <c r="CT25" s="847">
        <f t="shared" si="39"/>
        <v>3709.39</v>
      </c>
      <c r="CU25" s="847">
        <f t="shared" si="40"/>
        <v>0</v>
      </c>
      <c r="CV25" s="863">
        <f t="shared" si="128"/>
        <v>0</v>
      </c>
      <c r="CW25" s="864" cm="1">
        <f t="array" ref="CW25">+ROUND(IF(CV25&lt;1,interpoler($A$5:$A$24,$B$5:$B$24,(CO25-$B$1)),interpoler($C$5:$C$24,$D$5:$D$24,CV25))+$CT$2,5)</f>
        <v>2.7279999999999999E-2</v>
      </c>
      <c r="CX25" s="861">
        <f t="shared" si="116"/>
        <v>0</v>
      </c>
      <c r="CY25" s="448"/>
      <c r="DA25" s="426"/>
      <c r="DH25"/>
      <c r="DI25"/>
      <c r="DJ25"/>
      <c r="DK25"/>
      <c r="DL25"/>
      <c r="DQ25" s="211">
        <f t="shared" si="42"/>
        <v>0</v>
      </c>
      <c r="DR25" s="524">
        <v>42567</v>
      </c>
      <c r="DS25" s="211">
        <v>18</v>
      </c>
      <c r="DT25" s="304">
        <f t="shared" si="94"/>
        <v>52330.380000000005</v>
      </c>
      <c r="DU25" s="402">
        <v>2593.92</v>
      </c>
      <c r="DV25" s="198">
        <f t="shared" si="95"/>
        <v>611.03</v>
      </c>
      <c r="DW25" s="198">
        <f t="shared" si="43"/>
        <v>3204.95</v>
      </c>
      <c r="DX25" s="198">
        <f t="shared" si="44"/>
        <v>0</v>
      </c>
      <c r="DY25" s="198">
        <f t="shared" si="45"/>
        <v>0</v>
      </c>
      <c r="DZ25" s="199" cm="1">
        <f t="array" ref="DZ25">+ROUND(IF(DY25&lt;1,interpoler($A$5:$A$24,$B$5:$B$24,(DR25-$B$1)),interpoler($C$5:$C$24,$D$5:$D$24,DY25))+$DW$2,5)</f>
        <v>2.5680000000000001E-2</v>
      </c>
      <c r="EA25" s="198">
        <f t="shared" si="46"/>
        <v>0</v>
      </c>
      <c r="EC25" s="211"/>
      <c r="ED25" s="524"/>
      <c r="EE25" s="211"/>
      <c r="EF25" s="730"/>
      <c r="EG25" s="768"/>
      <c r="EH25" s="768"/>
      <c r="EI25" s="768"/>
      <c r="EJ25" s="768"/>
      <c r="EK25" s="940"/>
      <c r="EL25" s="935"/>
      <c r="EM25" s="768"/>
      <c r="EN25" s="280"/>
      <c r="EO25" s="280"/>
      <c r="EQ25" s="211">
        <f t="shared" si="52"/>
        <v>0</v>
      </c>
      <c r="ER25" s="524">
        <v>45101</v>
      </c>
      <c r="ES25" s="211">
        <v>18</v>
      </c>
      <c r="ET25" s="304">
        <f t="shared" si="97"/>
        <v>-100000.00000000001</v>
      </c>
      <c r="EU25" s="296">
        <v>417.97</v>
      </c>
      <c r="EV25" s="198">
        <f t="shared" si="98"/>
        <v>-739.39</v>
      </c>
      <c r="EW25" s="198">
        <f t="shared" si="53"/>
        <v>-321.42</v>
      </c>
      <c r="EX25" s="198">
        <f t="shared" si="54"/>
        <v>0</v>
      </c>
      <c r="EY25" s="198">
        <f t="shared" si="99"/>
        <v>0</v>
      </c>
      <c r="EZ25" s="530" cm="1">
        <f t="array" ref="EZ25">+ROUND(IF(EY25&lt;1,interpoler($A$5:$A$24,$B$5:$B$24,(ER25-$B$1)),interpoler($C$5:$C$24,$D$5:$D$24,EY25))+$EV$2,5)</f>
        <v>2.7279999999999999E-2</v>
      </c>
      <c r="FA25" s="198">
        <f t="shared" si="55"/>
        <v>0</v>
      </c>
      <c r="FD25" s="526">
        <f t="shared" si="56"/>
        <v>0</v>
      </c>
      <c r="FE25" s="802">
        <v>45467</v>
      </c>
      <c r="FF25" s="803">
        <v>18</v>
      </c>
      <c r="FG25" s="811">
        <v>49078.899999999972</v>
      </c>
      <c r="FH25" s="812">
        <v>2012.62</v>
      </c>
      <c r="FI25" s="812">
        <v>371.77</v>
      </c>
      <c r="FJ25" s="807">
        <f t="shared" si="57"/>
        <v>2384.39</v>
      </c>
      <c r="FK25" s="807">
        <f t="shared" si="58"/>
        <v>0</v>
      </c>
      <c r="FL25" s="808">
        <f t="shared" si="133"/>
        <v>-1.7391304348000001</v>
      </c>
      <c r="FM25" s="809" cm="1">
        <f t="array" ref="FM25">+ROUND(IF(FL25&lt;1,interpoler($A$5:$A$24,$B$5:$B$24,(FE25-$B$1)),interpoler($C$5:$C$24,$D$5:$D$24,FL25))+$FI$2,5)</f>
        <v>2.7779999999999999E-2</v>
      </c>
      <c r="FN25" s="810">
        <f t="shared" si="100"/>
        <v>0</v>
      </c>
      <c r="FO25" s="813"/>
      <c r="FP25" s="221"/>
      <c r="FQ25" s="526">
        <f t="shared" si="59"/>
        <v>2</v>
      </c>
      <c r="FR25" s="1152">
        <v>46289</v>
      </c>
      <c r="FS25" s="905">
        <v>3</v>
      </c>
      <c r="FT25" s="1630">
        <v>100000</v>
      </c>
      <c r="FU25" s="1627">
        <v>0</v>
      </c>
      <c r="FV25" s="1633">
        <v>877.5</v>
      </c>
      <c r="FW25" s="798">
        <f t="shared" si="60"/>
        <v>877.5</v>
      </c>
      <c r="FX25" s="798">
        <f t="shared" si="61"/>
        <v>877.5</v>
      </c>
      <c r="FY25" s="799">
        <f t="shared" si="113"/>
        <v>0.49456522000000003</v>
      </c>
      <c r="FZ25" s="800" cm="1">
        <f t="array" ref="FZ25">+ROUND(IF(FY25&lt;1,interpoler($A$5:$A$24,$B$5:$B$24,(FR25-$B$1)),interpoler(CIH!$K$72:$K$103,CIH!$L$72:$L$103,FY25))+$FV$2,5)</f>
        <v>3.0120000000000001E-2</v>
      </c>
      <c r="GA25" s="798">
        <f t="shared" si="62"/>
        <v>864.71552999999994</v>
      </c>
      <c r="GB25" s="484"/>
      <c r="GC25" s="522"/>
      <c r="GD25" s="150">
        <f t="shared" si="63"/>
        <v>1</v>
      </c>
      <c r="GE25" s="1151">
        <v>46197</v>
      </c>
      <c r="GF25" s="905">
        <v>2</v>
      </c>
      <c r="GG25" s="1328">
        <v>54686.04000000003</v>
      </c>
      <c r="GH25" s="1626">
        <v>2100.64</v>
      </c>
      <c r="GI25" s="1626">
        <v>359.56</v>
      </c>
      <c r="GJ25" s="198">
        <f t="shared" si="64"/>
        <v>2460.1999999999998</v>
      </c>
      <c r="GK25" s="198">
        <f t="shared" si="65"/>
        <v>2460.1999999999998</v>
      </c>
      <c r="GL25" s="447">
        <f t="shared" si="126"/>
        <v>0.24456521740000001</v>
      </c>
      <c r="GM25" s="199" cm="1">
        <f t="array" ref="GM25">ROUND(interpoler(mat_zc,Taux_ZC,GL25)+$GJ$2,5)</f>
        <v>2.8500000000000001E-2</v>
      </c>
      <c r="GN25" s="762">
        <f t="shared" si="102"/>
        <v>2443.3499000000002</v>
      </c>
      <c r="GO25" s="198"/>
      <c r="GQ25" s="150">
        <f t="shared" si="66"/>
        <v>0</v>
      </c>
      <c r="GR25" s="856">
        <v>46015</v>
      </c>
      <c r="GS25" s="1030">
        <v>18</v>
      </c>
      <c r="GT25" s="967">
        <v>86380.74</v>
      </c>
      <c r="GU25" s="968">
        <v>790.15</v>
      </c>
      <c r="GV25" s="969">
        <v>669.45</v>
      </c>
      <c r="GW25" s="971">
        <f t="shared" si="67"/>
        <v>1459.6</v>
      </c>
      <c r="GX25" s="973">
        <f t="shared" si="68"/>
        <v>0</v>
      </c>
      <c r="GY25" s="971">
        <f t="shared" si="127"/>
        <v>0</v>
      </c>
      <c r="GZ25" s="976" cm="1">
        <f t="array" ref="GZ25">+ROUND(IF(GY25&lt;1,interpoler($A$5:$A$24,$B$5:$B$24,(GR25-$B$1)),interpoler(CIH!$K$72:$K$103,CIH!$L$72:$L$103,GY25))+$GW$2,5)</f>
        <v>2.9780000000000001E-2</v>
      </c>
      <c r="HA25" s="847">
        <f t="shared" si="129"/>
        <v>0</v>
      </c>
      <c r="HD25" s="1382">
        <f t="shared" si="70"/>
        <v>0</v>
      </c>
      <c r="HE25" s="309">
        <v>43383</v>
      </c>
      <c r="HF25" s="211">
        <v>18</v>
      </c>
      <c r="HG25" s="304">
        <f t="shared" si="103"/>
        <v>27291.719999999972</v>
      </c>
      <c r="HH25" s="196">
        <v>2916.66</v>
      </c>
      <c r="HI25" s="198">
        <f t="shared" si="104"/>
        <v>301.57</v>
      </c>
      <c r="HJ25" s="198">
        <f t="shared" si="71"/>
        <v>3218.23</v>
      </c>
      <c r="HK25" s="198">
        <f t="shared" si="72"/>
        <v>0</v>
      </c>
      <c r="HL25" s="198">
        <f t="shared" si="73"/>
        <v>0</v>
      </c>
      <c r="HM25" s="199" cm="1">
        <f t="array" ref="HM25">+ROUND(IF(HL25&lt;1,interpoler($A$5:$A$24,$B$5:$B$24,(HE25-$B$1)),interpoler($C$5:$C$24,$D$5:$D$24,HL25))+$HJ$2,5)</f>
        <v>2.7279999999999999E-2</v>
      </c>
      <c r="HN25" s="198">
        <f t="shared" si="74"/>
        <v>0</v>
      </c>
      <c r="HR25" s="150">
        <f t="shared" si="134"/>
        <v>0</v>
      </c>
      <c r="HS25" s="714"/>
      <c r="HT25" s="205"/>
      <c r="HU25" s="718"/>
      <c r="HV25" s="718"/>
      <c r="HW25" s="786"/>
      <c r="HX25" s="198"/>
      <c r="HY25" s="198"/>
      <c r="HZ25" s="198"/>
      <c r="IA25" s="199"/>
      <c r="IB25" s="212"/>
      <c r="ID25" s="150">
        <v>18</v>
      </c>
      <c r="IE25" s="714">
        <v>47208</v>
      </c>
      <c r="IF25" s="205">
        <v>18</v>
      </c>
      <c r="IG25" s="205">
        <v>50000</v>
      </c>
      <c r="IH25" s="766">
        <v>2777.78</v>
      </c>
      <c r="II25" s="765">
        <v>986.87</v>
      </c>
      <c r="IJ25" s="198">
        <f t="shared" si="79"/>
        <v>3764.65</v>
      </c>
      <c r="IK25" s="212">
        <f t="shared" si="80"/>
        <v>3764.65</v>
      </c>
      <c r="IL25" s="761">
        <f t="shared" si="107"/>
        <v>3.0109589040999998</v>
      </c>
      <c r="IM25" s="199" cm="1">
        <f t="array" ref="IM25">+ROUND(IF(IL25&lt;1,interpoler($A$5:$A$24,$B$5:$B$24,(IE25-$B$1)),interpoler($C$5:$C$24,$D$5:$D$24,IL25))+$IJ$2,5)</f>
        <v>4.1270000000000001E-2</v>
      </c>
      <c r="IN25" s="198">
        <f t="shared" si="81"/>
        <v>3333.0518000000002</v>
      </c>
      <c r="IP25" s="1382">
        <v>18</v>
      </c>
      <c r="IQ25" s="714">
        <v>47541</v>
      </c>
      <c r="IR25" s="205">
        <v>18</v>
      </c>
      <c r="IS25" s="198">
        <v>1822</v>
      </c>
      <c r="IT25" s="198">
        <v>1602</v>
      </c>
      <c r="IU25" s="198">
        <v>24.91</v>
      </c>
      <c r="IV25" s="198">
        <f t="shared" si="82"/>
        <v>1626.91</v>
      </c>
      <c r="IW25" s="212">
        <f t="shared" si="83"/>
        <v>1626.91</v>
      </c>
      <c r="IX25" s="447">
        <f t="shared" si="108"/>
        <v>3.9266304347826084</v>
      </c>
      <c r="IY25" s="199" cm="1">
        <f t="array" ref="IY25">+ROUND(IF(IX25&lt;1,interpoler($A$5:$A$24,$B$5:$B$24,(IQ25-$B$1)),interpoler($C$5:$C$24,$D$5:$D$24,IX25))+$IV$2,5)</f>
        <v>3.5520000000000003E-2</v>
      </c>
      <c r="IZ25" s="198">
        <f t="shared" si="84"/>
        <v>1418.5404864729062</v>
      </c>
      <c r="JD25" s="150"/>
      <c r="JE25" s="714"/>
      <c r="JF25" s="205"/>
      <c r="JG25" s="205"/>
      <c r="JH25" s="766"/>
      <c r="JI25" s="765"/>
      <c r="JJ25" s="198"/>
      <c r="JK25" s="212"/>
      <c r="JL25" s="761"/>
      <c r="JM25" s="199"/>
      <c r="JN25" s="198"/>
      <c r="JP25" s="150"/>
      <c r="JQ25" s="200" t="s">
        <v>3053</v>
      </c>
      <c r="JR25" s="205">
        <v>18</v>
      </c>
      <c r="JS25" s="205">
        <v>65000</v>
      </c>
      <c r="JT25" s="205">
        <v>2500</v>
      </c>
      <c r="JU25" s="765">
        <v>919.68</v>
      </c>
      <c r="JV25" s="198">
        <f t="shared" si="106"/>
        <v>3419.68</v>
      </c>
      <c r="JW25" s="212">
        <f t="shared" si="111"/>
        <v>3419.68</v>
      </c>
      <c r="JX25" s="1335">
        <f t="shared" si="117"/>
        <v>2.7989130434782608</v>
      </c>
      <c r="JY25" s="199" cm="1">
        <f t="array" ref="JY25">ROUND(interpoler(mat_zc,Taux_ZC,JX25)+$JV$2,5)</f>
        <v>4.7940000000000003E-2</v>
      </c>
      <c r="JZ25" s="198">
        <f t="shared" si="118"/>
        <v>2999.6156000000001</v>
      </c>
      <c r="KB25" s="205"/>
      <c r="KC25" s="205"/>
      <c r="KD25" s="205"/>
      <c r="KE25" s="205"/>
      <c r="KF25" s="765"/>
      <c r="KG25" s="198"/>
      <c r="KH25" s="212"/>
      <c r="KI25" s="765"/>
      <c r="KJ25" s="199"/>
      <c r="KK25" s="198"/>
      <c r="KN25" s="1602">
        <v>52272</v>
      </c>
      <c r="KO25" s="205">
        <f t="shared" si="138"/>
        <v>18</v>
      </c>
      <c r="KP25" s="1605">
        <v>86666.666666666657</v>
      </c>
      <c r="KQ25" s="1442">
        <v>6666.666666666667</v>
      </c>
      <c r="KR25" s="1442">
        <v>3873.9999999999991</v>
      </c>
      <c r="KS25" s="198">
        <f t="shared" si="135"/>
        <v>10540.67</v>
      </c>
      <c r="KT25" s="212">
        <f t="shared" si="136"/>
        <v>10540.67</v>
      </c>
      <c r="KU25" s="1607">
        <f t="shared" si="114"/>
        <v>16.87945205479452</v>
      </c>
      <c r="KV25" s="199" cm="1">
        <f t="array" ref="KV25">ROUND(interpoler(mat_zc,Taux_ZC,KU25)+$KS$2,5)</f>
        <v>4.2709999999999998E-2</v>
      </c>
      <c r="KW25" s="1612">
        <f t="shared" si="137"/>
        <v>5203.2852999999996</v>
      </c>
    </row>
    <row r="26" spans="1:309" ht="15.75" x14ac:dyDescent="0.25">
      <c r="B26" s="715"/>
      <c r="C26" s="95"/>
      <c r="D26" s="315"/>
      <c r="E26" s="157"/>
      <c r="F26" s="156"/>
      <c r="G26" s="150">
        <f t="shared" si="0"/>
        <v>4</v>
      </c>
      <c r="H26" s="117">
        <f t="shared" si="132"/>
        <v>67418.84</v>
      </c>
      <c r="I26" s="120">
        <v>19</v>
      </c>
      <c r="J26" s="196">
        <v>22657.57</v>
      </c>
      <c r="K26" s="196">
        <v>3565.13</v>
      </c>
      <c r="L26" s="137">
        <f t="shared" si="130"/>
        <v>352.33</v>
      </c>
      <c r="M26" s="137">
        <f t="shared" si="131"/>
        <v>3917.46</v>
      </c>
      <c r="N26" s="137">
        <f t="shared" si="3"/>
        <v>3917.46</v>
      </c>
      <c r="O26" s="137">
        <f t="shared" si="4"/>
        <v>0.95728437467288796</v>
      </c>
      <c r="P26" s="146" t="e" cm="1">
        <f t="array" ref="P26">+ROUND(IF(O26&lt;1,interpoler($A$5:$A$24,$B$5:$B$24,(H26-$B$1)),interpoler($C$5:$C$24,$D$5:$D$24,O26))+$M$2,6)</f>
        <v>#VALUE!</v>
      </c>
      <c r="Q26" s="137" t="e">
        <f t="shared" si="5"/>
        <v>#VALUE!</v>
      </c>
      <c r="R26" s="172"/>
      <c r="S26" s="150">
        <f t="shared" si="6"/>
        <v>0</v>
      </c>
      <c r="T26" s="194">
        <v>39094</v>
      </c>
      <c r="U26" s="205">
        <v>19</v>
      </c>
      <c r="V26" s="196">
        <v>100000</v>
      </c>
      <c r="W26" s="207">
        <v>0</v>
      </c>
      <c r="X26" s="198">
        <f t="shared" si="7"/>
        <v>1830</v>
      </c>
      <c r="Y26" s="198">
        <f t="shared" si="8"/>
        <v>1830</v>
      </c>
      <c r="Z26" s="198">
        <f t="shared" si="9"/>
        <v>0</v>
      </c>
      <c r="AA26" s="198">
        <f t="shared" si="10"/>
        <v>0</v>
      </c>
      <c r="AB26" s="199" cm="1">
        <f t="array" ref="AB26">+ROUND(IF(AA26&lt;1,interpoler($A$5:$A$24,$B$5:$B$24,(T26-$B$1)),interpoler($C$5:$C$24,$D$5:$D$24,AA26))+$Y$2,6)</f>
        <v>3.0780999999999999E-2</v>
      </c>
      <c r="AC26" s="198">
        <f t="shared" si="11"/>
        <v>0</v>
      </c>
      <c r="AE26" s="150">
        <f t="shared" si="12"/>
        <v>0</v>
      </c>
      <c r="AF26" s="117"/>
      <c r="AG26" s="120"/>
      <c r="AH26" s="121"/>
      <c r="AI26" s="121"/>
      <c r="AJ26" s="137"/>
      <c r="AK26" s="137"/>
      <c r="AL26" s="137"/>
      <c r="AM26" s="137"/>
      <c r="AN26" s="146"/>
      <c r="AO26" s="137"/>
      <c r="AP26" s="172">
        <f t="shared" si="18"/>
        <v>0</v>
      </c>
      <c r="AQ26" s="150">
        <f t="shared" si="19"/>
        <v>0</v>
      </c>
      <c r="AR26" s="194">
        <v>40341</v>
      </c>
      <c r="AS26" s="211">
        <v>19</v>
      </c>
      <c r="AT26" s="196">
        <v>83239.37</v>
      </c>
      <c r="AU26" s="196">
        <v>4566.58</v>
      </c>
      <c r="AV26" s="198">
        <f t="shared" si="20"/>
        <v>1329.75</v>
      </c>
      <c r="AW26" s="198">
        <f t="shared" si="21"/>
        <v>5896.33</v>
      </c>
      <c r="AX26" s="198">
        <f t="shared" si="22"/>
        <v>0</v>
      </c>
      <c r="AY26" s="198">
        <f t="shared" si="23"/>
        <v>0</v>
      </c>
      <c r="AZ26" s="199" cm="1">
        <f t="array" ref="AZ26">+ROUND(IF(AY26&lt;1,interpoler($A$5:$A$24,$B$5:$B$24,(AR26-$B$1)),interpoler($C$5:$C$24,$D$5:$D$24,AY26))+$AW$2,6)</f>
        <v>2.9780999999999998E-2</v>
      </c>
      <c r="BA26" s="198">
        <f t="shared" si="24"/>
        <v>0</v>
      </c>
      <c r="BB26" s="221"/>
      <c r="BC26" s="599">
        <f t="shared" si="25"/>
        <v>0</v>
      </c>
      <c r="BD26" s="669">
        <v>41531</v>
      </c>
      <c r="BE26" s="526">
        <v>19</v>
      </c>
      <c r="BF26" s="841">
        <v>56998</v>
      </c>
      <c r="BG26" s="835">
        <v>2281.48</v>
      </c>
      <c r="BH26" s="529">
        <f t="shared" si="90"/>
        <v>688.25</v>
      </c>
      <c r="BI26" s="529">
        <f t="shared" si="26"/>
        <v>2969.73</v>
      </c>
      <c r="BJ26" s="529">
        <f t="shared" si="27"/>
        <v>0</v>
      </c>
      <c r="BK26" s="529">
        <f t="shared" si="28"/>
        <v>0</v>
      </c>
      <c r="BL26" s="530" cm="1">
        <f t="array" ref="BL26">+ROUND(IF(BK26&lt;1,interpoler($A$5:$A$24,$B$5:$B$24,(BD26-$B$1)),interpoler($C$5:$C$24,$D$5:$D$24,BK26))+$BI$2,6)</f>
        <v>3.3280999999999998E-2</v>
      </c>
      <c r="BM26" s="529">
        <f t="shared" si="29"/>
        <v>0</v>
      </c>
      <c r="BN26" s="280"/>
      <c r="BP26" s="150">
        <f t="shared" si="30"/>
        <v>18</v>
      </c>
      <c r="BQ26" s="194" t="s">
        <v>319</v>
      </c>
      <c r="BR26" s="211">
        <v>19</v>
      </c>
      <c r="BS26" s="304">
        <f t="shared" si="91"/>
        <v>41935.483870967699</v>
      </c>
      <c r="BT26" s="196">
        <v>3225.8064516129034</v>
      </c>
      <c r="BU26" s="198">
        <f t="shared" si="92"/>
        <v>473.68</v>
      </c>
      <c r="BV26" s="198">
        <f t="shared" si="31"/>
        <v>3699.49</v>
      </c>
      <c r="BW26" s="198">
        <f t="shared" si="32"/>
        <v>3699.49</v>
      </c>
      <c r="BX26" s="198">
        <f t="shared" si="33"/>
        <v>5.0796986518636</v>
      </c>
      <c r="BY26" s="199" cm="1">
        <f t="array" ref="BY26">+ROUND(IF(BX26&lt;1,interpoler($A$5:$A$24,$B$5:$B$24,(BQ26-$B$1)),interpoler($C$5:$C$24,$D$5:$D$24,BX26))+$BV$2,6)</f>
        <v>3.4951000000000003E-2</v>
      </c>
      <c r="BZ26" s="198">
        <f t="shared" si="34"/>
        <v>3107.0899639416475</v>
      </c>
      <c r="CB26" s="150">
        <f t="shared" si="35"/>
        <v>0</v>
      </c>
      <c r="CC26" s="868">
        <v>44828</v>
      </c>
      <c r="CD26" s="857">
        <v>19</v>
      </c>
      <c r="CE26" s="859">
        <v>100000</v>
      </c>
      <c r="CF26" s="1035">
        <v>0</v>
      </c>
      <c r="CG26" s="847">
        <v>1007.5</v>
      </c>
      <c r="CH26" s="847">
        <f t="shared" si="36"/>
        <v>1007.5</v>
      </c>
      <c r="CI26" s="847">
        <f t="shared" si="37"/>
        <v>0</v>
      </c>
      <c r="CJ26" s="847">
        <f t="shared" si="121"/>
        <v>-3.4755434799999998</v>
      </c>
      <c r="CK26" s="848" cm="1">
        <f t="array" ref="CK26">ROUND(ROUND(IF(CJ26&lt;1,interpoler($A$5:$A$24,$B$5:$B$24,(CC26-$B$1)),interpoler($C$5:$C$24,$D$5:$D$24,CJ26))+$CH$2,5),5)</f>
        <v>2.878E-2</v>
      </c>
      <c r="CL26" s="847">
        <f t="shared" si="115"/>
        <v>0</v>
      </c>
      <c r="CM26" s="280"/>
      <c r="CN26" s="150">
        <f t="shared" si="38"/>
        <v>0</v>
      </c>
      <c r="CO26" s="869">
        <v>44919</v>
      </c>
      <c r="CP26" s="857">
        <v>19</v>
      </c>
      <c r="CQ26" s="859">
        <v>21034.45</v>
      </c>
      <c r="CR26" s="859">
        <v>2380.67</v>
      </c>
      <c r="CS26" s="862">
        <v>169.32</v>
      </c>
      <c r="CT26" s="847">
        <f t="shared" si="39"/>
        <v>2549.9899999999998</v>
      </c>
      <c r="CU26" s="847">
        <f t="shared" si="40"/>
        <v>0</v>
      </c>
      <c r="CV26" s="863">
        <f t="shared" si="128"/>
        <v>0</v>
      </c>
      <c r="CW26" s="864" cm="1">
        <f t="array" ref="CW26">+ROUND(IF(CV26&lt;1,interpoler($A$5:$A$24,$B$5:$B$24,(CO26-$B$1)),interpoler($C$5:$C$24,$D$5:$D$24,CV26))+$CT$2,5)</f>
        <v>2.7279999999999999E-2</v>
      </c>
      <c r="CX26" s="861">
        <f t="shared" si="116"/>
        <v>0</v>
      </c>
      <c r="CY26" s="448"/>
      <c r="DH26"/>
      <c r="DI26"/>
      <c r="DJ26"/>
      <c r="DK26"/>
      <c r="DL26"/>
      <c r="DQ26" s="211">
        <f t="shared" si="42"/>
        <v>0</v>
      </c>
      <c r="DR26" s="524">
        <v>42659</v>
      </c>
      <c r="DS26" s="211">
        <v>19</v>
      </c>
      <c r="DT26" s="304">
        <f t="shared" si="94"/>
        <v>49785.200000000004</v>
      </c>
      <c r="DU26" s="402">
        <v>2545.1799999999998</v>
      </c>
      <c r="DV26" s="198">
        <f t="shared" si="95"/>
        <v>582.17999999999995</v>
      </c>
      <c r="DW26" s="198">
        <f t="shared" si="43"/>
        <v>3127.36</v>
      </c>
      <c r="DX26" s="198">
        <f t="shared" si="44"/>
        <v>0</v>
      </c>
      <c r="DY26" s="198">
        <f t="shared" si="45"/>
        <v>0</v>
      </c>
      <c r="DZ26" s="199" cm="1">
        <f t="array" ref="DZ26">+ROUND(IF(DY26&lt;1,interpoler($A$5:$A$24,$B$5:$B$24,(DR26-$B$1)),interpoler($C$5:$C$24,$D$5:$D$24,DY26))+$DW$2,5)</f>
        <v>2.5680000000000001E-2</v>
      </c>
      <c r="EA26" s="198">
        <f t="shared" si="46"/>
        <v>0</v>
      </c>
      <c r="EC26" s="211"/>
      <c r="ED26" s="524"/>
      <c r="EE26" s="211"/>
      <c r="EF26" s="730"/>
      <c r="EG26" s="730"/>
      <c r="EH26" s="198"/>
      <c r="EI26" s="198"/>
      <c r="EJ26" s="198"/>
      <c r="EK26" s="940"/>
      <c r="EL26" s="936"/>
      <c r="EM26" s="198"/>
      <c r="EQ26" s="211"/>
      <c r="ER26" s="524"/>
      <c r="ES26" s="211"/>
      <c r="ET26" s="304"/>
      <c r="EU26" s="196"/>
      <c r="EV26" s="198"/>
      <c r="EW26" s="198"/>
      <c r="EX26" s="198"/>
      <c r="EY26" s="198"/>
      <c r="EZ26" s="199"/>
      <c r="FA26" s="198"/>
      <c r="FD26" s="526">
        <f t="shared" si="56"/>
        <v>0</v>
      </c>
      <c r="FE26" s="802">
        <v>45559</v>
      </c>
      <c r="FF26" s="803">
        <v>19</v>
      </c>
      <c r="FG26" s="811">
        <v>46803.35</v>
      </c>
      <c r="FH26" s="812">
        <v>2484.02</v>
      </c>
      <c r="FI26" s="812">
        <v>354.53</v>
      </c>
      <c r="FJ26" s="807">
        <f t="shared" si="57"/>
        <v>2838.55</v>
      </c>
      <c r="FK26" s="807">
        <f t="shared" si="58"/>
        <v>0</v>
      </c>
      <c r="FL26" s="808">
        <f t="shared" si="133"/>
        <v>-1.4891304348000001</v>
      </c>
      <c r="FM26" s="809" cm="1">
        <f t="array" ref="FM26">+ROUND(IF(FL26&lt;1,interpoler($A$5:$A$24,$B$5:$B$24,(FE26-$B$1)),interpoler($C$5:$C$24,$D$5:$D$24,FL26))+$FI$2,5)</f>
        <v>2.7779999999999999E-2</v>
      </c>
      <c r="FN26" s="810">
        <f t="shared" si="100"/>
        <v>0</v>
      </c>
      <c r="FO26" s="814"/>
      <c r="FP26" s="221"/>
      <c r="FQ26" s="526">
        <f t="shared" si="59"/>
        <v>3</v>
      </c>
      <c r="FR26" s="1151">
        <v>46380</v>
      </c>
      <c r="FS26" s="205">
        <v>4</v>
      </c>
      <c r="FT26" s="1629">
        <v>100000</v>
      </c>
      <c r="FU26" s="1626">
        <v>0</v>
      </c>
      <c r="FV26" s="1632">
        <v>877.5</v>
      </c>
      <c r="FW26" s="798">
        <f t="shared" si="60"/>
        <v>877.5</v>
      </c>
      <c r="FX26" s="798">
        <f t="shared" si="61"/>
        <v>877.5</v>
      </c>
      <c r="FY26" s="799">
        <f t="shared" si="113"/>
        <v>0.74456522000000003</v>
      </c>
      <c r="FZ26" s="800" cm="1">
        <f t="array" ref="FZ26">+ROUND(IF(FY26&lt;1,interpoler($A$5:$A$24,$B$5:$B$24,(FR26-$B$1)),interpoler(CIH!$K$72:$K$103,CIH!$L$72:$L$103,FY26))+$FV$2,5)</f>
        <v>3.066E-2</v>
      </c>
      <c r="GA26" s="798">
        <f t="shared" si="62"/>
        <v>857.98923000000002</v>
      </c>
      <c r="GB26" s="484"/>
      <c r="GC26" s="522"/>
      <c r="GD26" s="150">
        <f t="shared" si="63"/>
        <v>2</v>
      </c>
      <c r="GE26" s="1152">
        <v>46289</v>
      </c>
      <c r="GF26" s="905">
        <v>3</v>
      </c>
      <c r="GG26" s="1329">
        <v>52585.400000000031</v>
      </c>
      <c r="GH26" s="1627">
        <v>2083.16</v>
      </c>
      <c r="GI26" s="1627">
        <v>345.74</v>
      </c>
      <c r="GJ26" s="198">
        <f t="shared" si="64"/>
        <v>2428.9</v>
      </c>
      <c r="GK26" s="198">
        <f t="shared" si="65"/>
        <v>2428.9</v>
      </c>
      <c r="GL26" s="447">
        <f t="shared" si="126"/>
        <v>0.49456521739999998</v>
      </c>
      <c r="GM26" s="199" cm="1">
        <f t="array" ref="GM26">ROUND(interpoler(mat_zc,Taux_ZC,GL26)+$GJ$2,5)</f>
        <v>2.911E-2</v>
      </c>
      <c r="GN26" s="762">
        <f t="shared" si="102"/>
        <v>2394.6743999999999</v>
      </c>
      <c r="GO26" s="198"/>
      <c r="GQ26" s="150">
        <f t="shared" si="66"/>
        <v>0</v>
      </c>
      <c r="GR26" s="1151">
        <v>46105</v>
      </c>
      <c r="GS26" s="905">
        <v>1</v>
      </c>
      <c r="GT26" s="1629">
        <v>85590.59</v>
      </c>
      <c r="GU26" s="1626">
        <v>800.37</v>
      </c>
      <c r="GV26" s="1632">
        <v>663.32</v>
      </c>
      <c r="GW26" s="198">
        <f t="shared" si="67"/>
        <v>1463.69</v>
      </c>
      <c r="GX26" s="198">
        <f t="shared" si="68"/>
        <v>0</v>
      </c>
      <c r="GY26" s="1042">
        <f t="shared" si="127"/>
        <v>0</v>
      </c>
      <c r="GZ26" s="199" cm="1">
        <f t="array" ref="GZ26">+ROUND(IF(GY26&lt;1,interpoler($A$5:$A$24,$B$5:$B$24,(GR26-$B$1)),interpoler(CIH!$K$72:$K$103,CIH!$L$72:$L$103,GY26))+$GW$2,5)</f>
        <v>2.9780000000000001E-2</v>
      </c>
      <c r="HA26" s="212">
        <f t="shared" si="129"/>
        <v>0</v>
      </c>
      <c r="HD26" s="1382">
        <f t="shared" si="70"/>
        <v>1</v>
      </c>
      <c r="HE26" s="828" t="s">
        <v>90</v>
      </c>
      <c r="HF26" s="211">
        <v>19</v>
      </c>
      <c r="HG26" s="304">
        <f t="shared" si="103"/>
        <v>24375.059999999972</v>
      </c>
      <c r="HH26" s="196">
        <v>2708.33</v>
      </c>
      <c r="HI26" s="198">
        <f t="shared" si="104"/>
        <v>269.33999999999997</v>
      </c>
      <c r="HJ26" s="198">
        <f t="shared" si="71"/>
        <v>2977.67</v>
      </c>
      <c r="HK26" s="198">
        <f t="shared" si="72"/>
        <v>2977.67</v>
      </c>
      <c r="HL26" s="198" t="e">
        <f t="shared" si="73"/>
        <v>#VALUE!</v>
      </c>
      <c r="HM26" s="199" t="e" cm="1">
        <f t="array" ref="HM26">+ROUND(IF(HL26&lt;1,interpoler($A$5:$A$24,$B$5:$B$24,(HE26-$B$1)),interpoler($C$5:$C$24,$D$5:$D$24,HL26))+$HJ$2,5)</f>
        <v>#VALUE!</v>
      </c>
      <c r="HN26" s="198" t="e">
        <f t="shared" si="74"/>
        <v>#VALUE!</v>
      </c>
      <c r="HR26" s="150">
        <f t="shared" si="134"/>
        <v>0</v>
      </c>
      <c r="HS26" s="714"/>
      <c r="HT26" s="205"/>
      <c r="HU26" s="718"/>
      <c r="HV26" s="718"/>
      <c r="HW26" s="786"/>
      <c r="HX26" s="198"/>
      <c r="HY26" s="198"/>
      <c r="HZ26" s="198"/>
      <c r="IA26" s="199"/>
      <c r="IB26" s="212"/>
      <c r="ID26" s="150">
        <v>19</v>
      </c>
      <c r="IE26" s="714">
        <v>47391</v>
      </c>
      <c r="IF26" s="205">
        <v>19</v>
      </c>
      <c r="IG26" s="205">
        <v>47222.22</v>
      </c>
      <c r="IH26" s="766">
        <v>2777.78</v>
      </c>
      <c r="II26" s="765">
        <v>940.07</v>
      </c>
      <c r="IJ26" s="198">
        <f t="shared" si="79"/>
        <v>3717.85</v>
      </c>
      <c r="IK26" s="212">
        <f t="shared" si="80"/>
        <v>3717.85</v>
      </c>
      <c r="IL26" s="761">
        <f t="shared" si="107"/>
        <v>3.5273224043999996</v>
      </c>
      <c r="IM26" s="199" cm="1">
        <f t="array" ref="IM26">+ROUND(IF(IL26&lt;1,interpoler($A$5:$A$24,$B$5:$B$24,(IE26-$B$1)),interpoler($C$5:$C$24,$D$5:$D$24,IL26))+$IJ$2,5)</f>
        <v>4.2090000000000002E-2</v>
      </c>
      <c r="IN26" s="198">
        <f t="shared" si="81"/>
        <v>3214.6547999999998</v>
      </c>
      <c r="IP26" s="1382">
        <v>19</v>
      </c>
      <c r="IQ26" s="714">
        <v>47630</v>
      </c>
      <c r="IR26" s="205">
        <v>19</v>
      </c>
      <c r="IS26" s="198">
        <v>881</v>
      </c>
      <c r="IT26" s="198">
        <v>941</v>
      </c>
      <c r="IU26" s="198">
        <v>13.26</v>
      </c>
      <c r="IV26" s="198">
        <f t="shared" si="82"/>
        <v>954.26</v>
      </c>
      <c r="IW26" s="212">
        <f t="shared" si="83"/>
        <v>954.26</v>
      </c>
      <c r="IX26" s="447">
        <f t="shared" si="108"/>
        <v>4.1766304347826084</v>
      </c>
      <c r="IY26" s="199" cm="1">
        <f t="array" ref="IY26">+ROUND(IF(IX26&lt;1,interpoler($A$5:$A$24,$B$5:$B$24,(IQ26-$B$1)),interpoler($C$5:$C$24,$D$5:$D$24,IX26))+$IV$2,5)</f>
        <v>3.5819999999999998E-2</v>
      </c>
      <c r="IZ26" s="198">
        <f t="shared" si="84"/>
        <v>823.81534925794131</v>
      </c>
      <c r="JD26" s="150"/>
      <c r="JE26" s="714"/>
      <c r="JF26" s="205"/>
      <c r="JG26" s="205"/>
      <c r="JH26" s="766"/>
      <c r="JI26" s="765"/>
      <c r="JJ26" s="198"/>
      <c r="JK26" s="212"/>
      <c r="JL26" s="761"/>
      <c r="JM26" s="199"/>
      <c r="JN26" s="198"/>
      <c r="JP26" s="150"/>
      <c r="JQ26" s="200" t="s">
        <v>3054</v>
      </c>
      <c r="JR26" s="205">
        <v>19</v>
      </c>
      <c r="JS26" s="205">
        <v>62500</v>
      </c>
      <c r="JT26" s="205">
        <v>2500</v>
      </c>
      <c r="JU26" s="765">
        <v>885.62</v>
      </c>
      <c r="JV26" s="198">
        <f t="shared" si="106"/>
        <v>3385.62</v>
      </c>
      <c r="JW26" s="212">
        <f t="shared" si="111"/>
        <v>3385.62</v>
      </c>
      <c r="JX26" s="1335">
        <f t="shared" si="117"/>
        <v>3.0489130434782608</v>
      </c>
      <c r="JY26" s="199" cm="1">
        <f t="array" ref="JY26">ROUND(interpoler(mat_zc,Taux_ZC,JX26)+$JV$2,5)</f>
        <v>4.8329999999999998E-2</v>
      </c>
      <c r="JZ26" s="198">
        <f t="shared" si="118"/>
        <v>2931.8487</v>
      </c>
      <c r="KB26" s="205"/>
      <c r="KC26" s="205"/>
      <c r="KD26" s="205"/>
      <c r="KE26" s="205"/>
      <c r="KF26" s="765"/>
      <c r="KG26" s="198"/>
      <c r="KH26" s="212"/>
      <c r="KI26" s="765"/>
      <c r="KJ26" s="199"/>
      <c r="KK26" s="198"/>
      <c r="KN26" s="1603">
        <v>52637</v>
      </c>
      <c r="KO26" s="205">
        <f t="shared" si="138"/>
        <v>19</v>
      </c>
      <c r="KP26" s="1604">
        <v>79999.999999999985</v>
      </c>
      <c r="KQ26" s="1443">
        <v>6666.666666666667</v>
      </c>
      <c r="KR26" s="1443">
        <v>3575.9999999999991</v>
      </c>
      <c r="KS26" s="198">
        <f t="shared" si="135"/>
        <v>10242.67</v>
      </c>
      <c r="KT26" s="212">
        <f t="shared" si="136"/>
        <v>10242.67</v>
      </c>
      <c r="KU26" s="1607">
        <f t="shared" si="114"/>
        <v>17.87945205479452</v>
      </c>
      <c r="KV26" s="199" cm="1">
        <f t="array" ref="KV26">ROUND(interpoler(mat_zc,Taux_ZC,KU26)+$KS$2,5)</f>
        <v>4.299E-2</v>
      </c>
      <c r="KW26" s="1612">
        <f t="shared" si="137"/>
        <v>4825.8544000000002</v>
      </c>
    </row>
    <row r="27" spans="1:309" ht="15.75" thickBot="1" x14ac:dyDescent="0.3">
      <c r="F27" s="156"/>
      <c r="G27" s="150">
        <f t="shared" si="0"/>
        <v>5</v>
      </c>
      <c r="H27" s="117">
        <f t="shared" si="132"/>
        <v>62994.47</v>
      </c>
      <c r="I27" s="123">
        <v>20</v>
      </c>
      <c r="J27" s="222">
        <v>19092.439999999999</v>
      </c>
      <c r="K27" s="196">
        <v>3295.5</v>
      </c>
      <c r="L27" s="137">
        <f t="shared" si="130"/>
        <v>296.89</v>
      </c>
      <c r="M27" s="137">
        <f t="shared" si="131"/>
        <v>3592.39</v>
      </c>
      <c r="N27" s="137">
        <f t="shared" si="3"/>
        <v>3592.39</v>
      </c>
      <c r="O27" s="137">
        <f t="shared" si="4"/>
        <v>1.2072843746728879</v>
      </c>
      <c r="P27" s="146" cm="1">
        <f t="array" ref="P27">+ROUND(IF(O27&lt;1,interpoler($A$5:$A$24,$B$5:$B$24,(H27-$B$1)),interpoler($C$5:$C$24,$D$5:$D$24,O27))+$M$2,6)</f>
        <v>3.0963999999999998E-2</v>
      </c>
      <c r="Q27" s="137">
        <f t="shared" si="5"/>
        <v>3462.5400668576981</v>
      </c>
      <c r="R27" s="172"/>
      <c r="S27" s="150">
        <f t="shared" si="6"/>
        <v>0</v>
      </c>
      <c r="T27" s="194">
        <v>39184</v>
      </c>
      <c r="U27" s="204">
        <v>20</v>
      </c>
      <c r="V27" s="196">
        <v>100000</v>
      </c>
      <c r="W27" s="208">
        <v>0</v>
      </c>
      <c r="X27" s="198">
        <f t="shared" si="7"/>
        <v>1830</v>
      </c>
      <c r="Y27" s="198">
        <f t="shared" si="8"/>
        <v>1830</v>
      </c>
      <c r="Z27" s="198">
        <f t="shared" si="9"/>
        <v>0</v>
      </c>
      <c r="AA27" s="198">
        <f t="shared" si="10"/>
        <v>0</v>
      </c>
      <c r="AB27" s="199" cm="1">
        <f t="array" ref="AB27">+ROUND(IF(AA27&lt;1,interpoler($A$5:$A$24,$B$5:$B$24,(T27-$B$1)),interpoler($C$5:$C$24,$D$5:$D$24,AA27))+$Y$2,6)</f>
        <v>3.0780999999999999E-2</v>
      </c>
      <c r="AC27" s="198">
        <f t="shared" si="11"/>
        <v>0</v>
      </c>
      <c r="AE27" s="150">
        <f t="shared" si="12"/>
        <v>0</v>
      </c>
      <c r="AF27" s="117"/>
      <c r="AG27" s="123"/>
      <c r="AH27" s="121"/>
      <c r="AI27" s="121"/>
      <c r="AJ27" s="137"/>
      <c r="AK27" s="137"/>
      <c r="AL27" s="137"/>
      <c r="AM27" s="137"/>
      <c r="AN27" s="146"/>
      <c r="AO27" s="137"/>
      <c r="AP27" s="172">
        <f t="shared" si="18"/>
        <v>0</v>
      </c>
      <c r="AQ27" s="150">
        <f t="shared" si="19"/>
        <v>0</v>
      </c>
      <c r="AR27" s="194">
        <v>40433</v>
      </c>
      <c r="AS27" s="211">
        <v>20</v>
      </c>
      <c r="AT27" s="196">
        <v>78672.789999999994</v>
      </c>
      <c r="AU27" s="196">
        <v>4366.45</v>
      </c>
      <c r="AV27" s="198">
        <f t="shared" si="20"/>
        <v>1256.8</v>
      </c>
      <c r="AW27" s="198">
        <f t="shared" si="21"/>
        <v>5623.25</v>
      </c>
      <c r="AX27" s="198">
        <f t="shared" si="22"/>
        <v>0</v>
      </c>
      <c r="AY27" s="198">
        <f t="shared" si="23"/>
        <v>0</v>
      </c>
      <c r="AZ27" s="199" cm="1">
        <f t="array" ref="AZ27">+ROUND(IF(AY27&lt;1,interpoler($A$5:$A$24,$B$5:$B$24,(AR27-$B$1)),interpoler($C$5:$C$24,$D$5:$D$24,AY27))+$AW$2,6)</f>
        <v>2.9780999999999998E-2</v>
      </c>
      <c r="BA27" s="198">
        <f t="shared" si="24"/>
        <v>0</v>
      </c>
      <c r="BB27" s="221"/>
      <c r="BC27" s="599">
        <f t="shared" si="25"/>
        <v>0</v>
      </c>
      <c r="BD27" s="669">
        <v>41622</v>
      </c>
      <c r="BE27" s="526">
        <v>20</v>
      </c>
      <c r="BF27" s="841">
        <f>+BF26-BG26</f>
        <v>54716.52</v>
      </c>
      <c r="BG27" s="835">
        <v>2307.405362</v>
      </c>
      <c r="BH27" s="529">
        <f t="shared" si="90"/>
        <v>660.7</v>
      </c>
      <c r="BI27" s="529">
        <f t="shared" si="26"/>
        <v>2968.11</v>
      </c>
      <c r="BJ27" s="529">
        <f t="shared" si="27"/>
        <v>0</v>
      </c>
      <c r="BK27" s="529">
        <f t="shared" si="28"/>
        <v>0</v>
      </c>
      <c r="BL27" s="530" cm="1">
        <f t="array" ref="BL27">+ROUND(IF(BK27&lt;1,interpoler($A$5:$A$24,$B$5:$B$24,(BD27-$B$1)),interpoler($C$5:$C$24,$D$5:$D$24,BK27))+$BI$2,6)</f>
        <v>3.3280999999999998E-2</v>
      </c>
      <c r="BM27" s="529">
        <f t="shared" si="29"/>
        <v>0</v>
      </c>
      <c r="BN27" s="280"/>
      <c r="BP27" s="150">
        <f t="shared" si="30"/>
        <v>19</v>
      </c>
      <c r="BQ27" s="194" t="s">
        <v>320</v>
      </c>
      <c r="BR27" s="211">
        <v>20</v>
      </c>
      <c r="BS27" s="304">
        <f t="shared" si="91"/>
        <v>38709.677419354797</v>
      </c>
      <c r="BT27" s="196">
        <v>3225.8064516129034</v>
      </c>
      <c r="BU27" s="198">
        <f t="shared" si="92"/>
        <v>427.74</v>
      </c>
      <c r="BV27" s="198">
        <f t="shared" si="31"/>
        <v>3653.55</v>
      </c>
      <c r="BW27" s="198">
        <f t="shared" si="32"/>
        <v>3653.55</v>
      </c>
      <c r="BX27" s="198">
        <f t="shared" si="33"/>
        <v>5.3296986518636</v>
      </c>
      <c r="BY27" s="199" cm="1">
        <f t="array" ref="BY27">+ROUND(IF(BX27&lt;1,interpoler($A$5:$A$24,$B$5:$B$24,(BQ27-$B$1)),interpoler($C$5:$C$24,$D$5:$D$24,BX27))+$BV$2,6)</f>
        <v>3.5082000000000002E-2</v>
      </c>
      <c r="BZ27" s="198">
        <f t="shared" si="34"/>
        <v>3040.2137348795904</v>
      </c>
      <c r="CB27" s="150">
        <f t="shared" si="35"/>
        <v>0</v>
      </c>
      <c r="CC27" s="868">
        <v>44919</v>
      </c>
      <c r="CD27" s="857">
        <v>20</v>
      </c>
      <c r="CE27" s="859">
        <v>100000</v>
      </c>
      <c r="CF27" s="1035">
        <v>0</v>
      </c>
      <c r="CG27" s="847">
        <v>1007.5</v>
      </c>
      <c r="CH27" s="847">
        <f t="shared" si="36"/>
        <v>1007.5</v>
      </c>
      <c r="CI27" s="847">
        <f t="shared" si="37"/>
        <v>0</v>
      </c>
      <c r="CJ27" s="847">
        <f t="shared" si="121"/>
        <v>-3.2637362599999999</v>
      </c>
      <c r="CK27" s="848" cm="1">
        <f t="array" ref="CK27">ROUND(ROUND(IF(CJ27&lt;1,interpoler($A$5:$A$24,$B$5:$B$24,(CC27-$B$1)),interpoler($C$5:$C$24,$D$5:$D$24,CJ27))+$CH$2,5),5)</f>
        <v>2.878E-2</v>
      </c>
      <c r="CL27" s="847">
        <f t="shared" si="115"/>
        <v>0</v>
      </c>
      <c r="CM27" s="280"/>
      <c r="CN27" s="150">
        <f t="shared" si="38"/>
        <v>0</v>
      </c>
      <c r="CO27" s="869">
        <v>45009</v>
      </c>
      <c r="CP27" s="857">
        <v>20</v>
      </c>
      <c r="CQ27" s="859">
        <v>17271.25</v>
      </c>
      <c r="CR27" s="859">
        <v>2357.88</v>
      </c>
      <c r="CS27" s="862">
        <v>139.03</v>
      </c>
      <c r="CT27" s="847">
        <f t="shared" si="39"/>
        <v>2496.91</v>
      </c>
      <c r="CU27" s="847">
        <f t="shared" si="40"/>
        <v>0</v>
      </c>
      <c r="CV27" s="863">
        <f t="shared" si="128"/>
        <v>0</v>
      </c>
      <c r="CW27" s="864" cm="1">
        <f t="array" ref="CW27">+ROUND(IF(CV27&lt;1,interpoler($A$5:$A$24,$B$5:$B$24,(CO27-$B$1)),interpoler($C$5:$C$24,$D$5:$D$24,CV27))+$CT$2,5)</f>
        <v>2.7279999999999999E-2</v>
      </c>
      <c r="CX27" s="861">
        <f t="shared" si="116"/>
        <v>0</v>
      </c>
      <c r="CY27" s="448"/>
      <c r="DH27"/>
      <c r="DI27"/>
      <c r="DJ27"/>
      <c r="DK27"/>
      <c r="DL27"/>
      <c r="DQ27" s="211">
        <f t="shared" si="42"/>
        <v>0</v>
      </c>
      <c r="DR27" s="524">
        <v>42751</v>
      </c>
      <c r="DS27" s="211">
        <v>20</v>
      </c>
      <c r="DT27" s="304">
        <f t="shared" si="94"/>
        <v>47314.98</v>
      </c>
      <c r="DU27" s="402">
        <v>2470.2199999999998</v>
      </c>
      <c r="DV27" s="198">
        <f t="shared" si="95"/>
        <v>553.86</v>
      </c>
      <c r="DW27" s="198">
        <f t="shared" si="43"/>
        <v>3024.08</v>
      </c>
      <c r="DX27" s="198">
        <f t="shared" si="44"/>
        <v>0</v>
      </c>
      <c r="DY27" s="198">
        <f t="shared" si="45"/>
        <v>0</v>
      </c>
      <c r="DZ27" s="199" cm="1">
        <f t="array" ref="DZ27">+ROUND(IF(DY27&lt;1,interpoler($A$5:$A$24,$B$5:$B$24,(DR27-$B$1)),interpoler($C$5:$C$24,$D$5:$D$24,DY27))+$DW$2,5)</f>
        <v>2.5680000000000001E-2</v>
      </c>
      <c r="EA27" s="198">
        <f t="shared" si="46"/>
        <v>0</v>
      </c>
      <c r="EC27" s="211"/>
      <c r="ED27" s="524"/>
      <c r="EE27" s="211"/>
      <c r="EF27" s="730"/>
      <c r="EG27" s="730"/>
      <c r="EH27" s="198"/>
      <c r="EI27" s="198"/>
      <c r="EJ27" s="198"/>
      <c r="EK27" s="941"/>
      <c r="EL27" s="199"/>
      <c r="EM27" s="198"/>
      <c r="EQ27" s="211"/>
      <c r="ER27" s="524"/>
      <c r="ES27" s="211"/>
      <c r="ET27" s="304"/>
      <c r="EU27" s="196"/>
      <c r="EV27" s="198"/>
      <c r="EW27" s="198"/>
      <c r="EX27" s="198"/>
      <c r="EY27" s="198"/>
      <c r="EZ27" s="199"/>
      <c r="FA27" s="198"/>
      <c r="FD27" s="526">
        <f t="shared" si="56"/>
        <v>0</v>
      </c>
      <c r="FE27" s="802">
        <v>45650</v>
      </c>
      <c r="FF27" s="803">
        <v>20</v>
      </c>
      <c r="FG27" s="811">
        <v>44319.33</v>
      </c>
      <c r="FH27" s="812">
        <v>1987.88</v>
      </c>
      <c r="FI27" s="812">
        <v>335.71</v>
      </c>
      <c r="FJ27" s="807">
        <f t="shared" si="57"/>
        <v>2323.59</v>
      </c>
      <c r="FK27" s="807">
        <f t="shared" si="58"/>
        <v>0</v>
      </c>
      <c r="FL27" s="808">
        <f t="shared" si="133"/>
        <v>-1.2554945055</v>
      </c>
      <c r="FM27" s="809" cm="1">
        <f t="array" ref="FM27">+ROUND(interpoler(mat_zc,Taux_ZC,FL27)+$FI$2,5)</f>
        <v>2.7779999999999999E-2</v>
      </c>
      <c r="FN27" s="810">
        <f t="shared" si="100"/>
        <v>0</v>
      </c>
      <c r="FO27" s="813"/>
      <c r="FP27" s="221"/>
      <c r="FQ27" s="526">
        <f t="shared" si="59"/>
        <v>4</v>
      </c>
      <c r="FR27" s="1152">
        <v>46470</v>
      </c>
      <c r="FS27" s="205">
        <v>5</v>
      </c>
      <c r="FT27" s="1630">
        <v>100000</v>
      </c>
      <c r="FU27" s="1627">
        <v>0</v>
      </c>
      <c r="FV27" s="1633">
        <v>877.5</v>
      </c>
      <c r="FW27" s="798">
        <f t="shared" si="60"/>
        <v>877.5</v>
      </c>
      <c r="FX27" s="798">
        <f t="shared" si="61"/>
        <v>877.5</v>
      </c>
      <c r="FY27" s="799">
        <f t="shared" si="113"/>
        <v>0.99456522000000003</v>
      </c>
      <c r="FZ27" s="800" cm="1">
        <f t="array" ref="FZ27">+ROUND(IF(FY27&lt;1,interpoler($A$5:$A$24,$B$5:$B$24,(FR27-$B$1)),interpoler(CIH!$K$72:$K$103,CIH!$L$72:$L$103,FY27))+$FV$2,5)</f>
        <v>3.1130000000000001E-2</v>
      </c>
      <c r="GA27" s="798">
        <f t="shared" si="62"/>
        <v>851.14990999999998</v>
      </c>
      <c r="GB27" s="484"/>
      <c r="GC27" s="522"/>
      <c r="GD27" s="150">
        <f t="shared" si="63"/>
        <v>3</v>
      </c>
      <c r="GE27" s="1151">
        <v>46380</v>
      </c>
      <c r="GF27" s="205">
        <v>4</v>
      </c>
      <c r="GG27" s="1328">
        <v>50502.240000000034</v>
      </c>
      <c r="GH27" s="1626">
        <v>2063.4299999999998</v>
      </c>
      <c r="GI27" s="1626">
        <v>332.05</v>
      </c>
      <c r="GJ27" s="198">
        <f t="shared" si="64"/>
        <v>2395.48</v>
      </c>
      <c r="GK27" s="198">
        <f t="shared" si="65"/>
        <v>2395.48</v>
      </c>
      <c r="GL27" s="447">
        <f t="shared" si="126"/>
        <v>0.74456521740000003</v>
      </c>
      <c r="GM27" s="199" cm="1">
        <f t="array" ref="GM27">ROUND(interpoler(mat_zc,Taux_ZC,GL27)+$GJ$2,5)</f>
        <v>2.9649999999999999E-2</v>
      </c>
      <c r="GN27" s="762">
        <f t="shared" si="102"/>
        <v>2343.9281999999998</v>
      </c>
      <c r="GO27" s="198"/>
      <c r="GQ27" s="150">
        <f t="shared" si="66"/>
        <v>1</v>
      </c>
      <c r="GR27" s="1151">
        <v>46197</v>
      </c>
      <c r="GS27" s="905">
        <v>2</v>
      </c>
      <c r="GT27" s="1629">
        <v>84790.220000000016</v>
      </c>
      <c r="GU27" s="1626">
        <v>705.07</v>
      </c>
      <c r="GV27" s="1632">
        <v>657.12</v>
      </c>
      <c r="GW27" s="198">
        <f t="shared" si="67"/>
        <v>1362.19</v>
      </c>
      <c r="GX27" s="198">
        <f t="shared" si="68"/>
        <v>1362.19</v>
      </c>
      <c r="GY27" s="1042">
        <f t="shared" si="127"/>
        <v>0.24456521740000001</v>
      </c>
      <c r="GZ27" s="199" cm="1">
        <f t="array" ref="GZ27">+ROUND(IF(GY27&lt;1,interpoler($A$5:$A$24,$B$5:$B$24,(GR27-$B$1)),interpoler(CIH!$K$72:$K$103,CIH!$L$72:$L$103,GY27))+$GW$2,5)</f>
        <v>3.0009999999999998E-2</v>
      </c>
      <c r="HA27" s="212">
        <f t="shared" si="129"/>
        <v>1352.3749505061401</v>
      </c>
      <c r="HD27" s="1382">
        <f t="shared" si="70"/>
        <v>0</v>
      </c>
      <c r="HE27" s="309">
        <v>43565</v>
      </c>
      <c r="HF27" s="211">
        <v>20</v>
      </c>
      <c r="HG27" s="304">
        <f t="shared" si="103"/>
        <v>21666.729999999974</v>
      </c>
      <c r="HH27" s="196">
        <v>2604.16</v>
      </c>
      <c r="HI27" s="198">
        <f t="shared" si="104"/>
        <v>239.41</v>
      </c>
      <c r="HJ27" s="198">
        <f t="shared" si="71"/>
        <v>2843.57</v>
      </c>
      <c r="HK27" s="198">
        <f t="shared" si="72"/>
        <v>0</v>
      </c>
      <c r="HL27" s="198">
        <f t="shared" si="73"/>
        <v>0</v>
      </c>
      <c r="HM27" s="199" cm="1">
        <f t="array" ref="HM27">+ROUND(IF(HL27&lt;1,interpoler($A$5:$A$24,$B$5:$B$24,(HE27-$B$1)),interpoler($C$5:$C$24,$D$5:$D$24,HL27))+$HJ$2,5)</f>
        <v>2.7279999999999999E-2</v>
      </c>
      <c r="HN27" s="198">
        <f t="shared" si="74"/>
        <v>0</v>
      </c>
      <c r="HR27" s="150">
        <f t="shared" si="134"/>
        <v>0</v>
      </c>
      <c r="HS27" s="714"/>
      <c r="HT27" s="205"/>
      <c r="HU27" s="718"/>
      <c r="HV27" s="718"/>
      <c r="HW27" s="786"/>
      <c r="HX27" s="198"/>
      <c r="HY27" s="198"/>
      <c r="HZ27" s="198"/>
      <c r="IA27" s="199"/>
      <c r="IB27" s="212"/>
      <c r="ID27" s="150">
        <v>20</v>
      </c>
      <c r="IE27" s="714">
        <v>47573</v>
      </c>
      <c r="IF27" s="205">
        <v>20</v>
      </c>
      <c r="IG27" s="205">
        <v>44444.44</v>
      </c>
      <c r="IH27" s="766">
        <v>2777.78</v>
      </c>
      <c r="II27" s="765">
        <v>882.99</v>
      </c>
      <c r="IJ27" s="198">
        <f t="shared" si="79"/>
        <v>3660.77</v>
      </c>
      <c r="IK27" s="212">
        <f t="shared" si="80"/>
        <v>3660.77</v>
      </c>
      <c r="IL27" s="761">
        <f t="shared" si="107"/>
        <v>4.0109589040999998</v>
      </c>
      <c r="IM27" s="199" cm="1">
        <f t="array" ref="IM27">+ROUND(IF(IL27&lt;1,interpoler($A$5:$A$24,$B$5:$B$24,(IE27-$B$1)),interpoler($C$5:$C$24,$D$5:$D$24,IL27))+$IJ$2,5)</f>
        <v>4.2840000000000003E-2</v>
      </c>
      <c r="IN27" s="198">
        <f t="shared" si="81"/>
        <v>3093.8701000000001</v>
      </c>
      <c r="IP27" s="1382">
        <v>20</v>
      </c>
      <c r="IQ27" s="714">
        <v>47722</v>
      </c>
      <c r="IR27" s="205">
        <v>20</v>
      </c>
      <c r="IS27" s="198">
        <v>337</v>
      </c>
      <c r="IT27" s="198">
        <v>504</v>
      </c>
      <c r="IU27" s="198">
        <v>6.41</v>
      </c>
      <c r="IV27" s="198">
        <f t="shared" si="82"/>
        <v>510.41</v>
      </c>
      <c r="IW27" s="212">
        <f t="shared" si="83"/>
        <v>510.41</v>
      </c>
      <c r="IX27" s="447">
        <f t="shared" si="108"/>
        <v>4.4266304347826084</v>
      </c>
      <c r="IY27" s="199" cm="1">
        <f t="array" ref="IY27">+ROUND(IF(IX27&lt;1,interpoler($A$5:$A$24,$B$5:$B$24,(IQ27-$B$1)),interpoler($C$5:$C$24,$D$5:$D$24,IX27))+$IV$2,5)</f>
        <v>3.6089999999999997E-2</v>
      </c>
      <c r="IZ27" s="198">
        <f t="shared" si="84"/>
        <v>436.27488413161439</v>
      </c>
      <c r="JD27" s="150"/>
      <c r="JE27" s="714"/>
      <c r="JF27" s="205"/>
      <c r="JG27" s="205"/>
      <c r="JH27" s="766"/>
      <c r="JI27" s="765"/>
      <c r="JJ27" s="198"/>
      <c r="JK27" s="212"/>
      <c r="JL27" s="761"/>
      <c r="JM27" s="199"/>
      <c r="JN27" s="198"/>
      <c r="JP27" s="150"/>
      <c r="JQ27" s="200" t="s">
        <v>3055</v>
      </c>
      <c r="JR27" s="205">
        <v>20</v>
      </c>
      <c r="JS27" s="205">
        <v>60000</v>
      </c>
      <c r="JT27" s="205">
        <v>2500</v>
      </c>
      <c r="JU27" s="765">
        <v>851.56</v>
      </c>
      <c r="JV27" s="198">
        <f t="shared" si="106"/>
        <v>3351.56</v>
      </c>
      <c r="JW27" s="212">
        <f t="shared" si="111"/>
        <v>3351.56</v>
      </c>
      <c r="JX27" s="1335">
        <f t="shared" si="117"/>
        <v>3.2989130434782608</v>
      </c>
      <c r="JY27" s="199" cm="1">
        <f t="array" ref="JY27">ROUND(interpoler(mat_zc,Taux_ZC,JX27)+$JV$2,5)</f>
        <v>4.8730000000000002E-2</v>
      </c>
      <c r="JZ27" s="198">
        <f t="shared" si="118"/>
        <v>2864.7008000000001</v>
      </c>
      <c r="KB27" s="205"/>
      <c r="KC27" s="205"/>
      <c r="KD27" s="205"/>
      <c r="KE27" s="205"/>
      <c r="KF27" s="765"/>
      <c r="KG27" s="198"/>
      <c r="KH27" s="212"/>
      <c r="KI27" s="765"/>
      <c r="KJ27" s="199"/>
      <c r="KK27" s="198"/>
      <c r="KN27" s="1602">
        <v>53003</v>
      </c>
      <c r="KO27" s="205">
        <f t="shared" si="138"/>
        <v>20</v>
      </c>
      <c r="KP27" s="1605">
        <v>73333.333333333314</v>
      </c>
      <c r="KQ27" s="1442">
        <v>6666.666666666667</v>
      </c>
      <c r="KR27" s="1442">
        <v>3277.9999999999991</v>
      </c>
      <c r="KS27" s="198">
        <f t="shared" si="135"/>
        <v>9944.67</v>
      </c>
      <c r="KT27" s="212">
        <f t="shared" si="136"/>
        <v>9944.67</v>
      </c>
      <c r="KU27" s="1607">
        <f t="shared" si="114"/>
        <v>18.87945205479452</v>
      </c>
      <c r="KV27" s="199" cm="1">
        <f t="array" ref="KV27">ROUND(interpoler(mat_zc,Taux_ZC,KU27)+$KS$2,5)</f>
        <v>4.3279999999999999E-2</v>
      </c>
      <c r="KW27" s="1612">
        <f t="shared" si="137"/>
        <v>4468.8091999999997</v>
      </c>
    </row>
    <row r="28" spans="1:309" ht="15" x14ac:dyDescent="0.25">
      <c r="F28" s="156"/>
      <c r="G28" s="150">
        <f t="shared" si="0"/>
        <v>6</v>
      </c>
      <c r="H28" s="117">
        <f t="shared" si="132"/>
        <v>58887.17</v>
      </c>
      <c r="I28" s="120">
        <v>21</v>
      </c>
      <c r="J28" s="196">
        <v>15796.94</v>
      </c>
      <c r="K28" s="203">
        <v>3176.32</v>
      </c>
      <c r="L28" s="137">
        <f t="shared" si="130"/>
        <v>245.64</v>
      </c>
      <c r="M28" s="137">
        <f t="shared" si="131"/>
        <v>3421.96</v>
      </c>
      <c r="N28" s="137">
        <f t="shared" si="3"/>
        <v>3421.96</v>
      </c>
      <c r="O28" s="137">
        <f t="shared" si="4"/>
        <v>1.4572843746728879</v>
      </c>
      <c r="P28" s="146" cm="1">
        <f t="array" ref="P28">+ROUND(IF(O28&lt;1,interpoler($A$5:$A$24,$B$5:$B$24,(H28-$B$1)),interpoler($C$5:$C$24,$D$5:$D$24,O28))+$M$2,6)</f>
        <v>3.1354E-2</v>
      </c>
      <c r="Q28" s="137">
        <f t="shared" si="5"/>
        <v>3271.4178083061752</v>
      </c>
      <c r="R28" s="172"/>
      <c r="S28" s="150">
        <f t="shared" si="6"/>
        <v>0</v>
      </c>
      <c r="T28" s="194">
        <v>39275</v>
      </c>
      <c r="U28" s="205">
        <v>21</v>
      </c>
      <c r="V28" s="203">
        <v>100000</v>
      </c>
      <c r="W28" s="206">
        <v>0</v>
      </c>
      <c r="X28" s="198">
        <f t="shared" si="7"/>
        <v>1830</v>
      </c>
      <c r="Y28" s="198">
        <f t="shared" si="8"/>
        <v>1830</v>
      </c>
      <c r="Z28" s="198">
        <f t="shared" si="9"/>
        <v>0</v>
      </c>
      <c r="AA28" s="198">
        <f t="shared" si="10"/>
        <v>0</v>
      </c>
      <c r="AB28" s="199" cm="1">
        <f t="array" ref="AB28">+ROUND(IF(AA28&lt;1,interpoler($A$5:$A$24,$B$5:$B$24,(T28-$B$1)),interpoler($C$5:$C$24,$D$5:$D$24,AA28))+$Y$2,6)</f>
        <v>3.0780999999999999E-2</v>
      </c>
      <c r="AC28" s="198">
        <f t="shared" si="11"/>
        <v>0</v>
      </c>
      <c r="AE28" s="150">
        <f t="shared" si="12"/>
        <v>0</v>
      </c>
      <c r="AF28" s="117"/>
      <c r="AG28" s="120"/>
      <c r="AH28" s="119"/>
      <c r="AI28" s="119"/>
      <c r="AJ28" s="137"/>
      <c r="AK28" s="137"/>
      <c r="AL28" s="137"/>
      <c r="AM28" s="137"/>
      <c r="AN28" s="146"/>
      <c r="AO28" s="137"/>
      <c r="AP28" s="172">
        <f t="shared" si="18"/>
        <v>0</v>
      </c>
      <c r="AQ28" s="150">
        <f t="shared" si="19"/>
        <v>0</v>
      </c>
      <c r="AR28" s="194">
        <v>40524</v>
      </c>
      <c r="AS28" s="211">
        <v>21</v>
      </c>
      <c r="AT28" s="196">
        <v>74306.34</v>
      </c>
      <c r="AU28" s="196">
        <v>4778.006863049095</v>
      </c>
      <c r="AV28" s="198">
        <f t="shared" si="20"/>
        <v>1187.04</v>
      </c>
      <c r="AW28" s="198">
        <f t="shared" si="21"/>
        <v>5965.05</v>
      </c>
      <c r="AX28" s="198">
        <f t="shared" si="22"/>
        <v>0</v>
      </c>
      <c r="AY28" s="198">
        <f t="shared" si="23"/>
        <v>0</v>
      </c>
      <c r="AZ28" s="199" cm="1">
        <f t="array" ref="AZ28">+ROUND(IF(AY28&lt;1,interpoler($A$5:$A$24,$B$5:$B$24,(AR28-$B$1)),interpoler($C$5:$C$24,$D$5:$D$24,AY28))+$AW$2,6)</f>
        <v>2.9780999999999998E-2</v>
      </c>
      <c r="BA28" s="198">
        <f t="shared" si="24"/>
        <v>0</v>
      </c>
      <c r="BB28" s="221"/>
      <c r="BC28" s="599">
        <f t="shared" si="25"/>
        <v>0</v>
      </c>
      <c r="BD28" s="669">
        <v>41712</v>
      </c>
      <c r="BE28" s="526">
        <v>21</v>
      </c>
      <c r="BF28" s="841">
        <f>BF27-BG27</f>
        <v>52409.114637999999</v>
      </c>
      <c r="BG28" s="835">
        <v>2099.9646379999999</v>
      </c>
      <c r="BH28" s="529">
        <f t="shared" si="90"/>
        <v>632.84</v>
      </c>
      <c r="BI28" s="529">
        <f t="shared" si="26"/>
        <v>2732.8</v>
      </c>
      <c r="BJ28" s="529">
        <f t="shared" si="27"/>
        <v>0</v>
      </c>
      <c r="BK28" s="529">
        <f t="shared" si="28"/>
        <v>0</v>
      </c>
      <c r="BL28" s="530" cm="1">
        <f t="array" ref="BL28">+ROUND(IF(BK28&lt;1,interpoler($A$5:$A$24,$B$5:$B$24,(BD28-$B$1)),interpoler($C$5:$C$24,$D$5:$D$24,BK28))+$BI$2,6)</f>
        <v>3.3280999999999998E-2</v>
      </c>
      <c r="BM28" s="529">
        <f t="shared" si="29"/>
        <v>0</v>
      </c>
      <c r="BN28" s="280"/>
      <c r="BP28" s="150">
        <f t="shared" si="30"/>
        <v>20</v>
      </c>
      <c r="BQ28" s="194" t="s">
        <v>321</v>
      </c>
      <c r="BR28" s="211">
        <v>21</v>
      </c>
      <c r="BS28" s="304">
        <f t="shared" si="91"/>
        <v>35483.870967741896</v>
      </c>
      <c r="BT28" s="196">
        <v>3225.8064516129034</v>
      </c>
      <c r="BU28" s="198">
        <f t="shared" si="92"/>
        <v>396.45</v>
      </c>
      <c r="BV28" s="198">
        <f t="shared" si="31"/>
        <v>3622.26</v>
      </c>
      <c r="BW28" s="198">
        <f t="shared" si="32"/>
        <v>3622.26</v>
      </c>
      <c r="BX28" s="198">
        <f t="shared" si="33"/>
        <v>5.5796986518636</v>
      </c>
      <c r="BY28" s="199" cm="1">
        <f t="array" ref="BY28">+ROUND(IF(BX28&lt;1,interpoler($A$5:$A$24,$B$5:$B$24,(BQ28-$B$1)),interpoler($C$5:$C$24,$D$5:$D$24,BX28))+$BV$2,6)</f>
        <v>3.5213000000000001E-2</v>
      </c>
      <c r="BZ28" s="198">
        <f t="shared" si="34"/>
        <v>2986.1961250312224</v>
      </c>
      <c r="CB28" s="150">
        <f t="shared" si="35"/>
        <v>0</v>
      </c>
      <c r="CC28" s="868">
        <v>45009</v>
      </c>
      <c r="CD28" s="857">
        <v>21</v>
      </c>
      <c r="CE28" s="859">
        <v>100000</v>
      </c>
      <c r="CF28" s="1035">
        <v>0</v>
      </c>
      <c r="CG28" s="847">
        <v>1007.5</v>
      </c>
      <c r="CH28" s="847">
        <f t="shared" si="36"/>
        <v>1007.5</v>
      </c>
      <c r="CI28" s="847">
        <f t="shared" si="37"/>
        <v>0</v>
      </c>
      <c r="CJ28" s="847">
        <f t="shared" si="121"/>
        <v>-3.05</v>
      </c>
      <c r="CK28" s="848" cm="1">
        <f t="array" ref="CK28">ROUND(ROUND(IF(CJ28&lt;1,interpoler($A$5:$A$24,$B$5:$B$24,(CC28-$B$1)),interpoler($C$5:$C$24,$D$5:$D$24,CJ28))+$CH$2,5),5)</f>
        <v>2.878E-2</v>
      </c>
      <c r="CL28" s="847">
        <f t="shared" si="115"/>
        <v>0</v>
      </c>
      <c r="CM28" s="280"/>
      <c r="CN28" s="150">
        <f t="shared" si="38"/>
        <v>0</v>
      </c>
      <c r="CO28" s="869">
        <v>45101</v>
      </c>
      <c r="CP28" s="857">
        <v>21</v>
      </c>
      <c r="CQ28" s="859">
        <v>13204.89</v>
      </c>
      <c r="CR28" s="859">
        <v>3366.48</v>
      </c>
      <c r="CS28" s="862">
        <v>106.29</v>
      </c>
      <c r="CT28" s="847">
        <f t="shared" si="39"/>
        <v>3472.77</v>
      </c>
      <c r="CU28" s="847">
        <f t="shared" si="40"/>
        <v>0</v>
      </c>
      <c r="CV28" s="863">
        <f t="shared" si="128"/>
        <v>0</v>
      </c>
      <c r="CW28" s="864" cm="1">
        <f t="array" ref="CW28">+ROUND(IF(CV28&lt;1,interpoler($A$5:$A$24,$B$5:$B$24,(CO28-$B$1)),interpoler($C$5:$C$24,$D$5:$D$24,CV28))+$CT$2,5)</f>
        <v>2.7279999999999999E-2</v>
      </c>
      <c r="CX28" s="861">
        <f t="shared" si="116"/>
        <v>0</v>
      </c>
      <c r="CY28" s="448"/>
      <c r="DH28"/>
      <c r="DI28"/>
      <c r="DJ28"/>
      <c r="DK28"/>
      <c r="DL28"/>
      <c r="DQ28" s="211">
        <f t="shared" si="42"/>
        <v>0</v>
      </c>
      <c r="DR28" s="524">
        <v>42841</v>
      </c>
      <c r="DS28" s="211">
        <v>21</v>
      </c>
      <c r="DT28" s="304">
        <f t="shared" si="94"/>
        <v>44906.69</v>
      </c>
      <c r="DU28" s="402">
        <v>2408.29</v>
      </c>
      <c r="DV28" s="198">
        <f t="shared" si="95"/>
        <v>526.38</v>
      </c>
      <c r="DW28" s="198">
        <f t="shared" si="43"/>
        <v>2934.67</v>
      </c>
      <c r="DX28" s="198">
        <f t="shared" si="44"/>
        <v>0</v>
      </c>
      <c r="DY28" s="198">
        <f t="shared" si="45"/>
        <v>0</v>
      </c>
      <c r="DZ28" s="199" cm="1">
        <f t="array" ref="DZ28">+ROUND(IF(DY28&lt;1,interpoler($A$5:$A$24,$B$5:$B$24,(DR28-$B$1)),interpoler($C$5:$C$24,$D$5:$D$24,DY28))+$DW$2,5)</f>
        <v>2.5680000000000001E-2</v>
      </c>
      <c r="EA28" s="198">
        <f t="shared" si="46"/>
        <v>0</v>
      </c>
      <c r="EC28" s="211"/>
      <c r="ED28" s="524"/>
      <c r="EE28" s="211"/>
      <c r="EF28" s="730"/>
      <c r="EG28" s="730"/>
      <c r="EH28" s="198"/>
      <c r="EI28" s="198"/>
      <c r="EJ28" s="198"/>
      <c r="EK28" s="941"/>
      <c r="EL28" s="199"/>
      <c r="EM28" s="198"/>
      <c r="EQ28" s="211"/>
      <c r="ER28" s="524"/>
      <c r="ES28" s="211"/>
      <c r="ET28" s="304"/>
      <c r="EU28" s="196"/>
      <c r="EV28" s="198"/>
      <c r="EW28" s="198"/>
      <c r="EX28" s="198"/>
      <c r="EY28" s="198"/>
      <c r="EZ28" s="199"/>
      <c r="FA28" s="198"/>
      <c r="FD28" s="526">
        <f t="shared" si="56"/>
        <v>0</v>
      </c>
      <c r="FE28" s="802">
        <v>45740</v>
      </c>
      <c r="FF28" s="803">
        <v>21</v>
      </c>
      <c r="FG28" s="1223">
        <v>41965.919999999998</v>
      </c>
      <c r="FH28" s="1224">
        <v>2558.79</v>
      </c>
      <c r="FI28" s="1224">
        <v>317.89</v>
      </c>
      <c r="FJ28" s="807">
        <f t="shared" si="57"/>
        <v>2876.68</v>
      </c>
      <c r="FK28" s="807">
        <f t="shared" si="58"/>
        <v>0</v>
      </c>
      <c r="FL28" s="808">
        <f t="shared" si="133"/>
        <v>-1.0194444443999999</v>
      </c>
      <c r="FM28" s="809" cm="1">
        <f t="array" ref="FM28">+ROUND(interpoler(mat_zc,Taux_ZC,FL28)+$FI$2,5)</f>
        <v>2.7779999999999999E-2</v>
      </c>
      <c r="FN28" s="810">
        <f>ROUND( +FK28/(1+FM28)^FL28,5)</f>
        <v>0</v>
      </c>
      <c r="FO28" s="814"/>
      <c r="FP28" s="221"/>
      <c r="FQ28" s="526">
        <f t="shared" si="59"/>
        <v>5</v>
      </c>
      <c r="FR28" s="1151">
        <v>46562</v>
      </c>
      <c r="FS28" s="205">
        <v>6</v>
      </c>
      <c r="FT28" s="1629">
        <v>100000</v>
      </c>
      <c r="FU28" s="1626">
        <v>0</v>
      </c>
      <c r="FV28" s="1632">
        <v>877.5</v>
      </c>
      <c r="FW28" s="798">
        <f t="shared" si="60"/>
        <v>877.5</v>
      </c>
      <c r="FX28" s="798">
        <f t="shared" si="61"/>
        <v>877.5</v>
      </c>
      <c r="FY28" s="799">
        <f t="shared" si="113"/>
        <v>1.2445652199999999</v>
      </c>
      <c r="FZ28" s="800" cm="1">
        <f t="array" ref="FZ28">+ROUND(IF(FY28&lt;1,interpoler($A$5:$A$24,$B$5:$B$24,(FR28-$B$1)),interpoler(CIH!$K$72:$K$103,CIH!$L$72:$L$103,FY28))+$FV$2,5)</f>
        <v>3.1530000000000002E-2</v>
      </c>
      <c r="GA28" s="798">
        <f t="shared" si="62"/>
        <v>844.24415999999997</v>
      </c>
      <c r="GB28" s="484"/>
      <c r="GC28" s="522"/>
      <c r="GD28" s="150">
        <f t="shared" si="63"/>
        <v>4</v>
      </c>
      <c r="GE28" s="1152">
        <v>46470</v>
      </c>
      <c r="GF28" s="205">
        <v>5</v>
      </c>
      <c r="GG28" s="1329">
        <v>48438.810000000034</v>
      </c>
      <c r="GH28" s="1627">
        <v>2049.3200000000002</v>
      </c>
      <c r="GI28" s="1627">
        <v>318.48</v>
      </c>
      <c r="GJ28" s="198">
        <f t="shared" si="64"/>
        <v>2367.8000000000002</v>
      </c>
      <c r="GK28" s="198">
        <f t="shared" si="65"/>
        <v>2367.8000000000002</v>
      </c>
      <c r="GL28" s="447">
        <f t="shared" si="126"/>
        <v>0.99456521740000003</v>
      </c>
      <c r="GM28" s="199" cm="1">
        <f t="array" ref="GM28">ROUND(interpoler(mat_zc,Taux_ZC,GL28)+$GJ$2,5)</f>
        <v>3.0130000000000001E-2</v>
      </c>
      <c r="GN28" s="762">
        <f t="shared" si="102"/>
        <v>2298.9157</v>
      </c>
      <c r="GO28" s="198"/>
      <c r="GQ28" s="150">
        <f t="shared" si="66"/>
        <v>2</v>
      </c>
      <c r="GR28" s="1152">
        <v>46289</v>
      </c>
      <c r="GS28" s="905">
        <v>3</v>
      </c>
      <c r="GT28" s="1630">
        <v>84085.150000000009</v>
      </c>
      <c r="GU28" s="1627">
        <v>699.24</v>
      </c>
      <c r="GV28" s="1633">
        <v>651.65</v>
      </c>
      <c r="GW28" s="198">
        <f t="shared" si="67"/>
        <v>1350.89</v>
      </c>
      <c r="GX28" s="198">
        <f t="shared" si="68"/>
        <v>1350.89</v>
      </c>
      <c r="GY28" s="1042">
        <f t="shared" si="127"/>
        <v>0.49456521739999998</v>
      </c>
      <c r="GZ28" s="199" cm="1">
        <f t="array" ref="GZ28">+ROUND(IF(GY28&lt;1,interpoler($A$5:$A$24,$B$5:$B$24,(GR28-$B$1)),interpoler(CIH!$K$72:$K$103,CIH!$L$72:$L$103,GY28))+$GW$2,5)</f>
        <v>3.0620000000000001E-2</v>
      </c>
      <c r="HA28" s="212">
        <f t="shared" si="129"/>
        <v>1330.88917189263</v>
      </c>
      <c r="HD28" s="1382">
        <f t="shared" si="70"/>
        <v>0</v>
      </c>
      <c r="HE28" s="309">
        <v>43656</v>
      </c>
      <c r="HF28" s="211">
        <v>21</v>
      </c>
      <c r="HG28" s="304">
        <f t="shared" si="103"/>
        <v>19062.569999999974</v>
      </c>
      <c r="HH28" s="196">
        <v>2500</v>
      </c>
      <c r="HI28" s="198">
        <f t="shared" si="104"/>
        <v>210.64</v>
      </c>
      <c r="HJ28" s="198">
        <f t="shared" si="71"/>
        <v>2710.64</v>
      </c>
      <c r="HK28" s="198">
        <f t="shared" si="72"/>
        <v>0</v>
      </c>
      <c r="HL28" s="198">
        <f t="shared" si="73"/>
        <v>0</v>
      </c>
      <c r="HM28" s="199" cm="1">
        <f t="array" ref="HM28">+ROUND(IF(HL28&lt;1,interpoler($A$5:$A$24,$B$5:$B$24,(HE28-$B$1)),interpoler($C$5:$C$24,$D$5:$D$24,HL28))+$HJ$2,5)</f>
        <v>2.7279999999999999E-2</v>
      </c>
      <c r="HN28" s="198">
        <f t="shared" si="74"/>
        <v>0</v>
      </c>
      <c r="HR28" s="150">
        <f t="shared" si="134"/>
        <v>0</v>
      </c>
      <c r="HS28" s="714"/>
      <c r="HT28" s="205"/>
      <c r="HU28" s="718"/>
      <c r="HV28" s="718"/>
      <c r="HW28" s="786"/>
      <c r="HX28" s="198"/>
      <c r="HY28" s="198"/>
      <c r="HZ28" s="198"/>
      <c r="IA28" s="199"/>
      <c r="IB28" s="212"/>
      <c r="ID28" s="150">
        <v>21</v>
      </c>
      <c r="IE28" s="714">
        <v>47756</v>
      </c>
      <c r="IF28" s="205">
        <v>21</v>
      </c>
      <c r="IG28" s="205">
        <v>41666.67</v>
      </c>
      <c r="IH28" s="766">
        <v>2777.78</v>
      </c>
      <c r="II28" s="765">
        <v>835.62</v>
      </c>
      <c r="IJ28" s="198">
        <f t="shared" si="79"/>
        <v>3613.4</v>
      </c>
      <c r="IK28" s="212">
        <f t="shared" si="80"/>
        <v>3613.4</v>
      </c>
      <c r="IL28" s="761">
        <f t="shared" si="107"/>
        <v>4.5273224043999996</v>
      </c>
      <c r="IM28" s="199" cm="1">
        <f t="array" ref="IM28">+ROUND(IF(IL28&lt;1,interpoler($A$5:$A$24,$B$5:$B$24,(IE28-$B$1)),interpoler($C$5:$C$24,$D$5:$D$24,IL28))+$IJ$2,5)</f>
        <v>4.3400000000000001E-2</v>
      </c>
      <c r="IN28" s="198">
        <f t="shared" si="81"/>
        <v>2981.1455000000001</v>
      </c>
      <c r="IP28" s="1382">
        <v>21</v>
      </c>
      <c r="IQ28" s="714">
        <v>47814</v>
      </c>
      <c r="IR28" s="205">
        <v>21</v>
      </c>
      <c r="IS28" s="198"/>
      <c r="IT28" s="198">
        <v>377</v>
      </c>
      <c r="IU28" s="198">
        <v>2.77</v>
      </c>
      <c r="IV28" s="198">
        <f t="shared" si="82"/>
        <v>379.77</v>
      </c>
      <c r="IW28" s="212">
        <f t="shared" si="83"/>
        <v>379.77</v>
      </c>
      <c r="IX28" s="447">
        <f t="shared" si="108"/>
        <v>4.6766304347826084</v>
      </c>
      <c r="IY28" s="199" cm="1">
        <f t="array" ref="IY28">+ROUND(IF(IX28&lt;1,interpoler($A$5:$A$24,$B$5:$B$24,(IQ28-$B$1)),interpoler($C$5:$C$24,$D$5:$D$24,IX28))+$IV$2,5)</f>
        <v>3.6360000000000003E-2</v>
      </c>
      <c r="IZ28" s="198">
        <f t="shared" si="84"/>
        <v>321.353557874812</v>
      </c>
      <c r="JD28" s="150"/>
      <c r="JE28" s="714"/>
      <c r="JF28" s="205"/>
      <c r="JG28" s="205"/>
      <c r="JH28" s="766"/>
      <c r="JI28" s="765"/>
      <c r="JJ28" s="198"/>
      <c r="JK28" s="212"/>
      <c r="JL28" s="761"/>
      <c r="JM28" s="199"/>
      <c r="JN28" s="198"/>
      <c r="JP28" s="150"/>
      <c r="JQ28" s="200" t="s">
        <v>3056</v>
      </c>
      <c r="JR28" s="205">
        <v>21</v>
      </c>
      <c r="JS28" s="205">
        <v>57500</v>
      </c>
      <c r="JT28" s="205">
        <v>2500</v>
      </c>
      <c r="JU28" s="765">
        <v>817.5</v>
      </c>
      <c r="JV28" s="198">
        <f t="shared" si="106"/>
        <v>3317.5</v>
      </c>
      <c r="JW28" s="212">
        <f t="shared" si="111"/>
        <v>3317.5</v>
      </c>
      <c r="JX28" s="1335">
        <f t="shared" si="117"/>
        <v>3.5489130434782608</v>
      </c>
      <c r="JY28" s="199" cm="1">
        <f t="array" ref="JY28">ROUND(interpoler(mat_zc,Taux_ZC,JX28)+$JV$2,5)</f>
        <v>4.9119999999999997E-2</v>
      </c>
      <c r="JZ28" s="198">
        <f t="shared" si="118"/>
        <v>2798.3640999999998</v>
      </c>
      <c r="KB28" s="205"/>
      <c r="KC28" s="205"/>
      <c r="KD28" s="205"/>
      <c r="KE28" s="205"/>
      <c r="KF28" s="765"/>
      <c r="KG28" s="198"/>
      <c r="KH28" s="212"/>
      <c r="KI28" s="765"/>
      <c r="KJ28" s="199"/>
      <c r="KK28" s="198"/>
      <c r="KN28" s="1603">
        <v>53368</v>
      </c>
      <c r="KO28" s="205">
        <f t="shared" si="138"/>
        <v>21</v>
      </c>
      <c r="KP28" s="1604">
        <v>66666.666666666642</v>
      </c>
      <c r="KQ28" s="1443">
        <v>6666.666666666667</v>
      </c>
      <c r="KR28" s="1443">
        <v>2979.9999999999986</v>
      </c>
      <c r="KS28" s="198">
        <f t="shared" si="135"/>
        <v>9646.67</v>
      </c>
      <c r="KT28" s="212">
        <f t="shared" si="136"/>
        <v>9646.67</v>
      </c>
      <c r="KU28" s="1607">
        <f t="shared" si="114"/>
        <v>19.87945205479452</v>
      </c>
      <c r="KV28" s="199" cm="1">
        <f t="array" ref="KV28">ROUND(interpoler(mat_zc,Taux_ZC,KU28)+$KS$2,5)</f>
        <v>4.3749999999999997E-2</v>
      </c>
      <c r="KW28" s="1612">
        <f t="shared" si="137"/>
        <v>4118.0291999999999</v>
      </c>
    </row>
    <row r="29" spans="1:309" ht="15" x14ac:dyDescent="0.25">
      <c r="F29" s="156"/>
      <c r="G29" s="150">
        <f t="shared" si="0"/>
        <v>0</v>
      </c>
      <c r="H29" s="117">
        <v>39367</v>
      </c>
      <c r="I29" s="120">
        <v>22</v>
      </c>
      <c r="J29" s="196">
        <v>12620.62</v>
      </c>
      <c r="K29" s="196">
        <v>3002.13</v>
      </c>
      <c r="L29" s="137">
        <f t="shared" si="130"/>
        <v>196.25</v>
      </c>
      <c r="M29" s="137">
        <f t="shared" si="131"/>
        <v>3198.38</v>
      </c>
      <c r="N29" s="137">
        <f t="shared" si="3"/>
        <v>0</v>
      </c>
      <c r="O29" s="137">
        <f t="shared" si="4"/>
        <v>0</v>
      </c>
      <c r="P29" s="146" cm="1">
        <f t="array" ref="P29">+ROUND(IF(O29&lt;1,interpoler($A$5:$A$24,$B$5:$B$24,(H29-$B$1)),interpoler($C$5:$C$24,$D$5:$D$24,O29))+$M$2,6)</f>
        <v>2.8781000000000001E-2</v>
      </c>
      <c r="Q29" s="137">
        <f t="shared" si="5"/>
        <v>0</v>
      </c>
      <c r="R29" s="172"/>
      <c r="S29" s="150">
        <f t="shared" si="6"/>
        <v>0</v>
      </c>
      <c r="T29" s="194">
        <v>39367</v>
      </c>
      <c r="U29" s="205">
        <v>22</v>
      </c>
      <c r="V29" s="196">
        <v>100000</v>
      </c>
      <c r="W29" s="207">
        <v>0</v>
      </c>
      <c r="X29" s="198">
        <f t="shared" si="7"/>
        <v>1830</v>
      </c>
      <c r="Y29" s="198">
        <f t="shared" si="8"/>
        <v>1830</v>
      </c>
      <c r="Z29" s="198">
        <f t="shared" si="9"/>
        <v>0</v>
      </c>
      <c r="AA29" s="198">
        <f t="shared" si="10"/>
        <v>0</v>
      </c>
      <c r="AB29" s="199" cm="1">
        <f t="array" ref="AB29">+ROUND(IF(AA29&lt;1,interpoler($A$5:$A$24,$B$5:$B$24,(T29-$B$1)),interpoler($C$5:$C$24,$D$5:$D$24,AA29))+$Y$2,6)</f>
        <v>3.0780999999999999E-2</v>
      </c>
      <c r="AC29" s="198">
        <f t="shared" si="11"/>
        <v>0</v>
      </c>
      <c r="AE29" s="150">
        <f t="shared" si="12"/>
        <v>0</v>
      </c>
      <c r="AF29" s="117"/>
      <c r="AG29" s="120"/>
      <c r="AH29" s="121"/>
      <c r="AI29" s="121"/>
      <c r="AJ29" s="137"/>
      <c r="AK29" s="137"/>
      <c r="AL29" s="137"/>
      <c r="AM29" s="137"/>
      <c r="AN29" s="146"/>
      <c r="AO29" s="137"/>
      <c r="AP29" s="172">
        <f t="shared" si="18"/>
        <v>0</v>
      </c>
      <c r="AQ29" s="150">
        <f t="shared" si="19"/>
        <v>0</v>
      </c>
      <c r="AR29" s="194">
        <v>40614</v>
      </c>
      <c r="AS29" s="211">
        <v>22</v>
      </c>
      <c r="AT29" s="196">
        <v>70400.95</v>
      </c>
      <c r="AU29" s="196">
        <v>4141.4799999999996</v>
      </c>
      <c r="AV29" s="198">
        <f t="shared" si="20"/>
        <v>1124.6600000000001</v>
      </c>
      <c r="AW29" s="198">
        <f t="shared" si="21"/>
        <v>5266.14</v>
      </c>
      <c r="AX29" s="198">
        <f t="shared" si="22"/>
        <v>0</v>
      </c>
      <c r="AY29" s="198">
        <f t="shared" si="23"/>
        <v>0</v>
      </c>
      <c r="AZ29" s="199" cm="1">
        <f t="array" ref="AZ29">+ROUND(IF(AY29&lt;1,interpoler($A$5:$A$24,$B$5:$B$24,(AR29-$B$1)),interpoler($C$5:$C$24,$D$5:$D$24,AY29))+$AW$2,6)</f>
        <v>2.9780999999999998E-2</v>
      </c>
      <c r="BA29" s="198">
        <f t="shared" si="24"/>
        <v>0</v>
      </c>
      <c r="BB29" s="221"/>
      <c r="BC29" s="599">
        <f t="shared" si="25"/>
        <v>0</v>
      </c>
      <c r="BD29" s="669">
        <v>41804</v>
      </c>
      <c r="BE29" s="526">
        <v>22</v>
      </c>
      <c r="BF29" s="841">
        <v>50309.15</v>
      </c>
      <c r="BG29" s="835">
        <v>2114.27</v>
      </c>
      <c r="BH29" s="529">
        <f t="shared" si="90"/>
        <v>607.48</v>
      </c>
      <c r="BI29" s="529">
        <f t="shared" si="26"/>
        <v>2721.75</v>
      </c>
      <c r="BJ29" s="529">
        <f t="shared" si="27"/>
        <v>0</v>
      </c>
      <c r="BK29" s="529">
        <f t="shared" si="28"/>
        <v>0</v>
      </c>
      <c r="BL29" s="530" cm="1">
        <f t="array" ref="BL29">+ROUND(IF(BK29&lt;1,interpoler($A$5:$A$24,$B$5:$B$24,(BD29-$B$1)),interpoler($C$5:$C$24,$D$5:$D$24,BK29))+$BI$2,6)</f>
        <v>3.3280999999999998E-2</v>
      </c>
      <c r="BM29" s="529">
        <f t="shared" si="29"/>
        <v>0</v>
      </c>
      <c r="BN29" s="280"/>
      <c r="BP29" s="150">
        <f t="shared" si="30"/>
        <v>21</v>
      </c>
      <c r="BQ29" s="116" t="s">
        <v>322</v>
      </c>
      <c r="BR29" s="133">
        <v>22</v>
      </c>
      <c r="BS29" s="304">
        <f t="shared" si="91"/>
        <v>32258.064516128994</v>
      </c>
      <c r="BT29" s="196">
        <v>3225.8064516129034</v>
      </c>
      <c r="BU29" s="198">
        <f t="shared" si="92"/>
        <v>364.37</v>
      </c>
      <c r="BV29" s="137">
        <f t="shared" si="31"/>
        <v>3590.18</v>
      </c>
      <c r="BW29" s="137">
        <f t="shared" si="32"/>
        <v>3590.18</v>
      </c>
      <c r="BX29" s="137">
        <f t="shared" si="33"/>
        <v>5.8296986518636</v>
      </c>
      <c r="BY29" s="199" cm="1">
        <f t="array" ref="BY29">+ROUND(IF(BX29&lt;1,interpoler($A$5:$A$24,$B$5:$B$24,(BQ29-$B$1)),interpoler($C$5:$C$24,$D$5:$D$24,BX29))+$BV$2,6)</f>
        <v>3.5344E-2</v>
      </c>
      <c r="BZ29" s="137">
        <f t="shared" si="34"/>
        <v>2932.0889205215003</v>
      </c>
      <c r="CB29" s="150">
        <f t="shared" si="35"/>
        <v>0</v>
      </c>
      <c r="CC29" s="868">
        <v>45101</v>
      </c>
      <c r="CD29" s="857">
        <v>22</v>
      </c>
      <c r="CE29" s="1032">
        <v>100000</v>
      </c>
      <c r="CF29" s="1036">
        <v>0</v>
      </c>
      <c r="CG29" s="1037">
        <v>1007.5</v>
      </c>
      <c r="CH29" s="847">
        <f t="shared" si="36"/>
        <v>1007.5</v>
      </c>
      <c r="CI29" s="847">
        <f t="shared" si="37"/>
        <v>0</v>
      </c>
      <c r="CJ29" s="861">
        <f t="shared" ref="CJ29:CJ60" si="139">ROUND((IF(CJ28&lt;0,(CC29-$B$1)/(CC29-CC28)*(3/12),CJ28+0.25)),10)</f>
        <v>-2.7336956522000002</v>
      </c>
      <c r="CK29" s="864" cm="1">
        <f t="array" ref="CK29">+ROUND(IF(CJ29&lt;1,interpoler($A$5:$A$24,$B$5:$B$24,(CC29-$B$1)),interpoler($C$5:$C$24,$D$5:$D$24,CJ29))+$CH$2,5)</f>
        <v>2.878E-2</v>
      </c>
      <c r="CL29" s="847">
        <f t="shared" si="115"/>
        <v>0</v>
      </c>
      <c r="CM29" s="280"/>
      <c r="CN29" s="150">
        <f t="shared" si="38"/>
        <v>0</v>
      </c>
      <c r="CO29" s="869">
        <v>45193</v>
      </c>
      <c r="CP29" s="857">
        <v>22</v>
      </c>
      <c r="CQ29" s="859">
        <v>9838.41</v>
      </c>
      <c r="CR29" s="859">
        <v>3786.76</v>
      </c>
      <c r="CS29" s="862">
        <v>79.19</v>
      </c>
      <c r="CT29" s="847">
        <f t="shared" si="39"/>
        <v>3865.95</v>
      </c>
      <c r="CU29" s="847">
        <f t="shared" si="40"/>
        <v>0</v>
      </c>
      <c r="CV29" s="863">
        <f t="shared" si="128"/>
        <v>0</v>
      </c>
      <c r="CW29" s="864" cm="1">
        <f t="array" ref="CW29">+ROUND(IF(CV29&lt;1,interpoler($A$5:$A$24,$B$5:$B$24,(CO29-$B$1)),interpoler($C$5:$C$24,$D$5:$D$24,CV29))+$CT$2,5)</f>
        <v>2.7279999999999999E-2</v>
      </c>
      <c r="CX29" s="861">
        <f t="shared" si="116"/>
        <v>0</v>
      </c>
      <c r="CY29" s="448"/>
      <c r="DQ29" s="211">
        <f t="shared" si="42"/>
        <v>0</v>
      </c>
      <c r="DR29" s="524">
        <v>42932</v>
      </c>
      <c r="DS29" s="211">
        <v>22</v>
      </c>
      <c r="DT29" s="304">
        <f t="shared" si="94"/>
        <v>42550.340000000004</v>
      </c>
      <c r="DU29" s="402">
        <v>2356.35</v>
      </c>
      <c r="DV29" s="198">
        <f t="shared" si="95"/>
        <v>499.59</v>
      </c>
      <c r="DW29" s="198">
        <f t="shared" si="43"/>
        <v>2855.94</v>
      </c>
      <c r="DX29" s="198">
        <f t="shared" si="44"/>
        <v>0</v>
      </c>
      <c r="DY29" s="198">
        <f t="shared" si="45"/>
        <v>0</v>
      </c>
      <c r="DZ29" s="199" cm="1">
        <f t="array" ref="DZ29">+ROUND(IF(DY29&lt;1,interpoler($A$5:$A$24,$B$5:$B$24,(DR29-$B$1)),interpoler($C$5:$C$24,$D$5:$D$24,DY29))+$DW$2,5)</f>
        <v>2.5680000000000001E-2</v>
      </c>
      <c r="EA29" s="198">
        <f t="shared" si="46"/>
        <v>0</v>
      </c>
      <c r="EC29" s="211"/>
      <c r="ED29" s="524"/>
      <c r="EE29" s="211"/>
      <c r="EF29" s="211"/>
      <c r="EG29" s="211"/>
      <c r="EH29" s="198"/>
      <c r="EI29" s="198"/>
      <c r="EJ29" s="198"/>
      <c r="EK29" s="198"/>
      <c r="EL29" s="776"/>
      <c r="EM29" s="198"/>
      <c r="EQ29" s="211"/>
      <c r="ER29" s="524"/>
      <c r="ES29" s="211"/>
      <c r="ET29" s="304"/>
      <c r="EU29" s="196"/>
      <c r="EV29" s="198"/>
      <c r="EW29" s="198"/>
      <c r="EX29" s="198"/>
      <c r="EY29" s="198"/>
      <c r="EZ29" s="199"/>
      <c r="FA29" s="198"/>
      <c r="FD29" s="526">
        <f t="shared" si="56"/>
        <v>0</v>
      </c>
      <c r="FE29" s="802">
        <v>45832</v>
      </c>
      <c r="FF29" s="803">
        <v>22</v>
      </c>
      <c r="FG29" s="811">
        <v>39407.129999999997</v>
      </c>
      <c r="FH29" s="812">
        <v>2273.15</v>
      </c>
      <c r="FI29" s="812">
        <v>298.5</v>
      </c>
      <c r="FJ29" s="807">
        <f t="shared" si="57"/>
        <v>2571.65</v>
      </c>
      <c r="FK29" s="807">
        <f t="shared" si="58"/>
        <v>0</v>
      </c>
      <c r="FL29" s="808">
        <f t="shared" si="133"/>
        <v>-0.74728260869999996</v>
      </c>
      <c r="FM29" s="809" cm="1">
        <f t="array" ref="FM29">+ROUND(interpoler(mat_zc,Taux_ZC,FL29)+$FI$2,5)</f>
        <v>2.7779999999999999E-2</v>
      </c>
      <c r="FN29" s="810">
        <f t="shared" ref="FN29:FN50" si="140">ROUND( +FK29/(1+FM29)^FL29,5)</f>
        <v>0</v>
      </c>
      <c r="FO29" s="813"/>
      <c r="FP29" s="221"/>
      <c r="FQ29" s="526">
        <f t="shared" si="59"/>
        <v>6</v>
      </c>
      <c r="FR29" s="1152">
        <v>46654</v>
      </c>
      <c r="FS29" s="205">
        <v>7</v>
      </c>
      <c r="FT29" s="1630">
        <v>100000</v>
      </c>
      <c r="FU29" s="1627">
        <v>0</v>
      </c>
      <c r="FV29" s="1633">
        <v>877.5</v>
      </c>
      <c r="FW29" s="798">
        <f t="shared" si="60"/>
        <v>877.5</v>
      </c>
      <c r="FX29" s="798">
        <f t="shared" si="61"/>
        <v>877.5</v>
      </c>
      <c r="FY29" s="799">
        <f t="shared" si="113"/>
        <v>1.4945652199999999</v>
      </c>
      <c r="FZ29" s="800" cm="1">
        <f t="array" ref="FZ29">+ROUND(IF(FY29&lt;1,interpoler($A$5:$A$24,$B$5:$B$24,(FR29-$B$1)),interpoler(CIH!$K$72:$K$103,CIH!$L$72:$L$103,FY29))+$FV$2,5)</f>
        <v>3.1919999999999997E-2</v>
      </c>
      <c r="GA29" s="798">
        <f t="shared" si="62"/>
        <v>837.24438999999995</v>
      </c>
      <c r="GB29" s="484"/>
      <c r="GC29" s="522"/>
      <c r="GD29" s="150">
        <f t="shared" si="63"/>
        <v>5</v>
      </c>
      <c r="GE29" s="1151">
        <v>46562</v>
      </c>
      <c r="GF29" s="205">
        <v>6</v>
      </c>
      <c r="GG29" s="1328">
        <v>46389.490000000034</v>
      </c>
      <c r="GH29" s="1626">
        <v>2035.54</v>
      </c>
      <c r="GI29" s="1626">
        <v>305.01</v>
      </c>
      <c r="GJ29" s="198">
        <f t="shared" si="64"/>
        <v>2340.5500000000002</v>
      </c>
      <c r="GK29" s="198">
        <f t="shared" si="65"/>
        <v>2340.5500000000002</v>
      </c>
      <c r="GL29" s="447">
        <f t="shared" si="126"/>
        <v>1.2445652173999999</v>
      </c>
      <c r="GM29" s="199" cm="1">
        <f t="array" ref="GM29">ROUND(interpoler(mat_zc,Taux_ZC,GL29)+$GJ$2,5)</f>
        <v>3.0519999999999999E-2</v>
      </c>
      <c r="GN29" s="762">
        <f t="shared" si="102"/>
        <v>2254.5940000000001</v>
      </c>
      <c r="GO29" s="198"/>
      <c r="GQ29" s="150">
        <f t="shared" si="66"/>
        <v>3</v>
      </c>
      <c r="GR29" s="1151">
        <v>46380</v>
      </c>
      <c r="GS29" s="205">
        <v>4</v>
      </c>
      <c r="GT29" s="1629">
        <v>83385.91</v>
      </c>
      <c r="GU29" s="1626">
        <v>692.59</v>
      </c>
      <c r="GV29" s="1632">
        <v>646.24</v>
      </c>
      <c r="GW29" s="198">
        <f t="shared" si="67"/>
        <v>1338.83</v>
      </c>
      <c r="GX29" s="198">
        <f t="shared" si="68"/>
        <v>1338.83</v>
      </c>
      <c r="GY29" s="1042">
        <f t="shared" si="127"/>
        <v>0.74456521740000003</v>
      </c>
      <c r="GZ29" s="199" cm="1">
        <f t="array" ref="GZ29">+ROUND(IF(GY29&lt;1,interpoler($A$5:$A$24,$B$5:$B$24,(GR29-$B$1)),interpoler(CIH!$K$72:$K$103,CIH!$L$72:$L$103,GY29))+$GW$2,5)</f>
        <v>3.116E-2</v>
      </c>
      <c r="HA29" s="212">
        <f t="shared" si="129"/>
        <v>1308.5891532231401</v>
      </c>
      <c r="HD29" s="1382">
        <f t="shared" si="70"/>
        <v>0</v>
      </c>
      <c r="HE29" s="309">
        <v>43748</v>
      </c>
      <c r="HF29" s="133">
        <v>22</v>
      </c>
      <c r="HG29" s="304">
        <f t="shared" si="103"/>
        <v>16562.569999999974</v>
      </c>
      <c r="HH29" s="196">
        <v>2291.66</v>
      </c>
      <c r="HI29" s="198">
        <f t="shared" si="104"/>
        <v>183.01</v>
      </c>
      <c r="HJ29" s="137">
        <f t="shared" si="71"/>
        <v>2474.67</v>
      </c>
      <c r="HK29" s="137">
        <f t="shared" si="72"/>
        <v>0</v>
      </c>
      <c r="HL29" s="137">
        <f t="shared" si="73"/>
        <v>0</v>
      </c>
      <c r="HM29" s="199" cm="1">
        <f t="array" ref="HM29">+ROUND(IF(HL29&lt;1,interpoler($A$5:$A$24,$B$5:$B$24,(HE29-$B$1)),interpoler($C$5:$C$24,$D$5:$D$24,HL29))+$HJ$2,5)</f>
        <v>2.7279999999999999E-2</v>
      </c>
      <c r="HN29" s="137">
        <f t="shared" si="74"/>
        <v>0</v>
      </c>
      <c r="HR29" s="150">
        <f t="shared" si="134"/>
        <v>0</v>
      </c>
      <c r="HS29" s="714"/>
      <c r="HT29" s="205"/>
      <c r="HU29" s="718"/>
      <c r="HV29" s="718"/>
      <c r="HW29" s="786"/>
      <c r="HX29" s="198"/>
      <c r="HY29" s="198"/>
      <c r="HZ29" s="198"/>
      <c r="IA29" s="199"/>
      <c r="IB29" s="212"/>
      <c r="ID29" s="150">
        <v>22</v>
      </c>
      <c r="IE29" s="714">
        <v>47938</v>
      </c>
      <c r="IF29" s="205">
        <v>22</v>
      </c>
      <c r="IG29" s="205">
        <v>38888.89</v>
      </c>
      <c r="IH29" s="766">
        <v>2777.78</v>
      </c>
      <c r="II29" s="765">
        <v>779.11</v>
      </c>
      <c r="IJ29" s="198">
        <f t="shared" si="79"/>
        <v>3556.89</v>
      </c>
      <c r="IK29" s="212">
        <f t="shared" si="80"/>
        <v>3556.89</v>
      </c>
      <c r="IL29" s="761">
        <f t="shared" si="107"/>
        <v>5.0109589040999998</v>
      </c>
      <c r="IM29" s="199" cm="1">
        <f t="array" ref="IM29">+ROUND(IF(IL29&lt;1,interpoler($A$5:$A$24,$B$5:$B$24,(IE29-$B$1)),interpoler($C$5:$C$24,$D$5:$D$24,IL29))+$IJ$2,5)</f>
        <v>4.3909999999999998E-2</v>
      </c>
      <c r="IN29" s="198">
        <f t="shared" si="81"/>
        <v>2867.8116</v>
      </c>
      <c r="IP29" s="1382"/>
      <c r="IQ29" s="714"/>
      <c r="IR29" s="205"/>
      <c r="IS29" s="198"/>
      <c r="IT29" s="198"/>
      <c r="IU29" s="198"/>
      <c r="IV29" s="198"/>
      <c r="IW29" s="212"/>
      <c r="IX29" s="761"/>
      <c r="IY29" s="199"/>
      <c r="IZ29" s="198"/>
      <c r="JD29" s="150"/>
      <c r="JE29" s="714"/>
      <c r="JF29" s="205"/>
      <c r="JG29" s="205"/>
      <c r="JH29" s="766"/>
      <c r="JI29" s="765"/>
      <c r="JJ29" s="198"/>
      <c r="JK29" s="212"/>
      <c r="JL29" s="761"/>
      <c r="JM29" s="199"/>
      <c r="JN29" s="198"/>
      <c r="JP29" s="150"/>
      <c r="JQ29" s="200" t="s">
        <v>3057</v>
      </c>
      <c r="JR29" s="205">
        <v>22</v>
      </c>
      <c r="JS29" s="205">
        <v>55000</v>
      </c>
      <c r="JT29" s="205">
        <v>2500</v>
      </c>
      <c r="JU29" s="765">
        <v>783.43</v>
      </c>
      <c r="JV29" s="198">
        <f t="shared" si="106"/>
        <v>3283.43</v>
      </c>
      <c r="JW29" s="212">
        <f t="shared" si="111"/>
        <v>3283.43</v>
      </c>
      <c r="JX29" s="1335">
        <f t="shared" si="117"/>
        <v>3.7989130434782608</v>
      </c>
      <c r="JY29" s="199" cm="1">
        <f t="array" ref="JY29">ROUND(interpoler(mat_zc,Taux_ZC,JX29)+$JV$2,5)</f>
        <v>4.9520000000000002E-2</v>
      </c>
      <c r="JZ29" s="198">
        <f t="shared" si="118"/>
        <v>2732.6615000000002</v>
      </c>
      <c r="KB29" s="205"/>
      <c r="KC29" s="205"/>
      <c r="KD29" s="205"/>
      <c r="KE29" s="205"/>
      <c r="KF29" s="765"/>
      <c r="KG29" s="198"/>
      <c r="KH29" s="212"/>
      <c r="KI29" s="765"/>
      <c r="KJ29" s="199"/>
      <c r="KK29" s="198"/>
      <c r="KN29" s="1602">
        <v>53733</v>
      </c>
      <c r="KO29" s="205">
        <f t="shared" si="138"/>
        <v>22</v>
      </c>
      <c r="KP29" s="1605">
        <v>59999.999999999978</v>
      </c>
      <c r="KQ29" s="1442">
        <v>6666.666666666667</v>
      </c>
      <c r="KR29" s="1442">
        <v>2681.9999999999986</v>
      </c>
      <c r="KS29" s="198">
        <f t="shared" si="135"/>
        <v>9348.67</v>
      </c>
      <c r="KT29" s="212">
        <f t="shared" si="136"/>
        <v>9348.67</v>
      </c>
      <c r="KU29" s="1607">
        <f t="shared" si="114"/>
        <v>20.87945205479452</v>
      </c>
      <c r="KV29" s="199" cm="1">
        <f t="array" ref="KV29">ROUND(interpoler(mat_zc,Taux_ZC,KU29)+$KS$2,5)</f>
        <v>4.437E-2</v>
      </c>
      <c r="KW29" s="1612">
        <f t="shared" si="137"/>
        <v>3776.4222</v>
      </c>
    </row>
    <row r="30" spans="1:309" ht="15" x14ac:dyDescent="0.25">
      <c r="F30" s="156"/>
      <c r="G30" s="150">
        <f t="shared" si="0"/>
        <v>0</v>
      </c>
      <c r="H30" s="117">
        <v>39459</v>
      </c>
      <c r="I30" s="120">
        <v>23</v>
      </c>
      <c r="J30" s="196">
        <v>9618.4899999999907</v>
      </c>
      <c r="K30" s="196">
        <v>2778.55</v>
      </c>
      <c r="L30" s="137">
        <f t="shared" si="130"/>
        <v>149.57</v>
      </c>
      <c r="M30" s="137">
        <f t="shared" si="131"/>
        <v>2928.12</v>
      </c>
      <c r="N30" s="137">
        <f t="shared" si="3"/>
        <v>0</v>
      </c>
      <c r="O30" s="137">
        <f t="shared" si="4"/>
        <v>0</v>
      </c>
      <c r="P30" s="146" cm="1">
        <f t="array" ref="P30">+ROUND(IF(O30&lt;1,interpoler($A$5:$A$24,$B$5:$B$24,(H30-$B$1)),interpoler($C$5:$C$24,$D$5:$D$24,O30))+$M$2,6)</f>
        <v>2.8781000000000001E-2</v>
      </c>
      <c r="Q30" s="137">
        <f t="shared" si="5"/>
        <v>0</v>
      </c>
      <c r="R30" s="172"/>
      <c r="S30" s="150">
        <f t="shared" si="6"/>
        <v>0</v>
      </c>
      <c r="T30" s="194">
        <v>39459</v>
      </c>
      <c r="U30" s="205">
        <v>23</v>
      </c>
      <c r="V30" s="196">
        <v>100000</v>
      </c>
      <c r="W30" s="207">
        <v>0</v>
      </c>
      <c r="X30" s="198">
        <f t="shared" si="7"/>
        <v>1830</v>
      </c>
      <c r="Y30" s="198">
        <f t="shared" si="8"/>
        <v>1830</v>
      </c>
      <c r="Z30" s="198">
        <f t="shared" si="9"/>
        <v>0</v>
      </c>
      <c r="AA30" s="198">
        <f t="shared" si="10"/>
        <v>0</v>
      </c>
      <c r="AB30" s="199" cm="1">
        <f t="array" ref="AB30">+ROUND(IF(AA30&lt;1,interpoler($A$5:$A$24,$B$5:$B$24,(T30-$B$1)),interpoler($C$5:$C$24,$D$5:$D$24,AA30))+$Y$2,6)</f>
        <v>3.0780999999999999E-2</v>
      </c>
      <c r="AC30" s="198">
        <f t="shared" si="11"/>
        <v>0</v>
      </c>
      <c r="AE30" s="150">
        <f t="shared" si="12"/>
        <v>0</v>
      </c>
      <c r="AF30" s="117"/>
      <c r="AG30" s="120"/>
      <c r="AH30" s="121"/>
      <c r="AI30" s="121"/>
      <c r="AJ30" s="137"/>
      <c r="AK30" s="137"/>
      <c r="AL30" s="137"/>
      <c r="AM30" s="137"/>
      <c r="AN30" s="146"/>
      <c r="AO30" s="137"/>
      <c r="AP30" s="172">
        <f t="shared" si="18"/>
        <v>0</v>
      </c>
      <c r="AQ30" s="150">
        <f t="shared" si="19"/>
        <v>0</v>
      </c>
      <c r="AR30" s="194">
        <v>40706</v>
      </c>
      <c r="AS30" s="211">
        <v>23</v>
      </c>
      <c r="AT30" s="196">
        <v>66259.47</v>
      </c>
      <c r="AU30" s="196">
        <v>3940.4</v>
      </c>
      <c r="AV30" s="198">
        <f t="shared" si="20"/>
        <v>1058.5</v>
      </c>
      <c r="AW30" s="198">
        <f t="shared" si="21"/>
        <v>4998.8999999999996</v>
      </c>
      <c r="AX30" s="198">
        <f t="shared" si="22"/>
        <v>0</v>
      </c>
      <c r="AY30" s="198">
        <f t="shared" si="23"/>
        <v>0</v>
      </c>
      <c r="AZ30" s="199" cm="1">
        <f t="array" ref="AZ30">+ROUND(IF(AY30&lt;1,interpoler($A$5:$A$24,$B$5:$B$24,(AR30-$B$1)),interpoler($C$5:$C$24,$D$5:$D$24,AY30))+$AW$2,6)</f>
        <v>2.9780999999999998E-2</v>
      </c>
      <c r="BA30" s="198">
        <f t="shared" si="24"/>
        <v>0</v>
      </c>
      <c r="BB30" s="221"/>
      <c r="BC30" s="599">
        <f t="shared" si="25"/>
        <v>0</v>
      </c>
      <c r="BD30" s="669">
        <v>41896</v>
      </c>
      <c r="BE30" s="526">
        <v>23</v>
      </c>
      <c r="BF30" s="841">
        <f>BF29-BG29</f>
        <v>48194.880000000005</v>
      </c>
      <c r="BG30" s="835">
        <v>1932.59</v>
      </c>
      <c r="BH30" s="529">
        <f t="shared" si="90"/>
        <v>581.95000000000005</v>
      </c>
      <c r="BI30" s="529">
        <f t="shared" si="26"/>
        <v>2514.54</v>
      </c>
      <c r="BJ30" s="529">
        <f t="shared" si="27"/>
        <v>0</v>
      </c>
      <c r="BK30" s="529">
        <f t="shared" si="28"/>
        <v>0</v>
      </c>
      <c r="BL30" s="530" cm="1">
        <f t="array" ref="BL30">+ROUND(IF(BK30&lt;1,interpoler($A$5:$A$24,$B$5:$B$24,(BD30-$B$1)),interpoler($C$5:$C$24,$D$5:$D$24,BK30))+$BI$2,6)</f>
        <v>3.3280999999999998E-2</v>
      </c>
      <c r="BM30" s="529">
        <f t="shared" si="29"/>
        <v>0</v>
      </c>
      <c r="BN30" s="280"/>
      <c r="BP30" s="150">
        <f t="shared" si="30"/>
        <v>22</v>
      </c>
      <c r="BQ30" s="116" t="s">
        <v>323</v>
      </c>
      <c r="BR30" s="133">
        <v>23</v>
      </c>
      <c r="BS30" s="304">
        <f t="shared" si="91"/>
        <v>29032.258064516092</v>
      </c>
      <c r="BT30" s="196">
        <v>3225.8064516129034</v>
      </c>
      <c r="BU30" s="198">
        <f t="shared" si="92"/>
        <v>327.94</v>
      </c>
      <c r="BV30" s="137">
        <f t="shared" si="31"/>
        <v>3553.75</v>
      </c>
      <c r="BW30" s="137">
        <f t="shared" si="32"/>
        <v>3553.75</v>
      </c>
      <c r="BX30" s="137">
        <f t="shared" si="33"/>
        <v>6.0796986518636</v>
      </c>
      <c r="BY30" s="199" cm="1">
        <f t="array" ref="BY30">+ROUND(IF(BX30&lt;1,interpoler($A$5:$A$24,$B$5:$B$24,(BQ30-$B$1)),interpoler($C$5:$C$24,$D$5:$D$24,BX30))+$BV$2,6)</f>
        <v>3.5472999999999998E-2</v>
      </c>
      <c r="BZ30" s="137">
        <f t="shared" si="34"/>
        <v>2875.0649329915877</v>
      </c>
      <c r="CB30" s="150">
        <f t="shared" si="35"/>
        <v>0</v>
      </c>
      <c r="CC30" s="868">
        <v>45193</v>
      </c>
      <c r="CD30" s="857">
        <v>23</v>
      </c>
      <c r="CE30" s="1032">
        <v>100000</v>
      </c>
      <c r="CF30" s="1036">
        <v>0</v>
      </c>
      <c r="CG30" s="1037">
        <v>1007.5</v>
      </c>
      <c r="CH30" s="847">
        <f t="shared" si="36"/>
        <v>1007.5</v>
      </c>
      <c r="CI30" s="847">
        <f t="shared" si="37"/>
        <v>0</v>
      </c>
      <c r="CJ30" s="861">
        <f t="shared" si="139"/>
        <v>-2.4836956522000002</v>
      </c>
      <c r="CK30" s="864" cm="1">
        <f t="array" ref="CK30">+ROUND(IF(CJ30&lt;1,interpoler($A$5:$A$24,$B$5:$B$24,(CC30-$B$1)),interpoler($C$5:$C$24,$D$5:$D$24,CJ30))+$CH$2,5)</f>
        <v>2.878E-2</v>
      </c>
      <c r="CL30" s="861">
        <f t="shared" si="115"/>
        <v>0</v>
      </c>
      <c r="CM30" s="280"/>
      <c r="CN30" s="150">
        <f t="shared" si="38"/>
        <v>0</v>
      </c>
      <c r="CO30" s="714">
        <v>45284</v>
      </c>
      <c r="CP30" s="211">
        <v>23</v>
      </c>
      <c r="CQ30" s="402">
        <v>6051.65</v>
      </c>
      <c r="CR30" s="402">
        <v>3707.47</v>
      </c>
      <c r="CS30" s="927">
        <v>48.71</v>
      </c>
      <c r="CT30" s="198">
        <f t="shared" si="39"/>
        <v>3756.18</v>
      </c>
      <c r="CU30" s="198">
        <f t="shared" si="40"/>
        <v>0</v>
      </c>
      <c r="CV30" s="770">
        <f t="shared" si="128"/>
        <v>0</v>
      </c>
      <c r="CW30" s="621" cm="1">
        <f t="array" ref="CW30">+ROUND(IF(CV30&lt;1,interpoler($A$5:$A$24,$B$5:$B$24,(CO30-$B$1)),interpoler($C$5:$C$24,$D$5:$D$24,CV30))+$CT$2,5)</f>
        <v>2.7279999999999999E-2</v>
      </c>
      <c r="CX30" s="762">
        <f t="shared" si="116"/>
        <v>0</v>
      </c>
      <c r="CY30" s="448"/>
      <c r="DQ30" s="211">
        <f t="shared" si="42"/>
        <v>0</v>
      </c>
      <c r="DR30" s="524">
        <v>43024</v>
      </c>
      <c r="DS30" s="211">
        <v>23</v>
      </c>
      <c r="DT30" s="304">
        <f t="shared" si="94"/>
        <v>40247.33</v>
      </c>
      <c r="DU30" s="402">
        <v>2303.0100000000002</v>
      </c>
      <c r="DV30" s="198">
        <f t="shared" si="95"/>
        <v>473.37</v>
      </c>
      <c r="DW30" s="198">
        <f t="shared" si="43"/>
        <v>2776.38</v>
      </c>
      <c r="DX30" s="198">
        <f t="shared" si="44"/>
        <v>0</v>
      </c>
      <c r="DY30" s="198">
        <f t="shared" si="45"/>
        <v>0</v>
      </c>
      <c r="DZ30" s="199" cm="1">
        <f t="array" ref="DZ30">+ROUND(IF(DY30&lt;1,interpoler($A$5:$A$24,$B$5:$B$24,(DR30-$B$1)),interpoler($C$5:$C$24,$D$5:$D$24,DY30))+$DW$2,5)</f>
        <v>2.5680000000000001E-2</v>
      </c>
      <c r="EA30" s="198">
        <f t="shared" si="46"/>
        <v>0</v>
      </c>
      <c r="EC30" s="211"/>
      <c r="ED30" s="524"/>
      <c r="EE30" s="211"/>
      <c r="EF30" s="304"/>
      <c r="EG30" s="526"/>
      <c r="EH30" s="198"/>
      <c r="EI30" s="198"/>
      <c r="EJ30" s="198"/>
      <c r="EK30" s="198"/>
      <c r="EL30" s="199"/>
      <c r="EM30" s="198"/>
      <c r="EQ30" s="211"/>
      <c r="ER30" s="524"/>
      <c r="ES30" s="211"/>
      <c r="ET30" s="304"/>
      <c r="EU30" s="196"/>
      <c r="EV30" s="198"/>
      <c r="EW30" s="198"/>
      <c r="EX30" s="198"/>
      <c r="EY30" s="198"/>
      <c r="EZ30" s="199"/>
      <c r="FA30" s="198"/>
      <c r="FD30" s="526">
        <f t="shared" si="56"/>
        <v>0</v>
      </c>
      <c r="FE30" s="802">
        <v>45924</v>
      </c>
      <c r="FF30" s="803">
        <v>23</v>
      </c>
      <c r="FG30" s="1223">
        <v>37133.980000000003</v>
      </c>
      <c r="FH30" s="1224">
        <v>2245.9</v>
      </c>
      <c r="FI30" s="1224">
        <v>281.27999999999997</v>
      </c>
      <c r="FJ30" s="807">
        <f t="shared" si="57"/>
        <v>2527.1799999999998</v>
      </c>
      <c r="FK30" s="807">
        <f t="shared" si="58"/>
        <v>0</v>
      </c>
      <c r="FL30" s="808">
        <f t="shared" si="133"/>
        <v>-0.49728260870000002</v>
      </c>
      <c r="FM30" s="809" cm="1">
        <f t="array" ref="FM30">+ROUND(interpoler(mat_zc,Taux_ZC,FL30)+$FI$2,5)</f>
        <v>2.7779999999999999E-2</v>
      </c>
      <c r="FN30" s="810">
        <f t="shared" si="140"/>
        <v>0</v>
      </c>
      <c r="FO30" s="814"/>
      <c r="FP30" s="221"/>
      <c r="FQ30" s="526">
        <f t="shared" si="59"/>
        <v>7</v>
      </c>
      <c r="FR30" s="1151">
        <v>46745</v>
      </c>
      <c r="FS30" s="205">
        <v>8</v>
      </c>
      <c r="FT30" s="1629">
        <v>100000</v>
      </c>
      <c r="FU30" s="1626">
        <v>0</v>
      </c>
      <c r="FV30" s="1632">
        <v>877.5</v>
      </c>
      <c r="FW30" s="798">
        <f t="shared" si="60"/>
        <v>877.5</v>
      </c>
      <c r="FX30" s="798">
        <f t="shared" si="61"/>
        <v>877.5</v>
      </c>
      <c r="FY30" s="799">
        <f t="shared" si="113"/>
        <v>1.7445652199999999</v>
      </c>
      <c r="FZ30" s="800" cm="1">
        <f t="array" ref="FZ30">+ROUND(IF(FY30&lt;1,interpoler($A$5:$A$24,$B$5:$B$24,(FR30-$B$1)),interpoler(CIH!$K$72:$K$103,CIH!$L$72:$L$103,FY30))+$FV$2,5)</f>
        <v>3.2309999999999998E-2</v>
      </c>
      <c r="GA30" s="798">
        <f t="shared" si="62"/>
        <v>830.14593000000002</v>
      </c>
      <c r="GB30" s="484"/>
      <c r="GC30" s="522"/>
      <c r="GD30" s="150">
        <f t="shared" si="63"/>
        <v>6</v>
      </c>
      <c r="GE30" s="1152">
        <v>46654</v>
      </c>
      <c r="GF30" s="205">
        <v>7</v>
      </c>
      <c r="GG30" s="1329">
        <v>44353.950000000033</v>
      </c>
      <c r="GH30" s="1627">
        <v>2020.29</v>
      </c>
      <c r="GI30" s="1627">
        <v>291.62</v>
      </c>
      <c r="GJ30" s="198">
        <f t="shared" si="64"/>
        <v>2311.91</v>
      </c>
      <c r="GK30" s="198">
        <f t="shared" si="65"/>
        <v>2311.91</v>
      </c>
      <c r="GL30" s="447">
        <f t="shared" si="126"/>
        <v>1.4945652173999999</v>
      </c>
      <c r="GM30" s="199" cm="1">
        <f t="array" ref="GM30">ROUND(interpoler(mat_zc,Taux_ZC,GL30)+$GJ$2,5)</f>
        <v>3.091E-2</v>
      </c>
      <c r="GN30" s="762">
        <f t="shared" si="102"/>
        <v>2209.0810000000001</v>
      </c>
      <c r="GO30" s="198"/>
      <c r="GQ30" s="150">
        <f t="shared" si="66"/>
        <v>4</v>
      </c>
      <c r="GR30" s="1152">
        <v>46470</v>
      </c>
      <c r="GS30" s="205">
        <v>5</v>
      </c>
      <c r="GT30" s="1630">
        <v>82693.320000000007</v>
      </c>
      <c r="GU30" s="1627">
        <v>687.85</v>
      </c>
      <c r="GV30" s="1633">
        <v>640.87</v>
      </c>
      <c r="GW30" s="198">
        <f t="shared" si="67"/>
        <v>1328.72</v>
      </c>
      <c r="GX30" s="198">
        <f t="shared" si="68"/>
        <v>1328.72</v>
      </c>
      <c r="GY30" s="1042">
        <f t="shared" si="127"/>
        <v>0.99456521740000003</v>
      </c>
      <c r="GZ30" s="199" cm="1">
        <f t="array" ref="GZ30">+ROUND(IF(GY30&lt;1,interpoler($A$5:$A$24,$B$5:$B$24,(GR30-$B$1)),interpoler(CIH!$K$72:$K$103,CIH!$L$72:$L$103,GY30))+$GW$2,5)</f>
        <v>3.1629999999999998E-2</v>
      </c>
      <c r="HA30" s="212">
        <f t="shared" si="129"/>
        <v>1288.1991518208499</v>
      </c>
      <c r="HD30" s="1382">
        <f t="shared" si="70"/>
        <v>0</v>
      </c>
      <c r="HE30" s="309">
        <v>43840</v>
      </c>
      <c r="HF30" s="133">
        <v>23</v>
      </c>
      <c r="HG30" s="304">
        <f t="shared" si="103"/>
        <v>14270.909999999974</v>
      </c>
      <c r="HH30" s="196">
        <v>2187.5</v>
      </c>
      <c r="HI30" s="198">
        <f t="shared" si="104"/>
        <v>157.69</v>
      </c>
      <c r="HJ30" s="137">
        <f t="shared" si="71"/>
        <v>2345.19</v>
      </c>
      <c r="HK30" s="137">
        <f t="shared" si="72"/>
        <v>0</v>
      </c>
      <c r="HL30" s="137">
        <f t="shared" si="73"/>
        <v>0</v>
      </c>
      <c r="HM30" s="199" cm="1">
        <f t="array" ref="HM30">+ROUND(IF(HL30&lt;1,interpoler($A$5:$A$24,$B$5:$B$24,(HE30-$B$1)),interpoler($C$5:$C$24,$D$5:$D$24,HL30))+$HJ$2,5)</f>
        <v>2.7279999999999999E-2</v>
      </c>
      <c r="HN30" s="137">
        <f t="shared" si="74"/>
        <v>0</v>
      </c>
      <c r="HR30" s="150">
        <f t="shared" si="134"/>
        <v>0</v>
      </c>
      <c r="HS30" s="714"/>
      <c r="HT30" s="205"/>
      <c r="HU30" s="718"/>
      <c r="HV30" s="718"/>
      <c r="HW30" s="786"/>
      <c r="HX30" s="198"/>
      <c r="HY30" s="198"/>
      <c r="HZ30" s="198"/>
      <c r="IA30" s="199"/>
      <c r="IB30" s="212"/>
      <c r="ID30" s="150">
        <v>23</v>
      </c>
      <c r="IE30" s="714">
        <v>48121</v>
      </c>
      <c r="IF30" s="205">
        <v>23</v>
      </c>
      <c r="IG30" s="205">
        <v>36111.11</v>
      </c>
      <c r="IH30" s="766">
        <v>2777.78</v>
      </c>
      <c r="II30" s="765">
        <v>731.16</v>
      </c>
      <c r="IJ30" s="198">
        <f t="shared" si="79"/>
        <v>3508.94</v>
      </c>
      <c r="IK30" s="212">
        <f t="shared" si="80"/>
        <v>3508.94</v>
      </c>
      <c r="IL30" s="761">
        <f t="shared" si="107"/>
        <v>5.5273224043999996</v>
      </c>
      <c r="IM30" s="199" cm="1">
        <f t="array" ref="IM30">+ROUND(IF(IL30&lt;1,interpoler($A$5:$A$24,$B$5:$B$24,(IE30-$B$1)),interpoler($C$5:$C$24,$D$5:$D$24,IL30))+$IJ$2,5)</f>
        <v>4.419E-2</v>
      </c>
      <c r="IN30" s="198">
        <f t="shared" si="81"/>
        <v>2762.9652999999998</v>
      </c>
      <c r="IP30" s="1382"/>
      <c r="IQ30" s="714"/>
      <c r="IR30" s="205"/>
      <c r="IS30" s="205"/>
      <c r="IT30" s="766"/>
      <c r="IU30" s="765"/>
      <c r="IV30" s="198"/>
      <c r="IW30" s="212"/>
      <c r="IX30" s="761"/>
      <c r="IY30" s="199"/>
      <c r="IZ30" s="198"/>
      <c r="JD30" s="150"/>
      <c r="JE30" s="714"/>
      <c r="JF30" s="205"/>
      <c r="JG30" s="205"/>
      <c r="JH30" s="766"/>
      <c r="JI30" s="765"/>
      <c r="JJ30" s="198"/>
      <c r="JK30" s="212"/>
      <c r="JL30" s="761"/>
      <c r="JM30" s="199"/>
      <c r="JN30" s="198"/>
      <c r="JP30" s="150"/>
      <c r="JQ30" s="200" t="s">
        <v>3058</v>
      </c>
      <c r="JR30" s="205">
        <v>23</v>
      </c>
      <c r="JS30" s="205">
        <v>52500</v>
      </c>
      <c r="JT30" s="205">
        <v>2500</v>
      </c>
      <c r="JU30" s="765">
        <v>749.37</v>
      </c>
      <c r="JV30" s="198">
        <f t="shared" si="106"/>
        <v>3249.37</v>
      </c>
      <c r="JW30" s="212">
        <f t="shared" si="111"/>
        <v>3249.37</v>
      </c>
      <c r="JX30" s="1335">
        <f t="shared" si="117"/>
        <v>4.0489130434782608</v>
      </c>
      <c r="JY30" s="199" cm="1">
        <f t="array" ref="JY30">ROUND(interpoler(mat_zc,Taux_ZC,JX30)+$JV$2,5)</f>
        <v>4.9880000000000001E-2</v>
      </c>
      <c r="JZ30" s="198">
        <f t="shared" si="118"/>
        <v>2668.1271000000002</v>
      </c>
      <c r="KB30" s="205"/>
      <c r="KC30" s="205"/>
      <c r="KD30" s="205"/>
      <c r="KE30" s="205"/>
      <c r="KF30" s="765"/>
      <c r="KG30" s="198"/>
      <c r="KH30" s="212"/>
      <c r="KI30" s="765"/>
      <c r="KJ30" s="199"/>
      <c r="KK30" s="198"/>
      <c r="KN30" s="1603">
        <v>54098</v>
      </c>
      <c r="KO30" s="205">
        <f t="shared" si="138"/>
        <v>23</v>
      </c>
      <c r="KP30" s="1604">
        <v>53333.333333333314</v>
      </c>
      <c r="KQ30" s="1443">
        <v>6666.666666666667</v>
      </c>
      <c r="KR30" s="1443">
        <v>2383.9999999999991</v>
      </c>
      <c r="KS30" s="198">
        <f t="shared" si="135"/>
        <v>9050.67</v>
      </c>
      <c r="KT30" s="212">
        <f t="shared" si="136"/>
        <v>9050.67</v>
      </c>
      <c r="KU30" s="1607">
        <f t="shared" si="114"/>
        <v>21.87945205479452</v>
      </c>
      <c r="KV30" s="199" cm="1">
        <f t="array" ref="KV30">ROUND(interpoler(mat_zc,Taux_ZC,KU30)+$KS$2,5)</f>
        <v>4.5019999999999998E-2</v>
      </c>
      <c r="KW30" s="1612">
        <f t="shared" si="137"/>
        <v>3453.3843000000002</v>
      </c>
    </row>
    <row r="31" spans="1:309" ht="15.75" thickBot="1" x14ac:dyDescent="0.3">
      <c r="F31" s="156"/>
      <c r="G31" s="150">
        <f t="shared" si="0"/>
        <v>0</v>
      </c>
      <c r="H31" s="117">
        <v>39550</v>
      </c>
      <c r="I31" s="123">
        <v>24</v>
      </c>
      <c r="J31" s="134">
        <v>6839.9399999999905</v>
      </c>
      <c r="K31" s="134">
        <v>2480.06</v>
      </c>
      <c r="L31" s="137">
        <f t="shared" si="130"/>
        <v>106.36</v>
      </c>
      <c r="M31" s="137">
        <f t="shared" si="131"/>
        <v>2586.42</v>
      </c>
      <c r="N31" s="137">
        <f t="shared" si="3"/>
        <v>0</v>
      </c>
      <c r="O31" s="137">
        <f t="shared" si="4"/>
        <v>0</v>
      </c>
      <c r="P31" s="146" cm="1">
        <f t="array" ref="P31">+ROUND(IF(O31&lt;1,interpoler($A$5:$A$24,$B$5:$B$24,(H31-$B$1)),interpoler($C$5:$C$24,$D$5:$D$24,O31))+$M$2,6)</f>
        <v>2.8781000000000001E-2</v>
      </c>
      <c r="Q31" s="137">
        <f t="shared" si="5"/>
        <v>0</v>
      </c>
      <c r="R31" s="172"/>
      <c r="S31" s="150">
        <f t="shared" si="6"/>
        <v>0</v>
      </c>
      <c r="T31" s="194">
        <v>39550</v>
      </c>
      <c r="U31" s="204">
        <v>24</v>
      </c>
      <c r="V31" s="196">
        <v>100000</v>
      </c>
      <c r="W31" s="208">
        <v>0</v>
      </c>
      <c r="X31" s="198">
        <f t="shared" si="7"/>
        <v>1830</v>
      </c>
      <c r="Y31" s="198">
        <f t="shared" si="8"/>
        <v>1830</v>
      </c>
      <c r="Z31" s="198">
        <f t="shared" si="9"/>
        <v>0</v>
      </c>
      <c r="AA31" s="198">
        <f t="shared" si="10"/>
        <v>0</v>
      </c>
      <c r="AB31" s="199" cm="1">
        <f t="array" ref="AB31">+ROUND(IF(AA31&lt;1,interpoler($A$5:$A$24,$B$5:$B$24,(T31-$B$1)),interpoler($C$5:$C$24,$D$5:$D$24,AA31))+$Y$2,6)</f>
        <v>3.0780999999999999E-2</v>
      </c>
      <c r="AC31" s="198">
        <f t="shared" si="11"/>
        <v>0</v>
      </c>
      <c r="AE31" s="150">
        <f t="shared" si="12"/>
        <v>0</v>
      </c>
      <c r="AF31" s="117"/>
      <c r="AG31" s="123"/>
      <c r="AH31" s="124"/>
      <c r="AI31" s="124"/>
      <c r="AJ31" s="137"/>
      <c r="AK31" s="137"/>
      <c r="AL31" s="137"/>
      <c r="AM31" s="137"/>
      <c r="AN31" s="146"/>
      <c r="AO31" s="137"/>
      <c r="AP31" s="172">
        <f t="shared" si="18"/>
        <v>0</v>
      </c>
      <c r="AQ31" s="150">
        <f t="shared" si="19"/>
        <v>0</v>
      </c>
      <c r="AR31" s="194">
        <v>40798</v>
      </c>
      <c r="AS31" s="211">
        <v>33</v>
      </c>
      <c r="AT31" s="196">
        <v>62319.07</v>
      </c>
      <c r="AU31" s="196">
        <v>3870.1</v>
      </c>
      <c r="AV31" s="198">
        <f t="shared" si="20"/>
        <v>995.55</v>
      </c>
      <c r="AW31" s="198">
        <f t="shared" si="21"/>
        <v>4865.6499999999996</v>
      </c>
      <c r="AX31" s="198">
        <f t="shared" si="22"/>
        <v>0</v>
      </c>
      <c r="AY31" s="198">
        <f t="shared" si="23"/>
        <v>0</v>
      </c>
      <c r="AZ31" s="199" cm="1">
        <f t="array" ref="AZ31">+ROUND(IF(AY31&lt;1,interpoler($A$5:$A$24,$B$5:$B$24,(AR31-$B$1)),interpoler($C$5:$C$24,$D$5:$D$24,AY31))+$AW$2,6)</f>
        <v>2.9780999999999998E-2</v>
      </c>
      <c r="BA31" s="198">
        <f t="shared" si="24"/>
        <v>0</v>
      </c>
      <c r="BB31" s="221"/>
      <c r="BC31" s="599">
        <f t="shared" si="25"/>
        <v>0</v>
      </c>
      <c r="BD31" s="669">
        <v>41987</v>
      </c>
      <c r="BE31" s="526">
        <v>24</v>
      </c>
      <c r="BF31" s="841">
        <v>46262.29</v>
      </c>
      <c r="BG31" s="835">
        <v>1960.14</v>
      </c>
      <c r="BH31" s="529">
        <f t="shared" si="90"/>
        <v>558.62</v>
      </c>
      <c r="BI31" s="529">
        <f t="shared" si="26"/>
        <v>2518.7600000000002</v>
      </c>
      <c r="BJ31" s="529">
        <f t="shared" si="27"/>
        <v>0</v>
      </c>
      <c r="BK31" s="529">
        <f t="shared" si="28"/>
        <v>0</v>
      </c>
      <c r="BL31" s="530" cm="1">
        <f t="array" ref="BL31">+ROUND(IF(BK31&lt;1,interpoler($A$5:$A$24,$B$5:$B$24,(BD31-$B$1)),interpoler($C$5:$C$24,$D$5:$D$24,BK31))+$BI$2,5)</f>
        <v>3.3279999999999997E-2</v>
      </c>
      <c r="BM31" s="529">
        <f t="shared" si="29"/>
        <v>0</v>
      </c>
      <c r="BN31" s="280"/>
      <c r="BP31" s="150">
        <f t="shared" si="30"/>
        <v>23</v>
      </c>
      <c r="BQ31" s="116" t="s">
        <v>324</v>
      </c>
      <c r="BR31" s="133">
        <v>24</v>
      </c>
      <c r="BS31" s="304">
        <f t="shared" si="91"/>
        <v>25806.451612903191</v>
      </c>
      <c r="BT31" s="196">
        <v>3225.8064516129034</v>
      </c>
      <c r="BU31" s="198">
        <f t="shared" si="92"/>
        <v>288.33</v>
      </c>
      <c r="BV31" s="137">
        <f t="shared" si="31"/>
        <v>3514.14</v>
      </c>
      <c r="BW31" s="137">
        <f t="shared" si="32"/>
        <v>3514.14</v>
      </c>
      <c r="BX31" s="137">
        <f t="shared" si="33"/>
        <v>6.3296986518636</v>
      </c>
      <c r="BY31" s="199" cm="1">
        <f t="array" ref="BY31">+ROUND(IF(BX31&lt;1,interpoler($A$5:$A$24,$B$5:$B$24,(BQ31-$B$1)),interpoler($C$5:$C$24,$D$5:$D$24,BX31))+$BV$2,6)</f>
        <v>3.5598999999999999E-2</v>
      </c>
      <c r="BZ31" s="137">
        <f t="shared" si="34"/>
        <v>2816.1816709940676</v>
      </c>
      <c r="CB31" s="150">
        <f t="shared" si="35"/>
        <v>0</v>
      </c>
      <c r="CC31" s="868">
        <v>45284</v>
      </c>
      <c r="CD31" s="857">
        <v>24</v>
      </c>
      <c r="CE31" s="1032">
        <v>100000</v>
      </c>
      <c r="CF31" s="1036">
        <v>0</v>
      </c>
      <c r="CG31" s="1037">
        <v>1007.5</v>
      </c>
      <c r="CH31" s="847">
        <f t="shared" si="36"/>
        <v>1007.5</v>
      </c>
      <c r="CI31" s="847">
        <f t="shared" si="37"/>
        <v>0</v>
      </c>
      <c r="CJ31" s="861">
        <f t="shared" si="139"/>
        <v>-2.2609890109999999</v>
      </c>
      <c r="CK31" s="864" cm="1">
        <f t="array" ref="CK31">+ROUND(IF(CJ31&lt;1,interpoler($A$5:$A$24,$B$5:$B$24,(CC31-$B$1)),interpoler($C$5:$C$24,$D$5:$D$24,CJ31))+$CH$2,5)</f>
        <v>2.878E-2</v>
      </c>
      <c r="CL31" s="861">
        <f t="shared" si="115"/>
        <v>0</v>
      </c>
      <c r="CM31" s="280"/>
      <c r="CN31" s="150">
        <f t="shared" si="38"/>
        <v>0</v>
      </c>
      <c r="CO31" s="714">
        <v>45375</v>
      </c>
      <c r="CP31" s="211">
        <v>24</v>
      </c>
      <c r="CQ31" s="402">
        <v>2344.1799999999998</v>
      </c>
      <c r="CR31" s="402">
        <v>2249.12</v>
      </c>
      <c r="CS31" s="927">
        <v>18.87</v>
      </c>
      <c r="CT31" s="198">
        <f t="shared" si="39"/>
        <v>2267.9899999999998</v>
      </c>
      <c r="CU31" s="198">
        <f t="shared" si="40"/>
        <v>0</v>
      </c>
      <c r="CV31" s="770">
        <f t="shared" si="128"/>
        <v>0</v>
      </c>
      <c r="CW31" s="621" cm="1">
        <f t="array" ref="CW31">+ROUND(IF(CV31&lt;1,interpoler($A$5:$A$24,$B$5:$B$24,(CO31-$B$1)),interpoler($C$5:$C$24,$D$5:$D$24,CV31))+$CT$2,5)</f>
        <v>2.7279999999999999E-2</v>
      </c>
      <c r="CX31" s="762">
        <f t="shared" si="116"/>
        <v>0</v>
      </c>
      <c r="CY31" s="448"/>
      <c r="DQ31" s="211">
        <f t="shared" si="42"/>
        <v>0</v>
      </c>
      <c r="DR31" s="524">
        <v>43116</v>
      </c>
      <c r="DS31" s="211">
        <v>24</v>
      </c>
      <c r="DT31" s="304">
        <f t="shared" si="94"/>
        <v>38019.300000000003</v>
      </c>
      <c r="DU31" s="402">
        <v>2228.0300000000002</v>
      </c>
      <c r="DV31" s="198">
        <f t="shared" si="95"/>
        <v>447.75</v>
      </c>
      <c r="DW31" s="198">
        <f t="shared" si="43"/>
        <v>2675.78</v>
      </c>
      <c r="DX31" s="198">
        <f t="shared" si="44"/>
        <v>0</v>
      </c>
      <c r="DY31" s="198">
        <f t="shared" si="45"/>
        <v>0</v>
      </c>
      <c r="DZ31" s="199" cm="1">
        <f t="array" ref="DZ31">+ROUND(IF(DY31&lt;1,interpoler($A$5:$A$24,$B$5:$B$24,(DR31-$B$1)),interpoler($C$5:$C$24,$D$5:$D$24,DY31))+$DW$2,5)</f>
        <v>2.5680000000000001E-2</v>
      </c>
      <c r="EA31" s="198">
        <f t="shared" si="46"/>
        <v>0</v>
      </c>
      <c r="FD31" s="526">
        <f t="shared" si="56"/>
        <v>0</v>
      </c>
      <c r="FE31" s="802">
        <v>46015</v>
      </c>
      <c r="FF31" s="803">
        <v>24</v>
      </c>
      <c r="FG31" s="811">
        <v>34888.080000000002</v>
      </c>
      <c r="FH31" s="812">
        <v>2407.39</v>
      </c>
      <c r="FI31" s="812">
        <v>264.27</v>
      </c>
      <c r="FJ31" s="807">
        <f t="shared" si="57"/>
        <v>2671.66</v>
      </c>
      <c r="FK31" s="807">
        <f t="shared" si="58"/>
        <v>0</v>
      </c>
      <c r="FL31" s="808">
        <f t="shared" si="133"/>
        <v>-0.25274725269999998</v>
      </c>
      <c r="FM31" s="809" cm="1">
        <f t="array" ref="FM31">+ROUND(interpoler(mat_zc,Taux_ZC,FL31)+$FI$2,5)</f>
        <v>2.7779999999999999E-2</v>
      </c>
      <c r="FN31" s="810">
        <f t="shared" si="140"/>
        <v>0</v>
      </c>
      <c r="FO31" s="813"/>
      <c r="FP31" s="221"/>
      <c r="FQ31" s="526">
        <f t="shared" si="59"/>
        <v>8</v>
      </c>
      <c r="FR31" s="1152">
        <v>46836</v>
      </c>
      <c r="FS31" s="205">
        <v>9</v>
      </c>
      <c r="FT31" s="1630">
        <v>100000</v>
      </c>
      <c r="FU31" s="1627">
        <v>0</v>
      </c>
      <c r="FV31" s="1633">
        <v>877.5</v>
      </c>
      <c r="FW31" s="798">
        <f t="shared" si="60"/>
        <v>877.5</v>
      </c>
      <c r="FX31" s="798">
        <f t="shared" si="61"/>
        <v>877.5</v>
      </c>
      <c r="FY31" s="799">
        <f t="shared" si="113"/>
        <v>1.9945652199999999</v>
      </c>
      <c r="FZ31" s="800" cm="1">
        <f t="array" ref="FZ31">+ROUND(IF(FY31&lt;1,interpoler($A$5:$A$24,$B$5:$B$24,(FR31-$B$1)),interpoler(CIH!$K$72:$K$103,CIH!$L$72:$L$103,FY31))+$FV$2,5)</f>
        <v>3.2689999999999997E-2</v>
      </c>
      <c r="GA31" s="798">
        <f t="shared" si="62"/>
        <v>822.9683</v>
      </c>
      <c r="GB31" s="484"/>
      <c r="GC31" s="522"/>
      <c r="GD31" s="150">
        <f t="shared" si="63"/>
        <v>7</v>
      </c>
      <c r="GE31" s="1151">
        <v>46745</v>
      </c>
      <c r="GF31" s="205">
        <v>8</v>
      </c>
      <c r="GG31" s="1328">
        <v>42333.660000000033</v>
      </c>
      <c r="GH31" s="1626">
        <v>2003.29</v>
      </c>
      <c r="GI31" s="1626">
        <v>278.33999999999997</v>
      </c>
      <c r="GJ31" s="198">
        <f t="shared" si="64"/>
        <v>2281.63</v>
      </c>
      <c r="GK31" s="198">
        <f t="shared" si="65"/>
        <v>2281.63</v>
      </c>
      <c r="GL31" s="447">
        <f t="shared" si="126"/>
        <v>1.7445652173999999</v>
      </c>
      <c r="GM31" s="199" cm="1">
        <f t="array" ref="GM31">ROUND(interpoler(mat_zc,Taux_ZC,GL31)+$GJ$2,5)</f>
        <v>3.1300000000000001E-2</v>
      </c>
      <c r="GN31" s="762">
        <f t="shared" si="102"/>
        <v>2162.1916000000001</v>
      </c>
      <c r="GO31" s="198"/>
      <c r="GQ31" s="150">
        <f t="shared" si="66"/>
        <v>5</v>
      </c>
      <c r="GR31" s="1151">
        <v>46562</v>
      </c>
      <c r="GS31" s="205">
        <v>6</v>
      </c>
      <c r="GT31" s="1629">
        <v>82005.47</v>
      </c>
      <c r="GU31" s="1626">
        <v>683.23</v>
      </c>
      <c r="GV31" s="1632">
        <v>635.54</v>
      </c>
      <c r="GW31" s="198">
        <f t="shared" si="67"/>
        <v>1318.77</v>
      </c>
      <c r="GX31" s="198">
        <f t="shared" si="68"/>
        <v>1318.77</v>
      </c>
      <c r="GY31" s="1042">
        <f t="shared" si="127"/>
        <v>1.2445652173999999</v>
      </c>
      <c r="GZ31" s="199" cm="1">
        <f t="array" ref="GZ31">+ROUND(IF(GY31&lt;1,interpoler($A$5:$A$24,$B$5:$B$24,(GR31-$B$1)),interpoler(CIH!$K$72:$K$103,CIH!$L$72:$L$103,GY31))+$GW$2,5)</f>
        <v>3.2030000000000003E-2</v>
      </c>
      <c r="HA31" s="212">
        <f t="shared" si="129"/>
        <v>1268.0257455772</v>
      </c>
      <c r="HD31" s="1382">
        <f t="shared" si="70"/>
        <v>0</v>
      </c>
      <c r="HE31" s="309">
        <v>43931</v>
      </c>
      <c r="HF31" s="133">
        <v>24</v>
      </c>
      <c r="HG31" s="304">
        <f t="shared" si="103"/>
        <v>12083.409999999974</v>
      </c>
      <c r="HH31" s="196">
        <v>1979.16</v>
      </c>
      <c r="HI31" s="198">
        <f t="shared" si="104"/>
        <v>133.52000000000001</v>
      </c>
      <c r="HJ31" s="137">
        <f t="shared" si="71"/>
        <v>2112.6799999999998</v>
      </c>
      <c r="HK31" s="137">
        <f t="shared" si="72"/>
        <v>0</v>
      </c>
      <c r="HL31" s="137">
        <f t="shared" si="73"/>
        <v>0</v>
      </c>
      <c r="HM31" s="199" cm="1">
        <f t="array" ref="HM31">+ROUND(IF(HL31&lt;1,interpoler($A$5:$A$24,$B$5:$B$24,(HE31-$B$1)),interpoler($C$5:$C$24,$D$5:$D$24,HL31))+$HJ$2,5)</f>
        <v>2.7279999999999999E-2</v>
      </c>
      <c r="HN31" s="137">
        <f t="shared" si="74"/>
        <v>0</v>
      </c>
      <c r="HR31" s="150">
        <f t="shared" si="134"/>
        <v>0</v>
      </c>
      <c r="HS31" s="714"/>
      <c r="HT31" s="205"/>
      <c r="HU31" s="718"/>
      <c r="HV31" s="718"/>
      <c r="HW31" s="786"/>
      <c r="HX31" s="198"/>
      <c r="HY31" s="198"/>
      <c r="HZ31" s="198"/>
      <c r="IA31" s="199"/>
      <c r="IB31" s="212"/>
      <c r="ID31" s="150">
        <v>24</v>
      </c>
      <c r="IE31" s="714">
        <v>48304</v>
      </c>
      <c r="IF31" s="205">
        <v>24</v>
      </c>
      <c r="IG31" s="205">
        <v>33333.33</v>
      </c>
      <c r="IH31" s="766">
        <v>2777.78</v>
      </c>
      <c r="II31" s="765">
        <v>677.08</v>
      </c>
      <c r="IJ31" s="198">
        <f t="shared" si="79"/>
        <v>3454.86</v>
      </c>
      <c r="IK31" s="212">
        <f t="shared" si="80"/>
        <v>3454.86</v>
      </c>
      <c r="IL31" s="761">
        <f t="shared" si="107"/>
        <v>6.0109589040999998</v>
      </c>
      <c r="IM31" s="199" cm="1">
        <f t="array" ref="IM31">+ROUND(IF(IL31&lt;1,interpoler($A$5:$A$24,$B$5:$B$24,(IE31-$B$1)),interpoler($C$5:$C$24,$D$5:$D$24,IL31))+$IJ$2,5)</f>
        <v>4.444E-2</v>
      </c>
      <c r="IN31" s="198">
        <f t="shared" si="81"/>
        <v>2660.2505000000001</v>
      </c>
      <c r="IP31" s="1382"/>
      <c r="IQ31" s="714"/>
      <c r="IR31" s="205"/>
      <c r="IS31" s="205"/>
      <c r="IT31" s="766"/>
      <c r="IU31" s="765"/>
      <c r="IV31" s="198"/>
      <c r="IW31" s="212"/>
      <c r="IX31" s="761"/>
      <c r="IY31" s="199"/>
      <c r="IZ31" s="198"/>
      <c r="JD31" s="150"/>
      <c r="JE31" s="714"/>
      <c r="JF31" s="205"/>
      <c r="JG31" s="205"/>
      <c r="JH31" s="766"/>
      <c r="JI31" s="765"/>
      <c r="JJ31" s="198"/>
      <c r="JK31" s="212"/>
      <c r="JL31" s="761"/>
      <c r="JM31" s="199"/>
      <c r="JN31" s="198"/>
      <c r="JP31" s="150"/>
      <c r="JQ31" s="200" t="s">
        <v>3059</v>
      </c>
      <c r="JR31" s="205">
        <v>24</v>
      </c>
      <c r="JS31" s="205">
        <v>50000</v>
      </c>
      <c r="JT31" s="205">
        <v>2500</v>
      </c>
      <c r="JU31" s="765">
        <v>715.31</v>
      </c>
      <c r="JV31" s="198">
        <f t="shared" si="106"/>
        <v>3215.31</v>
      </c>
      <c r="JW31" s="212">
        <f t="shared" si="111"/>
        <v>3215.31</v>
      </c>
      <c r="JX31" s="1335">
        <f t="shared" si="117"/>
        <v>4.2989130434782608</v>
      </c>
      <c r="JY31" s="199" cm="1">
        <f t="array" ref="JY31">ROUND(interpoler(mat_zc,Taux_ZC,JX31)+$JV$2,5)</f>
        <v>5.015E-2</v>
      </c>
      <c r="JZ31" s="198">
        <f t="shared" si="118"/>
        <v>2605.3447999999999</v>
      </c>
      <c r="KB31" s="200"/>
      <c r="KC31" s="205"/>
      <c r="KD31" s="205"/>
      <c r="KE31" s="205"/>
      <c r="KF31" s="765"/>
      <c r="KG31" s="198"/>
      <c r="KH31" s="212"/>
      <c r="KI31" s="765"/>
      <c r="KJ31" s="199"/>
      <c r="KK31" s="198"/>
      <c r="KN31" s="1602">
        <v>54464</v>
      </c>
      <c r="KO31" s="205">
        <f t="shared" si="138"/>
        <v>24</v>
      </c>
      <c r="KP31" s="1605">
        <v>46666.66666666665</v>
      </c>
      <c r="KQ31" s="1442">
        <v>6666.666666666667</v>
      </c>
      <c r="KR31" s="1442">
        <v>2085.9999999999991</v>
      </c>
      <c r="KS31" s="198">
        <f t="shared" si="135"/>
        <v>8752.67</v>
      </c>
      <c r="KT31" s="212">
        <f t="shared" si="136"/>
        <v>8752.67</v>
      </c>
      <c r="KU31" s="1607">
        <f t="shared" si="114"/>
        <v>22.87945205479452</v>
      </c>
      <c r="KV31" s="199" cm="1">
        <f t="array" ref="KV31">ROUND(interpoler(mat_zc,Taux_ZC,KU31)+$KS$2,5)</f>
        <v>4.5679999999999998E-2</v>
      </c>
      <c r="KW31" s="1612">
        <f t="shared" si="137"/>
        <v>3149.9713000000002</v>
      </c>
    </row>
    <row r="32" spans="1:309" ht="15" x14ac:dyDescent="0.25">
      <c r="F32" s="156"/>
      <c r="G32" s="150">
        <f t="shared" si="0"/>
        <v>0</v>
      </c>
      <c r="H32" s="117">
        <v>39641</v>
      </c>
      <c r="I32" s="120">
        <v>25</v>
      </c>
      <c r="J32" s="134">
        <v>4359.8799999999901</v>
      </c>
      <c r="K32" s="132">
        <v>2400.7600000000002</v>
      </c>
      <c r="L32" s="137">
        <f t="shared" si="130"/>
        <v>67.8</v>
      </c>
      <c r="M32" s="137">
        <f t="shared" si="131"/>
        <v>2468.56</v>
      </c>
      <c r="N32" s="137">
        <f t="shared" si="3"/>
        <v>0</v>
      </c>
      <c r="O32" s="137">
        <f t="shared" si="4"/>
        <v>0</v>
      </c>
      <c r="P32" s="146" cm="1">
        <f t="array" ref="P32">+ROUND(IF(O32&lt;1,interpoler($A$5:$A$24,$B$5:$B$24,(H32-$B$1)),interpoler($C$5:$C$24,$D$5:$D$24,O32))+$M$2,6)</f>
        <v>2.8781000000000001E-2</v>
      </c>
      <c r="Q32" s="137">
        <f t="shared" si="5"/>
        <v>0</v>
      </c>
      <c r="R32" s="172"/>
      <c r="S32" s="150">
        <f t="shared" si="6"/>
        <v>0</v>
      </c>
      <c r="T32" s="194">
        <v>39641</v>
      </c>
      <c r="U32" s="205">
        <v>25</v>
      </c>
      <c r="V32" s="203">
        <v>100000</v>
      </c>
      <c r="W32" s="196">
        <v>0</v>
      </c>
      <c r="X32" s="198">
        <f t="shared" si="7"/>
        <v>1830</v>
      </c>
      <c r="Y32" s="198">
        <f t="shared" si="8"/>
        <v>1830</v>
      </c>
      <c r="Z32" s="198">
        <f t="shared" si="9"/>
        <v>0</v>
      </c>
      <c r="AA32" s="198">
        <f t="shared" si="10"/>
        <v>0</v>
      </c>
      <c r="AB32" s="199" cm="1">
        <f t="array" ref="AB32">+ROUND(IF(AA32&lt;1,interpoler($A$5:$A$24,$B$5:$B$24,(T32-$B$1)),interpoler($C$5:$C$24,$D$5:$D$24,AA32))+$Y$2,6)</f>
        <v>3.0780999999999999E-2</v>
      </c>
      <c r="AC32" s="198">
        <f t="shared" si="11"/>
        <v>0</v>
      </c>
      <c r="AE32" s="150">
        <f t="shared" si="12"/>
        <v>0</v>
      </c>
      <c r="AF32" s="117"/>
      <c r="AG32" s="120"/>
      <c r="AH32" s="119"/>
      <c r="AI32" s="119"/>
      <c r="AJ32" s="137"/>
      <c r="AK32" s="137"/>
      <c r="AL32" s="137"/>
      <c r="AM32" s="137"/>
      <c r="AN32" s="146"/>
      <c r="AO32" s="137"/>
      <c r="AP32" s="172">
        <f t="shared" si="18"/>
        <v>0</v>
      </c>
      <c r="AQ32" s="150">
        <f t="shared" si="19"/>
        <v>0</v>
      </c>
      <c r="AR32" s="194">
        <v>40889</v>
      </c>
      <c r="AS32" s="211">
        <v>34</v>
      </c>
      <c r="AT32" s="196">
        <f>+AT31-AU31</f>
        <v>58448.97</v>
      </c>
      <c r="AU32" s="196">
        <v>3831.32</v>
      </c>
      <c r="AV32" s="198">
        <f t="shared" si="20"/>
        <v>933.72</v>
      </c>
      <c r="AW32" s="198">
        <f t="shared" si="21"/>
        <v>4765.04</v>
      </c>
      <c r="AX32" s="198">
        <f t="shared" si="22"/>
        <v>0</v>
      </c>
      <c r="AY32" s="198">
        <f t="shared" si="23"/>
        <v>0</v>
      </c>
      <c r="AZ32" s="199" cm="1">
        <f t="array" ref="AZ32">+ROUND(IF(AY32&lt;1,interpoler($A$5:$A$24,$B$5:$B$24,(AR32-$B$1)),interpoler($C$5:$C$24,$D$5:$D$24,AY32))+$AW$2,6)</f>
        <v>2.9780999999999998E-2</v>
      </c>
      <c r="BA32" s="198">
        <f t="shared" si="24"/>
        <v>0</v>
      </c>
      <c r="BB32" s="221"/>
      <c r="BC32" s="599">
        <f t="shared" si="25"/>
        <v>0</v>
      </c>
      <c r="BD32" s="669">
        <v>42077</v>
      </c>
      <c r="BE32" s="526">
        <v>25</v>
      </c>
      <c r="BF32" s="841">
        <v>44302.15</v>
      </c>
      <c r="BG32" s="835">
        <v>2032.03</v>
      </c>
      <c r="BH32" s="529">
        <f t="shared" si="90"/>
        <v>534.95000000000005</v>
      </c>
      <c r="BI32" s="529">
        <f t="shared" si="26"/>
        <v>2566.98</v>
      </c>
      <c r="BJ32" s="529">
        <f t="shared" si="27"/>
        <v>0</v>
      </c>
      <c r="BK32" s="529">
        <f t="shared" si="28"/>
        <v>0</v>
      </c>
      <c r="BL32" s="530" cm="1">
        <f t="array" ref="BL32">+ROUND(IF(BK32&lt;1,interpoler($A$5:$A$24,$B$5:$B$24,(BD32-$B$1)),interpoler($C$5:$C$24,$D$5:$D$24,BK32))+$BI$2,5)</f>
        <v>3.3279999999999997E-2</v>
      </c>
      <c r="BM32" s="529">
        <f t="shared" si="29"/>
        <v>0</v>
      </c>
      <c r="BN32" s="280"/>
      <c r="BP32" s="150">
        <f t="shared" si="30"/>
        <v>24</v>
      </c>
      <c r="BQ32" s="116" t="s">
        <v>325</v>
      </c>
      <c r="BR32" s="133">
        <v>25</v>
      </c>
      <c r="BS32" s="304">
        <f t="shared" si="91"/>
        <v>22580.645161290289</v>
      </c>
      <c r="BT32" s="196">
        <v>3225.8064516129034</v>
      </c>
      <c r="BU32" s="198">
        <f t="shared" si="92"/>
        <v>252.29</v>
      </c>
      <c r="BV32" s="137">
        <f t="shared" si="31"/>
        <v>3478.1</v>
      </c>
      <c r="BW32" s="137">
        <f t="shared" si="32"/>
        <v>3478.1</v>
      </c>
      <c r="BX32" s="137">
        <f t="shared" si="33"/>
        <v>6.5796986518636</v>
      </c>
      <c r="BY32" s="199" cm="1">
        <f t="array" ref="BY32">+ROUND(IF(BX32&lt;1,interpoler($A$5:$A$24,$B$5:$B$24,(BQ32-$B$1)),interpoler($C$5:$C$24,$D$5:$D$24,BX32))+$BV$2,6)</f>
        <v>3.5725E-2</v>
      </c>
      <c r="BZ32" s="137">
        <f t="shared" si="34"/>
        <v>2760.8201531491518</v>
      </c>
      <c r="CB32" s="150">
        <f t="shared" si="35"/>
        <v>0</v>
      </c>
      <c r="CC32" s="868">
        <v>45375</v>
      </c>
      <c r="CD32" s="857">
        <v>25</v>
      </c>
      <c r="CE32" s="1032">
        <v>100000</v>
      </c>
      <c r="CF32" s="1036">
        <v>0</v>
      </c>
      <c r="CG32" s="1037">
        <v>1007.5</v>
      </c>
      <c r="CH32" s="847">
        <f t="shared" si="36"/>
        <v>1007.5</v>
      </c>
      <c r="CI32" s="847">
        <f t="shared" si="37"/>
        <v>0</v>
      </c>
      <c r="CJ32" s="861">
        <f t="shared" si="139"/>
        <v>-2.0109890109999999</v>
      </c>
      <c r="CK32" s="864" cm="1">
        <f t="array" ref="CK32">+ROUND(IF(CJ32&lt;1,interpoler($A$5:$A$24,$B$5:$B$24,(CC32-$B$1)),interpoler($C$5:$C$24,$D$5:$D$24,CJ32))+$CH$2,5)</f>
        <v>2.878E-2</v>
      </c>
      <c r="CL32" s="861">
        <f t="shared" si="115"/>
        <v>0</v>
      </c>
      <c r="CM32" s="280"/>
      <c r="CN32" s="150">
        <f t="shared" si="38"/>
        <v>0</v>
      </c>
      <c r="CO32" s="714">
        <v>45467</v>
      </c>
      <c r="CP32" s="211">
        <v>25</v>
      </c>
      <c r="CQ32" s="402">
        <v>95.06</v>
      </c>
      <c r="CR32" s="402">
        <v>95.06</v>
      </c>
      <c r="CS32" s="927">
        <v>0.76</v>
      </c>
      <c r="CT32" s="198">
        <f t="shared" si="39"/>
        <v>95.82</v>
      </c>
      <c r="CU32" s="198">
        <f t="shared" si="40"/>
        <v>0</v>
      </c>
      <c r="CV32" s="770">
        <f t="shared" si="128"/>
        <v>0</v>
      </c>
      <c r="CW32" s="621" cm="1">
        <f t="array" ref="CW32">+ROUND(IF(CV32&lt;1,interpoler($A$5:$A$24,$B$5:$B$24,(CO32-$B$1)),interpoler($C$5:$C$24,$D$5:$D$24,CV32))+$CT$2,5)</f>
        <v>2.7279999999999999E-2</v>
      </c>
      <c r="CX32" s="762">
        <f t="shared" si="116"/>
        <v>0</v>
      </c>
      <c r="CY32" s="448"/>
      <c r="DQ32" s="211">
        <f t="shared" si="42"/>
        <v>0</v>
      </c>
      <c r="DR32" s="524">
        <v>43206</v>
      </c>
      <c r="DS32" s="211">
        <v>25</v>
      </c>
      <c r="DT32" s="304">
        <f t="shared" si="94"/>
        <v>35854.450000000004</v>
      </c>
      <c r="DU32" s="402">
        <v>2164.85</v>
      </c>
      <c r="DV32" s="198">
        <f t="shared" si="95"/>
        <v>422.96</v>
      </c>
      <c r="DW32" s="198">
        <f t="shared" si="43"/>
        <v>2587.81</v>
      </c>
      <c r="DX32" s="198">
        <f t="shared" si="44"/>
        <v>0</v>
      </c>
      <c r="DY32" s="198">
        <f t="shared" si="45"/>
        <v>0</v>
      </c>
      <c r="DZ32" s="199" cm="1">
        <f t="array" ref="DZ32">+ROUND(IF(DY32&lt;1,interpoler($A$5:$A$24,$B$5:$B$24,(DR32-$B$1)),interpoler($C$5:$C$24,$D$5:$D$24,DY32))+$DW$2,5)</f>
        <v>2.5680000000000001E-2</v>
      </c>
      <c r="EA32" s="198">
        <f t="shared" si="46"/>
        <v>0</v>
      </c>
      <c r="ED32" s="109">
        <f>ED12-ED11</f>
        <v>91</v>
      </c>
      <c r="FD32" s="526">
        <f t="shared" si="56"/>
        <v>0</v>
      </c>
      <c r="FE32" s="802">
        <v>46105</v>
      </c>
      <c r="FF32" s="803">
        <v>25</v>
      </c>
      <c r="FG32" s="1223">
        <v>32480.69</v>
      </c>
      <c r="FH32" s="1224">
        <v>1890.68</v>
      </c>
      <c r="FI32" s="1224">
        <v>246.04</v>
      </c>
      <c r="FJ32" s="807">
        <f t="shared" si="57"/>
        <v>2136.7199999999998</v>
      </c>
      <c r="FK32" s="807">
        <f t="shared" si="58"/>
        <v>0</v>
      </c>
      <c r="FL32" s="808">
        <f t="shared" si="133"/>
        <v>-5.5555556000000004E-3</v>
      </c>
      <c r="FM32" s="809" cm="1">
        <f t="array" ref="FM32">+ROUND(interpoler(mat_zc,Taux_ZC,FL32)+$FI$2,5)</f>
        <v>2.7779999999999999E-2</v>
      </c>
      <c r="FN32" s="810">
        <f t="shared" si="140"/>
        <v>0</v>
      </c>
      <c r="FO32" s="814"/>
      <c r="FP32" s="221"/>
      <c r="FQ32" s="526">
        <f t="shared" si="59"/>
        <v>9</v>
      </c>
      <c r="FR32" s="1151">
        <v>46928</v>
      </c>
      <c r="FS32" s="205">
        <v>10</v>
      </c>
      <c r="FT32" s="1629">
        <v>100000</v>
      </c>
      <c r="FU32" s="1626">
        <v>0</v>
      </c>
      <c r="FV32" s="1632">
        <v>877.5</v>
      </c>
      <c r="FW32" s="798">
        <f t="shared" si="60"/>
        <v>877.5</v>
      </c>
      <c r="FX32" s="798">
        <f t="shared" si="61"/>
        <v>877.5</v>
      </c>
      <c r="FY32" s="799">
        <f t="shared" si="113"/>
        <v>2.2445652200000001</v>
      </c>
      <c r="FZ32" s="800" cm="1">
        <f t="array" ref="FZ32">+ROUND(IF(FY32&lt;1,interpoler($A$5:$A$24,$B$5:$B$24,(FR32-$B$1)),interpoler(CIH!$K$72:$K$103,CIH!$L$72:$L$103,FY32))+$FV$2,5)</f>
        <v>3.3079999999999998E-2</v>
      </c>
      <c r="GA32" s="798">
        <f t="shared" si="62"/>
        <v>815.68512999999996</v>
      </c>
      <c r="GB32" s="484"/>
      <c r="GC32" s="522"/>
      <c r="GD32" s="150">
        <f t="shared" si="63"/>
        <v>8</v>
      </c>
      <c r="GE32" s="1152">
        <v>46836</v>
      </c>
      <c r="GF32" s="205">
        <v>9</v>
      </c>
      <c r="GG32" s="1329">
        <v>40330.370000000032</v>
      </c>
      <c r="GH32" s="1627">
        <v>1985.32</v>
      </c>
      <c r="GI32" s="1627">
        <v>265.17</v>
      </c>
      <c r="GJ32" s="198">
        <f t="shared" si="64"/>
        <v>2250.4899999999998</v>
      </c>
      <c r="GK32" s="198">
        <f t="shared" si="65"/>
        <v>2250.4899999999998</v>
      </c>
      <c r="GL32" s="447">
        <f t="shared" si="126"/>
        <v>1.9945652173999999</v>
      </c>
      <c r="GM32" s="199" cm="1">
        <f t="array" ref="GM32">ROUND(interpoler(mat_zc,Taux_ZC,GL32)+$GJ$2,5)</f>
        <v>3.1690000000000003E-2</v>
      </c>
      <c r="GN32" s="762">
        <f t="shared" si="102"/>
        <v>2114.7170999999998</v>
      </c>
      <c r="GO32" s="198"/>
      <c r="GQ32" s="150">
        <f t="shared" si="66"/>
        <v>6</v>
      </c>
      <c r="GR32" s="1152">
        <v>46654</v>
      </c>
      <c r="GS32" s="205">
        <v>7</v>
      </c>
      <c r="GT32" s="1630">
        <v>81322.240000000005</v>
      </c>
      <c r="GU32" s="1627">
        <v>678.13</v>
      </c>
      <c r="GV32" s="1633">
        <v>630.24</v>
      </c>
      <c r="GW32" s="198">
        <f t="shared" si="67"/>
        <v>1308.3699999999999</v>
      </c>
      <c r="GX32" s="198">
        <f t="shared" si="68"/>
        <v>1308.3699999999999</v>
      </c>
      <c r="GY32" s="1042">
        <f t="shared" si="127"/>
        <v>1.4945652173999999</v>
      </c>
      <c r="GZ32" s="199" cm="1">
        <f t="array" ref="GZ32">+ROUND(IF(GY32&lt;1,interpoler($A$5:$A$24,$B$5:$B$24,(GR32-$B$1)),interpoler(CIH!$K$72:$K$103,CIH!$L$72:$L$103,GY32))+$GW$2,5)</f>
        <v>3.2419999999999997E-2</v>
      </c>
      <c r="HA32" s="212">
        <f t="shared" si="129"/>
        <v>1247.44460883542</v>
      </c>
      <c r="HD32" s="1382">
        <f t="shared" si="70"/>
        <v>0</v>
      </c>
      <c r="HE32" s="309">
        <v>44022</v>
      </c>
      <c r="HF32" s="133">
        <v>25</v>
      </c>
      <c r="HG32" s="304">
        <f t="shared" si="103"/>
        <v>10104.249999999975</v>
      </c>
      <c r="HH32" s="196">
        <v>1875</v>
      </c>
      <c r="HI32" s="198">
        <f t="shared" si="104"/>
        <v>111.65</v>
      </c>
      <c r="HJ32" s="137">
        <f t="shared" si="71"/>
        <v>1986.65</v>
      </c>
      <c r="HK32" s="137">
        <f t="shared" si="72"/>
        <v>0</v>
      </c>
      <c r="HL32" s="137">
        <f t="shared" si="73"/>
        <v>0</v>
      </c>
      <c r="HM32" s="199" cm="1">
        <f t="array" ref="HM32">+ROUND(IF(HL32&lt;1,interpoler($A$5:$A$24,$B$5:$B$24,(HE32-$B$1)),interpoler($C$5:$C$24,$D$5:$D$24,HL32))+$HJ$2,5)</f>
        <v>2.7279999999999999E-2</v>
      </c>
      <c r="HN32" s="137">
        <f t="shared" si="74"/>
        <v>0</v>
      </c>
      <c r="HR32" s="150">
        <f t="shared" si="134"/>
        <v>0</v>
      </c>
      <c r="HS32" s="714"/>
      <c r="HT32" s="205"/>
      <c r="HU32" s="718"/>
      <c r="HV32" s="718"/>
      <c r="HW32" s="786"/>
      <c r="HX32" s="198"/>
      <c r="HY32" s="198"/>
      <c r="HZ32" s="198"/>
      <c r="IA32" s="199"/>
      <c r="IB32" s="212"/>
      <c r="ID32" s="150">
        <v>25</v>
      </c>
      <c r="IE32" s="714">
        <v>48487</v>
      </c>
      <c r="IF32" s="205">
        <v>25</v>
      </c>
      <c r="IG32" s="205">
        <v>30555.56</v>
      </c>
      <c r="IH32" s="766">
        <v>2777.78</v>
      </c>
      <c r="II32" s="765">
        <v>625</v>
      </c>
      <c r="IJ32" s="198">
        <f t="shared" si="79"/>
        <v>3402.78</v>
      </c>
      <c r="IK32" s="212">
        <f t="shared" si="80"/>
        <v>3402.78</v>
      </c>
      <c r="IL32" s="761">
        <f t="shared" si="107"/>
        <v>6.5273224043999996</v>
      </c>
      <c r="IM32" s="199" cm="1">
        <f t="array" ref="IM32">+ROUND(IF(IL32&lt;1,interpoler($A$5:$A$24,$B$5:$B$24,(IE32-$B$1)),interpoler($C$5:$C$24,$D$5:$D$24,IL32))+$IJ$2,5)</f>
        <v>4.4699999999999997E-2</v>
      </c>
      <c r="IN32" s="198">
        <f t="shared" si="81"/>
        <v>2557.8177999999998</v>
      </c>
      <c r="IP32" s="1382"/>
      <c r="IQ32" s="714"/>
      <c r="IR32" s="205"/>
      <c r="IS32" s="205"/>
      <c r="IT32" s="766"/>
      <c r="IU32" s="765"/>
      <c r="IV32" s="198"/>
      <c r="IW32" s="212"/>
      <c r="IX32" s="761"/>
      <c r="IY32" s="199"/>
      <c r="IZ32" s="198"/>
      <c r="JD32" s="150"/>
      <c r="JE32" s="714"/>
      <c r="JF32" s="205"/>
      <c r="JG32" s="205"/>
      <c r="JH32" s="766"/>
      <c r="JI32" s="765"/>
      <c r="JJ32" s="198"/>
      <c r="JK32" s="212"/>
      <c r="JL32" s="761"/>
      <c r="JM32" s="199"/>
      <c r="JN32" s="198"/>
      <c r="JP32" s="150"/>
      <c r="JQ32" s="200" t="s">
        <v>3060</v>
      </c>
      <c r="JR32" s="205">
        <v>25</v>
      </c>
      <c r="JS32" s="205">
        <v>47500</v>
      </c>
      <c r="JT32" s="205">
        <v>2500</v>
      </c>
      <c r="JU32" s="765">
        <v>681.25</v>
      </c>
      <c r="JV32" s="198">
        <f t="shared" si="106"/>
        <v>3181.25</v>
      </c>
      <c r="JW32" s="212">
        <f t="shared" si="111"/>
        <v>3181.25</v>
      </c>
      <c r="JX32" s="1335">
        <f t="shared" si="117"/>
        <v>4.5489130434782608</v>
      </c>
      <c r="JY32" s="199" cm="1">
        <f t="array" ref="JY32">ROUND(interpoler(mat_zc,Taux_ZC,JX32)+$JV$2,5)</f>
        <v>5.042E-2</v>
      </c>
      <c r="JZ32" s="198">
        <f t="shared" si="118"/>
        <v>2543.4279999999999</v>
      </c>
      <c r="KB32" s="200"/>
      <c r="KC32" s="205"/>
      <c r="KD32" s="205"/>
      <c r="KE32" s="205"/>
      <c r="KF32" s="765"/>
      <c r="KG32" s="198"/>
      <c r="KH32" s="212"/>
      <c r="KI32" s="765"/>
      <c r="KJ32" s="199"/>
      <c r="KK32" s="198"/>
      <c r="KN32" s="1603">
        <v>54829</v>
      </c>
      <c r="KO32" s="205">
        <f t="shared" si="138"/>
        <v>25</v>
      </c>
      <c r="KP32" s="1604">
        <v>39999.999999999985</v>
      </c>
      <c r="KQ32" s="1443">
        <v>6666.666666666667</v>
      </c>
      <c r="KR32" s="1443">
        <v>1787.9999999999993</v>
      </c>
      <c r="KS32" s="198">
        <f t="shared" si="135"/>
        <v>8454.67</v>
      </c>
      <c r="KT32" s="212">
        <f t="shared" si="136"/>
        <v>8454.67</v>
      </c>
      <c r="KU32" s="1607">
        <f t="shared" si="114"/>
        <v>23.87945205479452</v>
      </c>
      <c r="KV32" s="199" cm="1">
        <f t="array" ref="KV32">ROUND(interpoler(mat_zc,Taux_ZC,KU32)+$KS$2,5)</f>
        <v>4.6370000000000001E-2</v>
      </c>
      <c r="KW32" s="1612">
        <f t="shared" si="137"/>
        <v>2864.3294999999998</v>
      </c>
    </row>
    <row r="33" spans="6:309" ht="15" x14ac:dyDescent="0.25">
      <c r="F33" s="156"/>
      <c r="G33" s="150">
        <f t="shared" si="0"/>
        <v>0</v>
      </c>
      <c r="H33" s="117">
        <v>39733</v>
      </c>
      <c r="I33" s="120">
        <v>26</v>
      </c>
      <c r="J33" s="134">
        <v>1959.1199999999899</v>
      </c>
      <c r="K33" s="134">
        <v>1959.12</v>
      </c>
      <c r="L33" s="137">
        <f t="shared" si="130"/>
        <v>30.46</v>
      </c>
      <c r="M33" s="137">
        <f t="shared" si="131"/>
        <v>1989.58</v>
      </c>
      <c r="N33" s="137">
        <f t="shared" si="3"/>
        <v>0</v>
      </c>
      <c r="O33" s="137">
        <f t="shared" si="4"/>
        <v>0</v>
      </c>
      <c r="P33" s="146" cm="1">
        <f t="array" ref="P33">+ROUND(IF(O33&lt;1,interpoler($A$5:$A$24,$B$5:$B$24,(H33-$B$1)),interpoler($C$5:$C$24,$D$5:$D$24,O33))+$M$2,6)</f>
        <v>2.8781000000000001E-2</v>
      </c>
      <c r="Q33" s="137">
        <f t="shared" si="5"/>
        <v>0</v>
      </c>
      <c r="R33" s="172"/>
      <c r="S33" s="150">
        <f t="shared" si="6"/>
        <v>0</v>
      </c>
      <c r="T33" s="194">
        <v>39733</v>
      </c>
      <c r="U33" s="205">
        <v>26</v>
      </c>
      <c r="V33" s="196">
        <v>100000</v>
      </c>
      <c r="W33" s="196">
        <v>1224.7</v>
      </c>
      <c r="X33" s="198">
        <f t="shared" si="7"/>
        <v>1830</v>
      </c>
      <c r="Y33" s="198">
        <f t="shared" si="8"/>
        <v>3054.7</v>
      </c>
      <c r="Z33" s="198">
        <f t="shared" si="9"/>
        <v>0</v>
      </c>
      <c r="AA33" s="198">
        <f t="shared" si="10"/>
        <v>0</v>
      </c>
      <c r="AB33" s="199" cm="1">
        <f t="array" ref="AB33">+ROUND(IF(AA33&lt;1,interpoler($A$5:$A$24,$B$5:$B$24,(T33-$B$1)),interpoler($C$5:$C$24,$D$5:$D$24,AA33))+$Y$2,6)</f>
        <v>3.0780999999999999E-2</v>
      </c>
      <c r="AC33" s="198">
        <f t="shared" si="11"/>
        <v>0</v>
      </c>
      <c r="AE33" s="150">
        <f t="shared" si="12"/>
        <v>0</v>
      </c>
      <c r="AF33" s="117"/>
      <c r="AG33" s="120"/>
      <c r="AH33" s="121"/>
      <c r="AI33" s="121"/>
      <c r="AJ33" s="137"/>
      <c r="AK33" s="137"/>
      <c r="AL33" s="137"/>
      <c r="AM33" s="137"/>
      <c r="AN33" s="146"/>
      <c r="AO33" s="137"/>
      <c r="AP33" s="172">
        <f t="shared" si="18"/>
        <v>0</v>
      </c>
      <c r="AQ33" s="150">
        <f t="shared" si="19"/>
        <v>0</v>
      </c>
      <c r="AR33" s="282">
        <v>40980</v>
      </c>
      <c r="AS33" s="283">
        <v>35</v>
      </c>
      <c r="AT33" s="284">
        <f>+AT32-AU32</f>
        <v>54617.65</v>
      </c>
      <c r="AU33" s="284">
        <v>4051.74</v>
      </c>
      <c r="AV33" s="285">
        <f t="shared" si="20"/>
        <v>872.52</v>
      </c>
      <c r="AW33" s="285">
        <f t="shared" si="21"/>
        <v>4924.26</v>
      </c>
      <c r="AX33" s="285">
        <f t="shared" si="22"/>
        <v>0</v>
      </c>
      <c r="AY33" s="285">
        <f t="shared" si="23"/>
        <v>0</v>
      </c>
      <c r="AZ33" s="286" cm="1">
        <f t="array" ref="AZ33">+ROUND(IF(AY33&lt;1,interpoler($A$5:$A$24,$B$5:$B$24,(AR33-$B$1)),interpoler($C$5:$C$24,$D$5:$D$24,AY33))+$AW$2,6)</f>
        <v>2.9780999999999998E-2</v>
      </c>
      <c r="BA33" s="285">
        <f t="shared" si="24"/>
        <v>0</v>
      </c>
      <c r="BB33" s="221"/>
      <c r="BC33" s="599">
        <f t="shared" si="25"/>
        <v>0</v>
      </c>
      <c r="BD33" s="669">
        <v>42169</v>
      </c>
      <c r="BE33" s="526">
        <v>26</v>
      </c>
      <c r="BF33" s="841">
        <v>42270.12</v>
      </c>
      <c r="BG33" s="835">
        <f>BF33-BF34</f>
        <v>2016.2000000000044</v>
      </c>
      <c r="BH33" s="529">
        <f t="shared" si="90"/>
        <v>510.41</v>
      </c>
      <c r="BI33" s="529">
        <f t="shared" si="26"/>
        <v>2526.61</v>
      </c>
      <c r="BJ33" s="529">
        <f t="shared" si="27"/>
        <v>0</v>
      </c>
      <c r="BK33" s="529">
        <f t="shared" si="28"/>
        <v>0</v>
      </c>
      <c r="BL33" s="530" cm="1">
        <f t="array" ref="BL33">+ROUND(IF(BK33&lt;1,interpoler($A$5:$A$24,$B$5:$B$24,(BD33-$B$1)),interpoler($C$5:$C$24,$D$5:$D$24,BK33))+$BI$2,5)</f>
        <v>3.3279999999999997E-2</v>
      </c>
      <c r="BM33" s="529">
        <f t="shared" si="29"/>
        <v>0</v>
      </c>
      <c r="BN33" s="280"/>
      <c r="BP33" s="150">
        <f t="shared" si="30"/>
        <v>25</v>
      </c>
      <c r="BQ33" s="116" t="s">
        <v>326</v>
      </c>
      <c r="BR33" s="133">
        <v>26</v>
      </c>
      <c r="BS33" s="304">
        <f t="shared" si="91"/>
        <v>19354.838709677388</v>
      </c>
      <c r="BT33" s="196">
        <v>3225.8064516129034</v>
      </c>
      <c r="BU33" s="198">
        <f t="shared" si="92"/>
        <v>218.62</v>
      </c>
      <c r="BV33" s="137">
        <f t="shared" si="31"/>
        <v>3444.43</v>
      </c>
      <c r="BW33" s="137">
        <f t="shared" si="32"/>
        <v>3444.43</v>
      </c>
      <c r="BX33" s="137">
        <f t="shared" si="33"/>
        <v>6.8296986518636</v>
      </c>
      <c r="BY33" s="199" cm="1">
        <f t="array" ref="BY33">+ROUND(IF(BX33&lt;1,interpoler($A$5:$A$24,$B$5:$B$24,(BQ33-$B$1)),interpoler($C$5:$C$24,$D$5:$D$24,BX33))+$BV$2,6)</f>
        <v>3.5851000000000001E-2</v>
      </c>
      <c r="BZ33" s="137">
        <f t="shared" si="34"/>
        <v>2707.9552593558474</v>
      </c>
      <c r="CB33" s="150">
        <f t="shared" si="35"/>
        <v>0</v>
      </c>
      <c r="CC33" s="868">
        <v>45467</v>
      </c>
      <c r="CD33" s="857">
        <v>26</v>
      </c>
      <c r="CE33" s="1032">
        <v>98411.98</v>
      </c>
      <c r="CF33" s="1036">
        <v>2440.02</v>
      </c>
      <c r="CG33" s="1037">
        <v>991.5</v>
      </c>
      <c r="CH33" s="847">
        <f t="shared" si="36"/>
        <v>3431.52</v>
      </c>
      <c r="CI33" s="847">
        <f t="shared" si="37"/>
        <v>0</v>
      </c>
      <c r="CJ33" s="861">
        <f t="shared" si="139"/>
        <v>-1.7391304348000001</v>
      </c>
      <c r="CK33" s="864" cm="1">
        <f t="array" ref="CK33">+ROUND(IF(CJ33&lt;1,interpoler($A$5:$A$24,$B$5:$B$24,(CC33-$B$1)),interpoler($C$5:$C$24,$D$5:$D$24,CJ33))+$CH$2,5)</f>
        <v>2.878E-2</v>
      </c>
      <c r="CL33" s="861">
        <f t="shared" si="115"/>
        <v>0</v>
      </c>
      <c r="CM33" s="280"/>
      <c r="CN33" s="150"/>
      <c r="CO33" s="714"/>
      <c r="CP33" s="211"/>
      <c r="CQ33" s="402"/>
      <c r="CR33" s="402"/>
      <c r="CS33" s="927"/>
      <c r="CT33" s="198"/>
      <c r="CU33" s="198"/>
      <c r="CV33" s="770"/>
      <c r="CW33" s="621"/>
      <c r="CX33" s="762"/>
      <c r="CY33" s="448"/>
      <c r="DQ33" s="211">
        <f t="shared" si="42"/>
        <v>0</v>
      </c>
      <c r="DR33" s="524">
        <v>43297</v>
      </c>
      <c r="DS33" s="211">
        <v>26</v>
      </c>
      <c r="DT33" s="304">
        <f t="shared" si="94"/>
        <v>33728.97</v>
      </c>
      <c r="DU33" s="402">
        <v>2125.48</v>
      </c>
      <c r="DV33" s="198">
        <f t="shared" si="95"/>
        <v>398.88</v>
      </c>
      <c r="DW33" s="198">
        <f t="shared" si="43"/>
        <v>2524.36</v>
      </c>
      <c r="DX33" s="198">
        <f t="shared" si="44"/>
        <v>0</v>
      </c>
      <c r="DY33" s="198">
        <f t="shared" si="45"/>
        <v>0</v>
      </c>
      <c r="DZ33" s="199" cm="1">
        <f t="array" ref="DZ33">+ROUND(IF(DY33&lt;1,interpoler($A$5:$A$24,$B$5:$B$24,(DR33-$B$1)),interpoler($C$5:$C$24,$D$5:$D$24,DY33))+$DW$2,5)</f>
        <v>2.5680000000000001E-2</v>
      </c>
      <c r="EA33" s="198">
        <f t="shared" si="46"/>
        <v>0</v>
      </c>
      <c r="FD33" s="526">
        <f t="shared" si="56"/>
        <v>0</v>
      </c>
      <c r="FE33" s="1151">
        <v>46105</v>
      </c>
      <c r="FF33" s="797">
        <v>26</v>
      </c>
      <c r="FG33" s="1328">
        <v>32480.69</v>
      </c>
      <c r="FH33" s="1626">
        <v>2610.62</v>
      </c>
      <c r="FI33" s="1626">
        <v>246.04</v>
      </c>
      <c r="FJ33" s="798">
        <f t="shared" si="57"/>
        <v>2856.66</v>
      </c>
      <c r="FK33" s="798">
        <f t="shared" si="58"/>
        <v>0</v>
      </c>
      <c r="FL33" s="1027">
        <v>0</v>
      </c>
      <c r="FM33" s="199" cm="1">
        <f t="array" ref="FM33">+ROUND(interpoler(mat_zc,Taux_ZC,FL33)+$FI$2,5)</f>
        <v>2.7779999999999999E-2</v>
      </c>
      <c r="FN33" s="801">
        <f t="shared" si="140"/>
        <v>0</v>
      </c>
      <c r="FO33" s="813"/>
      <c r="FP33" s="221"/>
      <c r="FQ33" s="526">
        <f t="shared" si="59"/>
        <v>10</v>
      </c>
      <c r="FR33" s="1152">
        <v>47020</v>
      </c>
      <c r="FS33" s="205">
        <v>11</v>
      </c>
      <c r="FT33" s="1630">
        <v>100000</v>
      </c>
      <c r="FU33" s="1627">
        <v>0</v>
      </c>
      <c r="FV33" s="1633">
        <v>877.5</v>
      </c>
      <c r="FW33" s="798">
        <f t="shared" si="60"/>
        <v>877.5</v>
      </c>
      <c r="FX33" s="798">
        <f t="shared" si="61"/>
        <v>877.5</v>
      </c>
      <c r="FY33" s="799">
        <f t="shared" si="113"/>
        <v>2.4945652200000001</v>
      </c>
      <c r="FZ33" s="800" cm="1">
        <f t="array" ref="FZ33">+ROUND(IF(FY33&lt;1,interpoler($A$5:$A$24,$B$5:$B$24,(FR33-$B$1)),interpoler(CIH!$K$72:$K$103,CIH!$L$72:$L$103,FY33))+$FV$2,5)</f>
        <v>3.347E-2</v>
      </c>
      <c r="GA33" s="798">
        <f t="shared" si="62"/>
        <v>808.31407999999999</v>
      </c>
      <c r="GB33" s="484"/>
      <c r="GC33" s="522"/>
      <c r="GD33" s="150">
        <f t="shared" si="63"/>
        <v>9</v>
      </c>
      <c r="GE33" s="1151">
        <v>46928</v>
      </c>
      <c r="GF33" s="205">
        <v>10</v>
      </c>
      <c r="GG33" s="1328">
        <v>38345.050000000032</v>
      </c>
      <c r="GH33" s="1626">
        <v>1968.06</v>
      </c>
      <c r="GI33" s="1626">
        <v>252.11</v>
      </c>
      <c r="GJ33" s="198">
        <f t="shared" si="64"/>
        <v>2220.17</v>
      </c>
      <c r="GK33" s="198">
        <f t="shared" si="65"/>
        <v>2220.17</v>
      </c>
      <c r="GL33" s="447">
        <f t="shared" si="126"/>
        <v>2.2445652173999999</v>
      </c>
      <c r="GM33" s="199" cm="1">
        <f t="array" ref="GM33">ROUND(interpoler(mat_zc,Taux_ZC,GL33)+$GJ$2,5)</f>
        <v>3.2079999999999997E-2</v>
      </c>
      <c r="GN33" s="762">
        <f t="shared" si="102"/>
        <v>2068.2627000000002</v>
      </c>
      <c r="GO33" s="198"/>
      <c r="GQ33" s="150">
        <f t="shared" si="66"/>
        <v>7</v>
      </c>
      <c r="GR33" s="1151">
        <v>46745</v>
      </c>
      <c r="GS33" s="205">
        <v>8</v>
      </c>
      <c r="GT33" s="1629">
        <v>80644.11</v>
      </c>
      <c r="GU33" s="1626">
        <v>672.4</v>
      </c>
      <c r="GV33" s="1632">
        <v>624.99</v>
      </c>
      <c r="GW33" s="198">
        <f t="shared" si="67"/>
        <v>1297.3900000000001</v>
      </c>
      <c r="GX33" s="198">
        <f t="shared" si="68"/>
        <v>1297.3900000000001</v>
      </c>
      <c r="GY33" s="1042">
        <f t="shared" si="127"/>
        <v>1.7445652173999999</v>
      </c>
      <c r="GZ33" s="199" cm="1">
        <f t="array" ref="GZ33">+ROUND(IF(GY33&lt;1,interpoler($A$5:$A$24,$B$5:$B$24,(GR33-$B$1)),interpoler(CIH!$K$72:$K$103,CIH!$L$72:$L$103,GY33))+$GW$2,5)</f>
        <v>3.2809999999999999E-2</v>
      </c>
      <c r="HA33" s="212">
        <f t="shared" si="129"/>
        <v>1226.34025463849</v>
      </c>
      <c r="HD33" s="1382">
        <f t="shared" si="70"/>
        <v>0</v>
      </c>
      <c r="HE33" s="309">
        <v>44114</v>
      </c>
      <c r="HF33" s="133">
        <v>26</v>
      </c>
      <c r="HG33" s="304">
        <f t="shared" si="103"/>
        <v>8229.2499999999745</v>
      </c>
      <c r="HH33" s="196">
        <v>1666.66</v>
      </c>
      <c r="HI33" s="198">
        <f t="shared" si="104"/>
        <v>90.93</v>
      </c>
      <c r="HJ33" s="137">
        <f t="shared" si="71"/>
        <v>1757.59</v>
      </c>
      <c r="HK33" s="137">
        <f t="shared" si="72"/>
        <v>0</v>
      </c>
      <c r="HL33" s="137">
        <f t="shared" si="73"/>
        <v>0</v>
      </c>
      <c r="HM33" s="199" cm="1">
        <f t="array" ref="HM33">+ROUND(IF(HL33&lt;1,interpoler($A$5:$A$24,$B$5:$B$24,(HE33-$B$1)),interpoler($C$5:$C$24,$D$5:$D$24,HL33))+$HJ$2,5)</f>
        <v>2.7279999999999999E-2</v>
      </c>
      <c r="HN33" s="137">
        <f t="shared" si="74"/>
        <v>0</v>
      </c>
      <c r="HR33" s="150">
        <f t="shared" si="134"/>
        <v>0</v>
      </c>
      <c r="HS33" s="714"/>
      <c r="HT33" s="205"/>
      <c r="HU33" s="718"/>
      <c r="HV33" s="718"/>
      <c r="HW33" s="786"/>
      <c r="HX33" s="198"/>
      <c r="HY33" s="198"/>
      <c r="HZ33" s="198"/>
      <c r="IA33" s="199"/>
      <c r="IB33" s="212"/>
      <c r="ID33" s="150">
        <v>26</v>
      </c>
      <c r="IE33" s="714">
        <v>48669</v>
      </c>
      <c r="IF33" s="205">
        <v>26</v>
      </c>
      <c r="IG33" s="205">
        <v>27777.78</v>
      </c>
      <c r="IH33" s="766">
        <v>2777.78</v>
      </c>
      <c r="II33" s="765">
        <v>571.35</v>
      </c>
      <c r="IJ33" s="198">
        <f t="shared" si="79"/>
        <v>3349.13</v>
      </c>
      <c r="IK33" s="212">
        <f t="shared" si="80"/>
        <v>3349.13</v>
      </c>
      <c r="IL33" s="761">
        <f t="shared" si="107"/>
        <v>7.0109589040999998</v>
      </c>
      <c r="IM33" s="199" cm="1">
        <f t="array" ref="IM33">+ROUND(IF(IL33&lt;1,interpoler($A$5:$A$24,$B$5:$B$24,(IE33-$B$1)),interpoler($C$5:$C$24,$D$5:$D$24,IL33))+$IJ$2,5)</f>
        <v>4.4940000000000001E-2</v>
      </c>
      <c r="IN33" s="198">
        <f t="shared" si="81"/>
        <v>2460.8395999999998</v>
      </c>
      <c r="IP33" s="1382"/>
      <c r="IQ33" s="714"/>
      <c r="IR33" s="205"/>
      <c r="IS33" s="205"/>
      <c r="IT33" s="766"/>
      <c r="IU33" s="765"/>
      <c r="IV33" s="198"/>
      <c r="IW33" s="212"/>
      <c r="IX33" s="761"/>
      <c r="IY33" s="199"/>
      <c r="IZ33" s="198"/>
      <c r="JD33" s="150"/>
      <c r="JE33" s="714"/>
      <c r="JF33" s="205"/>
      <c r="JG33" s="205"/>
      <c r="JH33" s="766"/>
      <c r="JI33" s="765"/>
      <c r="JJ33" s="198"/>
      <c r="JK33" s="212"/>
      <c r="JL33" s="761"/>
      <c r="JM33" s="199"/>
      <c r="JN33" s="198"/>
      <c r="JP33" s="150"/>
      <c r="JQ33" s="200" t="s">
        <v>3061</v>
      </c>
      <c r="JR33" s="205">
        <v>26</v>
      </c>
      <c r="JS33" s="205">
        <v>45000</v>
      </c>
      <c r="JT33" s="205">
        <v>2500</v>
      </c>
      <c r="JU33" s="765">
        <v>647.17999999999995</v>
      </c>
      <c r="JV33" s="198">
        <f t="shared" si="106"/>
        <v>3147.18</v>
      </c>
      <c r="JW33" s="212">
        <f t="shared" si="111"/>
        <v>3147.18</v>
      </c>
      <c r="JX33" s="1335">
        <f t="shared" si="117"/>
        <v>4.7989130434782608</v>
      </c>
      <c r="JY33" s="199" cm="1">
        <f t="array" ref="JY33">ROUND(interpoler(mat_zc,Taux_ZC,JX33)+$JV$2,5)</f>
        <v>5.0689999999999999E-2</v>
      </c>
      <c r="JZ33" s="198">
        <f t="shared" si="118"/>
        <v>2482.3719000000001</v>
      </c>
      <c r="KB33" s="200"/>
      <c r="KC33" s="205"/>
      <c r="KD33" s="205"/>
      <c r="KE33" s="205"/>
      <c r="KF33" s="765"/>
      <c r="KG33" s="198"/>
      <c r="KH33" s="212"/>
      <c r="KI33" s="765"/>
      <c r="KJ33" s="199"/>
      <c r="KK33" s="198"/>
      <c r="KN33" s="1602">
        <v>55194</v>
      </c>
      <c r="KO33" s="205">
        <f t="shared" si="138"/>
        <v>26</v>
      </c>
      <c r="KP33" s="1605">
        <v>33333.333333333321</v>
      </c>
      <c r="KQ33" s="1442">
        <v>6666.666666666667</v>
      </c>
      <c r="KR33" s="1442">
        <v>1489.9999999999993</v>
      </c>
      <c r="KS33" s="198">
        <f t="shared" si="135"/>
        <v>8156.67</v>
      </c>
      <c r="KT33" s="212">
        <f t="shared" si="136"/>
        <v>8156.67</v>
      </c>
      <c r="KU33" s="1607">
        <f t="shared" si="114"/>
        <v>24.87945205479452</v>
      </c>
      <c r="KV33" s="199" cm="1">
        <f t="array" ref="KV33">ROUND(interpoler(mat_zc,Taux_ZC,KU33)+$KS$2,5)</f>
        <v>4.7079999999999997E-2</v>
      </c>
      <c r="KW33" s="1612">
        <f t="shared" si="137"/>
        <v>2596.7181999999998</v>
      </c>
    </row>
    <row r="34" spans="6:309" ht="15" x14ac:dyDescent="0.25">
      <c r="F34" s="156"/>
      <c r="G34" s="150">
        <f t="shared" si="0"/>
        <v>0</v>
      </c>
      <c r="H34" s="117">
        <v>39825</v>
      </c>
      <c r="I34" s="120">
        <v>27</v>
      </c>
      <c r="J34" s="134"/>
      <c r="K34" s="134"/>
      <c r="L34" s="137"/>
      <c r="M34" s="137"/>
      <c r="N34" s="137"/>
      <c r="O34" s="137"/>
      <c r="P34" s="146"/>
      <c r="Q34" s="137"/>
      <c r="R34" s="172"/>
      <c r="S34" s="150">
        <f t="shared" si="6"/>
        <v>0</v>
      </c>
      <c r="T34" s="194">
        <v>39825</v>
      </c>
      <c r="U34" s="205">
        <v>27</v>
      </c>
      <c r="V34" s="196">
        <v>98775.3</v>
      </c>
      <c r="W34" s="196">
        <v>6352.22</v>
      </c>
      <c r="X34" s="198">
        <f t="shared" si="7"/>
        <v>1807.59</v>
      </c>
      <c r="Y34" s="198">
        <f t="shared" si="8"/>
        <v>8159.81</v>
      </c>
      <c r="Z34" s="198">
        <f t="shared" si="9"/>
        <v>0</v>
      </c>
      <c r="AA34" s="198">
        <f t="shared" si="10"/>
        <v>0</v>
      </c>
      <c r="AB34" s="199" cm="1">
        <f t="array" ref="AB34">+ROUND(IF(AA34&lt;1,interpoler($A$5:$A$24,$B$5:$B$24,(T34-$B$1)),interpoler($C$5:$C$24,$D$5:$D$24,AA34))+$Y$2,6)</f>
        <v>3.0780999999999999E-2</v>
      </c>
      <c r="AC34" s="198">
        <f t="shared" si="11"/>
        <v>0</v>
      </c>
      <c r="AE34" s="150">
        <f t="shared" si="12"/>
        <v>0</v>
      </c>
      <c r="AF34" s="117"/>
      <c r="AG34" s="120"/>
      <c r="AH34" s="121"/>
      <c r="AI34" s="121"/>
      <c r="AJ34" s="137"/>
      <c r="AK34" s="137"/>
      <c r="AL34" s="137"/>
      <c r="AM34" s="137"/>
      <c r="AN34" s="146"/>
      <c r="AO34" s="137"/>
      <c r="AP34" s="172">
        <f t="shared" si="18"/>
        <v>0</v>
      </c>
      <c r="AQ34" s="150">
        <f t="shared" si="19"/>
        <v>0</v>
      </c>
      <c r="AR34" s="194">
        <v>41072</v>
      </c>
      <c r="AS34" s="211">
        <v>36</v>
      </c>
      <c r="AT34" s="196">
        <f>+AT33-AU33</f>
        <v>50565.91</v>
      </c>
      <c r="AU34" s="196">
        <v>3533.83</v>
      </c>
      <c r="AV34" s="198">
        <f t="shared" si="20"/>
        <v>807.79</v>
      </c>
      <c r="AW34" s="198">
        <f t="shared" si="21"/>
        <v>4341.62</v>
      </c>
      <c r="AX34" s="198">
        <f t="shared" si="22"/>
        <v>0</v>
      </c>
      <c r="AY34" s="198">
        <f t="shared" si="23"/>
        <v>0</v>
      </c>
      <c r="AZ34" s="199" cm="1">
        <f t="array" ref="AZ34">+ROUND(IF(AY34&lt;1,interpoler($A$5:$A$24,$B$5:$B$24,(AR34-$B$1)),interpoler($C$5:$C$24,$D$5:$D$24,AY34))+$AW$2,6)</f>
        <v>2.9780999999999998E-2</v>
      </c>
      <c r="BA34" s="198">
        <f t="shared" si="24"/>
        <v>0</v>
      </c>
      <c r="BB34" s="221"/>
      <c r="BC34" s="599">
        <f t="shared" si="25"/>
        <v>0</v>
      </c>
      <c r="BD34" s="669">
        <v>42261</v>
      </c>
      <c r="BE34" s="526">
        <v>27</v>
      </c>
      <c r="BF34" s="841">
        <v>40253.919999999998</v>
      </c>
      <c r="BG34" s="835">
        <v>1874.36</v>
      </c>
      <c r="BH34" s="529">
        <f t="shared" si="90"/>
        <v>486.07</v>
      </c>
      <c r="BI34" s="529">
        <f t="shared" si="26"/>
        <v>2360.4299999999998</v>
      </c>
      <c r="BJ34" s="529">
        <f t="shared" si="27"/>
        <v>0</v>
      </c>
      <c r="BK34" s="529">
        <f t="shared" si="28"/>
        <v>0</v>
      </c>
      <c r="BL34" s="530" cm="1">
        <f t="array" ref="BL34">+ROUND(IF(BK34&lt;1,interpoler($A$5:$A$24,$B$5:$B$24,(BD34-$B$1)),interpoler($C$5:$C$24,$D$5:$D$24,BK34))+$BI$2,5)</f>
        <v>3.3279999999999997E-2</v>
      </c>
      <c r="BM34" s="529">
        <f t="shared" si="29"/>
        <v>0</v>
      </c>
      <c r="BN34" s="280"/>
      <c r="BP34" s="150">
        <f t="shared" si="30"/>
        <v>26</v>
      </c>
      <c r="BQ34" s="116" t="s">
        <v>327</v>
      </c>
      <c r="BR34" s="133">
        <v>27</v>
      </c>
      <c r="BS34" s="304">
        <f t="shared" si="91"/>
        <v>16129.032258064484</v>
      </c>
      <c r="BT34" s="196">
        <v>3225.8064516129034</v>
      </c>
      <c r="BU34" s="198">
        <f t="shared" si="92"/>
        <v>182.19</v>
      </c>
      <c r="BV34" s="788" t="s">
        <v>2621</v>
      </c>
      <c r="BW34" s="137" t="str">
        <f t="shared" si="32"/>
        <v>&lt;</v>
      </c>
      <c r="BX34" s="137">
        <f t="shared" si="33"/>
        <v>7.0796986518636</v>
      </c>
      <c r="BY34" s="199" cm="1">
        <f t="array" ref="BY34">+ROUND(IF(BX34&lt;1,interpoler($A$5:$A$24,$B$5:$B$24,(BQ34-$B$1)),interpoler($C$5:$C$24,$D$5:$D$24,BX34))+$BV$2,6)</f>
        <v>3.5978000000000003E-2</v>
      </c>
      <c r="BZ34" s="137" t="e">
        <f t="shared" si="34"/>
        <v>#VALUE!</v>
      </c>
      <c r="CB34" s="150">
        <f t="shared" si="35"/>
        <v>0</v>
      </c>
      <c r="CC34" s="868">
        <v>45559</v>
      </c>
      <c r="CD34" s="857">
        <v>27</v>
      </c>
      <c r="CE34" s="1032">
        <v>95152.66</v>
      </c>
      <c r="CF34" s="1036">
        <v>3666.34</v>
      </c>
      <c r="CG34" s="1037">
        <v>958.66</v>
      </c>
      <c r="CH34" s="847">
        <f t="shared" si="36"/>
        <v>4625</v>
      </c>
      <c r="CI34" s="847">
        <f t="shared" si="37"/>
        <v>0</v>
      </c>
      <c r="CJ34" s="861">
        <f t="shared" si="139"/>
        <v>-1.4891304348000001</v>
      </c>
      <c r="CK34" s="864" cm="1">
        <f t="array" ref="CK34">+ROUND(IF(CJ34&lt;1,interpoler($A$5:$A$24,$B$5:$B$24,(CC34-$B$1)),interpoler($C$5:$C$24,$D$5:$D$24,CJ34))+$CH$2,5)</f>
        <v>2.878E-2</v>
      </c>
      <c r="CL34" s="861">
        <f t="shared" si="115"/>
        <v>0</v>
      </c>
      <c r="CM34" s="280"/>
      <c r="CN34" s="150"/>
      <c r="CO34" s="714"/>
      <c r="CP34" s="211"/>
      <c r="CQ34" s="196"/>
      <c r="CR34" s="196"/>
      <c r="CS34" s="942"/>
      <c r="CT34" s="198"/>
      <c r="CU34" s="198"/>
      <c r="CV34" s="770"/>
      <c r="CW34" s="621"/>
      <c r="CX34" s="762"/>
      <c r="CY34" s="448"/>
      <c r="DQ34" s="211">
        <f t="shared" si="42"/>
        <v>0</v>
      </c>
      <c r="DR34" s="524">
        <v>43389</v>
      </c>
      <c r="DS34" s="211">
        <v>27</v>
      </c>
      <c r="DT34" s="304">
        <f t="shared" si="94"/>
        <v>31628.190000000002</v>
      </c>
      <c r="DU34" s="402">
        <v>2100.7800000000002</v>
      </c>
      <c r="DV34" s="198">
        <f t="shared" si="95"/>
        <v>375.23</v>
      </c>
      <c r="DW34" s="198">
        <f t="shared" si="43"/>
        <v>2476.0100000000002</v>
      </c>
      <c r="DX34" s="198">
        <f t="shared" si="44"/>
        <v>0</v>
      </c>
      <c r="DY34" s="198">
        <f t="shared" si="45"/>
        <v>0</v>
      </c>
      <c r="DZ34" s="199" cm="1">
        <f t="array" ref="DZ34">+ROUND(IF(DY34&lt;1,interpoler($A$5:$A$24,$B$5:$B$24,(DR34-$B$1)),interpoler($C$5:$C$24,$D$5:$D$24,DY34))+$DW$2,5)</f>
        <v>2.5680000000000001E-2</v>
      </c>
      <c r="EA34" s="198">
        <f t="shared" si="46"/>
        <v>0</v>
      </c>
      <c r="FD34" s="526">
        <f t="shared" si="56"/>
        <v>1</v>
      </c>
      <c r="FE34" s="1151">
        <v>46197</v>
      </c>
      <c r="FF34" s="797">
        <v>27</v>
      </c>
      <c r="FG34" s="1328">
        <v>29870.069999999967</v>
      </c>
      <c r="FH34" s="1626">
        <v>1853.59</v>
      </c>
      <c r="FI34" s="1626">
        <v>226.26</v>
      </c>
      <c r="FJ34" s="798">
        <f t="shared" si="57"/>
        <v>2079.85</v>
      </c>
      <c r="FK34" s="798">
        <f t="shared" si="58"/>
        <v>2079.85</v>
      </c>
      <c r="FL34" s="1027">
        <f>ROUND((IF(CJ36&lt;0,(CC37-$B$1)/(CC37-CC36)*(3/12),CJ36+0.25)),10)</f>
        <v>0.24456521740000001</v>
      </c>
      <c r="FM34" s="199" cm="1">
        <f t="array" ref="FM34">+ROUND(interpoler(mat_zc,Taux_ZC,FL34)+$FI$2,5)</f>
        <v>2.8000000000000001E-2</v>
      </c>
      <c r="FN34" s="801">
        <f t="shared" si="140"/>
        <v>2065.8506200000002</v>
      </c>
      <c r="FO34" s="814"/>
      <c r="FP34" s="221"/>
      <c r="FQ34" s="526">
        <f t="shared" si="59"/>
        <v>11</v>
      </c>
      <c r="FR34" s="1151">
        <v>47111</v>
      </c>
      <c r="FS34" s="205">
        <v>12</v>
      </c>
      <c r="FT34" s="1629">
        <v>100000</v>
      </c>
      <c r="FU34" s="1626">
        <v>0</v>
      </c>
      <c r="FV34" s="1632">
        <v>877.5</v>
      </c>
      <c r="FW34" s="798">
        <f t="shared" si="60"/>
        <v>877.5</v>
      </c>
      <c r="FX34" s="798">
        <f t="shared" si="61"/>
        <v>877.5</v>
      </c>
      <c r="FY34" s="799">
        <f t="shared" si="113"/>
        <v>2.7445652200000001</v>
      </c>
      <c r="FZ34" s="800" cm="1">
        <f t="array" ref="FZ34">+ROUND(IF(FY34&lt;1,interpoler($A$5:$A$24,$B$5:$B$24,(FR34-$B$1)),interpoler(CIH!$K$72:$K$103,CIH!$L$72:$L$103,FY34))+$FV$2,5)</f>
        <v>3.3860000000000001E-2</v>
      </c>
      <c r="GA34" s="798">
        <f t="shared" si="62"/>
        <v>800.85880999999995</v>
      </c>
      <c r="GB34" s="484"/>
      <c r="GC34" s="522"/>
      <c r="GD34" s="150">
        <f t="shared" si="63"/>
        <v>10</v>
      </c>
      <c r="GE34" s="1152">
        <v>47020</v>
      </c>
      <c r="GF34" s="205">
        <v>11</v>
      </c>
      <c r="GG34" s="1329">
        <v>36376.990000000034</v>
      </c>
      <c r="GH34" s="1627">
        <v>1949.38</v>
      </c>
      <c r="GI34" s="1627">
        <v>239.17</v>
      </c>
      <c r="GJ34" s="198">
        <f t="shared" si="64"/>
        <v>2188.5500000000002</v>
      </c>
      <c r="GK34" s="198">
        <f t="shared" si="65"/>
        <v>2188.5500000000002</v>
      </c>
      <c r="GL34" s="447">
        <f t="shared" si="126"/>
        <v>2.4945652173999999</v>
      </c>
      <c r="GM34" s="199" cm="1">
        <f t="array" ref="GM34">ROUND(interpoler(mat_zc,Taux_ZC,GL34)+$GJ$2,5)</f>
        <v>3.2469999999999999E-2</v>
      </c>
      <c r="GN34" s="762">
        <f t="shared" si="102"/>
        <v>2020.8696</v>
      </c>
      <c r="GO34" s="198"/>
      <c r="GQ34" s="150">
        <f t="shared" si="66"/>
        <v>8</v>
      </c>
      <c r="GR34" s="1152">
        <v>46836</v>
      </c>
      <c r="GS34" s="205">
        <v>9</v>
      </c>
      <c r="GT34" s="1630">
        <v>79971.710000000006</v>
      </c>
      <c r="GU34" s="1627">
        <v>666.39</v>
      </c>
      <c r="GV34" s="1633">
        <v>619.78</v>
      </c>
      <c r="GW34" s="198">
        <f t="shared" si="67"/>
        <v>1286.17</v>
      </c>
      <c r="GX34" s="198">
        <f t="shared" si="68"/>
        <v>1286.17</v>
      </c>
      <c r="GY34" s="1042">
        <f t="shared" si="127"/>
        <v>1.9945652173999999</v>
      </c>
      <c r="GZ34" s="199" cm="1">
        <f t="array" ref="GZ34">+ROUND(IF(GY34&lt;1,interpoler($A$5:$A$24,$B$5:$B$24,(GR34-$B$1)),interpoler(CIH!$K$72:$K$103,CIH!$L$72:$L$103,GY34))+$GW$2,5)</f>
        <v>3.3189999999999997E-2</v>
      </c>
      <c r="HA34" s="212">
        <f t="shared" si="129"/>
        <v>1205.0777100425</v>
      </c>
      <c r="HD34" s="1382">
        <f t="shared" si="70"/>
        <v>0</v>
      </c>
      <c r="HE34" s="309">
        <v>44206</v>
      </c>
      <c r="HF34" s="133">
        <v>27</v>
      </c>
      <c r="HG34" s="304">
        <f t="shared" si="103"/>
        <v>6562.5899999999747</v>
      </c>
      <c r="HH34" s="196">
        <v>1562.5</v>
      </c>
      <c r="HI34" s="198">
        <f t="shared" si="104"/>
        <v>72.510000000000005</v>
      </c>
      <c r="HJ34" s="137">
        <f t="shared" si="71"/>
        <v>1635.01</v>
      </c>
      <c r="HK34" s="137">
        <f t="shared" si="72"/>
        <v>0</v>
      </c>
      <c r="HL34" s="137">
        <f t="shared" si="73"/>
        <v>0</v>
      </c>
      <c r="HM34" s="199" cm="1">
        <f t="array" ref="HM34">+ROUND(IF(HL34&lt;1,interpoler($A$5:$A$24,$B$5:$B$24,(HE34-$B$1)),interpoler($C$5:$C$24,$D$5:$D$24,HL34))+$HJ$2,5)</f>
        <v>2.7279999999999999E-2</v>
      </c>
      <c r="HN34" s="137">
        <f t="shared" si="74"/>
        <v>0</v>
      </c>
      <c r="HR34" s="150">
        <f t="shared" si="134"/>
        <v>0</v>
      </c>
      <c r="HS34" s="714"/>
      <c r="HT34" s="205"/>
      <c r="HU34" s="718"/>
      <c r="HV34" s="718"/>
      <c r="HW34" s="786"/>
      <c r="HX34" s="198"/>
      <c r="HY34" s="198"/>
      <c r="HZ34" s="198"/>
      <c r="IA34" s="199"/>
      <c r="IB34" s="212"/>
      <c r="ID34" s="150">
        <v>27</v>
      </c>
      <c r="IE34" s="714">
        <v>48852</v>
      </c>
      <c r="IF34" s="205">
        <v>27</v>
      </c>
      <c r="IG34" s="205">
        <v>25000</v>
      </c>
      <c r="IH34" s="766">
        <v>2777.78</v>
      </c>
      <c r="II34" s="765">
        <v>522.26</v>
      </c>
      <c r="IJ34" s="198">
        <f t="shared" si="79"/>
        <v>3300.04</v>
      </c>
      <c r="IK34" s="212">
        <f t="shared" si="80"/>
        <v>3300.04</v>
      </c>
      <c r="IL34" s="761">
        <f t="shared" si="107"/>
        <v>7.5273224043999996</v>
      </c>
      <c r="IM34" s="199" cm="1">
        <f t="array" ref="IM34">+ROUND(IF(IL34&lt;1,interpoler($A$5:$A$24,$B$5:$B$24,(IE34-$B$1)),interpoler($C$5:$C$24,$D$5:$D$24,IL34))+$IJ$2,5)</f>
        <v>4.521E-2</v>
      </c>
      <c r="IN34" s="198">
        <f t="shared" si="81"/>
        <v>2365.7444999999998</v>
      </c>
      <c r="IP34" s="1382"/>
      <c r="IQ34" s="714"/>
      <c r="IR34" s="205"/>
      <c r="IS34" s="205"/>
      <c r="IT34" s="766"/>
      <c r="IU34" s="765"/>
      <c r="IV34" s="198"/>
      <c r="IW34" s="212"/>
      <c r="IX34" s="761"/>
      <c r="IY34" s="199"/>
      <c r="IZ34" s="198"/>
      <c r="JD34" s="150"/>
      <c r="JE34" s="714"/>
      <c r="JF34" s="205"/>
      <c r="JG34" s="205"/>
      <c r="JH34" s="766"/>
      <c r="JI34" s="765"/>
      <c r="JJ34" s="198"/>
      <c r="JK34" s="212"/>
      <c r="JL34" s="761"/>
      <c r="JM34" s="199"/>
      <c r="JN34" s="198"/>
      <c r="JP34" s="150"/>
      <c r="JQ34" s="200" t="s">
        <v>3062</v>
      </c>
      <c r="JR34" s="205">
        <v>27</v>
      </c>
      <c r="JS34" s="205">
        <v>42500</v>
      </c>
      <c r="JT34" s="205">
        <v>2500</v>
      </c>
      <c r="JU34" s="765">
        <v>613.12</v>
      </c>
      <c r="JV34" s="198">
        <f t="shared" si="106"/>
        <v>3113.12</v>
      </c>
      <c r="JW34" s="212">
        <f t="shared" si="111"/>
        <v>3113.12</v>
      </c>
      <c r="JX34" s="1335">
        <f t="shared" si="117"/>
        <v>5.0489130434782608</v>
      </c>
      <c r="JY34" s="199" cm="1">
        <f t="array" ref="JY34">ROUND(interpoler(mat_zc,Taux_ZC,JX34)+$JV$2,5)</f>
        <v>5.0930000000000003E-2</v>
      </c>
      <c r="JZ34" s="198">
        <f t="shared" si="118"/>
        <v>2422.5439999999999</v>
      </c>
      <c r="KB34" s="200"/>
      <c r="KC34" s="205"/>
      <c r="KD34" s="205"/>
      <c r="KE34" s="205"/>
      <c r="KF34" s="765"/>
      <c r="KG34" s="198"/>
      <c r="KH34" s="212"/>
      <c r="KI34" s="765"/>
      <c r="KJ34" s="199"/>
      <c r="KK34" s="198"/>
      <c r="KN34" s="1603">
        <v>55559</v>
      </c>
      <c r="KO34" s="205">
        <f t="shared" si="138"/>
        <v>27</v>
      </c>
      <c r="KP34" s="1604">
        <v>26666.666666666653</v>
      </c>
      <c r="KQ34" s="1443">
        <v>6666.666666666667</v>
      </c>
      <c r="KR34" s="1443">
        <v>1191.9999999999993</v>
      </c>
      <c r="KS34" s="198">
        <f t="shared" si="135"/>
        <v>7858.67</v>
      </c>
      <c r="KT34" s="212">
        <f t="shared" si="136"/>
        <v>7858.67</v>
      </c>
      <c r="KU34" s="1607">
        <f t="shared" si="114"/>
        <v>25.87945205479452</v>
      </c>
      <c r="KV34" s="199" cm="1">
        <f t="array" ref="KV34">ROUND(interpoler(mat_zc,Taux_ZC,KU34)+$KS$2,5)</f>
        <v>4.7809999999999998E-2</v>
      </c>
      <c r="KW34" s="1612">
        <f t="shared" si="137"/>
        <v>2346.6486</v>
      </c>
    </row>
    <row r="35" spans="6:309" ht="15.75" thickBot="1" x14ac:dyDescent="0.3">
      <c r="F35" s="156"/>
      <c r="G35" s="150">
        <f t="shared" si="0"/>
        <v>0</v>
      </c>
      <c r="H35" s="117">
        <v>39915</v>
      </c>
      <c r="I35" s="123">
        <v>28</v>
      </c>
      <c r="J35" s="134"/>
      <c r="K35" s="134"/>
      <c r="L35" s="137"/>
      <c r="M35" s="137"/>
      <c r="N35" s="137"/>
      <c r="O35" s="137"/>
      <c r="P35" s="146"/>
      <c r="Q35" s="137"/>
      <c r="R35" s="172"/>
      <c r="S35" s="150">
        <f t="shared" si="6"/>
        <v>0</v>
      </c>
      <c r="T35" s="194">
        <v>39915</v>
      </c>
      <c r="U35" s="204">
        <v>28</v>
      </c>
      <c r="V35" s="196">
        <v>92423.08</v>
      </c>
      <c r="W35" s="208">
        <v>6331.44</v>
      </c>
      <c r="X35" s="198">
        <f t="shared" si="7"/>
        <v>1691.34</v>
      </c>
      <c r="Y35" s="198">
        <f t="shared" si="8"/>
        <v>8022.78</v>
      </c>
      <c r="Z35" s="198">
        <f t="shared" si="9"/>
        <v>0</v>
      </c>
      <c r="AA35" s="198">
        <f t="shared" si="10"/>
        <v>0</v>
      </c>
      <c r="AB35" s="199" cm="1">
        <f t="array" ref="AB35">+ROUND(IF(AA35&lt;1,interpoler($A$5:$A$24,$B$5:$B$24,(T35-$B$1)),interpoler($C$5:$C$24,$D$5:$D$24,AA35))+$Y$2,6)</f>
        <v>3.0780999999999999E-2</v>
      </c>
      <c r="AC35" s="198">
        <f t="shared" si="11"/>
        <v>0</v>
      </c>
      <c r="AE35" s="150">
        <f t="shared" si="12"/>
        <v>0</v>
      </c>
      <c r="AF35" s="117"/>
      <c r="AG35" s="123"/>
      <c r="AH35" s="124"/>
      <c r="AI35" s="124"/>
      <c r="AJ35" s="137"/>
      <c r="AK35" s="137"/>
      <c r="AL35" s="137"/>
      <c r="AM35" s="137"/>
      <c r="AN35" s="146"/>
      <c r="AO35" s="137"/>
      <c r="AP35" s="172"/>
      <c r="AQ35" s="150">
        <f t="shared" si="19"/>
        <v>0</v>
      </c>
      <c r="AR35" s="194">
        <v>41164</v>
      </c>
      <c r="AS35" s="211">
        <v>37</v>
      </c>
      <c r="AT35" s="196">
        <f>+AT34-AU34</f>
        <v>47032.08</v>
      </c>
      <c r="AU35" s="196">
        <v>3531.33</v>
      </c>
      <c r="AV35" s="198">
        <f t="shared" si="20"/>
        <v>751.34</v>
      </c>
      <c r="AW35" s="198">
        <f t="shared" si="21"/>
        <v>4282.67</v>
      </c>
      <c r="AX35" s="198">
        <f t="shared" si="22"/>
        <v>0</v>
      </c>
      <c r="AY35" s="198">
        <f t="shared" si="23"/>
        <v>0</v>
      </c>
      <c r="AZ35" s="199" cm="1">
        <f t="array" ref="AZ35">+ROUND(IF(AY35&lt;1,interpoler($A$5:$A$24,$B$5:$B$24,(AR35-$B$1)),interpoler($C$5:$C$24,$D$5:$D$24,AY35))+$AW$2,6)</f>
        <v>2.9780999999999998E-2</v>
      </c>
      <c r="BA35" s="198">
        <f t="shared" si="24"/>
        <v>0</v>
      </c>
      <c r="BB35" s="221"/>
      <c r="BC35" s="599">
        <f t="shared" si="25"/>
        <v>0</v>
      </c>
      <c r="BD35" s="669">
        <v>42352</v>
      </c>
      <c r="BE35" s="526">
        <v>28</v>
      </c>
      <c r="BF35" s="841">
        <v>38379.56</v>
      </c>
      <c r="BG35" s="835">
        <v>1798.38</v>
      </c>
      <c r="BH35" s="529">
        <f t="shared" si="90"/>
        <v>463.43</v>
      </c>
      <c r="BI35" s="529">
        <f t="shared" si="26"/>
        <v>2261.81</v>
      </c>
      <c r="BJ35" s="529">
        <f t="shared" si="27"/>
        <v>0</v>
      </c>
      <c r="BK35" s="529">
        <f t="shared" si="28"/>
        <v>0</v>
      </c>
      <c r="BL35" s="530" cm="1">
        <f t="array" ref="BL35">+ROUND(IF(BK35&lt;1,interpoler($A$5:$A$24,$B$5:$B$24,(BD35-$B$1)),interpoler($C$5:$C$24,$D$5:$D$24,BK35))+$BI$2,5)</f>
        <v>3.3279999999999997E-2</v>
      </c>
      <c r="BM35" s="529">
        <f t="shared" si="29"/>
        <v>0</v>
      </c>
      <c r="BN35" s="280"/>
      <c r="BP35" s="150">
        <f t="shared" si="30"/>
        <v>27</v>
      </c>
      <c r="BQ35" s="116" t="s">
        <v>890</v>
      </c>
      <c r="BR35" s="133">
        <v>28</v>
      </c>
      <c r="BS35" s="304">
        <f t="shared" si="91"/>
        <v>12903.225806451581</v>
      </c>
      <c r="BT35" s="196">
        <v>3225.8064516129034</v>
      </c>
      <c r="BU35" s="198">
        <f t="shared" si="92"/>
        <v>142.58000000000001</v>
      </c>
      <c r="BV35" s="137">
        <f>+ROUND(BT35+BU35,2)</f>
        <v>3368.39</v>
      </c>
      <c r="BW35" s="137">
        <f t="shared" si="32"/>
        <v>3368.39</v>
      </c>
      <c r="BX35" s="137">
        <f t="shared" si="33"/>
        <v>7.3296986518636</v>
      </c>
      <c r="BY35" s="199" cm="1">
        <f t="array" ref="BY35">+ROUND(IF(BX35&lt;1,interpoler($A$5:$A$24,$B$5:$B$24,(BQ35-$B$1)),interpoler($C$5:$C$24,$D$5:$D$24,BX35))+$BV$2,6)</f>
        <v>3.6107E-2</v>
      </c>
      <c r="BZ35" s="137">
        <f t="shared" si="34"/>
        <v>2597.2349364034949</v>
      </c>
      <c r="CB35" s="150">
        <f t="shared" si="35"/>
        <v>0</v>
      </c>
      <c r="CC35" s="868">
        <v>45650</v>
      </c>
      <c r="CD35" s="857">
        <v>28</v>
      </c>
      <c r="CE35" s="1032">
        <v>91486.32</v>
      </c>
      <c r="CF35" s="1036">
        <v>2394.83</v>
      </c>
      <c r="CG35" s="1037">
        <v>921.72</v>
      </c>
      <c r="CH35" s="847">
        <f t="shared" si="36"/>
        <v>3316.55</v>
      </c>
      <c r="CI35" s="847">
        <f>+IF($B$1&gt;=CC35,0,CH35)</f>
        <v>0</v>
      </c>
      <c r="CJ35" s="861">
        <f t="shared" si="139"/>
        <v>-1.2554945055</v>
      </c>
      <c r="CK35" s="864" cm="1">
        <f t="array" ref="CK35">ROUND(interpoler(mat_zc,Taux_ZC,CJ35)+$CH$2,5)</f>
        <v>2.878E-2</v>
      </c>
      <c r="CL35" s="861">
        <f>ROUND((+CI35/(1+CK35)^CJ35),4)</f>
        <v>0</v>
      </c>
      <c r="CM35" s="280"/>
      <c r="CN35" s="280"/>
      <c r="CO35" s="280"/>
      <c r="CP35" s="280"/>
      <c r="CQ35" s="280"/>
      <c r="CR35" s="280"/>
      <c r="CS35" s="280"/>
      <c r="CT35" s="280"/>
      <c r="CU35" s="280"/>
      <c r="CV35" s="280"/>
      <c r="CW35" s="280"/>
      <c r="CX35" s="280"/>
      <c r="CY35" s="280"/>
      <c r="DQ35" s="211">
        <f t="shared" si="42"/>
        <v>0</v>
      </c>
      <c r="DR35" s="524">
        <v>43481</v>
      </c>
      <c r="DS35" s="211">
        <v>28</v>
      </c>
      <c r="DT35" s="304">
        <f t="shared" si="94"/>
        <v>29559.440000000002</v>
      </c>
      <c r="DU35" s="402">
        <v>2068.75</v>
      </c>
      <c r="DV35" s="198">
        <f t="shared" si="95"/>
        <v>351.86</v>
      </c>
      <c r="DW35" s="198">
        <f t="shared" si="43"/>
        <v>2420.61</v>
      </c>
      <c r="DX35" s="198">
        <f t="shared" si="44"/>
        <v>0</v>
      </c>
      <c r="DY35" s="198">
        <f t="shared" si="45"/>
        <v>0</v>
      </c>
      <c r="DZ35" s="199" cm="1">
        <f t="array" ref="DZ35">+ROUND(IF(DY35&lt;1,interpoler($A$5:$A$24,$B$5:$B$24,(DR35-$B$1)),interpoler($C$5:$C$24,$D$5:$D$24,DY35))+$DW$2,5)</f>
        <v>2.5680000000000001E-2</v>
      </c>
      <c r="EA35" s="198">
        <f t="shared" si="46"/>
        <v>0</v>
      </c>
      <c r="FD35" s="526">
        <f t="shared" si="56"/>
        <v>2</v>
      </c>
      <c r="FE35" s="1152">
        <v>46289</v>
      </c>
      <c r="FF35" s="797">
        <v>28</v>
      </c>
      <c r="FG35" s="1329">
        <v>28016.479999999967</v>
      </c>
      <c r="FH35" s="1627">
        <v>1844.59</v>
      </c>
      <c r="FI35" s="1627">
        <v>212.22</v>
      </c>
      <c r="FJ35" s="798">
        <f t="shared" si="57"/>
        <v>2056.81</v>
      </c>
      <c r="FK35" s="798">
        <f t="shared" si="58"/>
        <v>2056.81</v>
      </c>
      <c r="FL35" s="1027">
        <f t="shared" ref="FL35:FL51" si="141">FL34+0.25</f>
        <v>0.49456521740000003</v>
      </c>
      <c r="FM35" s="199" cm="1">
        <f t="array" ref="FM35">+ROUND(interpoler(mat_zc,Taux_ZC,FL35)+$FI$2,5)</f>
        <v>2.861E-2</v>
      </c>
      <c r="FN35" s="801">
        <f t="shared" si="140"/>
        <v>2028.3149100000001</v>
      </c>
      <c r="FO35" s="813"/>
      <c r="FP35" s="221"/>
      <c r="FQ35" s="526">
        <f t="shared" si="59"/>
        <v>12</v>
      </c>
      <c r="FR35" s="1152">
        <v>47201</v>
      </c>
      <c r="FS35" s="205">
        <v>13</v>
      </c>
      <c r="FT35" s="1630">
        <v>100000</v>
      </c>
      <c r="FU35" s="1627">
        <v>0</v>
      </c>
      <c r="FV35" s="1633">
        <v>877.5</v>
      </c>
      <c r="FW35" s="798">
        <f t="shared" si="60"/>
        <v>877.5</v>
      </c>
      <c r="FX35" s="798">
        <f t="shared" si="61"/>
        <v>877.5</v>
      </c>
      <c r="FY35" s="799">
        <f t="shared" si="113"/>
        <v>2.9945652200000001</v>
      </c>
      <c r="FZ35" s="800" cm="1">
        <f t="array" ref="FZ35">+ROUND(IF(FY35&lt;1,interpoler($A$5:$A$24,$B$5:$B$24,(FR35-$B$1)),interpoler(CIH!$K$72:$K$103,CIH!$L$72:$L$103,FY35))+$FV$2,5)</f>
        <v>3.4250000000000003E-2</v>
      </c>
      <c r="GA35" s="798">
        <f t="shared" si="62"/>
        <v>793.32295999999997</v>
      </c>
      <c r="GB35" s="484"/>
      <c r="GC35" s="522"/>
      <c r="GD35" s="150">
        <f t="shared" si="63"/>
        <v>11</v>
      </c>
      <c r="GE35" s="1151">
        <v>47111</v>
      </c>
      <c r="GF35" s="205">
        <v>12</v>
      </c>
      <c r="GG35" s="1328">
        <v>34427.610000000037</v>
      </c>
      <c r="GH35" s="1626">
        <v>1928.41</v>
      </c>
      <c r="GI35" s="1626">
        <v>226.36</v>
      </c>
      <c r="GJ35" s="198">
        <f t="shared" si="64"/>
        <v>2154.77</v>
      </c>
      <c r="GK35" s="198">
        <f t="shared" si="65"/>
        <v>2154.77</v>
      </c>
      <c r="GL35" s="447">
        <f t="shared" si="126"/>
        <v>2.7445652173999999</v>
      </c>
      <c r="GM35" s="199" cm="1">
        <f t="array" ref="GM35">ROUND(interpoler(mat_zc,Taux_ZC,GL35)+$GJ$2,5)</f>
        <v>3.286E-2</v>
      </c>
      <c r="GN35" s="762">
        <f t="shared" si="102"/>
        <v>1971.8016</v>
      </c>
      <c r="GO35" s="198"/>
      <c r="GQ35" s="150">
        <f t="shared" si="66"/>
        <v>9</v>
      </c>
      <c r="GR35" s="1151">
        <v>46928</v>
      </c>
      <c r="GS35" s="205">
        <v>10</v>
      </c>
      <c r="GT35" s="1629">
        <v>79305.320000000007</v>
      </c>
      <c r="GU35" s="1626">
        <v>660.59</v>
      </c>
      <c r="GV35" s="1632">
        <v>614.61</v>
      </c>
      <c r="GW35" s="198">
        <f t="shared" si="67"/>
        <v>1275.2</v>
      </c>
      <c r="GX35" s="198">
        <f t="shared" si="68"/>
        <v>1275.2</v>
      </c>
      <c r="GY35" s="1042">
        <f t="shared" si="127"/>
        <v>2.2445652173999999</v>
      </c>
      <c r="GZ35" s="199" cm="1">
        <f t="array" ref="GZ35">+ROUND(IF(GY35&lt;1,interpoler($A$5:$A$24,$B$5:$B$24,(GR35-$B$1)),interpoler(CIH!$K$72:$K$103,CIH!$L$72:$L$103,GY35))+$GW$2,5)</f>
        <v>3.3579999999999999E-2</v>
      </c>
      <c r="HA35" s="212">
        <f t="shared" si="129"/>
        <v>1184.0827186684601</v>
      </c>
      <c r="HD35" s="1382">
        <f t="shared" si="70"/>
        <v>0</v>
      </c>
      <c r="HE35" s="309">
        <v>44296</v>
      </c>
      <c r="HF35" s="133">
        <v>28</v>
      </c>
      <c r="HG35" s="304">
        <f t="shared" si="103"/>
        <v>5000.0899999999747</v>
      </c>
      <c r="HH35" s="196">
        <v>1354.16</v>
      </c>
      <c r="HI35" s="198">
        <f t="shared" si="104"/>
        <v>55.25</v>
      </c>
      <c r="HJ35" s="137">
        <f t="shared" si="71"/>
        <v>1409.41</v>
      </c>
      <c r="HK35" s="137">
        <f t="shared" si="72"/>
        <v>0</v>
      </c>
      <c r="HL35" s="137">
        <f t="shared" si="73"/>
        <v>0</v>
      </c>
      <c r="HM35" s="199" cm="1">
        <f t="array" ref="HM35">+ROUND(IF(HL35&lt;1,interpoler($A$5:$A$24,$B$5:$B$24,(HE35-$B$1)),interpoler($C$5:$C$24,$D$5:$D$24,HL35))+$HJ$2,5)</f>
        <v>2.7279999999999999E-2</v>
      </c>
      <c r="HN35" s="137">
        <f t="shared" si="74"/>
        <v>0</v>
      </c>
      <c r="HR35" s="150">
        <f t="shared" si="134"/>
        <v>0</v>
      </c>
      <c r="HS35" s="714"/>
      <c r="HT35" s="205"/>
      <c r="HU35" s="718"/>
      <c r="HV35" s="718"/>
      <c r="HW35" s="786"/>
      <c r="HX35" s="198"/>
      <c r="HY35" s="198"/>
      <c r="HZ35" s="198"/>
      <c r="IA35" s="199"/>
      <c r="IB35" s="212"/>
      <c r="ID35" s="150">
        <v>28</v>
      </c>
      <c r="IE35" s="714">
        <v>49034</v>
      </c>
      <c r="IF35" s="205">
        <v>28</v>
      </c>
      <c r="IG35" s="205">
        <v>22222.22</v>
      </c>
      <c r="IH35" s="766">
        <v>2777.78</v>
      </c>
      <c r="II35" s="765">
        <v>467.47</v>
      </c>
      <c r="IJ35" s="198">
        <f t="shared" si="79"/>
        <v>3245.25</v>
      </c>
      <c r="IK35" s="212">
        <f t="shared" si="80"/>
        <v>3245.25</v>
      </c>
      <c r="IL35" s="761">
        <f t="shared" si="107"/>
        <v>8.0109589041000007</v>
      </c>
      <c r="IM35" s="199" cm="1">
        <f t="array" ref="IM35">+ROUND(IF(IL35&lt;1,interpoler($A$5:$A$24,$B$5:$B$24,(IE35-$B$1)),interpoler($C$5:$C$24,$D$5:$D$24,IL35))+$IJ$2,5)</f>
        <v>4.546E-2</v>
      </c>
      <c r="IN35" s="198">
        <f t="shared" si="81"/>
        <v>2272.8836000000001</v>
      </c>
      <c r="IP35" s="1382"/>
      <c r="IQ35" s="714"/>
      <c r="IR35" s="205"/>
      <c r="IS35" s="205"/>
      <c r="IT35" s="766"/>
      <c r="IU35" s="765"/>
      <c r="IV35" s="198"/>
      <c r="IW35" s="212"/>
      <c r="IX35" s="761"/>
      <c r="IY35" s="199"/>
      <c r="IZ35" s="198"/>
      <c r="JD35" s="150"/>
      <c r="JE35" s="714"/>
      <c r="JF35" s="205"/>
      <c r="JG35" s="205"/>
      <c r="JH35" s="766"/>
      <c r="JI35" s="765"/>
      <c r="JJ35" s="198"/>
      <c r="JK35" s="212"/>
      <c r="JL35" s="761"/>
      <c r="JM35" s="199"/>
      <c r="JN35" s="198"/>
      <c r="JP35" s="150"/>
      <c r="JQ35" s="200" t="s">
        <v>3063</v>
      </c>
      <c r="JR35" s="205">
        <v>28</v>
      </c>
      <c r="JS35" s="205">
        <v>0</v>
      </c>
      <c r="JT35" s="205">
        <v>42500</v>
      </c>
      <c r="JU35" s="765">
        <v>579.05999999999995</v>
      </c>
      <c r="JV35" s="198">
        <f t="shared" si="106"/>
        <v>43079.06</v>
      </c>
      <c r="JW35" s="212">
        <f>+IF($B$1&gt;=JQ35,0,JV35)</f>
        <v>43079.06</v>
      </c>
      <c r="JX35" s="1335">
        <f t="shared" si="117"/>
        <v>5.2989130434782608</v>
      </c>
      <c r="JY35" s="199" cm="1">
        <f t="array" ref="JY35">ROUND(interpoler(mat_zc,Taux_ZC,JX35)+$JV$2,5)</f>
        <v>5.1069999999999997E-2</v>
      </c>
      <c r="JZ35" s="198">
        <f t="shared" si="118"/>
        <v>33085.830199999997</v>
      </c>
      <c r="KB35" s="200"/>
      <c r="KC35" s="205"/>
      <c r="KD35" s="205"/>
      <c r="KE35" s="205"/>
      <c r="KF35" s="765"/>
      <c r="KG35" s="198"/>
      <c r="KH35" s="212"/>
      <c r="KI35" s="765"/>
      <c r="KJ35" s="199"/>
      <c r="KK35" s="198"/>
      <c r="KN35" s="1602">
        <v>55925</v>
      </c>
      <c r="KO35" s="205">
        <f t="shared" si="138"/>
        <v>28</v>
      </c>
      <c r="KP35" s="1605">
        <v>19999.999999999985</v>
      </c>
      <c r="KQ35" s="1442">
        <v>6666.666666666667</v>
      </c>
      <c r="KR35" s="1442">
        <v>893.99999999999932</v>
      </c>
      <c r="KS35" s="198">
        <f t="shared" si="135"/>
        <v>7560.67</v>
      </c>
      <c r="KT35" s="212">
        <f t="shared" si="136"/>
        <v>7560.67</v>
      </c>
      <c r="KU35" s="1607">
        <f t="shared" si="114"/>
        <v>26.87945205479452</v>
      </c>
      <c r="KV35" s="199" cm="1">
        <f t="array" ref="KV35">ROUND(interpoler(mat_zc,Taux_ZC,KU35)+$KS$2,5)</f>
        <v>4.8570000000000002E-2</v>
      </c>
      <c r="KW35" s="1612">
        <f t="shared" si="137"/>
        <v>2113.0641999999998</v>
      </c>
    </row>
    <row r="36" spans="6:309" ht="15" x14ac:dyDescent="0.25">
      <c r="F36" s="156"/>
      <c r="G36" s="150">
        <f t="shared" si="0"/>
        <v>0</v>
      </c>
      <c r="H36" s="117">
        <v>40006</v>
      </c>
      <c r="I36" s="120">
        <v>29</v>
      </c>
      <c r="J36" s="132"/>
      <c r="K36" s="154"/>
      <c r="L36" s="151"/>
      <c r="M36" s="151"/>
      <c r="N36" s="151"/>
      <c r="O36" s="151"/>
      <c r="P36" s="151"/>
      <c r="Q36" s="151"/>
      <c r="R36" s="172"/>
      <c r="S36" s="150">
        <f t="shared" si="6"/>
        <v>0</v>
      </c>
      <c r="T36" s="194">
        <v>40006</v>
      </c>
      <c r="U36" s="205">
        <v>29</v>
      </c>
      <c r="V36" s="196">
        <v>86091.64</v>
      </c>
      <c r="W36" s="196">
        <v>6528.85</v>
      </c>
      <c r="X36" s="198">
        <f t="shared" si="7"/>
        <v>1575.48</v>
      </c>
      <c r="Y36" s="198">
        <f t="shared" si="8"/>
        <v>8104.33</v>
      </c>
      <c r="Z36" s="198">
        <f t="shared" si="9"/>
        <v>0</v>
      </c>
      <c r="AA36" s="198">
        <f t="shared" si="10"/>
        <v>0</v>
      </c>
      <c r="AB36" s="199" cm="1">
        <f t="array" ref="AB36">+ROUND(IF(AA36&lt;1,interpoler($A$5:$A$24,$B$5:$B$24,(T36-$B$1)),interpoler($C$5:$C$24,$D$5:$D$24,AA36))+$Y$2,6)</f>
        <v>3.0780999999999999E-2</v>
      </c>
      <c r="AC36" s="198">
        <f t="shared" si="11"/>
        <v>0</v>
      </c>
      <c r="AE36" s="150">
        <f t="shared" si="12"/>
        <v>0</v>
      </c>
      <c r="AF36" s="117"/>
      <c r="AG36" s="120"/>
      <c r="AH36" s="121"/>
      <c r="AI36" s="121"/>
      <c r="AJ36" s="137"/>
      <c r="AK36" s="137"/>
      <c r="AL36" s="137"/>
      <c r="AM36" s="137"/>
      <c r="AN36" s="146"/>
      <c r="AO36" s="137"/>
      <c r="AP36" s="172"/>
      <c r="AQ36" s="150">
        <f t="shared" si="19"/>
        <v>0</v>
      </c>
      <c r="AR36" s="194">
        <v>41255</v>
      </c>
      <c r="AS36" s="211">
        <v>38</v>
      </c>
      <c r="AT36" s="196">
        <f>+AT35-AU35</f>
        <v>43500.75</v>
      </c>
      <c r="AU36" s="196">
        <v>3192.81</v>
      </c>
      <c r="AV36" s="198">
        <f t="shared" si="20"/>
        <v>694.92</v>
      </c>
      <c r="AW36" s="198">
        <f t="shared" si="21"/>
        <v>3887.73</v>
      </c>
      <c r="AX36" s="198">
        <f t="shared" si="22"/>
        <v>0</v>
      </c>
      <c r="AY36" s="198">
        <f t="shared" si="23"/>
        <v>0</v>
      </c>
      <c r="AZ36" s="199" cm="1">
        <f t="array" ref="AZ36">+ROUND(IF(AY36&lt;1,interpoler($A$5:$A$24,$B$5:$B$24,(AR36-$B$1)),interpoler($C$5:$C$24,$D$5:$D$24,AY36))+$AW$2,6)</f>
        <v>2.9780999999999998E-2</v>
      </c>
      <c r="BA36" s="198">
        <f t="shared" si="24"/>
        <v>0</v>
      </c>
      <c r="BB36" s="221"/>
      <c r="BC36" s="599">
        <f t="shared" si="25"/>
        <v>0</v>
      </c>
      <c r="BD36" s="669">
        <v>42443</v>
      </c>
      <c r="BE36" s="526">
        <v>29</v>
      </c>
      <c r="BF36" s="841">
        <v>36581.18</v>
      </c>
      <c r="BG36" s="835">
        <v>1835.479112</v>
      </c>
      <c r="BH36" s="529">
        <f t="shared" si="90"/>
        <v>441.72</v>
      </c>
      <c r="BI36" s="529">
        <f t="shared" si="26"/>
        <v>2277.1999999999998</v>
      </c>
      <c r="BJ36" s="529">
        <f t="shared" si="27"/>
        <v>0</v>
      </c>
      <c r="BK36" s="529">
        <f t="shared" si="28"/>
        <v>0</v>
      </c>
      <c r="BL36" s="530" cm="1">
        <f t="array" ref="BL36">+ROUND(IF(BK36&lt;1,interpoler($A$5:$A$24,$B$5:$B$24,(BD36-$B$1)),interpoler($C$5:$C$24,$D$5:$D$24,BK36))+$BI$2,5)</f>
        <v>3.3279999999999997E-2</v>
      </c>
      <c r="BM36" s="529">
        <f t="shared" si="29"/>
        <v>0</v>
      </c>
      <c r="BN36" s="280"/>
      <c r="BP36" s="150">
        <f t="shared" si="30"/>
        <v>28</v>
      </c>
      <c r="BQ36" s="116" t="s">
        <v>891</v>
      </c>
      <c r="BR36" s="133">
        <v>29</v>
      </c>
      <c r="BS36" s="304">
        <f t="shared" si="91"/>
        <v>9677.4193548386775</v>
      </c>
      <c r="BT36" s="196">
        <v>3225.8064516129034</v>
      </c>
      <c r="BU36" s="198">
        <f t="shared" si="92"/>
        <v>108.12</v>
      </c>
      <c r="BV36" s="137">
        <f>+ROUND(BT36+BU36,2)</f>
        <v>3333.93</v>
      </c>
      <c r="BW36" s="137">
        <f t="shared" si="32"/>
        <v>3333.93</v>
      </c>
      <c r="BX36" s="137">
        <f t="shared" si="33"/>
        <v>7.5796986518636</v>
      </c>
      <c r="BY36" s="199" cm="1">
        <f t="array" ref="BY36">+ROUND(IF(BX36&lt;1,interpoler($A$5:$A$24,$B$5:$B$24,(BQ36-$B$1)),interpoler($C$5:$C$24,$D$5:$D$24,BX36))+$BV$2,6)</f>
        <v>3.6235000000000003E-2</v>
      </c>
      <c r="BZ36" s="137">
        <f t="shared" si="34"/>
        <v>2545.5846730544276</v>
      </c>
      <c r="CB36" s="150">
        <f t="shared" si="35"/>
        <v>0</v>
      </c>
      <c r="CC36" s="868">
        <v>46105</v>
      </c>
      <c r="CD36" s="857">
        <v>1</v>
      </c>
      <c r="CE36" s="1032">
        <v>75262.25</v>
      </c>
      <c r="CF36" s="1036">
        <v>3235.96</v>
      </c>
      <c r="CG36" s="1037">
        <v>758.26</v>
      </c>
      <c r="CH36" s="847">
        <f t="shared" si="36"/>
        <v>3994.22</v>
      </c>
      <c r="CI36" s="847">
        <f>+IF($B$1&gt;=CC36,0,CH36)</f>
        <v>0</v>
      </c>
      <c r="CJ36" s="861">
        <f t="shared" si="139"/>
        <v>-1.0989011E-3</v>
      </c>
      <c r="CK36" s="864" cm="1">
        <f t="array" ref="CK36">ROUND(interpoler(mat_zc,Taux_ZC,CJ36)+$CH$2,5)</f>
        <v>2.878E-2</v>
      </c>
      <c r="CL36" s="861">
        <f t="shared" si="115"/>
        <v>0</v>
      </c>
      <c r="CM36" s="280"/>
      <c r="CN36" s="280"/>
      <c r="CO36" s="280"/>
      <c r="CP36" s="280"/>
      <c r="CQ36" s="280"/>
      <c r="CR36" s="280"/>
      <c r="CS36" s="280"/>
      <c r="CT36" s="280"/>
      <c r="CU36" s="280"/>
      <c r="CV36" s="280"/>
      <c r="CW36" s="280"/>
      <c r="CX36" s="280"/>
      <c r="CY36" s="280"/>
      <c r="DQ36" s="211">
        <f t="shared" si="42"/>
        <v>0</v>
      </c>
      <c r="DR36" s="524">
        <v>43571</v>
      </c>
      <c r="DS36" s="211">
        <v>29</v>
      </c>
      <c r="DT36" s="304">
        <f t="shared" si="94"/>
        <v>27520.7</v>
      </c>
      <c r="DU36" s="402">
        <v>2038.74</v>
      </c>
      <c r="DV36" s="198">
        <f t="shared" si="95"/>
        <v>328.85</v>
      </c>
      <c r="DW36" s="198">
        <f t="shared" si="43"/>
        <v>2367.59</v>
      </c>
      <c r="DX36" s="198">
        <f t="shared" si="44"/>
        <v>0</v>
      </c>
      <c r="DY36" s="198">
        <f t="shared" si="45"/>
        <v>0</v>
      </c>
      <c r="DZ36" s="199" cm="1">
        <f t="array" ref="DZ36">+ROUND(IF(DY36&lt;1,interpoler($A$5:$A$24,$B$5:$B$24,(DR36-$B$1)),interpoler($C$5:$C$24,$D$5:$D$24,DY36))+$DW$2,5)</f>
        <v>2.5680000000000001E-2</v>
      </c>
      <c r="EA36" s="198">
        <f t="shared" si="46"/>
        <v>0</v>
      </c>
      <c r="FD36" s="526">
        <f t="shared" si="56"/>
        <v>3</v>
      </c>
      <c r="FE36" s="1151">
        <v>46380</v>
      </c>
      <c r="FF36" s="797">
        <v>29</v>
      </c>
      <c r="FG36" s="1328">
        <v>26171.889999999967</v>
      </c>
      <c r="FH36" s="1626">
        <v>1825.29</v>
      </c>
      <c r="FI36" s="1626">
        <v>198.25</v>
      </c>
      <c r="FJ36" s="798">
        <f t="shared" si="57"/>
        <v>2023.54</v>
      </c>
      <c r="FK36" s="798">
        <f t="shared" si="58"/>
        <v>2023.54</v>
      </c>
      <c r="FL36" s="1027">
        <f t="shared" si="141"/>
        <v>0.74456521740000003</v>
      </c>
      <c r="FM36" s="199" cm="1">
        <f t="array" ref="FM36">+ROUND(interpoler(mat_zc,Taux_ZC,FL36)+$FI$2,5)</f>
        <v>2.9149999999999999E-2</v>
      </c>
      <c r="FN36" s="801">
        <f t="shared" si="140"/>
        <v>1980.70868</v>
      </c>
      <c r="FO36" s="814"/>
      <c r="FP36" s="221"/>
      <c r="FQ36" s="526">
        <f t="shared" si="59"/>
        <v>13</v>
      </c>
      <c r="FR36" s="1151">
        <v>47293</v>
      </c>
      <c r="FS36" s="205">
        <v>14</v>
      </c>
      <c r="FT36" s="1629">
        <v>100000</v>
      </c>
      <c r="FU36" s="1626">
        <v>0</v>
      </c>
      <c r="FV36" s="1632">
        <v>877.5</v>
      </c>
      <c r="FW36" s="798">
        <f t="shared" si="60"/>
        <v>877.5</v>
      </c>
      <c r="FX36" s="798">
        <f t="shared" si="61"/>
        <v>877.5</v>
      </c>
      <c r="FY36" s="799">
        <f t="shared" si="113"/>
        <v>3.2445652200000001</v>
      </c>
      <c r="FZ36" s="800" cm="1">
        <f t="array" ref="FZ36">+ROUND(IF(FY36&lt;1,interpoler($A$5:$A$24,$B$5:$B$24,(FR36-$B$1)),interpoler(CIH!$K$72:$K$103,CIH!$L$72:$L$103,FY36))+$FV$2,5)</f>
        <v>3.4639999999999997E-2</v>
      </c>
      <c r="GA36" s="798">
        <f t="shared" si="62"/>
        <v>785.71019999999999</v>
      </c>
      <c r="GB36" s="484"/>
      <c r="GC36" s="522"/>
      <c r="GD36" s="150">
        <f t="shared" si="63"/>
        <v>12</v>
      </c>
      <c r="GE36" s="1152">
        <v>47201</v>
      </c>
      <c r="GF36" s="205">
        <v>13</v>
      </c>
      <c r="GG36" s="1329">
        <v>32499.200000000037</v>
      </c>
      <c r="GH36" s="1627">
        <v>1911.73</v>
      </c>
      <c r="GI36" s="1627">
        <v>213.68</v>
      </c>
      <c r="GJ36" s="198">
        <f t="shared" si="64"/>
        <v>2125.41</v>
      </c>
      <c r="GK36" s="198">
        <f t="shared" si="65"/>
        <v>2125.41</v>
      </c>
      <c r="GL36" s="447">
        <f t="shared" si="126"/>
        <v>2.9945652173999999</v>
      </c>
      <c r="GM36" s="199" cm="1">
        <f t="array" ref="GM36">ROUND(interpoler(mat_zc,Taux_ZC,GL36)+$GJ$2,5)</f>
        <v>3.3250000000000002E-2</v>
      </c>
      <c r="GN36" s="762">
        <f t="shared" si="102"/>
        <v>1927.0975000000001</v>
      </c>
      <c r="GO36" s="198"/>
      <c r="GQ36" s="150">
        <f t="shared" si="66"/>
        <v>10</v>
      </c>
      <c r="GR36" s="1152">
        <v>47020</v>
      </c>
      <c r="GS36" s="205">
        <v>11</v>
      </c>
      <c r="GT36" s="1630">
        <v>78644.73000000001</v>
      </c>
      <c r="GU36" s="1627">
        <v>654.33000000000004</v>
      </c>
      <c r="GV36" s="1633">
        <v>609.49</v>
      </c>
      <c r="GW36" s="198">
        <f t="shared" si="67"/>
        <v>1263.82</v>
      </c>
      <c r="GX36" s="198">
        <f t="shared" si="68"/>
        <v>1263.82</v>
      </c>
      <c r="GY36" s="1042">
        <f t="shared" si="127"/>
        <v>2.4945652173999999</v>
      </c>
      <c r="GZ36" s="199" cm="1">
        <f t="array" ref="GZ36">+ROUND(IF(GY36&lt;1,interpoler($A$5:$A$24,$B$5:$B$24,(GR36-$B$1)),interpoler(CIH!$K$72:$K$103,CIH!$L$72:$L$103,GY36))+$GW$2,5)</f>
        <v>3.397E-2</v>
      </c>
      <c r="HA36" s="212">
        <f t="shared" si="129"/>
        <v>1162.77109147548</v>
      </c>
      <c r="HD36" s="1382">
        <f t="shared" si="70"/>
        <v>0</v>
      </c>
      <c r="HE36" s="309">
        <v>44387</v>
      </c>
      <c r="HF36" s="133">
        <v>29</v>
      </c>
      <c r="HG36" s="304">
        <f t="shared" si="103"/>
        <v>3645.9299999999748</v>
      </c>
      <c r="HH36" s="196">
        <v>1250</v>
      </c>
      <c r="HI36" s="198">
        <f t="shared" si="104"/>
        <v>40.28</v>
      </c>
      <c r="HJ36" s="137">
        <f t="shared" si="71"/>
        <v>1290.28</v>
      </c>
      <c r="HK36" s="137">
        <f t="shared" si="72"/>
        <v>0</v>
      </c>
      <c r="HL36" s="137">
        <f t="shared" si="73"/>
        <v>0</v>
      </c>
      <c r="HM36" s="199" cm="1">
        <f t="array" ref="HM36">+ROUND(IF(HL36&lt;1,interpoler($A$5:$A$24,$B$5:$B$24,(HE36-$B$1)),interpoler($C$5:$C$24,$D$5:$D$24,HL36))+$HJ$2,5)</f>
        <v>2.7279999999999999E-2</v>
      </c>
      <c r="HN36" s="137">
        <f t="shared" si="74"/>
        <v>0</v>
      </c>
      <c r="HR36" s="150">
        <f t="shared" si="134"/>
        <v>0</v>
      </c>
      <c r="HS36" s="714"/>
      <c r="HT36" s="205"/>
      <c r="HU36" s="718"/>
      <c r="HV36" s="718"/>
      <c r="HW36" s="786"/>
      <c r="HX36" s="198"/>
      <c r="HY36" s="198"/>
      <c r="HZ36" s="198"/>
      <c r="IA36" s="199"/>
      <c r="IB36" s="212"/>
      <c r="ID36" s="150">
        <v>29</v>
      </c>
      <c r="IE36" s="714">
        <v>49217</v>
      </c>
      <c r="IF36" s="205">
        <v>29</v>
      </c>
      <c r="IG36" s="205">
        <v>19444.439999999999</v>
      </c>
      <c r="IH36" s="766">
        <v>2777.78</v>
      </c>
      <c r="II36" s="765">
        <v>417.81</v>
      </c>
      <c r="IJ36" s="198">
        <f t="shared" si="79"/>
        <v>3195.59</v>
      </c>
      <c r="IK36" s="212">
        <f t="shared" si="80"/>
        <v>3195.59</v>
      </c>
      <c r="IL36" s="761">
        <f t="shared" si="107"/>
        <v>8.5273224043999996</v>
      </c>
      <c r="IM36" s="199" cm="1">
        <f t="array" ref="IM36">+ROUND(IF(IL36&lt;1,interpoler($A$5:$A$24,$B$5:$B$24,(IE36-$B$1)),interpoler($C$5:$C$24,$D$5:$D$24,IL36))+$IJ$2,5)</f>
        <v>4.573E-2</v>
      </c>
      <c r="IN36" s="198">
        <f t="shared" si="81"/>
        <v>2182.4994000000002</v>
      </c>
      <c r="IP36" s="1382"/>
      <c r="IQ36" s="714"/>
      <c r="IR36" s="205"/>
      <c r="IS36" s="205"/>
      <c r="IT36" s="766"/>
      <c r="IU36" s="765"/>
      <c r="IV36" s="198"/>
      <c r="IW36" s="212"/>
      <c r="IX36" s="761"/>
      <c r="IY36" s="199"/>
      <c r="IZ36" s="198"/>
      <c r="JD36" s="150"/>
      <c r="JE36" s="714"/>
      <c r="JF36" s="205"/>
      <c r="JG36" s="205"/>
      <c r="JH36" s="766"/>
      <c r="JI36" s="765"/>
      <c r="JJ36" s="198"/>
      <c r="JK36" s="212"/>
      <c r="JL36" s="761"/>
      <c r="JM36" s="199"/>
      <c r="JN36" s="198"/>
      <c r="JP36" s="150"/>
      <c r="JQ36" s="714"/>
      <c r="JR36" s="205"/>
      <c r="JS36" s="718"/>
      <c r="JT36" s="718"/>
      <c r="JU36" s="198"/>
      <c r="JV36" s="198"/>
      <c r="JW36" s="212"/>
      <c r="JX36" s="1155"/>
      <c r="JY36" s="199"/>
      <c r="JZ36" s="198"/>
      <c r="KB36" s="714"/>
      <c r="KC36" s="205"/>
      <c r="KD36" s="718"/>
      <c r="KE36" s="718"/>
      <c r="KF36" s="198"/>
      <c r="KG36" s="198"/>
      <c r="KH36" s="212"/>
      <c r="KI36" s="765"/>
      <c r="KJ36" s="199"/>
      <c r="KK36" s="198"/>
      <c r="KN36" s="1603">
        <v>56290</v>
      </c>
      <c r="KO36" s="205">
        <f t="shared" si="138"/>
        <v>29</v>
      </c>
      <c r="KP36" s="1604">
        <v>13333.333333333318</v>
      </c>
      <c r="KQ36" s="1443">
        <v>6666.666666666667</v>
      </c>
      <c r="KR36" s="1443">
        <v>595.9999999999992</v>
      </c>
      <c r="KS36" s="198">
        <f t="shared" si="135"/>
        <v>7262.67</v>
      </c>
      <c r="KT36" s="212">
        <f t="shared" si="136"/>
        <v>7262.67</v>
      </c>
      <c r="KU36" s="1607">
        <f t="shared" si="114"/>
        <v>27.87945205479452</v>
      </c>
      <c r="KV36" s="199" cm="1">
        <f t="array" ref="KV36">ROUND(interpoler(mat_zc,Taux_ZC,KU36)+$KS$2,5)</f>
        <v>4.9360000000000001E-2</v>
      </c>
      <c r="KW36" s="1612">
        <f t="shared" si="137"/>
        <v>1895.5382999999999</v>
      </c>
    </row>
    <row r="37" spans="6:309" ht="15" x14ac:dyDescent="0.25">
      <c r="F37" s="156"/>
      <c r="G37" s="150">
        <f t="shared" si="0"/>
        <v>0</v>
      </c>
      <c r="H37" s="117">
        <v>40098</v>
      </c>
      <c r="I37" s="120">
        <v>30</v>
      </c>
      <c r="J37" s="134"/>
      <c r="K37" s="155"/>
      <c r="L37" s="151"/>
      <c r="M37" s="151"/>
      <c r="N37" s="151"/>
      <c r="O37" s="151"/>
      <c r="P37" s="151"/>
      <c r="Q37" s="151"/>
      <c r="R37" s="172"/>
      <c r="S37" s="150">
        <f t="shared" si="6"/>
        <v>0</v>
      </c>
      <c r="T37" s="194">
        <v>40098</v>
      </c>
      <c r="U37" s="205">
        <v>30</v>
      </c>
      <c r="V37" s="196">
        <v>79562.789999999994</v>
      </c>
      <c r="W37" s="196">
        <v>5890.53</v>
      </c>
      <c r="X37" s="198">
        <f t="shared" si="7"/>
        <v>1456</v>
      </c>
      <c r="Y37" s="198">
        <f t="shared" si="8"/>
        <v>7346.53</v>
      </c>
      <c r="Z37" s="198">
        <f t="shared" si="9"/>
        <v>0</v>
      </c>
      <c r="AA37" s="198">
        <f t="shared" si="10"/>
        <v>0</v>
      </c>
      <c r="AB37" s="199" cm="1">
        <f t="array" ref="AB37">+ROUND(IF(AA37&lt;1,interpoler($A$5:$A$24,$B$5:$B$24,(T37-$B$1)),interpoler($C$5:$C$24,$D$5:$D$24,AA37))+$Y$2,6)</f>
        <v>3.0780999999999999E-2</v>
      </c>
      <c r="AC37" s="198">
        <f t="shared" si="11"/>
        <v>0</v>
      </c>
      <c r="AE37" s="150">
        <f t="shared" si="12"/>
        <v>0</v>
      </c>
      <c r="AF37" s="117"/>
      <c r="AG37" s="120"/>
      <c r="AH37" s="121"/>
      <c r="AI37" s="121"/>
      <c r="AJ37" s="137"/>
      <c r="AK37" s="137"/>
      <c r="AL37" s="137"/>
      <c r="AM37" s="137"/>
      <c r="AN37" s="146"/>
      <c r="AO37" s="137"/>
      <c r="AP37" s="172"/>
      <c r="AQ37" s="150">
        <f t="shared" si="19"/>
        <v>0</v>
      </c>
      <c r="AR37" s="194">
        <v>41345</v>
      </c>
      <c r="AS37" s="211">
        <v>39</v>
      </c>
      <c r="AT37" s="196">
        <v>40307.94</v>
      </c>
      <c r="AU37" s="196">
        <v>2939.73</v>
      </c>
      <c r="AV37" s="198">
        <f t="shared" si="20"/>
        <v>643.91999999999996</v>
      </c>
      <c r="AW37" s="198">
        <f t="shared" si="21"/>
        <v>3583.65</v>
      </c>
      <c r="AX37" s="198">
        <f t="shared" si="22"/>
        <v>0</v>
      </c>
      <c r="AY37" s="198">
        <f t="shared" si="23"/>
        <v>0</v>
      </c>
      <c r="AZ37" s="199" cm="1">
        <f t="array" ref="AZ37">+ROUND(IF(AY37&lt;1,interpoler($A$5:$A$24,$B$5:$B$24,(AR37-$B$1)),interpoler($C$5:$C$24,$D$5:$D$24,AY37))+$AW$2,6)</f>
        <v>2.9780999999999998E-2</v>
      </c>
      <c r="BA37" s="198">
        <f t="shared" si="24"/>
        <v>0</v>
      </c>
      <c r="BB37" s="221"/>
      <c r="BC37" s="599">
        <f t="shared" si="25"/>
        <v>0</v>
      </c>
      <c r="BD37" s="669">
        <v>42535</v>
      </c>
      <c r="BE37" s="526">
        <v>30</v>
      </c>
      <c r="BF37" s="841">
        <v>34701</v>
      </c>
      <c r="BG37" s="835">
        <v>1896.95768</v>
      </c>
      <c r="BH37" s="529">
        <f t="shared" si="90"/>
        <v>419.01</v>
      </c>
      <c r="BI37" s="529">
        <f t="shared" si="26"/>
        <v>2315.9699999999998</v>
      </c>
      <c r="BJ37" s="529">
        <f t="shared" si="27"/>
        <v>0</v>
      </c>
      <c r="BK37" s="529">
        <f t="shared" si="28"/>
        <v>0</v>
      </c>
      <c r="BL37" s="530" cm="1">
        <f t="array" ref="BL37">+ROUND(IF(BK37&lt;1,interpoler($A$5:$A$24,$B$5:$B$24,(BD37-$B$1)),interpoler($C$5:$C$24,$D$5:$D$24,BK37))+$BI$2,5)</f>
        <v>3.3279999999999997E-2</v>
      </c>
      <c r="BM37" s="529">
        <f t="shared" si="29"/>
        <v>0</v>
      </c>
      <c r="BN37" s="280"/>
      <c r="BO37" s="307"/>
      <c r="BP37" s="150">
        <f t="shared" si="30"/>
        <v>29</v>
      </c>
      <c r="BQ37" s="116" t="s">
        <v>892</v>
      </c>
      <c r="BR37" s="133">
        <v>30</v>
      </c>
      <c r="BS37" s="304">
        <f t="shared" si="91"/>
        <v>6451.6129032257741</v>
      </c>
      <c r="BT37" s="196">
        <v>3225.8064516129034</v>
      </c>
      <c r="BU37" s="198">
        <f t="shared" si="92"/>
        <v>72.87</v>
      </c>
      <c r="BV37" s="137">
        <f>+ROUND(BT37+BU37,2)</f>
        <v>3298.68</v>
      </c>
      <c r="BW37" s="137">
        <f t="shared" si="32"/>
        <v>3298.68</v>
      </c>
      <c r="BX37" s="137">
        <f t="shared" si="33"/>
        <v>7.8296986518636</v>
      </c>
      <c r="BY37" s="199" cm="1">
        <f t="array" ref="BY37">+ROUND(IF(BX37&lt;1,interpoler($A$5:$A$24,$B$5:$B$24,(BQ37-$B$1)),interpoler($C$5:$C$24,$D$5:$D$24,BX37))+$BV$2,6)</f>
        <v>3.6364E-2</v>
      </c>
      <c r="BZ37" s="137">
        <f t="shared" si="34"/>
        <v>2493.9251081360585</v>
      </c>
      <c r="CB37" s="150">
        <f t="shared" si="35"/>
        <v>1</v>
      </c>
      <c r="CC37" s="1151">
        <v>46197</v>
      </c>
      <c r="CD37" s="905">
        <v>2</v>
      </c>
      <c r="CE37" s="1629">
        <v>72026.289999999979</v>
      </c>
      <c r="CF37" s="1626">
        <v>2221.0300000000002</v>
      </c>
      <c r="CG37" s="1632">
        <v>725.66</v>
      </c>
      <c r="CH37" s="198">
        <f t="shared" si="36"/>
        <v>2946.69</v>
      </c>
      <c r="CI37" s="198">
        <f t="shared" si="37"/>
        <v>2946.69</v>
      </c>
      <c r="CJ37" s="762">
        <f>ROUND((IF(CJ36&lt;0,(CC37-$B$1)/(CC37-CC36)*(3/12),CJ36+0.25)),10)</f>
        <v>0.24456521740000001</v>
      </c>
      <c r="CK37" s="621" cm="1">
        <f t="array" ref="CK37">ROUND(interpoler(mat_zc,Taux_ZC,CJ37)+$CH$2,5)</f>
        <v>2.9000000000000001E-2</v>
      </c>
      <c r="CL37" s="762">
        <f t="shared" si="115"/>
        <v>2926.1601000000001</v>
      </c>
      <c r="CM37" s="280"/>
      <c r="CN37" s="280"/>
      <c r="CO37" s="280"/>
      <c r="CP37" s="280"/>
      <c r="CQ37" s="280"/>
      <c r="CR37" s="280"/>
      <c r="CS37" s="280"/>
      <c r="CT37" s="280"/>
      <c r="CU37" s="280"/>
      <c r="CV37" s="280"/>
      <c r="CW37" s="280"/>
      <c r="CX37" s="280"/>
      <c r="CY37" s="280"/>
      <c r="DQ37" s="211">
        <f t="shared" si="42"/>
        <v>0</v>
      </c>
      <c r="DR37" s="524">
        <v>43662</v>
      </c>
      <c r="DS37" s="211">
        <v>30</v>
      </c>
      <c r="DT37" s="304">
        <f t="shared" si="94"/>
        <v>25524.77</v>
      </c>
      <c r="DU37" s="402">
        <v>1995.93</v>
      </c>
      <c r="DV37" s="198">
        <f t="shared" si="95"/>
        <v>306.17</v>
      </c>
      <c r="DW37" s="198">
        <f t="shared" si="43"/>
        <v>2302.1</v>
      </c>
      <c r="DX37" s="198">
        <f t="shared" si="44"/>
        <v>0</v>
      </c>
      <c r="DY37" s="198">
        <f t="shared" si="45"/>
        <v>0</v>
      </c>
      <c r="DZ37" s="199" cm="1">
        <f t="array" ref="DZ37">+ROUND(IF(DY37&lt;1,interpoler($A$5:$A$24,$B$5:$B$24,(DR37-$B$1)),interpoler($C$5:$C$24,$D$5:$D$24,DY37))+$DW$2,5)</f>
        <v>2.5680000000000001E-2</v>
      </c>
      <c r="EA37" s="198">
        <f t="shared" si="46"/>
        <v>0</v>
      </c>
      <c r="FD37" s="526">
        <f t="shared" si="56"/>
        <v>4</v>
      </c>
      <c r="FE37" s="1152">
        <v>46470</v>
      </c>
      <c r="FF37" s="797">
        <v>30</v>
      </c>
      <c r="FG37" s="1329">
        <v>24346.599999999966</v>
      </c>
      <c r="FH37" s="1627">
        <v>1803.53</v>
      </c>
      <c r="FI37" s="1627">
        <v>184.42</v>
      </c>
      <c r="FJ37" s="798">
        <f t="shared" si="57"/>
        <v>1987.95</v>
      </c>
      <c r="FK37" s="798">
        <f t="shared" si="58"/>
        <v>1987.95</v>
      </c>
      <c r="FL37" s="1027">
        <f t="shared" si="141"/>
        <v>0.99456521740000003</v>
      </c>
      <c r="FM37" s="199" cm="1">
        <f t="array" ref="FM37">+ROUND(interpoler(mat_zc,Taux_ZC,FL37)+$FI$2,5)</f>
        <v>2.963E-2</v>
      </c>
      <c r="FN37" s="801">
        <f t="shared" si="140"/>
        <v>1931.04853</v>
      </c>
      <c r="FO37" s="813"/>
      <c r="FP37" s="221"/>
      <c r="FQ37" s="526">
        <f t="shared" si="59"/>
        <v>14</v>
      </c>
      <c r="FR37" s="1152">
        <v>47385</v>
      </c>
      <c r="FS37" s="205">
        <v>15</v>
      </c>
      <c r="FT37" s="1630">
        <v>100000</v>
      </c>
      <c r="FU37" s="1627">
        <v>0</v>
      </c>
      <c r="FV37" s="1633">
        <v>877.5</v>
      </c>
      <c r="FW37" s="798">
        <f t="shared" si="60"/>
        <v>877.5</v>
      </c>
      <c r="FX37" s="798">
        <f t="shared" si="61"/>
        <v>877.5</v>
      </c>
      <c r="FY37" s="799">
        <f t="shared" si="113"/>
        <v>3.4945652200000001</v>
      </c>
      <c r="FZ37" s="800" cm="1">
        <f t="array" ref="FZ37">+ROUND(IF(FY37&lt;1,interpoler($A$5:$A$24,$B$5:$B$24,(FR37-$B$1)),interpoler(CIH!$K$72:$K$103,CIH!$L$72:$L$103,FY37))+$FV$2,5)</f>
        <v>3.5040000000000002E-2</v>
      </c>
      <c r="GA37" s="798">
        <f t="shared" si="62"/>
        <v>777.99793999999997</v>
      </c>
      <c r="GB37" s="484"/>
      <c r="GC37" s="522"/>
      <c r="GD37" s="150">
        <f t="shared" si="63"/>
        <v>13</v>
      </c>
      <c r="GE37" s="1151">
        <v>47293</v>
      </c>
      <c r="GF37" s="205">
        <v>14</v>
      </c>
      <c r="GG37" s="1328">
        <v>30587.470000000038</v>
      </c>
      <c r="GH37" s="1626">
        <v>1892.37</v>
      </c>
      <c r="GI37" s="1626">
        <v>201.11</v>
      </c>
      <c r="GJ37" s="198">
        <f t="shared" si="64"/>
        <v>2093.48</v>
      </c>
      <c r="GK37" s="198">
        <f t="shared" si="65"/>
        <v>2093.48</v>
      </c>
      <c r="GL37" s="447">
        <f t="shared" si="126"/>
        <v>3.2445652173999999</v>
      </c>
      <c r="GM37" s="199" cm="1">
        <f t="array" ref="GM37">ROUND(interpoler(mat_zc,Taux_ZC,GL37)+$GJ$2,5)</f>
        <v>3.3640000000000003E-2</v>
      </c>
      <c r="GN37" s="762">
        <f t="shared" si="102"/>
        <v>1880.3844999999999</v>
      </c>
      <c r="GO37" s="198"/>
      <c r="GQ37" s="150">
        <f t="shared" si="66"/>
        <v>11</v>
      </c>
      <c r="GR37" s="1151">
        <v>47111</v>
      </c>
      <c r="GS37" s="205">
        <v>12</v>
      </c>
      <c r="GT37" s="1629">
        <v>77990.400000000009</v>
      </c>
      <c r="GU37" s="1626">
        <v>647.29</v>
      </c>
      <c r="GV37" s="1632">
        <v>604.41999999999996</v>
      </c>
      <c r="GW37" s="198">
        <f t="shared" si="67"/>
        <v>1251.71</v>
      </c>
      <c r="GX37" s="198">
        <f t="shared" si="68"/>
        <v>1251.71</v>
      </c>
      <c r="GY37" s="1042">
        <f t="shared" si="127"/>
        <v>2.7445652173999999</v>
      </c>
      <c r="GZ37" s="199" cm="1">
        <f t="array" ref="GZ37">+ROUND(IF(GY37&lt;1,interpoler($A$5:$A$24,$B$5:$B$24,(GR37-$B$1)),interpoler(CIH!$K$72:$K$103,CIH!$L$72:$L$103,GY37))+$GW$2,5)</f>
        <v>3.4360000000000002E-2</v>
      </c>
      <c r="HA37" s="212">
        <f t="shared" si="129"/>
        <v>1140.87020010522</v>
      </c>
      <c r="HD37" s="1382">
        <f t="shared" si="70"/>
        <v>0</v>
      </c>
      <c r="HE37" s="309">
        <v>44479</v>
      </c>
      <c r="HF37" s="133">
        <v>30</v>
      </c>
      <c r="HG37" s="304">
        <f t="shared" si="103"/>
        <v>2395.9299999999748</v>
      </c>
      <c r="HH37" s="196">
        <v>1145.83</v>
      </c>
      <c r="HI37" s="198">
        <f t="shared" si="104"/>
        <v>26.47</v>
      </c>
      <c r="HJ37" s="137">
        <f t="shared" si="71"/>
        <v>1172.3</v>
      </c>
      <c r="HK37" s="137">
        <f t="shared" si="72"/>
        <v>0</v>
      </c>
      <c r="HL37" s="137">
        <f t="shared" si="73"/>
        <v>0</v>
      </c>
      <c r="HM37" s="199" cm="1">
        <f t="array" ref="HM37">+ROUND(IF(HL37&lt;1,interpoler($A$5:$A$24,$B$5:$B$24,(HE37-$B$1)),interpoler($C$5:$C$24,$D$5:$D$24,HL37))+$HJ$2,5)</f>
        <v>2.7279999999999999E-2</v>
      </c>
      <c r="HN37" s="137">
        <f t="shared" si="74"/>
        <v>0</v>
      </c>
      <c r="HR37" s="150">
        <f t="shared" si="134"/>
        <v>0</v>
      </c>
      <c r="HS37" s="714"/>
      <c r="HT37" s="205"/>
      <c r="HU37" s="718"/>
      <c r="HV37" s="718"/>
      <c r="HW37" s="786"/>
      <c r="HX37" s="198"/>
      <c r="HY37" s="198"/>
      <c r="HZ37" s="198"/>
      <c r="IA37" s="199"/>
      <c r="IB37" s="212"/>
      <c r="ID37" s="150">
        <v>30</v>
      </c>
      <c r="IE37" s="714">
        <v>49399</v>
      </c>
      <c r="IF37" s="205">
        <v>30</v>
      </c>
      <c r="IG37" s="205">
        <v>16666.669999999998</v>
      </c>
      <c r="IH37" s="766">
        <v>2777.78</v>
      </c>
      <c r="II37" s="765">
        <v>363.58</v>
      </c>
      <c r="IJ37" s="198">
        <f t="shared" si="79"/>
        <v>3141.36</v>
      </c>
      <c r="IK37" s="212">
        <f t="shared" si="80"/>
        <v>3141.36</v>
      </c>
      <c r="IL37" s="761">
        <f t="shared" si="107"/>
        <v>9.0109589041000007</v>
      </c>
      <c r="IM37" s="199" cm="1">
        <f t="array" ref="IM37">+ROUND(IF(IL37&lt;1,interpoler($A$5:$A$24,$B$5:$B$24,(IE37-$B$1)),interpoler($C$5:$C$24,$D$5:$D$24,IL37))+$IJ$2,5)</f>
        <v>4.598E-2</v>
      </c>
      <c r="IN37" s="198">
        <f t="shared" si="81"/>
        <v>2095.0448999999999</v>
      </c>
      <c r="IP37" s="1382"/>
      <c r="IQ37" s="714"/>
      <c r="IR37" s="205"/>
      <c r="IS37" s="205"/>
      <c r="IT37" s="766"/>
      <c r="IU37" s="765"/>
      <c r="IV37" s="198"/>
      <c r="IW37" s="212"/>
      <c r="IX37" s="761"/>
      <c r="IY37" s="199"/>
      <c r="IZ37" s="198"/>
      <c r="JD37" s="150"/>
      <c r="JE37" s="714"/>
      <c r="JF37" s="205"/>
      <c r="JG37" s="205"/>
      <c r="JH37" s="766"/>
      <c r="JI37" s="765"/>
      <c r="JJ37" s="198"/>
      <c r="JK37" s="212"/>
      <c r="JL37" s="761"/>
      <c r="JM37" s="199"/>
      <c r="JN37" s="198"/>
      <c r="JP37" s="150"/>
      <c r="JQ37" s="714"/>
      <c r="JR37" s="205"/>
      <c r="JS37" s="205"/>
      <c r="JT37" s="205"/>
      <c r="JU37" s="765"/>
      <c r="JV37" s="198"/>
      <c r="JW37" s="212"/>
      <c r="JX37" s="1155"/>
      <c r="JY37" s="199"/>
      <c r="JZ37" s="198"/>
      <c r="KB37" s="714"/>
      <c r="KC37" s="205"/>
      <c r="KD37" s="205"/>
      <c r="KE37" s="205"/>
      <c r="KF37" s="765"/>
      <c r="KG37" s="198"/>
      <c r="KH37" s="212"/>
      <c r="KI37" s="761"/>
      <c r="KJ37" s="199"/>
      <c r="KK37" s="198"/>
      <c r="KN37" s="1602">
        <v>56655</v>
      </c>
      <c r="KO37" s="205">
        <f t="shared" si="138"/>
        <v>30</v>
      </c>
      <c r="KP37" s="1605">
        <v>6666.6666666666506</v>
      </c>
      <c r="KQ37" s="1442">
        <v>6666.666666666667</v>
      </c>
      <c r="KR37" s="1442">
        <v>297.99999999999926</v>
      </c>
      <c r="KS37" s="198">
        <f t="shared" si="135"/>
        <v>6964.67</v>
      </c>
      <c r="KT37" s="212">
        <f t="shared" si="136"/>
        <v>6964.67</v>
      </c>
      <c r="KU37" s="1607">
        <f t="shared" si="114"/>
        <v>28.87945205479452</v>
      </c>
      <c r="KV37" s="199" cm="1">
        <f t="array" ref="KV37">ROUND(interpoler(mat_zc,Taux_ZC,KU37)+$KS$2,5)</f>
        <v>5.0189999999999999E-2</v>
      </c>
      <c r="KW37" s="1612">
        <f t="shared" si="137"/>
        <v>1693.1516999999999</v>
      </c>
    </row>
    <row r="38" spans="6:309" ht="15" x14ac:dyDescent="0.25">
      <c r="F38" s="156"/>
      <c r="G38" s="150">
        <f t="shared" si="0"/>
        <v>0</v>
      </c>
      <c r="H38" s="117">
        <v>40190</v>
      </c>
      <c r="I38" s="120">
        <v>31</v>
      </c>
      <c r="J38" s="134"/>
      <c r="K38" s="155"/>
      <c r="L38" s="151"/>
      <c r="M38" s="151"/>
      <c r="N38" s="151"/>
      <c r="O38" s="151"/>
      <c r="P38" s="151"/>
      <c r="Q38" s="151"/>
      <c r="R38" s="172"/>
      <c r="S38" s="150">
        <f t="shared" si="6"/>
        <v>0</v>
      </c>
      <c r="T38" s="194">
        <v>40190</v>
      </c>
      <c r="U38" s="205">
        <v>31</v>
      </c>
      <c r="V38" s="196">
        <v>73672.259999999995</v>
      </c>
      <c r="W38" s="196">
        <v>5686.14</v>
      </c>
      <c r="X38" s="198">
        <f t="shared" si="7"/>
        <v>1348.2</v>
      </c>
      <c r="Y38" s="198">
        <f t="shared" si="8"/>
        <v>7034.34</v>
      </c>
      <c r="Z38" s="198">
        <f t="shared" si="9"/>
        <v>0</v>
      </c>
      <c r="AA38" s="198">
        <f t="shared" si="10"/>
        <v>0</v>
      </c>
      <c r="AB38" s="199" cm="1">
        <f t="array" ref="AB38">+ROUND(IF(AA38&lt;1,interpoler($A$5:$A$24,$B$5:$B$24,(T38-$B$1)),interpoler($C$5:$C$24,$D$5:$D$24,AA38))+$Y$2,6)</f>
        <v>3.0780999999999999E-2</v>
      </c>
      <c r="AC38" s="198">
        <f t="shared" si="11"/>
        <v>0</v>
      </c>
      <c r="AE38" s="150">
        <f t="shared" si="12"/>
        <v>0</v>
      </c>
      <c r="AF38" s="117"/>
      <c r="AG38" s="120"/>
      <c r="AH38" s="121"/>
      <c r="AI38" s="121"/>
      <c r="AJ38" s="137"/>
      <c r="AK38" s="137"/>
      <c r="AL38" s="137"/>
      <c r="AM38" s="137"/>
      <c r="AN38" s="146"/>
      <c r="AO38" s="137"/>
      <c r="AP38" s="172"/>
      <c r="AQ38" s="150">
        <f t="shared" si="19"/>
        <v>0</v>
      </c>
      <c r="AR38" s="194">
        <v>41437</v>
      </c>
      <c r="AS38" s="211">
        <v>40</v>
      </c>
      <c r="AT38" s="196">
        <f>AT37-AU37</f>
        <v>37368.21</v>
      </c>
      <c r="AU38" s="196">
        <v>3010.37</v>
      </c>
      <c r="AV38" s="198">
        <v>596.95715503875965</v>
      </c>
      <c r="AW38" s="198">
        <f t="shared" si="21"/>
        <v>3607.33</v>
      </c>
      <c r="AX38" s="198">
        <f t="shared" si="22"/>
        <v>0</v>
      </c>
      <c r="AY38" s="198">
        <f t="shared" si="23"/>
        <v>0</v>
      </c>
      <c r="AZ38" s="199" cm="1">
        <f t="array" ref="AZ38">+ROUND(IF(AY38&lt;1,interpoler($A$5:$A$24,$B$5:$B$24,(AR38-$B$1)),interpoler($C$5:$C$24,$D$5:$D$24,AY38))+$AW$2,6)</f>
        <v>2.9780999999999998E-2</v>
      </c>
      <c r="BA38" s="198">
        <f t="shared" si="24"/>
        <v>0</v>
      </c>
      <c r="BB38" s="221"/>
      <c r="BC38" s="599">
        <f t="shared" si="25"/>
        <v>0</v>
      </c>
      <c r="BD38" s="669">
        <v>42627</v>
      </c>
      <c r="BE38" s="526">
        <v>31</v>
      </c>
      <c r="BF38" s="841">
        <v>32969.65</v>
      </c>
      <c r="BG38" s="835">
        <v>1636.24</v>
      </c>
      <c r="BH38" s="529">
        <f t="shared" si="90"/>
        <v>398.11</v>
      </c>
      <c r="BI38" s="529">
        <f t="shared" si="26"/>
        <v>2034.35</v>
      </c>
      <c r="BJ38" s="529">
        <f t="shared" si="27"/>
        <v>0</v>
      </c>
      <c r="BK38" s="529">
        <f t="shared" si="28"/>
        <v>0</v>
      </c>
      <c r="BL38" s="530" cm="1">
        <f t="array" ref="BL38">+ROUND(IF(BK38&lt;1,interpoler($A$5:$A$24,$B$5:$B$24,(BD38-$B$1)),interpoler($C$5:$C$24,$D$5:$D$24,BK38))+$BI$2,5)</f>
        <v>3.3279999999999997E-2</v>
      </c>
      <c r="BM38" s="529">
        <f t="shared" si="29"/>
        <v>0</v>
      </c>
      <c r="BN38" s="280"/>
      <c r="BP38" s="150">
        <f t="shared" si="30"/>
        <v>30</v>
      </c>
      <c r="BQ38" s="116" t="s">
        <v>893</v>
      </c>
      <c r="BR38" s="133">
        <v>31</v>
      </c>
      <c r="BS38" s="304">
        <f t="shared" si="91"/>
        <v>3225.8064516128707</v>
      </c>
      <c r="BT38" s="196">
        <v>3225.8064516129034</v>
      </c>
      <c r="BU38" s="198">
        <f t="shared" si="92"/>
        <v>36.44</v>
      </c>
      <c r="BV38" s="137">
        <f>+ROUND(BT38+BU38,2)</f>
        <v>3262.25</v>
      </c>
      <c r="BW38" s="137">
        <f t="shared" si="32"/>
        <v>3262.25</v>
      </c>
      <c r="BX38" s="137">
        <f t="shared" si="33"/>
        <v>8.0796986518636</v>
      </c>
      <c r="BY38" s="199" cm="1">
        <f t="array" ref="BY38">+ROUND(IF(BX38&lt;1,interpoler($A$5:$A$24,$B$5:$B$24,(BQ38-$B$1)),interpoler($C$5:$C$24,$D$5:$D$24,BX38))+$BV$2,6)</f>
        <v>3.6492999999999998E-2</v>
      </c>
      <c r="BZ38" s="137">
        <f t="shared" si="34"/>
        <v>2441.9998532953596</v>
      </c>
      <c r="CB38" s="150">
        <f t="shared" si="35"/>
        <v>2</v>
      </c>
      <c r="CC38" s="1152">
        <v>46289</v>
      </c>
      <c r="CD38" s="905">
        <v>3</v>
      </c>
      <c r="CE38" s="1630">
        <v>69805.25999999998</v>
      </c>
      <c r="CF38" s="1627">
        <v>2202.87</v>
      </c>
      <c r="CG38" s="1633">
        <v>703.28</v>
      </c>
      <c r="CH38" s="198">
        <f t="shared" si="36"/>
        <v>2906.15</v>
      </c>
      <c r="CI38" s="198">
        <f t="shared" si="37"/>
        <v>2906.15</v>
      </c>
      <c r="CJ38" s="762">
        <f t="shared" si="139"/>
        <v>0.49456521739999998</v>
      </c>
      <c r="CK38" s="621" cm="1">
        <f t="array" ref="CK38">ROUND(interpoler(mat_zc,Taux_ZC,CJ38)+$CH$2,5)</f>
        <v>2.9610000000000001E-2</v>
      </c>
      <c r="CL38" s="762">
        <f t="shared" si="115"/>
        <v>2864.5111999999999</v>
      </c>
      <c r="CM38" s="280"/>
      <c r="CN38" s="280"/>
      <c r="CO38" s="280"/>
      <c r="CP38" s="280"/>
      <c r="CQ38" s="280"/>
      <c r="CR38" s="280"/>
      <c r="CS38" s="280"/>
      <c r="CT38" s="280"/>
      <c r="CU38" s="280"/>
      <c r="CV38" s="280"/>
      <c r="CW38" s="280"/>
      <c r="CX38" s="280"/>
      <c r="CY38" s="280"/>
      <c r="DQ38" s="211">
        <f t="shared" si="42"/>
        <v>0</v>
      </c>
      <c r="DR38" s="524">
        <v>43754</v>
      </c>
      <c r="DS38" s="211">
        <v>31</v>
      </c>
      <c r="DT38" s="304">
        <f t="shared" si="94"/>
        <v>23546.97</v>
      </c>
      <c r="DU38" s="402">
        <v>1977.8</v>
      </c>
      <c r="DV38" s="198">
        <f t="shared" si="95"/>
        <v>283.95999999999998</v>
      </c>
      <c r="DW38" s="198">
        <f t="shared" si="43"/>
        <v>2261.7600000000002</v>
      </c>
      <c r="DX38" s="198">
        <f t="shared" si="44"/>
        <v>0</v>
      </c>
      <c r="DY38" s="198">
        <f t="shared" si="45"/>
        <v>0</v>
      </c>
      <c r="DZ38" s="199" cm="1">
        <f t="array" ref="DZ38">+ROUND(IF(DY38&lt;1,interpoler($A$5:$A$24,$B$5:$B$24,(DR38-$B$1)),interpoler($C$5:$C$24,$D$5:$D$24,DY38))+$DW$2,5)</f>
        <v>2.5680000000000001E-2</v>
      </c>
      <c r="EA38" s="198">
        <f t="shared" si="46"/>
        <v>0</v>
      </c>
      <c r="FD38" s="526">
        <f t="shared" si="56"/>
        <v>5</v>
      </c>
      <c r="FE38" s="1151">
        <v>46562</v>
      </c>
      <c r="FF38" s="797">
        <v>31</v>
      </c>
      <c r="FG38" s="1328">
        <v>22543.069999999967</v>
      </c>
      <c r="FH38" s="1626">
        <v>1779.21</v>
      </c>
      <c r="FI38" s="1626">
        <v>170.76</v>
      </c>
      <c r="FJ38" s="798">
        <f t="shared" si="57"/>
        <v>1949.97</v>
      </c>
      <c r="FK38" s="798">
        <f t="shared" si="58"/>
        <v>1949.97</v>
      </c>
      <c r="FL38" s="1027">
        <f t="shared" si="141"/>
        <v>1.2445652173999999</v>
      </c>
      <c r="FM38" s="199" cm="1">
        <f t="array" ref="FM38">+ROUND(interpoler(mat_zc,Taux_ZC,FL38)+$FI$2,5)</f>
        <v>3.0020000000000002E-2</v>
      </c>
      <c r="FN38" s="801">
        <f t="shared" si="140"/>
        <v>1879.4928199999999</v>
      </c>
      <c r="FO38" s="814"/>
      <c r="FP38" s="221"/>
      <c r="FQ38" s="526">
        <f t="shared" si="59"/>
        <v>15</v>
      </c>
      <c r="FR38" s="1151">
        <v>47476</v>
      </c>
      <c r="FS38" s="205">
        <v>16</v>
      </c>
      <c r="FT38" s="1629">
        <v>100000</v>
      </c>
      <c r="FU38" s="1626">
        <v>0</v>
      </c>
      <c r="FV38" s="1632">
        <v>877.5</v>
      </c>
      <c r="FW38" s="798">
        <f t="shared" si="60"/>
        <v>877.5</v>
      </c>
      <c r="FX38" s="798">
        <f t="shared" si="61"/>
        <v>877.5</v>
      </c>
      <c r="FY38" s="799">
        <f t="shared" si="113"/>
        <v>3.7445652200000001</v>
      </c>
      <c r="FZ38" s="800" cm="1">
        <f t="array" ref="FZ38">+ROUND(IF(FY38&lt;1,interpoler($A$5:$A$24,$B$5:$B$24,(FR38-$B$1)),interpoler(CIH!$K$72:$K$103,CIH!$L$72:$L$103,FY38))+$FV$2,5)</f>
        <v>3.5430000000000003E-2</v>
      </c>
      <c r="GA38" s="798">
        <f t="shared" si="62"/>
        <v>770.24078999999995</v>
      </c>
      <c r="GB38" s="484"/>
      <c r="GC38" s="522"/>
      <c r="GD38" s="150">
        <f t="shared" si="63"/>
        <v>14</v>
      </c>
      <c r="GE38" s="1152">
        <v>47385</v>
      </c>
      <c r="GF38" s="205">
        <v>15</v>
      </c>
      <c r="GG38" s="1329">
        <v>28695.100000000039</v>
      </c>
      <c r="GH38" s="1627">
        <v>1878.49</v>
      </c>
      <c r="GI38" s="1627">
        <v>188.67</v>
      </c>
      <c r="GJ38" s="198">
        <f t="shared" si="64"/>
        <v>2067.16</v>
      </c>
      <c r="GK38" s="198">
        <f t="shared" si="65"/>
        <v>2067.16</v>
      </c>
      <c r="GL38" s="447">
        <f t="shared" si="126"/>
        <v>3.4945652173999999</v>
      </c>
      <c r="GM38" s="199" cm="1">
        <f t="array" ref="GM38">ROUND(interpoler(mat_zc,Taux_ZC,GL38)+$GJ$2,5)</f>
        <v>3.4040000000000001E-2</v>
      </c>
      <c r="GN38" s="762">
        <f t="shared" si="102"/>
        <v>1838.9606000000001</v>
      </c>
      <c r="GO38" s="198"/>
      <c r="GQ38" s="150">
        <f t="shared" si="66"/>
        <v>12</v>
      </c>
      <c r="GR38" s="1152">
        <v>47201</v>
      </c>
      <c r="GS38" s="205">
        <v>13</v>
      </c>
      <c r="GT38" s="1630">
        <v>77343.110000000015</v>
      </c>
      <c r="GU38" s="1627">
        <v>641.69000000000005</v>
      </c>
      <c r="GV38" s="1633">
        <v>599.4</v>
      </c>
      <c r="GW38" s="198">
        <f t="shared" si="67"/>
        <v>1241.0899999999999</v>
      </c>
      <c r="GX38" s="198">
        <f t="shared" si="68"/>
        <v>1241.0899999999999</v>
      </c>
      <c r="GY38" s="1042">
        <f t="shared" si="127"/>
        <v>2.9945652173999999</v>
      </c>
      <c r="GZ38" s="199" cm="1">
        <f t="array" ref="GZ38">+ROUND(IF(GY38&lt;1,interpoler($A$5:$A$24,$B$5:$B$24,(GR38-$B$1)),interpoler(CIH!$K$72:$K$103,CIH!$L$72:$L$103,GY38))+$GW$2,5)</f>
        <v>3.4750000000000003E-2</v>
      </c>
      <c r="HA38" s="212">
        <f t="shared" si="129"/>
        <v>1120.4116049121401</v>
      </c>
      <c r="HD38" s="1382">
        <f t="shared" si="70"/>
        <v>0</v>
      </c>
      <c r="HE38" s="309">
        <v>44571</v>
      </c>
      <c r="HF38" s="133">
        <v>31</v>
      </c>
      <c r="HG38" s="304">
        <f t="shared" si="103"/>
        <v>1250.0999999999749</v>
      </c>
      <c r="HH38" s="196">
        <v>1041.6600000000001</v>
      </c>
      <c r="HI38" s="198">
        <f t="shared" si="104"/>
        <v>13.81</v>
      </c>
      <c r="HJ38" s="137">
        <f t="shared" si="71"/>
        <v>1055.47</v>
      </c>
      <c r="HK38" s="137">
        <f t="shared" si="72"/>
        <v>0</v>
      </c>
      <c r="HL38" s="137">
        <f t="shared" si="73"/>
        <v>0</v>
      </c>
      <c r="HM38" s="199" cm="1">
        <f t="array" ref="HM38">+ROUND(IF(HL38&lt;1,interpoler($A$5:$A$24,$B$5:$B$24,(HE38-$B$1)),interpoler($C$5:$C$24,$D$5:$D$24,HL38))+$HJ$2,5)</f>
        <v>2.7279999999999999E-2</v>
      </c>
      <c r="HN38" s="137">
        <f t="shared" si="74"/>
        <v>0</v>
      </c>
      <c r="HR38" s="150">
        <f t="shared" si="134"/>
        <v>0</v>
      </c>
      <c r="HS38" s="714"/>
      <c r="HT38" s="205"/>
      <c r="HU38" s="718"/>
      <c r="HV38" s="718"/>
      <c r="HW38" s="786"/>
      <c r="HX38" s="198"/>
      <c r="HY38" s="198"/>
      <c r="HZ38" s="198"/>
      <c r="IA38" s="199"/>
      <c r="IB38" s="212"/>
      <c r="ID38" s="150">
        <v>31</v>
      </c>
      <c r="IE38" s="714">
        <v>49582</v>
      </c>
      <c r="IF38" s="205">
        <v>31</v>
      </c>
      <c r="IG38" s="205">
        <v>13888.89</v>
      </c>
      <c r="IH38" s="766">
        <v>2777.78</v>
      </c>
      <c r="II38" s="765">
        <v>313.36</v>
      </c>
      <c r="IJ38" s="198">
        <f t="shared" si="79"/>
        <v>3091.14</v>
      </c>
      <c r="IK38" s="212">
        <f t="shared" si="80"/>
        <v>3091.14</v>
      </c>
      <c r="IL38" s="761">
        <f t="shared" si="107"/>
        <v>9.5273224043999996</v>
      </c>
      <c r="IM38" s="199" cm="1">
        <f t="array" ref="IM38">+ROUND(IF(IL38&lt;1,interpoler($A$5:$A$24,$B$5:$B$24,(IE38-$B$1)),interpoler($C$5:$C$24,$D$5:$D$24,IL38))+$IJ$2,5)</f>
        <v>4.6300000000000001E-2</v>
      </c>
      <c r="IN38" s="198">
        <f t="shared" si="81"/>
        <v>2008.3874000000001</v>
      </c>
      <c r="IP38" s="1382"/>
      <c r="IQ38" s="714"/>
      <c r="IR38" s="205"/>
      <c r="IS38" s="205"/>
      <c r="IT38" s="766"/>
      <c r="IU38" s="765"/>
      <c r="IV38" s="198"/>
      <c r="IW38" s="212"/>
      <c r="IX38" s="761"/>
      <c r="IY38" s="199"/>
      <c r="IZ38" s="198"/>
      <c r="JD38" s="150"/>
      <c r="JE38" s="714"/>
      <c r="JF38" s="205"/>
      <c r="JG38" s="205"/>
      <c r="JH38" s="766"/>
      <c r="JI38" s="765"/>
      <c r="JJ38" s="198"/>
      <c r="JK38" s="212"/>
      <c r="JL38" s="761"/>
      <c r="JM38" s="199"/>
      <c r="JN38" s="198"/>
      <c r="JP38" s="150"/>
      <c r="JQ38" s="714"/>
      <c r="JR38" s="205"/>
      <c r="JS38" s="205"/>
      <c r="JT38" s="766"/>
      <c r="JU38" s="765"/>
      <c r="JV38" s="198"/>
      <c r="JW38" s="212"/>
      <c r="JX38" s="1155"/>
      <c r="JY38" s="199"/>
      <c r="JZ38" s="198"/>
      <c r="KB38" s="714"/>
      <c r="KC38" s="205"/>
      <c r="KD38" s="205"/>
      <c r="KE38" s="766"/>
      <c r="KF38" s="765"/>
      <c r="KG38" s="198"/>
      <c r="KH38" s="212"/>
      <c r="KI38" s="761"/>
      <c r="KJ38" s="199"/>
      <c r="KK38" s="198"/>
      <c r="KN38" s="714"/>
      <c r="KO38" s="205"/>
      <c r="KP38" s="205"/>
      <c r="KQ38" s="766"/>
      <c r="KR38" s="765"/>
      <c r="KS38" s="198"/>
      <c r="KT38" s="212"/>
      <c r="KU38" s="761"/>
      <c r="KV38" s="199"/>
      <c r="KW38" s="1612"/>
    </row>
    <row r="39" spans="6:309" ht="15.75" thickBot="1" x14ac:dyDescent="0.3">
      <c r="F39" s="156"/>
      <c r="G39" s="150">
        <f t="shared" si="0"/>
        <v>0</v>
      </c>
      <c r="H39" s="117">
        <v>40280</v>
      </c>
      <c r="I39" s="123">
        <v>32</v>
      </c>
      <c r="J39" s="135"/>
      <c r="K39" s="125"/>
      <c r="L39" s="151"/>
      <c r="M39" s="151"/>
      <c r="N39" s="151"/>
      <c r="O39" s="151"/>
      <c r="P39" s="151"/>
      <c r="Q39" s="151"/>
      <c r="R39" s="172"/>
      <c r="S39" s="150">
        <f t="shared" si="6"/>
        <v>0</v>
      </c>
      <c r="T39" s="194">
        <v>40280</v>
      </c>
      <c r="U39" s="205">
        <v>32</v>
      </c>
      <c r="V39" s="196">
        <v>67986.12</v>
      </c>
      <c r="W39" s="208">
        <v>4949.96</v>
      </c>
      <c r="X39" s="198">
        <f t="shared" si="7"/>
        <v>1244.1500000000001</v>
      </c>
      <c r="Y39" s="198">
        <f t="shared" si="8"/>
        <v>6194.11</v>
      </c>
      <c r="Z39" s="198">
        <f t="shared" si="9"/>
        <v>0</v>
      </c>
      <c r="AA39" s="198">
        <f t="shared" si="10"/>
        <v>0</v>
      </c>
      <c r="AB39" s="199" cm="1">
        <f t="array" ref="AB39">+ROUND(IF(AA39&lt;1,interpoler($A$5:$A$24,$B$5:$B$24,(T39-$B$1)),interpoler($C$5:$C$24,$D$5:$D$24,AA39))+$Y$2,6)</f>
        <v>3.0780999999999999E-2</v>
      </c>
      <c r="AC39" s="198">
        <f t="shared" si="11"/>
        <v>0</v>
      </c>
      <c r="AE39" s="150">
        <f t="shared" si="12"/>
        <v>0</v>
      </c>
      <c r="AF39" s="117"/>
      <c r="AG39" s="123"/>
      <c r="AH39" s="121"/>
      <c r="AI39" s="121"/>
      <c r="AJ39" s="137"/>
      <c r="AK39" s="137"/>
      <c r="AL39" s="137"/>
      <c r="AM39" s="137"/>
      <c r="AN39" s="146"/>
      <c r="AO39" s="137"/>
      <c r="AP39" s="172"/>
      <c r="AQ39" s="150">
        <f t="shared" si="19"/>
        <v>0</v>
      </c>
      <c r="AR39" s="194">
        <v>41529</v>
      </c>
      <c r="AS39" s="211">
        <v>41</v>
      </c>
      <c r="AT39" s="196">
        <f>AT38-AU38</f>
        <v>34357.839999999997</v>
      </c>
      <c r="AU39" s="196">
        <v>2800.5</v>
      </c>
      <c r="AV39" s="198">
        <v>548.86649354005169</v>
      </c>
      <c r="AW39" s="198">
        <f t="shared" si="21"/>
        <v>3349.37</v>
      </c>
      <c r="AX39" s="198">
        <f t="shared" si="22"/>
        <v>0</v>
      </c>
      <c r="AY39" s="198">
        <f t="shared" si="23"/>
        <v>0</v>
      </c>
      <c r="AZ39" s="199" cm="1">
        <f t="array" ref="AZ39">+ROUND(IF(AY39&lt;1,interpoler($A$5:$A$24,$B$5:$B$24,(AR39-$B$1)),interpoler($C$5:$C$24,$D$5:$D$24,AY39))+$AW$2,6)</f>
        <v>2.9780999999999998E-2</v>
      </c>
      <c r="BA39" s="198">
        <f t="shared" si="24"/>
        <v>0</v>
      </c>
      <c r="BB39" s="221"/>
      <c r="BC39" s="599">
        <f t="shared" si="25"/>
        <v>0</v>
      </c>
      <c r="BD39" s="669">
        <v>42718</v>
      </c>
      <c r="BE39" s="526">
        <v>32</v>
      </c>
      <c r="BF39" s="841">
        <v>31333.41</v>
      </c>
      <c r="BG39" s="835">
        <v>1649.4915759999999</v>
      </c>
      <c r="BH39" s="529">
        <f t="shared" si="90"/>
        <v>378.35</v>
      </c>
      <c r="BI39" s="529">
        <f t="shared" si="26"/>
        <v>2027.84</v>
      </c>
      <c r="BJ39" s="529">
        <f t="shared" si="27"/>
        <v>0</v>
      </c>
      <c r="BK39" s="529">
        <f t="shared" si="28"/>
        <v>0</v>
      </c>
      <c r="BL39" s="530" cm="1">
        <f t="array" ref="BL39">+ROUND(IF(BK39&lt;1,interpoler($A$5:$A$24,$B$5:$B$24,(BD39-$B$1)),interpoler($C$5:$C$24,$D$5:$D$24,BK39))+$BI$2,5)</f>
        <v>3.3279999999999997E-2</v>
      </c>
      <c r="BM39" s="529">
        <f t="shared" si="29"/>
        <v>0</v>
      </c>
      <c r="BN39" s="280"/>
      <c r="BP39" s="150">
        <f t="shared" si="30"/>
        <v>31</v>
      </c>
      <c r="BQ39" s="116" t="s">
        <v>894</v>
      </c>
      <c r="BR39" s="133">
        <v>32</v>
      </c>
      <c r="BS39" s="304">
        <f t="shared" si="91"/>
        <v>-3.2741809263825417E-11</v>
      </c>
      <c r="BT39" s="295">
        <v>3225.8064516129034</v>
      </c>
      <c r="BU39" s="198">
        <f t="shared" si="92"/>
        <v>0</v>
      </c>
      <c r="BV39" s="137">
        <f>+ROUND(BT39+BU39,2)</f>
        <v>3225.81</v>
      </c>
      <c r="BW39" s="137">
        <f t="shared" si="32"/>
        <v>3225.81</v>
      </c>
      <c r="BX39" s="137">
        <f t="shared" si="33"/>
        <v>8.3296986518636</v>
      </c>
      <c r="BY39" s="199" cm="1">
        <f t="array" ref="BY39">+ROUND(IF(BX39&lt;1,interpoler($A$5:$A$24,$B$5:$B$24,(BQ39-$B$1)),interpoler($C$5:$C$24,$D$5:$D$24,BX39))+$BV$2,6)</f>
        <v>3.6623999999999997E-2</v>
      </c>
      <c r="BZ39" s="137">
        <f t="shared" si="34"/>
        <v>2390.663220846202</v>
      </c>
      <c r="CB39" s="150">
        <f t="shared" si="35"/>
        <v>3</v>
      </c>
      <c r="CC39" s="1151">
        <v>46380</v>
      </c>
      <c r="CD39" s="205">
        <v>4</v>
      </c>
      <c r="CE39" s="1629">
        <v>67602.389999999985</v>
      </c>
      <c r="CF39" s="1626">
        <v>2207.42</v>
      </c>
      <c r="CG39" s="1632">
        <v>681.09</v>
      </c>
      <c r="CH39" s="198">
        <f t="shared" ref="CH39:CH73" si="142">+ROUND(CF39+CG39,2)</f>
        <v>2888.51</v>
      </c>
      <c r="CI39" s="198">
        <f t="shared" si="37"/>
        <v>2888.51</v>
      </c>
      <c r="CJ39" s="762">
        <f t="shared" si="139"/>
        <v>0.74456521740000003</v>
      </c>
      <c r="CK39" s="621" cm="1">
        <f t="array" ref="CK39">ROUND(interpoler(mat_zc,Taux_ZC,CJ39)+$CH$2,5)</f>
        <v>3.015E-2</v>
      </c>
      <c r="CL39" s="762">
        <f t="shared" si="115"/>
        <v>2825.3265000000001</v>
      </c>
      <c r="CM39" s="280"/>
      <c r="CN39" s="280"/>
      <c r="CO39" s="280"/>
      <c r="CP39" s="280"/>
      <c r="CQ39" s="280"/>
      <c r="CR39" s="280"/>
      <c r="CS39" s="280"/>
      <c r="CT39" s="280"/>
      <c r="CU39" s="280"/>
      <c r="CV39" s="280"/>
      <c r="CW39" s="280"/>
      <c r="CX39" s="280"/>
      <c r="CY39" s="280"/>
      <c r="DQ39" s="211">
        <f t="shared" si="42"/>
        <v>0</v>
      </c>
      <c r="DR39" s="524">
        <v>43846</v>
      </c>
      <c r="DS39" s="211">
        <v>32</v>
      </c>
      <c r="DT39" s="304">
        <f t="shared" si="94"/>
        <v>21616.73</v>
      </c>
      <c r="DU39" s="402">
        <v>1930.24</v>
      </c>
      <c r="DV39" s="198">
        <f t="shared" si="95"/>
        <v>261.95999999999998</v>
      </c>
      <c r="DW39" s="198">
        <f t="shared" si="43"/>
        <v>2192.1999999999998</v>
      </c>
      <c r="DX39" s="198">
        <f t="shared" si="44"/>
        <v>0</v>
      </c>
      <c r="DY39" s="198">
        <f t="shared" si="45"/>
        <v>0</v>
      </c>
      <c r="DZ39" s="199" cm="1">
        <f t="array" ref="DZ39">+ROUND(IF(DY39&lt;1,interpoler($A$5:$A$24,$B$5:$B$24,(DR39-$B$1)),interpoler($C$5:$C$24,$D$5:$D$24,DY39))+$DW$2,5)</f>
        <v>2.5680000000000001E-2</v>
      </c>
      <c r="EA39" s="198">
        <f t="shared" si="46"/>
        <v>0</v>
      </c>
      <c r="FD39" s="526">
        <f t="shared" si="56"/>
        <v>6</v>
      </c>
      <c r="FE39" s="1152">
        <v>46654</v>
      </c>
      <c r="FF39" s="797">
        <v>32</v>
      </c>
      <c r="FG39" s="1329">
        <v>20763.859999999968</v>
      </c>
      <c r="FH39" s="1627">
        <v>1765.39</v>
      </c>
      <c r="FI39" s="1627">
        <v>157.28</v>
      </c>
      <c r="FJ39" s="798">
        <f t="shared" si="57"/>
        <v>1922.67</v>
      </c>
      <c r="FK39" s="798">
        <f t="shared" si="58"/>
        <v>1922.67</v>
      </c>
      <c r="FL39" s="1027">
        <f t="shared" si="141"/>
        <v>1.4945652173999999</v>
      </c>
      <c r="FM39" s="199" cm="1">
        <f t="array" ref="FM39">+ROUND(interpoler(mat_zc,Taux_ZC,FL39)+$FI$2,5)</f>
        <v>3.041E-2</v>
      </c>
      <c r="FN39" s="801">
        <f t="shared" si="140"/>
        <v>1838.48614</v>
      </c>
      <c r="FO39" s="813"/>
      <c r="FP39" s="221"/>
      <c r="FQ39" s="526">
        <f t="shared" si="59"/>
        <v>16</v>
      </c>
      <c r="FR39" s="1152">
        <v>47566</v>
      </c>
      <c r="FS39" s="205">
        <v>17</v>
      </c>
      <c r="FT39" s="1630">
        <v>100000</v>
      </c>
      <c r="FU39" s="1627">
        <v>0</v>
      </c>
      <c r="FV39" s="1633">
        <v>877.5</v>
      </c>
      <c r="FW39" s="798">
        <f t="shared" si="60"/>
        <v>877.5</v>
      </c>
      <c r="FX39" s="798">
        <f t="shared" si="61"/>
        <v>877.5</v>
      </c>
      <c r="FY39" s="799">
        <f t="shared" si="113"/>
        <v>3.9945652200000001</v>
      </c>
      <c r="FZ39" s="800" cm="1">
        <f t="array" ref="FZ39">+ROUND(IF(FY39&lt;1,interpoler($A$5:$A$24,$B$5:$B$24,(FR39-$B$1)),interpoler(CIH!$K$72:$K$103,CIH!$L$72:$L$103,FY39))+$FV$2,5)</f>
        <v>3.5819999999999998E-2</v>
      </c>
      <c r="GA39" s="798">
        <f t="shared" si="62"/>
        <v>762.41778999999997</v>
      </c>
      <c r="GB39" s="484"/>
      <c r="GC39" s="522"/>
      <c r="GD39" s="150">
        <f t="shared" si="63"/>
        <v>15</v>
      </c>
      <c r="GE39" s="1151">
        <v>47476</v>
      </c>
      <c r="GF39" s="205">
        <v>16</v>
      </c>
      <c r="GG39" s="1328">
        <v>26816.610000000037</v>
      </c>
      <c r="GH39" s="1626">
        <v>1868.3</v>
      </c>
      <c r="GI39" s="1626">
        <v>176.31</v>
      </c>
      <c r="GJ39" s="198">
        <f t="shared" si="64"/>
        <v>2044.61</v>
      </c>
      <c r="GK39" s="198">
        <f t="shared" si="65"/>
        <v>2044.61</v>
      </c>
      <c r="GL39" s="447">
        <f t="shared" si="126"/>
        <v>3.7445652173999999</v>
      </c>
      <c r="GM39" s="199" cm="1">
        <f t="array" ref="GM39">ROUND(interpoler(mat_zc,Taux_ZC,GL39)+$GJ$2,5)</f>
        <v>3.4430000000000002E-2</v>
      </c>
      <c r="GN39" s="762">
        <f t="shared" si="102"/>
        <v>1801.1969999999999</v>
      </c>
      <c r="GO39" s="198"/>
      <c r="GQ39" s="150">
        <f t="shared" si="66"/>
        <v>13</v>
      </c>
      <c r="GR39" s="1151">
        <v>47293</v>
      </c>
      <c r="GS39" s="205">
        <v>14</v>
      </c>
      <c r="GT39" s="1629">
        <v>76701.420000000013</v>
      </c>
      <c r="GU39" s="1626">
        <v>635.17999999999995</v>
      </c>
      <c r="GV39" s="1632">
        <v>594.42999999999995</v>
      </c>
      <c r="GW39" s="198">
        <f t="shared" si="67"/>
        <v>1229.6099999999999</v>
      </c>
      <c r="GX39" s="198">
        <f t="shared" si="68"/>
        <v>1229.6099999999999</v>
      </c>
      <c r="GY39" s="1042">
        <f t="shared" si="127"/>
        <v>3.2445652173999999</v>
      </c>
      <c r="GZ39" s="199" cm="1">
        <f t="array" ref="GZ39">+ROUND(IF(GY39&lt;1,interpoler($A$5:$A$24,$B$5:$B$24,(GR39-$B$1)),interpoler(CIH!$K$72:$K$103,CIH!$L$72:$L$103,GY39))+$GW$2,5)</f>
        <v>3.5139999999999998E-2</v>
      </c>
      <c r="HA39" s="212">
        <f t="shared" si="129"/>
        <v>1099.2636259406299</v>
      </c>
      <c r="HD39" s="1382">
        <f t="shared" si="70"/>
        <v>0</v>
      </c>
      <c r="HE39" s="309">
        <v>44661</v>
      </c>
      <c r="HF39" s="133">
        <v>32</v>
      </c>
      <c r="HG39" s="304">
        <f t="shared" si="103"/>
        <v>208.43999999997482</v>
      </c>
      <c r="HH39" s="295">
        <v>208.44</v>
      </c>
      <c r="HI39" s="198">
        <f t="shared" si="104"/>
        <v>2.2999999999999998</v>
      </c>
      <c r="HJ39" s="137">
        <f t="shared" si="71"/>
        <v>210.74</v>
      </c>
      <c r="HK39" s="137">
        <f t="shared" si="72"/>
        <v>0</v>
      </c>
      <c r="HL39" s="137">
        <f t="shared" si="73"/>
        <v>0</v>
      </c>
      <c r="HM39" s="199" cm="1">
        <f t="array" ref="HM39">+ROUND(IF(HL39&lt;1,interpoler($A$5:$A$24,$B$5:$B$24,(HE39-$B$1)),interpoler($C$5:$C$24,$D$5:$D$24,HL39))+$HJ$2,5)</f>
        <v>2.7279999999999999E-2</v>
      </c>
      <c r="HN39" s="137">
        <f t="shared" si="74"/>
        <v>0</v>
      </c>
      <c r="HR39" s="150">
        <f t="shared" si="134"/>
        <v>0</v>
      </c>
      <c r="HS39" s="714"/>
      <c r="HT39" s="205"/>
      <c r="HU39" s="718"/>
      <c r="HV39" s="718"/>
      <c r="HW39" s="786"/>
      <c r="HX39" s="198"/>
      <c r="HY39" s="198"/>
      <c r="HZ39" s="198"/>
      <c r="IA39" s="199"/>
      <c r="IB39" s="212"/>
      <c r="ID39" s="150">
        <v>32</v>
      </c>
      <c r="IE39" s="714">
        <v>49765</v>
      </c>
      <c r="IF39" s="205">
        <v>32</v>
      </c>
      <c r="IG39" s="205">
        <v>11111.11</v>
      </c>
      <c r="IH39" s="766">
        <v>2777.78</v>
      </c>
      <c r="II39" s="765">
        <v>260.42</v>
      </c>
      <c r="IJ39" s="198">
        <f t="shared" si="79"/>
        <v>3038.2</v>
      </c>
      <c r="IK39" s="212">
        <f t="shared" si="80"/>
        <v>3038.2</v>
      </c>
      <c r="IL39" s="761">
        <f t="shared" si="107"/>
        <v>10.010958904100001</v>
      </c>
      <c r="IM39" s="199" cm="1">
        <f t="array" ref="IM39">+ROUND(IF(IL39&lt;1,interpoler($A$5:$A$24,$B$5:$B$24,(IE39-$B$1)),interpoler($C$5:$C$24,$D$5:$D$24,IL39))+$IJ$2,5)</f>
        <v>4.6589999999999999E-2</v>
      </c>
      <c r="IN39" s="198">
        <f t="shared" si="81"/>
        <v>1925.9004</v>
      </c>
      <c r="IP39" s="1382"/>
      <c r="IQ39" s="714"/>
      <c r="IR39" s="205"/>
      <c r="IS39" s="205"/>
      <c r="IT39" s="766"/>
      <c r="IU39" s="765"/>
      <c r="IV39" s="198"/>
      <c r="IW39" s="212"/>
      <c r="IX39" s="761"/>
      <c r="IY39" s="199"/>
      <c r="IZ39" s="198"/>
      <c r="JD39" s="150"/>
      <c r="JE39" s="714"/>
      <c r="JF39" s="205"/>
      <c r="JG39" s="205"/>
      <c r="JH39" s="766"/>
      <c r="JI39" s="765"/>
      <c r="JJ39" s="198"/>
      <c r="JK39" s="212"/>
      <c r="JL39" s="761"/>
      <c r="JM39" s="199"/>
      <c r="JN39" s="198"/>
      <c r="JP39" s="150"/>
      <c r="JQ39" s="714"/>
      <c r="JR39" s="205"/>
      <c r="JS39" s="205"/>
      <c r="JT39" s="766"/>
      <c r="JU39" s="765"/>
      <c r="JV39" s="198"/>
      <c r="JW39" s="212"/>
      <c r="JX39" s="761"/>
      <c r="JY39" s="199"/>
      <c r="JZ39" s="198"/>
      <c r="KB39" s="714"/>
      <c r="KC39" s="205"/>
      <c r="KD39" s="205"/>
      <c r="KE39" s="766"/>
      <c r="KF39" s="765"/>
      <c r="KG39" s="198"/>
      <c r="KH39" s="212"/>
      <c r="KI39" s="761"/>
      <c r="KJ39" s="199"/>
      <c r="KK39" s="198"/>
      <c r="KN39" s="714"/>
      <c r="KO39" s="205"/>
      <c r="KP39" s="205"/>
      <c r="KQ39" s="766"/>
      <c r="KR39" s="765"/>
      <c r="KS39" s="198"/>
      <c r="KT39" s="212"/>
      <c r="KU39" s="761"/>
      <c r="KV39" s="199"/>
      <c r="KW39" s="1612"/>
    </row>
    <row r="40" spans="6:309" ht="15.75" thickBot="1" x14ac:dyDescent="0.3">
      <c r="F40" s="156"/>
      <c r="G40" s="150">
        <f t="shared" si="0"/>
        <v>0</v>
      </c>
      <c r="H40" s="115" t="s">
        <v>1363</v>
      </c>
      <c r="I40" s="174"/>
      <c r="J40" s="126"/>
      <c r="K40" s="127">
        <f>SUM(K8:K39)</f>
        <v>99999.99</v>
      </c>
      <c r="L40" s="139"/>
      <c r="M40" s="139"/>
      <c r="N40" s="139"/>
      <c r="O40" s="139"/>
      <c r="P40" s="139"/>
      <c r="Q40" s="139"/>
      <c r="R40" s="172"/>
      <c r="S40" s="150">
        <f t="shared" ref="S40:S71" si="143">+IF(Z40=0,0,S39+1)</f>
        <v>0</v>
      </c>
      <c r="T40" s="194">
        <v>40371</v>
      </c>
      <c r="U40" s="205">
        <v>33</v>
      </c>
      <c r="V40" s="196">
        <v>63036.160000000003</v>
      </c>
      <c r="W40" s="208">
        <v>4732.1400000000003</v>
      </c>
      <c r="X40" s="198">
        <f t="shared" ref="X40:X71" si="144">+ROUND($Y$1*V40/4,2)</f>
        <v>1153.56</v>
      </c>
      <c r="Y40" s="198">
        <f t="shared" ref="Y40:Y71" si="145">+ROUND(W40+X40,2)</f>
        <v>5885.7</v>
      </c>
      <c r="Z40" s="198">
        <f t="shared" ref="Z40:Z71" si="146">+IF($B$1&gt;=T40,0,Y40)</f>
        <v>0</v>
      </c>
      <c r="AA40" s="198">
        <f t="shared" ref="AA40:AA71" si="147">+IF(Z40=0,0,IF(S40=1,((S40-1)+(T40-$B$1)/(T40-T39))*0.25,AA39+0.25))</f>
        <v>0</v>
      </c>
      <c r="AB40" s="199" cm="1">
        <f t="array" ref="AB40">+ROUND(IF(AA40&lt;1,interpoler($A$5:$A$24,$B$5:$B$24,(T40-$B$1)),interpoler($C$5:$C$24,$D$5:$D$24,AA40))+$Y$2,6)</f>
        <v>3.0780999999999999E-2</v>
      </c>
      <c r="AC40" s="198">
        <f t="shared" ref="AC40:AC71" si="148">+Z40/(1+AB40)^AA40</f>
        <v>0</v>
      </c>
      <c r="AE40" s="150">
        <f t="shared" si="12"/>
        <v>0</v>
      </c>
      <c r="AF40" s="153" t="s">
        <v>1363</v>
      </c>
      <c r="AG40" s="175"/>
      <c r="AH40" s="152"/>
      <c r="AI40" s="152">
        <f>SUM(AI8:AI39)</f>
        <v>65291.786832740225</v>
      </c>
      <c r="AJ40" s="137"/>
      <c r="AK40" s="137"/>
      <c r="AL40" s="137"/>
      <c r="AM40" s="137"/>
      <c r="AN40" s="146"/>
      <c r="AO40" s="137"/>
      <c r="AP40" s="172"/>
      <c r="AQ40" s="150">
        <f t="shared" ref="AQ40:AQ71" si="149">+IF(AX40=0,0,AQ39+1)</f>
        <v>0</v>
      </c>
      <c r="AR40" s="194">
        <v>41620</v>
      </c>
      <c r="AS40" s="211">
        <v>42</v>
      </c>
      <c r="AT40" s="196">
        <f>AT39-AU39</f>
        <v>31557.339999999997</v>
      </c>
      <c r="AU40" s="196">
        <v>2679.17</v>
      </c>
      <c r="AV40" s="198">
        <f t="shared" ref="AV40:AV63" si="150">+ROUND($AW$1*AT40/4,2)</f>
        <v>504.13</v>
      </c>
      <c r="AW40" s="198">
        <f t="shared" ref="AW40:AW63" si="151">+ROUND(AU40+AV40,2)</f>
        <v>3183.3</v>
      </c>
      <c r="AX40" s="198">
        <f t="shared" ref="AX40:AX63" si="152">+IF($B$1&gt;=AR40,0,AW40)</f>
        <v>0</v>
      </c>
      <c r="AY40" s="198">
        <f t="shared" ref="AY40:AY63" si="153">+IF(AX40=0,0,IF(AQ40=1,((AQ40-1)+(AR40-$B$1)/(AR40-AR39))*0.25,AY39+0.25))</f>
        <v>0</v>
      </c>
      <c r="AZ40" s="199" cm="1">
        <f t="array" ref="AZ40">+ROUND(IF(AY40&lt;1,interpoler($A$5:$A$24,$B$5:$B$24,(AR40-$B$1)),interpoler($C$5:$C$24,$D$5:$D$24,AY40))+$AW$2,6)</f>
        <v>2.9780999999999998E-2</v>
      </c>
      <c r="BA40" s="198">
        <f t="shared" ref="BA40:BA63" si="154">+AX40/(1+AZ40)^AY40</f>
        <v>0</v>
      </c>
      <c r="BB40" s="221"/>
      <c r="BC40" s="599">
        <f t="shared" ref="BC40:BC64" si="155">+IF(BJ40=0,0,BC39+1)</f>
        <v>0</v>
      </c>
      <c r="BD40" s="669">
        <v>42808</v>
      </c>
      <c r="BE40" s="526">
        <v>33</v>
      </c>
      <c r="BF40" s="841">
        <v>29676.32</v>
      </c>
      <c r="BG40" s="835">
        <v>1671.2440266666667</v>
      </c>
      <c r="BH40" s="529">
        <f t="shared" si="90"/>
        <v>358.34</v>
      </c>
      <c r="BI40" s="529">
        <f t="shared" ref="BI40:BI63" si="156">+ROUND(BG40+BH40,2)</f>
        <v>2029.58</v>
      </c>
      <c r="BJ40" s="529">
        <f t="shared" ref="BJ40:BJ63" si="157">+IF($B$1&gt;=BD40,0,BI40)</f>
        <v>0</v>
      </c>
      <c r="BK40" s="529">
        <f t="shared" ref="BK40:BK63" si="158">+IF(BJ40=0,0,IF(BC40=1,((BC40-1)+(BD40-$B$1)/(BD40-BD39))*0.25,BK39+0.25))</f>
        <v>0</v>
      </c>
      <c r="BL40" s="530" cm="1">
        <f t="array" ref="BL40">+ROUND(IF(BK40&lt;1,interpoler($A$5:$A$24,$B$5:$B$24,(BD40-$B$1)),interpoler($C$5:$C$24,$D$5:$D$24,BK40))+$BI$2,5)</f>
        <v>3.3279999999999997E-2</v>
      </c>
      <c r="BM40" s="529">
        <f t="shared" ref="BM40:BM63" si="159">+BJ40/(1+BL40)^BK40</f>
        <v>0</v>
      </c>
      <c r="BN40" s="280"/>
      <c r="BP40" s="150"/>
      <c r="BQ40" s="116"/>
      <c r="BR40" s="133"/>
      <c r="BS40" s="134"/>
      <c r="BT40" s="134"/>
      <c r="BU40" s="137"/>
      <c r="BV40" s="137"/>
      <c r="BW40" s="137"/>
      <c r="BX40" s="137"/>
      <c r="BY40" s="146"/>
      <c r="BZ40" s="137"/>
      <c r="CB40" s="150">
        <f t="shared" ref="CB40:CB71" si="160">+IF(CI40=0,0,CB39+1)</f>
        <v>4</v>
      </c>
      <c r="CC40" s="1152">
        <v>46470</v>
      </c>
      <c r="CD40" s="205">
        <v>5</v>
      </c>
      <c r="CE40" s="1630">
        <v>65394.969999999987</v>
      </c>
      <c r="CF40" s="1627">
        <v>2209.54</v>
      </c>
      <c r="CG40" s="1633">
        <v>658.85</v>
      </c>
      <c r="CH40" s="198">
        <f t="shared" si="142"/>
        <v>2868.39</v>
      </c>
      <c r="CI40" s="198">
        <f t="shared" ref="CI40:CI71" si="161">+IF($B$1&gt;=CC40,0,CH40)</f>
        <v>2868.39</v>
      </c>
      <c r="CJ40" s="762">
        <f t="shared" si="139"/>
        <v>0.99456521740000003</v>
      </c>
      <c r="CK40" s="621" cm="1">
        <f t="array" ref="CK40">ROUND(interpoler(mat_zc,Taux_ZC,CJ40)+$CH$2,5)</f>
        <v>3.0630000000000001E-2</v>
      </c>
      <c r="CL40" s="762">
        <f t="shared" si="115"/>
        <v>2783.5987</v>
      </c>
      <c r="CM40" s="280"/>
      <c r="CN40" s="280"/>
      <c r="CO40" s="280"/>
      <c r="CP40" s="280"/>
      <c r="CQ40" s="280"/>
      <c r="CR40" s="280"/>
      <c r="CS40" s="280"/>
      <c r="CT40" s="280"/>
      <c r="CU40" s="280"/>
      <c r="CV40" s="280"/>
      <c r="CW40" s="280"/>
      <c r="CX40" s="280"/>
      <c r="CY40" s="280"/>
      <c r="DQ40" s="526">
        <f t="shared" si="42"/>
        <v>0</v>
      </c>
      <c r="DR40" s="525">
        <v>43937</v>
      </c>
      <c r="DS40" s="526">
        <v>33</v>
      </c>
      <c r="DT40" s="527">
        <f t="shared" si="94"/>
        <v>19725.12</v>
      </c>
      <c r="DU40" s="528">
        <v>1891.61</v>
      </c>
      <c r="DV40" s="529">
        <f t="shared" si="95"/>
        <v>240.49</v>
      </c>
      <c r="DW40" s="529">
        <f t="shared" si="43"/>
        <v>2132.1</v>
      </c>
      <c r="DX40" s="529">
        <f t="shared" si="44"/>
        <v>0</v>
      </c>
      <c r="DY40" s="529">
        <f t="shared" si="45"/>
        <v>0</v>
      </c>
      <c r="DZ40" s="530" cm="1">
        <f t="array" ref="DZ40">+ROUND(IF(DY40&lt;1,interpoler($A$5:$A$24,$B$5:$B$24,(DR40-$B$1)),interpoler($C$5:$C$24,$D$5:$D$24,DY40))+$DW$2,5)</f>
        <v>2.5680000000000001E-2</v>
      </c>
      <c r="EA40" s="529">
        <f t="shared" si="46"/>
        <v>0</v>
      </c>
      <c r="FD40" s="526">
        <f t="shared" si="56"/>
        <v>7</v>
      </c>
      <c r="FE40" s="1151">
        <v>46745</v>
      </c>
      <c r="FF40" s="797">
        <v>33</v>
      </c>
      <c r="FG40" s="1328">
        <v>18998.469999999968</v>
      </c>
      <c r="FH40" s="1626">
        <v>1759.42</v>
      </c>
      <c r="FI40" s="1626">
        <v>143.91</v>
      </c>
      <c r="FJ40" s="798">
        <f t="shared" si="57"/>
        <v>1903.33</v>
      </c>
      <c r="FK40" s="798">
        <f t="shared" si="58"/>
        <v>1903.33</v>
      </c>
      <c r="FL40" s="1027">
        <f t="shared" si="141"/>
        <v>1.7445652173999999</v>
      </c>
      <c r="FM40" s="199" cm="1">
        <f t="array" ref="FM40">+ROUND(interpoler(mat_zc,Taux_ZC,FL40)+$FI$2,5)</f>
        <v>3.0800000000000001E-2</v>
      </c>
      <c r="FN40" s="801">
        <f t="shared" si="140"/>
        <v>1805.2214100000001</v>
      </c>
      <c r="FO40" s="814"/>
      <c r="FP40" s="221"/>
      <c r="FQ40" s="526">
        <f t="shared" ref="FQ40:FQ62" si="162">+IF(FX40=0,0,FQ39+1)</f>
        <v>17</v>
      </c>
      <c r="FR40" s="1151">
        <v>47658</v>
      </c>
      <c r="FS40" s="205">
        <v>18</v>
      </c>
      <c r="FT40" s="1629">
        <v>100000</v>
      </c>
      <c r="FU40" s="1626">
        <v>0</v>
      </c>
      <c r="FV40" s="1632">
        <v>877.5</v>
      </c>
      <c r="FW40" s="798">
        <f t="shared" ref="FW40:FW62" si="163">+ROUND(FU40+FV40,2)</f>
        <v>877.5</v>
      </c>
      <c r="FX40" s="798">
        <f t="shared" ref="FX40:FX62" si="164">+IF($B$1&gt;=FR40,0,FW40)</f>
        <v>877.5</v>
      </c>
      <c r="FY40" s="799">
        <f t="shared" si="113"/>
        <v>4.2445652200000001</v>
      </c>
      <c r="FZ40" s="800" cm="1">
        <f t="array" ref="FZ40">+ROUND(IF(FY40&lt;1,interpoler($A$5:$A$24,$B$5:$B$24,(FR40-$B$1)),interpoler(CIH!$K$72:$K$103,CIH!$L$72:$L$103,FY40))+$FV$2,5)</f>
        <v>3.61E-2</v>
      </c>
      <c r="GA40" s="798">
        <f t="shared" ref="GA40:GA62" si="165">ROUND(+FX40/(1+FZ40)^FY40,5)</f>
        <v>754.87270000000001</v>
      </c>
      <c r="GB40" s="484"/>
      <c r="GC40" s="522"/>
      <c r="GD40" s="150">
        <f t="shared" ref="GD40:GD56" si="166">+IF(GK40=0,0,GD39+1)</f>
        <v>16</v>
      </c>
      <c r="GE40" s="1152">
        <v>47566</v>
      </c>
      <c r="GF40" s="205">
        <v>17</v>
      </c>
      <c r="GG40" s="1329">
        <v>24948.310000000038</v>
      </c>
      <c r="GH40" s="1627">
        <v>1855.23</v>
      </c>
      <c r="GI40" s="1627">
        <v>164.03</v>
      </c>
      <c r="GJ40" s="198">
        <f t="shared" ref="GJ40:GJ54" si="167">+ROUND(GH40+GI40,2)</f>
        <v>2019.26</v>
      </c>
      <c r="GK40" s="198">
        <f t="shared" ref="GK40:GK54" si="168">+IF($B$1&gt;=GE40,0,GJ40)</f>
        <v>2019.26</v>
      </c>
      <c r="GL40" s="447">
        <f t="shared" si="126"/>
        <v>3.9945652173999999</v>
      </c>
      <c r="GM40" s="199" cm="1">
        <f t="array" ref="GM40">ROUND(interpoler(mat_zc,Taux_ZC,GL40)+$GJ$2,5)</f>
        <v>3.4819999999999997E-2</v>
      </c>
      <c r="GN40" s="762">
        <f t="shared" si="102"/>
        <v>1761.2207000000001</v>
      </c>
      <c r="GO40" s="198"/>
      <c r="GQ40" s="150">
        <f t="shared" ref="GQ40:GQ72" si="169">+IF(GX40=0,0,GQ39+1)</f>
        <v>14</v>
      </c>
      <c r="GR40" s="1152">
        <v>47385</v>
      </c>
      <c r="GS40" s="205">
        <v>15</v>
      </c>
      <c r="GT40" s="1630">
        <v>76066.24000000002</v>
      </c>
      <c r="GU40" s="1627">
        <v>630.52</v>
      </c>
      <c r="GV40" s="1633">
        <v>589.51</v>
      </c>
      <c r="GW40" s="198">
        <f t="shared" ref="GW40:GW71" si="170">+ROUND(GU40+GV40,2)</f>
        <v>1220.03</v>
      </c>
      <c r="GX40" s="198">
        <f t="shared" ref="GX40:GX71" si="171">+IF($B$1&gt;=GR40,0,GW40)</f>
        <v>1220.03</v>
      </c>
      <c r="GY40" s="1042">
        <f t="shared" si="127"/>
        <v>3.4945652173999999</v>
      </c>
      <c r="GZ40" s="199" cm="1">
        <f t="array" ref="GZ40">+ROUND(IF(GY40&lt;1,interpoler($A$5:$A$24,$B$5:$B$24,(GR40-$B$1)),interpoler(CIH!$K$72:$K$103,CIH!$L$72:$L$103,GY40))+$GW$2,5)</f>
        <v>3.5540000000000002E-2</v>
      </c>
      <c r="HA40" s="212">
        <f t="shared" si="129"/>
        <v>1079.86349909249</v>
      </c>
      <c r="HE40" s="116"/>
      <c r="HF40" s="133"/>
      <c r="HG40" s="134"/>
      <c r="HH40" s="134"/>
      <c r="HI40" s="137"/>
      <c r="HJ40" s="137"/>
      <c r="HK40" s="137"/>
      <c r="HL40" s="137"/>
      <c r="HM40" s="146"/>
      <c r="HN40" s="137"/>
      <c r="HR40" s="150">
        <f t="shared" si="134"/>
        <v>0</v>
      </c>
      <c r="HS40" s="714"/>
      <c r="HT40" s="205"/>
      <c r="HU40" s="718"/>
      <c r="HV40" s="718"/>
      <c r="HW40" s="786"/>
      <c r="HX40" s="198"/>
      <c r="HY40" s="198"/>
      <c r="HZ40" s="198"/>
      <c r="IA40" s="199"/>
      <c r="IB40" s="212"/>
      <c r="ID40" s="150">
        <v>33</v>
      </c>
      <c r="IE40" s="714">
        <v>49948</v>
      </c>
      <c r="IF40" s="205">
        <v>33</v>
      </c>
      <c r="IG40" s="205">
        <v>8333.33</v>
      </c>
      <c r="IH40" s="766">
        <v>2777.78</v>
      </c>
      <c r="II40" s="765">
        <v>208.33</v>
      </c>
      <c r="IJ40" s="198">
        <f t="shared" si="79"/>
        <v>2986.11</v>
      </c>
      <c r="IK40" s="212">
        <f t="shared" si="80"/>
        <v>2986.11</v>
      </c>
      <c r="IL40" s="761">
        <f t="shared" si="107"/>
        <v>10.5273224044</v>
      </c>
      <c r="IM40" s="199" cm="1">
        <f t="array" ref="IM40">+ROUND(IF(IL40&lt;1,interpoler($A$5:$A$24,$B$5:$B$24,(IE40-$B$1)),interpoler($C$5:$C$24,$D$5:$D$24,IL40))+$IJ$2,5)</f>
        <v>4.6929999999999999E-2</v>
      </c>
      <c r="IN40" s="198">
        <f t="shared" si="81"/>
        <v>1842.5799</v>
      </c>
      <c r="IP40" s="1382"/>
      <c r="IQ40" s="714"/>
      <c r="IR40" s="205"/>
      <c r="IS40" s="205"/>
      <c r="IT40" s="766"/>
      <c r="IU40" s="765"/>
      <c r="IV40" s="198"/>
      <c r="IW40" s="212"/>
      <c r="IX40" s="761"/>
      <c r="IY40" s="199"/>
      <c r="IZ40" s="198"/>
      <c r="JD40" s="150"/>
      <c r="JE40" s="714"/>
      <c r="JF40" s="205"/>
      <c r="JG40" s="205"/>
      <c r="JH40" s="766"/>
      <c r="JI40" s="765"/>
      <c r="JJ40" s="198"/>
      <c r="JK40" s="212"/>
      <c r="JL40" s="761"/>
      <c r="JM40" s="199"/>
      <c r="JN40" s="198"/>
      <c r="JP40" s="150"/>
      <c r="JQ40" s="714"/>
      <c r="JR40" s="205"/>
      <c r="JS40" s="205"/>
      <c r="JT40" s="766"/>
      <c r="JU40" s="765"/>
      <c r="JV40" s="198"/>
      <c r="JW40" s="212"/>
      <c r="JX40" s="761"/>
      <c r="JY40" s="199"/>
      <c r="JZ40" s="198"/>
      <c r="KB40" s="714"/>
      <c r="KC40" s="205"/>
      <c r="KD40" s="205"/>
      <c r="KE40" s="766"/>
      <c r="KF40" s="765"/>
      <c r="KG40" s="198"/>
      <c r="KH40" s="212"/>
      <c r="KI40" s="761"/>
      <c r="KJ40" s="199"/>
      <c r="KK40" s="198"/>
      <c r="KN40" s="714"/>
      <c r="KO40" s="205"/>
      <c r="KP40" s="205"/>
      <c r="KQ40" s="766"/>
      <c r="KR40" s="765"/>
      <c r="KS40" s="198"/>
      <c r="KT40" s="212"/>
      <c r="KU40" s="761"/>
      <c r="KV40" s="199"/>
      <c r="KW40" s="1612"/>
    </row>
    <row r="41" spans="6:309" ht="15" x14ac:dyDescent="0.25">
      <c r="O41" s="109"/>
      <c r="P41" s="109"/>
      <c r="Q41" s="109"/>
      <c r="R41" s="172"/>
      <c r="S41" s="150">
        <f t="shared" si="143"/>
        <v>0</v>
      </c>
      <c r="T41" s="194">
        <v>40463</v>
      </c>
      <c r="U41" s="205">
        <v>34</v>
      </c>
      <c r="V41" s="196">
        <v>58304.02</v>
      </c>
      <c r="W41" s="196">
        <v>4464.67</v>
      </c>
      <c r="X41" s="198">
        <f t="shared" si="144"/>
        <v>1066.96</v>
      </c>
      <c r="Y41" s="198">
        <f t="shared" si="145"/>
        <v>5531.63</v>
      </c>
      <c r="Z41" s="198">
        <f t="shared" si="146"/>
        <v>0</v>
      </c>
      <c r="AA41" s="198">
        <f t="shared" si="147"/>
        <v>0</v>
      </c>
      <c r="AB41" s="199" cm="1">
        <f t="array" ref="AB41">+ROUND(IF(AA41&lt;1,interpoler($A$5:$A$24,$B$5:$B$24,(T41-$B$1)),interpoler($C$5:$C$24,$D$5:$D$24,AA41))+$Y$2,6)</f>
        <v>3.0780999999999999E-2</v>
      </c>
      <c r="AC41" s="198">
        <f t="shared" si="148"/>
        <v>0</v>
      </c>
      <c r="AP41" s="172"/>
      <c r="AQ41" s="150">
        <f t="shared" si="149"/>
        <v>0</v>
      </c>
      <c r="AR41" s="194">
        <v>41710</v>
      </c>
      <c r="AS41" s="211">
        <v>43</v>
      </c>
      <c r="AT41" s="196">
        <v>28878.17</v>
      </c>
      <c r="AU41" s="196">
        <v>2479.17</v>
      </c>
      <c r="AV41" s="198">
        <f t="shared" si="150"/>
        <v>461.33</v>
      </c>
      <c r="AW41" s="198">
        <f t="shared" si="151"/>
        <v>2940.5</v>
      </c>
      <c r="AX41" s="198">
        <f t="shared" si="152"/>
        <v>0</v>
      </c>
      <c r="AY41" s="198">
        <f t="shared" si="153"/>
        <v>0</v>
      </c>
      <c r="AZ41" s="199" cm="1">
        <f t="array" ref="AZ41">+ROUND(IF(AY41&lt;1,interpoler($A$5:$A$24,$B$5:$B$24,(AR41-$B$1)),interpoler($C$5:$C$24,$D$5:$D$24,AY41))+$AW$2,6)</f>
        <v>2.9780999999999998E-2</v>
      </c>
      <c r="BA41" s="198">
        <f t="shared" si="154"/>
        <v>0</v>
      </c>
      <c r="BB41" s="221"/>
      <c r="BC41" s="599">
        <f t="shared" si="155"/>
        <v>0</v>
      </c>
      <c r="BD41" s="669">
        <v>42900</v>
      </c>
      <c r="BE41" s="526">
        <v>34</v>
      </c>
      <c r="BF41" s="841">
        <f>BF40-BG40</f>
        <v>28005.075973333333</v>
      </c>
      <c r="BG41" s="835">
        <f>BF41-BF42</f>
        <v>1628.0459733333337</v>
      </c>
      <c r="BH41" s="529">
        <f t="shared" si="90"/>
        <v>338.16</v>
      </c>
      <c r="BI41" s="529">
        <f t="shared" si="156"/>
        <v>1966.21</v>
      </c>
      <c r="BJ41" s="529">
        <f t="shared" si="157"/>
        <v>0</v>
      </c>
      <c r="BK41" s="529">
        <f t="shared" si="158"/>
        <v>0</v>
      </c>
      <c r="BL41" s="530" cm="1">
        <f t="array" ref="BL41">+ROUND(IF(BK41&lt;1,interpoler($A$5:$A$24,$B$5:$B$24,(BD41-$B$1)),interpoler($C$5:$C$24,$D$5:$D$24,BK41))+$BI$2,5)</f>
        <v>3.3279999999999997E-2</v>
      </c>
      <c r="BM41" s="529">
        <f t="shared" si="159"/>
        <v>0</v>
      </c>
      <c r="BN41" s="280"/>
      <c r="BP41" s="150"/>
      <c r="BQ41" s="116"/>
      <c r="BR41" s="133"/>
      <c r="BS41" s="134"/>
      <c r="BT41" s="134"/>
      <c r="BU41" s="137"/>
      <c r="BV41" s="137"/>
      <c r="BW41" s="137"/>
      <c r="BX41" s="137"/>
      <c r="BY41" s="146"/>
      <c r="BZ41" s="137"/>
      <c r="CB41" s="150">
        <f t="shared" si="160"/>
        <v>5</v>
      </c>
      <c r="CC41" s="1151">
        <v>46562</v>
      </c>
      <c r="CD41" s="205">
        <v>6</v>
      </c>
      <c r="CE41" s="1629">
        <v>63185.429999999986</v>
      </c>
      <c r="CF41" s="1626">
        <v>2200.38</v>
      </c>
      <c r="CG41" s="1632">
        <v>636.59</v>
      </c>
      <c r="CH41" s="198">
        <f t="shared" si="142"/>
        <v>2836.97</v>
      </c>
      <c r="CI41" s="198">
        <f t="shared" si="161"/>
        <v>2836.97</v>
      </c>
      <c r="CJ41" s="762">
        <f t="shared" si="139"/>
        <v>1.2445652173999999</v>
      </c>
      <c r="CK41" s="621" cm="1">
        <f t="array" ref="CK41">ROUND(interpoler(mat_zc,Taux_ZC,CJ41)+$CH$2,5)</f>
        <v>3.1019999999999999E-2</v>
      </c>
      <c r="CL41" s="762">
        <f t="shared" si="115"/>
        <v>2731.1338000000001</v>
      </c>
      <c r="CM41" s="280"/>
      <c r="CN41" s="280"/>
      <c r="CO41" s="280"/>
      <c r="CP41" s="280"/>
      <c r="CQ41" s="280"/>
      <c r="CR41" s="280"/>
      <c r="CS41" s="280"/>
      <c r="CT41" s="280"/>
      <c r="CU41" s="280"/>
      <c r="CV41" s="280"/>
      <c r="CW41" s="280"/>
      <c r="CX41" s="280"/>
      <c r="CY41" s="280"/>
      <c r="DQ41" s="526">
        <f t="shared" si="42"/>
        <v>0</v>
      </c>
      <c r="DR41" s="525">
        <v>44028</v>
      </c>
      <c r="DS41" s="526">
        <v>34</v>
      </c>
      <c r="DT41" s="527">
        <f t="shared" si="94"/>
        <v>17882.25</v>
      </c>
      <c r="DU41" s="528">
        <v>1842.87</v>
      </c>
      <c r="DV41" s="529">
        <f t="shared" si="95"/>
        <v>219.44</v>
      </c>
      <c r="DW41" s="529">
        <f t="shared" si="43"/>
        <v>2062.31</v>
      </c>
      <c r="DX41" s="529">
        <f t="shared" si="44"/>
        <v>0</v>
      </c>
      <c r="DY41" s="529">
        <f t="shared" si="45"/>
        <v>0</v>
      </c>
      <c r="DZ41" s="530" cm="1">
        <f t="array" ref="DZ41">+ROUND(IF(DY41&lt;1,interpoler($A$5:$A$24,$B$5:$B$24,(DR41-$B$1)),interpoler($C$5:$C$24,$D$5:$D$24,DY41))+$DW$2,5)</f>
        <v>2.5680000000000001E-2</v>
      </c>
      <c r="EA41" s="529">
        <f t="shared" si="46"/>
        <v>0</v>
      </c>
      <c r="FD41" s="526">
        <f t="shared" si="56"/>
        <v>8</v>
      </c>
      <c r="FE41" s="1152">
        <v>46836</v>
      </c>
      <c r="FF41" s="797">
        <v>34</v>
      </c>
      <c r="FG41" s="1329">
        <v>17239.049999999967</v>
      </c>
      <c r="FH41" s="1627">
        <v>1739.89</v>
      </c>
      <c r="FI41" s="1627">
        <v>130.58000000000001</v>
      </c>
      <c r="FJ41" s="798">
        <f t="shared" si="57"/>
        <v>1870.47</v>
      </c>
      <c r="FK41" s="798">
        <f t="shared" si="58"/>
        <v>1870.47</v>
      </c>
      <c r="FL41" s="1027">
        <f t="shared" si="141"/>
        <v>1.9945652173999999</v>
      </c>
      <c r="FM41" s="199" cm="1">
        <f t="array" ref="FM41">+ROUND(interpoler(mat_zc,Taux_ZC,FL41)+$FI$2,5)</f>
        <v>3.1189999999999999E-2</v>
      </c>
      <c r="FN41" s="801">
        <f t="shared" si="140"/>
        <v>1759.32411</v>
      </c>
      <c r="FO41" s="813"/>
      <c r="FP41" s="221"/>
      <c r="FQ41" s="526">
        <f t="shared" si="162"/>
        <v>18</v>
      </c>
      <c r="FR41" s="1152">
        <v>47750</v>
      </c>
      <c r="FS41" s="205">
        <v>19</v>
      </c>
      <c r="FT41" s="1630">
        <v>100000</v>
      </c>
      <c r="FU41" s="1627">
        <v>3599.8</v>
      </c>
      <c r="FV41" s="1633">
        <v>877.5</v>
      </c>
      <c r="FW41" s="798">
        <f t="shared" si="163"/>
        <v>4477.3</v>
      </c>
      <c r="FX41" s="798">
        <f t="shared" si="164"/>
        <v>4477.3</v>
      </c>
      <c r="FY41" s="799">
        <f t="shared" si="113"/>
        <v>4.4945652200000001</v>
      </c>
      <c r="FZ41" s="800" cm="1">
        <f t="array" ref="FZ41">+ROUND(IF(FY41&lt;1,interpoler($A$5:$A$24,$B$5:$B$24,(FR41-$B$1)),interpoler(CIH!$K$72:$K$103,CIH!$L$72:$L$103,FY41))+$FV$2,5)</f>
        <v>3.6360000000000003E-2</v>
      </c>
      <c r="GA41" s="798">
        <f t="shared" si="165"/>
        <v>3813.3143</v>
      </c>
      <c r="GB41" s="484"/>
      <c r="GC41" s="522"/>
      <c r="GD41" s="150">
        <f t="shared" si="166"/>
        <v>17</v>
      </c>
      <c r="GE41" s="1151">
        <v>47658</v>
      </c>
      <c r="GF41" s="205">
        <v>18</v>
      </c>
      <c r="GG41" s="1328">
        <v>23093.080000000038</v>
      </c>
      <c r="GH41" s="1626">
        <v>1832.5</v>
      </c>
      <c r="GI41" s="1626">
        <v>151.83000000000001</v>
      </c>
      <c r="GJ41" s="198">
        <f t="shared" si="167"/>
        <v>1984.33</v>
      </c>
      <c r="GK41" s="198">
        <f t="shared" si="168"/>
        <v>1984.33</v>
      </c>
      <c r="GL41" s="447">
        <f t="shared" si="126"/>
        <v>4.2445652173999999</v>
      </c>
      <c r="GM41" s="199" cm="1">
        <f t="array" ref="GM41">ROUND(interpoler(mat_zc,Taux_ZC,GL41)+$GJ$2,5)</f>
        <v>3.5099999999999999E-2</v>
      </c>
      <c r="GN41" s="762">
        <f t="shared" si="102"/>
        <v>1714.0382999999999</v>
      </c>
      <c r="GO41" s="198"/>
      <c r="GQ41" s="150">
        <f t="shared" si="169"/>
        <v>15</v>
      </c>
      <c r="GR41" s="1151">
        <v>47476</v>
      </c>
      <c r="GS41" s="205">
        <v>16</v>
      </c>
      <c r="GT41" s="1629">
        <v>75435.720000000016</v>
      </c>
      <c r="GU41" s="1626">
        <v>627.1</v>
      </c>
      <c r="GV41" s="1632">
        <v>584.62</v>
      </c>
      <c r="GW41" s="198">
        <f t="shared" si="170"/>
        <v>1211.72</v>
      </c>
      <c r="GX41" s="198">
        <f t="shared" si="171"/>
        <v>1211.72</v>
      </c>
      <c r="GY41" s="1042">
        <f t="shared" si="127"/>
        <v>3.7445652173999999</v>
      </c>
      <c r="GZ41" s="199" cm="1">
        <f t="array" ref="GZ41">+ROUND(IF(GY41&lt;1,interpoler($A$5:$A$24,$B$5:$B$24,(GR41-$B$1)),interpoler(CIH!$K$72:$K$103,CIH!$L$72:$L$103,GY41))+$GW$2,5)</f>
        <v>3.5929999999999997E-2</v>
      </c>
      <c r="HA41" s="212">
        <f t="shared" si="129"/>
        <v>1061.68713639011</v>
      </c>
      <c r="HE41" s="116"/>
      <c r="HF41" s="133"/>
      <c r="HG41" s="134"/>
      <c r="HH41" s="134"/>
      <c r="HI41" s="137"/>
      <c r="HJ41" s="137"/>
      <c r="HK41" s="137"/>
      <c r="HL41" s="137"/>
      <c r="HM41" s="146"/>
      <c r="HN41" s="137"/>
      <c r="HR41" s="150">
        <f t="shared" si="134"/>
        <v>0</v>
      </c>
      <c r="HS41" s="714"/>
      <c r="HT41" s="205"/>
      <c r="HU41" s="718"/>
      <c r="HV41" s="718"/>
      <c r="HW41" s="786"/>
      <c r="HX41" s="198"/>
      <c r="HY41" s="198"/>
      <c r="HZ41" s="198"/>
      <c r="IA41" s="199"/>
      <c r="IB41" s="212"/>
      <c r="ID41" s="150">
        <v>34</v>
      </c>
      <c r="IE41" s="714">
        <v>50130</v>
      </c>
      <c r="IF41" s="205">
        <v>34</v>
      </c>
      <c r="IG41" s="205">
        <v>5555.56</v>
      </c>
      <c r="IH41" s="766">
        <v>2777.78</v>
      </c>
      <c r="II41" s="765">
        <v>155.82</v>
      </c>
      <c r="IJ41" s="198">
        <f t="shared" si="79"/>
        <v>2933.6</v>
      </c>
      <c r="IK41" s="212">
        <f t="shared" si="80"/>
        <v>2933.6</v>
      </c>
      <c r="IL41" s="761">
        <f t="shared" si="107"/>
        <v>11.010958904100001</v>
      </c>
      <c r="IM41" s="199" cm="1">
        <f t="array" ref="IM41">+ROUND(IF(IL41&lt;1,interpoler($A$5:$A$24,$B$5:$B$24,(IE41-$B$1)),interpoler($C$5:$C$24,$D$5:$D$24,IL41))+$IJ$2,5)</f>
        <v>4.7239999999999997E-2</v>
      </c>
      <c r="IN41" s="198">
        <f t="shared" si="81"/>
        <v>1764.7076999999999</v>
      </c>
      <c r="IP41" s="1382"/>
      <c r="IQ41" s="714"/>
      <c r="IR41" s="205"/>
      <c r="IS41" s="205"/>
      <c r="IT41" s="766"/>
      <c r="IU41" s="765"/>
      <c r="IV41" s="198"/>
      <c r="IW41" s="212"/>
      <c r="IX41" s="761"/>
      <c r="IY41" s="199"/>
      <c r="IZ41" s="198"/>
      <c r="JD41" s="150"/>
      <c r="JE41" s="714"/>
      <c r="JF41" s="205"/>
      <c r="JG41" s="205"/>
      <c r="JH41" s="766"/>
      <c r="JI41" s="765"/>
      <c r="JJ41" s="198"/>
      <c r="JK41" s="212"/>
      <c r="JL41" s="761"/>
      <c r="JM41" s="199"/>
      <c r="JN41" s="198"/>
      <c r="JP41" s="150"/>
      <c r="JQ41" s="714"/>
      <c r="JR41" s="205"/>
      <c r="JS41" s="205"/>
      <c r="JT41" s="766"/>
      <c r="JU41" s="765"/>
      <c r="JV41" s="198"/>
      <c r="JW41" s="212"/>
      <c r="JX41" s="761"/>
      <c r="JY41" s="199"/>
      <c r="JZ41" s="198"/>
      <c r="KB41" s="714"/>
      <c r="KC41" s="205"/>
      <c r="KD41" s="205"/>
      <c r="KE41" s="766"/>
      <c r="KF41" s="765"/>
      <c r="KG41" s="198"/>
      <c r="KH41" s="212"/>
      <c r="KI41" s="761"/>
      <c r="KJ41" s="199"/>
      <c r="KK41" s="198"/>
      <c r="KN41" s="714"/>
      <c r="KO41" s="205"/>
      <c r="KP41" s="205"/>
      <c r="KQ41" s="766"/>
      <c r="KR41" s="765"/>
      <c r="KS41" s="198"/>
      <c r="KT41" s="212"/>
      <c r="KU41" s="761"/>
      <c r="KV41" s="199"/>
      <c r="KW41" s="1612"/>
    </row>
    <row r="42" spans="6:309" ht="15" x14ac:dyDescent="0.25">
      <c r="O42" s="109"/>
      <c r="P42" s="109"/>
      <c r="Q42" s="109"/>
      <c r="R42" s="172"/>
      <c r="S42" s="150">
        <f t="shared" si="143"/>
        <v>0</v>
      </c>
      <c r="T42" s="194">
        <v>40555</v>
      </c>
      <c r="U42" s="205">
        <v>35</v>
      </c>
      <c r="V42" s="196">
        <v>53839.35</v>
      </c>
      <c r="W42" s="196">
        <v>4358.2299999999996</v>
      </c>
      <c r="X42" s="198">
        <f t="shared" si="144"/>
        <v>985.26</v>
      </c>
      <c r="Y42" s="198">
        <f t="shared" si="145"/>
        <v>5343.49</v>
      </c>
      <c r="Z42" s="198">
        <f t="shared" si="146"/>
        <v>0</v>
      </c>
      <c r="AA42" s="198">
        <f t="shared" si="147"/>
        <v>0</v>
      </c>
      <c r="AB42" s="199" cm="1">
        <f t="array" ref="AB42">+ROUND(IF(AA42&lt;1,interpoler($A$5:$A$24,$B$5:$B$24,(T42-$B$1)),interpoler($C$5:$C$24,$D$5:$D$24,AA42))+$Y$2,6)</f>
        <v>3.0780999999999999E-2</v>
      </c>
      <c r="AC42" s="198">
        <f t="shared" si="148"/>
        <v>0</v>
      </c>
      <c r="AP42" s="172"/>
      <c r="AQ42" s="150">
        <f t="shared" si="149"/>
        <v>0</v>
      </c>
      <c r="AR42" s="194">
        <v>41802</v>
      </c>
      <c r="AS42" s="211">
        <v>44</v>
      </c>
      <c r="AT42" s="196">
        <v>26399</v>
      </c>
      <c r="AU42" s="196">
        <v>2355.29</v>
      </c>
      <c r="AV42" s="198">
        <f t="shared" si="150"/>
        <v>421.72</v>
      </c>
      <c r="AW42" s="198">
        <f t="shared" si="151"/>
        <v>2777.01</v>
      </c>
      <c r="AX42" s="198">
        <f t="shared" si="152"/>
        <v>0</v>
      </c>
      <c r="AY42" s="198">
        <f t="shared" si="153"/>
        <v>0</v>
      </c>
      <c r="AZ42" s="199" cm="1">
        <f t="array" ref="AZ42">+ROUND(IF(AY42&lt;1,interpoler($A$5:$A$24,$B$5:$B$24,(AR42-$B$1)),interpoler($C$5:$C$24,$D$5:$D$24,AY42))+$AW$2,6)</f>
        <v>2.9780999999999998E-2</v>
      </c>
      <c r="BA42" s="198">
        <f t="shared" si="154"/>
        <v>0</v>
      </c>
      <c r="BB42" s="221"/>
      <c r="BC42" s="599">
        <f t="shared" si="155"/>
        <v>0</v>
      </c>
      <c r="BD42" s="669">
        <v>42992</v>
      </c>
      <c r="BE42" s="526">
        <v>35</v>
      </c>
      <c r="BF42" s="841">
        <v>26377.03</v>
      </c>
      <c r="BG42" s="835">
        <v>1676.7150368627449</v>
      </c>
      <c r="BH42" s="529">
        <f t="shared" si="90"/>
        <v>318.5</v>
      </c>
      <c r="BI42" s="529">
        <f t="shared" si="156"/>
        <v>1995.22</v>
      </c>
      <c r="BJ42" s="529">
        <f t="shared" si="157"/>
        <v>0</v>
      </c>
      <c r="BK42" s="529">
        <f t="shared" si="158"/>
        <v>0</v>
      </c>
      <c r="BL42" s="530" cm="1">
        <f t="array" ref="BL42">+ROUND(IF(BK42&lt;1,interpoler($A$5:$A$24,$B$5:$B$24,(BD42-$B$1)),interpoler($C$5:$C$24,$D$5:$D$24,BK42))+$BI$2,5)</f>
        <v>3.3279999999999997E-2</v>
      </c>
      <c r="BM42" s="529">
        <f t="shared" si="159"/>
        <v>0</v>
      </c>
      <c r="BN42" s="280"/>
      <c r="BP42" s="150"/>
      <c r="BQ42" s="116"/>
      <c r="BR42" s="133"/>
      <c r="BS42" s="305"/>
      <c r="BT42" s="134"/>
      <c r="BU42" s="137"/>
      <c r="BV42" s="137"/>
      <c r="BW42" s="137"/>
      <c r="BX42" s="137"/>
      <c r="BY42" s="146"/>
      <c r="BZ42" s="137"/>
      <c r="CB42" s="150">
        <f t="shared" si="160"/>
        <v>6</v>
      </c>
      <c r="CC42" s="1152">
        <v>46654</v>
      </c>
      <c r="CD42" s="205">
        <v>7</v>
      </c>
      <c r="CE42" s="1630">
        <v>60985.049999999988</v>
      </c>
      <c r="CF42" s="1627">
        <v>2190.8000000000002</v>
      </c>
      <c r="CG42" s="1633">
        <v>614.41999999999996</v>
      </c>
      <c r="CH42" s="198">
        <f t="shared" si="142"/>
        <v>2805.22</v>
      </c>
      <c r="CI42" s="198">
        <f t="shared" si="161"/>
        <v>2805.22</v>
      </c>
      <c r="CJ42" s="762">
        <f t="shared" si="139"/>
        <v>1.4945652173999999</v>
      </c>
      <c r="CK42" s="621" cm="1">
        <f t="array" ref="CK42">ROUND(interpoler(mat_zc,Taux_ZC,CJ42)+$CH$2,5)</f>
        <v>3.141E-2</v>
      </c>
      <c r="CL42" s="762">
        <f t="shared" si="115"/>
        <v>2678.5077999999999</v>
      </c>
      <c r="CM42" s="280"/>
      <c r="CN42" s="280"/>
      <c r="CO42" s="280"/>
      <c r="CP42" s="280"/>
      <c r="CQ42" s="280"/>
      <c r="CR42" s="280"/>
      <c r="CS42" s="280"/>
      <c r="CT42" s="280"/>
      <c r="CU42" s="280"/>
      <c r="CV42" s="280"/>
      <c r="CW42" s="280"/>
      <c r="CX42" s="280"/>
      <c r="CY42" s="280"/>
      <c r="DQ42" s="526">
        <f t="shared" si="42"/>
        <v>0</v>
      </c>
      <c r="DR42" s="525">
        <v>44120</v>
      </c>
      <c r="DS42" s="526">
        <v>35</v>
      </c>
      <c r="DT42" s="527">
        <f t="shared" si="94"/>
        <v>16096.869999999999</v>
      </c>
      <c r="DU42" s="528">
        <v>1785.38</v>
      </c>
      <c r="DV42" s="529">
        <f t="shared" si="95"/>
        <v>198.94</v>
      </c>
      <c r="DW42" s="529">
        <f t="shared" si="43"/>
        <v>1984.32</v>
      </c>
      <c r="DX42" s="529">
        <f t="shared" si="44"/>
        <v>0</v>
      </c>
      <c r="DY42" s="529">
        <f t="shared" si="45"/>
        <v>0</v>
      </c>
      <c r="DZ42" s="530" cm="1">
        <f t="array" ref="DZ42">+ROUND(IF(DY42&lt;1,interpoler($A$5:$A$24,$B$5:$B$24,(DR42-$B$1)),interpoler($C$5:$C$24,$D$5:$D$24,DY42))+$DW$2,5)</f>
        <v>2.5680000000000001E-2</v>
      </c>
      <c r="EA42" s="529">
        <f t="shared" si="46"/>
        <v>0</v>
      </c>
      <c r="FD42" s="526">
        <f t="shared" si="56"/>
        <v>9</v>
      </c>
      <c r="FE42" s="1151">
        <v>46928</v>
      </c>
      <c r="FF42" s="797">
        <v>35</v>
      </c>
      <c r="FG42" s="1328">
        <v>15499.159999999967</v>
      </c>
      <c r="FH42" s="1626">
        <v>1713.61</v>
      </c>
      <c r="FI42" s="1626">
        <v>117.4</v>
      </c>
      <c r="FJ42" s="798">
        <f t="shared" si="57"/>
        <v>1831.01</v>
      </c>
      <c r="FK42" s="798">
        <f t="shared" si="58"/>
        <v>1831.01</v>
      </c>
      <c r="FL42" s="1027">
        <f t="shared" si="141"/>
        <v>2.2445652173999999</v>
      </c>
      <c r="FM42" s="199" cm="1">
        <f t="array" ref="FM42">+ROUND(interpoler(mat_zc,Taux_ZC,FL42)+$FI$2,5)</f>
        <v>3.1579999999999997E-2</v>
      </c>
      <c r="FN42" s="801">
        <f t="shared" si="140"/>
        <v>1707.5858499999999</v>
      </c>
      <c r="FO42" s="814"/>
      <c r="FP42" s="221"/>
      <c r="FQ42" s="526">
        <f t="shared" si="162"/>
        <v>19</v>
      </c>
      <c r="FR42" s="1151">
        <v>47841</v>
      </c>
      <c r="FS42" s="205">
        <v>20</v>
      </c>
      <c r="FT42" s="1629">
        <v>96400.2</v>
      </c>
      <c r="FU42" s="1626">
        <v>5837.24</v>
      </c>
      <c r="FV42" s="1632">
        <v>845.91</v>
      </c>
      <c r="FW42" s="798">
        <f t="shared" si="163"/>
        <v>6683.15</v>
      </c>
      <c r="FX42" s="798">
        <f t="shared" si="164"/>
        <v>6683.15</v>
      </c>
      <c r="FY42" s="799">
        <f t="shared" si="113"/>
        <v>4.7445652200000001</v>
      </c>
      <c r="FZ42" s="800" cm="1">
        <f t="array" ref="FZ42">+ROUND(IF(FY42&lt;1,interpoler($A$5:$A$24,$B$5:$B$24,(FR42-$B$1)),interpoler(CIH!$K$72:$K$103,CIH!$L$72:$L$103,FY42))+$FV$2,5)</f>
        <v>3.6630000000000003E-2</v>
      </c>
      <c r="GA42" s="798">
        <f t="shared" si="165"/>
        <v>5634.4716500000004</v>
      </c>
      <c r="GB42" s="484"/>
      <c r="GC42" s="522"/>
      <c r="GD42" s="150">
        <f t="shared" si="166"/>
        <v>18</v>
      </c>
      <c r="GE42" s="1152">
        <v>47750</v>
      </c>
      <c r="GF42" s="205">
        <v>19</v>
      </c>
      <c r="GG42" s="1329">
        <v>21260.580000000038</v>
      </c>
      <c r="GH42" s="1627">
        <v>1805.71</v>
      </c>
      <c r="GI42" s="1627">
        <v>139.78</v>
      </c>
      <c r="GJ42" s="198">
        <f t="shared" si="167"/>
        <v>1945.49</v>
      </c>
      <c r="GK42" s="198">
        <f t="shared" si="168"/>
        <v>1945.49</v>
      </c>
      <c r="GL42" s="447">
        <f t="shared" si="126"/>
        <v>4.4945652173999999</v>
      </c>
      <c r="GM42" s="199" cm="1">
        <f t="array" ref="GM42">ROUND(interpoler(mat_zc,Taux_ZC,GL42)+$GJ$2,5)</f>
        <v>3.5360000000000003E-2</v>
      </c>
      <c r="GN42" s="762">
        <f t="shared" si="102"/>
        <v>1664.1781000000001</v>
      </c>
      <c r="GO42" s="198"/>
      <c r="GQ42" s="150">
        <f t="shared" si="169"/>
        <v>16</v>
      </c>
      <c r="GR42" s="1152">
        <v>47566</v>
      </c>
      <c r="GS42" s="205">
        <v>17</v>
      </c>
      <c r="GT42" s="1630">
        <v>74808.62000000001</v>
      </c>
      <c r="GU42" s="1627">
        <v>622.71</v>
      </c>
      <c r="GV42" s="1633">
        <v>579.76</v>
      </c>
      <c r="GW42" s="198">
        <f t="shared" si="170"/>
        <v>1202.47</v>
      </c>
      <c r="GX42" s="198">
        <f t="shared" si="171"/>
        <v>1202.47</v>
      </c>
      <c r="GY42" s="1042">
        <f t="shared" si="127"/>
        <v>3.9945652173999999</v>
      </c>
      <c r="GZ42" s="199" cm="1">
        <f t="array" ref="GZ42">+ROUND(IF(GY42&lt;1,interpoler($A$5:$A$24,$B$5:$B$24,(GR42-$B$1)),interpoler(CIH!$K$72:$K$103,CIH!$L$72:$L$103,GY42))+$GW$2,5)</f>
        <v>3.6319999999999998E-2</v>
      </c>
      <c r="HA42" s="212">
        <f t="shared" si="129"/>
        <v>1042.7565755322501</v>
      </c>
      <c r="HE42" s="278"/>
      <c r="HF42" s="133"/>
      <c r="HG42" s="305"/>
      <c r="HH42" s="134"/>
      <c r="HI42" s="50"/>
      <c r="HJ42" s="50"/>
      <c r="HK42" s="50"/>
      <c r="HL42" s="672"/>
      <c r="HM42" s="50"/>
      <c r="HN42" s="50"/>
      <c r="HR42" s="150">
        <f t="shared" si="134"/>
        <v>0</v>
      </c>
      <c r="HS42" s="714"/>
      <c r="HT42" s="205"/>
      <c r="HU42" s="718"/>
      <c r="HV42" s="718"/>
      <c r="HW42" s="786"/>
      <c r="HX42" s="198"/>
      <c r="HY42" s="198"/>
      <c r="HZ42" s="198"/>
      <c r="IA42" s="199"/>
      <c r="IB42" s="212"/>
      <c r="ID42" s="150">
        <v>35</v>
      </c>
      <c r="IE42" s="714">
        <v>50313</v>
      </c>
      <c r="IF42" s="205">
        <v>35</v>
      </c>
      <c r="IG42" s="205">
        <v>2777.78</v>
      </c>
      <c r="IH42" s="766">
        <v>2777.78</v>
      </c>
      <c r="II42" s="765">
        <v>104.45</v>
      </c>
      <c r="IJ42" s="198">
        <f t="shared" si="79"/>
        <v>2882.23</v>
      </c>
      <c r="IK42" s="212">
        <f t="shared" si="80"/>
        <v>2882.23</v>
      </c>
      <c r="IL42" s="761">
        <f t="shared" si="107"/>
        <v>11.5273224044</v>
      </c>
      <c r="IM42" s="199" cm="1">
        <f t="array" ref="IM42">+ROUND(IF(IL42&lt;1,interpoler($A$5:$A$24,$B$5:$B$24,(IE42-$B$1)),interpoler($C$5:$C$24,$D$5:$D$24,IL42))+$IJ$2,5)</f>
        <v>4.7579999999999997E-2</v>
      </c>
      <c r="IN42" s="198">
        <f t="shared" si="81"/>
        <v>1686.6474000000001</v>
      </c>
      <c r="IP42" s="1382"/>
      <c r="IQ42" s="714"/>
      <c r="IR42" s="205"/>
      <c r="IS42" s="205"/>
      <c r="IT42" s="766"/>
      <c r="IU42" s="765"/>
      <c r="IV42" s="198"/>
      <c r="IW42" s="212"/>
      <c r="IX42" s="761"/>
      <c r="IY42" s="199"/>
      <c r="IZ42" s="198"/>
      <c r="JD42" s="150"/>
      <c r="JE42" s="714"/>
      <c r="JF42" s="205"/>
      <c r="JG42" s="205"/>
      <c r="JH42" s="766"/>
      <c r="JI42" s="765"/>
      <c r="JJ42" s="198"/>
      <c r="JK42" s="212"/>
      <c r="JL42" s="761"/>
      <c r="JM42" s="199"/>
      <c r="JN42" s="198"/>
      <c r="JP42" s="150"/>
      <c r="JQ42" s="714"/>
      <c r="JR42" s="205"/>
      <c r="JS42" s="205"/>
      <c r="JT42" s="766"/>
      <c r="JU42" s="765"/>
      <c r="JV42" s="198"/>
      <c r="JW42" s="212"/>
      <c r="JX42" s="761"/>
      <c r="JY42" s="199"/>
      <c r="JZ42" s="198"/>
      <c r="KB42" s="714"/>
      <c r="KC42" s="205"/>
      <c r="KD42" s="205"/>
      <c r="KE42" s="766"/>
      <c r="KF42" s="765"/>
      <c r="KG42" s="198"/>
      <c r="KH42" s="212"/>
      <c r="KI42" s="761"/>
      <c r="KJ42" s="199"/>
      <c r="KK42" s="198"/>
      <c r="KN42" s="714"/>
      <c r="KO42" s="205"/>
      <c r="KP42" s="205"/>
      <c r="KQ42" s="766"/>
      <c r="KR42" s="765"/>
      <c r="KS42" s="198"/>
      <c r="KT42" s="212"/>
      <c r="KU42" s="761"/>
      <c r="KV42" s="199"/>
      <c r="KW42" s="1612"/>
    </row>
    <row r="43" spans="6:309" ht="15.75" thickBot="1" x14ac:dyDescent="0.3">
      <c r="O43" s="109"/>
      <c r="P43" s="109"/>
      <c r="Q43" s="109"/>
      <c r="R43" s="172"/>
      <c r="S43" s="150">
        <f t="shared" si="143"/>
        <v>0</v>
      </c>
      <c r="T43" s="194">
        <v>40645</v>
      </c>
      <c r="U43" s="205">
        <v>36</v>
      </c>
      <c r="V43" s="196">
        <v>49481.120000000003</v>
      </c>
      <c r="W43" s="196">
        <v>4356.82</v>
      </c>
      <c r="X43" s="198">
        <f t="shared" si="144"/>
        <v>905.5</v>
      </c>
      <c r="Y43" s="198">
        <f t="shared" si="145"/>
        <v>5262.32</v>
      </c>
      <c r="Z43" s="198">
        <f t="shared" si="146"/>
        <v>0</v>
      </c>
      <c r="AA43" s="198">
        <f t="shared" si="147"/>
        <v>0</v>
      </c>
      <c r="AB43" s="199" cm="1">
        <f t="array" ref="AB43">+ROUND(IF(AA43&lt;1,interpoler($A$5:$A$24,$B$5:$B$24,(T43-$B$1)),interpoler($C$5:$C$24,$D$5:$D$24,AA43))+$Y$2,6)</f>
        <v>3.0780999999999999E-2</v>
      </c>
      <c r="AC43" s="198">
        <f t="shared" si="148"/>
        <v>0</v>
      </c>
      <c r="AP43" s="172"/>
      <c r="AQ43" s="150">
        <f t="shared" si="149"/>
        <v>0</v>
      </c>
      <c r="AR43" s="310">
        <v>41894</v>
      </c>
      <c r="AS43" s="311">
        <v>45</v>
      </c>
      <c r="AT43" s="312">
        <v>24043.71</v>
      </c>
      <c r="AU43" s="312">
        <v>2004.3</v>
      </c>
      <c r="AV43" s="313">
        <f t="shared" si="150"/>
        <v>384.1</v>
      </c>
      <c r="AW43" s="137">
        <f t="shared" si="151"/>
        <v>2388.4</v>
      </c>
      <c r="AX43" s="137">
        <f t="shared" si="152"/>
        <v>0</v>
      </c>
      <c r="AY43" s="137">
        <f t="shared" si="153"/>
        <v>0</v>
      </c>
      <c r="AZ43" s="146" cm="1">
        <f t="array" ref="AZ43">+ROUND(IF(AY43&lt;1,interpoler($A$5:$A$24,$B$5:$B$24,(AR43-$B$1)),interpoler($C$5:$C$24,$D$5:$D$24,AY43))+$AW$2,5)</f>
        <v>2.9780000000000001E-2</v>
      </c>
      <c r="BA43" s="137">
        <f t="shared" si="154"/>
        <v>0</v>
      </c>
      <c r="BB43" s="221"/>
      <c r="BC43" s="599">
        <f t="shared" si="155"/>
        <v>0</v>
      </c>
      <c r="BD43" s="669">
        <v>43083</v>
      </c>
      <c r="BE43" s="526">
        <v>36</v>
      </c>
      <c r="BF43" s="841">
        <v>24867.33</v>
      </c>
      <c r="BG43" s="835">
        <v>1505.8310894117601</v>
      </c>
      <c r="BH43" s="529">
        <f t="shared" si="90"/>
        <v>300.27</v>
      </c>
      <c r="BI43" s="529">
        <f t="shared" si="156"/>
        <v>1806.1</v>
      </c>
      <c r="BJ43" s="529">
        <f t="shared" si="157"/>
        <v>0</v>
      </c>
      <c r="BK43" s="529">
        <f t="shared" si="158"/>
        <v>0</v>
      </c>
      <c r="BL43" s="530" cm="1">
        <f t="array" ref="BL43">+ROUND(IF(BK43&lt;1,interpoler($A$5:$A$24,$B$5:$B$24,(BD43-$B$1)),interpoler($C$5:$C$24,$D$5:$D$24,BK43))+$BI$2,5)</f>
        <v>3.3279999999999997E-2</v>
      </c>
      <c r="BM43" s="529">
        <f t="shared" si="159"/>
        <v>0</v>
      </c>
      <c r="BN43" s="280"/>
      <c r="BP43" s="150"/>
      <c r="BQ43" s="116"/>
      <c r="BR43" s="133"/>
      <c r="BS43" s="134"/>
      <c r="BT43" s="134"/>
      <c r="BU43" s="137"/>
      <c r="BV43" s="137"/>
      <c r="BW43" s="137"/>
      <c r="BX43" s="137"/>
      <c r="BY43" s="146"/>
      <c r="BZ43" s="137"/>
      <c r="CB43" s="150">
        <f t="shared" si="160"/>
        <v>7</v>
      </c>
      <c r="CC43" s="1151">
        <v>46745</v>
      </c>
      <c r="CD43" s="205">
        <v>8</v>
      </c>
      <c r="CE43" s="1629">
        <v>58794.249999999985</v>
      </c>
      <c r="CF43" s="1626">
        <v>2182.59</v>
      </c>
      <c r="CG43" s="1632">
        <v>592.35</v>
      </c>
      <c r="CH43" s="198">
        <f t="shared" si="142"/>
        <v>2774.94</v>
      </c>
      <c r="CI43" s="198">
        <f t="shared" si="161"/>
        <v>2774.94</v>
      </c>
      <c r="CJ43" s="762">
        <f t="shared" si="139"/>
        <v>1.7445652173999999</v>
      </c>
      <c r="CK43" s="621" cm="1">
        <f t="array" ref="CK43">ROUND(interpoler(mat_zc,Taux_ZC,CJ43)+$CH$2,5)</f>
        <v>3.1800000000000002E-2</v>
      </c>
      <c r="CL43" s="762">
        <f t="shared" si="115"/>
        <v>2627.4551999999999</v>
      </c>
      <c r="CM43" s="280"/>
      <c r="CN43" s="280"/>
      <c r="CO43" s="280"/>
      <c r="CP43" s="280"/>
      <c r="CQ43" s="280"/>
      <c r="CR43" s="280"/>
      <c r="CS43" s="280"/>
      <c r="CT43" s="280"/>
      <c r="CU43" s="280"/>
      <c r="CV43" s="280"/>
      <c r="CW43" s="280"/>
      <c r="CX43" s="280"/>
      <c r="CY43" s="280"/>
      <c r="DQ43" s="526">
        <f t="shared" si="42"/>
        <v>0</v>
      </c>
      <c r="DR43" s="525">
        <v>44212</v>
      </c>
      <c r="DS43" s="526">
        <v>36</v>
      </c>
      <c r="DT43" s="527">
        <f t="shared" si="94"/>
        <v>14366.869999999999</v>
      </c>
      <c r="DU43" s="528">
        <v>1730</v>
      </c>
      <c r="DV43" s="529">
        <f t="shared" si="95"/>
        <v>179.08</v>
      </c>
      <c r="DW43" s="529">
        <f t="shared" si="43"/>
        <v>1909.08</v>
      </c>
      <c r="DX43" s="529">
        <f t="shared" si="44"/>
        <v>0</v>
      </c>
      <c r="DY43" s="529">
        <f t="shared" si="45"/>
        <v>0</v>
      </c>
      <c r="DZ43" s="530" cm="1">
        <f t="array" ref="DZ43">+ROUND(IF(DY43&lt;1,interpoler($A$5:$A$24,$B$5:$B$24,(DR43-$B$1)),interpoler($C$5:$C$24,$D$5:$D$24,DY43))+$DW$2,5)</f>
        <v>2.5680000000000001E-2</v>
      </c>
      <c r="EA43" s="529">
        <f t="shared" si="46"/>
        <v>0</v>
      </c>
      <c r="FD43" s="526">
        <f t="shared" si="56"/>
        <v>10</v>
      </c>
      <c r="FE43" s="1152">
        <v>47020</v>
      </c>
      <c r="FF43" s="797">
        <v>36</v>
      </c>
      <c r="FG43" s="1329">
        <v>13785.549999999967</v>
      </c>
      <c r="FH43" s="1627">
        <v>1690.2</v>
      </c>
      <c r="FI43" s="1627">
        <v>104.42</v>
      </c>
      <c r="FJ43" s="798">
        <f t="shared" si="57"/>
        <v>1794.62</v>
      </c>
      <c r="FK43" s="798">
        <f t="shared" si="58"/>
        <v>1794.62</v>
      </c>
      <c r="FL43" s="1027">
        <f t="shared" si="141"/>
        <v>2.4945652173999999</v>
      </c>
      <c r="FM43" s="199" cm="1">
        <f t="array" ref="FM43">+ROUND(interpoler(mat_zc,Taux_ZC,FL43)+$FI$2,5)</f>
        <v>3.1969999999999998E-2</v>
      </c>
      <c r="FN43" s="801">
        <f t="shared" si="140"/>
        <v>1659.1249700000001</v>
      </c>
      <c r="FO43" s="813"/>
      <c r="FP43" s="221"/>
      <c r="FQ43" s="526">
        <f t="shared" si="162"/>
        <v>20</v>
      </c>
      <c r="FR43" s="1152">
        <v>47931</v>
      </c>
      <c r="FS43" s="205">
        <v>21</v>
      </c>
      <c r="FT43" s="1630">
        <v>90562.959999999992</v>
      </c>
      <c r="FU43" s="1627">
        <v>5756.79</v>
      </c>
      <c r="FV43" s="1633">
        <v>794.68</v>
      </c>
      <c r="FW43" s="798">
        <f t="shared" si="163"/>
        <v>6551.47</v>
      </c>
      <c r="FX43" s="798">
        <f t="shared" si="164"/>
        <v>6551.47</v>
      </c>
      <c r="FY43" s="799">
        <f t="shared" si="113"/>
        <v>4.9945652200000001</v>
      </c>
      <c r="FZ43" s="800" cm="1">
        <f t="array" ref="FZ43">+ROUND(IF(FY43&lt;1,interpoler($A$5:$A$24,$B$5:$B$24,(FR43-$B$1)),interpoler(CIH!$K$72:$K$103,CIH!$L$72:$L$103,FY43))+$FV$2,5)</f>
        <v>3.6900000000000002E-2</v>
      </c>
      <c r="GA43" s="798">
        <f t="shared" si="165"/>
        <v>5466.88465</v>
      </c>
      <c r="GB43" s="484"/>
      <c r="GC43" s="522"/>
      <c r="GD43" s="150">
        <f t="shared" si="166"/>
        <v>19</v>
      </c>
      <c r="GE43" s="1151">
        <v>47841</v>
      </c>
      <c r="GF43" s="205">
        <v>20</v>
      </c>
      <c r="GG43" s="1328">
        <v>19454.870000000039</v>
      </c>
      <c r="GH43" s="1626">
        <v>1786.49</v>
      </c>
      <c r="GI43" s="1626">
        <v>127.91</v>
      </c>
      <c r="GJ43" s="198">
        <f t="shared" si="167"/>
        <v>1914.4</v>
      </c>
      <c r="GK43" s="198">
        <f t="shared" si="168"/>
        <v>1914.4</v>
      </c>
      <c r="GL43" s="447">
        <f t="shared" si="126"/>
        <v>4.7445652173999999</v>
      </c>
      <c r="GM43" s="199" cm="1">
        <f t="array" ref="GM43">ROUND(interpoler(mat_zc,Taux_ZC,GL43)+$GJ$2,5)</f>
        <v>3.5630000000000002E-2</v>
      </c>
      <c r="GN43" s="762">
        <f t="shared" si="102"/>
        <v>1621.4119000000001</v>
      </c>
      <c r="GO43" s="198"/>
      <c r="GQ43" s="150">
        <f t="shared" si="169"/>
        <v>17</v>
      </c>
      <c r="GR43" s="1151">
        <v>47658</v>
      </c>
      <c r="GS43" s="205">
        <v>18</v>
      </c>
      <c r="GT43" s="1629">
        <v>74185.91</v>
      </c>
      <c r="GU43" s="1626">
        <v>615.07000000000005</v>
      </c>
      <c r="GV43" s="1632">
        <v>574.94000000000005</v>
      </c>
      <c r="GW43" s="198">
        <f t="shared" si="170"/>
        <v>1190.01</v>
      </c>
      <c r="GX43" s="198">
        <f t="shared" si="171"/>
        <v>1190.01</v>
      </c>
      <c r="GY43" s="1042">
        <f t="shared" si="127"/>
        <v>4.2445652173999999</v>
      </c>
      <c r="GZ43" s="199" cm="1">
        <f t="array" ref="GZ43">+ROUND(IF(GY43&lt;1,interpoler($A$5:$A$24,$B$5:$B$24,(GR43-$B$1)),interpoler(CIH!$K$72:$K$103,CIH!$L$72:$L$103,GY43))+$GW$2,5)</f>
        <v>3.6600000000000001E-2</v>
      </c>
      <c r="HA43" s="212">
        <f t="shared" si="129"/>
        <v>1021.61635115592</v>
      </c>
      <c r="HE43" s="194"/>
      <c r="HF43" s="133"/>
      <c r="HG43" s="134"/>
      <c r="HH43" s="134"/>
      <c r="HI43" s="198"/>
      <c r="HJ43" s="198"/>
      <c r="HK43" s="198"/>
      <c r="HL43" s="198"/>
      <c r="HM43" s="199"/>
      <c r="HN43" s="198"/>
      <c r="HR43" s="150">
        <f t="shared" si="134"/>
        <v>0</v>
      </c>
      <c r="HS43" s="714"/>
      <c r="HT43" s="205"/>
      <c r="HU43" s="718"/>
      <c r="HV43" s="718"/>
      <c r="HW43" s="786"/>
      <c r="HX43" s="198"/>
      <c r="HY43" s="198"/>
      <c r="HZ43" s="198"/>
      <c r="IA43" s="199"/>
      <c r="IB43" s="212"/>
      <c r="ID43" s="150">
        <v>36</v>
      </c>
      <c r="IE43" s="714">
        <v>50495</v>
      </c>
      <c r="IF43" s="205">
        <v>36</v>
      </c>
      <c r="IG43" s="205">
        <v>0</v>
      </c>
      <c r="IH43" s="766">
        <v>2777.78</v>
      </c>
      <c r="II43" s="765">
        <v>51.94</v>
      </c>
      <c r="IJ43" s="198">
        <f t="shared" si="79"/>
        <v>2829.72</v>
      </c>
      <c r="IK43" s="212">
        <f t="shared" si="80"/>
        <v>2829.72</v>
      </c>
      <c r="IL43" s="761">
        <f t="shared" si="107"/>
        <v>12.010958904100001</v>
      </c>
      <c r="IM43" s="199" cm="1">
        <f t="array" ref="IM43">+ROUND(IF(IL43&lt;1,interpoler($A$5:$A$24,$B$5:$B$24,(IE43-$B$1)),interpoler($C$5:$C$24,$D$5:$D$24,IL43))+$IJ$2,5)</f>
        <v>4.7899999999999998E-2</v>
      </c>
      <c r="IN43" s="198">
        <f t="shared" si="81"/>
        <v>1613.1795</v>
      </c>
      <c r="IP43" s="1382"/>
      <c r="IQ43" s="714"/>
      <c r="IR43" s="205"/>
      <c r="IS43" s="205"/>
      <c r="IT43" s="766"/>
      <c r="IU43" s="765"/>
      <c r="IV43" s="198"/>
      <c r="IW43" s="212"/>
      <c r="IX43" s="761"/>
      <c r="IY43" s="199"/>
      <c r="IZ43" s="198"/>
      <c r="JD43" s="150"/>
      <c r="JE43" s="714"/>
      <c r="JF43" s="205"/>
      <c r="JG43" s="205"/>
      <c r="JH43" s="766"/>
      <c r="JI43" s="765"/>
      <c r="JJ43" s="198"/>
      <c r="JK43" s="212"/>
      <c r="JL43" s="761"/>
      <c r="JM43" s="199"/>
      <c r="JN43" s="198"/>
      <c r="JP43" s="150"/>
      <c r="JQ43" s="714"/>
      <c r="JR43" s="205"/>
      <c r="JS43" s="205"/>
      <c r="JT43" s="766"/>
      <c r="JU43" s="765"/>
      <c r="JV43" s="198"/>
      <c r="JW43" s="212"/>
      <c r="JX43" s="761"/>
      <c r="JY43" s="199"/>
      <c r="JZ43" s="198"/>
      <c r="KB43" s="714"/>
      <c r="KC43" s="205"/>
      <c r="KD43" s="205"/>
      <c r="KE43" s="766"/>
      <c r="KF43" s="765"/>
      <c r="KG43" s="198"/>
      <c r="KH43" s="212"/>
      <c r="KI43" s="761"/>
      <c r="KJ43" s="199"/>
      <c r="KK43" s="198"/>
      <c r="KN43" s="714"/>
      <c r="KO43" s="205"/>
      <c r="KP43" s="205"/>
      <c r="KQ43" s="766"/>
      <c r="KR43" s="765"/>
      <c r="KS43" s="198"/>
      <c r="KT43" s="212"/>
      <c r="KU43" s="761"/>
      <c r="KV43" s="199"/>
      <c r="KW43" s="1612"/>
    </row>
    <row r="44" spans="6:309" ht="15.75" thickBot="1" x14ac:dyDescent="0.3">
      <c r="I44" s="176"/>
      <c r="O44" s="109"/>
      <c r="P44" s="109"/>
      <c r="Q44" s="109"/>
      <c r="R44" s="172"/>
      <c r="S44" s="150">
        <f t="shared" si="143"/>
        <v>0</v>
      </c>
      <c r="T44" s="194">
        <v>40736</v>
      </c>
      <c r="U44" s="205">
        <v>37</v>
      </c>
      <c r="V44" s="203">
        <v>45124.3</v>
      </c>
      <c r="W44" s="203">
        <v>3766.44</v>
      </c>
      <c r="X44" s="198">
        <f t="shared" si="144"/>
        <v>825.77</v>
      </c>
      <c r="Y44" s="198">
        <f t="shared" si="145"/>
        <v>4592.21</v>
      </c>
      <c r="Z44" s="198">
        <f t="shared" si="146"/>
        <v>0</v>
      </c>
      <c r="AA44" s="198">
        <f t="shared" si="147"/>
        <v>0</v>
      </c>
      <c r="AB44" s="199" cm="1">
        <f t="array" ref="AB44">+ROUND(IF(AA44&lt;1,interpoler($A$5:$A$24,$B$5:$B$24,(T44-$B$1)),interpoler($C$5:$C$24,$D$5:$D$24,AA44))+$Y$2,6)</f>
        <v>3.0780999999999999E-2</v>
      </c>
      <c r="AC44" s="198">
        <f t="shared" si="148"/>
        <v>0</v>
      </c>
      <c r="AP44" s="172"/>
      <c r="AQ44" s="150">
        <f t="shared" si="149"/>
        <v>0</v>
      </c>
      <c r="AR44" s="310">
        <v>41985</v>
      </c>
      <c r="AS44" s="311">
        <v>46</v>
      </c>
      <c r="AT44" s="312">
        <v>22039.41</v>
      </c>
      <c r="AU44" s="312">
        <v>2059.8116610000002</v>
      </c>
      <c r="AV44" s="313">
        <f t="shared" si="150"/>
        <v>352.08</v>
      </c>
      <c r="AW44" s="137">
        <f t="shared" si="151"/>
        <v>2411.89</v>
      </c>
      <c r="AX44" s="137">
        <f t="shared" si="152"/>
        <v>0</v>
      </c>
      <c r="AY44" s="137">
        <f t="shared" si="153"/>
        <v>0</v>
      </c>
      <c r="AZ44" s="146" cm="1">
        <f t="array" ref="AZ44">+ROUND(IF(AY44&lt;1,interpoler($A$5:$A$24,$B$5:$B$24,(AR44-$B$1)),interpoler($C$5:$C$24,$D$5:$D$24,AY44))+$AW$2,5)</f>
        <v>2.9780000000000001E-2</v>
      </c>
      <c r="BA44" s="137">
        <f t="shared" si="154"/>
        <v>0</v>
      </c>
      <c r="BB44" s="221"/>
      <c r="BC44" s="599">
        <f t="shared" si="155"/>
        <v>0</v>
      </c>
      <c r="BD44" s="669">
        <v>43173</v>
      </c>
      <c r="BE44" s="526">
        <v>37</v>
      </c>
      <c r="BF44" s="841">
        <v>23301.22</v>
      </c>
      <c r="BG44" s="835">
        <v>1581.7411505882355</v>
      </c>
      <c r="BH44" s="529">
        <f t="shared" si="90"/>
        <v>281.36</v>
      </c>
      <c r="BI44" s="529">
        <f t="shared" si="156"/>
        <v>1863.1</v>
      </c>
      <c r="BJ44" s="529">
        <f t="shared" si="157"/>
        <v>0</v>
      </c>
      <c r="BK44" s="529">
        <f t="shared" si="158"/>
        <v>0</v>
      </c>
      <c r="BL44" s="530" cm="1">
        <f t="array" ref="BL44">+ROUND(IF(BK44&lt;1,interpoler($A$5:$A$24,$B$5:$B$24,(BD44-$B$1)),interpoler($C$5:$C$24,$D$5:$D$24,BK44))+$BI$2,5)</f>
        <v>3.3279999999999997E-2</v>
      </c>
      <c r="BM44" s="529">
        <f t="shared" si="159"/>
        <v>0</v>
      </c>
      <c r="BN44" s="280"/>
      <c r="BP44" s="150"/>
      <c r="BQ44" s="116"/>
      <c r="BR44" s="133"/>
      <c r="BS44" s="134"/>
      <c r="BT44" s="134"/>
      <c r="BU44" s="137"/>
      <c r="BV44" s="137"/>
      <c r="BW44" s="137"/>
      <c r="BX44" s="137"/>
      <c r="BY44" s="146"/>
      <c r="BZ44" s="137"/>
      <c r="CB44" s="150">
        <f t="shared" si="160"/>
        <v>8</v>
      </c>
      <c r="CC44" s="1152">
        <v>46836</v>
      </c>
      <c r="CD44" s="205">
        <v>9</v>
      </c>
      <c r="CE44" s="1630">
        <v>56611.659999999989</v>
      </c>
      <c r="CF44" s="1627">
        <v>2185.0300000000002</v>
      </c>
      <c r="CG44" s="1633">
        <v>570.36</v>
      </c>
      <c r="CH44" s="198">
        <f t="shared" si="142"/>
        <v>2755.39</v>
      </c>
      <c r="CI44" s="198">
        <f t="shared" si="161"/>
        <v>2755.39</v>
      </c>
      <c r="CJ44" s="762">
        <f t="shared" si="139"/>
        <v>1.9945652173999999</v>
      </c>
      <c r="CK44" s="621" cm="1">
        <f t="array" ref="CK44">ROUND(interpoler(mat_zc,Taux_ZC,CJ44)+$CH$2,5)</f>
        <v>3.2190000000000003E-2</v>
      </c>
      <c r="CL44" s="762">
        <f t="shared" si="115"/>
        <v>2586.6552999999999</v>
      </c>
      <c r="CM44" s="280"/>
      <c r="CN44" s="280"/>
      <c r="CO44" s="280"/>
      <c r="CP44" s="280"/>
      <c r="CQ44" s="280"/>
      <c r="CR44" s="280"/>
      <c r="CS44" s="280"/>
      <c r="CT44" s="280"/>
      <c r="CU44" s="280"/>
      <c r="CV44" s="280"/>
      <c r="CW44" s="280"/>
      <c r="CX44" s="280"/>
      <c r="CY44" s="280"/>
      <c r="DQ44" s="526">
        <f t="shared" si="42"/>
        <v>0</v>
      </c>
      <c r="DR44" s="525">
        <v>44302</v>
      </c>
      <c r="DS44" s="526">
        <v>37</v>
      </c>
      <c r="DT44" s="527">
        <f t="shared" si="94"/>
        <v>12691.66</v>
      </c>
      <c r="DU44" s="528">
        <v>1675.21</v>
      </c>
      <c r="DV44" s="529">
        <f t="shared" si="95"/>
        <v>159.83000000000001</v>
      </c>
      <c r="DW44" s="529">
        <f t="shared" si="43"/>
        <v>1835.04</v>
      </c>
      <c r="DX44" s="529">
        <f t="shared" si="44"/>
        <v>0</v>
      </c>
      <c r="DY44" s="529">
        <f t="shared" si="45"/>
        <v>0</v>
      </c>
      <c r="DZ44" s="530" cm="1">
        <f t="array" ref="DZ44">+ROUND(IF(DY44&lt;1,interpoler($A$5:$A$24,$B$5:$B$24,(DR44-$B$1)),interpoler($C$5:$C$24,$D$5:$D$24,DY44))+$DW$2,5)</f>
        <v>2.5680000000000001E-2</v>
      </c>
      <c r="EA44" s="529">
        <f t="shared" si="46"/>
        <v>0</v>
      </c>
      <c r="FD44" s="526">
        <f t="shared" si="56"/>
        <v>11</v>
      </c>
      <c r="FE44" s="1151">
        <v>47111</v>
      </c>
      <c r="FF44" s="797">
        <v>37</v>
      </c>
      <c r="FG44" s="1328">
        <v>12095.349999999966</v>
      </c>
      <c r="FH44" s="1626">
        <v>1673.25</v>
      </c>
      <c r="FI44" s="1626">
        <v>91.62</v>
      </c>
      <c r="FJ44" s="798">
        <f t="shared" si="57"/>
        <v>1764.87</v>
      </c>
      <c r="FK44" s="798">
        <f t="shared" si="58"/>
        <v>1764.87</v>
      </c>
      <c r="FL44" s="1027">
        <f t="shared" si="141"/>
        <v>2.7445652173999999</v>
      </c>
      <c r="FM44" s="199" cm="1">
        <f t="array" ref="FM44">+ROUND(interpoler(mat_zc,Taux_ZC,FL44)+$FI$2,5)</f>
        <v>3.236E-2</v>
      </c>
      <c r="FN44" s="801">
        <f t="shared" si="140"/>
        <v>1617.15697</v>
      </c>
      <c r="FO44" s="814"/>
      <c r="FP44" s="221"/>
      <c r="FQ44" s="526">
        <f t="shared" si="162"/>
        <v>21</v>
      </c>
      <c r="FR44" s="1151">
        <v>48023</v>
      </c>
      <c r="FS44" s="205">
        <v>22</v>
      </c>
      <c r="FT44" s="1629">
        <v>84806.17</v>
      </c>
      <c r="FU44" s="1626">
        <v>5642.18</v>
      </c>
      <c r="FV44" s="1632">
        <v>744.17</v>
      </c>
      <c r="FW44" s="798">
        <f t="shared" si="163"/>
        <v>6386.35</v>
      </c>
      <c r="FX44" s="798">
        <f t="shared" si="164"/>
        <v>6386.35</v>
      </c>
      <c r="FY44" s="799">
        <f t="shared" ref="FY44:FY62" si="172">ROUND((IF(FY43&lt;0,(FR44-$B$1)/(FR44-FR43)*(3/12),FY43+0.25)),8)</f>
        <v>5.2445652200000001</v>
      </c>
      <c r="FZ44" s="800" cm="1">
        <f t="array" ref="FZ44">+ROUND(IF(FY44&lt;1,interpoler($A$5:$A$24,$B$5:$B$24,(FR44-$B$1)),interpoler(CIH!$K$72:$K$103,CIH!$L$72:$L$103,FY44))+$FV$2,5)</f>
        <v>3.7039999999999997E-2</v>
      </c>
      <c r="GA44" s="798">
        <f t="shared" si="165"/>
        <v>5277.3043799999996</v>
      </c>
      <c r="GB44" s="484"/>
      <c r="GC44" s="522"/>
      <c r="GD44" s="150">
        <f t="shared" si="166"/>
        <v>20</v>
      </c>
      <c r="GE44" s="1152">
        <v>47931</v>
      </c>
      <c r="GF44" s="205">
        <v>21</v>
      </c>
      <c r="GG44" s="1329">
        <v>17668.380000000037</v>
      </c>
      <c r="GH44" s="1627">
        <v>1765.16</v>
      </c>
      <c r="GI44" s="1627">
        <v>116.16</v>
      </c>
      <c r="GJ44" s="198">
        <f t="shared" si="167"/>
        <v>1881.32</v>
      </c>
      <c r="GK44" s="198">
        <f t="shared" si="168"/>
        <v>1881.32</v>
      </c>
      <c r="GL44" s="447">
        <f t="shared" si="126"/>
        <v>4.9945652173999999</v>
      </c>
      <c r="GM44" s="199" cm="1">
        <f t="array" ref="GM44">ROUND(interpoler(mat_zc,Taux_ZC,GL44)+$GJ$2,5)</f>
        <v>3.5900000000000001E-2</v>
      </c>
      <c r="GN44" s="762">
        <f t="shared" si="102"/>
        <v>1577.4541999999999</v>
      </c>
      <c r="GO44" s="198"/>
      <c r="GQ44" s="150">
        <f t="shared" si="169"/>
        <v>18</v>
      </c>
      <c r="GR44" s="1152">
        <v>47750</v>
      </c>
      <c r="GS44" s="205">
        <v>19</v>
      </c>
      <c r="GT44" s="1630">
        <v>73570.84</v>
      </c>
      <c r="GU44" s="1627">
        <v>606.11</v>
      </c>
      <c r="GV44" s="1633">
        <v>570.16999999999996</v>
      </c>
      <c r="GW44" s="198">
        <f t="shared" si="170"/>
        <v>1176.28</v>
      </c>
      <c r="GX44" s="198">
        <f t="shared" si="171"/>
        <v>1176.28</v>
      </c>
      <c r="GY44" s="1042">
        <f t="shared" si="127"/>
        <v>4.4945652173999999</v>
      </c>
      <c r="GZ44" s="199" cm="1">
        <f t="array" ref="GZ44">+ROUND(IF(GY44&lt;1,interpoler($A$5:$A$24,$B$5:$B$24,(GR44-$B$1)),interpoler(CIH!$K$72:$K$103,CIH!$L$72:$L$103,GY44))+$GW$2,5)</f>
        <v>3.6859999999999997E-2</v>
      </c>
      <c r="HA44" s="212">
        <f t="shared" si="129"/>
        <v>999.66757510209004</v>
      </c>
      <c r="HE44" s="194"/>
      <c r="HF44" s="133"/>
      <c r="HG44" s="134"/>
      <c r="HH44" s="134"/>
      <c r="HI44" s="198"/>
      <c r="HJ44" s="198"/>
      <c r="HK44" s="198"/>
      <c r="HL44" s="198"/>
      <c r="HM44" s="199"/>
      <c r="HN44" s="198"/>
      <c r="HR44" s="150">
        <f t="shared" si="134"/>
        <v>0</v>
      </c>
      <c r="HS44" s="714"/>
      <c r="HT44" s="205"/>
      <c r="HU44" s="718"/>
      <c r="HV44" s="718"/>
      <c r="HW44" s="786"/>
      <c r="HX44" s="198"/>
      <c r="HY44" s="198"/>
      <c r="HZ44" s="198"/>
      <c r="IA44" s="199"/>
      <c r="IB44" s="212"/>
      <c r="ID44" s="150">
        <f t="shared" ref="ID44:ID88" si="173">+IF(IK44=0,0,ID43+1)</f>
        <v>0</v>
      </c>
      <c r="IE44" s="714"/>
      <c r="IF44" s="205"/>
      <c r="IG44" s="718"/>
      <c r="IH44" s="718"/>
      <c r="II44" s="198"/>
      <c r="IJ44" s="198"/>
      <c r="IK44" s="198"/>
      <c r="IL44" s="198"/>
      <c r="IM44" s="199"/>
      <c r="IN44" s="198"/>
      <c r="IP44" s="1382"/>
      <c r="IQ44" s="714"/>
      <c r="IR44" s="205"/>
      <c r="IS44" s="718"/>
      <c r="IT44" s="718"/>
      <c r="IU44" s="198"/>
      <c r="IV44" s="198"/>
      <c r="IW44" s="198"/>
      <c r="IX44" s="198"/>
      <c r="IY44" s="199"/>
      <c r="IZ44" s="198"/>
      <c r="JD44" s="150"/>
      <c r="JE44" s="714"/>
      <c r="JF44" s="205"/>
      <c r="JG44" s="718"/>
      <c r="JH44" s="718"/>
      <c r="JI44" s="198"/>
      <c r="JJ44" s="198"/>
      <c r="JK44" s="198"/>
      <c r="JL44" s="198"/>
      <c r="JM44" s="199"/>
      <c r="JN44" s="198"/>
      <c r="JP44" s="150"/>
      <c r="JQ44" s="714"/>
      <c r="JR44" s="205"/>
      <c r="JS44" s="718"/>
      <c r="JT44" s="718"/>
      <c r="JU44" s="198"/>
      <c r="JV44" s="198"/>
      <c r="JW44" s="198"/>
      <c r="JX44" s="198"/>
      <c r="JY44" s="199"/>
      <c r="JZ44" s="198"/>
      <c r="KB44" s="714"/>
      <c r="KC44" s="205"/>
      <c r="KD44" s="718"/>
      <c r="KE44" s="718"/>
      <c r="KF44" s="198"/>
      <c r="KG44" s="198"/>
      <c r="KH44" s="198"/>
      <c r="KI44" s="198"/>
      <c r="KJ44" s="199"/>
      <c r="KK44" s="198"/>
      <c r="KN44" s="714"/>
      <c r="KO44" s="205"/>
      <c r="KP44" s="718"/>
      <c r="KQ44" s="718"/>
      <c r="KR44" s="198"/>
      <c r="KS44" s="198"/>
      <c r="KT44" s="198"/>
      <c r="KU44" s="198"/>
      <c r="KV44" s="199"/>
      <c r="KW44" s="1612"/>
    </row>
    <row r="45" spans="6:309" ht="15" x14ac:dyDescent="0.25">
      <c r="I45" s="176"/>
      <c r="O45" s="109"/>
      <c r="P45" s="109"/>
      <c r="Q45" s="109"/>
      <c r="R45" s="109"/>
      <c r="S45" s="150">
        <f t="shared" si="143"/>
        <v>0</v>
      </c>
      <c r="T45" s="194">
        <v>40828</v>
      </c>
      <c r="U45" s="205">
        <v>38</v>
      </c>
      <c r="V45" s="203">
        <v>41357.86</v>
      </c>
      <c r="W45" s="203">
        <v>3650.5</v>
      </c>
      <c r="X45" s="198">
        <f t="shared" si="144"/>
        <v>756.85</v>
      </c>
      <c r="Y45" s="198">
        <f t="shared" si="145"/>
        <v>4407.3500000000004</v>
      </c>
      <c r="Z45" s="198">
        <f t="shared" si="146"/>
        <v>0</v>
      </c>
      <c r="AA45" s="198">
        <f t="shared" si="147"/>
        <v>0</v>
      </c>
      <c r="AB45" s="199" cm="1">
        <f t="array" ref="AB45">+ROUND(IF(AA45&lt;1,interpoler($A$5:$A$24,$B$5:$B$24,(T45-$B$1)),interpoler($C$5:$C$24,$D$5:$D$24,AA45))+$Y$2,6)</f>
        <v>3.0780999999999999E-2</v>
      </c>
      <c r="AC45" s="198">
        <f t="shared" si="148"/>
        <v>0</v>
      </c>
      <c r="AL45" s="221"/>
      <c r="AQ45" s="150">
        <f t="shared" si="149"/>
        <v>0</v>
      </c>
      <c r="AR45" s="310">
        <v>42075</v>
      </c>
      <c r="AS45" s="311">
        <v>47</v>
      </c>
      <c r="AT45" s="312">
        <v>19979.59834</v>
      </c>
      <c r="AU45" s="312">
        <v>1859.7840779999999</v>
      </c>
      <c r="AV45" s="313">
        <f t="shared" si="150"/>
        <v>319.17</v>
      </c>
      <c r="AW45" s="137">
        <f t="shared" si="151"/>
        <v>2178.9499999999998</v>
      </c>
      <c r="AX45" s="137">
        <f t="shared" si="152"/>
        <v>0</v>
      </c>
      <c r="AY45" s="137">
        <f t="shared" si="153"/>
        <v>0</v>
      </c>
      <c r="AZ45" s="146" cm="1">
        <f t="array" ref="AZ45">+ROUND(IF(AY45&lt;1,interpoler($A$5:$A$24,$B$5:$B$24,(AR45-$B$1)),interpoler($C$5:$C$24,$D$5:$D$24,AY45))+$AW$2,5)</f>
        <v>2.9780000000000001E-2</v>
      </c>
      <c r="BA45" s="137">
        <f t="shared" si="154"/>
        <v>0</v>
      </c>
      <c r="BB45" s="221"/>
      <c r="BC45" s="599">
        <f t="shared" si="155"/>
        <v>0</v>
      </c>
      <c r="BD45" s="669">
        <v>43265</v>
      </c>
      <c r="BE45" s="526">
        <v>38</v>
      </c>
      <c r="BF45" s="841">
        <v>21678.46</v>
      </c>
      <c r="BG45" s="835">
        <v>1540.51</v>
      </c>
      <c r="BH45" s="655">
        <f t="shared" si="90"/>
        <v>261.77</v>
      </c>
      <c r="BI45" s="529">
        <f t="shared" si="156"/>
        <v>1802.28</v>
      </c>
      <c r="BJ45" s="529">
        <f t="shared" si="157"/>
        <v>0</v>
      </c>
      <c r="BK45" s="529">
        <f t="shared" si="158"/>
        <v>0</v>
      </c>
      <c r="BL45" s="530" cm="1">
        <f t="array" ref="BL45">+ROUND(IF(BK45&lt;1,interpoler($A$5:$A$24,$B$5:$B$24,(BD45-$B$1)),interpoler($C$5:$C$24,$D$5:$D$24,BK45))+$BI$2,5)</f>
        <v>3.3279999999999997E-2</v>
      </c>
      <c r="BM45" s="529">
        <f t="shared" si="159"/>
        <v>0</v>
      </c>
      <c r="BN45" s="280"/>
      <c r="BO45" s="482"/>
      <c r="BP45" s="150"/>
      <c r="BQ45" s="116"/>
      <c r="BR45" s="133"/>
      <c r="BS45" s="134"/>
      <c r="BT45" s="134"/>
      <c r="BU45" s="137"/>
      <c r="BV45" s="137"/>
      <c r="BW45" s="137"/>
      <c r="BX45" s="137"/>
      <c r="BY45" s="146"/>
      <c r="BZ45" s="137"/>
      <c r="CB45" s="150">
        <f t="shared" si="160"/>
        <v>9</v>
      </c>
      <c r="CC45" s="1151">
        <v>46928</v>
      </c>
      <c r="CD45" s="205">
        <v>10</v>
      </c>
      <c r="CE45" s="1629">
        <v>54426.62999999999</v>
      </c>
      <c r="CF45" s="1626">
        <v>2174.38</v>
      </c>
      <c r="CG45" s="1632">
        <v>548.34</v>
      </c>
      <c r="CH45" s="198">
        <f t="shared" si="142"/>
        <v>2722.72</v>
      </c>
      <c r="CI45" s="198">
        <f t="shared" si="161"/>
        <v>2722.72</v>
      </c>
      <c r="CJ45" s="762">
        <f t="shared" si="139"/>
        <v>2.2445652173999999</v>
      </c>
      <c r="CK45" s="621" cm="1">
        <f t="array" ref="CK45">ROUND(interpoler(mat_zc,Taux_ZC,CJ45)+$CH$2,5)</f>
        <v>3.2579999999999998E-2</v>
      </c>
      <c r="CL45" s="762">
        <f t="shared" ref="CL45:CL73" si="174">ROUND((+CI45/(1+CK45)^CJ45),4)</f>
        <v>2533.6714999999999</v>
      </c>
      <c r="CM45" s="280"/>
      <c r="CN45" s="280"/>
      <c r="CO45" s="280"/>
      <c r="CP45" s="280"/>
      <c r="CQ45" s="280"/>
      <c r="CR45" s="280"/>
      <c r="CS45" s="280"/>
      <c r="CT45" s="280"/>
      <c r="CU45" s="280"/>
      <c r="CV45" s="280"/>
      <c r="CW45" s="280"/>
      <c r="CX45" s="280"/>
      <c r="CY45" s="280"/>
      <c r="DQ45" s="526">
        <f t="shared" si="42"/>
        <v>0</v>
      </c>
      <c r="DR45" s="525">
        <v>44393</v>
      </c>
      <c r="DS45" s="526">
        <v>38</v>
      </c>
      <c r="DT45" s="527">
        <f t="shared" si="94"/>
        <v>11052.96</v>
      </c>
      <c r="DU45" s="528">
        <v>1638.7</v>
      </c>
      <c r="DV45" s="529">
        <f t="shared" si="95"/>
        <v>141.19</v>
      </c>
      <c r="DW45" s="529">
        <f t="shared" si="43"/>
        <v>1779.89</v>
      </c>
      <c r="DX45" s="529">
        <f t="shared" si="44"/>
        <v>0</v>
      </c>
      <c r="DY45" s="529">
        <f t="shared" si="45"/>
        <v>0</v>
      </c>
      <c r="DZ45" s="530" cm="1">
        <f t="array" ref="DZ45">+ROUND(IF(DY45&lt;1,interpoler($A$5:$A$24,$B$5:$B$24,(DR45-$B$1)),interpoler($C$5:$C$24,$D$5:$D$24,DY45))+$DW$2,5)</f>
        <v>2.5680000000000001E-2</v>
      </c>
      <c r="EA45" s="529">
        <f t="shared" si="46"/>
        <v>0</v>
      </c>
      <c r="FD45" s="526">
        <f t="shared" si="56"/>
        <v>12</v>
      </c>
      <c r="FE45" s="1152">
        <v>47201</v>
      </c>
      <c r="FF45" s="797">
        <v>38</v>
      </c>
      <c r="FG45" s="1329">
        <v>10422.099999999966</v>
      </c>
      <c r="FH45" s="1627">
        <v>1659.47</v>
      </c>
      <c r="FI45" s="1627">
        <v>78.94</v>
      </c>
      <c r="FJ45" s="798">
        <f t="shared" si="57"/>
        <v>1738.41</v>
      </c>
      <c r="FK45" s="798">
        <f t="shared" si="58"/>
        <v>1738.41</v>
      </c>
      <c r="FL45" s="1027">
        <f t="shared" si="141"/>
        <v>2.9945652173999999</v>
      </c>
      <c r="FM45" s="199" cm="1">
        <f t="array" ref="FM45">+ROUND(interpoler(mat_zc,Taux_ZC,FL45)+$FI$2,5)</f>
        <v>3.2750000000000001E-2</v>
      </c>
      <c r="FN45" s="801">
        <f t="shared" si="140"/>
        <v>1578.4929999999999</v>
      </c>
      <c r="FO45" s="813"/>
      <c r="FP45" s="221"/>
      <c r="FQ45" s="526">
        <f t="shared" si="162"/>
        <v>22</v>
      </c>
      <c r="FR45" s="1152">
        <v>48115</v>
      </c>
      <c r="FS45" s="205">
        <v>23</v>
      </c>
      <c r="FT45" s="1630">
        <v>79163.989999999991</v>
      </c>
      <c r="FU45" s="1627">
        <v>5540.14</v>
      </c>
      <c r="FV45" s="1633">
        <v>694.66</v>
      </c>
      <c r="FW45" s="798">
        <f t="shared" si="163"/>
        <v>6234.8</v>
      </c>
      <c r="FX45" s="798">
        <f t="shared" si="164"/>
        <v>6234.8</v>
      </c>
      <c r="FY45" s="799">
        <f t="shared" si="172"/>
        <v>5.4945652200000001</v>
      </c>
      <c r="FZ45" s="800" cm="1">
        <f t="array" ref="FZ45">+ROUND(IF(FY45&lt;1,interpoler($A$5:$A$24,$B$5:$B$24,(FR45-$B$1)),interpoler(CIH!$K$72:$K$103,CIH!$L$72:$L$103,FY45))+$FV$2,5)</f>
        <v>3.7170000000000002E-2</v>
      </c>
      <c r="GA45" s="798">
        <f t="shared" si="165"/>
        <v>5101.9237400000002</v>
      </c>
      <c r="GB45" s="484"/>
      <c r="GC45" s="522"/>
      <c r="GD45" s="150">
        <f t="shared" si="166"/>
        <v>21</v>
      </c>
      <c r="GE45" s="1151">
        <v>48023</v>
      </c>
      <c r="GF45" s="205">
        <v>22</v>
      </c>
      <c r="GG45" s="1328">
        <v>15903.220000000038</v>
      </c>
      <c r="GH45" s="1626">
        <v>1749.12</v>
      </c>
      <c r="GI45" s="1626">
        <v>104.56</v>
      </c>
      <c r="GJ45" s="198">
        <f t="shared" si="167"/>
        <v>1853.68</v>
      </c>
      <c r="GK45" s="198">
        <f t="shared" si="168"/>
        <v>1853.68</v>
      </c>
      <c r="GL45" s="447">
        <f t="shared" si="126"/>
        <v>5.2445652173999999</v>
      </c>
      <c r="GM45" s="199" cm="1">
        <f t="array" ref="GM45">ROUND(interpoler(mat_zc,Taux_ZC,GL45)+$GJ$2,5)</f>
        <v>3.6040000000000003E-2</v>
      </c>
      <c r="GN45" s="762">
        <f t="shared" si="102"/>
        <v>1539.5422000000001</v>
      </c>
      <c r="GO45" s="198"/>
      <c r="GQ45" s="150">
        <f t="shared" si="169"/>
        <v>19</v>
      </c>
      <c r="GR45" s="1151">
        <v>47841</v>
      </c>
      <c r="GS45" s="205">
        <v>20</v>
      </c>
      <c r="GT45" s="1629">
        <v>72964.73</v>
      </c>
      <c r="GU45" s="1626">
        <v>599.64</v>
      </c>
      <c r="GV45" s="1632">
        <v>565.47</v>
      </c>
      <c r="GW45" s="198">
        <f t="shared" si="170"/>
        <v>1165.1099999999999</v>
      </c>
      <c r="GX45" s="198">
        <f t="shared" si="171"/>
        <v>1165.1099999999999</v>
      </c>
      <c r="GY45" s="1042">
        <f t="shared" si="127"/>
        <v>4.7445652173999999</v>
      </c>
      <c r="GZ45" s="199" cm="1">
        <f t="array" ref="GZ45">+ROUND(IF(GY45&lt;1,interpoler($A$5:$A$24,$B$5:$B$24,(GR45-$B$1)),interpoler(CIH!$K$72:$K$103,CIH!$L$72:$L$103,GY45))+$GW$2,5)</f>
        <v>3.7130000000000003E-2</v>
      </c>
      <c r="HA45" s="212">
        <f t="shared" si="129"/>
        <v>980.04336947482602</v>
      </c>
      <c r="HE45" s="194"/>
      <c r="HF45" s="133"/>
      <c r="HG45" s="134"/>
      <c r="HH45" s="134"/>
      <c r="HI45" s="198"/>
      <c r="HJ45" s="198"/>
      <c r="HK45" s="198"/>
      <c r="HL45" s="198"/>
      <c r="HM45" s="199"/>
      <c r="HN45" s="198"/>
      <c r="HR45" s="150">
        <f t="shared" si="134"/>
        <v>0</v>
      </c>
      <c r="HS45" s="714"/>
      <c r="HT45" s="205"/>
      <c r="HU45" s="718"/>
      <c r="HV45" s="718"/>
      <c r="HW45" s="786"/>
      <c r="HX45" s="198"/>
      <c r="HY45" s="198"/>
      <c r="HZ45" s="198"/>
      <c r="IA45" s="199"/>
      <c r="IB45" s="212"/>
      <c r="ID45" s="150">
        <f t="shared" si="173"/>
        <v>0</v>
      </c>
      <c r="IE45" s="714"/>
      <c r="IF45" s="205"/>
      <c r="IG45" s="718"/>
      <c r="IH45" s="718"/>
      <c r="II45" s="198"/>
      <c r="IJ45" s="198"/>
      <c r="IK45" s="198"/>
      <c r="IL45" s="198"/>
      <c r="IM45" s="199"/>
      <c r="IN45" s="198"/>
      <c r="IP45" s="1382"/>
      <c r="IQ45" s="714"/>
      <c r="IR45" s="205"/>
      <c r="IS45" s="718"/>
      <c r="IT45" s="718"/>
      <c r="IU45" s="198"/>
      <c r="IV45" s="198"/>
      <c r="IW45" s="198"/>
      <c r="IX45" s="198"/>
      <c r="IY45" s="199"/>
      <c r="IZ45" s="198"/>
      <c r="JD45" s="150"/>
      <c r="JE45" s="714"/>
      <c r="JF45" s="205"/>
      <c r="JG45" s="718"/>
      <c r="JH45" s="718"/>
      <c r="JI45" s="198"/>
      <c r="JJ45" s="198"/>
      <c r="JK45" s="198"/>
      <c r="JL45" s="198"/>
      <c r="JM45" s="199"/>
      <c r="JN45" s="198"/>
      <c r="JP45" s="150"/>
      <c r="JQ45" s="714"/>
      <c r="JR45" s="205"/>
      <c r="JS45" s="718"/>
      <c r="JT45" s="718"/>
      <c r="JU45" s="198"/>
      <c r="JV45" s="198"/>
      <c r="JW45" s="198"/>
      <c r="JX45" s="198"/>
      <c r="JY45" s="199"/>
      <c r="JZ45" s="198"/>
      <c r="KB45" s="714"/>
      <c r="KC45" s="205"/>
      <c r="KD45" s="718"/>
      <c r="KE45" s="718"/>
      <c r="KF45" s="198"/>
      <c r="KG45" s="198"/>
      <c r="KH45" s="198"/>
      <c r="KI45" s="198"/>
      <c r="KJ45" s="199"/>
      <c r="KK45" s="198"/>
      <c r="KN45" s="714"/>
      <c r="KO45" s="205"/>
      <c r="KP45" s="718"/>
      <c r="KQ45" s="718"/>
      <c r="KR45" s="198"/>
      <c r="KS45" s="198"/>
      <c r="KT45" s="198"/>
      <c r="KU45" s="198"/>
      <c r="KV45" s="199"/>
      <c r="KW45" s="1612"/>
    </row>
    <row r="46" spans="6:309" ht="15" x14ac:dyDescent="0.25">
      <c r="I46" s="176"/>
      <c r="O46" s="109"/>
      <c r="P46" s="109"/>
      <c r="Q46" s="109"/>
      <c r="R46" s="109"/>
      <c r="S46" s="150">
        <f t="shared" si="143"/>
        <v>0</v>
      </c>
      <c r="T46" s="194">
        <v>40920</v>
      </c>
      <c r="U46" s="205">
        <v>39</v>
      </c>
      <c r="V46" s="196">
        <v>37707.360000000001</v>
      </c>
      <c r="W46" s="196">
        <v>3355.41</v>
      </c>
      <c r="X46" s="198">
        <f t="shared" si="144"/>
        <v>690.04</v>
      </c>
      <c r="Y46" s="198">
        <f t="shared" si="145"/>
        <v>4045.45</v>
      </c>
      <c r="Z46" s="198">
        <f t="shared" si="146"/>
        <v>0</v>
      </c>
      <c r="AA46" s="198">
        <f t="shared" si="147"/>
        <v>0</v>
      </c>
      <c r="AB46" s="199" cm="1">
        <f t="array" ref="AB46">+ROUND(IF(AA46&lt;1,interpoler($A$5:$A$24,$B$5:$B$24,(T46-$B$1)),interpoler($C$5:$C$24,$D$5:$D$24,AA46))+$Y$2,6)</f>
        <v>3.0780999999999999E-2</v>
      </c>
      <c r="AC46" s="198">
        <f t="shared" si="148"/>
        <v>0</v>
      </c>
      <c r="AL46" s="221"/>
      <c r="AQ46" s="150">
        <f t="shared" si="149"/>
        <v>0</v>
      </c>
      <c r="AR46" s="310">
        <v>42167</v>
      </c>
      <c r="AS46" s="311">
        <v>48</v>
      </c>
      <c r="AT46" s="312">
        <v>18119.814259999999</v>
      </c>
      <c r="AU46" s="312">
        <v>1787.610158</v>
      </c>
      <c r="AV46" s="313">
        <f t="shared" si="150"/>
        <v>289.45999999999998</v>
      </c>
      <c r="AW46" s="137">
        <f t="shared" si="151"/>
        <v>2077.0700000000002</v>
      </c>
      <c r="AX46" s="137">
        <f t="shared" si="152"/>
        <v>0</v>
      </c>
      <c r="AY46" s="137">
        <f t="shared" si="153"/>
        <v>0</v>
      </c>
      <c r="AZ46" s="146" cm="1">
        <f t="array" ref="AZ46">+ROUND(IF(AY46&lt;1,interpoler($A$5:$A$24,$B$5:$B$24,(AR46-$B$1)),interpoler($C$5:$C$24,$D$5:$D$24,AY46))+$AW$2,5)</f>
        <v>2.9780000000000001E-2</v>
      </c>
      <c r="BA46" s="137">
        <f t="shared" si="154"/>
        <v>0</v>
      </c>
      <c r="BB46" s="221"/>
      <c r="BC46" s="599">
        <f t="shared" si="155"/>
        <v>0</v>
      </c>
      <c r="BD46" s="669">
        <v>43357</v>
      </c>
      <c r="BE46" s="526">
        <v>39</v>
      </c>
      <c r="BF46" s="841">
        <v>20137.95</v>
      </c>
      <c r="BG46" s="835">
        <v>1566.229902</v>
      </c>
      <c r="BH46" s="655">
        <f t="shared" si="90"/>
        <v>243.17</v>
      </c>
      <c r="BI46" s="655">
        <f t="shared" si="156"/>
        <v>1809.4</v>
      </c>
      <c r="BJ46" s="529">
        <f t="shared" si="157"/>
        <v>0</v>
      </c>
      <c r="BK46" s="529">
        <f t="shared" si="158"/>
        <v>0</v>
      </c>
      <c r="BL46" s="530" cm="1">
        <f t="array" ref="BL46">+ROUND(IF(BK46&lt;1,interpoler($A$5:$A$24,$B$5:$B$24,(BD46-$B$1)),interpoler($C$5:$C$24,$D$5:$D$24,BK46))+$BI$2,5)</f>
        <v>3.3279999999999997E-2</v>
      </c>
      <c r="BM46" s="529">
        <f t="shared" si="159"/>
        <v>0</v>
      </c>
      <c r="BN46" s="280"/>
      <c r="BO46" s="482"/>
      <c r="BP46" s="150"/>
      <c r="BQ46" s="116"/>
      <c r="BR46" s="133"/>
      <c r="BS46" s="134"/>
      <c r="BT46" s="134"/>
      <c r="BU46" s="137"/>
      <c r="BV46" s="137"/>
      <c r="BW46" s="137"/>
      <c r="BX46" s="137"/>
      <c r="BY46" s="146"/>
      <c r="BZ46" s="137"/>
      <c r="CB46" s="150">
        <f t="shared" si="160"/>
        <v>10</v>
      </c>
      <c r="CC46" s="1152">
        <v>47020</v>
      </c>
      <c r="CD46" s="205">
        <v>11</v>
      </c>
      <c r="CE46" s="1630">
        <v>52252.249999999993</v>
      </c>
      <c r="CF46" s="1627">
        <v>2159.9499999999998</v>
      </c>
      <c r="CG46" s="1633">
        <v>526.44000000000005</v>
      </c>
      <c r="CH46" s="198">
        <f t="shared" si="142"/>
        <v>2686.39</v>
      </c>
      <c r="CI46" s="198">
        <f t="shared" si="161"/>
        <v>2686.39</v>
      </c>
      <c r="CJ46" s="762">
        <f t="shared" si="139"/>
        <v>2.4945652173999999</v>
      </c>
      <c r="CK46" s="621" cm="1">
        <f t="array" ref="CK46">ROUND(interpoler(mat_zc,Taux_ZC,CJ46)+$CH$2,5)</f>
        <v>3.2969999999999999E-2</v>
      </c>
      <c r="CL46" s="762">
        <f t="shared" si="174"/>
        <v>2477.5724</v>
      </c>
      <c r="CM46" s="280"/>
      <c r="CN46" s="280"/>
      <c r="CO46" s="280"/>
      <c r="CP46" s="280"/>
      <c r="CQ46" s="280"/>
      <c r="CR46" s="280"/>
      <c r="CS46" s="280"/>
      <c r="CT46" s="280"/>
      <c r="CU46" s="280"/>
      <c r="CV46" s="280"/>
      <c r="CW46" s="280"/>
      <c r="CX46" s="280"/>
      <c r="CY46" s="280"/>
      <c r="DQ46" s="526">
        <f t="shared" si="42"/>
        <v>0</v>
      </c>
      <c r="DR46" s="525">
        <v>44485</v>
      </c>
      <c r="DS46" s="526">
        <v>39</v>
      </c>
      <c r="DT46" s="527">
        <f t="shared" si="94"/>
        <v>9439.57</v>
      </c>
      <c r="DU46" s="528">
        <v>1613.39</v>
      </c>
      <c r="DV46" s="529">
        <f t="shared" si="95"/>
        <v>122.96</v>
      </c>
      <c r="DW46" s="529">
        <f t="shared" si="43"/>
        <v>1736.35</v>
      </c>
      <c r="DX46" s="529">
        <f t="shared" si="44"/>
        <v>0</v>
      </c>
      <c r="DY46" s="529">
        <f t="shared" si="45"/>
        <v>0</v>
      </c>
      <c r="DZ46" s="530" cm="1">
        <f t="array" ref="DZ46">+ROUND(IF(DY46&lt;1,interpoler($A$5:$A$24,$B$5:$B$24,(DR46-$B$1)),interpoler($C$5:$C$24,$D$5:$D$24,DY46))+$DW$2,5)</f>
        <v>2.5680000000000001E-2</v>
      </c>
      <c r="EA46" s="529">
        <f t="shared" si="46"/>
        <v>0</v>
      </c>
      <c r="FD46" s="526">
        <f t="shared" si="56"/>
        <v>13</v>
      </c>
      <c r="FE46" s="1151">
        <v>47293</v>
      </c>
      <c r="FF46" s="797">
        <v>39</v>
      </c>
      <c r="FG46" s="1328">
        <v>8762.6299999999665</v>
      </c>
      <c r="FH46" s="1626">
        <v>1654.98</v>
      </c>
      <c r="FI46" s="1626">
        <v>66.37</v>
      </c>
      <c r="FJ46" s="798">
        <f t="shared" si="57"/>
        <v>1721.35</v>
      </c>
      <c r="FK46" s="798">
        <f t="shared" si="58"/>
        <v>1721.35</v>
      </c>
      <c r="FL46" s="1027">
        <f t="shared" si="141"/>
        <v>3.2445652173999999</v>
      </c>
      <c r="FM46" s="199" cm="1">
        <f t="array" ref="FM46">+ROUND(interpoler(mat_zc,Taux_ZC,FL46)+$FI$2,5)</f>
        <v>3.3140000000000003E-2</v>
      </c>
      <c r="FN46" s="801">
        <f t="shared" si="140"/>
        <v>1548.56277</v>
      </c>
      <c r="FO46" s="814"/>
      <c r="FP46" s="221"/>
      <c r="FQ46" s="526">
        <f t="shared" si="162"/>
        <v>23</v>
      </c>
      <c r="FR46" s="1151">
        <v>48206</v>
      </c>
      <c r="FS46" s="205">
        <v>24</v>
      </c>
      <c r="FT46" s="1629">
        <v>73623.849999999991</v>
      </c>
      <c r="FU46" s="1626">
        <v>5423.33</v>
      </c>
      <c r="FV46" s="1632">
        <v>646.04</v>
      </c>
      <c r="FW46" s="798">
        <f t="shared" si="163"/>
        <v>6069.37</v>
      </c>
      <c r="FX46" s="798">
        <f t="shared" si="164"/>
        <v>6069.37</v>
      </c>
      <c r="FY46" s="799">
        <f t="shared" si="172"/>
        <v>5.7445652200000001</v>
      </c>
      <c r="FZ46" s="800" cm="1">
        <f t="array" ref="FZ46">+ROUND(IF(FY46&lt;1,interpoler($A$5:$A$24,$B$5:$B$24,(FR46-$B$1)),interpoler(CIH!$K$72:$K$103,CIH!$L$72:$L$103,FY46))+$FV$2,5)</f>
        <v>3.73E-2</v>
      </c>
      <c r="GA46" s="798">
        <f t="shared" si="165"/>
        <v>4917.9020799999998</v>
      </c>
      <c r="GB46" s="484"/>
      <c r="GC46" s="522"/>
      <c r="GD46" s="150">
        <f t="shared" si="166"/>
        <v>22</v>
      </c>
      <c r="GE46" s="1152">
        <v>48115</v>
      </c>
      <c r="GF46" s="205">
        <v>23</v>
      </c>
      <c r="GG46" s="1329">
        <v>14154.100000000039</v>
      </c>
      <c r="GH46" s="1627">
        <v>1725.84</v>
      </c>
      <c r="GI46" s="1627">
        <v>93.06</v>
      </c>
      <c r="GJ46" s="198">
        <f t="shared" si="167"/>
        <v>1818.9</v>
      </c>
      <c r="GK46" s="198">
        <f t="shared" si="168"/>
        <v>1818.9</v>
      </c>
      <c r="GL46" s="447">
        <f t="shared" si="126"/>
        <v>5.4945652173999999</v>
      </c>
      <c r="GM46" s="199" cm="1">
        <f t="array" ref="GM46">ROUND(interpoler(mat_zc,Taux_ZC,GL46)+$GJ$2,5)</f>
        <v>3.6170000000000001E-2</v>
      </c>
      <c r="GN46" s="762">
        <f t="shared" si="102"/>
        <v>1496.3117999999999</v>
      </c>
      <c r="GO46" s="198"/>
      <c r="GQ46" s="150">
        <f t="shared" si="169"/>
        <v>20</v>
      </c>
      <c r="GR46" s="1152">
        <v>47931</v>
      </c>
      <c r="GS46" s="205">
        <v>21</v>
      </c>
      <c r="GT46" s="1630">
        <v>72365.09</v>
      </c>
      <c r="GU46" s="1627">
        <v>592.49</v>
      </c>
      <c r="GV46" s="1633">
        <v>560.82000000000005</v>
      </c>
      <c r="GW46" s="198">
        <f t="shared" si="170"/>
        <v>1153.31</v>
      </c>
      <c r="GX46" s="198">
        <f t="shared" si="171"/>
        <v>1153.31</v>
      </c>
      <c r="GY46" s="1042">
        <f t="shared" si="127"/>
        <v>4.9945652173999999</v>
      </c>
      <c r="GZ46" s="199" cm="1">
        <f t="array" ref="GZ46">+ROUND(IF(GY46&lt;1,interpoler($A$5:$A$24,$B$5:$B$24,(GR46-$B$1)),interpoler(CIH!$K$72:$K$103,CIH!$L$72:$L$103,GY46))+$GW$2,5)</f>
        <v>3.7400000000000003E-2</v>
      </c>
      <c r="HA46" s="212">
        <f t="shared" si="129"/>
        <v>960.06691520395395</v>
      </c>
      <c r="HE46" s="194"/>
      <c r="HF46" s="133"/>
      <c r="HG46" s="134"/>
      <c r="HH46" s="134"/>
      <c r="HI46" s="198"/>
      <c r="HJ46" s="198"/>
      <c r="HK46" s="198"/>
      <c r="HL46" s="198"/>
      <c r="HM46" s="199"/>
      <c r="HN46" s="198"/>
      <c r="HR46" s="150">
        <f t="shared" si="134"/>
        <v>0</v>
      </c>
      <c r="HS46" s="714"/>
      <c r="HT46" s="205"/>
      <c r="HU46" s="718"/>
      <c r="HV46" s="718"/>
      <c r="HW46" s="786"/>
      <c r="HX46" s="198"/>
      <c r="HY46" s="198"/>
      <c r="HZ46" s="198"/>
      <c r="IA46" s="199"/>
      <c r="IB46" s="212"/>
      <c r="ID46" s="150">
        <f t="shared" si="173"/>
        <v>0</v>
      </c>
      <c r="IE46" s="714"/>
      <c r="IF46" s="205"/>
      <c r="IG46" s="718"/>
      <c r="IH46" s="718"/>
      <c r="II46" s="198"/>
      <c r="IJ46" s="198"/>
      <c r="IK46" s="198"/>
      <c r="IL46" s="198"/>
      <c r="IM46" s="199"/>
      <c r="IN46" s="198"/>
      <c r="IP46" s="1382"/>
      <c r="IQ46" s="714"/>
      <c r="IR46" s="205"/>
      <c r="IS46" s="718"/>
      <c r="IT46" s="718"/>
      <c r="IU46" s="198"/>
      <c r="IV46" s="198"/>
      <c r="IW46" s="198"/>
      <c r="IX46" s="198"/>
      <c r="IY46" s="199"/>
      <c r="IZ46" s="198"/>
      <c r="JD46" s="150"/>
      <c r="JE46" s="714"/>
      <c r="JF46" s="205"/>
      <c r="JG46" s="718"/>
      <c r="JH46" s="718"/>
      <c r="JI46" s="198"/>
      <c r="JJ46" s="198"/>
      <c r="JK46" s="198"/>
      <c r="JL46" s="198"/>
      <c r="JM46" s="199"/>
      <c r="JN46" s="198"/>
      <c r="JP46" s="150"/>
      <c r="JQ46" s="714"/>
      <c r="JR46" s="205"/>
      <c r="JS46" s="718"/>
      <c r="JT46" s="718"/>
      <c r="JU46" s="198"/>
      <c r="JV46" s="198"/>
      <c r="JW46" s="198"/>
      <c r="JX46" s="198"/>
      <c r="JY46" s="199"/>
      <c r="JZ46" s="198"/>
      <c r="KB46" s="714"/>
      <c r="KC46" s="205"/>
      <c r="KD46" s="718"/>
      <c r="KE46" s="718"/>
      <c r="KF46" s="198"/>
      <c r="KG46" s="198"/>
      <c r="KH46" s="198"/>
      <c r="KI46" s="198"/>
      <c r="KJ46" s="199"/>
      <c r="KK46" s="198"/>
      <c r="KN46" s="714"/>
      <c r="KO46" s="205"/>
      <c r="KP46" s="718"/>
      <c r="KQ46" s="718"/>
      <c r="KR46" s="198"/>
      <c r="KS46" s="198"/>
      <c r="KT46" s="198"/>
      <c r="KU46" s="198"/>
      <c r="KV46" s="199"/>
      <c r="KW46" s="1612"/>
    </row>
    <row r="47" spans="6:309" ht="15.75" thickBot="1" x14ac:dyDescent="0.3">
      <c r="I47" s="176"/>
      <c r="O47" s="109"/>
      <c r="P47" s="109"/>
      <c r="Q47" s="109"/>
      <c r="R47" s="109"/>
      <c r="S47" s="150">
        <f t="shared" si="143"/>
        <v>0</v>
      </c>
      <c r="T47" s="194">
        <v>41011</v>
      </c>
      <c r="U47" s="294">
        <v>40</v>
      </c>
      <c r="V47" s="196">
        <v>34351.949999999997</v>
      </c>
      <c r="W47" s="295">
        <v>3216.88</v>
      </c>
      <c r="X47" s="198">
        <f t="shared" si="144"/>
        <v>628.64</v>
      </c>
      <c r="Y47" s="198">
        <f t="shared" si="145"/>
        <v>3845.52</v>
      </c>
      <c r="Z47" s="198">
        <f t="shared" si="146"/>
        <v>0</v>
      </c>
      <c r="AA47" s="198">
        <f t="shared" si="147"/>
        <v>0</v>
      </c>
      <c r="AB47" s="199" cm="1">
        <f t="array" ref="AB47">+ROUND(IF(AA47&lt;1,interpoler($A$5:$A$24,$B$5:$B$24,(T47-$B$1)),interpoler($C$5:$C$24,$D$5:$D$24,AA47))+$Y$2,6)</f>
        <v>3.0780999999999999E-2</v>
      </c>
      <c r="AC47" s="198">
        <f t="shared" si="148"/>
        <v>0</v>
      </c>
      <c r="AL47" s="221"/>
      <c r="AQ47" s="150">
        <f t="shared" si="149"/>
        <v>0</v>
      </c>
      <c r="AR47" s="310">
        <v>42259</v>
      </c>
      <c r="AS47" s="311">
        <v>49</v>
      </c>
      <c r="AT47" s="312">
        <v>16332.204100000001</v>
      </c>
      <c r="AU47" s="312">
        <v>1724.5605370000001</v>
      </c>
      <c r="AV47" s="313">
        <f t="shared" si="150"/>
        <v>260.91000000000003</v>
      </c>
      <c r="AW47" s="137">
        <f t="shared" si="151"/>
        <v>1985.47</v>
      </c>
      <c r="AX47" s="137">
        <f t="shared" si="152"/>
        <v>0</v>
      </c>
      <c r="AY47" s="137">
        <f t="shared" si="153"/>
        <v>0</v>
      </c>
      <c r="AZ47" s="146" cm="1">
        <f t="array" ref="AZ47">+ROUND(IF(AY47&lt;1,interpoler($A$5:$A$24,$B$5:$B$24,(AR47-$B$1)),interpoler($C$5:$C$24,$D$5:$D$24,AY47))+$AW$2,5)</f>
        <v>2.9780000000000001E-2</v>
      </c>
      <c r="BA47" s="137">
        <f t="shared" si="154"/>
        <v>0</v>
      </c>
      <c r="BB47" s="221"/>
      <c r="BC47" s="599">
        <f t="shared" si="155"/>
        <v>0</v>
      </c>
      <c r="BD47" s="669">
        <v>43448</v>
      </c>
      <c r="BE47" s="526">
        <v>40</v>
      </c>
      <c r="BF47" s="841">
        <v>18718.43</v>
      </c>
      <c r="BG47" s="835">
        <v>1439.5998682352943</v>
      </c>
      <c r="BH47" s="655">
        <f t="shared" si="90"/>
        <v>226.03</v>
      </c>
      <c r="BI47" s="655">
        <f t="shared" si="156"/>
        <v>1665.63</v>
      </c>
      <c r="BJ47" s="529">
        <f t="shared" si="157"/>
        <v>0</v>
      </c>
      <c r="BK47" s="529">
        <f t="shared" si="158"/>
        <v>0</v>
      </c>
      <c r="BL47" s="530" cm="1">
        <f t="array" ref="BL47">+ROUND(IF(BK47&lt;1,interpoler($A$5:$A$24,$B$5:$B$24,(BD47-$B$1)),interpoler($C$5:$C$24,$D$5:$D$24,BK47))+$BI$2,5)</f>
        <v>3.3279999999999997E-2</v>
      </c>
      <c r="BM47" s="529">
        <f t="shared" si="159"/>
        <v>0</v>
      </c>
      <c r="BN47" s="280"/>
      <c r="BO47" s="280"/>
      <c r="BP47" s="150"/>
      <c r="BQ47" s="116"/>
      <c r="BR47" s="133"/>
      <c r="BS47" s="134"/>
      <c r="BT47" s="134"/>
      <c r="BU47" s="137"/>
      <c r="BV47" s="137"/>
      <c r="BW47" s="137"/>
      <c r="BX47" s="137"/>
      <c r="BY47" s="146"/>
      <c r="BZ47" s="137"/>
      <c r="CB47" s="150">
        <f t="shared" si="160"/>
        <v>11</v>
      </c>
      <c r="CC47" s="1151">
        <v>47111</v>
      </c>
      <c r="CD47" s="205">
        <v>12</v>
      </c>
      <c r="CE47" s="1629">
        <v>50092.299999999996</v>
      </c>
      <c r="CF47" s="1626">
        <v>2154.63</v>
      </c>
      <c r="CG47" s="1632">
        <v>504.67</v>
      </c>
      <c r="CH47" s="198">
        <f t="shared" si="142"/>
        <v>2659.3</v>
      </c>
      <c r="CI47" s="198">
        <f t="shared" si="161"/>
        <v>2659.3</v>
      </c>
      <c r="CJ47" s="762">
        <f t="shared" si="139"/>
        <v>2.7445652173999999</v>
      </c>
      <c r="CK47" s="621" cm="1">
        <f t="array" ref="CK47">ROUND(interpoler(mat_zc,Taux_ZC,CJ47)+$CH$2,5)</f>
        <v>3.3360000000000001E-2</v>
      </c>
      <c r="CL47" s="762">
        <f t="shared" si="174"/>
        <v>2430.2601</v>
      </c>
      <c r="CM47" s="280"/>
      <c r="CN47" s="280"/>
      <c r="CO47" s="280"/>
      <c r="CP47" s="280"/>
      <c r="CQ47" s="280"/>
      <c r="CR47" s="280"/>
      <c r="CS47" s="280"/>
      <c r="CT47" s="280"/>
      <c r="CU47" s="280"/>
      <c r="CV47" s="280"/>
      <c r="CW47" s="280"/>
      <c r="CX47" s="280"/>
      <c r="CY47" s="280"/>
      <c r="DQ47" s="526">
        <f t="shared" si="42"/>
        <v>0</v>
      </c>
      <c r="DR47" s="525">
        <v>44577</v>
      </c>
      <c r="DS47" s="526">
        <v>40</v>
      </c>
      <c r="DT47" s="527">
        <f t="shared" si="94"/>
        <v>7874.83</v>
      </c>
      <c r="DU47" s="528">
        <v>1564.74</v>
      </c>
      <c r="DV47" s="529">
        <f t="shared" si="95"/>
        <v>105.02</v>
      </c>
      <c r="DW47" s="529">
        <f t="shared" si="43"/>
        <v>1669.76</v>
      </c>
      <c r="DX47" s="529">
        <f t="shared" si="44"/>
        <v>0</v>
      </c>
      <c r="DY47" s="529">
        <f t="shared" si="45"/>
        <v>0</v>
      </c>
      <c r="DZ47" s="530" cm="1">
        <f t="array" ref="DZ47">+ROUND(IF(DY47&lt;1,interpoler($A$5:$A$24,$B$5:$B$24,(DR47-$B$1)),interpoler($C$5:$C$24,$D$5:$D$24,DY47))+$DW$2,5)</f>
        <v>2.5680000000000001E-2</v>
      </c>
      <c r="EA47" s="529">
        <f t="shared" si="46"/>
        <v>0</v>
      </c>
      <c r="FD47" s="526">
        <f t="shared" si="56"/>
        <v>14</v>
      </c>
      <c r="FE47" s="1152">
        <v>47385</v>
      </c>
      <c r="FF47" s="797">
        <v>40</v>
      </c>
      <c r="FG47" s="1329">
        <v>7107.6499999999669</v>
      </c>
      <c r="FH47" s="1627">
        <v>1637.84</v>
      </c>
      <c r="FI47" s="1627">
        <v>53.84</v>
      </c>
      <c r="FJ47" s="798">
        <f t="shared" si="57"/>
        <v>1691.68</v>
      </c>
      <c r="FK47" s="798">
        <f t="shared" si="58"/>
        <v>1691.68</v>
      </c>
      <c r="FL47" s="1027">
        <f t="shared" si="141"/>
        <v>3.4945652173999999</v>
      </c>
      <c r="FM47" s="199" cm="1">
        <f t="array" ref="FM47">+ROUND(interpoler(mat_zc,Taux_ZC,FL47)+$FI$2,5)</f>
        <v>3.354E-2</v>
      </c>
      <c r="FN47" s="801">
        <f t="shared" si="140"/>
        <v>1507.4765600000001</v>
      </c>
      <c r="FO47" s="813"/>
      <c r="FP47" s="221"/>
      <c r="FQ47" s="526">
        <f t="shared" si="162"/>
        <v>24</v>
      </c>
      <c r="FR47" s="1152">
        <v>48297</v>
      </c>
      <c r="FS47" s="205">
        <v>25</v>
      </c>
      <c r="FT47" s="1630">
        <v>68200.51999999999</v>
      </c>
      <c r="FU47" s="1627">
        <v>5293.71</v>
      </c>
      <c r="FV47" s="1633">
        <v>598.45000000000005</v>
      </c>
      <c r="FW47" s="798">
        <f t="shared" si="163"/>
        <v>5892.16</v>
      </c>
      <c r="FX47" s="798">
        <f t="shared" si="164"/>
        <v>5892.16</v>
      </c>
      <c r="FY47" s="799">
        <f t="shared" si="172"/>
        <v>5.9945652200000001</v>
      </c>
      <c r="FZ47" s="800" cm="1">
        <f t="array" ref="FZ47">+ROUND(IF(FY47&lt;1,interpoler($A$5:$A$24,$B$5:$B$24,(FR47-$B$1)),interpoler(CIH!$K$72:$K$103,CIH!$L$72:$L$103,FY47))+$FV$2,5)</f>
        <v>3.7429999999999998E-2</v>
      </c>
      <c r="GA47" s="798">
        <f t="shared" si="165"/>
        <v>4727.2486699999999</v>
      </c>
      <c r="GB47" s="484"/>
      <c r="GC47" s="522"/>
      <c r="GD47" s="150">
        <f t="shared" si="166"/>
        <v>23</v>
      </c>
      <c r="GE47" s="1151">
        <v>48206</v>
      </c>
      <c r="GF47" s="205">
        <v>24</v>
      </c>
      <c r="GG47" s="1328">
        <v>12428.260000000038</v>
      </c>
      <c r="GH47" s="1626">
        <v>1707.28</v>
      </c>
      <c r="GI47" s="1626">
        <v>81.709999999999994</v>
      </c>
      <c r="GJ47" s="198">
        <f t="shared" si="167"/>
        <v>1788.99</v>
      </c>
      <c r="GK47" s="198">
        <f t="shared" si="168"/>
        <v>1788.99</v>
      </c>
      <c r="GL47" s="447">
        <f t="shared" si="126"/>
        <v>5.7445652173999999</v>
      </c>
      <c r="GM47" s="199" cm="1">
        <f t="array" ref="GM47">ROUND(interpoler(mat_zc,Taux_ZC,GL47)+$GJ$2,5)</f>
        <v>3.6299999999999999E-2</v>
      </c>
      <c r="GN47" s="762">
        <f t="shared" si="102"/>
        <v>1457.6405999999999</v>
      </c>
      <c r="GO47" s="198"/>
      <c r="GQ47" s="150">
        <f t="shared" si="169"/>
        <v>21</v>
      </c>
      <c r="GR47" s="1151">
        <v>48023</v>
      </c>
      <c r="GS47" s="205">
        <v>22</v>
      </c>
      <c r="GT47" s="1629">
        <v>71772.599999999991</v>
      </c>
      <c r="GU47" s="1626">
        <v>587.12</v>
      </c>
      <c r="GV47" s="1632">
        <v>556.23</v>
      </c>
      <c r="GW47" s="198">
        <f t="shared" si="170"/>
        <v>1143.3499999999999</v>
      </c>
      <c r="GX47" s="198">
        <f t="shared" si="171"/>
        <v>1143.3499999999999</v>
      </c>
      <c r="GY47" s="1042">
        <f t="shared" si="127"/>
        <v>5.2445652173999999</v>
      </c>
      <c r="GZ47" s="199" cm="1">
        <f t="array" ref="GZ47">+ROUND(IF(GY47&lt;1,interpoler($A$5:$A$24,$B$5:$B$24,(GR47-$B$1)),interpoler(CIH!$K$72:$K$103,CIH!$L$72:$L$103,GY47))+$GW$2,5)</f>
        <v>3.7539999999999997E-2</v>
      </c>
      <c r="HA47" s="212">
        <f t="shared" si="129"/>
        <v>942.41181455369394</v>
      </c>
      <c r="HE47" s="194"/>
      <c r="HF47" s="133"/>
      <c r="HG47" s="134"/>
      <c r="HH47" s="134"/>
      <c r="HI47" s="198"/>
      <c r="HJ47" s="198"/>
      <c r="HK47" s="198"/>
      <c r="HL47" s="198"/>
      <c r="HM47" s="199"/>
      <c r="HN47" s="198"/>
      <c r="HR47" s="150">
        <f t="shared" si="134"/>
        <v>0</v>
      </c>
      <c r="HS47" s="714"/>
      <c r="HT47" s="205"/>
      <c r="HU47" s="718"/>
      <c r="HV47" s="718"/>
      <c r="HW47" s="786"/>
      <c r="HX47" s="198"/>
      <c r="HY47" s="198"/>
      <c r="HZ47" s="198"/>
      <c r="IA47" s="199"/>
      <c r="IB47" s="212"/>
      <c r="ID47" s="150">
        <f t="shared" si="173"/>
        <v>0</v>
      </c>
      <c r="IE47" s="714"/>
      <c r="IF47" s="205"/>
      <c r="IG47" s="718"/>
      <c r="IH47" s="718"/>
      <c r="II47" s="198"/>
      <c r="IJ47" s="198"/>
      <c r="IK47" s="198"/>
      <c r="IL47" s="198"/>
      <c r="IM47" s="199"/>
      <c r="IN47" s="198"/>
      <c r="IP47" s="1382"/>
      <c r="IQ47" s="714"/>
      <c r="IR47" s="205"/>
      <c r="IS47" s="718"/>
      <c r="IT47" s="718"/>
      <c r="IU47" s="198"/>
      <c r="IV47" s="198"/>
      <c r="IW47" s="198"/>
      <c r="IX47" s="198"/>
      <c r="IY47" s="199"/>
      <c r="IZ47" s="198"/>
      <c r="JD47" s="150"/>
      <c r="JE47" s="714"/>
      <c r="JF47" s="205"/>
      <c r="JG47" s="718"/>
      <c r="JH47" s="718"/>
      <c r="JI47" s="198"/>
      <c r="JJ47" s="198"/>
      <c r="JK47" s="198"/>
      <c r="JL47" s="198"/>
      <c r="JM47" s="199"/>
      <c r="JN47" s="198"/>
      <c r="JP47" s="150"/>
      <c r="JQ47" s="714"/>
      <c r="JR47" s="205"/>
      <c r="JS47" s="718"/>
      <c r="JT47" s="718"/>
      <c r="JU47" s="198"/>
      <c r="JV47" s="198"/>
      <c r="JW47" s="198"/>
      <c r="JX47" s="198"/>
      <c r="JY47" s="199"/>
      <c r="JZ47" s="198"/>
      <c r="KB47" s="714"/>
      <c r="KC47" s="205"/>
      <c r="KD47" s="718"/>
      <c r="KE47" s="718"/>
      <c r="KF47" s="198"/>
      <c r="KG47" s="198"/>
      <c r="KH47" s="198"/>
      <c r="KI47" s="198"/>
      <c r="KJ47" s="199"/>
      <c r="KK47" s="198"/>
      <c r="KN47" s="714"/>
      <c r="KO47" s="205"/>
      <c r="KP47" s="718"/>
      <c r="KQ47" s="718"/>
      <c r="KR47" s="198"/>
      <c r="KS47" s="198"/>
      <c r="KT47" s="198"/>
      <c r="KU47" s="198"/>
      <c r="KV47" s="199"/>
      <c r="KW47" s="1612"/>
    </row>
    <row r="48" spans="6:309" ht="15" x14ac:dyDescent="0.25">
      <c r="I48" s="176"/>
      <c r="O48" s="109"/>
      <c r="P48" s="109"/>
      <c r="Q48" s="109"/>
      <c r="R48" s="109"/>
      <c r="S48" s="150">
        <f t="shared" si="143"/>
        <v>0</v>
      </c>
      <c r="T48" s="194">
        <v>41102</v>
      </c>
      <c r="U48" s="205">
        <v>41</v>
      </c>
      <c r="V48" s="196">
        <v>31135.07</v>
      </c>
      <c r="W48" s="203">
        <v>3059.34</v>
      </c>
      <c r="X48" s="198">
        <f t="shared" si="144"/>
        <v>569.77</v>
      </c>
      <c r="Y48" s="198">
        <f t="shared" si="145"/>
        <v>3629.11</v>
      </c>
      <c r="Z48" s="198">
        <f t="shared" si="146"/>
        <v>0</v>
      </c>
      <c r="AA48" s="198">
        <f t="shared" si="147"/>
        <v>0</v>
      </c>
      <c r="AB48" s="199" cm="1">
        <f t="array" ref="AB48">+ROUND(IF(AA48&lt;1,interpoler($A$5:$A$24,$B$5:$B$24,(T48-$B$1)),interpoler($C$5:$C$24,$D$5:$D$24,AA48))+$Y$2,6)</f>
        <v>3.0780999999999999E-2</v>
      </c>
      <c r="AC48" s="198">
        <f t="shared" si="148"/>
        <v>0</v>
      </c>
      <c r="AL48" s="221"/>
      <c r="AQ48" s="150">
        <f t="shared" si="149"/>
        <v>0</v>
      </c>
      <c r="AR48" s="310">
        <v>42350</v>
      </c>
      <c r="AS48" s="311">
        <v>50</v>
      </c>
      <c r="AT48" s="312">
        <v>14607.64356</v>
      </c>
      <c r="AU48" s="312">
        <v>1639.136049</v>
      </c>
      <c r="AV48" s="313">
        <f t="shared" si="150"/>
        <v>233.36</v>
      </c>
      <c r="AW48" s="137">
        <f t="shared" si="151"/>
        <v>1872.5</v>
      </c>
      <c r="AX48" s="137">
        <f t="shared" si="152"/>
        <v>0</v>
      </c>
      <c r="AY48" s="137">
        <f t="shared" si="153"/>
        <v>0</v>
      </c>
      <c r="AZ48" s="146" cm="1">
        <f t="array" ref="AZ48">+ROUND(IF(AY48&lt;1,interpoler($A$5:$A$24,$B$5:$B$24,(AR48-$B$1)),interpoler($C$5:$C$24,$D$5:$D$24,AY48))+$AW$2,5)</f>
        <v>2.9780000000000001E-2</v>
      </c>
      <c r="BA48" s="137">
        <f t="shared" si="154"/>
        <v>0</v>
      </c>
      <c r="BB48" s="221"/>
      <c r="BC48" s="599">
        <f t="shared" si="155"/>
        <v>0</v>
      </c>
      <c r="BD48" s="669">
        <v>43538</v>
      </c>
      <c r="BE48" s="526">
        <v>41</v>
      </c>
      <c r="BF48" s="841">
        <v>17338.57</v>
      </c>
      <c r="BG48" s="835">
        <v>1399.18</v>
      </c>
      <c r="BH48" s="655">
        <f t="shared" si="90"/>
        <v>209.36</v>
      </c>
      <c r="BI48" s="655">
        <f t="shared" si="156"/>
        <v>1608.54</v>
      </c>
      <c r="BJ48" s="529">
        <f t="shared" si="157"/>
        <v>0</v>
      </c>
      <c r="BK48" s="529">
        <f t="shared" si="158"/>
        <v>0</v>
      </c>
      <c r="BL48" s="530" cm="1">
        <f t="array" ref="BL48">+ROUND(IF(BK48&lt;1,interpoler($A$5:$A$24,$B$5:$B$24,(BD48-$B$1)),interpoler($C$5:$C$24,$D$5:$D$24,BK48))+$BI$2,5)</f>
        <v>3.3279999999999997E-2</v>
      </c>
      <c r="BM48" s="529">
        <f t="shared" si="159"/>
        <v>0</v>
      </c>
      <c r="BN48" s="280"/>
      <c r="BO48" s="280"/>
      <c r="BP48" s="150"/>
      <c r="BQ48" s="116"/>
      <c r="BR48" s="133"/>
      <c r="BS48" s="134"/>
      <c r="BT48" s="134"/>
      <c r="BU48" s="137"/>
      <c r="BV48" s="137"/>
      <c r="BW48" s="137"/>
      <c r="BX48" s="137"/>
      <c r="BY48" s="146"/>
      <c r="BZ48" s="137"/>
      <c r="CB48" s="150">
        <f t="shared" si="160"/>
        <v>12</v>
      </c>
      <c r="CC48" s="1152">
        <v>47201</v>
      </c>
      <c r="CD48" s="205">
        <v>13</v>
      </c>
      <c r="CE48" s="1630">
        <v>47937.67</v>
      </c>
      <c r="CF48" s="1627">
        <v>2139.98</v>
      </c>
      <c r="CG48" s="1633">
        <v>482.97</v>
      </c>
      <c r="CH48" s="198">
        <f t="shared" si="142"/>
        <v>2622.95</v>
      </c>
      <c r="CI48" s="198">
        <f t="shared" si="161"/>
        <v>2622.95</v>
      </c>
      <c r="CJ48" s="762">
        <f t="shared" si="139"/>
        <v>2.9945652173999999</v>
      </c>
      <c r="CK48" s="621" cm="1">
        <f t="array" ref="CK48">ROUND(interpoler(mat_zc,Taux_ZC,CJ48)+$CH$2,5)</f>
        <v>3.3750000000000002E-2</v>
      </c>
      <c r="CL48" s="762">
        <f t="shared" si="174"/>
        <v>2374.7712999999999</v>
      </c>
      <c r="CM48" s="280"/>
      <c r="CN48" s="280"/>
      <c r="CO48" s="280"/>
      <c r="CP48" s="280"/>
      <c r="CQ48" s="280"/>
      <c r="CR48" s="280"/>
      <c r="CS48" s="280"/>
      <c r="CT48" s="280"/>
      <c r="CU48" s="280"/>
      <c r="CV48" s="280"/>
      <c r="CW48" s="280"/>
      <c r="CX48" s="280"/>
      <c r="CY48" s="280"/>
      <c r="DQ48" s="526">
        <f t="shared" si="42"/>
        <v>0</v>
      </c>
      <c r="DR48" s="525">
        <v>44667</v>
      </c>
      <c r="DS48" s="526">
        <v>41</v>
      </c>
      <c r="DT48" s="527">
        <f t="shared" si="94"/>
        <v>6363.94</v>
      </c>
      <c r="DU48" s="528">
        <v>1510.89</v>
      </c>
      <c r="DV48" s="529">
        <f t="shared" si="95"/>
        <v>87.61</v>
      </c>
      <c r="DW48" s="529">
        <f t="shared" si="43"/>
        <v>1598.5</v>
      </c>
      <c r="DX48" s="529">
        <f t="shared" si="44"/>
        <v>0</v>
      </c>
      <c r="DY48" s="529">
        <f t="shared" si="45"/>
        <v>0</v>
      </c>
      <c r="DZ48" s="530" cm="1">
        <f t="array" ref="DZ48">+ROUND(IF(DY48&lt;1,interpoler($A$5:$A$24,$B$5:$B$24,(DR48-$B$1)),interpoler($C$5:$C$24,$D$5:$D$24,DY48))+$DW$2,5)</f>
        <v>2.5680000000000001E-2</v>
      </c>
      <c r="EA48" s="529">
        <f t="shared" si="46"/>
        <v>0</v>
      </c>
      <c r="FD48" s="526">
        <f t="shared" si="56"/>
        <v>15</v>
      </c>
      <c r="FE48" s="1151">
        <v>47476</v>
      </c>
      <c r="FF48" s="797">
        <v>41</v>
      </c>
      <c r="FG48" s="1328">
        <v>5469.8099999999667</v>
      </c>
      <c r="FH48" s="1626">
        <v>1632.19</v>
      </c>
      <c r="FI48" s="1626">
        <v>41.43</v>
      </c>
      <c r="FJ48" s="798">
        <f t="shared" si="57"/>
        <v>1673.62</v>
      </c>
      <c r="FK48" s="798">
        <f t="shared" si="58"/>
        <v>1673.62</v>
      </c>
      <c r="FL48" s="1027">
        <f t="shared" si="141"/>
        <v>3.7445652173999999</v>
      </c>
      <c r="FM48" s="199" cm="1">
        <f t="array" ref="FM48">+ROUND(interpoler(mat_zc,Taux_ZC,FL48)+$FI$2,5)</f>
        <v>3.3930000000000002E-2</v>
      </c>
      <c r="FN48" s="801">
        <f t="shared" si="140"/>
        <v>1477.0454199999999</v>
      </c>
      <c r="FO48" s="814"/>
      <c r="FP48" s="221"/>
      <c r="FQ48" s="526">
        <f t="shared" si="162"/>
        <v>25</v>
      </c>
      <c r="FR48" s="1151">
        <v>48389</v>
      </c>
      <c r="FS48" s="205">
        <v>26</v>
      </c>
      <c r="FT48" s="1629">
        <v>62906.80999999999</v>
      </c>
      <c r="FU48" s="1626">
        <v>5172.1000000000004</v>
      </c>
      <c r="FV48" s="1632">
        <v>552</v>
      </c>
      <c r="FW48" s="798">
        <f t="shared" si="163"/>
        <v>5724.1</v>
      </c>
      <c r="FX48" s="798">
        <f t="shared" si="164"/>
        <v>5724.1</v>
      </c>
      <c r="FY48" s="799">
        <f t="shared" si="172"/>
        <v>6.2445652200000001</v>
      </c>
      <c r="FZ48" s="800" cm="1">
        <f t="array" ref="FZ48">+ROUND(IF(FY48&lt;1,interpoler($A$5:$A$24,$B$5:$B$24,(FR48-$B$1)),interpoler(CIH!$K$72:$K$103,CIH!$L$72:$L$103,FY48))+$FV$2,5)</f>
        <v>3.7560000000000003E-2</v>
      </c>
      <c r="GA48" s="798">
        <f t="shared" si="165"/>
        <v>4546.8603199999998</v>
      </c>
      <c r="GB48" s="484"/>
      <c r="GC48" s="522"/>
      <c r="GD48" s="150">
        <f t="shared" si="166"/>
        <v>24</v>
      </c>
      <c r="GE48" s="1152">
        <v>48297</v>
      </c>
      <c r="GF48" s="205">
        <v>25</v>
      </c>
      <c r="GG48" s="1329">
        <v>10720.980000000038</v>
      </c>
      <c r="GH48" s="1627">
        <v>1687.43</v>
      </c>
      <c r="GI48" s="1627">
        <v>70.489999999999995</v>
      </c>
      <c r="GJ48" s="198">
        <f t="shared" si="167"/>
        <v>1757.92</v>
      </c>
      <c r="GK48" s="198">
        <f t="shared" si="168"/>
        <v>1757.92</v>
      </c>
      <c r="GL48" s="447">
        <f t="shared" si="126"/>
        <v>5.9945652173999999</v>
      </c>
      <c r="GM48" s="199" cm="1">
        <f t="array" ref="GM48">ROUND(interpoler(mat_zc,Taux_ZC,GL48)+$GJ$2,5)</f>
        <v>3.6429999999999997E-2</v>
      </c>
      <c r="GN48" s="762">
        <f t="shared" si="102"/>
        <v>1418.5469000000001</v>
      </c>
      <c r="GO48" s="198"/>
      <c r="GQ48" s="150">
        <f t="shared" si="169"/>
        <v>22</v>
      </c>
      <c r="GR48" s="1152">
        <v>48115</v>
      </c>
      <c r="GS48" s="205">
        <v>23</v>
      </c>
      <c r="GT48" s="1630">
        <v>71185.48</v>
      </c>
      <c r="GU48" s="1627">
        <v>579.28</v>
      </c>
      <c r="GV48" s="1633">
        <v>551.67999999999995</v>
      </c>
      <c r="GW48" s="198">
        <f t="shared" si="170"/>
        <v>1130.96</v>
      </c>
      <c r="GX48" s="198">
        <f t="shared" si="171"/>
        <v>1130.96</v>
      </c>
      <c r="GY48" s="1042">
        <f t="shared" si="127"/>
        <v>5.4945652173999999</v>
      </c>
      <c r="GZ48" s="199" cm="1">
        <f t="array" ref="GZ48">+ROUND(IF(GY48&lt;1,interpoler($A$5:$A$24,$B$5:$B$24,(GR48-$B$1)),interpoler(CIH!$K$72:$K$103,CIH!$L$72:$L$103,GY48))+$GW$2,5)</f>
        <v>3.7670000000000002E-2</v>
      </c>
      <c r="HA48" s="212">
        <f t="shared" si="129"/>
        <v>923.014636379487</v>
      </c>
      <c r="HE48" s="194"/>
      <c r="HF48" s="133"/>
      <c r="HG48" s="134"/>
      <c r="HH48" s="134"/>
      <c r="HI48" s="198"/>
      <c r="HJ48" s="198"/>
      <c r="HK48" s="198"/>
      <c r="HL48" s="198"/>
      <c r="HM48" s="199"/>
      <c r="HN48" s="198"/>
      <c r="HR48" s="150">
        <f t="shared" si="134"/>
        <v>0</v>
      </c>
      <c r="HS48" s="714"/>
      <c r="HT48" s="205"/>
      <c r="HU48" s="718"/>
      <c r="HV48" s="718"/>
      <c r="HW48" s="786"/>
      <c r="HX48" s="198"/>
      <c r="HY48" s="198"/>
      <c r="HZ48" s="198"/>
      <c r="IA48" s="199"/>
      <c r="IB48" s="212"/>
      <c r="ID48" s="150">
        <f t="shared" si="173"/>
        <v>0</v>
      </c>
      <c r="IE48" s="714"/>
      <c r="IF48" s="205"/>
      <c r="IG48" s="718"/>
      <c r="IH48" s="718"/>
      <c r="II48" s="198"/>
      <c r="IJ48" s="198"/>
      <c r="IK48" s="198"/>
      <c r="IL48" s="198"/>
      <c r="IM48" s="199"/>
      <c r="IN48" s="198"/>
      <c r="IP48" s="1382"/>
      <c r="IQ48" s="714"/>
      <c r="IR48" s="205"/>
      <c r="IS48" s="718"/>
      <c r="IT48" s="718"/>
      <c r="IU48" s="198"/>
      <c r="IV48" s="198"/>
      <c r="IW48" s="198"/>
      <c r="IX48" s="198"/>
      <c r="IY48" s="199"/>
      <c r="IZ48" s="198"/>
      <c r="JD48" s="150"/>
      <c r="JE48" s="714"/>
      <c r="JF48" s="205"/>
      <c r="JG48" s="718"/>
      <c r="JH48" s="718"/>
      <c r="JI48" s="198"/>
      <c r="JJ48" s="198"/>
      <c r="JK48" s="198"/>
      <c r="JL48" s="198"/>
      <c r="JM48" s="199"/>
      <c r="JN48" s="198"/>
      <c r="JP48" s="150"/>
      <c r="JQ48" s="714"/>
      <c r="JR48" s="205"/>
      <c r="JS48" s="718"/>
      <c r="JT48" s="718"/>
      <c r="JU48" s="198"/>
      <c r="JV48" s="198"/>
      <c r="JW48" s="198"/>
      <c r="JX48" s="198"/>
      <c r="JY48" s="199"/>
      <c r="JZ48" s="198"/>
      <c r="KB48" s="714"/>
      <c r="KC48" s="205"/>
      <c r="KD48" s="718"/>
      <c r="KE48" s="718"/>
      <c r="KF48" s="198"/>
      <c r="KG48" s="198"/>
      <c r="KH48" s="198"/>
      <c r="KI48" s="198"/>
      <c r="KJ48" s="199"/>
      <c r="KK48" s="198"/>
      <c r="KN48" s="714"/>
      <c r="KO48" s="205"/>
      <c r="KP48" s="718"/>
      <c r="KQ48" s="718"/>
      <c r="KR48" s="198"/>
      <c r="KS48" s="198"/>
      <c r="KT48" s="198"/>
      <c r="KU48" s="198"/>
      <c r="KV48" s="199"/>
      <c r="KW48" s="1612"/>
    </row>
    <row r="49" spans="9:309" ht="15" x14ac:dyDescent="0.25">
      <c r="I49" s="176"/>
      <c r="O49" s="109"/>
      <c r="P49" s="109"/>
      <c r="Q49" s="109"/>
      <c r="R49" s="109"/>
      <c r="S49" s="150">
        <f t="shared" si="143"/>
        <v>0</v>
      </c>
      <c r="T49" s="194">
        <v>41194</v>
      </c>
      <c r="U49" s="205">
        <v>42</v>
      </c>
      <c r="V49" s="296">
        <v>28075.73</v>
      </c>
      <c r="W49" s="196">
        <v>3194.93</v>
      </c>
      <c r="X49" s="198">
        <f t="shared" si="144"/>
        <v>513.79</v>
      </c>
      <c r="Y49" s="198">
        <f t="shared" si="145"/>
        <v>3708.72</v>
      </c>
      <c r="Z49" s="198">
        <f t="shared" si="146"/>
        <v>0</v>
      </c>
      <c r="AA49" s="198">
        <f t="shared" si="147"/>
        <v>0</v>
      </c>
      <c r="AB49" s="199" cm="1">
        <f t="array" ref="AB49">+ROUND(IF(AA49&lt;1,interpoler($A$5:$A$24,$B$5:$B$24,(T49-$B$1)),interpoler($C$5:$C$24,$D$5:$D$24,AA49))+$Y$2,6)</f>
        <v>3.0780999999999999E-2</v>
      </c>
      <c r="AC49" s="198">
        <f t="shared" si="148"/>
        <v>0</v>
      </c>
      <c r="AL49" s="221"/>
      <c r="AQ49" s="150">
        <f t="shared" si="149"/>
        <v>0</v>
      </c>
      <c r="AR49" s="310">
        <v>42441</v>
      </c>
      <c r="AS49" s="311">
        <v>51</v>
      </c>
      <c r="AT49" s="312">
        <v>12968.507509999999</v>
      </c>
      <c r="AU49" s="312">
        <v>1552.251548</v>
      </c>
      <c r="AV49" s="313">
        <f t="shared" si="150"/>
        <v>207.17</v>
      </c>
      <c r="AW49" s="137">
        <f t="shared" si="151"/>
        <v>1759.42</v>
      </c>
      <c r="AX49" s="137">
        <f t="shared" si="152"/>
        <v>0</v>
      </c>
      <c r="AY49" s="137">
        <f t="shared" si="153"/>
        <v>0</v>
      </c>
      <c r="AZ49" s="146" cm="1">
        <f t="array" ref="AZ49">+ROUND(IF(AY49&lt;1,interpoler($A$5:$A$24,$B$5:$B$24,(AR49-$B$1)),interpoler($C$5:$C$24,$D$5:$D$24,AY49))+$AW$2,5)</f>
        <v>2.9780000000000001E-2</v>
      </c>
      <c r="BA49" s="137">
        <f t="shared" si="154"/>
        <v>0</v>
      </c>
      <c r="BB49" s="221"/>
      <c r="BC49" s="599">
        <f t="shared" si="155"/>
        <v>0</v>
      </c>
      <c r="BD49" s="669">
        <v>43630</v>
      </c>
      <c r="BE49" s="526">
        <v>42</v>
      </c>
      <c r="BF49" s="841">
        <v>15939.39</v>
      </c>
      <c r="BG49" s="835">
        <v>1404.89</v>
      </c>
      <c r="BH49" s="655">
        <f t="shared" si="90"/>
        <v>192.47</v>
      </c>
      <c r="BI49" s="655">
        <f t="shared" si="156"/>
        <v>1597.36</v>
      </c>
      <c r="BJ49" s="529">
        <f t="shared" si="157"/>
        <v>0</v>
      </c>
      <c r="BK49" s="529">
        <f t="shared" si="158"/>
        <v>0</v>
      </c>
      <c r="BL49" s="530" cm="1">
        <f t="array" ref="BL49">+ROUND(IF(BK49&lt;1,interpoler($A$5:$A$24,$B$5:$B$24,(BD49-$B$1)),interpoler($C$5:$C$24,$D$5:$D$24,BK49))+$BI$2,5)</f>
        <v>3.3279999999999997E-2</v>
      </c>
      <c r="BM49" s="529">
        <f t="shared" si="159"/>
        <v>0</v>
      </c>
      <c r="BN49" s="280"/>
      <c r="BO49" s="280"/>
      <c r="BP49" s="150"/>
      <c r="BQ49" s="116"/>
      <c r="BR49" s="133"/>
      <c r="BS49" s="134"/>
      <c r="BT49" s="134"/>
      <c r="BU49" s="137"/>
      <c r="BV49" s="137"/>
      <c r="BW49" s="137"/>
      <c r="BX49" s="137"/>
      <c r="BY49" s="146"/>
      <c r="BZ49" s="137"/>
      <c r="CB49" s="150">
        <f t="shared" si="160"/>
        <v>13</v>
      </c>
      <c r="CC49" s="1151">
        <v>47293</v>
      </c>
      <c r="CD49" s="205">
        <v>14</v>
      </c>
      <c r="CE49" s="1629">
        <v>45797.689999999995</v>
      </c>
      <c r="CF49" s="1626">
        <v>2119.85</v>
      </c>
      <c r="CG49" s="1632">
        <v>461.41</v>
      </c>
      <c r="CH49" s="198">
        <f t="shared" si="142"/>
        <v>2581.2600000000002</v>
      </c>
      <c r="CI49" s="198">
        <f t="shared" si="161"/>
        <v>2581.2600000000002</v>
      </c>
      <c r="CJ49" s="762">
        <f t="shared" si="139"/>
        <v>3.2445652173999999</v>
      </c>
      <c r="CK49" s="621" cm="1">
        <f t="array" ref="CK49">ROUND(interpoler(mat_zc,Taux_ZC,CJ49)+$CH$2,5)</f>
        <v>3.4139999999999997E-2</v>
      </c>
      <c r="CL49" s="762">
        <f t="shared" si="174"/>
        <v>2314.8782000000001</v>
      </c>
      <c r="CM49" s="280"/>
      <c r="CN49" s="280"/>
      <c r="CO49" s="280"/>
      <c r="CP49" s="280"/>
      <c r="CQ49" s="280"/>
      <c r="CR49" s="280"/>
      <c r="CS49" s="280"/>
      <c r="CT49" s="280"/>
      <c r="CU49" s="280"/>
      <c r="CV49" s="280"/>
      <c r="CW49" s="280"/>
      <c r="CX49" s="280"/>
      <c r="CY49" s="280"/>
      <c r="DQ49" s="526">
        <f t="shared" si="42"/>
        <v>0</v>
      </c>
      <c r="DR49" s="525">
        <v>44758</v>
      </c>
      <c r="DS49" s="526">
        <v>42</v>
      </c>
      <c r="DT49" s="527">
        <f t="shared" si="94"/>
        <v>4889.0999999999995</v>
      </c>
      <c r="DU49" s="528">
        <v>1474.84</v>
      </c>
      <c r="DV49" s="529">
        <f t="shared" si="95"/>
        <v>70.8</v>
      </c>
      <c r="DW49" s="529">
        <f t="shared" si="43"/>
        <v>1545.64</v>
      </c>
      <c r="DX49" s="529">
        <f t="shared" si="44"/>
        <v>0</v>
      </c>
      <c r="DY49" s="529">
        <f t="shared" si="45"/>
        <v>0</v>
      </c>
      <c r="DZ49" s="530" cm="1">
        <f t="array" ref="DZ49">+ROUND(IF(DY49&lt;1,interpoler($A$5:$A$24,$B$5:$B$24,(DR49-$B$1)),interpoler($C$5:$C$24,$D$5:$D$24,DY49))+$DW$2,5)</f>
        <v>2.5680000000000001E-2</v>
      </c>
      <c r="EA49" s="529">
        <f t="shared" si="46"/>
        <v>0</v>
      </c>
      <c r="FD49" s="526">
        <f t="shared" si="56"/>
        <v>16</v>
      </c>
      <c r="FE49" s="1152">
        <v>47566</v>
      </c>
      <c r="FF49" s="797">
        <v>42</v>
      </c>
      <c r="FG49" s="1329">
        <v>3837.6199999999667</v>
      </c>
      <c r="FH49" s="1627">
        <v>1615.16</v>
      </c>
      <c r="FI49" s="1627">
        <v>29.06</v>
      </c>
      <c r="FJ49" s="798">
        <f t="shared" si="57"/>
        <v>1644.22</v>
      </c>
      <c r="FK49" s="798">
        <f t="shared" si="58"/>
        <v>1644.22</v>
      </c>
      <c r="FL49" s="1027">
        <f t="shared" si="141"/>
        <v>3.9945652173999999</v>
      </c>
      <c r="FM49" s="199" cm="1">
        <f t="array" ref="FM49">+ROUND(interpoler(mat_zc,Taux_ZC,FL49)+$FI$2,5)</f>
        <v>3.4320000000000003E-2</v>
      </c>
      <c r="FN49" s="801">
        <f t="shared" si="140"/>
        <v>1436.87796</v>
      </c>
      <c r="FO49" s="813"/>
      <c r="FP49" s="221"/>
      <c r="FQ49" s="526">
        <f t="shared" si="162"/>
        <v>26</v>
      </c>
      <c r="FR49" s="1152">
        <v>48481</v>
      </c>
      <c r="FS49" s="205">
        <v>27</v>
      </c>
      <c r="FT49" s="1630">
        <v>57734.709999999992</v>
      </c>
      <c r="FU49" s="1627">
        <v>5013.25</v>
      </c>
      <c r="FV49" s="1633">
        <v>506.62</v>
      </c>
      <c r="FW49" s="798">
        <f t="shared" si="163"/>
        <v>5519.87</v>
      </c>
      <c r="FX49" s="798">
        <f t="shared" si="164"/>
        <v>5519.87</v>
      </c>
      <c r="FY49" s="799">
        <f t="shared" si="172"/>
        <v>6.4945652200000001</v>
      </c>
      <c r="FZ49" s="800" cm="1">
        <f t="array" ref="FZ49">+ROUND(IF(FY49&lt;1,interpoler($A$5:$A$24,$B$5:$B$24,(FR49-$B$1)),interpoler(CIH!$K$72:$K$103,CIH!$L$72:$L$103,FY49))+$FV$2,5)</f>
        <v>3.7679999999999998E-2</v>
      </c>
      <c r="GA49" s="798">
        <f t="shared" si="165"/>
        <v>4341.13958</v>
      </c>
      <c r="GB49" s="484"/>
      <c r="GC49" s="522"/>
      <c r="GD49" s="150">
        <f t="shared" si="166"/>
        <v>25</v>
      </c>
      <c r="GE49" s="1151">
        <v>48389</v>
      </c>
      <c r="GF49" s="205">
        <v>26</v>
      </c>
      <c r="GG49" s="1328">
        <v>9033.5500000000375</v>
      </c>
      <c r="GH49" s="1626">
        <v>1663.97</v>
      </c>
      <c r="GI49" s="1626">
        <v>59.39</v>
      </c>
      <c r="GJ49" s="198">
        <f t="shared" si="167"/>
        <v>1723.36</v>
      </c>
      <c r="GK49" s="198">
        <f t="shared" si="168"/>
        <v>1723.36</v>
      </c>
      <c r="GL49" s="447">
        <f t="shared" si="126"/>
        <v>6.2445652173999999</v>
      </c>
      <c r="GM49" s="199" cm="1">
        <f t="array" ref="GM49">ROUND(interpoler(mat_zc,Taux_ZC,GL49)+$GJ$2,5)</f>
        <v>3.6560000000000002E-2</v>
      </c>
      <c r="GN49" s="762">
        <f t="shared" si="102"/>
        <v>1377.1950999999999</v>
      </c>
      <c r="GO49" s="198"/>
      <c r="GQ49" s="150">
        <f t="shared" si="169"/>
        <v>23</v>
      </c>
      <c r="GR49" s="1151">
        <v>48206</v>
      </c>
      <c r="GS49" s="205">
        <v>24</v>
      </c>
      <c r="GT49" s="1629">
        <v>70606.2</v>
      </c>
      <c r="GU49" s="1626">
        <v>573.05999999999995</v>
      </c>
      <c r="GV49" s="1632">
        <v>547.19000000000005</v>
      </c>
      <c r="GW49" s="198">
        <f t="shared" si="170"/>
        <v>1120.25</v>
      </c>
      <c r="GX49" s="198">
        <f t="shared" si="171"/>
        <v>1120.25</v>
      </c>
      <c r="GY49" s="1042">
        <f t="shared" ref="GY49:GY72" si="175">ROUND(IF(GX49=0,0,IF(GQ49=1,((GQ49-1)+(GR49-$B$1)/(GR49-GR48))*0.25,GY48+0.25)),10)</f>
        <v>5.7445652173999999</v>
      </c>
      <c r="GZ49" s="199" cm="1">
        <f t="array" ref="GZ49">+ROUND(IF(GY49&lt;1,interpoler($A$5:$A$24,$B$5:$B$24,(GR49-$B$1)),interpoler(CIH!$K$72:$K$103,CIH!$L$72:$L$103,GY49))+$GW$2,5)</f>
        <v>3.78E-2</v>
      </c>
      <c r="HA49" s="212">
        <f t="shared" si="129"/>
        <v>905.20917099203405</v>
      </c>
      <c r="HE49" s="194"/>
      <c r="HF49" s="133"/>
      <c r="HG49" s="134"/>
      <c r="HH49" s="134"/>
      <c r="HI49" s="198"/>
      <c r="HJ49" s="198"/>
      <c r="HK49" s="198"/>
      <c r="HL49" s="198"/>
      <c r="HM49" s="199"/>
      <c r="HN49" s="198"/>
      <c r="HR49" s="150">
        <f t="shared" si="134"/>
        <v>0</v>
      </c>
      <c r="HS49" s="714"/>
      <c r="HT49" s="205"/>
      <c r="HU49" s="718"/>
      <c r="HV49" s="718"/>
      <c r="HW49" s="786"/>
      <c r="HX49" s="198"/>
      <c r="HY49" s="198"/>
      <c r="HZ49" s="198"/>
      <c r="IA49" s="199"/>
      <c r="IB49" s="212"/>
      <c r="ID49" s="150">
        <f t="shared" si="173"/>
        <v>0</v>
      </c>
      <c r="IE49" s="714"/>
      <c r="IF49" s="205"/>
      <c r="IG49" s="718"/>
      <c r="IH49" s="718"/>
      <c r="II49" s="198"/>
      <c r="IJ49" s="198"/>
      <c r="IK49" s="198"/>
      <c r="IL49" s="198"/>
      <c r="IM49" s="199"/>
      <c r="IN49" s="198"/>
      <c r="IP49" s="1382"/>
      <c r="IQ49" s="714"/>
      <c r="IR49" s="205"/>
      <c r="IS49" s="718"/>
      <c r="IT49" s="718"/>
      <c r="IU49" s="198"/>
      <c r="IV49" s="198"/>
      <c r="IW49" s="198"/>
      <c r="IX49" s="198"/>
      <c r="IY49" s="199"/>
      <c r="IZ49" s="198"/>
      <c r="JD49" s="150"/>
      <c r="JE49" s="714"/>
      <c r="JF49" s="205"/>
      <c r="JG49" s="718"/>
      <c r="JH49" s="718"/>
      <c r="JI49" s="198"/>
      <c r="JJ49" s="198"/>
      <c r="JK49" s="198"/>
      <c r="JL49" s="198"/>
      <c r="JM49" s="199"/>
      <c r="JN49" s="198"/>
      <c r="JP49" s="150"/>
      <c r="JQ49" s="714"/>
      <c r="JR49" s="205"/>
      <c r="JS49" s="718"/>
      <c r="JT49" s="718"/>
      <c r="JU49" s="198"/>
      <c r="JV49" s="198"/>
      <c r="JW49" s="198"/>
      <c r="JX49" s="198"/>
      <c r="JY49" s="199"/>
      <c r="JZ49" s="198"/>
      <c r="KB49" s="714"/>
      <c r="KC49" s="205"/>
      <c r="KD49" s="718"/>
      <c r="KE49" s="718"/>
      <c r="KF49" s="198"/>
      <c r="KG49" s="198"/>
      <c r="KH49" s="198"/>
      <c r="KI49" s="198"/>
      <c r="KJ49" s="199"/>
      <c r="KK49" s="198"/>
      <c r="KN49" s="714"/>
      <c r="KO49" s="205"/>
      <c r="KP49" s="718"/>
      <c r="KQ49" s="718"/>
      <c r="KR49" s="198"/>
      <c r="KS49" s="198"/>
      <c r="KT49" s="198"/>
      <c r="KU49" s="198"/>
      <c r="KV49" s="199"/>
      <c r="KW49" s="1612"/>
    </row>
    <row r="50" spans="9:309" ht="15" x14ac:dyDescent="0.25">
      <c r="O50" s="109"/>
      <c r="P50" s="109"/>
      <c r="Q50" s="109"/>
      <c r="R50" s="109"/>
      <c r="S50" s="150">
        <f t="shared" si="143"/>
        <v>0</v>
      </c>
      <c r="T50" s="194">
        <v>41286</v>
      </c>
      <c r="U50" s="205">
        <v>43</v>
      </c>
      <c r="V50" s="196">
        <v>24880.799999999999</v>
      </c>
      <c r="W50" s="196">
        <v>2593.31</v>
      </c>
      <c r="X50" s="198">
        <f t="shared" si="144"/>
        <v>455.32</v>
      </c>
      <c r="Y50" s="198">
        <f t="shared" si="145"/>
        <v>3048.63</v>
      </c>
      <c r="Z50" s="198">
        <f t="shared" si="146"/>
        <v>0</v>
      </c>
      <c r="AA50" s="198">
        <f t="shared" si="147"/>
        <v>0</v>
      </c>
      <c r="AB50" s="199" cm="1">
        <f t="array" ref="AB50">+ROUND(IF(AA50&lt;1,interpoler($A$5:$A$24,$B$5:$B$24,(T50-$B$1)),interpoler($C$5:$C$24,$D$5:$D$24,AA50))+$Y$2,6)</f>
        <v>3.0780999999999999E-2</v>
      </c>
      <c r="AC50" s="198">
        <f t="shared" si="148"/>
        <v>0</v>
      </c>
      <c r="AL50" s="221"/>
      <c r="AQ50" s="150">
        <f t="shared" si="149"/>
        <v>0</v>
      </c>
      <c r="AR50" s="310">
        <v>42533</v>
      </c>
      <c r="AS50" s="311">
        <v>52</v>
      </c>
      <c r="AT50" s="312">
        <v>11416.25597</v>
      </c>
      <c r="AU50" s="312">
        <v>1480.1269560000001</v>
      </c>
      <c r="AV50" s="313">
        <f t="shared" si="150"/>
        <v>182.37</v>
      </c>
      <c r="AW50" s="137">
        <f t="shared" si="151"/>
        <v>1662.5</v>
      </c>
      <c r="AX50" s="137">
        <f t="shared" si="152"/>
        <v>0</v>
      </c>
      <c r="AY50" s="137">
        <f t="shared" si="153"/>
        <v>0</v>
      </c>
      <c r="AZ50" s="146" cm="1">
        <f t="array" ref="AZ50">+ROUND(IF(AY50&lt;1,interpoler($A$5:$A$24,$B$5:$B$24,(AR50-$B$1)),interpoler($C$5:$C$24,$D$5:$D$24,AY50))+$AW$2,5)</f>
        <v>2.9780000000000001E-2</v>
      </c>
      <c r="BA50" s="137">
        <f t="shared" si="154"/>
        <v>0</v>
      </c>
      <c r="BB50" s="221"/>
      <c r="BC50" s="599">
        <f t="shared" si="155"/>
        <v>0</v>
      </c>
      <c r="BD50" s="669">
        <v>43722</v>
      </c>
      <c r="BE50" s="526">
        <v>43</v>
      </c>
      <c r="BF50" s="841">
        <v>14462.72</v>
      </c>
      <c r="BG50" s="835">
        <v>1474.7774752941175</v>
      </c>
      <c r="BH50" s="655">
        <f t="shared" si="90"/>
        <v>174.64</v>
      </c>
      <c r="BI50" s="655">
        <f t="shared" si="156"/>
        <v>1649.42</v>
      </c>
      <c r="BJ50" s="529">
        <f t="shared" si="157"/>
        <v>0</v>
      </c>
      <c r="BK50" s="529">
        <f t="shared" si="158"/>
        <v>0</v>
      </c>
      <c r="BL50" s="530" cm="1">
        <f t="array" ref="BL50">+ROUND(IF(BK50&lt;1,interpoler($A$5:$A$24,$B$5:$B$24,(BD50-$B$1)),interpoler($C$5:$C$24,$D$5:$D$24,BK50))+$BI$2,5)</f>
        <v>3.3279999999999997E-2</v>
      </c>
      <c r="BM50" s="529">
        <f t="shared" si="159"/>
        <v>0</v>
      </c>
      <c r="BN50" s="280"/>
      <c r="BO50" s="280"/>
      <c r="BP50" s="150"/>
      <c r="BQ50" s="116"/>
      <c r="BR50" s="133"/>
      <c r="BS50" s="134"/>
      <c r="BT50" s="134"/>
      <c r="BU50" s="137"/>
      <c r="BV50" s="137"/>
      <c r="BW50" s="137"/>
      <c r="BX50" s="137"/>
      <c r="BY50" s="146"/>
      <c r="BZ50" s="137"/>
      <c r="CB50" s="150">
        <f t="shared" si="160"/>
        <v>14</v>
      </c>
      <c r="CC50" s="1152">
        <v>47385</v>
      </c>
      <c r="CD50" s="205">
        <v>15</v>
      </c>
      <c r="CE50" s="1630">
        <v>43677.84</v>
      </c>
      <c r="CF50" s="1627">
        <v>2106.2800000000002</v>
      </c>
      <c r="CG50" s="1633">
        <v>440.05</v>
      </c>
      <c r="CH50" s="198">
        <f t="shared" si="142"/>
        <v>2546.33</v>
      </c>
      <c r="CI50" s="198">
        <f t="shared" si="161"/>
        <v>2546.33</v>
      </c>
      <c r="CJ50" s="762">
        <f t="shared" si="139"/>
        <v>3.4945652173999999</v>
      </c>
      <c r="CK50" s="621" cm="1">
        <f t="array" ref="CK50">ROUND(interpoler(mat_zc,Taux_ZC,CJ50)+$CH$2,5)</f>
        <v>3.4540000000000001E-2</v>
      </c>
      <c r="CL50" s="762">
        <f t="shared" si="174"/>
        <v>2261.4101000000001</v>
      </c>
      <c r="CM50" s="280"/>
      <c r="CN50" s="280"/>
      <c r="CO50" s="280"/>
      <c r="CP50" s="280"/>
      <c r="CQ50" s="280"/>
      <c r="CR50" s="280"/>
      <c r="CS50" s="280"/>
      <c r="CT50" s="280"/>
      <c r="CU50" s="280"/>
      <c r="CV50" s="280"/>
      <c r="CW50" s="280"/>
      <c r="CX50" s="280"/>
      <c r="CY50" s="280"/>
      <c r="DQ50" s="526">
        <f t="shared" si="42"/>
        <v>0</v>
      </c>
      <c r="DR50" s="525">
        <v>44850</v>
      </c>
      <c r="DS50" s="526">
        <v>43</v>
      </c>
      <c r="DT50" s="527">
        <f t="shared" si="94"/>
        <v>3436.9799999999996</v>
      </c>
      <c r="DU50" s="528">
        <v>1452.12</v>
      </c>
      <c r="DV50" s="529">
        <f t="shared" si="95"/>
        <v>54.39</v>
      </c>
      <c r="DW50" s="529">
        <f t="shared" si="43"/>
        <v>1506.51</v>
      </c>
      <c r="DX50" s="529">
        <f t="shared" si="44"/>
        <v>0</v>
      </c>
      <c r="DY50" s="529">
        <f t="shared" si="45"/>
        <v>0</v>
      </c>
      <c r="DZ50" s="530" cm="1">
        <f t="array" ref="DZ50">+ROUND(IF(DY50&lt;1,interpoler($A$5:$A$24,$B$5:$B$24,(DR50-$B$1)),interpoler($C$5:$C$24,$D$5:$D$24,DY50))+$DW$2,5)</f>
        <v>2.5680000000000001E-2</v>
      </c>
      <c r="EA50" s="529">
        <f t="shared" si="46"/>
        <v>0</v>
      </c>
      <c r="FD50" s="526">
        <f t="shared" si="56"/>
        <v>17</v>
      </c>
      <c r="FE50" s="1151">
        <v>47658</v>
      </c>
      <c r="FF50" s="797">
        <v>43</v>
      </c>
      <c r="FG50" s="1328">
        <v>2222.4599999999664</v>
      </c>
      <c r="FH50" s="1626">
        <v>1600.16</v>
      </c>
      <c r="FI50" s="1626">
        <v>16.829999999999998</v>
      </c>
      <c r="FJ50" s="798">
        <f t="shared" si="57"/>
        <v>1616.99</v>
      </c>
      <c r="FK50" s="798">
        <f t="shared" si="58"/>
        <v>1616.99</v>
      </c>
      <c r="FL50" s="1027">
        <f t="shared" si="141"/>
        <v>4.2445652173999999</v>
      </c>
      <c r="FM50" s="199" cm="1">
        <f t="array" ref="FM50">+ROUND(interpoler(mat_zc,Taux_ZC,FL50)+$FI$2,5)</f>
        <v>3.4599999999999999E-2</v>
      </c>
      <c r="FN50" s="801">
        <f t="shared" si="140"/>
        <v>1399.6021599999999</v>
      </c>
      <c r="FO50" s="814"/>
      <c r="FP50" s="221"/>
      <c r="FQ50" s="526">
        <f t="shared" si="162"/>
        <v>27</v>
      </c>
      <c r="FR50" s="1151">
        <v>48572</v>
      </c>
      <c r="FS50" s="205">
        <v>28</v>
      </c>
      <c r="FT50" s="1629">
        <v>52721.459999999992</v>
      </c>
      <c r="FU50" s="1626">
        <v>4908.1400000000003</v>
      </c>
      <c r="FV50" s="1632">
        <v>462.63</v>
      </c>
      <c r="FW50" s="798">
        <f t="shared" si="163"/>
        <v>5370.77</v>
      </c>
      <c r="FX50" s="798">
        <f t="shared" si="164"/>
        <v>5370.77</v>
      </c>
      <c r="FY50" s="799">
        <f t="shared" si="172"/>
        <v>6.7445652200000001</v>
      </c>
      <c r="FZ50" s="800" cm="1">
        <f t="array" ref="FZ50">+ROUND(IF(FY50&lt;1,interpoler($A$5:$A$24,$B$5:$B$24,(FR50-$B$1)),interpoler(CIH!$K$72:$K$103,CIH!$L$72:$L$103,FY50))+$FV$2,5)</f>
        <v>3.7810000000000003E-2</v>
      </c>
      <c r="GA50" s="798">
        <f t="shared" si="165"/>
        <v>4181.4668300000003</v>
      </c>
      <c r="GB50" s="484"/>
      <c r="GC50" s="522"/>
      <c r="GD50" s="150">
        <f t="shared" si="166"/>
        <v>26</v>
      </c>
      <c r="GE50" s="1152">
        <v>48481</v>
      </c>
      <c r="GF50" s="205">
        <v>27</v>
      </c>
      <c r="GG50" s="1329">
        <v>7369.5800000000372</v>
      </c>
      <c r="GH50" s="1627">
        <v>1633.53</v>
      </c>
      <c r="GI50" s="1627">
        <v>48.45</v>
      </c>
      <c r="GJ50" s="198">
        <f t="shared" si="167"/>
        <v>1681.98</v>
      </c>
      <c r="GK50" s="198">
        <f t="shared" si="168"/>
        <v>1681.98</v>
      </c>
      <c r="GL50" s="447">
        <f t="shared" si="126"/>
        <v>6.4945652173999999</v>
      </c>
      <c r="GM50" s="199" cm="1">
        <f t="array" ref="GM50">ROUND(interpoler(mat_zc,Taux_ZC,GL50)+$GJ$2,5)</f>
        <v>3.6679999999999997E-2</v>
      </c>
      <c r="GN50" s="762">
        <f t="shared" si="102"/>
        <v>1331.1138000000001</v>
      </c>
      <c r="GO50" s="198"/>
      <c r="GQ50" s="150">
        <f t="shared" si="169"/>
        <v>24</v>
      </c>
      <c r="GR50" s="1152">
        <v>48297</v>
      </c>
      <c r="GS50" s="205">
        <v>25</v>
      </c>
      <c r="GT50" s="1630">
        <v>70033.14</v>
      </c>
      <c r="GU50" s="1627">
        <v>566.4</v>
      </c>
      <c r="GV50" s="1633">
        <v>542.75</v>
      </c>
      <c r="GW50" s="198">
        <f t="shared" si="170"/>
        <v>1109.1500000000001</v>
      </c>
      <c r="GX50" s="198">
        <f t="shared" si="171"/>
        <v>1109.1500000000001</v>
      </c>
      <c r="GY50" s="1042">
        <f t="shared" si="175"/>
        <v>5.9945652173999999</v>
      </c>
      <c r="GZ50" s="199" cm="1">
        <f t="array" ref="GZ50">+ROUND(IF(GY50&lt;1,interpoler($A$5:$A$24,$B$5:$B$24,(GR50-$B$1)),interpoler(CIH!$K$72:$K$103,CIH!$L$72:$L$103,GY50))+$GW$2,5)</f>
        <v>3.7929999999999998E-2</v>
      </c>
      <c r="HA50" s="212">
        <f t="shared" si="129"/>
        <v>887.29853486692696</v>
      </c>
      <c r="HE50" s="194"/>
      <c r="HF50" s="133"/>
      <c r="HG50" s="134"/>
      <c r="HH50" s="134"/>
      <c r="HI50" s="198"/>
      <c r="HJ50" s="198"/>
      <c r="HK50" s="198"/>
      <c r="HL50" s="198"/>
      <c r="HM50" s="199"/>
      <c r="HN50" s="198"/>
      <c r="HR50" s="150">
        <f t="shared" si="134"/>
        <v>0</v>
      </c>
      <c r="HS50" s="714"/>
      <c r="HT50" s="205"/>
      <c r="HU50" s="718"/>
      <c r="HV50" s="718"/>
      <c r="HW50" s="786"/>
      <c r="HX50" s="198"/>
      <c r="HY50" s="198"/>
      <c r="HZ50" s="198"/>
      <c r="IA50" s="199"/>
      <c r="IB50" s="199"/>
      <c r="ID50" s="150">
        <f t="shared" si="173"/>
        <v>0</v>
      </c>
      <c r="IE50" s="714"/>
      <c r="IF50" s="205"/>
      <c r="IG50" s="718"/>
      <c r="IH50" s="718"/>
      <c r="II50" s="198"/>
      <c r="IJ50" s="198"/>
      <c r="IK50" s="198"/>
      <c r="IL50" s="198"/>
      <c r="IM50" s="199"/>
      <c r="IN50" s="776"/>
      <c r="IP50" s="1382"/>
      <c r="IQ50" s="714"/>
      <c r="IR50" s="205"/>
      <c r="IS50" s="718"/>
      <c r="IT50" s="718"/>
      <c r="IU50" s="198"/>
      <c r="IV50" s="198"/>
      <c r="IW50" s="198"/>
      <c r="IX50" s="198"/>
      <c r="IY50" s="199"/>
      <c r="IZ50" s="776"/>
      <c r="JD50" s="150"/>
      <c r="JE50" s="714"/>
      <c r="JF50" s="205"/>
      <c r="JG50" s="718"/>
      <c r="JH50" s="718"/>
      <c r="JI50" s="198"/>
      <c r="JJ50" s="198"/>
      <c r="JK50" s="198"/>
      <c r="JL50" s="198"/>
      <c r="JM50" s="199"/>
      <c r="JN50" s="776"/>
      <c r="JP50" s="150"/>
      <c r="JQ50" s="714"/>
      <c r="JR50" s="205"/>
      <c r="JS50" s="718"/>
      <c r="JT50" s="718"/>
      <c r="JU50" s="198"/>
      <c r="JV50" s="198"/>
      <c r="JW50" s="198"/>
      <c r="JX50" s="198"/>
      <c r="JY50" s="199"/>
      <c r="JZ50" s="776"/>
      <c r="KB50" s="714"/>
      <c r="KC50" s="205"/>
      <c r="KD50" s="718"/>
      <c r="KE50" s="718"/>
      <c r="KF50" s="198"/>
      <c r="KG50" s="198"/>
      <c r="KH50" s="198"/>
      <c r="KI50" s="198"/>
      <c r="KJ50" s="199"/>
      <c r="KK50" s="776"/>
      <c r="KN50" s="714"/>
      <c r="KO50" s="205"/>
      <c r="KP50" s="718"/>
      <c r="KQ50" s="718"/>
      <c r="KR50" s="198"/>
      <c r="KS50" s="198"/>
      <c r="KT50" s="198"/>
      <c r="KU50" s="198"/>
      <c r="KV50" s="199"/>
      <c r="KW50" s="1612"/>
    </row>
    <row r="51" spans="9:309" ht="15.75" thickBot="1" x14ac:dyDescent="0.3">
      <c r="O51" s="109"/>
      <c r="P51" s="109"/>
      <c r="Q51" s="109"/>
      <c r="R51" s="109"/>
      <c r="S51" s="150">
        <f t="shared" si="143"/>
        <v>0</v>
      </c>
      <c r="T51" s="116">
        <v>41376</v>
      </c>
      <c r="U51" s="273">
        <v>44</v>
      </c>
      <c r="V51" s="265">
        <f t="shared" ref="V51:V71" si="176">V50-W50</f>
        <v>22287.489999999998</v>
      </c>
      <c r="W51" s="266">
        <v>2683.23</v>
      </c>
      <c r="X51" s="137">
        <f t="shared" si="144"/>
        <v>407.86</v>
      </c>
      <c r="Y51" s="137">
        <f t="shared" si="145"/>
        <v>3091.09</v>
      </c>
      <c r="Z51" s="137">
        <f t="shared" si="146"/>
        <v>0</v>
      </c>
      <c r="AA51" s="137">
        <f t="shared" si="147"/>
        <v>0</v>
      </c>
      <c r="AB51" s="146" cm="1">
        <f t="array" ref="AB51">+ROUND(IF(AA51&lt;1,interpoler($A$5:$A$24,$B$5:$B$24,(T51-$B$1)),interpoler($C$5:$C$24,$D$5:$D$24,AA51))+$Y$2,6)</f>
        <v>3.0780999999999999E-2</v>
      </c>
      <c r="AC51" s="137">
        <f t="shared" si="148"/>
        <v>0</v>
      </c>
      <c r="AL51" s="221"/>
      <c r="AQ51" s="150">
        <f t="shared" si="149"/>
        <v>0</v>
      </c>
      <c r="AR51" s="310">
        <v>42625</v>
      </c>
      <c r="AS51" s="311">
        <v>53</v>
      </c>
      <c r="AT51" s="312">
        <v>9936.1290129999998</v>
      </c>
      <c r="AU51" s="312">
        <v>1380.237034</v>
      </c>
      <c r="AV51" s="313">
        <f t="shared" si="150"/>
        <v>158.72999999999999</v>
      </c>
      <c r="AW51" s="137">
        <f t="shared" si="151"/>
        <v>1538.97</v>
      </c>
      <c r="AX51" s="137">
        <f t="shared" si="152"/>
        <v>0</v>
      </c>
      <c r="AY51" s="137">
        <f t="shared" si="153"/>
        <v>0</v>
      </c>
      <c r="AZ51" s="146" cm="1">
        <f t="array" ref="AZ51">+ROUND(IF(AY51&lt;1,interpoler($A$5:$A$24,$B$5:$B$24,(AR51-$B$1)),interpoler($C$5:$C$24,$D$5:$D$24,AY51))+$AW$2,5)</f>
        <v>2.9780000000000001E-2</v>
      </c>
      <c r="BA51" s="137">
        <f t="shared" si="154"/>
        <v>0</v>
      </c>
      <c r="BB51" s="221"/>
      <c r="BC51" s="599">
        <f t="shared" si="155"/>
        <v>0</v>
      </c>
      <c r="BD51" s="669">
        <v>43813</v>
      </c>
      <c r="BE51" s="526">
        <v>44</v>
      </c>
      <c r="BF51" s="841">
        <v>13130.73</v>
      </c>
      <c r="BG51" s="835">
        <v>1340.704425882353</v>
      </c>
      <c r="BH51" s="655">
        <f t="shared" si="90"/>
        <v>158.55000000000001</v>
      </c>
      <c r="BI51" s="655">
        <f t="shared" si="156"/>
        <v>1499.25</v>
      </c>
      <c r="BJ51" s="529">
        <f t="shared" si="157"/>
        <v>0</v>
      </c>
      <c r="BK51" s="529">
        <f t="shared" si="158"/>
        <v>0</v>
      </c>
      <c r="BL51" s="530" cm="1">
        <f t="array" ref="BL51">+ROUND(IF(BK51&lt;1,interpoler($A$5:$A$24,$B$5:$B$24,(BD51-$B$1)),interpoler($C$5:$C$24,$D$5:$D$24,BK51))+$BI$2,5)</f>
        <v>3.3279999999999997E-2</v>
      </c>
      <c r="BM51" s="529">
        <f t="shared" si="159"/>
        <v>0</v>
      </c>
      <c r="BN51" s="280"/>
      <c r="BO51" s="280"/>
      <c r="BP51" s="150"/>
      <c r="BQ51" s="116"/>
      <c r="BR51" s="133"/>
      <c r="BS51" s="134"/>
      <c r="BT51" s="134"/>
      <c r="BU51" s="137"/>
      <c r="BV51" s="137"/>
      <c r="BW51" s="137"/>
      <c r="BX51" s="137"/>
      <c r="BY51" s="146"/>
      <c r="BZ51" s="137"/>
      <c r="CB51" s="150">
        <f t="shared" si="160"/>
        <v>15</v>
      </c>
      <c r="CC51" s="1151">
        <v>47476</v>
      </c>
      <c r="CD51" s="205">
        <v>16</v>
      </c>
      <c r="CE51" s="1629">
        <v>41571.56</v>
      </c>
      <c r="CF51" s="1626">
        <v>2093.9499999999998</v>
      </c>
      <c r="CG51" s="1632">
        <v>418.83</v>
      </c>
      <c r="CH51" s="198">
        <f t="shared" si="142"/>
        <v>2512.7800000000002</v>
      </c>
      <c r="CI51" s="198">
        <f t="shared" si="161"/>
        <v>2512.7800000000002</v>
      </c>
      <c r="CJ51" s="762">
        <f t="shared" si="139"/>
        <v>3.7445652173999999</v>
      </c>
      <c r="CK51" s="621" cm="1">
        <f t="array" ref="CK51">ROUND(interpoler(mat_zc,Taux_ZC,CJ51)+$CH$2,5)</f>
        <v>3.4930000000000003E-2</v>
      </c>
      <c r="CL51" s="762">
        <f t="shared" si="174"/>
        <v>2209.6289000000002</v>
      </c>
      <c r="CM51" s="280"/>
      <c r="CN51" s="280"/>
      <c r="CO51" s="280"/>
      <c r="CP51" s="280"/>
      <c r="CQ51" s="280"/>
      <c r="CR51" s="280"/>
      <c r="CS51" s="280"/>
      <c r="CT51" s="280"/>
      <c r="CU51" s="280"/>
      <c r="CV51" s="280"/>
      <c r="CW51" s="280"/>
      <c r="CX51" s="280"/>
      <c r="CY51" s="280"/>
      <c r="DQ51" s="526">
        <f t="shared" si="42"/>
        <v>0</v>
      </c>
      <c r="DR51" s="525">
        <v>44942</v>
      </c>
      <c r="DS51" s="526">
        <v>44</v>
      </c>
      <c r="DT51" s="527">
        <f t="shared" si="94"/>
        <v>2018.2799999999995</v>
      </c>
      <c r="DU51" s="528">
        <v>1418.7</v>
      </c>
      <c r="DV51" s="529">
        <f t="shared" si="95"/>
        <v>38.24</v>
      </c>
      <c r="DW51" s="529">
        <f t="shared" si="43"/>
        <v>1456.94</v>
      </c>
      <c r="DX51" s="529">
        <f t="shared" si="44"/>
        <v>0</v>
      </c>
      <c r="DY51" s="529">
        <f t="shared" si="45"/>
        <v>0</v>
      </c>
      <c r="DZ51" s="530" cm="1">
        <f t="array" ref="DZ51">+ROUND(IF(DY51&lt;1,interpoler($A$5:$A$24,$B$5:$B$24,(DR51-$B$1)),interpoler($C$5:$C$24,$D$5:$D$24,DY51))+$DW$2,5)</f>
        <v>2.5680000000000001E-2</v>
      </c>
      <c r="EA51" s="529">
        <f t="shared" si="46"/>
        <v>0</v>
      </c>
      <c r="FD51" s="526"/>
      <c r="FE51" s="1152">
        <v>47750</v>
      </c>
      <c r="FF51" s="797"/>
      <c r="FG51" s="1329">
        <v>622.2999999999663</v>
      </c>
      <c r="FH51" s="1627">
        <v>622.29999999999995</v>
      </c>
      <c r="FI51" s="1627">
        <v>4.71</v>
      </c>
      <c r="FJ51" s="798">
        <f t="shared" ref="FJ51" si="177">+ROUND(FH51+FI51,2)</f>
        <v>627.01</v>
      </c>
      <c r="FK51" s="798">
        <f t="shared" ref="FK51" si="178">+IF($B$1&gt;=FE51,0,FJ51)</f>
        <v>627.01</v>
      </c>
      <c r="FL51" s="1027">
        <f t="shared" si="141"/>
        <v>4.4945652173999999</v>
      </c>
      <c r="FM51" s="199" cm="1">
        <f t="array" ref="FM51">+ROUND(interpoler(mat_zc,Taux_ZC,FL51)+$FI$2,5)</f>
        <v>3.4860000000000002E-2</v>
      </c>
      <c r="FN51" s="801">
        <f t="shared" ref="FN51" si="179">ROUND( +FK51/(1+FM51)^FL51,5)</f>
        <v>537.51197000000002</v>
      </c>
      <c r="FO51" s="813"/>
      <c r="FP51" s="221"/>
      <c r="FQ51" s="526">
        <f t="shared" si="162"/>
        <v>28</v>
      </c>
      <c r="FR51" s="1152">
        <v>48662</v>
      </c>
      <c r="FS51" s="205">
        <v>29</v>
      </c>
      <c r="FT51" s="1630">
        <v>47813.319999999992</v>
      </c>
      <c r="FU51" s="1627">
        <v>4755.05</v>
      </c>
      <c r="FV51" s="1633">
        <v>419.56</v>
      </c>
      <c r="FW51" s="798">
        <f t="shared" si="163"/>
        <v>5174.6099999999997</v>
      </c>
      <c r="FX51" s="798">
        <f t="shared" si="164"/>
        <v>5174.6099999999997</v>
      </c>
      <c r="FY51" s="799">
        <f t="shared" si="172"/>
        <v>6.9945652200000001</v>
      </c>
      <c r="FZ51" s="800" cm="1">
        <f t="array" ref="FZ51">+ROUND(IF(FY51&lt;1,interpoler($A$5:$A$24,$B$5:$B$24,(FR51-$B$1)),interpoler(CIH!$K$72:$K$103,CIH!$L$72:$L$103,FY51))+$FV$2,5)</f>
        <v>3.7929999999999998E-2</v>
      </c>
      <c r="GA51" s="798">
        <f t="shared" si="165"/>
        <v>3988.3112099999998</v>
      </c>
      <c r="GB51" s="484"/>
      <c r="GC51" s="522"/>
      <c r="GD51" s="150">
        <f t="shared" si="166"/>
        <v>27</v>
      </c>
      <c r="GE51" s="1151">
        <v>48572</v>
      </c>
      <c r="GF51" s="205">
        <v>28</v>
      </c>
      <c r="GG51" s="1328">
        <v>5736.0500000000375</v>
      </c>
      <c r="GH51" s="1626">
        <v>1597.05</v>
      </c>
      <c r="GI51" s="1626">
        <v>37.71</v>
      </c>
      <c r="GJ51" s="198">
        <f t="shared" si="167"/>
        <v>1634.76</v>
      </c>
      <c r="GK51" s="198">
        <f t="shared" si="168"/>
        <v>1634.76</v>
      </c>
      <c r="GL51" s="447">
        <f t="shared" si="126"/>
        <v>6.7445652173999999</v>
      </c>
      <c r="GM51" s="199" cm="1">
        <f t="array" ref="GM51">ROUND(interpoler(mat_zc,Taux_ZC,GL51)+$GJ$2,5)</f>
        <v>3.6810000000000002E-2</v>
      </c>
      <c r="GN51" s="762">
        <f t="shared" si="102"/>
        <v>1281.0612000000001</v>
      </c>
      <c r="GO51" s="198"/>
      <c r="GQ51" s="150">
        <f t="shared" si="169"/>
        <v>25</v>
      </c>
      <c r="GR51" s="1151">
        <v>48389</v>
      </c>
      <c r="GS51" s="205">
        <v>26</v>
      </c>
      <c r="GT51" s="1629">
        <v>69466.740000000005</v>
      </c>
      <c r="GU51" s="1626">
        <v>558.52</v>
      </c>
      <c r="GV51" s="1632">
        <v>538.36</v>
      </c>
      <c r="GW51" s="198">
        <f t="shared" si="170"/>
        <v>1096.8800000000001</v>
      </c>
      <c r="GX51" s="198">
        <f t="shared" si="171"/>
        <v>1096.8800000000001</v>
      </c>
      <c r="GY51" s="1042">
        <f t="shared" si="175"/>
        <v>6.2445652173999999</v>
      </c>
      <c r="GZ51" s="199" cm="1">
        <f t="array" ref="GZ51">+ROUND(IF(GY51&lt;1,interpoler($A$5:$A$24,$B$5:$B$24,(GR51-$B$1)),interpoler(CIH!$K$72:$K$103,CIH!$L$72:$L$103,GY51))+$GW$2,5)</f>
        <v>3.8059999999999997E-2</v>
      </c>
      <c r="HA51" s="212">
        <f t="shared" ref="HA51:HA72" si="180">ROUND(GX51/(1+GZ51)^GY51,20)</f>
        <v>868.67421434473897</v>
      </c>
      <c r="HE51" s="194"/>
      <c r="HF51" s="133"/>
      <c r="HG51" s="134"/>
      <c r="HH51" s="134"/>
      <c r="HI51" s="198"/>
      <c r="HJ51" s="198"/>
      <c r="HK51" s="198"/>
      <c r="HL51" s="198"/>
      <c r="HM51" s="199"/>
      <c r="HN51" s="198"/>
      <c r="HR51" s="150">
        <f t="shared" si="134"/>
        <v>0</v>
      </c>
      <c r="HS51" s="714"/>
      <c r="HT51" s="205"/>
      <c r="HU51" s="718"/>
      <c r="HV51" s="718"/>
      <c r="HW51" s="786"/>
      <c r="HX51" s="198"/>
      <c r="HY51" s="198"/>
      <c r="HZ51" s="198"/>
      <c r="IA51" s="199"/>
      <c r="IB51" s="199"/>
      <c r="ID51" s="150">
        <f t="shared" si="173"/>
        <v>0</v>
      </c>
      <c r="IE51" s="714"/>
      <c r="IF51" s="205"/>
      <c r="IG51" s="718"/>
      <c r="IH51" s="718"/>
      <c r="II51" s="198"/>
      <c r="IJ51" s="198"/>
      <c r="IK51" s="198"/>
      <c r="IL51" s="198"/>
      <c r="IM51" s="199"/>
      <c r="IN51" s="776"/>
      <c r="IP51" s="1382"/>
      <c r="IQ51" s="714"/>
      <c r="IR51" s="205"/>
      <c r="IS51" s="718"/>
      <c r="IT51" s="718"/>
      <c r="IU51" s="198"/>
      <c r="IV51" s="198"/>
      <c r="IW51" s="198"/>
      <c r="IX51" s="198"/>
      <c r="IY51" s="199"/>
      <c r="IZ51" s="776"/>
      <c r="JD51" s="150"/>
      <c r="JE51" s="714"/>
      <c r="JF51" s="205"/>
      <c r="JG51" s="718"/>
      <c r="JH51" s="718"/>
      <c r="JI51" s="198"/>
      <c r="JJ51" s="198"/>
      <c r="JK51" s="198"/>
      <c r="JL51" s="198"/>
      <c r="JM51" s="199"/>
      <c r="JN51" s="776"/>
      <c r="JP51" s="150"/>
      <c r="JQ51" s="714"/>
      <c r="JR51" s="205"/>
      <c r="JS51" s="718"/>
      <c r="JT51" s="718"/>
      <c r="JU51" s="198"/>
      <c r="JV51" s="198"/>
      <c r="JW51" s="198"/>
      <c r="JX51" s="198"/>
      <c r="JY51" s="199"/>
      <c r="JZ51" s="776"/>
      <c r="KB51" s="714"/>
      <c r="KC51" s="205"/>
      <c r="KD51" s="718"/>
      <c r="KE51" s="718"/>
      <c r="KF51" s="198"/>
      <c r="KG51" s="198"/>
      <c r="KH51" s="198"/>
      <c r="KI51" s="198"/>
      <c r="KJ51" s="199"/>
      <c r="KK51" s="776"/>
      <c r="KN51" s="714"/>
      <c r="KO51" s="205"/>
      <c r="KP51" s="718"/>
      <c r="KQ51" s="718"/>
      <c r="KR51" s="198"/>
      <c r="KS51" s="198"/>
      <c r="KT51" s="198"/>
      <c r="KU51" s="198"/>
      <c r="KV51" s="199"/>
      <c r="KW51" s="1612"/>
    </row>
    <row r="52" spans="9:309" ht="15" x14ac:dyDescent="0.25">
      <c r="O52" s="109"/>
      <c r="P52" s="109"/>
      <c r="Q52" s="109"/>
      <c r="R52" s="109"/>
      <c r="S52" s="150">
        <f t="shared" si="143"/>
        <v>0</v>
      </c>
      <c r="T52" s="116">
        <v>41467</v>
      </c>
      <c r="U52" s="272">
        <v>45</v>
      </c>
      <c r="V52" s="265">
        <f t="shared" si="176"/>
        <v>19604.259999999998</v>
      </c>
      <c r="W52" s="264">
        <v>2410.5297499999997</v>
      </c>
      <c r="X52" s="137">
        <f t="shared" si="144"/>
        <v>358.76</v>
      </c>
      <c r="Y52" s="137">
        <f t="shared" si="145"/>
        <v>2769.29</v>
      </c>
      <c r="Z52" s="137">
        <f t="shared" si="146"/>
        <v>0</v>
      </c>
      <c r="AA52" s="137">
        <f t="shared" si="147"/>
        <v>0</v>
      </c>
      <c r="AB52" s="146" cm="1">
        <f t="array" ref="AB52">+ROUND(IF(AA52&lt;1,interpoler($A$5:$A$24,$B$5:$B$24,(T52-$B$1)),interpoler($C$5:$C$24,$D$5:$D$24,AA52))+$Y$2,6)</f>
        <v>3.0780999999999999E-2</v>
      </c>
      <c r="AC52" s="137">
        <f t="shared" si="148"/>
        <v>0</v>
      </c>
      <c r="AL52" s="221"/>
      <c r="AQ52" s="150">
        <f t="shared" si="149"/>
        <v>0</v>
      </c>
      <c r="AR52" s="310">
        <v>42716</v>
      </c>
      <c r="AS52" s="311">
        <v>54</v>
      </c>
      <c r="AT52" s="312">
        <v>8555.8919769999993</v>
      </c>
      <c r="AU52" s="312">
        <v>1239.0943749999999</v>
      </c>
      <c r="AV52" s="313">
        <f t="shared" si="150"/>
        <v>136.68</v>
      </c>
      <c r="AW52" s="137">
        <f t="shared" si="151"/>
        <v>1375.77</v>
      </c>
      <c r="AX52" s="137">
        <f t="shared" si="152"/>
        <v>0</v>
      </c>
      <c r="AY52" s="137">
        <f t="shared" si="153"/>
        <v>0</v>
      </c>
      <c r="AZ52" s="146" cm="1">
        <f t="array" ref="AZ52">+ROUND(IF(AY52&lt;1,interpoler($A$5:$A$24,$B$5:$B$24,(AR52-$B$1)),interpoler($C$5:$C$24,$D$5:$D$24,AY52))+$AW$2,5)</f>
        <v>2.9780000000000001E-2</v>
      </c>
      <c r="BA52" s="137">
        <f t="shared" si="154"/>
        <v>0</v>
      </c>
      <c r="BB52" s="221"/>
      <c r="BC52" s="599">
        <f t="shared" si="155"/>
        <v>0</v>
      </c>
      <c r="BD52" s="669">
        <v>43904</v>
      </c>
      <c r="BE52" s="526">
        <v>45</v>
      </c>
      <c r="BF52" s="841">
        <v>11756.23</v>
      </c>
      <c r="BG52" s="835">
        <v>1370.6162164705884</v>
      </c>
      <c r="BH52" s="655">
        <f t="shared" si="90"/>
        <v>141.96</v>
      </c>
      <c r="BI52" s="655">
        <f t="shared" si="156"/>
        <v>1512.58</v>
      </c>
      <c r="BJ52" s="529">
        <f t="shared" si="157"/>
        <v>0</v>
      </c>
      <c r="BK52" s="529">
        <f t="shared" si="158"/>
        <v>0</v>
      </c>
      <c r="BL52" s="530" cm="1">
        <f t="array" ref="BL52">+ROUND(IF(BK52&lt;1,interpoler($A$5:$A$24,$B$5:$B$24,(BD52-$B$1)),interpoler($C$5:$C$24,$D$5:$D$24,BK52))+$BI$2,5)</f>
        <v>3.3279999999999997E-2</v>
      </c>
      <c r="BM52" s="529">
        <f t="shared" si="159"/>
        <v>0</v>
      </c>
      <c r="BN52" s="655"/>
      <c r="BO52" s="655"/>
      <c r="BP52" s="529"/>
      <c r="BQ52" s="529"/>
      <c r="BR52" s="530"/>
      <c r="BS52" s="529"/>
      <c r="BT52" s="134"/>
      <c r="BU52" s="137"/>
      <c r="BV52" s="137"/>
      <c r="BW52" s="137"/>
      <c r="BX52" s="137"/>
      <c r="BY52" s="146"/>
      <c r="BZ52" s="137"/>
      <c r="CB52" s="150">
        <f t="shared" si="160"/>
        <v>16</v>
      </c>
      <c r="CC52" s="1152">
        <v>47566</v>
      </c>
      <c r="CD52" s="205">
        <v>17</v>
      </c>
      <c r="CE52" s="1630">
        <v>39477.61</v>
      </c>
      <c r="CF52" s="1627">
        <v>2082.2399999999998</v>
      </c>
      <c r="CG52" s="1633">
        <v>397.73</v>
      </c>
      <c r="CH52" s="198">
        <f t="shared" si="142"/>
        <v>2479.9699999999998</v>
      </c>
      <c r="CI52" s="198">
        <f t="shared" si="161"/>
        <v>2479.9699999999998</v>
      </c>
      <c r="CJ52" s="762">
        <f t="shared" si="139"/>
        <v>3.9945652173999999</v>
      </c>
      <c r="CK52" s="621" cm="1">
        <f t="array" ref="CK52">ROUND(interpoler(mat_zc,Taux_ZC,CJ52)+$CH$2,5)</f>
        <v>3.5319999999999997E-2</v>
      </c>
      <c r="CL52" s="762">
        <f t="shared" si="174"/>
        <v>2158.8870999999999</v>
      </c>
      <c r="CM52" s="280"/>
      <c r="CN52" s="280"/>
      <c r="CO52" s="280"/>
      <c r="CP52" s="280"/>
      <c r="CQ52" s="280"/>
      <c r="CR52" s="280"/>
      <c r="CS52" s="280"/>
      <c r="CT52" s="280"/>
      <c r="CU52" s="280"/>
      <c r="CV52" s="280"/>
      <c r="CW52" s="280"/>
      <c r="CX52" s="280"/>
      <c r="CY52" s="280"/>
      <c r="DQ52" s="526">
        <f t="shared" si="42"/>
        <v>0</v>
      </c>
      <c r="DR52" s="525">
        <v>45032</v>
      </c>
      <c r="DS52" s="526">
        <v>45</v>
      </c>
      <c r="DT52" s="527">
        <f t="shared" si="94"/>
        <v>648.47999999999956</v>
      </c>
      <c r="DU52" s="528">
        <v>1369.8</v>
      </c>
      <c r="DV52" s="529">
        <f t="shared" si="95"/>
        <v>22.45</v>
      </c>
      <c r="DW52" s="529">
        <f t="shared" si="43"/>
        <v>1392.25</v>
      </c>
      <c r="DX52" s="529">
        <f t="shared" si="44"/>
        <v>0</v>
      </c>
      <c r="DY52" s="529">
        <f t="shared" si="45"/>
        <v>0</v>
      </c>
      <c r="DZ52" s="530" cm="1">
        <f t="array" ref="DZ52">+ROUND(IF(DY52&lt;1,interpoler($A$5:$A$24,$B$5:$B$24,(DR52-$B$1)),interpoler($C$5:$C$24,$D$5:$D$24,DY52))+$DW$2,5)</f>
        <v>2.5680000000000001E-2</v>
      </c>
      <c r="EA52" s="529">
        <f t="shared" si="46"/>
        <v>0</v>
      </c>
      <c r="FD52" s="526"/>
      <c r="FE52" s="796"/>
      <c r="FF52" s="797"/>
      <c r="FG52" s="904"/>
      <c r="FH52" s="1009"/>
      <c r="FI52" s="903"/>
      <c r="FJ52" s="798"/>
      <c r="FK52" s="798"/>
      <c r="FL52" s="1027"/>
      <c r="FM52" s="199"/>
      <c r="FN52" s="801"/>
      <c r="FO52" s="814"/>
      <c r="FP52" s="221"/>
      <c r="FQ52" s="526">
        <f t="shared" si="162"/>
        <v>29</v>
      </c>
      <c r="FR52" s="1151">
        <v>48754</v>
      </c>
      <c r="FS52" s="205">
        <v>30</v>
      </c>
      <c r="FT52" s="1629">
        <v>43058.26999999999</v>
      </c>
      <c r="FU52" s="1626">
        <v>4628.1099999999997</v>
      </c>
      <c r="FV52" s="1632">
        <v>377.83</v>
      </c>
      <c r="FW52" s="798">
        <f t="shared" si="163"/>
        <v>5005.9399999999996</v>
      </c>
      <c r="FX52" s="798">
        <f t="shared" si="164"/>
        <v>5005.9399999999996</v>
      </c>
      <c r="FY52" s="799">
        <f t="shared" si="172"/>
        <v>7.2445652200000001</v>
      </c>
      <c r="FZ52" s="800" cm="1">
        <f t="array" ref="FZ52">+ROUND(IF(FY52&lt;1,interpoler($A$5:$A$24,$B$5:$B$24,(FR52-$B$1)),interpoler(CIH!$K$72:$K$103,CIH!$L$72:$L$103,FY52))+$FV$2,5)</f>
        <v>3.8059999999999997E-2</v>
      </c>
      <c r="GA52" s="798">
        <f t="shared" si="165"/>
        <v>3819.0997000000002</v>
      </c>
      <c r="GB52" s="484"/>
      <c r="GC52" s="522"/>
      <c r="GD52" s="150">
        <f t="shared" si="166"/>
        <v>28</v>
      </c>
      <c r="GE52" s="1152">
        <v>48662</v>
      </c>
      <c r="GF52" s="205">
        <v>29</v>
      </c>
      <c r="GG52" s="1329">
        <v>4139.0000000000373</v>
      </c>
      <c r="GH52" s="1627">
        <v>1573.53</v>
      </c>
      <c r="GI52" s="1627">
        <v>27.21</v>
      </c>
      <c r="GJ52" s="198">
        <f t="shared" si="167"/>
        <v>1600.74</v>
      </c>
      <c r="GK52" s="198">
        <f t="shared" si="168"/>
        <v>1600.74</v>
      </c>
      <c r="GL52" s="447">
        <f t="shared" si="126"/>
        <v>6.9945652173999999</v>
      </c>
      <c r="GM52" s="199" cm="1">
        <f t="array" ref="GM52">ROUND(interpoler(mat_zc,Taux_ZC,GL52)+$GJ$2,5)</f>
        <v>3.6929999999999998E-2</v>
      </c>
      <c r="GN52" s="762">
        <f t="shared" si="102"/>
        <v>1242.1107</v>
      </c>
      <c r="GO52" s="198"/>
      <c r="GQ52" s="150">
        <f t="shared" si="169"/>
        <v>26</v>
      </c>
      <c r="GR52" s="1152">
        <v>48481</v>
      </c>
      <c r="GS52" s="205">
        <v>27</v>
      </c>
      <c r="GT52" s="1630">
        <v>68908.22</v>
      </c>
      <c r="GU52" s="1627">
        <v>548.29999999999995</v>
      </c>
      <c r="GV52" s="1633">
        <v>534.03</v>
      </c>
      <c r="GW52" s="198">
        <f t="shared" si="170"/>
        <v>1082.33</v>
      </c>
      <c r="GX52" s="198">
        <f t="shared" si="171"/>
        <v>1082.33</v>
      </c>
      <c r="GY52" s="1042">
        <f t="shared" si="175"/>
        <v>6.4945652173999999</v>
      </c>
      <c r="GZ52" s="199" cm="1">
        <f t="array" ref="GZ52">+ROUND(IF(GY52&lt;1,interpoler($A$5:$A$24,$B$5:$B$24,(GR52-$B$1)),interpoler(CIH!$K$72:$K$103,CIH!$L$72:$L$103,GY52))+$GW$2,5)</f>
        <v>3.8179999999999999E-2</v>
      </c>
      <c r="HA52" s="212">
        <f t="shared" si="180"/>
        <v>848.54691069881699</v>
      </c>
      <c r="HE52" s="194"/>
      <c r="HF52" s="133"/>
      <c r="HG52" s="134"/>
      <c r="HH52" s="134"/>
      <c r="HI52" s="198"/>
      <c r="HJ52" s="198"/>
      <c r="HK52" s="198"/>
      <c r="HL52" s="198"/>
      <c r="HM52" s="199"/>
      <c r="HN52" s="198"/>
      <c r="HR52" s="150">
        <f t="shared" si="134"/>
        <v>0</v>
      </c>
      <c r="HS52" s="714"/>
      <c r="HT52" s="205"/>
      <c r="HU52" s="718"/>
      <c r="HV52" s="718"/>
      <c r="HW52" s="786"/>
      <c r="HX52" s="198"/>
      <c r="HY52" s="198"/>
      <c r="HZ52" s="198"/>
      <c r="IA52" s="199"/>
      <c r="IB52" s="199"/>
      <c r="ID52" s="150">
        <f t="shared" si="173"/>
        <v>0</v>
      </c>
      <c r="IE52" s="714"/>
      <c r="IF52" s="205"/>
      <c r="IG52" s="718"/>
      <c r="IH52" s="718"/>
      <c r="II52" s="198"/>
      <c r="IJ52" s="198"/>
      <c r="IK52" s="198"/>
      <c r="IL52" s="198"/>
      <c r="IM52" s="199"/>
      <c r="IN52" s="776"/>
      <c r="IP52" s="1382"/>
      <c r="IQ52" s="714"/>
      <c r="IR52" s="205"/>
      <c r="IS52" s="718"/>
      <c r="IT52" s="718"/>
      <c r="IU52" s="198"/>
      <c r="IV52" s="198"/>
      <c r="IW52" s="198"/>
      <c r="IX52" s="198"/>
      <c r="IY52" s="199"/>
      <c r="IZ52" s="776"/>
      <c r="JD52" s="150"/>
      <c r="JE52" s="714"/>
      <c r="JF52" s="205"/>
      <c r="JG52" s="718"/>
      <c r="JH52" s="718"/>
      <c r="JI52" s="198"/>
      <c r="JJ52" s="198"/>
      <c r="JK52" s="198"/>
      <c r="JL52" s="198"/>
      <c r="JM52" s="199"/>
      <c r="JN52" s="776"/>
      <c r="JP52" s="150"/>
      <c r="JQ52" s="714"/>
      <c r="JR52" s="205"/>
      <c r="JS52" s="718"/>
      <c r="JT52" s="718"/>
      <c r="JU52" s="198"/>
      <c r="JV52" s="198"/>
      <c r="JW52" s="198"/>
      <c r="JX52" s="198"/>
      <c r="JY52" s="199"/>
      <c r="JZ52" s="776"/>
      <c r="KB52" s="714"/>
      <c r="KC52" s="205"/>
      <c r="KD52" s="718"/>
      <c r="KE52" s="718"/>
      <c r="KF52" s="198"/>
      <c r="KG52" s="198"/>
      <c r="KH52" s="198"/>
      <c r="KI52" s="198"/>
      <c r="KJ52" s="199"/>
      <c r="KK52" s="776"/>
      <c r="KN52" s="714"/>
      <c r="KO52" s="205"/>
      <c r="KP52" s="718"/>
      <c r="KQ52" s="718"/>
      <c r="KR52" s="198"/>
      <c r="KS52" s="198"/>
      <c r="KT52" s="198"/>
      <c r="KU52" s="198"/>
      <c r="KV52" s="199"/>
      <c r="KW52" s="1612"/>
    </row>
    <row r="53" spans="9:309" ht="15" x14ac:dyDescent="0.25">
      <c r="O53" s="109"/>
      <c r="P53" s="109"/>
      <c r="Q53" s="109"/>
      <c r="R53" s="109"/>
      <c r="S53" s="150">
        <f t="shared" si="143"/>
        <v>0</v>
      </c>
      <c r="T53" s="116">
        <v>41559</v>
      </c>
      <c r="U53" s="272">
        <v>46</v>
      </c>
      <c r="V53" s="265">
        <f t="shared" si="176"/>
        <v>17193.730250000001</v>
      </c>
      <c r="W53" s="265">
        <v>2125.1413611111111</v>
      </c>
      <c r="X53" s="137">
        <f t="shared" si="144"/>
        <v>314.64999999999998</v>
      </c>
      <c r="Y53" s="137">
        <f t="shared" si="145"/>
        <v>2439.79</v>
      </c>
      <c r="Z53" s="137">
        <f t="shared" si="146"/>
        <v>0</v>
      </c>
      <c r="AA53" s="137">
        <f t="shared" si="147"/>
        <v>0</v>
      </c>
      <c r="AB53" s="146" cm="1">
        <f t="array" ref="AB53">+ROUND(IF(AA53&lt;1,interpoler($A$5:$A$24,$B$5:$B$24,(T53-$B$1)),interpoler($C$5:$C$24,$D$5:$D$24,AA53))+$Y$2,6)</f>
        <v>3.0780999999999999E-2</v>
      </c>
      <c r="AC53" s="137">
        <f t="shared" si="148"/>
        <v>0</v>
      </c>
      <c r="AL53" s="221"/>
      <c r="AQ53" s="150">
        <f t="shared" si="149"/>
        <v>0</v>
      </c>
      <c r="AR53" s="310">
        <v>42806</v>
      </c>
      <c r="AS53" s="311">
        <v>55</v>
      </c>
      <c r="AT53" s="312">
        <v>7316.7976019999996</v>
      </c>
      <c r="AU53" s="312">
        <v>1094.796775</v>
      </c>
      <c r="AV53" s="313">
        <f t="shared" si="150"/>
        <v>116.89</v>
      </c>
      <c r="AW53" s="137">
        <f t="shared" si="151"/>
        <v>1211.69</v>
      </c>
      <c r="AX53" s="137">
        <f t="shared" si="152"/>
        <v>0</v>
      </c>
      <c r="AY53" s="137">
        <f t="shared" si="153"/>
        <v>0</v>
      </c>
      <c r="AZ53" s="146" cm="1">
        <f t="array" ref="AZ53">+ROUND(IF(AY53&lt;1,interpoler($A$5:$A$24,$B$5:$B$24,(AR53-$B$1)),interpoler($C$5:$C$24,$D$5:$D$24,AY53))+$AW$2,5)</f>
        <v>2.9780000000000001E-2</v>
      </c>
      <c r="BA53" s="137">
        <f t="shared" si="154"/>
        <v>0</v>
      </c>
      <c r="BB53" s="221"/>
      <c r="BC53" s="599">
        <f t="shared" si="155"/>
        <v>0</v>
      </c>
      <c r="BD53" s="669">
        <v>43996</v>
      </c>
      <c r="BE53" s="526">
        <v>46</v>
      </c>
      <c r="BF53" s="841">
        <v>10465</v>
      </c>
      <c r="BG53" s="835">
        <v>1307.9710274509803</v>
      </c>
      <c r="BH53" s="655">
        <f t="shared" si="90"/>
        <v>126.36</v>
      </c>
      <c r="BI53" s="655">
        <f t="shared" si="156"/>
        <v>1434.33</v>
      </c>
      <c r="BJ53" s="529">
        <f t="shared" si="157"/>
        <v>0</v>
      </c>
      <c r="BK53" s="529">
        <f t="shared" si="158"/>
        <v>0</v>
      </c>
      <c r="BL53" s="530" cm="1">
        <f t="array" ref="BL53">+ROUND(IF(BK53&lt;1,interpoler($A$5:$A$24,$B$5:$B$24,(BD53-$B$1)),interpoler($C$5:$C$24,$D$5:$D$24,BK53))+$BI$2,5)</f>
        <v>3.3279999999999997E-2</v>
      </c>
      <c r="BM53" s="529">
        <f t="shared" si="159"/>
        <v>0</v>
      </c>
      <c r="BN53" s="575" t="s">
        <v>2568</v>
      </c>
      <c r="BO53" s="280"/>
      <c r="BP53" s="150"/>
      <c r="BQ53" s="116"/>
      <c r="BR53" s="133"/>
      <c r="BS53" s="134"/>
      <c r="BT53" s="134"/>
      <c r="BU53" s="137"/>
      <c r="BV53" s="137"/>
      <c r="BW53" s="137"/>
      <c r="BX53" s="137"/>
      <c r="BY53" s="146"/>
      <c r="BZ53" s="137"/>
      <c r="CB53" s="150">
        <f t="shared" si="160"/>
        <v>17</v>
      </c>
      <c r="CC53" s="1151">
        <v>47658</v>
      </c>
      <c r="CD53" s="205">
        <v>18</v>
      </c>
      <c r="CE53" s="1629">
        <v>37395.370000000003</v>
      </c>
      <c r="CF53" s="1626">
        <v>2046.12</v>
      </c>
      <c r="CG53" s="1632">
        <v>376.75</v>
      </c>
      <c r="CH53" s="198">
        <f t="shared" si="142"/>
        <v>2422.87</v>
      </c>
      <c r="CI53" s="198">
        <f t="shared" si="161"/>
        <v>2422.87</v>
      </c>
      <c r="CJ53" s="762">
        <f t="shared" si="139"/>
        <v>4.2445652173999999</v>
      </c>
      <c r="CK53" s="621" cm="1">
        <f t="array" ref="CK53">ROUND(interpoler(mat_zc,Taux_ZC,CJ53)+$CH$2,5)</f>
        <v>3.56E-2</v>
      </c>
      <c r="CL53" s="762">
        <f t="shared" si="174"/>
        <v>2088.5578</v>
      </c>
      <c r="CM53" s="280"/>
      <c r="CN53" s="280"/>
      <c r="CO53" s="280"/>
      <c r="CP53" s="280"/>
      <c r="CQ53" s="280"/>
      <c r="CR53" s="280"/>
      <c r="CS53" s="280"/>
      <c r="CT53" s="280"/>
      <c r="CU53" s="280"/>
      <c r="CV53" s="280"/>
      <c r="CW53" s="280"/>
      <c r="CX53" s="280"/>
      <c r="CY53" s="280"/>
      <c r="DQ53" s="526">
        <f t="shared" si="42"/>
        <v>0</v>
      </c>
      <c r="DR53" s="525">
        <v>45123</v>
      </c>
      <c r="DS53" s="526">
        <v>46</v>
      </c>
      <c r="DT53" s="527">
        <f t="shared" si="94"/>
        <v>1.9999999999527063E-2</v>
      </c>
      <c r="DU53" s="528">
        <v>648.46</v>
      </c>
      <c r="DV53" s="529">
        <f t="shared" si="95"/>
        <v>7.21</v>
      </c>
      <c r="DW53" s="529">
        <f t="shared" si="43"/>
        <v>655.67</v>
      </c>
      <c r="DX53" s="529">
        <f t="shared" si="44"/>
        <v>0</v>
      </c>
      <c r="DY53" s="529">
        <f t="shared" si="45"/>
        <v>0</v>
      </c>
      <c r="DZ53" s="530" cm="1">
        <f t="array" ref="DZ53">+ROUND(IF(DY53&lt;1,interpoler($A$5:$A$24,$B$5:$B$24,(DR53-$B$1)),interpoler($C$5:$C$24,$D$5:$D$24,DY53))+$DW$2,5)</f>
        <v>2.5680000000000001E-2</v>
      </c>
      <c r="EA53" s="529">
        <f t="shared" si="46"/>
        <v>0</v>
      </c>
      <c r="FD53" s="526"/>
      <c r="FE53" s="796"/>
      <c r="FF53" s="797"/>
      <c r="FG53" s="904"/>
      <c r="FH53" s="903"/>
      <c r="FI53" s="903"/>
      <c r="FJ53" s="798"/>
      <c r="FK53" s="798"/>
      <c r="FL53" s="1027"/>
      <c r="FM53" s="199"/>
      <c r="FN53" s="801"/>
      <c r="FO53" s="813"/>
      <c r="FP53" s="221"/>
      <c r="FQ53" s="526">
        <f t="shared" si="162"/>
        <v>30</v>
      </c>
      <c r="FR53" s="1152">
        <v>48846</v>
      </c>
      <c r="FS53" s="205">
        <v>31</v>
      </c>
      <c r="FT53" s="1630">
        <v>38430.159999999989</v>
      </c>
      <c r="FU53" s="1627">
        <v>4556.6099999999997</v>
      </c>
      <c r="FV53" s="1633">
        <v>337.22</v>
      </c>
      <c r="FW53" s="798">
        <f t="shared" si="163"/>
        <v>4893.83</v>
      </c>
      <c r="FX53" s="798">
        <f t="shared" si="164"/>
        <v>4893.83</v>
      </c>
      <c r="FY53" s="799">
        <f t="shared" si="172"/>
        <v>7.4945652200000001</v>
      </c>
      <c r="FZ53" s="800" cm="1">
        <f t="array" ref="FZ53">+ROUND(IF(FY53&lt;1,interpoler($A$5:$A$24,$B$5:$B$24,(FR53-$B$1)),interpoler(CIH!$K$72:$K$103,CIH!$L$72:$L$103,FY53))+$FV$2,5)</f>
        <v>3.8190000000000002E-2</v>
      </c>
      <c r="GA53" s="798">
        <f t="shared" si="165"/>
        <v>3695.3963899999999</v>
      </c>
      <c r="GB53" s="484"/>
      <c r="GC53" s="522"/>
      <c r="GD53" s="150">
        <f t="shared" si="166"/>
        <v>29</v>
      </c>
      <c r="GE53" s="1151">
        <v>48754</v>
      </c>
      <c r="GF53" s="205">
        <v>30</v>
      </c>
      <c r="GG53" s="1328">
        <v>2565.4700000000375</v>
      </c>
      <c r="GH53" s="1626">
        <v>1550.46</v>
      </c>
      <c r="GI53" s="1626">
        <v>16.86</v>
      </c>
      <c r="GJ53" s="198">
        <f t="shared" si="167"/>
        <v>1567.32</v>
      </c>
      <c r="GK53" s="198">
        <f t="shared" si="168"/>
        <v>1567.32</v>
      </c>
      <c r="GL53" s="447">
        <f t="shared" si="126"/>
        <v>7.2445652173999999</v>
      </c>
      <c r="GM53" s="199" cm="1">
        <f t="array" ref="GM53">ROUND(interpoler(mat_zc,Taux_ZC,GL53)+$GJ$2,5)</f>
        <v>3.7060000000000003E-2</v>
      </c>
      <c r="GN53" s="762">
        <f t="shared" si="102"/>
        <v>1204.1079</v>
      </c>
      <c r="GO53" s="198"/>
      <c r="GQ53" s="150">
        <f t="shared" si="169"/>
        <v>27</v>
      </c>
      <c r="GR53" s="1151">
        <v>48572</v>
      </c>
      <c r="GS53" s="205">
        <v>28</v>
      </c>
      <c r="GT53" s="1629">
        <v>68359.92</v>
      </c>
      <c r="GU53" s="1626">
        <v>536.05999999999995</v>
      </c>
      <c r="GV53" s="1632">
        <v>529.78</v>
      </c>
      <c r="GW53" s="198">
        <f t="shared" si="170"/>
        <v>1065.8399999999999</v>
      </c>
      <c r="GX53" s="198">
        <f t="shared" si="171"/>
        <v>1065.8399999999999</v>
      </c>
      <c r="GY53" s="1042">
        <f t="shared" si="175"/>
        <v>6.7445652173999999</v>
      </c>
      <c r="GZ53" s="199" cm="1">
        <f t="array" ref="GZ53">+ROUND(IF(GY53&lt;1,interpoler($A$5:$A$24,$B$5:$B$24,(GR53-$B$1)),interpoler(CIH!$K$72:$K$103,CIH!$L$72:$L$103,GY53))+$GW$2,5)</f>
        <v>3.8309999999999997E-2</v>
      </c>
      <c r="HA53" s="212">
        <f t="shared" si="180"/>
        <v>827.12900549097299</v>
      </c>
      <c r="HE53" s="194"/>
      <c r="HF53" s="133"/>
      <c r="HG53" s="134"/>
      <c r="HH53" s="134"/>
      <c r="HI53" s="198"/>
      <c r="HJ53" s="198"/>
      <c r="HK53" s="198"/>
      <c r="HL53" s="198"/>
      <c r="HM53" s="199"/>
      <c r="HN53" s="198"/>
      <c r="HR53" s="150">
        <f t="shared" si="134"/>
        <v>0</v>
      </c>
      <c r="HS53" s="714"/>
      <c r="HT53" s="205"/>
      <c r="HU53" s="718"/>
      <c r="HV53" s="718"/>
      <c r="HW53" s="786"/>
      <c r="HX53" s="198"/>
      <c r="HY53" s="198"/>
      <c r="HZ53" s="198"/>
      <c r="IA53" s="199"/>
      <c r="IB53" s="199"/>
      <c r="ID53" s="150">
        <f t="shared" si="173"/>
        <v>0</v>
      </c>
      <c r="IE53" s="714"/>
      <c r="IF53" s="205"/>
      <c r="IG53" s="718"/>
      <c r="IH53" s="718"/>
      <c r="II53" s="198"/>
      <c r="IJ53" s="198"/>
      <c r="IK53" s="198"/>
      <c r="IL53" s="198"/>
      <c r="IM53" s="199"/>
      <c r="IN53" s="776"/>
      <c r="IP53" s="1382"/>
      <c r="IQ53" s="714"/>
      <c r="IR53" s="205"/>
      <c r="IS53" s="718"/>
      <c r="IT53" s="718"/>
      <c r="IU53" s="198"/>
      <c r="IV53" s="198"/>
      <c r="IW53" s="198"/>
      <c r="IX53" s="198"/>
      <c r="IY53" s="199"/>
      <c r="IZ53" s="776"/>
      <c r="JD53" s="150"/>
      <c r="JE53" s="714"/>
      <c r="JF53" s="205"/>
      <c r="JG53" s="718"/>
      <c r="JH53" s="718"/>
      <c r="JI53" s="198"/>
      <c r="JJ53" s="198"/>
      <c r="JK53" s="198"/>
      <c r="JL53" s="198"/>
      <c r="JM53" s="199"/>
      <c r="JN53" s="776"/>
      <c r="JP53" s="150"/>
      <c r="JQ53" s="714"/>
      <c r="JR53" s="205"/>
      <c r="JS53" s="718"/>
      <c r="JT53" s="718"/>
      <c r="JU53" s="198"/>
      <c r="JV53" s="198"/>
      <c r="JW53" s="198"/>
      <c r="JX53" s="198"/>
      <c r="JY53" s="199"/>
      <c r="JZ53" s="776"/>
      <c r="KB53" s="714"/>
      <c r="KC53" s="205"/>
      <c r="KD53" s="718"/>
      <c r="KE53" s="718"/>
      <c r="KF53" s="198"/>
      <c r="KG53" s="198"/>
      <c r="KH53" s="198"/>
      <c r="KI53" s="198"/>
      <c r="KJ53" s="199"/>
      <c r="KK53" s="776"/>
      <c r="KN53" s="714"/>
      <c r="KO53" s="205"/>
      <c r="KP53" s="718"/>
      <c r="KQ53" s="718"/>
      <c r="KR53" s="198"/>
      <c r="KS53" s="198"/>
      <c r="KT53" s="198"/>
      <c r="KU53" s="198"/>
      <c r="KV53" s="199"/>
      <c r="KW53" s="1612"/>
    </row>
    <row r="54" spans="9:309" ht="15" x14ac:dyDescent="0.25">
      <c r="O54" s="109"/>
      <c r="P54" s="109"/>
      <c r="Q54" s="109"/>
      <c r="R54" s="109"/>
      <c r="S54" s="150">
        <f t="shared" si="143"/>
        <v>0</v>
      </c>
      <c r="T54" s="116">
        <v>41651</v>
      </c>
      <c r="U54" s="272">
        <v>47</v>
      </c>
      <c r="V54" s="265">
        <f t="shared" si="176"/>
        <v>15068.588888888889</v>
      </c>
      <c r="W54" s="265">
        <v>1806.8508240740739</v>
      </c>
      <c r="X54" s="137">
        <f t="shared" si="144"/>
        <v>275.76</v>
      </c>
      <c r="Y54" s="137">
        <f t="shared" si="145"/>
        <v>2082.61</v>
      </c>
      <c r="Z54" s="137">
        <f t="shared" si="146"/>
        <v>0</v>
      </c>
      <c r="AA54" s="137">
        <f t="shared" si="147"/>
        <v>0</v>
      </c>
      <c r="AB54" s="146" cm="1">
        <f t="array" ref="AB54">+ROUND(IF(AA54&lt;1,interpoler($A$5:$A$24,$B$5:$B$24,(T54-$B$1)),interpoler($C$5:$C$24,$D$5:$D$24,AA54))+$Y$2,6)</f>
        <v>3.0780999999999999E-2</v>
      </c>
      <c r="AC54" s="137">
        <f t="shared" si="148"/>
        <v>0</v>
      </c>
      <c r="AL54" s="221"/>
      <c r="AQ54" s="150">
        <f t="shared" si="149"/>
        <v>0</v>
      </c>
      <c r="AR54" s="310">
        <v>42898</v>
      </c>
      <c r="AS54" s="311">
        <v>56</v>
      </c>
      <c r="AT54" s="312">
        <v>6222.0008289999996</v>
      </c>
      <c r="AU54" s="312">
        <v>1005.04476</v>
      </c>
      <c r="AV54" s="313">
        <f t="shared" si="150"/>
        <v>99.4</v>
      </c>
      <c r="AW54" s="137">
        <f t="shared" si="151"/>
        <v>1104.44</v>
      </c>
      <c r="AX54" s="137">
        <f t="shared" si="152"/>
        <v>0</v>
      </c>
      <c r="AY54" s="137">
        <f t="shared" si="153"/>
        <v>0</v>
      </c>
      <c r="AZ54" s="146" cm="1">
        <f t="array" ref="AZ54">+ROUND(IF(AY54&lt;1,interpoler($A$5:$A$24,$B$5:$B$24,(AR54-$B$1)),interpoler($C$5:$C$24,$D$5:$D$24,AY54))+$AW$2,5)</f>
        <v>2.9780000000000001E-2</v>
      </c>
      <c r="BA54" s="137">
        <f t="shared" si="154"/>
        <v>0</v>
      </c>
      <c r="BB54" s="221"/>
      <c r="BC54" s="599">
        <f t="shared" si="155"/>
        <v>0</v>
      </c>
      <c r="BD54" s="669">
        <v>44088</v>
      </c>
      <c r="BE54" s="526">
        <v>47</v>
      </c>
      <c r="BF54" s="841">
        <v>9248.6</v>
      </c>
      <c r="BG54" s="835">
        <v>694.83</v>
      </c>
      <c r="BH54" s="655">
        <v>120.07</v>
      </c>
      <c r="BI54" s="655">
        <f t="shared" si="156"/>
        <v>814.9</v>
      </c>
      <c r="BJ54" s="529">
        <f t="shared" si="157"/>
        <v>0</v>
      </c>
      <c r="BK54" s="529">
        <f t="shared" si="158"/>
        <v>0</v>
      </c>
      <c r="BL54" s="530" cm="1">
        <f t="array" ref="BL54">+ROUND(IF(BK54&lt;1,interpoler($A$5:$A$24,$B$5:$B$24,(BD54-$B$1)),interpoler($C$5:$C$24,$D$5:$D$24,BK54))+$BI$2,5)</f>
        <v>3.3279999999999997E-2</v>
      </c>
      <c r="BM54" s="529">
        <f t="shared" si="159"/>
        <v>0</v>
      </c>
      <c r="BN54" s="280"/>
      <c r="BO54" s="280"/>
      <c r="BP54" s="150"/>
      <c r="BQ54" s="116"/>
      <c r="BR54" s="133"/>
      <c r="BS54" s="134"/>
      <c r="BT54" s="134"/>
      <c r="BU54" s="137"/>
      <c r="BV54" s="137"/>
      <c r="BW54" s="137"/>
      <c r="BX54" s="137"/>
      <c r="BY54" s="146"/>
      <c r="BZ54" s="137"/>
      <c r="CB54" s="150">
        <f t="shared" si="160"/>
        <v>18</v>
      </c>
      <c r="CC54" s="1152">
        <v>47750</v>
      </c>
      <c r="CD54" s="205">
        <v>19</v>
      </c>
      <c r="CE54" s="1630">
        <v>35349.25</v>
      </c>
      <c r="CF54" s="1627">
        <v>2013.98</v>
      </c>
      <c r="CG54" s="1633">
        <v>356.14</v>
      </c>
      <c r="CH54" s="198">
        <f t="shared" si="142"/>
        <v>2370.12</v>
      </c>
      <c r="CI54" s="198">
        <f t="shared" si="161"/>
        <v>2370.12</v>
      </c>
      <c r="CJ54" s="762">
        <f t="shared" si="139"/>
        <v>4.4945652173999999</v>
      </c>
      <c r="CK54" s="621" cm="1">
        <f t="array" ref="CK54">ROUND(interpoler(mat_zc,Taux_ZC,CJ54)+$CH$2,5)</f>
        <v>3.5860000000000003E-2</v>
      </c>
      <c r="CL54" s="762">
        <f t="shared" si="174"/>
        <v>2023.0132000000001</v>
      </c>
      <c r="CM54" s="280"/>
      <c r="CN54" s="280"/>
      <c r="CO54" s="280"/>
      <c r="CP54" s="280"/>
      <c r="CQ54" s="280"/>
      <c r="CR54" s="280"/>
      <c r="CS54" s="280"/>
      <c r="CT54" s="280"/>
      <c r="CU54" s="280"/>
      <c r="CV54" s="280"/>
      <c r="CW54" s="280"/>
      <c r="CX54" s="280"/>
      <c r="CY54" s="280"/>
      <c r="FD54" s="526"/>
      <c r="FE54" s="796"/>
      <c r="FF54" s="797"/>
      <c r="FG54" s="904"/>
      <c r="FH54" s="1009"/>
      <c r="FI54" s="903"/>
      <c r="FJ54" s="798"/>
      <c r="FK54" s="798"/>
      <c r="FL54" s="1027"/>
      <c r="FM54" s="199"/>
      <c r="FN54" s="801"/>
      <c r="FO54" s="814"/>
      <c r="FP54" s="221"/>
      <c r="FQ54" s="526">
        <f t="shared" si="162"/>
        <v>31</v>
      </c>
      <c r="FR54" s="1151">
        <v>48937</v>
      </c>
      <c r="FS54" s="205"/>
      <c r="FT54" s="1629">
        <v>33873.549999999988</v>
      </c>
      <c r="FU54" s="1626">
        <v>4481.96</v>
      </c>
      <c r="FV54" s="1632">
        <v>297.24</v>
      </c>
      <c r="FW54" s="798">
        <f t="shared" si="163"/>
        <v>4779.2</v>
      </c>
      <c r="FX54" s="798">
        <f t="shared" si="164"/>
        <v>4779.2</v>
      </c>
      <c r="FY54" s="799">
        <f t="shared" si="172"/>
        <v>7.7445652200000001</v>
      </c>
      <c r="FZ54" s="800" cm="1">
        <f t="array" ref="FZ54">+ROUND(IF(FY54&lt;1,interpoler($A$5:$A$24,$B$5:$B$24,(FR54-$B$1)),interpoler(CIH!$K$72:$K$103,CIH!$L$72:$L$103,FY54))+$FV$2,5)</f>
        <v>3.832E-2</v>
      </c>
      <c r="GA54" s="798">
        <f t="shared" si="165"/>
        <v>3571.7167599999998</v>
      </c>
      <c r="GB54" s="484"/>
      <c r="GC54" s="522"/>
      <c r="GD54" s="150">
        <f t="shared" si="166"/>
        <v>30</v>
      </c>
      <c r="GE54" s="1152">
        <v>48846</v>
      </c>
      <c r="GF54" s="205">
        <v>31</v>
      </c>
      <c r="GG54" s="1329">
        <v>1015.0100000000375</v>
      </c>
      <c r="GH54" s="1627">
        <v>1015.01</v>
      </c>
      <c r="GI54" s="1627">
        <v>6.67</v>
      </c>
      <c r="GJ54" s="198">
        <f t="shared" si="167"/>
        <v>1021.68</v>
      </c>
      <c r="GK54" s="198">
        <f t="shared" si="168"/>
        <v>1021.68</v>
      </c>
      <c r="GL54" s="447">
        <f t="shared" si="126"/>
        <v>7.4945652173999999</v>
      </c>
      <c r="GM54" s="199" cm="1">
        <f t="array" ref="GM54">ROUND(interpoler(mat_zc,Taux_ZC,GL54)+$GJ$2,5)</f>
        <v>3.7190000000000001E-2</v>
      </c>
      <c r="GN54" s="762">
        <f t="shared" si="102"/>
        <v>777.07629999999995</v>
      </c>
      <c r="GO54" s="198"/>
      <c r="GQ54" s="150">
        <f t="shared" si="169"/>
        <v>28</v>
      </c>
      <c r="GR54" s="1152">
        <v>48662</v>
      </c>
      <c r="GS54" s="205">
        <v>29</v>
      </c>
      <c r="GT54" s="1630">
        <v>67823.86</v>
      </c>
      <c r="GU54" s="1627">
        <v>528.15</v>
      </c>
      <c r="GV54" s="1633">
        <v>525.63</v>
      </c>
      <c r="GW54" s="198">
        <f t="shared" si="170"/>
        <v>1053.78</v>
      </c>
      <c r="GX54" s="198">
        <f t="shared" si="171"/>
        <v>1053.78</v>
      </c>
      <c r="GY54" s="1042">
        <f t="shared" si="175"/>
        <v>6.9945652173999999</v>
      </c>
      <c r="GZ54" s="199" cm="1">
        <f t="array" ref="GZ54">+ROUND(IF(GY54&lt;1,interpoler($A$5:$A$24,$B$5:$B$24,(GR54-$B$1)),interpoler(CIH!$K$72:$K$103,CIH!$L$72:$L$103,GY54))+$GW$2,5)</f>
        <v>3.8429999999999999E-2</v>
      </c>
      <c r="HA54" s="212">
        <f t="shared" si="180"/>
        <v>809.46555723952201</v>
      </c>
      <c r="HE54" s="194"/>
      <c r="HF54" s="133"/>
      <c r="HG54" s="134"/>
      <c r="HH54" s="134"/>
      <c r="HI54" s="198"/>
      <c r="HJ54" s="198"/>
      <c r="HK54" s="198"/>
      <c r="HL54" s="198"/>
      <c r="HM54" s="199"/>
      <c r="HN54" s="198"/>
      <c r="HR54" s="150">
        <f t="shared" si="134"/>
        <v>0</v>
      </c>
      <c r="HS54" s="714"/>
      <c r="HT54" s="205"/>
      <c r="HU54" s="718"/>
      <c r="HV54" s="718"/>
      <c r="HW54" s="786"/>
      <c r="HX54" s="198"/>
      <c r="HY54" s="198"/>
      <c r="HZ54" s="198"/>
      <c r="IA54" s="199"/>
      <c r="IB54" s="199"/>
      <c r="ID54" s="150">
        <f t="shared" si="173"/>
        <v>0</v>
      </c>
      <c r="IE54" s="714"/>
      <c r="IF54" s="205"/>
      <c r="IG54" s="718"/>
      <c r="IH54" s="718"/>
      <c r="II54" s="198"/>
      <c r="IJ54" s="198"/>
      <c r="IK54" s="198"/>
      <c r="IL54" s="198"/>
      <c r="IM54" s="199"/>
      <c r="IN54" s="776"/>
      <c r="IP54" s="1382">
        <f t="shared" ref="IP54:IP88" si="181">+IF(IW54=0,0,IP53+1)</f>
        <v>0</v>
      </c>
      <c r="IQ54" s="714"/>
      <c r="IR54" s="205"/>
      <c r="IS54" s="718"/>
      <c r="IT54" s="718"/>
      <c r="IU54" s="198"/>
      <c r="IV54" s="198"/>
      <c r="IW54" s="198"/>
      <c r="IX54" s="198"/>
      <c r="IY54" s="199"/>
      <c r="IZ54" s="776"/>
      <c r="JD54" s="150"/>
      <c r="JE54" s="714"/>
      <c r="JF54" s="205"/>
      <c r="JG54" s="718"/>
      <c r="JH54" s="718"/>
      <c r="JI54" s="198"/>
      <c r="JJ54" s="198"/>
      <c r="JK54" s="198"/>
      <c r="JL54" s="198"/>
      <c r="JM54" s="199"/>
      <c r="JN54" s="776"/>
      <c r="JP54" s="150"/>
      <c r="JQ54" s="714"/>
      <c r="JR54" s="205"/>
      <c r="JS54" s="718"/>
      <c r="JT54" s="718"/>
      <c r="JU54" s="198"/>
      <c r="JV54" s="198"/>
      <c r="JW54" s="198"/>
      <c r="JX54" s="198"/>
      <c r="JY54" s="199"/>
      <c r="JZ54" s="776"/>
      <c r="KB54" s="714"/>
      <c r="KC54" s="205"/>
      <c r="KD54" s="718"/>
      <c r="KE54" s="718"/>
      <c r="KF54" s="198"/>
      <c r="KG54" s="198"/>
      <c r="KH54" s="198"/>
      <c r="KI54" s="198"/>
      <c r="KJ54" s="199"/>
      <c r="KK54" s="776"/>
      <c r="KN54" s="714"/>
      <c r="KO54" s="205"/>
      <c r="KP54" s="718"/>
      <c r="KQ54" s="718"/>
      <c r="KR54" s="198"/>
      <c r="KS54" s="198"/>
      <c r="KT54" s="198"/>
      <c r="KU54" s="198"/>
      <c r="KV54" s="199"/>
      <c r="KW54" s="1612"/>
    </row>
    <row r="55" spans="9:309" ht="15.75" thickBot="1" x14ac:dyDescent="0.3">
      <c r="O55" s="109"/>
      <c r="P55" s="109"/>
      <c r="Q55" s="109"/>
      <c r="R55" s="109"/>
      <c r="S55" s="150">
        <f t="shared" si="143"/>
        <v>0</v>
      </c>
      <c r="T55" s="116">
        <v>41741</v>
      </c>
      <c r="U55" s="273">
        <v>48</v>
      </c>
      <c r="V55" s="265">
        <f t="shared" si="176"/>
        <v>13261.738064814816</v>
      </c>
      <c r="W55" s="266">
        <v>1540.5622222222221</v>
      </c>
      <c r="X55" s="137">
        <f t="shared" si="144"/>
        <v>242.69</v>
      </c>
      <c r="Y55" s="137">
        <f t="shared" si="145"/>
        <v>1783.25</v>
      </c>
      <c r="Z55" s="137">
        <f t="shared" si="146"/>
        <v>0</v>
      </c>
      <c r="AA55" s="137">
        <f t="shared" si="147"/>
        <v>0</v>
      </c>
      <c r="AB55" s="146" cm="1">
        <f t="array" ref="AB55">+ROUND(IF(AA55&lt;1,interpoler($A$5:$A$24,$B$5:$B$24,(T55-$B$1)),interpoler($C$5:$C$24,$D$5:$D$24,AA55))+$Y$2,6)</f>
        <v>3.0780999999999999E-2</v>
      </c>
      <c r="AC55" s="137">
        <f t="shared" si="148"/>
        <v>0</v>
      </c>
      <c r="AL55" s="221"/>
      <c r="AQ55" s="150">
        <f t="shared" si="149"/>
        <v>0</v>
      </c>
      <c r="AR55" s="310">
        <v>42990</v>
      </c>
      <c r="AS55" s="311">
        <v>57</v>
      </c>
      <c r="AT55" s="312">
        <v>5216.9560670000001</v>
      </c>
      <c r="AU55" s="312">
        <v>944.97955039999999</v>
      </c>
      <c r="AV55" s="313">
        <f t="shared" si="150"/>
        <v>83.34</v>
      </c>
      <c r="AW55" s="137">
        <f t="shared" si="151"/>
        <v>1028.32</v>
      </c>
      <c r="AX55" s="137">
        <f t="shared" si="152"/>
        <v>0</v>
      </c>
      <c r="AY55" s="137">
        <f t="shared" si="153"/>
        <v>0</v>
      </c>
      <c r="AZ55" s="146" cm="1">
        <f t="array" ref="AZ55">+ROUND(IF(AY55&lt;1,interpoler($A$5:$A$24,$B$5:$B$24,(AR55-$B$1)),interpoler($C$5:$C$24,$D$5:$D$24,AY55))+$AW$2,5)</f>
        <v>2.9780000000000001E-2</v>
      </c>
      <c r="BA55" s="137">
        <f t="shared" si="154"/>
        <v>0</v>
      </c>
      <c r="BB55" s="221"/>
      <c r="BC55" s="599">
        <f t="shared" si="155"/>
        <v>0</v>
      </c>
      <c r="BD55" s="669">
        <v>44179</v>
      </c>
      <c r="BE55" s="526">
        <v>48</v>
      </c>
      <c r="BF55" s="841">
        <v>8083.31</v>
      </c>
      <c r="BG55" s="835">
        <v>1165.29</v>
      </c>
      <c r="BH55" s="655">
        <v>111.68</v>
      </c>
      <c r="BI55" s="655">
        <f t="shared" si="156"/>
        <v>1276.97</v>
      </c>
      <c r="BJ55" s="529">
        <f t="shared" si="157"/>
        <v>0</v>
      </c>
      <c r="BK55" s="529">
        <f t="shared" si="158"/>
        <v>0</v>
      </c>
      <c r="BL55" s="530" cm="1">
        <f t="array" ref="BL55">+ROUND(IF(BK55&lt;1,interpoler($A$5:$A$24,$B$5:$B$24,(BD55-$B$1)),interpoler($C$5:$C$24,$D$5:$D$24,BK55))+$BI$2,5)</f>
        <v>3.3279999999999997E-2</v>
      </c>
      <c r="BM55" s="529">
        <f t="shared" si="159"/>
        <v>0</v>
      </c>
      <c r="BN55" s="280"/>
      <c r="BO55" s="280"/>
      <c r="BP55" s="150"/>
      <c r="BQ55" s="116"/>
      <c r="BR55" s="133"/>
      <c r="BS55" s="134"/>
      <c r="BT55" s="134"/>
      <c r="BU55" s="137"/>
      <c r="BV55" s="137"/>
      <c r="BW55" s="137"/>
      <c r="BX55" s="137"/>
      <c r="BY55" s="146"/>
      <c r="BZ55" s="137"/>
      <c r="CB55" s="150">
        <f t="shared" si="160"/>
        <v>19</v>
      </c>
      <c r="CC55" s="1151">
        <v>47841</v>
      </c>
      <c r="CD55" s="205">
        <v>20</v>
      </c>
      <c r="CE55" s="1629">
        <v>33335.269999999997</v>
      </c>
      <c r="CF55" s="1626">
        <v>1987.56</v>
      </c>
      <c r="CG55" s="1632">
        <v>335.85</v>
      </c>
      <c r="CH55" s="198">
        <f t="shared" si="142"/>
        <v>2323.41</v>
      </c>
      <c r="CI55" s="198">
        <f t="shared" si="161"/>
        <v>2323.41</v>
      </c>
      <c r="CJ55" s="762">
        <f t="shared" si="139"/>
        <v>4.7445652173999999</v>
      </c>
      <c r="CK55" s="621" cm="1">
        <f t="array" ref="CK55">ROUND(interpoler(mat_zc,Taux_ZC,CJ55)+$CH$2,5)</f>
        <v>3.6130000000000002E-2</v>
      </c>
      <c r="CL55" s="762">
        <f t="shared" si="174"/>
        <v>1963.3239000000001</v>
      </c>
      <c r="CM55" s="280"/>
      <c r="CN55" s="280"/>
      <c r="CO55" s="280"/>
      <c r="CP55" s="280"/>
      <c r="CQ55" s="280"/>
      <c r="CR55" s="280"/>
      <c r="CS55" s="280"/>
      <c r="CT55" s="280"/>
      <c r="CU55" s="280"/>
      <c r="CV55" s="280"/>
      <c r="CW55" s="280"/>
      <c r="CX55" s="280"/>
      <c r="CY55" s="280"/>
      <c r="FD55" s="109"/>
      <c r="FE55" s="796"/>
      <c r="FF55" s="797"/>
      <c r="FG55" s="904"/>
      <c r="FH55" s="903"/>
      <c r="FI55" s="903"/>
      <c r="FJ55" s="798"/>
      <c r="FK55" s="798"/>
      <c r="FL55" s="1027"/>
      <c r="FM55" s="199"/>
      <c r="FN55" s="801"/>
      <c r="FP55" s="221"/>
      <c r="FQ55" s="526">
        <f t="shared" si="162"/>
        <v>32</v>
      </c>
      <c r="FR55" s="1152">
        <v>49027</v>
      </c>
      <c r="FS55" s="205"/>
      <c r="FT55" s="1630">
        <v>29391.589999999989</v>
      </c>
      <c r="FU55" s="1627">
        <v>4434.6400000000003</v>
      </c>
      <c r="FV55" s="1633">
        <v>257.91000000000003</v>
      </c>
      <c r="FW55" s="798">
        <f t="shared" si="163"/>
        <v>4692.55</v>
      </c>
      <c r="FX55" s="798">
        <f t="shared" si="164"/>
        <v>4692.55</v>
      </c>
      <c r="FY55" s="799">
        <f t="shared" si="172"/>
        <v>7.9945652200000001</v>
      </c>
      <c r="FZ55" s="800" cm="1">
        <f t="array" ref="FZ55">+ROUND(IF(FY55&lt;1,interpoler($A$5:$A$24,$B$5:$B$24,(FR55-$B$1)),interpoler(CIH!$K$72:$K$103,CIH!$L$72:$L$103,FY55))+$FV$2,5)</f>
        <v>3.8449999999999998E-2</v>
      </c>
      <c r="GA55" s="798">
        <f t="shared" si="165"/>
        <v>3470.6693100000002</v>
      </c>
      <c r="GB55" s="484"/>
      <c r="GC55" s="522"/>
      <c r="GD55" s="150">
        <f t="shared" si="166"/>
        <v>0</v>
      </c>
      <c r="GE55" s="309"/>
      <c r="GF55" s="905"/>
      <c r="GG55"/>
      <c r="GH55"/>
      <c r="GI55"/>
      <c r="GJ55" s="198"/>
      <c r="GK55" s="198"/>
      <c r="GL55" s="447"/>
      <c r="GM55" s="199"/>
      <c r="GN55" s="762"/>
      <c r="GO55" s="198"/>
      <c r="GQ55" s="150">
        <f t="shared" si="169"/>
        <v>29</v>
      </c>
      <c r="GR55" s="1151">
        <v>48754</v>
      </c>
      <c r="GS55" s="205">
        <v>30</v>
      </c>
      <c r="GT55" s="1629">
        <v>67295.710000000006</v>
      </c>
      <c r="GU55" s="1626">
        <v>520.41999999999996</v>
      </c>
      <c r="GV55" s="1632">
        <v>521.54</v>
      </c>
      <c r="GW55" s="198">
        <f t="shared" si="170"/>
        <v>1041.96</v>
      </c>
      <c r="GX55" s="198">
        <f t="shared" si="171"/>
        <v>1041.96</v>
      </c>
      <c r="GY55" s="1042">
        <f t="shared" si="175"/>
        <v>7.2445652173999999</v>
      </c>
      <c r="GZ55" s="199" cm="1">
        <f t="array" ref="GZ55">+ROUND(IF(GY55&lt;1,interpoler($A$5:$A$24,$B$5:$B$24,(GR55-$B$1)),interpoler(CIH!$K$72:$K$103,CIH!$L$72:$L$103,GY55))+$GW$2,5)</f>
        <v>3.8559999999999997E-2</v>
      </c>
      <c r="HA55" s="212">
        <f t="shared" si="180"/>
        <v>792.15708113489495</v>
      </c>
      <c r="HE55" s="194"/>
      <c r="HF55" s="133"/>
      <c r="HG55" s="134"/>
      <c r="HH55" s="134"/>
      <c r="HI55" s="198"/>
      <c r="HJ55" s="198"/>
      <c r="HK55" s="198"/>
      <c r="HL55" s="198"/>
      <c r="HM55" s="199"/>
      <c r="HN55" s="198"/>
      <c r="HR55" s="150">
        <f t="shared" ref="HR55:HR88" si="182">+IF(HY55=0,0,HR54+1)</f>
        <v>0</v>
      </c>
      <c r="HS55" s="714"/>
      <c r="HT55" s="205"/>
      <c r="HU55" s="718"/>
      <c r="HV55" s="718"/>
      <c r="HW55" s="786"/>
      <c r="HX55" s="198"/>
      <c r="HY55" s="198"/>
      <c r="HZ55" s="198"/>
      <c r="IA55" s="199"/>
      <c r="IB55" s="199"/>
      <c r="ID55" s="150">
        <f t="shared" si="173"/>
        <v>0</v>
      </c>
      <c r="IE55" s="714"/>
      <c r="IF55" s="205"/>
      <c r="IG55" s="718"/>
      <c r="IH55" s="718"/>
      <c r="II55" s="198"/>
      <c r="IJ55" s="198"/>
      <c r="IK55" s="198"/>
      <c r="IL55" s="198"/>
      <c r="IM55" s="199"/>
      <c r="IN55" s="776"/>
      <c r="IP55" s="1382">
        <f t="shared" si="181"/>
        <v>0</v>
      </c>
      <c r="IQ55" s="714"/>
      <c r="IR55" s="205"/>
      <c r="IS55" s="718"/>
      <c r="IT55" s="718"/>
      <c r="IU55" s="198"/>
      <c r="IV55" s="198"/>
      <c r="IW55" s="198"/>
      <c r="IX55" s="198"/>
      <c r="IY55" s="199"/>
      <c r="IZ55" s="776"/>
      <c r="JD55" s="150"/>
      <c r="JE55" s="714"/>
      <c r="JF55" s="205"/>
      <c r="JG55" s="718"/>
      <c r="JH55" s="718"/>
      <c r="JI55" s="198"/>
      <c r="JJ55" s="198"/>
      <c r="JK55" s="198"/>
      <c r="JL55" s="198"/>
      <c r="JM55" s="199"/>
      <c r="JN55" s="776"/>
      <c r="JP55" s="150"/>
      <c r="JQ55" s="714"/>
      <c r="JR55" s="205"/>
      <c r="JS55" s="718"/>
      <c r="JT55" s="718"/>
      <c r="JU55" s="198"/>
      <c r="JV55" s="198"/>
      <c r="JW55" s="198"/>
      <c r="JX55" s="198"/>
      <c r="JY55" s="199"/>
      <c r="JZ55" s="776"/>
      <c r="KB55" s="714"/>
      <c r="KC55" s="205"/>
      <c r="KD55" s="718"/>
      <c r="KE55" s="718"/>
      <c r="KF55" s="198"/>
      <c r="KG55" s="198"/>
      <c r="KH55" s="198"/>
      <c r="KI55" s="198"/>
      <c r="KJ55" s="199"/>
      <c r="KK55" s="776"/>
      <c r="KN55" s="714"/>
      <c r="KO55" s="205"/>
      <c r="KP55" s="718"/>
      <c r="KQ55" s="718"/>
      <c r="KR55" s="198"/>
      <c r="KS55" s="198"/>
      <c r="KT55" s="198"/>
      <c r="KU55" s="198"/>
      <c r="KV55" s="199"/>
      <c r="KW55" s="1612"/>
    </row>
    <row r="56" spans="9:309" ht="15" x14ac:dyDescent="0.25">
      <c r="O56" s="109"/>
      <c r="P56" s="109"/>
      <c r="Q56" s="109"/>
      <c r="R56" s="109"/>
      <c r="S56" s="150">
        <f t="shared" si="143"/>
        <v>0</v>
      </c>
      <c r="T56" s="116">
        <v>41832</v>
      </c>
      <c r="U56" s="272">
        <v>49</v>
      </c>
      <c r="V56" s="265">
        <f t="shared" si="176"/>
        <v>11721.175842592593</v>
      </c>
      <c r="W56" s="264">
        <v>1415.16875</v>
      </c>
      <c r="X56" s="137">
        <f t="shared" si="144"/>
        <v>214.5</v>
      </c>
      <c r="Y56" s="137">
        <f t="shared" si="145"/>
        <v>1629.67</v>
      </c>
      <c r="Z56" s="137">
        <f t="shared" si="146"/>
        <v>0</v>
      </c>
      <c r="AA56" s="137">
        <f t="shared" si="147"/>
        <v>0</v>
      </c>
      <c r="AB56" s="146" cm="1">
        <f t="array" ref="AB56">+ROUND(IF(AA56&lt;1,interpoler($A$5:$A$24,$B$5:$B$24,(T56-$B$1)),interpoler($C$5:$C$24,$D$5:$D$24,AA56))+$Y$2,6)</f>
        <v>3.0780999999999999E-2</v>
      </c>
      <c r="AC56" s="137">
        <f t="shared" si="148"/>
        <v>0</v>
      </c>
      <c r="AL56" s="221"/>
      <c r="AQ56" s="150">
        <f t="shared" si="149"/>
        <v>0</v>
      </c>
      <c r="AR56" s="310">
        <v>43081</v>
      </c>
      <c r="AS56" s="311">
        <v>58</v>
      </c>
      <c r="AT56" s="312">
        <v>4271.9765170000001</v>
      </c>
      <c r="AU56" s="312">
        <v>866.34584500000005</v>
      </c>
      <c r="AV56" s="313">
        <f t="shared" si="150"/>
        <v>68.239999999999995</v>
      </c>
      <c r="AW56" s="137">
        <f t="shared" si="151"/>
        <v>934.59</v>
      </c>
      <c r="AX56" s="137">
        <f t="shared" si="152"/>
        <v>0</v>
      </c>
      <c r="AY56" s="137">
        <f t="shared" si="153"/>
        <v>0</v>
      </c>
      <c r="AZ56" s="146" cm="1">
        <f t="array" ref="AZ56">+ROUND(IF(AY56&lt;1,interpoler($A$5:$A$24,$B$5:$B$24,(AR56-$B$1)),interpoler($C$5:$C$24,$D$5:$D$24,AY56))+$AW$2,5)</f>
        <v>2.9780000000000001E-2</v>
      </c>
      <c r="BA56" s="137">
        <f t="shared" si="154"/>
        <v>0</v>
      </c>
      <c r="BB56" s="221"/>
      <c r="BC56" s="599">
        <f t="shared" si="155"/>
        <v>0</v>
      </c>
      <c r="BD56" s="669">
        <v>44269</v>
      </c>
      <c r="BE56" s="526">
        <v>49</v>
      </c>
      <c r="BF56" s="841">
        <v>8315.76</v>
      </c>
      <c r="BG56" s="835">
        <v>1183.22</v>
      </c>
      <c r="BH56" s="655">
        <f>+ROUND($BI$1*BF56/4,2)</f>
        <v>100.41</v>
      </c>
      <c r="BI56" s="655">
        <f t="shared" si="156"/>
        <v>1283.6300000000001</v>
      </c>
      <c r="BJ56" s="529">
        <f t="shared" si="157"/>
        <v>0</v>
      </c>
      <c r="BK56" s="529">
        <f t="shared" si="158"/>
        <v>0</v>
      </c>
      <c r="BL56" s="530" cm="1">
        <f t="array" ref="BL56">+ROUND(IF(BK56&lt;1,interpoler($A$5:$A$24,$B$5:$B$24,(BD56-$B$1)),interpoler($C$5:$C$24,$D$5:$D$24,BK56))+$BI$2,5)</f>
        <v>3.3279999999999997E-2</v>
      </c>
      <c r="BM56" s="529">
        <f t="shared" si="159"/>
        <v>0</v>
      </c>
      <c r="BN56" s="783"/>
      <c r="BO56" s="280"/>
      <c r="BP56" s="150"/>
      <c r="BQ56" s="116"/>
      <c r="BR56" s="133"/>
      <c r="BS56" s="134"/>
      <c r="BT56" s="134"/>
      <c r="BU56" s="137"/>
      <c r="BV56" s="137"/>
      <c r="BW56" s="137"/>
      <c r="BX56" s="137"/>
      <c r="BY56" s="146"/>
      <c r="BZ56" s="137"/>
      <c r="CB56" s="150">
        <f t="shared" si="160"/>
        <v>20</v>
      </c>
      <c r="CC56" s="1152">
        <v>47931</v>
      </c>
      <c r="CD56" s="205">
        <v>21</v>
      </c>
      <c r="CE56" s="1630">
        <v>31347.709999999995</v>
      </c>
      <c r="CF56" s="1627">
        <v>1967.54</v>
      </c>
      <c r="CG56" s="1633">
        <v>315.82</v>
      </c>
      <c r="CH56" s="198">
        <f t="shared" si="142"/>
        <v>2283.36</v>
      </c>
      <c r="CI56" s="198">
        <f t="shared" si="161"/>
        <v>2283.36</v>
      </c>
      <c r="CJ56" s="762">
        <f t="shared" si="139"/>
        <v>4.9945652173999999</v>
      </c>
      <c r="CK56" s="621" cm="1">
        <f t="array" ref="CK56">ROUND(interpoler(mat_zc,Taux_ZC,CJ56)+$CH$2,5)</f>
        <v>3.6400000000000002E-2</v>
      </c>
      <c r="CL56" s="762">
        <f t="shared" si="174"/>
        <v>1909.9489000000001</v>
      </c>
      <c r="CM56" s="280"/>
      <c r="CN56" s="280"/>
      <c r="CO56" s="280"/>
      <c r="CP56" s="280"/>
      <c r="CQ56" s="280"/>
      <c r="CR56" s="280"/>
      <c r="CS56" s="280"/>
      <c r="CT56" s="280"/>
      <c r="CU56" s="280"/>
      <c r="CV56" s="280"/>
      <c r="CW56" s="280"/>
      <c r="CX56" s="280"/>
      <c r="CY56" s="280"/>
      <c r="FD56" s="109"/>
      <c r="FE56" s="109"/>
      <c r="FF56" s="109"/>
      <c r="FI56" s="109"/>
      <c r="FN56" s="109"/>
      <c r="FP56" s="221"/>
      <c r="FQ56" s="526">
        <f t="shared" si="162"/>
        <v>33</v>
      </c>
      <c r="FR56" s="1151">
        <v>49119</v>
      </c>
      <c r="FS56" s="205"/>
      <c r="FT56" s="1629">
        <v>24956.94999999999</v>
      </c>
      <c r="FU56" s="1626">
        <v>4321.71</v>
      </c>
      <c r="FV56" s="1632">
        <v>218.99</v>
      </c>
      <c r="FW56" s="798">
        <f t="shared" si="163"/>
        <v>4540.7</v>
      </c>
      <c r="FX56" s="798">
        <f t="shared" si="164"/>
        <v>4540.7</v>
      </c>
      <c r="FY56" s="799">
        <f t="shared" si="172"/>
        <v>8.2445652200000001</v>
      </c>
      <c r="FZ56" s="800" cm="1">
        <f t="array" ref="FZ56">+ROUND(IF(FY56&lt;1,interpoler($A$5:$A$24,$B$5:$B$24,(FR56-$B$1)),interpoler(CIH!$K$72:$K$103,CIH!$L$72:$L$103,FY56))+$FV$2,5)</f>
        <v>3.8580000000000003E-2</v>
      </c>
      <c r="GA56" s="798">
        <f t="shared" si="165"/>
        <v>3323.3993300000002</v>
      </c>
      <c r="GB56" s="484"/>
      <c r="GC56" s="522"/>
      <c r="GD56" s="150">
        <f t="shared" si="166"/>
        <v>0</v>
      </c>
      <c r="GE56" s="828"/>
      <c r="GF56" s="905"/>
      <c r="GG56"/>
      <c r="GH56"/>
      <c r="GI56"/>
      <c r="GJ56" s="198"/>
      <c r="GK56" s="198"/>
      <c r="GL56" s="447"/>
      <c r="GM56" s="199"/>
      <c r="GN56" s="762"/>
      <c r="GO56" s="198"/>
      <c r="GQ56" s="150">
        <f t="shared" si="169"/>
        <v>30</v>
      </c>
      <c r="GR56" s="1152">
        <v>48846</v>
      </c>
      <c r="GS56" s="205">
        <v>31</v>
      </c>
      <c r="GT56" s="1630">
        <v>66775.290000000008</v>
      </c>
      <c r="GU56" s="1627">
        <v>2048.35</v>
      </c>
      <c r="GV56" s="1633">
        <v>517.5</v>
      </c>
      <c r="GW56" s="198">
        <f t="shared" si="170"/>
        <v>2565.85</v>
      </c>
      <c r="GX56" s="198">
        <f t="shared" si="171"/>
        <v>2565.85</v>
      </c>
      <c r="GY56" s="1042">
        <f t="shared" si="175"/>
        <v>7.4945652173999999</v>
      </c>
      <c r="GZ56" s="199" cm="1">
        <f t="array" ref="GZ56">+ROUND(IF(GY56&lt;1,interpoler($A$5:$A$24,$B$5:$B$24,(GR56-$B$1)),interpoler(CIH!$K$72:$K$103,CIH!$L$72:$L$103,GY56))+$GW$2,5)</f>
        <v>3.8690000000000002E-2</v>
      </c>
      <c r="HA56" s="212">
        <f t="shared" si="180"/>
        <v>1930.5285689495399</v>
      </c>
      <c r="HE56" s="194"/>
      <c r="HF56" s="133"/>
      <c r="HG56" s="134"/>
      <c r="HH56" s="134"/>
      <c r="HI56" s="198"/>
      <c r="HJ56" s="198"/>
      <c r="HK56" s="198"/>
      <c r="HL56" s="198"/>
      <c r="HM56" s="199"/>
      <c r="HN56" s="198"/>
      <c r="HR56" s="150">
        <f t="shared" si="182"/>
        <v>0</v>
      </c>
      <c r="HS56" s="714"/>
      <c r="HT56" s="205"/>
      <c r="HU56" s="718"/>
      <c r="HV56" s="718"/>
      <c r="HW56" s="786"/>
      <c r="HX56" s="198"/>
      <c r="HY56" s="198"/>
      <c r="HZ56" s="198"/>
      <c r="IA56" s="199"/>
      <c r="IB56" s="199"/>
      <c r="ID56" s="150">
        <f t="shared" si="173"/>
        <v>0</v>
      </c>
      <c r="IE56" s="714"/>
      <c r="IF56" s="205"/>
      <c r="IG56" s="718"/>
      <c r="IH56" s="718"/>
      <c r="II56" s="198"/>
      <c r="IJ56" s="198"/>
      <c r="IK56" s="198"/>
      <c r="IL56" s="198"/>
      <c r="IM56" s="199"/>
      <c r="IN56" s="776"/>
      <c r="IP56" s="1382">
        <f t="shared" si="181"/>
        <v>0</v>
      </c>
      <c r="IQ56" s="714"/>
      <c r="IR56" s="205"/>
      <c r="IS56" s="718"/>
      <c r="IT56" s="718"/>
      <c r="IU56" s="198"/>
      <c r="IV56" s="198"/>
      <c r="IW56" s="198"/>
      <c r="IX56" s="198"/>
      <c r="IY56" s="199"/>
      <c r="IZ56" s="776"/>
      <c r="JD56" s="150"/>
      <c r="JE56" s="714"/>
      <c r="JF56" s="205"/>
      <c r="JG56" s="718"/>
      <c r="JH56" s="718"/>
      <c r="JI56" s="198"/>
      <c r="JJ56" s="198"/>
      <c r="JK56" s="198"/>
      <c r="JL56" s="198"/>
      <c r="JM56" s="199"/>
      <c r="JN56" s="776"/>
      <c r="JP56" s="150"/>
      <c r="JQ56" s="714"/>
      <c r="JR56" s="205"/>
      <c r="JS56" s="718"/>
      <c r="JT56" s="718"/>
      <c r="JU56" s="198"/>
      <c r="JV56" s="198"/>
      <c r="JW56" s="198"/>
      <c r="JX56" s="198"/>
      <c r="JY56" s="199"/>
      <c r="JZ56" s="776"/>
      <c r="KB56" s="714"/>
      <c r="KC56" s="205"/>
      <c r="KD56" s="718"/>
      <c r="KE56" s="718"/>
      <c r="KF56" s="198"/>
      <c r="KG56" s="198"/>
      <c r="KH56" s="198"/>
      <c r="KI56" s="198"/>
      <c r="KJ56" s="199"/>
      <c r="KK56" s="776"/>
      <c r="KN56" s="714"/>
      <c r="KO56" s="205"/>
      <c r="KP56" s="718"/>
      <c r="KQ56" s="718"/>
      <c r="KR56" s="198"/>
      <c r="KS56" s="198"/>
      <c r="KT56" s="198"/>
      <c r="KU56" s="198"/>
      <c r="KV56" s="199"/>
      <c r="KW56" s="1612"/>
    </row>
    <row r="57" spans="9:309" ht="15" x14ac:dyDescent="0.25">
      <c r="O57" s="109"/>
      <c r="P57" s="109"/>
      <c r="Q57" s="109"/>
      <c r="R57" s="109"/>
      <c r="S57" s="150">
        <f t="shared" si="143"/>
        <v>0</v>
      </c>
      <c r="T57" s="116">
        <v>41924</v>
      </c>
      <c r="U57" s="272">
        <v>50</v>
      </c>
      <c r="V57" s="265">
        <f t="shared" si="176"/>
        <v>10306.007092592592</v>
      </c>
      <c r="W57" s="265">
        <v>1301.3895740740741</v>
      </c>
      <c r="X57" s="137">
        <f t="shared" si="144"/>
        <v>188.6</v>
      </c>
      <c r="Y57" s="137">
        <f t="shared" si="145"/>
        <v>1489.99</v>
      </c>
      <c r="Z57" s="137">
        <f t="shared" si="146"/>
        <v>0</v>
      </c>
      <c r="AA57" s="137">
        <f t="shared" si="147"/>
        <v>0</v>
      </c>
      <c r="AB57" s="146" cm="1">
        <f t="array" ref="AB57">+ROUND(IF(AA57&lt;1,interpoler($A$5:$A$24,$B$5:$B$24,(T57-$B$1)),interpoler($C$5:$C$24,$D$5:$D$24,AA57))+$Y$2,6)</f>
        <v>3.0780999999999999E-2</v>
      </c>
      <c r="AC57" s="137">
        <f t="shared" si="148"/>
        <v>0</v>
      </c>
      <c r="AL57" s="221"/>
      <c r="AQ57" s="150">
        <f t="shared" si="149"/>
        <v>0</v>
      </c>
      <c r="AR57" s="310">
        <v>43171</v>
      </c>
      <c r="AS57" s="311">
        <v>59</v>
      </c>
      <c r="AT57" s="312">
        <v>3405.630674</v>
      </c>
      <c r="AU57" s="312">
        <v>762.52491469999995</v>
      </c>
      <c r="AV57" s="313">
        <f t="shared" si="150"/>
        <v>54.4</v>
      </c>
      <c r="AW57" s="137">
        <f t="shared" si="151"/>
        <v>816.92</v>
      </c>
      <c r="AX57" s="137">
        <f t="shared" si="152"/>
        <v>0</v>
      </c>
      <c r="AY57" s="137">
        <f t="shared" si="153"/>
        <v>0</v>
      </c>
      <c r="AZ57" s="146" cm="1">
        <f t="array" ref="AZ57">+ROUND(IF(AY57&lt;1,interpoler($A$5:$A$24,$B$5:$B$24,(AR57-$B$1)),interpoler($C$5:$C$24,$D$5:$D$24,AY57))+$AW$2,5)</f>
        <v>2.9780000000000001E-2</v>
      </c>
      <c r="BA57" s="137">
        <f t="shared" si="154"/>
        <v>0</v>
      </c>
      <c r="BB57" s="221"/>
      <c r="BC57" s="150">
        <f t="shared" si="155"/>
        <v>0</v>
      </c>
      <c r="BD57" s="669">
        <v>44361</v>
      </c>
      <c r="BE57" s="526">
        <v>50</v>
      </c>
      <c r="BF57" s="841">
        <v>7076.59</v>
      </c>
      <c r="BG57" s="835">
        <v>1129.9947647058823</v>
      </c>
      <c r="BH57" s="655">
        <f>+ROUND($BI$1*BF57/4,2)</f>
        <v>85.45</v>
      </c>
      <c r="BI57" s="655">
        <f t="shared" si="156"/>
        <v>1215.44</v>
      </c>
      <c r="BJ57" s="529">
        <f t="shared" si="157"/>
        <v>0</v>
      </c>
      <c r="BK57" s="529">
        <f t="shared" si="158"/>
        <v>0</v>
      </c>
      <c r="BL57" s="530" cm="1">
        <f t="array" ref="BL57">+ROUND(IF(BK57&lt;1,interpoler($A$5:$A$24,$B$5:$B$24,(BD57-$B$1)),interpoler($C$5:$C$24,$D$5:$D$24,BK57))+$BI$2,5)</f>
        <v>3.3279999999999997E-2</v>
      </c>
      <c r="BM57" s="529">
        <f t="shared" si="159"/>
        <v>0</v>
      </c>
      <c r="BN57" s="783"/>
      <c r="BO57" s="280"/>
      <c r="BP57" s="150"/>
      <c r="BQ57" s="116"/>
      <c r="BR57" s="133"/>
      <c r="BS57" s="134"/>
      <c r="BT57" s="134"/>
      <c r="BU57" s="137"/>
      <c r="BV57" s="137"/>
      <c r="BW57" s="137"/>
      <c r="BX57" s="137"/>
      <c r="BY57" s="146"/>
      <c r="BZ57" s="137"/>
      <c r="CB57" s="150">
        <f t="shared" si="160"/>
        <v>21</v>
      </c>
      <c r="CC57" s="1151">
        <v>48023</v>
      </c>
      <c r="CD57" s="205">
        <v>22</v>
      </c>
      <c r="CE57" s="1629">
        <v>29380.169999999995</v>
      </c>
      <c r="CF57" s="1626">
        <v>1944.8</v>
      </c>
      <c r="CG57" s="1632">
        <v>296</v>
      </c>
      <c r="CH57" s="198">
        <f t="shared" si="142"/>
        <v>2240.8000000000002</v>
      </c>
      <c r="CI57" s="198">
        <f t="shared" si="161"/>
        <v>2240.8000000000002</v>
      </c>
      <c r="CJ57" s="762">
        <f t="shared" si="139"/>
        <v>5.2445652173999999</v>
      </c>
      <c r="CK57" s="621" cm="1">
        <f t="array" ref="CK57">ROUND(interpoler(mat_zc,Taux_ZC,CJ57)+$CH$2,5)</f>
        <v>3.6540000000000003E-2</v>
      </c>
      <c r="CL57" s="762">
        <f t="shared" si="174"/>
        <v>1856.3547000000001</v>
      </c>
      <c r="CM57" s="280"/>
      <c r="CN57" s="280"/>
      <c r="CO57" s="280"/>
      <c r="CP57" s="280"/>
      <c r="CQ57" s="280"/>
      <c r="CR57" s="280"/>
      <c r="CS57" s="280"/>
      <c r="CT57" s="280"/>
      <c r="CU57" s="280"/>
      <c r="CV57" s="280"/>
      <c r="CW57" s="280"/>
      <c r="CX57" s="280"/>
      <c r="CY57" s="280"/>
      <c r="FD57" s="109"/>
      <c r="FE57" s="109"/>
      <c r="FF57" s="109"/>
      <c r="FI57" s="109"/>
      <c r="FN57" s="109"/>
      <c r="FP57" s="221"/>
      <c r="FQ57" s="526">
        <f t="shared" si="162"/>
        <v>34</v>
      </c>
      <c r="FR57" s="1152">
        <v>49211</v>
      </c>
      <c r="FS57" s="205"/>
      <c r="FT57" s="1630">
        <v>20635.239999999991</v>
      </c>
      <c r="FU57" s="1627">
        <v>4191.92</v>
      </c>
      <c r="FV57" s="1633">
        <v>181.07</v>
      </c>
      <c r="FW57" s="798">
        <f t="shared" si="163"/>
        <v>4372.99</v>
      </c>
      <c r="FX57" s="798">
        <f t="shared" si="164"/>
        <v>4372.99</v>
      </c>
      <c r="FY57" s="799">
        <f t="shared" si="172"/>
        <v>8.4945652200000001</v>
      </c>
      <c r="FZ57" s="800" cm="1">
        <f t="array" ref="FZ57">+ROUND(IF(FY57&lt;1,interpoler($A$5:$A$24,$B$5:$B$24,(FR57-$B$1)),interpoler(CIH!$K$72:$K$103,CIH!$L$72:$L$103,FY57))+$FV$2,5)</f>
        <v>3.8710000000000001E-2</v>
      </c>
      <c r="GA57" s="798">
        <f t="shared" si="165"/>
        <v>3167.1342199999999</v>
      </c>
      <c r="GB57" s="484"/>
      <c r="GC57" s="522"/>
      <c r="GD57" s="150"/>
      <c r="GE57" s="309"/>
      <c r="GF57" s="211"/>
      <c r="GG57" s="1039"/>
      <c r="GH57" s="296"/>
      <c r="GI57" s="728"/>
      <c r="GJ57" s="198"/>
      <c r="GK57" s="198"/>
      <c r="GL57" s="447"/>
      <c r="GM57" s="199"/>
      <c r="GN57" s="762"/>
      <c r="GO57" s="198"/>
      <c r="GQ57" s="150">
        <f t="shared" si="169"/>
        <v>31</v>
      </c>
      <c r="GR57" s="1151">
        <v>48937</v>
      </c>
      <c r="GS57" s="205">
        <v>32</v>
      </c>
      <c r="GT57" s="1629">
        <v>64726.94000000001</v>
      </c>
      <c r="GU57" s="1626">
        <v>5040.71</v>
      </c>
      <c r="GV57" s="1632">
        <v>501.63</v>
      </c>
      <c r="GW57" s="198">
        <f t="shared" si="170"/>
        <v>5542.34</v>
      </c>
      <c r="GX57" s="198">
        <f t="shared" si="171"/>
        <v>5542.34</v>
      </c>
      <c r="GY57" s="1042">
        <f t="shared" si="175"/>
        <v>7.7445652173999999</v>
      </c>
      <c r="GZ57" s="199" cm="1">
        <f t="array" ref="GZ57">+ROUND(IF(GY57&lt;1,interpoler($A$5:$A$24,$B$5:$B$24,(GR57-$B$1)),interpoler(CIH!$K$72:$K$103,CIH!$L$72:$L$103,GY57))+$GW$2,5)</f>
        <v>3.882E-2</v>
      </c>
      <c r="HA57" s="212">
        <f t="shared" si="180"/>
        <v>4126.6317402888199</v>
      </c>
      <c r="HE57" s="194"/>
      <c r="HF57" s="133"/>
      <c r="HG57" s="134"/>
      <c r="HH57" s="134"/>
      <c r="HI57" s="198"/>
      <c r="HJ57" s="198"/>
      <c r="HK57" s="198"/>
      <c r="HL57" s="198"/>
      <c r="HM57" s="199"/>
      <c r="HN57" s="198"/>
      <c r="HR57" s="150">
        <f t="shared" si="182"/>
        <v>0</v>
      </c>
      <c r="HS57" s="714"/>
      <c r="HT57" s="205"/>
      <c r="HU57" s="718"/>
      <c r="HV57" s="718"/>
      <c r="HW57" s="786"/>
      <c r="HX57" s="198"/>
      <c r="HY57" s="198"/>
      <c r="HZ57" s="198"/>
      <c r="IA57" s="199"/>
      <c r="IB57" s="199"/>
      <c r="ID57" s="150">
        <f t="shared" si="173"/>
        <v>0</v>
      </c>
      <c r="IE57" s="714"/>
      <c r="IF57" s="205"/>
      <c r="IG57" s="718"/>
      <c r="IH57" s="718"/>
      <c r="II57" s="198"/>
      <c r="IJ57" s="198"/>
      <c r="IK57" s="198"/>
      <c r="IL57" s="198"/>
      <c r="IM57" s="199"/>
      <c r="IN57" s="776"/>
      <c r="IP57" s="1382">
        <f t="shared" si="181"/>
        <v>0</v>
      </c>
      <c r="IQ57" s="714"/>
      <c r="IR57" s="205"/>
      <c r="IS57" s="718"/>
      <c r="IT57" s="718"/>
      <c r="IU57" s="198"/>
      <c r="IV57" s="198"/>
      <c r="IW57" s="198"/>
      <c r="IX57" s="198"/>
      <c r="IY57" s="199"/>
      <c r="IZ57" s="776"/>
      <c r="JD57" s="150"/>
      <c r="JE57" s="714"/>
      <c r="JF57" s="205"/>
      <c r="JG57" s="718"/>
      <c r="JH57" s="718"/>
      <c r="JI57" s="198"/>
      <c r="JJ57" s="198"/>
      <c r="JK57" s="198"/>
      <c r="JL57" s="198"/>
      <c r="JM57" s="199"/>
      <c r="JN57" s="776"/>
      <c r="JP57" s="150"/>
      <c r="JQ57" s="714"/>
      <c r="JR57" s="205"/>
      <c r="JS57" s="718"/>
      <c r="JT57" s="718"/>
      <c r="JU57" s="198"/>
      <c r="JV57" s="198"/>
      <c r="JW57" s="198"/>
      <c r="JX57" s="198"/>
      <c r="JY57" s="199"/>
      <c r="JZ57" s="776"/>
      <c r="KB57" s="714"/>
      <c r="KC57" s="205"/>
      <c r="KD57" s="718"/>
      <c r="KE57" s="718"/>
      <c r="KF57" s="198"/>
      <c r="KG57" s="198"/>
      <c r="KH57" s="198"/>
      <c r="KI57" s="198"/>
      <c r="KJ57" s="199"/>
      <c r="KK57" s="776"/>
      <c r="KN57" s="714"/>
      <c r="KO57" s="205"/>
      <c r="KP57" s="718"/>
      <c r="KQ57" s="718"/>
      <c r="KR57" s="198"/>
      <c r="KS57" s="198"/>
      <c r="KT57" s="198"/>
      <c r="KU57" s="198"/>
      <c r="KV57" s="199"/>
      <c r="KW57" s="1612"/>
    </row>
    <row r="58" spans="9:309" ht="15" x14ac:dyDescent="0.25">
      <c r="O58" s="109"/>
      <c r="P58" s="109"/>
      <c r="Q58" s="109"/>
      <c r="R58" s="109"/>
      <c r="S58" s="150">
        <f t="shared" si="143"/>
        <v>0</v>
      </c>
      <c r="T58" s="116">
        <v>42016</v>
      </c>
      <c r="U58" s="272">
        <v>51</v>
      </c>
      <c r="V58" s="265">
        <f t="shared" si="176"/>
        <v>9004.6175185185184</v>
      </c>
      <c r="W58" s="265">
        <v>1180.7605462962963</v>
      </c>
      <c r="X58" s="137">
        <f t="shared" si="144"/>
        <v>164.78</v>
      </c>
      <c r="Y58" s="137">
        <f t="shared" si="145"/>
        <v>1345.54</v>
      </c>
      <c r="Z58" s="137">
        <f t="shared" si="146"/>
        <v>0</v>
      </c>
      <c r="AA58" s="137">
        <f t="shared" si="147"/>
        <v>0</v>
      </c>
      <c r="AB58" s="146" cm="1">
        <f t="array" ref="AB58">+ROUND(IF(AA58&lt;1,interpoler($A$5:$A$24,$B$5:$B$24,(T58-$B$1)),interpoler($C$5:$C$24,$D$5:$D$24,AA58))+$Y$2,6)</f>
        <v>3.0780999999999999E-2</v>
      </c>
      <c r="AC58" s="137">
        <f t="shared" si="148"/>
        <v>0</v>
      </c>
      <c r="AQ58" s="150">
        <f t="shared" si="149"/>
        <v>0</v>
      </c>
      <c r="AR58" s="310">
        <v>43263</v>
      </c>
      <c r="AS58" s="311">
        <v>60</v>
      </c>
      <c r="AT58" s="312">
        <v>2643.1057599999999</v>
      </c>
      <c r="AU58" s="312">
        <v>695.34671830000002</v>
      </c>
      <c r="AV58" s="313">
        <f t="shared" si="150"/>
        <v>42.22</v>
      </c>
      <c r="AW58" s="137">
        <f t="shared" si="151"/>
        <v>737.57</v>
      </c>
      <c r="AX58" s="137">
        <f t="shared" si="152"/>
        <v>0</v>
      </c>
      <c r="AY58" s="137">
        <f t="shared" si="153"/>
        <v>0</v>
      </c>
      <c r="AZ58" s="146" cm="1">
        <f t="array" ref="AZ58">+ROUND(IF(AY58&lt;1,interpoler($A$5:$A$24,$B$5:$B$24,(AR58-$B$1)),interpoler($C$5:$C$24,$D$5:$D$24,AY58))+$AW$2,5)</f>
        <v>2.9780000000000001E-2</v>
      </c>
      <c r="BA58" s="137">
        <f t="shared" si="154"/>
        <v>0</v>
      </c>
      <c r="BB58" s="221"/>
      <c r="BC58" s="150">
        <f t="shared" si="155"/>
        <v>0</v>
      </c>
      <c r="BD58" s="669">
        <v>44453</v>
      </c>
      <c r="BE58" s="526">
        <v>51</v>
      </c>
      <c r="BF58" s="854">
        <v>5299.37</v>
      </c>
      <c r="BG58" s="835">
        <v>982.85</v>
      </c>
      <c r="BH58" s="529">
        <f>+ROUND($BI$1*BF58/4,2)</f>
        <v>63.99</v>
      </c>
      <c r="BI58" s="655">
        <f t="shared" si="156"/>
        <v>1046.8399999999999</v>
      </c>
      <c r="BJ58" s="529">
        <f t="shared" si="157"/>
        <v>0</v>
      </c>
      <c r="BK58" s="529">
        <f t="shared" si="158"/>
        <v>0</v>
      </c>
      <c r="BL58" s="530" cm="1">
        <f t="array" ref="BL58">+ROUND(IF(BK58&lt;1,interpoler($A$5:$A$24,$B$5:$B$24,(BD58-$B$1)),interpoler($C$5:$C$24,$D$5:$D$24,BK58))+$BI$2,5)</f>
        <v>3.3279999999999997E-2</v>
      </c>
      <c r="BM58" s="855">
        <f t="shared" si="159"/>
        <v>0</v>
      </c>
      <c r="BN58" s="783"/>
      <c r="BO58" s="280"/>
      <c r="BP58" s="150"/>
      <c r="BQ58" s="116"/>
      <c r="BR58" s="133"/>
      <c r="BS58" s="134"/>
      <c r="BT58" s="134"/>
      <c r="BU58" s="137"/>
      <c r="BV58" s="137"/>
      <c r="BW58" s="137"/>
      <c r="BX58" s="137"/>
      <c r="BY58" s="146"/>
      <c r="BZ58" s="137"/>
      <c r="CB58" s="150">
        <f t="shared" si="160"/>
        <v>22</v>
      </c>
      <c r="CC58" s="1152">
        <v>48115</v>
      </c>
      <c r="CD58" s="205">
        <v>23</v>
      </c>
      <c r="CE58" s="1630">
        <v>27435.369999999995</v>
      </c>
      <c r="CF58" s="1627">
        <v>1929</v>
      </c>
      <c r="CG58" s="1633">
        <v>276.41000000000003</v>
      </c>
      <c r="CH58" s="198">
        <f t="shared" si="142"/>
        <v>2205.41</v>
      </c>
      <c r="CI58" s="198">
        <f t="shared" si="161"/>
        <v>2205.41</v>
      </c>
      <c r="CJ58" s="762">
        <f t="shared" si="139"/>
        <v>5.4945652173999999</v>
      </c>
      <c r="CK58" s="621" cm="1">
        <f t="array" ref="CK58">ROUND(interpoler(mat_zc,Taux_ZC,CJ58)+$CH$2,5)</f>
        <v>3.6670000000000001E-2</v>
      </c>
      <c r="CL58" s="762">
        <f t="shared" si="174"/>
        <v>1809.4702</v>
      </c>
      <c r="CM58" s="280"/>
      <c r="CN58" s="280"/>
      <c r="CO58" s="280"/>
      <c r="CP58" s="280"/>
      <c r="CQ58" s="280"/>
      <c r="CR58" s="280"/>
      <c r="CS58" s="280"/>
      <c r="CT58" s="280"/>
      <c r="CU58" s="280"/>
      <c r="CV58" s="280"/>
      <c r="CW58" s="280"/>
      <c r="CX58" s="280"/>
      <c r="CY58" s="280"/>
      <c r="FD58" s="109"/>
      <c r="FE58" s="109"/>
      <c r="FF58" s="109"/>
      <c r="FI58" s="109"/>
      <c r="FN58" s="109"/>
      <c r="FP58" s="221"/>
      <c r="FQ58" s="526">
        <f t="shared" si="162"/>
        <v>35</v>
      </c>
      <c r="FR58" s="1151">
        <v>49302</v>
      </c>
      <c r="FS58" s="205"/>
      <c r="FT58" s="1629">
        <v>16443.319999999992</v>
      </c>
      <c r="FU58" s="1626">
        <v>4067.25</v>
      </c>
      <c r="FV58" s="1632">
        <v>144.29</v>
      </c>
      <c r="FW58" s="798">
        <f t="shared" si="163"/>
        <v>4211.54</v>
      </c>
      <c r="FX58" s="798">
        <f t="shared" si="164"/>
        <v>4211.54</v>
      </c>
      <c r="FY58" s="799">
        <f t="shared" si="172"/>
        <v>8.7445652200000001</v>
      </c>
      <c r="FZ58" s="800" cm="1">
        <f t="array" ref="FZ58">+ROUND(IF(FY58&lt;1,interpoler($A$5:$A$24,$B$5:$B$24,(FR58-$B$1)),interpoler(CIH!$K$72:$K$103,CIH!$L$72:$L$103,FY58))+$FV$2,5)</f>
        <v>3.884E-2</v>
      </c>
      <c r="GA58" s="798">
        <f t="shared" si="165"/>
        <v>3018.0752400000001</v>
      </c>
      <c r="GB58" s="484"/>
      <c r="GC58" s="522"/>
      <c r="GD58" s="150"/>
      <c r="GE58" s="309"/>
      <c r="GF58" s="211"/>
      <c r="GG58" s="1039">
        <v>0</v>
      </c>
      <c r="GH58" s="296">
        <v>0</v>
      </c>
      <c r="GI58" s="728">
        <v>0</v>
      </c>
      <c r="GJ58" s="198"/>
      <c r="GK58" s="198"/>
      <c r="GL58" s="198"/>
      <c r="GM58" s="199"/>
      <c r="GN58" s="198"/>
      <c r="GO58" s="198"/>
      <c r="GQ58" s="150">
        <f t="shared" si="169"/>
        <v>32</v>
      </c>
      <c r="GR58" s="1152">
        <v>49027</v>
      </c>
      <c r="GS58" s="205">
        <v>33</v>
      </c>
      <c r="GT58" s="1630">
        <v>59686.23000000001</v>
      </c>
      <c r="GU58" s="1627">
        <v>4963.8999999999996</v>
      </c>
      <c r="GV58" s="1633">
        <v>462.56</v>
      </c>
      <c r="GW58" s="198">
        <f t="shared" si="170"/>
        <v>5426.46</v>
      </c>
      <c r="GX58" s="198">
        <f t="shared" si="171"/>
        <v>5426.46</v>
      </c>
      <c r="GY58" s="1042">
        <f t="shared" si="175"/>
        <v>7.9945652173999999</v>
      </c>
      <c r="GZ58" s="199" cm="1">
        <f t="array" ref="GZ58">+ROUND(IF(GY58&lt;1,interpoler($A$5:$A$24,$B$5:$B$24,(GR58-$B$1)),interpoler(CIH!$K$72:$K$103,CIH!$L$72:$L$103,GY58))+$GW$2,5)</f>
        <v>3.8949999999999999E-2</v>
      </c>
      <c r="HA58" s="212">
        <f t="shared" si="180"/>
        <v>3998.0628318315098</v>
      </c>
      <c r="HE58" s="194"/>
      <c r="HF58" s="133"/>
      <c r="HG58" s="134"/>
      <c r="HH58" s="134"/>
      <c r="HI58" s="198"/>
      <c r="HJ58" s="198"/>
      <c r="HK58" s="198"/>
      <c r="HL58" s="198"/>
      <c r="HM58" s="199"/>
      <c r="HN58" s="198"/>
      <c r="HR58" s="150">
        <f t="shared" si="182"/>
        <v>0</v>
      </c>
      <c r="HS58" s="714"/>
      <c r="HT58" s="205"/>
      <c r="HU58" s="718"/>
      <c r="HV58" s="718"/>
      <c r="HW58" s="786"/>
      <c r="HX58" s="198"/>
      <c r="HY58" s="198"/>
      <c r="HZ58" s="198"/>
      <c r="IA58" s="199"/>
      <c r="IB58" s="199"/>
      <c r="ID58" s="150">
        <f t="shared" si="173"/>
        <v>0</v>
      </c>
      <c r="IE58" s="714"/>
      <c r="IF58" s="205"/>
      <c r="IG58" s="718"/>
      <c r="IH58" s="718"/>
      <c r="II58" s="198"/>
      <c r="IJ58" s="198"/>
      <c r="IK58" s="198"/>
      <c r="IL58" s="198"/>
      <c r="IM58" s="199"/>
      <c r="IN58" s="776"/>
      <c r="IP58" s="1382">
        <f t="shared" si="181"/>
        <v>0</v>
      </c>
      <c r="IQ58" s="714"/>
      <c r="IR58" s="205"/>
      <c r="IS58" s="718"/>
      <c r="IT58" s="718"/>
      <c r="IU58" s="198"/>
      <c r="IV58" s="198"/>
      <c r="IW58" s="198"/>
      <c r="IX58" s="198"/>
      <c r="IY58" s="199"/>
      <c r="IZ58" s="776"/>
      <c r="JD58" s="150"/>
      <c r="JE58" s="714"/>
      <c r="JF58" s="205"/>
      <c r="JG58" s="718"/>
      <c r="JH58" s="718"/>
      <c r="JI58" s="198"/>
      <c r="JJ58" s="198"/>
      <c r="JK58" s="198"/>
      <c r="JL58" s="198"/>
      <c r="JM58" s="199"/>
      <c r="JN58" s="776"/>
      <c r="JP58" s="150"/>
      <c r="JQ58" s="714"/>
      <c r="JR58" s="205"/>
      <c r="JS58" s="718"/>
      <c r="JT58" s="718"/>
      <c r="JU58" s="198"/>
      <c r="JV58" s="198"/>
      <c r="JW58" s="198"/>
      <c r="JX58" s="198"/>
      <c r="JY58" s="199"/>
      <c r="JZ58" s="776"/>
      <c r="KB58" s="714"/>
      <c r="KC58" s="205"/>
      <c r="KD58" s="718"/>
      <c r="KE58" s="718"/>
      <c r="KF58" s="198"/>
      <c r="KG58" s="198"/>
      <c r="KH58" s="198"/>
      <c r="KI58" s="198"/>
      <c r="KJ58" s="199"/>
      <c r="KK58" s="776"/>
      <c r="KN58" s="714"/>
      <c r="KO58" s="205"/>
      <c r="KP58" s="718"/>
      <c r="KQ58" s="718"/>
      <c r="KR58" s="198"/>
      <c r="KS58" s="198"/>
      <c r="KT58" s="198"/>
      <c r="KU58" s="198"/>
      <c r="KV58" s="199"/>
      <c r="KW58" s="1612"/>
    </row>
    <row r="59" spans="9:309" ht="15.75" thickBot="1" x14ac:dyDescent="0.3">
      <c r="O59" s="109"/>
      <c r="P59" s="109"/>
      <c r="Q59" s="109"/>
      <c r="R59" s="109"/>
      <c r="S59" s="150">
        <f t="shared" si="143"/>
        <v>0</v>
      </c>
      <c r="T59" s="116">
        <v>42106</v>
      </c>
      <c r="U59" s="273">
        <v>52</v>
      </c>
      <c r="V59" s="265">
        <f t="shared" si="176"/>
        <v>7823.8569722222219</v>
      </c>
      <c r="W59" s="266">
        <v>1090.6003611111109</v>
      </c>
      <c r="X59" s="137">
        <f t="shared" si="144"/>
        <v>143.18</v>
      </c>
      <c r="Y59" s="137">
        <f t="shared" si="145"/>
        <v>1233.78</v>
      </c>
      <c r="Z59" s="137">
        <f t="shared" si="146"/>
        <v>0</v>
      </c>
      <c r="AA59" s="137">
        <f t="shared" si="147"/>
        <v>0</v>
      </c>
      <c r="AB59" s="146" cm="1">
        <f t="array" ref="AB59">+ROUND(IF(AA59&lt;1,interpoler($A$5:$A$24,$B$5:$B$24,(T59-$B$1)),interpoler($C$5:$C$24,$D$5:$D$24,AA59))+$Y$2,6)</f>
        <v>3.0780999999999999E-2</v>
      </c>
      <c r="AC59" s="137">
        <f t="shared" si="148"/>
        <v>0</v>
      </c>
      <c r="AQ59" s="150">
        <f t="shared" si="149"/>
        <v>0</v>
      </c>
      <c r="AR59" s="310">
        <v>43355</v>
      </c>
      <c r="AS59" s="311">
        <v>61</v>
      </c>
      <c r="AT59" s="312">
        <v>1947.759041</v>
      </c>
      <c r="AU59" s="312">
        <v>625.69115250000004</v>
      </c>
      <c r="AV59" s="313">
        <f t="shared" si="150"/>
        <v>31.12</v>
      </c>
      <c r="AW59" s="137">
        <f t="shared" si="151"/>
        <v>656.81</v>
      </c>
      <c r="AX59" s="137">
        <f t="shared" si="152"/>
        <v>0</v>
      </c>
      <c r="AY59" s="137">
        <f t="shared" si="153"/>
        <v>0</v>
      </c>
      <c r="AZ59" s="146" cm="1">
        <f t="array" ref="AZ59">+ROUND(IF(AY59&lt;1,interpoler($A$5:$A$24,$B$5:$B$24,(AR59-$B$1)),interpoler($C$5:$C$24,$D$5:$D$24,AY59))+$AW$2,5)</f>
        <v>2.9780000000000001E-2</v>
      </c>
      <c r="BA59" s="137">
        <f t="shared" si="154"/>
        <v>0</v>
      </c>
      <c r="BB59" s="221"/>
      <c r="BC59" s="150">
        <f t="shared" si="155"/>
        <v>0</v>
      </c>
      <c r="BD59" s="669">
        <v>44544</v>
      </c>
      <c r="BE59" s="526">
        <v>52</v>
      </c>
      <c r="BF59" s="854">
        <v>4316.5200000000004</v>
      </c>
      <c r="BG59" s="835">
        <v>974.72</v>
      </c>
      <c r="BH59" s="529">
        <f>+ROUND($BI$1*BF59/4,2)</f>
        <v>52.12</v>
      </c>
      <c r="BI59" s="655">
        <f t="shared" si="156"/>
        <v>1026.8399999999999</v>
      </c>
      <c r="BJ59" s="529">
        <f t="shared" si="157"/>
        <v>0</v>
      </c>
      <c r="BK59" s="529">
        <f t="shared" si="158"/>
        <v>0</v>
      </c>
      <c r="BL59" s="530" cm="1">
        <f t="array" ref="BL59">+ROUND(IF(BK59&lt;1,interpoler($A$5:$A$24,$B$5:$B$24,(BD59-$B$1)),interpoler($C$5:$C$24,$D$5:$D$24,BK59))+$BI$2,5)</f>
        <v>3.3279999999999997E-2</v>
      </c>
      <c r="BM59" s="855">
        <f t="shared" si="159"/>
        <v>0</v>
      </c>
      <c r="BN59" s="783"/>
      <c r="BO59" s="280"/>
      <c r="BP59" s="150"/>
      <c r="BQ59" s="116"/>
      <c r="BR59" s="133"/>
      <c r="BS59" s="134"/>
      <c r="BT59" s="134"/>
      <c r="BU59" s="137"/>
      <c r="BV59" s="137"/>
      <c r="BW59" s="137"/>
      <c r="BX59" s="137"/>
      <c r="BY59" s="146"/>
      <c r="BZ59" s="137"/>
      <c r="CB59" s="150">
        <f t="shared" si="160"/>
        <v>23</v>
      </c>
      <c r="CC59" s="1151">
        <v>48206</v>
      </c>
      <c r="CD59" s="205">
        <v>24</v>
      </c>
      <c r="CE59" s="1629">
        <v>25506.369999999995</v>
      </c>
      <c r="CF59" s="1626">
        <v>1922.71</v>
      </c>
      <c r="CG59" s="1632">
        <v>256.97000000000003</v>
      </c>
      <c r="CH59" s="198">
        <f t="shared" si="142"/>
        <v>2179.6799999999998</v>
      </c>
      <c r="CI59" s="198">
        <f t="shared" si="161"/>
        <v>2179.6799999999998</v>
      </c>
      <c r="CJ59" s="762">
        <f t="shared" si="139"/>
        <v>5.7445652173999999</v>
      </c>
      <c r="CK59" s="621" cm="1">
        <f t="array" ref="CK59">ROUND(interpoler(mat_zc,Taux_ZC,CJ59)+$CH$2,5)</f>
        <v>3.6799999999999999E-2</v>
      </c>
      <c r="CL59" s="762">
        <f t="shared" si="174"/>
        <v>1771.0542</v>
      </c>
      <c r="CM59" s="280"/>
      <c r="CN59" s="280"/>
      <c r="CO59" s="280"/>
      <c r="CP59" s="280"/>
      <c r="CQ59" s="280"/>
      <c r="CR59" s="280"/>
      <c r="CS59" s="280"/>
      <c r="CT59" s="280"/>
      <c r="CU59" s="280"/>
      <c r="CV59" s="280"/>
      <c r="CW59" s="280"/>
      <c r="CX59" s="280"/>
      <c r="CY59" s="280"/>
      <c r="FD59" s="109"/>
      <c r="FE59" s="109"/>
      <c r="FF59" s="109"/>
      <c r="FI59" s="109"/>
      <c r="FN59" s="109"/>
      <c r="FP59" s="221"/>
      <c r="FQ59" s="526">
        <f t="shared" si="162"/>
        <v>36</v>
      </c>
      <c r="FR59" s="1152">
        <v>49392</v>
      </c>
      <c r="FS59" s="205"/>
      <c r="FT59" s="1630">
        <v>12376.069999999992</v>
      </c>
      <c r="FU59" s="1627">
        <v>3955.95</v>
      </c>
      <c r="FV59" s="1633">
        <v>108.6</v>
      </c>
      <c r="FW59" s="798">
        <f t="shared" si="163"/>
        <v>4064.55</v>
      </c>
      <c r="FX59" s="798">
        <f t="shared" si="164"/>
        <v>4064.55</v>
      </c>
      <c r="FY59" s="799">
        <f t="shared" si="172"/>
        <v>8.9945652200000001</v>
      </c>
      <c r="FZ59" s="800" cm="1">
        <f t="array" ref="FZ59">+ROUND(IF(FY59&lt;1,interpoler($A$5:$A$24,$B$5:$B$24,(FR59-$B$1)),interpoler(CIH!$K$72:$K$103,CIH!$L$72:$L$103,FY59))+$FV$2,5)</f>
        <v>3.8969999999999998E-2</v>
      </c>
      <c r="GA59" s="798">
        <f t="shared" si="165"/>
        <v>2881.8782900000001</v>
      </c>
      <c r="GB59" s="484"/>
      <c r="GC59" s="522"/>
      <c r="GD59" s="150"/>
      <c r="GE59" s="828"/>
      <c r="GF59" s="211"/>
      <c r="GG59" s="1039">
        <v>0</v>
      </c>
      <c r="GH59" s="296">
        <v>0</v>
      </c>
      <c r="GI59" s="728">
        <v>0</v>
      </c>
      <c r="GJ59" s="198"/>
      <c r="GK59" s="198"/>
      <c r="GL59" s="198"/>
      <c r="GM59" s="199"/>
      <c r="GN59" s="198"/>
      <c r="GO59" s="198"/>
      <c r="GQ59" s="150">
        <f t="shared" si="169"/>
        <v>33</v>
      </c>
      <c r="GR59" s="1151">
        <v>49119</v>
      </c>
      <c r="GS59" s="205">
        <v>34</v>
      </c>
      <c r="GT59" s="1629">
        <v>54722.330000000009</v>
      </c>
      <c r="GU59" s="1626">
        <v>4888.03</v>
      </c>
      <c r="GV59" s="1632">
        <v>424.09</v>
      </c>
      <c r="GW59" s="198">
        <f t="shared" si="170"/>
        <v>5312.12</v>
      </c>
      <c r="GX59" s="198">
        <f t="shared" si="171"/>
        <v>5312.12</v>
      </c>
      <c r="GY59" s="1042">
        <f t="shared" si="175"/>
        <v>8.2445652173999999</v>
      </c>
      <c r="GZ59" s="199" cm="1">
        <f t="array" ref="GZ59">+ROUND(IF(GY59&lt;1,interpoler($A$5:$A$24,$B$5:$B$24,(GR59-$B$1)),interpoler(CIH!$K$72:$K$103,CIH!$L$72:$L$103,GY59))+$GW$2,5)</f>
        <v>3.9079999999999997E-2</v>
      </c>
      <c r="HA59" s="212">
        <f t="shared" si="180"/>
        <v>3872.6141572122701</v>
      </c>
      <c r="HE59" s="194"/>
      <c r="HF59" s="133"/>
      <c r="HG59" s="134"/>
      <c r="HH59" s="134"/>
      <c r="HI59" s="198"/>
      <c r="HJ59" s="198"/>
      <c r="HK59" s="198"/>
      <c r="HL59" s="198"/>
      <c r="HM59" s="199"/>
      <c r="HN59" s="198"/>
      <c r="HR59" s="150">
        <f t="shared" si="182"/>
        <v>0</v>
      </c>
      <c r="HS59" s="714"/>
      <c r="HT59" s="205"/>
      <c r="HU59" s="718"/>
      <c r="HV59" s="718"/>
      <c r="HW59" s="786"/>
      <c r="HX59" s="198"/>
      <c r="HY59" s="198"/>
      <c r="HZ59" s="198"/>
      <c r="IA59" s="199"/>
      <c r="IB59" s="199"/>
      <c r="ID59" s="150">
        <f t="shared" si="173"/>
        <v>0</v>
      </c>
      <c r="IE59" s="714"/>
      <c r="IF59" s="205"/>
      <c r="IG59" s="718"/>
      <c r="IH59" s="718"/>
      <c r="II59" s="198"/>
      <c r="IJ59" s="198"/>
      <c r="IK59" s="198"/>
      <c r="IL59" s="198"/>
      <c r="IM59" s="199"/>
      <c r="IN59" s="776"/>
      <c r="IP59" s="1382">
        <f t="shared" si="181"/>
        <v>0</v>
      </c>
      <c r="IQ59" s="714"/>
      <c r="IR59" s="205"/>
      <c r="IS59" s="718"/>
      <c r="IT59" s="718"/>
      <c r="IU59" s="198"/>
      <c r="IV59" s="198"/>
      <c r="IW59" s="198"/>
      <c r="IX59" s="198"/>
      <c r="IY59" s="199"/>
      <c r="IZ59" s="776"/>
      <c r="JD59" s="150"/>
      <c r="JE59" s="714"/>
      <c r="JF59" s="205"/>
      <c r="JG59" s="718"/>
      <c r="JH59" s="718"/>
      <c r="JI59" s="198"/>
      <c r="JJ59" s="198"/>
      <c r="JK59" s="198"/>
      <c r="JL59" s="198"/>
      <c r="JM59" s="199"/>
      <c r="JN59" s="776"/>
      <c r="JP59" s="150"/>
      <c r="JQ59" s="714"/>
      <c r="JR59" s="205"/>
      <c r="JS59" s="718"/>
      <c r="JT59" s="718"/>
      <c r="JU59" s="198"/>
      <c r="JV59" s="198"/>
      <c r="JW59" s="198"/>
      <c r="JX59" s="198"/>
      <c r="JY59" s="199"/>
      <c r="JZ59" s="776"/>
      <c r="KB59" s="714"/>
      <c r="KC59" s="205"/>
      <c r="KD59" s="718"/>
      <c r="KE59" s="718"/>
      <c r="KF59" s="198"/>
      <c r="KG59" s="198"/>
      <c r="KH59" s="198"/>
      <c r="KI59" s="198"/>
      <c r="KJ59" s="199"/>
      <c r="KK59" s="776"/>
      <c r="KN59" s="714"/>
      <c r="KO59" s="205"/>
      <c r="KP59" s="718"/>
      <c r="KQ59" s="718"/>
      <c r="KR59" s="198"/>
      <c r="KS59" s="198"/>
      <c r="KT59" s="198"/>
      <c r="KU59" s="198"/>
      <c r="KV59" s="199"/>
      <c r="KW59" s="1612"/>
    </row>
    <row r="60" spans="9:309" ht="15" x14ac:dyDescent="0.25">
      <c r="O60" s="109"/>
      <c r="P60" s="109"/>
      <c r="Q60" s="109"/>
      <c r="R60" s="109"/>
      <c r="S60" s="150">
        <f t="shared" si="143"/>
        <v>0</v>
      </c>
      <c r="T60" s="116">
        <v>42197</v>
      </c>
      <c r="U60" s="272">
        <v>53</v>
      </c>
      <c r="V60" s="265">
        <f t="shared" si="176"/>
        <v>6733.2566111111109</v>
      </c>
      <c r="W60" s="264">
        <v>995.24849999999992</v>
      </c>
      <c r="X60" s="137">
        <f t="shared" si="144"/>
        <v>123.22</v>
      </c>
      <c r="Y60" s="137">
        <f t="shared" si="145"/>
        <v>1118.47</v>
      </c>
      <c r="Z60" s="137">
        <f t="shared" si="146"/>
        <v>0</v>
      </c>
      <c r="AA60" s="137">
        <f t="shared" si="147"/>
        <v>0</v>
      </c>
      <c r="AB60" s="146" cm="1">
        <f t="array" ref="AB60">+ROUND(IF(AA60&lt;1,interpoler($A$5:$A$24,$B$5:$B$24,(T60-$B$1)),interpoler($C$5:$C$24,$D$5:$D$24,AA60))+$Y$2,6)</f>
        <v>3.0780999999999999E-2</v>
      </c>
      <c r="AC60" s="137">
        <f t="shared" si="148"/>
        <v>0</v>
      </c>
      <c r="AQ60" s="150">
        <f t="shared" si="149"/>
        <v>0</v>
      </c>
      <c r="AR60" s="310">
        <v>43446</v>
      </c>
      <c r="AS60" s="311">
        <v>62</v>
      </c>
      <c r="AT60" s="312">
        <v>1322.0678889999999</v>
      </c>
      <c r="AU60" s="312">
        <v>497.00199479999998</v>
      </c>
      <c r="AV60" s="313">
        <f t="shared" si="150"/>
        <v>21.12</v>
      </c>
      <c r="AW60" s="137">
        <f t="shared" si="151"/>
        <v>518.12</v>
      </c>
      <c r="AX60" s="137">
        <f t="shared" si="152"/>
        <v>0</v>
      </c>
      <c r="AY60" s="137">
        <f t="shared" si="153"/>
        <v>0</v>
      </c>
      <c r="AZ60" s="146" cm="1">
        <f t="array" ref="AZ60">+ROUND(IF(AY60&lt;1,interpoler($A$5:$A$24,$B$5:$B$24,(AR60-$B$1)),interpoler($C$5:$C$24,$D$5:$D$24,AY60))+$AW$2,5)</f>
        <v>2.9780000000000001E-2</v>
      </c>
      <c r="BA60" s="137">
        <f t="shared" si="154"/>
        <v>0</v>
      </c>
      <c r="BB60" s="221"/>
      <c r="BC60" s="150">
        <f t="shared" si="155"/>
        <v>0</v>
      </c>
      <c r="BD60" s="669">
        <v>44634</v>
      </c>
      <c r="BE60" s="526">
        <v>53</v>
      </c>
      <c r="BF60" s="854">
        <v>3263.96</v>
      </c>
      <c r="BG60" s="835">
        <v>907.97</v>
      </c>
      <c r="BH60" s="529">
        <v>39.409999999999997</v>
      </c>
      <c r="BI60" s="655">
        <f t="shared" si="156"/>
        <v>947.38</v>
      </c>
      <c r="BJ60" s="529">
        <f t="shared" si="157"/>
        <v>0</v>
      </c>
      <c r="BK60" s="529">
        <f t="shared" si="158"/>
        <v>0</v>
      </c>
      <c r="BL60" s="530" cm="1">
        <f t="array" ref="BL60">+ROUND(IF(BK60&lt;1,interpoler($A$5:$A$24,$B$5:$B$24,(BD60-$B$1)),interpoler($C$5:$C$24,$D$5:$D$24,BK60))+$BI$2,5)</f>
        <v>3.3279999999999997E-2</v>
      </c>
      <c r="BM60" s="855">
        <f t="shared" si="159"/>
        <v>0</v>
      </c>
      <c r="BN60" s="783"/>
      <c r="BO60" s="280"/>
      <c r="BP60" s="150"/>
      <c r="BQ60" s="116"/>
      <c r="BR60" s="133"/>
      <c r="BS60" s="134"/>
      <c r="BT60" s="134"/>
      <c r="BU60" s="137"/>
      <c r="BV60" s="137"/>
      <c r="BW60" s="137"/>
      <c r="BX60" s="137"/>
      <c r="BY60" s="146"/>
      <c r="BZ60" s="137"/>
      <c r="CB60" s="150">
        <f t="shared" si="160"/>
        <v>24</v>
      </c>
      <c r="CC60" s="1152">
        <v>48297</v>
      </c>
      <c r="CD60" s="205">
        <v>25</v>
      </c>
      <c r="CE60" s="1630">
        <v>23583.659999999996</v>
      </c>
      <c r="CF60" s="1627">
        <v>1901.76</v>
      </c>
      <c r="CG60" s="1633">
        <v>237.6</v>
      </c>
      <c r="CH60" s="198">
        <f t="shared" si="142"/>
        <v>2139.36</v>
      </c>
      <c r="CI60" s="198">
        <f t="shared" si="161"/>
        <v>2139.36</v>
      </c>
      <c r="CJ60" s="762">
        <f t="shared" si="139"/>
        <v>5.9945652173999999</v>
      </c>
      <c r="CK60" s="621" cm="1">
        <f t="array" ref="CK60">ROUND(interpoler(mat_zc,Taux_ZC,CJ60)+$CH$2,5)</f>
        <v>3.6929999999999998E-2</v>
      </c>
      <c r="CL60" s="762">
        <f t="shared" si="174"/>
        <v>1721.3643999999999</v>
      </c>
      <c r="CM60" s="280"/>
      <c r="CN60" s="280"/>
      <c r="CO60" s="280"/>
      <c r="CP60" s="280"/>
      <c r="CQ60" s="280"/>
      <c r="CR60" s="280"/>
      <c r="CS60" s="280"/>
      <c r="CT60" s="280"/>
      <c r="CU60" s="280"/>
      <c r="CV60" s="280"/>
      <c r="CW60" s="280"/>
      <c r="CX60" s="280"/>
      <c r="CY60" s="280"/>
      <c r="FD60" s="109"/>
      <c r="FE60" s="109"/>
      <c r="FF60" s="109"/>
      <c r="FI60" s="109"/>
      <c r="FN60" s="109"/>
      <c r="FP60" s="221"/>
      <c r="FQ60" s="526">
        <f t="shared" si="162"/>
        <v>37</v>
      </c>
      <c r="FR60" s="1151">
        <v>49484</v>
      </c>
      <c r="FS60" s="205"/>
      <c r="FT60" s="1629">
        <v>8420.1199999999917</v>
      </c>
      <c r="FU60" s="1626">
        <v>3784.49</v>
      </c>
      <c r="FV60" s="1632">
        <v>73.88</v>
      </c>
      <c r="FW60" s="798">
        <f t="shared" si="163"/>
        <v>3858.37</v>
      </c>
      <c r="FX60" s="798">
        <f t="shared" si="164"/>
        <v>3858.37</v>
      </c>
      <c r="FY60" s="799">
        <f t="shared" si="172"/>
        <v>9.2445652200000001</v>
      </c>
      <c r="FZ60" s="800" cm="1">
        <f t="array" ref="FZ60">+ROUND(IF(FY60&lt;1,interpoler($A$5:$A$24,$B$5:$B$24,(FR60-$B$1)),interpoler(CIH!$K$72:$K$103,CIH!$L$72:$L$103,FY60))+$FV$2,5)</f>
        <v>3.9120000000000002E-2</v>
      </c>
      <c r="GA60" s="798">
        <f t="shared" si="165"/>
        <v>2706.0554200000001</v>
      </c>
      <c r="GB60" s="484"/>
      <c r="GC60" s="522"/>
      <c r="GD60" s="150"/>
      <c r="GE60" s="309"/>
      <c r="GF60" s="211"/>
      <c r="GG60" s="1039">
        <v>0</v>
      </c>
      <c r="GH60" s="296">
        <v>0</v>
      </c>
      <c r="GI60" s="728">
        <v>0</v>
      </c>
      <c r="GJ60" s="198"/>
      <c r="GK60" s="198"/>
      <c r="GL60" s="198"/>
      <c r="GM60" s="199"/>
      <c r="GN60" s="198"/>
      <c r="GO60" s="198"/>
      <c r="GQ60" s="150">
        <f t="shared" si="169"/>
        <v>34</v>
      </c>
      <c r="GR60" s="1152">
        <v>49211</v>
      </c>
      <c r="GS60" s="205">
        <v>35</v>
      </c>
      <c r="GT60" s="1630">
        <v>49834.30000000001</v>
      </c>
      <c r="GU60" s="1627">
        <v>4794.1499999999996</v>
      </c>
      <c r="GV60" s="1633">
        <v>386.21</v>
      </c>
      <c r="GW60" s="198">
        <f t="shared" si="170"/>
        <v>5180.3599999999997</v>
      </c>
      <c r="GX60" s="198">
        <f t="shared" si="171"/>
        <v>5180.3599999999997</v>
      </c>
      <c r="GY60" s="1042">
        <f t="shared" si="175"/>
        <v>8.4945652173999999</v>
      </c>
      <c r="GZ60" s="199" cm="1">
        <f t="array" ref="GZ60">+ROUND(IF(GY60&lt;1,interpoler($A$5:$A$24,$B$5:$B$24,(GR60-$B$1)),interpoler(CIH!$K$72:$K$103,CIH!$L$72:$L$103,GY60))+$GW$2,5)</f>
        <v>3.9210000000000002E-2</v>
      </c>
      <c r="HA60" s="212">
        <f t="shared" si="180"/>
        <v>3736.56485199998</v>
      </c>
      <c r="HE60" s="194"/>
      <c r="HF60" s="133"/>
      <c r="HG60" s="134"/>
      <c r="HH60" s="134"/>
      <c r="HI60" s="198"/>
      <c r="HJ60" s="198"/>
      <c r="HK60" s="198"/>
      <c r="HL60" s="198"/>
      <c r="HM60" s="199"/>
      <c r="HN60" s="198"/>
      <c r="HR60" s="150">
        <f t="shared" si="182"/>
        <v>0</v>
      </c>
      <c r="HS60" s="714"/>
      <c r="HT60" s="205"/>
      <c r="HU60" s="718"/>
      <c r="HV60" s="718"/>
      <c r="HW60" s="786"/>
      <c r="HX60" s="198"/>
      <c r="HY60" s="198"/>
      <c r="HZ60" s="198"/>
      <c r="IA60" s="199"/>
      <c r="IB60" s="199"/>
      <c r="ID60" s="150">
        <f t="shared" si="173"/>
        <v>0</v>
      </c>
      <c r="IE60" s="714"/>
      <c r="IF60" s="205"/>
      <c r="IG60" s="718"/>
      <c r="IH60" s="718"/>
      <c r="II60" s="198"/>
      <c r="IJ60" s="198"/>
      <c r="IK60" s="198"/>
      <c r="IL60" s="198"/>
      <c r="IM60" s="199"/>
      <c r="IN60" s="776"/>
      <c r="IP60" s="1382">
        <f t="shared" si="181"/>
        <v>0</v>
      </c>
      <c r="IQ60" s="714"/>
      <c r="IR60" s="205"/>
      <c r="IS60" s="718"/>
      <c r="IT60" s="718"/>
      <c r="IU60" s="198"/>
      <c r="IV60" s="198"/>
      <c r="IW60" s="198"/>
      <c r="IX60" s="198"/>
      <c r="IY60" s="199"/>
      <c r="IZ60" s="776"/>
      <c r="JD60" s="150"/>
      <c r="JE60" s="714"/>
      <c r="JF60" s="205"/>
      <c r="JG60" s="718"/>
      <c r="JH60" s="718"/>
      <c r="JI60" s="198"/>
      <c r="JJ60" s="198"/>
      <c r="JK60" s="198"/>
      <c r="JL60" s="198"/>
      <c r="JM60" s="199"/>
      <c r="JN60" s="776"/>
      <c r="JP60" s="150"/>
      <c r="JQ60" s="714"/>
      <c r="JR60" s="205"/>
      <c r="JS60" s="718"/>
      <c r="JT60" s="718"/>
      <c r="JU60" s="198"/>
      <c r="JV60" s="198"/>
      <c r="JW60" s="198"/>
      <c r="JX60" s="198"/>
      <c r="JY60" s="199"/>
      <c r="JZ60" s="776"/>
      <c r="KB60" s="714"/>
      <c r="KC60" s="205"/>
      <c r="KD60" s="718"/>
      <c r="KE60" s="718"/>
      <c r="KF60" s="198"/>
      <c r="KG60" s="198"/>
      <c r="KH60" s="198"/>
      <c r="KI60" s="198"/>
      <c r="KJ60" s="199"/>
      <c r="KK60" s="776"/>
      <c r="KN60" s="714"/>
      <c r="KO60" s="205"/>
      <c r="KP60" s="718"/>
      <c r="KQ60" s="718"/>
      <c r="KR60" s="198"/>
      <c r="KS60" s="198"/>
      <c r="KT60" s="198"/>
      <c r="KU60" s="198"/>
      <c r="KV60" s="199"/>
      <c r="KW60" s="1612"/>
    </row>
    <row r="61" spans="9:309" ht="15.75" thickBot="1" x14ac:dyDescent="0.3">
      <c r="O61" s="109"/>
      <c r="P61" s="109"/>
      <c r="Q61" s="109"/>
      <c r="R61" s="109"/>
      <c r="S61" s="150">
        <f t="shared" si="143"/>
        <v>0</v>
      </c>
      <c r="T61" s="116">
        <v>42289</v>
      </c>
      <c r="U61" s="272">
        <v>54</v>
      </c>
      <c r="V61" s="265">
        <f t="shared" si="176"/>
        <v>5738.0081111111112</v>
      </c>
      <c r="W61" s="265">
        <v>943.05731481481484</v>
      </c>
      <c r="X61" s="137">
        <f t="shared" si="144"/>
        <v>105.01</v>
      </c>
      <c r="Y61" s="137">
        <f t="shared" si="145"/>
        <v>1048.07</v>
      </c>
      <c r="Z61" s="137">
        <f t="shared" si="146"/>
        <v>0</v>
      </c>
      <c r="AA61" s="137">
        <f t="shared" si="147"/>
        <v>0</v>
      </c>
      <c r="AB61" s="146" cm="1">
        <f t="array" ref="AB61">+ROUND(IF(AA61&lt;1,interpoler($A$5:$A$24,$B$5:$B$24,(T61-$B$1)),interpoler($C$5:$C$24,$D$5:$D$24,AA61))+$Y$2,6)</f>
        <v>3.0780999999999999E-2</v>
      </c>
      <c r="AC61" s="137">
        <f t="shared" si="148"/>
        <v>0</v>
      </c>
      <c r="AQ61" s="150">
        <f t="shared" si="149"/>
        <v>0</v>
      </c>
      <c r="AR61" s="310">
        <v>43536</v>
      </c>
      <c r="AS61" s="311">
        <v>63</v>
      </c>
      <c r="AT61" s="312">
        <v>825.06589410000004</v>
      </c>
      <c r="AU61" s="312">
        <v>391.24032039999997</v>
      </c>
      <c r="AV61" s="313">
        <f t="shared" si="150"/>
        <v>13.18</v>
      </c>
      <c r="AW61" s="137">
        <f t="shared" si="151"/>
        <v>404.42</v>
      </c>
      <c r="AX61" s="137">
        <f t="shared" si="152"/>
        <v>0</v>
      </c>
      <c r="AY61" s="137">
        <f t="shared" si="153"/>
        <v>0</v>
      </c>
      <c r="AZ61" s="146" cm="1">
        <f t="array" ref="AZ61">+ROUND(IF(AY61&lt;1,interpoler($A$5:$A$24,$B$5:$B$24,(AR61-$B$1)),interpoler($C$5:$C$24,$D$5:$D$24,AY61))+$AW$2,5)</f>
        <v>2.9780000000000001E-2</v>
      </c>
      <c r="BA61" s="137">
        <f t="shared" si="154"/>
        <v>0</v>
      </c>
      <c r="BB61" s="221"/>
      <c r="BC61" s="150">
        <f t="shared" si="155"/>
        <v>0</v>
      </c>
      <c r="BD61" s="669">
        <v>44726</v>
      </c>
      <c r="BE61" s="526">
        <v>54</v>
      </c>
      <c r="BF61" s="854">
        <v>2355.9899999999998</v>
      </c>
      <c r="BG61" s="835">
        <v>876.74279449999995</v>
      </c>
      <c r="BH61" s="529">
        <v>28.448579609999999</v>
      </c>
      <c r="BI61" s="655">
        <f t="shared" si="156"/>
        <v>905.19</v>
      </c>
      <c r="BJ61" s="529">
        <f t="shared" si="157"/>
        <v>0</v>
      </c>
      <c r="BK61" s="529">
        <f t="shared" si="158"/>
        <v>0</v>
      </c>
      <c r="BL61" s="530" cm="1">
        <f t="array" ref="BL61">+ROUND(IF(BK61&lt;1,interpoler($A$5:$A$24,$B$5:$B$24,(BD61-$B$1)),interpoler($C$5:$C$24,$D$5:$D$24,BK61))+$BI$2,5)</f>
        <v>3.3279999999999997E-2</v>
      </c>
      <c r="BM61" s="855">
        <f t="shared" si="159"/>
        <v>0</v>
      </c>
      <c r="BN61" s="783"/>
      <c r="BO61" s="280"/>
      <c r="BP61" s="150"/>
      <c r="BQ61" s="116"/>
      <c r="BR61" s="133"/>
      <c r="BS61" s="134"/>
      <c r="BT61" s="134"/>
      <c r="BU61" s="137"/>
      <c r="BV61" s="137"/>
      <c r="BW61" s="137"/>
      <c r="BX61" s="137"/>
      <c r="BY61" s="146"/>
      <c r="BZ61" s="137"/>
      <c r="CB61" s="150">
        <f t="shared" si="160"/>
        <v>25</v>
      </c>
      <c r="CC61" s="1151">
        <v>48389</v>
      </c>
      <c r="CD61" s="205">
        <v>26</v>
      </c>
      <c r="CE61" s="1629">
        <v>21681.899999999998</v>
      </c>
      <c r="CF61" s="1626">
        <v>1885.27</v>
      </c>
      <c r="CG61" s="1632">
        <v>218.44</v>
      </c>
      <c r="CH61" s="198">
        <f t="shared" si="142"/>
        <v>2103.71</v>
      </c>
      <c r="CI61" s="198">
        <f t="shared" si="161"/>
        <v>2103.71</v>
      </c>
      <c r="CJ61" s="762">
        <f t="shared" ref="CJ61:CJ73" si="183">ROUND((IF(CJ60&lt;0,(CC61-$B$1)/(CC61-CC60)*(3/12),CJ60+0.25)),10)</f>
        <v>6.2445652173999999</v>
      </c>
      <c r="CK61" s="621" cm="1">
        <f t="array" ref="CK61">ROUND(interpoler(mat_zc,Taux_ZC,CJ61)+$CH$2,5)</f>
        <v>3.7060000000000003E-2</v>
      </c>
      <c r="CL61" s="762">
        <f t="shared" si="174"/>
        <v>1676.0906</v>
      </c>
      <c r="CM61" s="280"/>
      <c r="CN61" s="280"/>
      <c r="CO61" s="280"/>
      <c r="CP61" s="280"/>
      <c r="CQ61" s="280"/>
      <c r="CR61" s="280"/>
      <c r="CS61" s="280"/>
      <c r="CT61" s="280"/>
      <c r="CU61" s="280"/>
      <c r="CV61" s="280"/>
      <c r="CW61" s="280"/>
      <c r="CX61" s="280"/>
      <c r="CY61" s="280"/>
      <c r="FD61" s="109"/>
      <c r="FE61" s="109"/>
      <c r="FF61" s="109"/>
      <c r="FI61" s="109"/>
      <c r="FN61" s="109"/>
      <c r="FP61" s="221"/>
      <c r="FQ61" s="526">
        <f t="shared" si="162"/>
        <v>38</v>
      </c>
      <c r="FR61" s="1152">
        <v>49576</v>
      </c>
      <c r="FS61" s="205"/>
      <c r="FT61" s="1630">
        <v>4635.6299999999919</v>
      </c>
      <c r="FU61" s="1627">
        <v>3583.89</v>
      </c>
      <c r="FV61" s="1633">
        <v>40.67</v>
      </c>
      <c r="FW61" s="798">
        <f t="shared" si="163"/>
        <v>3624.56</v>
      </c>
      <c r="FX61" s="798">
        <f t="shared" si="164"/>
        <v>3624.56</v>
      </c>
      <c r="FY61" s="799">
        <f t="shared" si="172"/>
        <v>9.4945652200000001</v>
      </c>
      <c r="FZ61" s="800" cm="1">
        <f t="array" ref="FZ61">+ROUND(IF(FY61&lt;1,interpoler($A$5:$A$24,$B$5:$B$24,(FR61-$B$1)),interpoler(CIH!$K$72:$K$103,CIH!$L$72:$L$103,FY61))+$FV$2,5)</f>
        <v>3.9280000000000002E-2</v>
      </c>
      <c r="GA61" s="798">
        <f t="shared" si="165"/>
        <v>2514.1247199999998</v>
      </c>
      <c r="GB61" s="484"/>
      <c r="GC61" s="522"/>
      <c r="GD61" s="150"/>
      <c r="GE61" s="309"/>
      <c r="GF61" s="211"/>
      <c r="GG61" s="1039">
        <v>0</v>
      </c>
      <c r="GH61" s="296">
        <v>0</v>
      </c>
      <c r="GI61" s="728">
        <v>0</v>
      </c>
      <c r="GJ61" s="198"/>
      <c r="GK61" s="198"/>
      <c r="GL61" s="198"/>
      <c r="GM61" s="199"/>
      <c r="GN61" s="198"/>
      <c r="GO61" s="198"/>
      <c r="GQ61" s="150">
        <f t="shared" si="169"/>
        <v>35</v>
      </c>
      <c r="GR61" s="1151">
        <v>49302</v>
      </c>
      <c r="GS61" s="205">
        <v>36</v>
      </c>
      <c r="GT61" s="1629">
        <v>45040.150000000009</v>
      </c>
      <c r="GU61" s="1626">
        <v>4695.6000000000004</v>
      </c>
      <c r="GV61" s="1632">
        <v>349.06</v>
      </c>
      <c r="GW61" s="198">
        <f t="shared" si="170"/>
        <v>5044.66</v>
      </c>
      <c r="GX61" s="198">
        <f t="shared" si="171"/>
        <v>5044.66</v>
      </c>
      <c r="GY61" s="1042">
        <f t="shared" si="175"/>
        <v>8.7445652173999999</v>
      </c>
      <c r="GZ61" s="199" cm="1">
        <f t="array" ref="GZ61">+ROUND(IF(GY61&lt;1,interpoler($A$5:$A$24,$B$5:$B$24,(GR61-$B$1)),interpoler(CIH!$K$72:$K$103,CIH!$L$72:$L$103,GY61))+$GW$2,5)</f>
        <v>3.934E-2</v>
      </c>
      <c r="HA61" s="212">
        <f t="shared" si="180"/>
        <v>3599.9262936866598</v>
      </c>
      <c r="HE61" s="194"/>
      <c r="HF61" s="133"/>
      <c r="HG61" s="134"/>
      <c r="HH61" s="134"/>
      <c r="HI61" s="198"/>
      <c r="HJ61" s="198"/>
      <c r="HK61" s="198"/>
      <c r="HL61" s="198"/>
      <c r="HM61" s="199"/>
      <c r="HN61" s="198"/>
      <c r="HR61" s="150">
        <f t="shared" si="182"/>
        <v>0</v>
      </c>
      <c r="HS61" s="714"/>
      <c r="HT61" s="205"/>
      <c r="HU61" s="718"/>
      <c r="HV61" s="718"/>
      <c r="HW61" s="786"/>
      <c r="HX61" s="198"/>
      <c r="HY61" s="198"/>
      <c r="HZ61" s="198"/>
      <c r="IA61" s="199"/>
      <c r="IB61" s="199"/>
      <c r="ID61" s="150">
        <f t="shared" si="173"/>
        <v>0</v>
      </c>
      <c r="IE61" s="714"/>
      <c r="IF61" s="205"/>
      <c r="IG61" s="718"/>
      <c r="IH61" s="718"/>
      <c r="II61" s="198"/>
      <c r="IJ61" s="198"/>
      <c r="IK61" s="198"/>
      <c r="IL61" s="198"/>
      <c r="IM61" s="199"/>
      <c r="IN61" s="776"/>
      <c r="IP61" s="1382">
        <f t="shared" si="181"/>
        <v>0</v>
      </c>
      <c r="IQ61" s="714"/>
      <c r="IR61" s="205"/>
      <c r="IS61" s="718"/>
      <c r="IT61" s="718"/>
      <c r="IU61" s="198"/>
      <c r="IV61" s="198"/>
      <c r="IW61" s="198"/>
      <c r="IX61" s="198"/>
      <c r="IY61" s="199"/>
      <c r="IZ61" s="776"/>
      <c r="JD61" s="150"/>
      <c r="JE61" s="714"/>
      <c r="JF61" s="205"/>
      <c r="JG61" s="718"/>
      <c r="JH61" s="718"/>
      <c r="JI61" s="198"/>
      <c r="JJ61" s="198"/>
      <c r="JK61" s="198"/>
      <c r="JL61" s="198"/>
      <c r="JM61" s="199"/>
      <c r="JN61" s="776"/>
      <c r="JP61" s="150"/>
      <c r="JQ61" s="714"/>
      <c r="JR61" s="205"/>
      <c r="JS61" s="718"/>
      <c r="JT61" s="718"/>
      <c r="JU61" s="198"/>
      <c r="JV61" s="198"/>
      <c r="JW61" s="198"/>
      <c r="JX61" s="198"/>
      <c r="JY61" s="199"/>
      <c r="JZ61" s="776"/>
      <c r="KB61" s="714"/>
      <c r="KC61" s="205"/>
      <c r="KD61" s="718"/>
      <c r="KE61" s="718"/>
      <c r="KF61" s="198"/>
      <c r="KG61" s="198"/>
      <c r="KH61" s="198"/>
      <c r="KI61" s="198"/>
      <c r="KJ61" s="199"/>
      <c r="KK61" s="776"/>
      <c r="KN61" s="714"/>
      <c r="KO61" s="205"/>
      <c r="KP61" s="718"/>
      <c r="KQ61" s="718"/>
      <c r="KR61" s="198"/>
      <c r="KS61" s="198"/>
      <c r="KT61" s="198"/>
      <c r="KU61" s="198"/>
      <c r="KV61" s="199"/>
      <c r="KW61" s="1612"/>
    </row>
    <row r="62" spans="9:309" ht="15.75" thickBot="1" x14ac:dyDescent="0.3">
      <c r="O62" s="109"/>
      <c r="P62" s="109"/>
      <c r="Q62" s="109"/>
      <c r="R62" s="109"/>
      <c r="S62" s="150">
        <f t="shared" si="143"/>
        <v>0</v>
      </c>
      <c r="T62" s="116">
        <v>42381</v>
      </c>
      <c r="U62" s="272">
        <v>55</v>
      </c>
      <c r="V62" s="265">
        <f t="shared" si="176"/>
        <v>4794.9507962962962</v>
      </c>
      <c r="W62" s="265">
        <v>836.78123148148143</v>
      </c>
      <c r="X62" s="137">
        <f t="shared" si="144"/>
        <v>87.75</v>
      </c>
      <c r="Y62" s="137">
        <f t="shared" si="145"/>
        <v>924.53</v>
      </c>
      <c r="Z62" s="137">
        <f t="shared" si="146"/>
        <v>0</v>
      </c>
      <c r="AA62" s="137">
        <f t="shared" si="147"/>
        <v>0</v>
      </c>
      <c r="AB62" s="146" cm="1">
        <f t="array" ref="AB62">+ROUND(IF(AA62&lt;1,interpoler($A$5:$A$24,$B$5:$B$24,(T62-$B$1)),interpoler($C$5:$C$24,$D$5:$D$24,AA62))+$Y$2,6)</f>
        <v>3.0780999999999999E-2</v>
      </c>
      <c r="AC62" s="137">
        <f t="shared" si="148"/>
        <v>0</v>
      </c>
      <c r="AQ62" s="150">
        <f t="shared" si="149"/>
        <v>0</v>
      </c>
      <c r="AR62" s="310">
        <v>43628</v>
      </c>
      <c r="AS62" s="311">
        <v>64</v>
      </c>
      <c r="AT62" s="312">
        <v>433.82557359999998</v>
      </c>
      <c r="AU62" s="312">
        <v>305.50186819999999</v>
      </c>
      <c r="AV62" s="313">
        <f t="shared" si="150"/>
        <v>6.93</v>
      </c>
      <c r="AW62" s="137">
        <f t="shared" si="151"/>
        <v>312.43</v>
      </c>
      <c r="AX62" s="137">
        <f t="shared" si="152"/>
        <v>0</v>
      </c>
      <c r="AY62" s="137">
        <f t="shared" si="153"/>
        <v>0</v>
      </c>
      <c r="AZ62" s="146" cm="1">
        <f t="array" ref="AZ62">+ROUND(IF(AY62&lt;1,interpoler($A$5:$A$24,$B$5:$B$24,(AR62-$B$1)),interpoler($C$5:$C$24,$D$5:$D$24,AY62))+$AW$2,5)</f>
        <v>2.9780000000000001E-2</v>
      </c>
      <c r="BA62" s="137">
        <f t="shared" si="154"/>
        <v>0</v>
      </c>
      <c r="BB62" s="221"/>
      <c r="BC62" s="150">
        <f t="shared" si="155"/>
        <v>0</v>
      </c>
      <c r="BD62" s="194">
        <v>44818</v>
      </c>
      <c r="BE62" s="211">
        <v>55</v>
      </c>
      <c r="BF62" s="922">
        <v>917.95</v>
      </c>
      <c r="BG62" s="922">
        <v>1430.26</v>
      </c>
      <c r="BH62" s="922">
        <v>17.27</v>
      </c>
      <c r="BI62" s="762">
        <f t="shared" si="156"/>
        <v>1447.53</v>
      </c>
      <c r="BJ62" s="198">
        <f t="shared" si="157"/>
        <v>0</v>
      </c>
      <c r="BK62" s="198">
        <f t="shared" si="158"/>
        <v>0</v>
      </c>
      <c r="BL62" s="199" cm="1">
        <f t="array" ref="BL62">+ROUND(IF(BK62&lt;1,interpoler($A$5:$A$24,$B$5:$B$24,(BD62-$B$1)),interpoler($C$5:$C$24,$D$5:$D$24,BK62))+$BI$2,5)</f>
        <v>3.3279999999999997E-2</v>
      </c>
      <c r="BM62" s="447">
        <f t="shared" si="159"/>
        <v>0</v>
      </c>
      <c r="BN62" s="783"/>
      <c r="BO62" s="280"/>
      <c r="BP62" s="150"/>
      <c r="BQ62" s="116"/>
      <c r="BR62" s="133"/>
      <c r="BS62" s="134"/>
      <c r="BT62" s="134"/>
      <c r="BU62" s="137"/>
      <c r="BV62" s="137"/>
      <c r="BW62" s="137"/>
      <c r="BX62" s="137"/>
      <c r="BY62" s="146"/>
      <c r="BZ62" s="137"/>
      <c r="CB62" s="150">
        <f t="shared" si="160"/>
        <v>26</v>
      </c>
      <c r="CC62" s="1152">
        <v>48481</v>
      </c>
      <c r="CD62" s="205">
        <v>27</v>
      </c>
      <c r="CE62" s="1630">
        <v>19796.629999999997</v>
      </c>
      <c r="CF62" s="1627">
        <v>1870.77</v>
      </c>
      <c r="CG62" s="1633">
        <v>199.45</v>
      </c>
      <c r="CH62" s="198">
        <f t="shared" si="142"/>
        <v>2070.2199999999998</v>
      </c>
      <c r="CI62" s="198">
        <f t="shared" si="161"/>
        <v>2070.2199999999998</v>
      </c>
      <c r="CJ62" s="762">
        <f t="shared" si="183"/>
        <v>6.4945652173999999</v>
      </c>
      <c r="CK62" s="621" cm="1">
        <f t="array" ref="CK62">ROUND(interpoler(mat_zc,Taux_ZC,CJ62)+$CH$2,5)</f>
        <v>3.7179999999999998E-2</v>
      </c>
      <c r="CL62" s="762">
        <f t="shared" si="174"/>
        <v>1633.2429999999999</v>
      </c>
      <c r="CM62" s="280"/>
      <c r="CN62" s="280"/>
      <c r="CO62" s="280"/>
      <c r="CP62" s="280"/>
      <c r="CQ62" s="280"/>
      <c r="CR62" s="280"/>
      <c r="CS62" s="280"/>
      <c r="CT62" s="280"/>
      <c r="CU62" s="280"/>
      <c r="CV62" s="280"/>
      <c r="CW62" s="280"/>
      <c r="CX62" s="280"/>
      <c r="CY62" s="280"/>
      <c r="FD62" s="109"/>
      <c r="FE62" s="109"/>
      <c r="FF62" s="109"/>
      <c r="FI62" s="109"/>
      <c r="FN62" s="109"/>
      <c r="FP62" s="221"/>
      <c r="FQ62" s="526">
        <f t="shared" si="162"/>
        <v>39</v>
      </c>
      <c r="FR62" s="1185">
        <v>49667</v>
      </c>
      <c r="FS62" s="205"/>
      <c r="FT62" s="1631">
        <v>1051.7399999999921</v>
      </c>
      <c r="FU62" s="1628">
        <v>1051.74</v>
      </c>
      <c r="FV62" s="1634">
        <v>9.2200000000000006</v>
      </c>
      <c r="FW62" s="798">
        <f t="shared" si="163"/>
        <v>1060.96</v>
      </c>
      <c r="FX62" s="798">
        <f t="shared" si="164"/>
        <v>1060.96</v>
      </c>
      <c r="FY62" s="799">
        <f t="shared" si="172"/>
        <v>9.7445652200000001</v>
      </c>
      <c r="FZ62" s="800" cm="1">
        <f t="array" ref="FZ62">+ROUND(IF(FY62&lt;1,interpoler($A$5:$A$24,$B$5:$B$24,(FR62-$B$1)),interpoler(CIH!$K$72:$K$103,CIH!$L$72:$L$103,FY62))+$FV$2,5)</f>
        <v>3.943E-2</v>
      </c>
      <c r="GA62" s="798">
        <f t="shared" si="165"/>
        <v>727.84118999999998</v>
      </c>
      <c r="GB62" s="484"/>
      <c r="GC62" s="522"/>
      <c r="GD62" s="150"/>
      <c r="GE62" s="828"/>
      <c r="GF62" s="211"/>
      <c r="GG62" s="1039">
        <v>0</v>
      </c>
      <c r="GH62" s="296">
        <v>0</v>
      </c>
      <c r="GI62" s="728">
        <v>0</v>
      </c>
      <c r="GJ62" s="198"/>
      <c r="GK62" s="198"/>
      <c r="GL62" s="198"/>
      <c r="GM62" s="199"/>
      <c r="GN62" s="198"/>
      <c r="GO62" s="198"/>
      <c r="GQ62" s="150">
        <f t="shared" si="169"/>
        <v>36</v>
      </c>
      <c r="GR62" s="1152">
        <v>49392</v>
      </c>
      <c r="GS62" s="205">
        <v>37</v>
      </c>
      <c r="GT62" s="1630">
        <v>40344.55000000001</v>
      </c>
      <c r="GU62" s="1627">
        <v>4595.3500000000004</v>
      </c>
      <c r="GV62" s="1633">
        <v>312.67</v>
      </c>
      <c r="GW62" s="198">
        <f t="shared" si="170"/>
        <v>4908.0200000000004</v>
      </c>
      <c r="GX62" s="198">
        <f t="shared" si="171"/>
        <v>4908.0200000000004</v>
      </c>
      <c r="GY62" s="1042">
        <f t="shared" si="175"/>
        <v>8.9945652173999999</v>
      </c>
      <c r="GZ62" s="199" cm="1">
        <f t="array" ref="GZ62">+ROUND(IF(GY62&lt;1,interpoler($A$5:$A$24,$B$5:$B$24,(GR62-$B$1)),interpoler(CIH!$K$72:$K$103,CIH!$L$72:$L$103,GY62))+$GW$2,5)</f>
        <v>3.9469999999999998E-2</v>
      </c>
      <c r="HA62" s="212">
        <f t="shared" si="180"/>
        <v>3464.8948181854498</v>
      </c>
      <c r="HE62" s="194"/>
      <c r="HF62" s="133"/>
      <c r="HG62" s="134"/>
      <c r="HH62" s="134"/>
      <c r="HI62" s="198"/>
      <c r="HJ62" s="198"/>
      <c r="HK62" s="198"/>
      <c r="HL62" s="198"/>
      <c r="HM62" s="199"/>
      <c r="HN62" s="198"/>
      <c r="HR62" s="150">
        <f t="shared" si="182"/>
        <v>0</v>
      </c>
      <c r="HS62" s="714"/>
      <c r="HT62" s="205"/>
      <c r="HU62" s="718"/>
      <c r="HV62" s="718"/>
      <c r="HW62" s="786"/>
      <c r="HX62" s="198"/>
      <c r="HY62" s="198"/>
      <c r="HZ62" s="198"/>
      <c r="IA62" s="199"/>
      <c r="IB62" s="199"/>
      <c r="ID62" s="150">
        <f t="shared" si="173"/>
        <v>0</v>
      </c>
      <c r="IE62" s="714"/>
      <c r="IF62" s="205"/>
      <c r="IG62" s="718"/>
      <c r="IH62" s="718"/>
      <c r="II62" s="198"/>
      <c r="IJ62" s="198"/>
      <c r="IK62" s="198"/>
      <c r="IL62" s="198"/>
      <c r="IM62" s="199"/>
      <c r="IN62" s="776"/>
      <c r="IP62" s="1382">
        <f t="shared" si="181"/>
        <v>0</v>
      </c>
      <c r="IQ62" s="714"/>
      <c r="IR62" s="205"/>
      <c r="IS62" s="718"/>
      <c r="IT62" s="718"/>
      <c r="IU62" s="198"/>
      <c r="IV62" s="198"/>
      <c r="IW62" s="198"/>
      <c r="IX62" s="198"/>
      <c r="IY62" s="199"/>
      <c r="IZ62" s="776"/>
      <c r="JD62" s="150"/>
      <c r="JE62" s="714"/>
      <c r="JF62" s="205"/>
      <c r="JG62" s="718"/>
      <c r="JH62" s="718"/>
      <c r="JI62" s="198"/>
      <c r="JJ62" s="198"/>
      <c r="JK62" s="198"/>
      <c r="JL62" s="198"/>
      <c r="JM62" s="199"/>
      <c r="JN62" s="776"/>
      <c r="JP62" s="150"/>
      <c r="JQ62" s="714"/>
      <c r="JR62" s="205"/>
      <c r="JS62" s="718"/>
      <c r="JT62" s="718"/>
      <c r="JU62" s="198"/>
      <c r="JV62" s="198"/>
      <c r="JW62" s="198"/>
      <c r="JX62" s="198"/>
      <c r="JY62" s="199"/>
      <c r="JZ62" s="776"/>
      <c r="KB62" s="714"/>
      <c r="KC62" s="205"/>
      <c r="KD62" s="718"/>
      <c r="KE62" s="718"/>
      <c r="KF62" s="198"/>
      <c r="KG62" s="198"/>
      <c r="KH62" s="198"/>
      <c r="KI62" s="198"/>
      <c r="KJ62" s="199"/>
      <c r="KK62" s="776"/>
      <c r="KN62" s="714"/>
      <c r="KO62" s="205"/>
      <c r="KP62" s="718"/>
      <c r="KQ62" s="718"/>
      <c r="KR62" s="198"/>
      <c r="KS62" s="198"/>
      <c r="KT62" s="198"/>
      <c r="KU62" s="198"/>
      <c r="KV62" s="199"/>
      <c r="KW62" s="1612"/>
    </row>
    <row r="63" spans="9:309" ht="15.75" thickBot="1" x14ac:dyDescent="0.3">
      <c r="O63" s="109"/>
      <c r="P63" s="109"/>
      <c r="Q63" s="109"/>
      <c r="R63" s="109"/>
      <c r="S63" s="150">
        <f t="shared" si="143"/>
        <v>0</v>
      </c>
      <c r="T63" s="116">
        <v>42472</v>
      </c>
      <c r="U63" s="273">
        <v>56</v>
      </c>
      <c r="V63" s="265">
        <f t="shared" si="176"/>
        <v>3958.1695648148147</v>
      </c>
      <c r="W63" s="266">
        <v>742.54455555555558</v>
      </c>
      <c r="X63" s="137">
        <f t="shared" si="144"/>
        <v>72.430000000000007</v>
      </c>
      <c r="Y63" s="137">
        <f t="shared" si="145"/>
        <v>814.97</v>
      </c>
      <c r="Z63" s="137">
        <f t="shared" si="146"/>
        <v>0</v>
      </c>
      <c r="AA63" s="137">
        <f t="shared" si="147"/>
        <v>0</v>
      </c>
      <c r="AB63" s="146" cm="1">
        <f t="array" ref="AB63">+ROUND(IF(AA63&lt;1,interpoler($A$5:$A$24,$B$5:$B$24,(T63-$B$1)),interpoler($C$5:$C$24,$D$5:$D$24,AA63))+$Y$2,6)</f>
        <v>3.0780999999999999E-2</v>
      </c>
      <c r="AC63" s="137">
        <f t="shared" si="148"/>
        <v>0</v>
      </c>
      <c r="AQ63" s="150">
        <f t="shared" si="149"/>
        <v>0</v>
      </c>
      <c r="AR63" s="310">
        <v>43720</v>
      </c>
      <c r="AS63" s="311">
        <v>65</v>
      </c>
      <c r="AT63" s="312">
        <v>128.32370280000001</v>
      </c>
      <c r="AU63" s="312">
        <v>128.32370280000001</v>
      </c>
      <c r="AV63" s="313">
        <f t="shared" si="150"/>
        <v>2.0499999999999998</v>
      </c>
      <c r="AW63" s="137">
        <f t="shared" si="151"/>
        <v>130.37</v>
      </c>
      <c r="AX63" s="137">
        <f t="shared" si="152"/>
        <v>0</v>
      </c>
      <c r="AY63" s="137">
        <f t="shared" si="153"/>
        <v>0</v>
      </c>
      <c r="AZ63" s="146" cm="1">
        <f t="array" ref="AZ63">+ROUND(IF(AY63&lt;1,interpoler($A$5:$A$24,$B$5:$B$24,(AR63-$B$1)),interpoler($C$5:$C$24,$D$5:$D$24,AY63))+$AW$2,5)</f>
        <v>2.9780000000000001E-2</v>
      </c>
      <c r="BA63" s="137">
        <f t="shared" si="154"/>
        <v>0</v>
      </c>
      <c r="BB63" s="221"/>
      <c r="BC63" s="150">
        <f t="shared" si="155"/>
        <v>0</v>
      </c>
      <c r="BD63" s="194">
        <v>44909</v>
      </c>
      <c r="BE63" s="211">
        <v>56</v>
      </c>
      <c r="BF63" s="921">
        <v>512.30999999999995</v>
      </c>
      <c r="BG63" s="923">
        <v>512.30999999999995</v>
      </c>
      <c r="BH63" s="923">
        <v>6.1861435294117646</v>
      </c>
      <c r="BI63" s="762">
        <f t="shared" si="156"/>
        <v>518.5</v>
      </c>
      <c r="BJ63" s="198">
        <f t="shared" si="157"/>
        <v>0</v>
      </c>
      <c r="BK63" s="198">
        <f t="shared" si="158"/>
        <v>0</v>
      </c>
      <c r="BL63" s="199" cm="1">
        <f t="array" ref="BL63">+ROUND(IF(BK63&lt;1,interpoler($A$5:$A$24,$B$5:$B$24,(BD63-$B$1)),interpoler($C$5:$C$24,$D$5:$D$24,BK63))+$BI$2,5)</f>
        <v>3.3279999999999997E-2</v>
      </c>
      <c r="BM63" s="447">
        <f t="shared" si="159"/>
        <v>0</v>
      </c>
      <c r="BN63" s="783"/>
      <c r="BO63" s="280"/>
      <c r="CB63" s="150">
        <f t="shared" si="160"/>
        <v>27</v>
      </c>
      <c r="CC63" s="1151">
        <v>48572</v>
      </c>
      <c r="CD63" s="205">
        <v>28</v>
      </c>
      <c r="CE63" s="1629">
        <v>17925.859999999997</v>
      </c>
      <c r="CF63" s="1626">
        <v>1834.33</v>
      </c>
      <c r="CG63" s="1632">
        <v>180.6</v>
      </c>
      <c r="CH63" s="198">
        <f t="shared" si="142"/>
        <v>2014.93</v>
      </c>
      <c r="CI63" s="198">
        <f t="shared" si="161"/>
        <v>2014.93</v>
      </c>
      <c r="CJ63" s="762">
        <f t="shared" si="183"/>
        <v>6.7445652173999999</v>
      </c>
      <c r="CK63" s="621" cm="1">
        <f t="array" ref="CK63">ROUND(interpoler(mat_zc,Taux_ZC,CJ63)+$CH$2,5)</f>
        <v>3.7310000000000003E-2</v>
      </c>
      <c r="CL63" s="762">
        <f t="shared" si="174"/>
        <v>1573.8510000000001</v>
      </c>
      <c r="CM63" s="280"/>
      <c r="CN63" s="280"/>
      <c r="CO63" s="280"/>
      <c r="CP63" s="280"/>
      <c r="CQ63" s="280"/>
      <c r="CR63" s="280"/>
      <c r="CS63" s="280"/>
      <c r="CT63" s="280"/>
      <c r="CU63" s="280"/>
      <c r="CV63" s="280"/>
      <c r="CW63" s="280"/>
      <c r="CX63" s="280"/>
      <c r="CY63" s="280"/>
      <c r="FD63" s="109"/>
      <c r="FE63" s="109"/>
      <c r="FF63" s="109"/>
      <c r="FI63" s="109"/>
      <c r="FN63" s="109"/>
      <c r="FP63" s="221"/>
      <c r="FQ63" s="526"/>
      <c r="FR63" s="796"/>
      <c r="FS63" s="797"/>
      <c r="FT63"/>
      <c r="FU63"/>
      <c r="FV63"/>
      <c r="FW63" s="798"/>
      <c r="FX63" s="798"/>
      <c r="FY63" s="799"/>
      <c r="FZ63" s="800"/>
      <c r="GA63" s="798"/>
      <c r="GB63" s="484"/>
      <c r="GC63" s="522"/>
      <c r="GD63" s="150"/>
      <c r="GE63" s="309"/>
      <c r="GF63" s="211"/>
      <c r="GG63" s="1039">
        <v>0</v>
      </c>
      <c r="GH63" s="296">
        <v>0</v>
      </c>
      <c r="GI63" s="728">
        <v>0</v>
      </c>
      <c r="GJ63" s="198"/>
      <c r="GK63" s="198"/>
      <c r="GL63" s="198"/>
      <c r="GM63" s="199"/>
      <c r="GN63" s="198"/>
      <c r="GO63" s="198"/>
      <c r="GQ63" s="150">
        <f t="shared" si="169"/>
        <v>37</v>
      </c>
      <c r="GR63" s="1151">
        <v>49484</v>
      </c>
      <c r="GS63" s="205">
        <v>38</v>
      </c>
      <c r="GT63" s="1629">
        <v>35749.200000000012</v>
      </c>
      <c r="GU63" s="1626">
        <v>4455.05</v>
      </c>
      <c r="GV63" s="1632">
        <v>277.05</v>
      </c>
      <c r="GW63" s="198">
        <f t="shared" si="170"/>
        <v>4732.1000000000004</v>
      </c>
      <c r="GX63" s="198">
        <f t="shared" si="171"/>
        <v>4732.1000000000004</v>
      </c>
      <c r="GY63" s="1042">
        <f t="shared" si="175"/>
        <v>9.2445652173999999</v>
      </c>
      <c r="GZ63" s="199" cm="1">
        <f t="array" ref="GZ63">+ROUND(IF(GY63&lt;1,interpoler($A$5:$A$24,$B$5:$B$24,(GR63-$B$1)),interpoler(CIH!$K$72:$K$103,CIH!$L$72:$L$103,GY63))+$GW$2,5)</f>
        <v>3.9620000000000002E-2</v>
      </c>
      <c r="HA63" s="212">
        <f t="shared" si="180"/>
        <v>3304.1163738454602</v>
      </c>
      <c r="HE63" s="194"/>
      <c r="HF63" s="133"/>
      <c r="HG63" s="134"/>
      <c r="HH63" s="134"/>
      <c r="HI63" s="198"/>
      <c r="HJ63" s="198"/>
      <c r="HK63" s="198"/>
      <c r="HL63" s="198"/>
      <c r="HM63" s="199"/>
      <c r="HN63" s="198"/>
      <c r="HR63" s="150">
        <f t="shared" si="182"/>
        <v>0</v>
      </c>
      <c r="HS63" s="714"/>
      <c r="HT63" s="205"/>
      <c r="HU63" s="718"/>
      <c r="HV63" s="718"/>
      <c r="HW63" s="786"/>
      <c r="HX63" s="198"/>
      <c r="HY63" s="198"/>
      <c r="HZ63" s="198"/>
      <c r="IA63" s="199"/>
      <c r="IB63" s="199"/>
      <c r="ID63" s="150">
        <f t="shared" si="173"/>
        <v>0</v>
      </c>
      <c r="IE63" s="714"/>
      <c r="IF63" s="205"/>
      <c r="IG63" s="718"/>
      <c r="IH63" s="718"/>
      <c r="II63" s="198"/>
      <c r="IJ63" s="198"/>
      <c r="IK63" s="198"/>
      <c r="IL63" s="198"/>
      <c r="IM63" s="199"/>
      <c r="IN63" s="776"/>
      <c r="IP63" s="1382">
        <f t="shared" si="181"/>
        <v>0</v>
      </c>
      <c r="IQ63" s="714"/>
      <c r="IR63" s="205"/>
      <c r="IS63" s="718"/>
      <c r="IT63" s="718"/>
      <c r="IU63" s="198"/>
      <c r="IV63" s="198"/>
      <c r="IW63" s="198"/>
      <c r="IX63" s="198"/>
      <c r="IY63" s="199"/>
      <c r="IZ63" s="776"/>
      <c r="JD63" s="150"/>
      <c r="JE63" s="714"/>
      <c r="JF63" s="205"/>
      <c r="JG63" s="718"/>
      <c r="JH63" s="718"/>
      <c r="JI63" s="198"/>
      <c r="JJ63" s="198"/>
      <c r="JK63" s="198"/>
      <c r="JL63" s="198"/>
      <c r="JM63" s="199"/>
      <c r="JN63" s="776"/>
      <c r="JP63" s="150"/>
      <c r="JQ63" s="714"/>
      <c r="JR63" s="205"/>
      <c r="JS63" s="718"/>
      <c r="JT63" s="718"/>
      <c r="JU63" s="198"/>
      <c r="JV63" s="198"/>
      <c r="JW63" s="198"/>
      <c r="JX63" s="198"/>
      <c r="JY63" s="199"/>
      <c r="JZ63" s="776"/>
      <c r="KB63" s="714"/>
      <c r="KC63" s="205"/>
      <c r="KD63" s="718"/>
      <c r="KE63" s="718"/>
      <c r="KF63" s="198"/>
      <c r="KG63" s="198"/>
      <c r="KH63" s="198"/>
      <c r="KI63" s="198"/>
      <c r="KJ63" s="199"/>
      <c r="KK63" s="776"/>
      <c r="KN63" s="714"/>
      <c r="KO63" s="205"/>
      <c r="KP63" s="718"/>
      <c r="KQ63" s="718"/>
      <c r="KR63" s="198"/>
      <c r="KS63" s="198"/>
      <c r="KT63" s="198"/>
      <c r="KU63" s="198"/>
      <c r="KV63" s="199"/>
      <c r="KW63" s="1612"/>
    </row>
    <row r="64" spans="9:309" ht="15" x14ac:dyDescent="0.25">
      <c r="O64" s="109"/>
      <c r="P64" s="109"/>
      <c r="Q64" s="109"/>
      <c r="R64" s="109"/>
      <c r="S64" s="150">
        <f t="shared" si="143"/>
        <v>0</v>
      </c>
      <c r="T64" s="116">
        <v>42563</v>
      </c>
      <c r="U64" s="272">
        <v>57</v>
      </c>
      <c r="V64" s="265">
        <f t="shared" si="176"/>
        <v>3215.6250092592591</v>
      </c>
      <c r="W64" s="264">
        <v>692.05122222222201</v>
      </c>
      <c r="X64" s="137">
        <f t="shared" si="144"/>
        <v>58.85</v>
      </c>
      <c r="Y64" s="137">
        <f t="shared" si="145"/>
        <v>750.9</v>
      </c>
      <c r="Z64" s="137">
        <f t="shared" si="146"/>
        <v>0</v>
      </c>
      <c r="AA64" s="137">
        <f t="shared" si="147"/>
        <v>0</v>
      </c>
      <c r="AB64" s="146" cm="1">
        <f t="array" ref="AB64">+ROUND(IF(AA64&lt;1,interpoler($A$5:$A$24,$B$5:$B$24,(T64-$B$1)),interpoler($C$5:$C$24,$D$5:$D$24,AA64))+$Y$2,6)</f>
        <v>3.0780999999999999E-2</v>
      </c>
      <c r="AC64" s="137">
        <f t="shared" si="148"/>
        <v>0</v>
      </c>
      <c r="AQ64" s="150">
        <f t="shared" si="149"/>
        <v>0</v>
      </c>
      <c r="AR64" s="116"/>
      <c r="AS64" s="133"/>
      <c r="AT64" s="134"/>
      <c r="AU64" s="134"/>
      <c r="AV64" s="137"/>
      <c r="AW64" s="137"/>
      <c r="AX64" s="137"/>
      <c r="AY64" s="137"/>
      <c r="AZ64" s="146"/>
      <c r="BA64" s="137"/>
      <c r="BC64" s="150">
        <f t="shared" si="155"/>
        <v>0</v>
      </c>
      <c r="BD64" s="194"/>
      <c r="BE64" s="211"/>
      <c r="BF64" s="842"/>
      <c r="BG64" s="932"/>
      <c r="BH64" s="198"/>
      <c r="BI64" s="762"/>
      <c r="BJ64" s="198"/>
      <c r="BK64" s="198"/>
      <c r="BL64" s="199"/>
      <c r="BM64" s="447"/>
      <c r="BN64" s="783"/>
      <c r="BO64" s="280"/>
      <c r="CB64" s="150">
        <f t="shared" si="160"/>
        <v>28</v>
      </c>
      <c r="CC64" s="1152">
        <v>48662</v>
      </c>
      <c r="CD64" s="205">
        <v>29</v>
      </c>
      <c r="CE64" s="1630">
        <v>16091.529999999997</v>
      </c>
      <c r="CF64" s="1627">
        <v>1804.63</v>
      </c>
      <c r="CG64" s="1633">
        <v>162.12</v>
      </c>
      <c r="CH64" s="198">
        <f t="shared" si="142"/>
        <v>1966.75</v>
      </c>
      <c r="CI64" s="198">
        <f t="shared" si="161"/>
        <v>1966.75</v>
      </c>
      <c r="CJ64" s="762">
        <f t="shared" si="183"/>
        <v>6.9945652173999999</v>
      </c>
      <c r="CK64" s="621" cm="1">
        <f t="array" ref="CK64">ROUND(interpoler(mat_zc,Taux_ZC,CJ64)+$CH$2,5)</f>
        <v>3.7429999999999998E-2</v>
      </c>
      <c r="CL64" s="762">
        <f t="shared" si="174"/>
        <v>1520.9827</v>
      </c>
      <c r="CM64" s="280"/>
      <c r="CN64" s="280"/>
      <c r="CO64" s="280"/>
      <c r="CP64" s="280"/>
      <c r="CQ64" s="280"/>
      <c r="CR64" s="280"/>
      <c r="CS64" s="280"/>
      <c r="CT64" s="280"/>
      <c r="CU64" s="280"/>
      <c r="CV64" s="280"/>
      <c r="CW64" s="280"/>
      <c r="CX64" s="280"/>
      <c r="CY64" s="280"/>
      <c r="FD64" s="109"/>
      <c r="FE64" s="109"/>
      <c r="FF64" s="109"/>
      <c r="FI64" s="109"/>
      <c r="FN64" s="109"/>
      <c r="FP64" s="221"/>
      <c r="FQ64" s="526"/>
      <c r="FR64" s="796"/>
      <c r="FS64" s="797"/>
      <c r="FT64"/>
      <c r="FU64"/>
      <c r="FV64"/>
      <c r="FW64" s="798"/>
      <c r="FX64" s="798"/>
      <c r="FY64" s="799"/>
      <c r="FZ64" s="800"/>
      <c r="GA64" s="798"/>
      <c r="GB64" s="484"/>
      <c r="GC64" s="522"/>
      <c r="GD64" s="150"/>
      <c r="GE64" s="309"/>
      <c r="GF64" s="211"/>
      <c r="GG64" s="1039">
        <v>0</v>
      </c>
      <c r="GH64" s="296">
        <v>0</v>
      </c>
      <c r="GI64" s="728">
        <v>0</v>
      </c>
      <c r="GJ64" s="198"/>
      <c r="GK64" s="198"/>
      <c r="GL64" s="198"/>
      <c r="GM64" s="199"/>
      <c r="GN64" s="198"/>
      <c r="GO64" s="198"/>
      <c r="GQ64" s="150">
        <f t="shared" si="169"/>
        <v>38</v>
      </c>
      <c r="GR64" s="1152">
        <v>49576</v>
      </c>
      <c r="GS64" s="205"/>
      <c r="GT64" s="1630">
        <v>31294.150000000012</v>
      </c>
      <c r="GU64" s="1627">
        <v>4293.07</v>
      </c>
      <c r="GV64" s="1633">
        <v>242.52</v>
      </c>
      <c r="GW64" s="198">
        <f t="shared" si="170"/>
        <v>4535.59</v>
      </c>
      <c r="GX64" s="198">
        <f t="shared" si="171"/>
        <v>4535.59</v>
      </c>
      <c r="GY64" s="1042">
        <f t="shared" si="175"/>
        <v>9.4945652173999999</v>
      </c>
      <c r="GZ64" s="199" cm="1">
        <f t="array" ref="GZ64">+ROUND(IF(GY64&lt;1,interpoler($A$5:$A$24,$B$5:$B$24,(GR64-$B$1)),interpoler(CIH!$K$72:$K$103,CIH!$L$72:$L$103,GY64))+$GW$2,5)</f>
        <v>3.9780000000000003E-2</v>
      </c>
      <c r="HA64" s="212">
        <f t="shared" si="180"/>
        <v>3131.71329568896</v>
      </c>
      <c r="HE64" s="116"/>
      <c r="HF64" s="133"/>
      <c r="HG64" s="134"/>
      <c r="HH64" s="134"/>
      <c r="HI64" s="198"/>
      <c r="HJ64" s="198"/>
      <c r="HK64" s="198"/>
      <c r="HL64" s="198"/>
      <c r="HM64" s="199"/>
      <c r="HN64" s="198"/>
      <c r="HR64" s="150">
        <f t="shared" si="182"/>
        <v>0</v>
      </c>
      <c r="HS64" s="714"/>
      <c r="HT64" s="205"/>
      <c r="HU64" s="718"/>
      <c r="HV64" s="718"/>
      <c r="HW64" s="786"/>
      <c r="HX64" s="198"/>
      <c r="HY64" s="198"/>
      <c r="HZ64" s="198"/>
      <c r="IA64" s="199"/>
      <c r="IB64" s="199"/>
      <c r="ID64" s="150">
        <f t="shared" si="173"/>
        <v>0</v>
      </c>
      <c r="IE64" s="714"/>
      <c r="IF64" s="205"/>
      <c r="IG64" s="718"/>
      <c r="IH64" s="718"/>
      <c r="II64" s="198"/>
      <c r="IJ64" s="198"/>
      <c r="IK64" s="198"/>
      <c r="IL64" s="198"/>
      <c r="IM64" s="199"/>
      <c r="IN64" s="776"/>
      <c r="IP64" s="1382">
        <f t="shared" si="181"/>
        <v>0</v>
      </c>
      <c r="IQ64" s="714"/>
      <c r="IR64" s="205"/>
      <c r="IS64" s="718"/>
      <c r="IT64" s="718"/>
      <c r="IU64" s="198"/>
      <c r="IV64" s="198"/>
      <c r="IW64" s="198"/>
      <c r="IX64" s="198"/>
      <c r="IY64" s="199"/>
      <c r="IZ64" s="776"/>
      <c r="JD64" s="150"/>
      <c r="JE64" s="714"/>
      <c r="JF64" s="205"/>
      <c r="JG64" s="718"/>
      <c r="JH64" s="718"/>
      <c r="JI64" s="198"/>
      <c r="JJ64" s="198"/>
      <c r="JK64" s="198"/>
      <c r="JL64" s="198"/>
      <c r="JM64" s="199"/>
      <c r="JN64" s="776"/>
      <c r="JP64" s="150"/>
      <c r="JQ64" s="714"/>
      <c r="JR64" s="205"/>
      <c r="JS64" s="718"/>
      <c r="JT64" s="718"/>
      <c r="JU64" s="198"/>
      <c r="JV64" s="198"/>
      <c r="JW64" s="198"/>
      <c r="JX64" s="198"/>
      <c r="JY64" s="199"/>
      <c r="JZ64" s="776"/>
      <c r="KB64" s="714"/>
      <c r="KC64" s="205"/>
      <c r="KD64" s="718"/>
      <c r="KE64" s="718"/>
      <c r="KF64" s="198"/>
      <c r="KG64" s="198"/>
      <c r="KH64" s="198"/>
      <c r="KI64" s="198"/>
      <c r="KJ64" s="199"/>
      <c r="KK64" s="776"/>
      <c r="KN64" s="714"/>
      <c r="KO64" s="205"/>
      <c r="KP64" s="718"/>
      <c r="KQ64" s="718"/>
      <c r="KR64" s="198"/>
      <c r="KS64" s="198"/>
      <c r="KT64" s="198"/>
      <c r="KU64" s="198"/>
      <c r="KV64" s="199"/>
      <c r="KW64" s="1612"/>
    </row>
    <row r="65" spans="15:309" ht="15" x14ac:dyDescent="0.25">
      <c r="O65" s="109"/>
      <c r="P65" s="109"/>
      <c r="Q65" s="109"/>
      <c r="R65" s="109"/>
      <c r="S65" s="150">
        <f t="shared" si="143"/>
        <v>0</v>
      </c>
      <c r="T65" s="116">
        <v>42655</v>
      </c>
      <c r="U65" s="272">
        <v>58</v>
      </c>
      <c r="V65" s="265">
        <f t="shared" si="176"/>
        <v>2523.5737870370372</v>
      </c>
      <c r="W65" s="265">
        <v>632.48535185185187</v>
      </c>
      <c r="X65" s="137">
        <f t="shared" si="144"/>
        <v>46.18</v>
      </c>
      <c r="Y65" s="137">
        <f t="shared" si="145"/>
        <v>678.67</v>
      </c>
      <c r="Z65" s="137">
        <f t="shared" si="146"/>
        <v>0</v>
      </c>
      <c r="AA65" s="137">
        <f t="shared" si="147"/>
        <v>0</v>
      </c>
      <c r="AB65" s="146" cm="1">
        <f t="array" ref="AB65">+ROUND(IF(AA65&lt;1,interpoler($A$5:$A$24,$B$5:$B$24,(T65-$B$1)),interpoler($C$5:$C$24,$D$5:$D$24,AA65))+$Y$2,6)</f>
        <v>3.0780999999999999E-2</v>
      </c>
      <c r="AC65" s="137">
        <f t="shared" si="148"/>
        <v>0</v>
      </c>
      <c r="AQ65" s="150">
        <f t="shared" si="149"/>
        <v>0</v>
      </c>
      <c r="AR65" s="116"/>
      <c r="AS65" s="133"/>
      <c r="AT65" s="134"/>
      <c r="AU65" s="134"/>
      <c r="AV65" s="137"/>
      <c r="AW65" s="137"/>
      <c r="AX65" s="137"/>
      <c r="AY65" s="137"/>
      <c r="AZ65" s="146"/>
      <c r="BA65" s="137"/>
      <c r="BC65" s="150"/>
      <c r="BD65" s="116"/>
      <c r="BE65" s="133"/>
      <c r="BF65" s="843"/>
      <c r="BG65" s="933"/>
      <c r="BH65" s="137"/>
      <c r="BI65" s="762"/>
      <c r="BJ65" s="198"/>
      <c r="BK65" s="198"/>
      <c r="BL65" s="199"/>
      <c r="BM65" s="447"/>
      <c r="CB65" s="150">
        <f t="shared" si="160"/>
        <v>29</v>
      </c>
      <c r="CC65" s="1151">
        <v>48754</v>
      </c>
      <c r="CD65" s="205">
        <v>30</v>
      </c>
      <c r="CE65" s="1629">
        <v>14286.899999999998</v>
      </c>
      <c r="CF65" s="1626">
        <v>1778.13</v>
      </c>
      <c r="CG65" s="1632">
        <v>143.94</v>
      </c>
      <c r="CH65" s="198">
        <f t="shared" si="142"/>
        <v>1922.07</v>
      </c>
      <c r="CI65" s="198">
        <f t="shared" si="161"/>
        <v>1922.07</v>
      </c>
      <c r="CJ65" s="762">
        <f t="shared" si="183"/>
        <v>7.2445652173999999</v>
      </c>
      <c r="CK65" s="621" cm="1">
        <f t="array" ref="CK65">ROUND(interpoler(mat_zc,Taux_ZC,CJ65)+$CH$2,5)</f>
        <v>3.7560000000000003E-2</v>
      </c>
      <c r="CL65" s="762">
        <f t="shared" si="174"/>
        <v>1471.5003999999999</v>
      </c>
      <c r="CM65" s="280"/>
      <c r="CN65" s="280"/>
      <c r="CO65" s="280"/>
      <c r="CP65" s="280"/>
      <c r="CQ65" s="280"/>
      <c r="CR65" s="280"/>
      <c r="CS65" s="280"/>
      <c r="CT65" s="280"/>
      <c r="CU65" s="280"/>
      <c r="CV65" s="280"/>
      <c r="CW65" s="280"/>
      <c r="CX65" s="280"/>
      <c r="CY65" s="280"/>
      <c r="FD65" s="109"/>
      <c r="FE65" s="109"/>
      <c r="FF65" s="109"/>
      <c r="FI65" s="109"/>
      <c r="FN65" s="109"/>
      <c r="FP65" s="221"/>
      <c r="FQ65" s="526"/>
      <c r="FR65" s="796"/>
      <c r="FS65" s="797"/>
      <c r="FT65"/>
      <c r="FU65"/>
      <c r="FV65"/>
      <c r="FW65" s="798"/>
      <c r="FX65" s="798"/>
      <c r="FY65" s="799"/>
      <c r="FZ65" s="800"/>
      <c r="GA65" s="798"/>
      <c r="GB65" s="484"/>
      <c r="GC65" s="522"/>
      <c r="GD65" s="150"/>
      <c r="GE65" s="828"/>
      <c r="GF65" s="211"/>
      <c r="GG65" s="1039">
        <v>0</v>
      </c>
      <c r="GH65" s="296">
        <v>0</v>
      </c>
      <c r="GI65" s="728">
        <v>0</v>
      </c>
      <c r="GJ65" s="198"/>
      <c r="GK65" s="198"/>
      <c r="GL65" s="198"/>
      <c r="GM65" s="199"/>
      <c r="GN65" s="198"/>
      <c r="GO65" s="198"/>
      <c r="GQ65" s="150">
        <f t="shared" si="169"/>
        <v>39</v>
      </c>
      <c r="GR65" s="1151">
        <v>49667</v>
      </c>
      <c r="GS65" s="205"/>
      <c r="GT65" s="1629">
        <v>27001.080000000013</v>
      </c>
      <c r="GU65" s="1626">
        <v>4128.43</v>
      </c>
      <c r="GV65" s="1632">
        <v>209.25</v>
      </c>
      <c r="GW65" s="198">
        <f t="shared" si="170"/>
        <v>4337.68</v>
      </c>
      <c r="GX65" s="198">
        <f t="shared" si="171"/>
        <v>4337.68</v>
      </c>
      <c r="GY65" s="1042">
        <f t="shared" si="175"/>
        <v>9.7445652173999999</v>
      </c>
      <c r="GZ65" s="199" cm="1">
        <f t="array" ref="GZ65">+ROUND(IF(GY65&lt;1,interpoler($A$5:$A$24,$B$5:$B$24,(GR65-$B$1)),interpoler(CIH!$K$72:$K$103,CIH!$L$72:$L$103,GY65))+$GW$2,5)</f>
        <v>3.993E-2</v>
      </c>
      <c r="HA65" s="212">
        <f t="shared" si="180"/>
        <v>2961.8283162050898</v>
      </c>
      <c r="HE65" s="116"/>
      <c r="HF65" s="133"/>
      <c r="HG65" s="134"/>
      <c r="HH65" s="134"/>
      <c r="HI65" s="198"/>
      <c r="HJ65" s="198"/>
      <c r="HK65" s="198"/>
      <c r="HL65" s="198"/>
      <c r="HM65" s="199"/>
      <c r="HN65" s="198"/>
      <c r="HR65" s="150">
        <f t="shared" si="182"/>
        <v>0</v>
      </c>
      <c r="HS65" s="714"/>
      <c r="HT65" s="205"/>
      <c r="HU65" s="718"/>
      <c r="HV65" s="718"/>
      <c r="HW65" s="786"/>
      <c r="HX65" s="198"/>
      <c r="HY65" s="198"/>
      <c r="HZ65" s="198"/>
      <c r="IA65" s="199"/>
      <c r="IB65" s="199"/>
      <c r="ID65" s="150">
        <f t="shared" si="173"/>
        <v>0</v>
      </c>
      <c r="IE65" s="714"/>
      <c r="IF65" s="205"/>
      <c r="IG65" s="718"/>
      <c r="IH65" s="718"/>
      <c r="II65" s="198"/>
      <c r="IJ65" s="198"/>
      <c r="IK65" s="198"/>
      <c r="IL65" s="198"/>
      <c r="IM65" s="199"/>
      <c r="IN65" s="776"/>
      <c r="IP65" s="1382">
        <f t="shared" si="181"/>
        <v>0</v>
      </c>
      <c r="IQ65" s="714"/>
      <c r="IR65" s="205"/>
      <c r="IS65" s="718"/>
      <c r="IT65" s="718"/>
      <c r="IU65" s="198"/>
      <c r="IV65" s="198"/>
      <c r="IW65" s="198"/>
      <c r="IX65" s="198"/>
      <c r="IY65" s="199"/>
      <c r="IZ65" s="776"/>
      <c r="JD65" s="150"/>
      <c r="JE65" s="714"/>
      <c r="JF65" s="205"/>
      <c r="JG65" s="718"/>
      <c r="JH65" s="718"/>
      <c r="JI65" s="198"/>
      <c r="JJ65" s="198"/>
      <c r="JK65" s="198"/>
      <c r="JL65" s="198"/>
      <c r="JM65" s="199"/>
      <c r="JN65" s="776"/>
      <c r="JP65" s="150"/>
      <c r="JQ65" s="714"/>
      <c r="JR65" s="205"/>
      <c r="JS65" s="718"/>
      <c r="JT65" s="718"/>
      <c r="JU65" s="198"/>
      <c r="JV65" s="198"/>
      <c r="JW65" s="198"/>
      <c r="JX65" s="198"/>
      <c r="JY65" s="199"/>
      <c r="JZ65" s="776"/>
      <c r="KB65" s="714"/>
      <c r="KC65" s="205"/>
      <c r="KD65" s="718"/>
      <c r="KE65" s="718"/>
      <c r="KF65" s="198"/>
      <c r="KG65" s="198"/>
      <c r="KH65" s="198"/>
      <c r="KI65" s="198"/>
      <c r="KJ65" s="199"/>
      <c r="KK65" s="776"/>
      <c r="KN65" s="714"/>
      <c r="KO65" s="205"/>
      <c r="KP65" s="718"/>
      <c r="KQ65" s="718"/>
      <c r="KR65" s="198"/>
      <c r="KS65" s="198"/>
      <c r="KT65" s="198"/>
      <c r="KU65" s="198"/>
      <c r="KV65" s="199"/>
      <c r="KW65" s="1612"/>
    </row>
    <row r="66" spans="15:309" ht="15" x14ac:dyDescent="0.25">
      <c r="O66" s="109"/>
      <c r="P66" s="109"/>
      <c r="Q66" s="109"/>
      <c r="R66" s="109"/>
      <c r="S66" s="150">
        <f t="shared" si="143"/>
        <v>0</v>
      </c>
      <c r="T66" s="116">
        <v>42747</v>
      </c>
      <c r="U66" s="272">
        <v>59</v>
      </c>
      <c r="V66" s="265">
        <f t="shared" si="176"/>
        <v>1891.0884351851853</v>
      </c>
      <c r="W66" s="265">
        <v>537.83977777777773</v>
      </c>
      <c r="X66" s="137">
        <f t="shared" si="144"/>
        <v>34.61</v>
      </c>
      <c r="Y66" s="137">
        <f t="shared" si="145"/>
        <v>572.45000000000005</v>
      </c>
      <c r="Z66" s="137">
        <f t="shared" si="146"/>
        <v>0</v>
      </c>
      <c r="AA66" s="137">
        <f t="shared" si="147"/>
        <v>0</v>
      </c>
      <c r="AB66" s="146" cm="1">
        <f t="array" ref="AB66">+ROUND(IF(AA66&lt;1,interpoler($A$5:$A$24,$B$5:$B$24,(T66-$B$1)),interpoler($C$5:$C$24,$D$5:$D$24,AA66))+$Y$2,6)</f>
        <v>3.0780999999999999E-2</v>
      </c>
      <c r="AC66" s="137">
        <f t="shared" si="148"/>
        <v>0</v>
      </c>
      <c r="AQ66" s="150">
        <f t="shared" si="149"/>
        <v>0</v>
      </c>
      <c r="AR66" s="116"/>
      <c r="AS66" s="133"/>
      <c r="AT66" s="134"/>
      <c r="AU66" s="134"/>
      <c r="AV66" s="137"/>
      <c r="AW66" s="137"/>
      <c r="AX66" s="137"/>
      <c r="AY66" s="137"/>
      <c r="AZ66" s="146"/>
      <c r="BA66" s="137"/>
      <c r="BC66" s="150"/>
      <c r="BD66" s="116"/>
      <c r="BE66" s="133"/>
      <c r="BF66" s="843"/>
      <c r="BG66" s="933"/>
      <c r="BH66" s="137"/>
      <c r="BI66" s="762"/>
      <c r="BJ66" s="198"/>
      <c r="BK66" s="198"/>
      <c r="BL66" s="199"/>
      <c r="BM66" s="447"/>
      <c r="CB66" s="150">
        <f t="shared" si="160"/>
        <v>30</v>
      </c>
      <c r="CC66" s="1152">
        <v>48846</v>
      </c>
      <c r="CD66" s="205">
        <v>31</v>
      </c>
      <c r="CE66" s="1630">
        <v>12508.769999999997</v>
      </c>
      <c r="CF66" s="1627">
        <v>1757.34</v>
      </c>
      <c r="CG66" s="1633">
        <v>126.02</v>
      </c>
      <c r="CH66" s="198">
        <f t="shared" si="142"/>
        <v>1883.36</v>
      </c>
      <c r="CI66" s="198">
        <f t="shared" si="161"/>
        <v>1883.36</v>
      </c>
      <c r="CJ66" s="762">
        <f t="shared" si="183"/>
        <v>7.4945652173999999</v>
      </c>
      <c r="CK66" s="621" cm="1">
        <f t="array" ref="CK66">ROUND(interpoler(mat_zc,Taux_ZC,CJ66)+$CH$2,5)</f>
        <v>3.7690000000000001E-2</v>
      </c>
      <c r="CL66" s="762">
        <f t="shared" si="174"/>
        <v>1427.2940000000001</v>
      </c>
      <c r="CM66" s="280"/>
      <c r="CN66" s="280"/>
      <c r="CO66" s="280"/>
      <c r="CP66" s="280"/>
      <c r="CQ66" s="280"/>
      <c r="CR66" s="280"/>
      <c r="CS66" s="280"/>
      <c r="CT66" s="280"/>
      <c r="CU66" s="280"/>
      <c r="CV66" s="280"/>
      <c r="CW66" s="280"/>
      <c r="CX66" s="280"/>
      <c r="CY66" s="280"/>
      <c r="FD66" s="109"/>
      <c r="FE66" s="109"/>
      <c r="FF66" s="109"/>
      <c r="FI66" s="109"/>
      <c r="FN66" s="109"/>
      <c r="FP66" s="221"/>
      <c r="FQ66" s="526"/>
      <c r="FR66" s="796"/>
      <c r="FS66" s="797"/>
      <c r="FT66"/>
      <c r="FU66"/>
      <c r="FV66"/>
      <c r="FW66" s="798"/>
      <c r="FX66" s="798"/>
      <c r="FY66" s="799"/>
      <c r="FZ66" s="800"/>
      <c r="GA66" s="798"/>
      <c r="GB66" s="484"/>
      <c r="GC66" s="522"/>
      <c r="GD66" s="150"/>
      <c r="GE66" s="116"/>
      <c r="GF66" s="133"/>
      <c r="GG66" s="1040">
        <v>0</v>
      </c>
      <c r="GH66" s="1040">
        <v>0</v>
      </c>
      <c r="GI66" s="728">
        <v>0</v>
      </c>
      <c r="GJ66" s="198"/>
      <c r="GK66" s="198"/>
      <c r="GL66" s="198"/>
      <c r="GM66" s="199"/>
      <c r="GN66" s="198"/>
      <c r="GO66" s="198"/>
      <c r="GQ66" s="150">
        <f t="shared" si="169"/>
        <v>40</v>
      </c>
      <c r="GR66" s="1152">
        <v>49758</v>
      </c>
      <c r="GS66" s="205"/>
      <c r="GT66" s="1630">
        <v>22872.650000000012</v>
      </c>
      <c r="GU66" s="1627">
        <v>3945.17</v>
      </c>
      <c r="GV66" s="1633">
        <v>177.26</v>
      </c>
      <c r="GW66" s="198">
        <f t="shared" si="170"/>
        <v>4122.43</v>
      </c>
      <c r="GX66" s="198">
        <f t="shared" si="171"/>
        <v>4122.43</v>
      </c>
      <c r="GY66" s="1042">
        <f t="shared" si="175"/>
        <v>9.9945652173999999</v>
      </c>
      <c r="GZ66" s="199" cm="1">
        <f t="array" ref="GZ66">+ROUND(IF(GY66&lt;1,interpoler($A$5:$A$24,$B$5:$B$24,(GR66-$B$1)),interpoler(CIH!$K$72:$K$103,CIH!$L$72:$L$103,GY66))+$GW$2,5)</f>
        <v>4.0079999999999998E-2</v>
      </c>
      <c r="HA66" s="212">
        <f t="shared" si="180"/>
        <v>2783.4190237459802</v>
      </c>
      <c r="HE66" s="116"/>
      <c r="HF66" s="133"/>
      <c r="HG66" s="134"/>
      <c r="HH66" s="134"/>
      <c r="HI66" s="198"/>
      <c r="HJ66" s="198"/>
      <c r="HK66" s="198"/>
      <c r="HL66" s="198"/>
      <c r="HM66" s="199"/>
      <c r="HN66" s="198"/>
      <c r="HR66" s="150">
        <f t="shared" si="182"/>
        <v>0</v>
      </c>
      <c r="HS66" s="714"/>
      <c r="HT66" s="205"/>
      <c r="HU66" s="718"/>
      <c r="HV66" s="718"/>
      <c r="HW66" s="786"/>
      <c r="HX66" s="198"/>
      <c r="HY66" s="198"/>
      <c r="HZ66" s="198"/>
      <c r="IA66" s="199"/>
      <c r="IB66" s="199"/>
      <c r="ID66" s="150">
        <f t="shared" si="173"/>
        <v>0</v>
      </c>
      <c r="IE66" s="714"/>
      <c r="IF66" s="205"/>
      <c r="IG66" s="718"/>
      <c r="IH66" s="718"/>
      <c r="II66" s="198"/>
      <c r="IJ66" s="198"/>
      <c r="IK66" s="198"/>
      <c r="IL66" s="198"/>
      <c r="IM66" s="199"/>
      <c r="IN66" s="776"/>
      <c r="IP66" s="1382">
        <f t="shared" si="181"/>
        <v>0</v>
      </c>
      <c r="IQ66" s="714"/>
      <c r="IR66" s="205"/>
      <c r="IS66" s="718"/>
      <c r="IT66" s="718"/>
      <c r="IU66" s="198"/>
      <c r="IV66" s="198"/>
      <c r="IW66" s="198"/>
      <c r="IX66" s="198"/>
      <c r="IY66" s="199"/>
      <c r="IZ66" s="776"/>
      <c r="JD66" s="150"/>
      <c r="JE66" s="714"/>
      <c r="JF66" s="205"/>
      <c r="JG66" s="718"/>
      <c r="JH66" s="718"/>
      <c r="JI66" s="198"/>
      <c r="JJ66" s="198"/>
      <c r="JK66" s="198"/>
      <c r="JL66" s="198"/>
      <c r="JM66" s="199"/>
      <c r="JN66" s="776"/>
      <c r="JP66" s="150"/>
      <c r="JQ66" s="714"/>
      <c r="JR66" s="205"/>
      <c r="JS66" s="718"/>
      <c r="JT66" s="718"/>
      <c r="JU66" s="198"/>
      <c r="JV66" s="198"/>
      <c r="JW66" s="198"/>
      <c r="JX66" s="198"/>
      <c r="JY66" s="199"/>
      <c r="JZ66" s="776"/>
      <c r="KB66" s="714"/>
      <c r="KC66" s="205"/>
      <c r="KD66" s="718"/>
      <c r="KE66" s="718"/>
      <c r="KF66" s="198"/>
      <c r="KG66" s="198"/>
      <c r="KH66" s="198"/>
      <c r="KI66" s="198"/>
      <c r="KJ66" s="199"/>
      <c r="KK66" s="776"/>
      <c r="KN66" s="714"/>
      <c r="KO66" s="205"/>
      <c r="KP66" s="718"/>
      <c r="KQ66" s="718"/>
      <c r="KR66" s="198"/>
      <c r="KS66" s="198"/>
      <c r="KT66" s="198"/>
      <c r="KU66" s="198"/>
      <c r="KV66" s="199"/>
      <c r="KW66" s="1612"/>
    </row>
    <row r="67" spans="15:309" ht="15.75" thickBot="1" x14ac:dyDescent="0.3">
      <c r="O67" s="109"/>
      <c r="P67" s="109"/>
      <c r="Q67" s="109"/>
      <c r="R67" s="109"/>
      <c r="S67" s="150">
        <f t="shared" si="143"/>
        <v>0</v>
      </c>
      <c r="T67" s="116">
        <v>42837</v>
      </c>
      <c r="U67" s="273">
        <v>60</v>
      </c>
      <c r="V67" s="265">
        <f t="shared" si="176"/>
        <v>1353.2486574074076</v>
      </c>
      <c r="W67" s="266">
        <v>467.67562037037038</v>
      </c>
      <c r="X67" s="137">
        <f t="shared" si="144"/>
        <v>24.76</v>
      </c>
      <c r="Y67" s="137">
        <f t="shared" si="145"/>
        <v>492.44</v>
      </c>
      <c r="Z67" s="137">
        <f t="shared" si="146"/>
        <v>0</v>
      </c>
      <c r="AA67" s="137">
        <f t="shared" si="147"/>
        <v>0</v>
      </c>
      <c r="AB67" s="146" cm="1">
        <f t="array" ref="AB67">+ROUND(IF(AA67&lt;1,interpoler($A$5:$A$24,$B$5:$B$24,(T67-$B$1)),interpoler($C$5:$C$24,$D$5:$D$24,AA67))+$Y$2,6)</f>
        <v>3.0780999999999999E-2</v>
      </c>
      <c r="AC67" s="137">
        <f t="shared" si="148"/>
        <v>0</v>
      </c>
      <c r="AQ67" s="150">
        <f t="shared" si="149"/>
        <v>0</v>
      </c>
      <c r="AR67" s="116"/>
      <c r="AS67" s="133"/>
      <c r="AT67" s="134"/>
      <c r="AU67" s="134"/>
      <c r="AV67" s="137"/>
      <c r="AW67" s="137"/>
      <c r="AX67" s="137"/>
      <c r="AY67" s="137"/>
      <c r="AZ67" s="146"/>
      <c r="BA67" s="137"/>
      <c r="BC67" s="150"/>
      <c r="BD67" s="116"/>
      <c r="BE67" s="133"/>
      <c r="BF67" s="843"/>
      <c r="BG67" s="933"/>
      <c r="BH67" s="137"/>
      <c r="BI67" s="762"/>
      <c r="BJ67" s="198"/>
      <c r="BK67" s="198"/>
      <c r="BL67" s="199"/>
      <c r="BM67" s="447"/>
      <c r="CB67" s="150">
        <f t="shared" si="160"/>
        <v>31</v>
      </c>
      <c r="CC67" s="1151">
        <v>48937</v>
      </c>
      <c r="CD67" s="205">
        <v>32</v>
      </c>
      <c r="CE67" s="1629">
        <v>10751.429999999997</v>
      </c>
      <c r="CF67" s="1626">
        <v>1748.33</v>
      </c>
      <c r="CG67" s="1632">
        <v>108.32</v>
      </c>
      <c r="CH67" s="198">
        <f t="shared" si="142"/>
        <v>1856.65</v>
      </c>
      <c r="CI67" s="198">
        <f t="shared" si="161"/>
        <v>1856.65</v>
      </c>
      <c r="CJ67" s="762">
        <f t="shared" si="183"/>
        <v>7.7445652173999999</v>
      </c>
      <c r="CK67" s="621" cm="1">
        <f t="array" ref="CK67">ROUND(interpoler(mat_zc,Taux_ZC,CJ67)+$CH$2,5)</f>
        <v>3.7819999999999999E-2</v>
      </c>
      <c r="CL67" s="762">
        <f t="shared" si="174"/>
        <v>1392.7458999999999</v>
      </c>
      <c r="CM67" s="280"/>
      <c r="CN67" s="280"/>
      <c r="CO67" s="280"/>
      <c r="CP67" s="280"/>
      <c r="CQ67" s="280"/>
      <c r="CR67" s="280"/>
      <c r="CS67" s="280"/>
      <c r="CT67" s="280"/>
      <c r="CU67" s="280"/>
      <c r="CV67" s="280"/>
      <c r="CW67" s="280"/>
      <c r="CX67" s="280"/>
      <c r="CY67" s="280"/>
      <c r="FD67" s="109"/>
      <c r="FE67" s="109"/>
      <c r="FF67" s="109"/>
      <c r="FI67" s="109"/>
      <c r="FN67" s="109"/>
      <c r="FP67" s="221"/>
      <c r="FQ67" s="526"/>
      <c r="FR67" s="796"/>
      <c r="FS67" s="797"/>
      <c r="FT67" s="901"/>
      <c r="FU67" s="1008"/>
      <c r="FV67" s="902"/>
      <c r="FW67" s="798"/>
      <c r="FX67" s="798"/>
      <c r="FY67" s="799"/>
      <c r="FZ67" s="800"/>
      <c r="GA67" s="798"/>
      <c r="GB67" s="484"/>
      <c r="GC67" s="522"/>
      <c r="GD67" s="150"/>
      <c r="GE67" s="116"/>
      <c r="GF67" s="133"/>
      <c r="GG67" s="1040">
        <v>0</v>
      </c>
      <c r="GH67" s="1040">
        <v>0</v>
      </c>
      <c r="GI67" s="728">
        <v>0</v>
      </c>
      <c r="GJ67" s="198"/>
      <c r="GK67" s="198"/>
      <c r="GL67" s="198"/>
      <c r="GM67" s="199"/>
      <c r="GN67" s="198"/>
      <c r="GO67" s="198"/>
      <c r="GQ67" s="150">
        <f t="shared" si="169"/>
        <v>41</v>
      </c>
      <c r="GR67" s="1151">
        <v>49850</v>
      </c>
      <c r="GS67" s="205"/>
      <c r="GT67" s="1629">
        <v>18927.48000000001</v>
      </c>
      <c r="GU67" s="1626">
        <v>3778.64</v>
      </c>
      <c r="GV67" s="1632">
        <v>146.68</v>
      </c>
      <c r="GW67" s="198">
        <f t="shared" si="170"/>
        <v>3925.32</v>
      </c>
      <c r="GX67" s="198">
        <f t="shared" si="171"/>
        <v>3925.32</v>
      </c>
      <c r="GY67" s="1042">
        <f t="shared" si="175"/>
        <v>10.2445652174</v>
      </c>
      <c r="GZ67" s="199" cm="1">
        <f t="array" ref="GZ67">+ROUND(IF(GY67&lt;1,interpoler($A$5:$A$24,$B$5:$B$24,(GR67-$B$1)),interpoler(CIH!$K$72:$K$103,CIH!$L$72:$L$103,GY67))+$GW$2,5)</f>
        <v>4.0239999999999998E-2</v>
      </c>
      <c r="HA67" s="212">
        <f t="shared" si="180"/>
        <v>2620.2896500308698</v>
      </c>
      <c r="HE67" s="116"/>
      <c r="HF67" s="133"/>
      <c r="HG67" s="134"/>
      <c r="HH67" s="134"/>
      <c r="HI67" s="198"/>
      <c r="HJ67" s="198"/>
      <c r="HK67" s="198"/>
      <c r="HL67" s="198"/>
      <c r="HM67" s="199"/>
      <c r="HN67" s="198"/>
      <c r="HR67" s="150">
        <f t="shared" si="182"/>
        <v>0</v>
      </c>
      <c r="HS67" s="714"/>
      <c r="HT67" s="205"/>
      <c r="HU67" s="718"/>
      <c r="HV67" s="718"/>
      <c r="HW67" s="786"/>
      <c r="HX67" s="198"/>
      <c r="HY67" s="198"/>
      <c r="HZ67" s="198"/>
      <c r="IA67" s="199"/>
      <c r="IB67" s="199"/>
      <c r="ID67" s="150">
        <f t="shared" si="173"/>
        <v>0</v>
      </c>
      <c r="IE67" s="714"/>
      <c r="IF67" s="205"/>
      <c r="IG67" s="718"/>
      <c r="IH67" s="718"/>
      <c r="II67" s="198"/>
      <c r="IJ67" s="198"/>
      <c r="IK67" s="198"/>
      <c r="IL67" s="198"/>
      <c r="IM67" s="199"/>
      <c r="IN67" s="776"/>
      <c r="IP67" s="1382">
        <f t="shared" si="181"/>
        <v>0</v>
      </c>
      <c r="IQ67" s="714"/>
      <c r="IR67" s="205"/>
      <c r="IS67" s="718"/>
      <c r="IT67" s="718"/>
      <c r="IU67" s="198"/>
      <c r="IV67" s="198"/>
      <c r="IW67" s="198"/>
      <c r="IX67" s="198"/>
      <c r="IY67" s="199"/>
      <c r="IZ67" s="776"/>
      <c r="JD67" s="150"/>
      <c r="JE67" s="714"/>
      <c r="JF67" s="205"/>
      <c r="JG67" s="718"/>
      <c r="JH67" s="718"/>
      <c r="JI67" s="198"/>
      <c r="JJ67" s="198"/>
      <c r="JK67" s="198"/>
      <c r="JL67" s="198"/>
      <c r="JM67" s="199"/>
      <c r="JN67" s="776"/>
      <c r="JP67" s="150"/>
      <c r="JQ67" s="714"/>
      <c r="JR67" s="205"/>
      <c r="JS67" s="718"/>
      <c r="JT67" s="718"/>
      <c r="JU67" s="198"/>
      <c r="JV67" s="198"/>
      <c r="JW67" s="198"/>
      <c r="JX67" s="198"/>
      <c r="JY67" s="199"/>
      <c r="JZ67" s="776"/>
      <c r="KB67" s="714"/>
      <c r="KC67" s="205"/>
      <c r="KD67" s="718"/>
      <c r="KE67" s="718"/>
      <c r="KF67" s="198"/>
      <c r="KG67" s="198"/>
      <c r="KH67" s="198"/>
      <c r="KI67" s="198"/>
      <c r="KJ67" s="199"/>
      <c r="KK67" s="776"/>
      <c r="KN67" s="714"/>
      <c r="KO67" s="205"/>
      <c r="KP67" s="718"/>
      <c r="KQ67" s="718"/>
      <c r="KR67" s="198"/>
      <c r="KS67" s="198"/>
      <c r="KT67" s="198"/>
      <c r="KU67" s="198"/>
      <c r="KV67" s="199"/>
      <c r="KW67" s="1612"/>
    </row>
    <row r="68" spans="15:309" ht="15" x14ac:dyDescent="0.25">
      <c r="O68" s="109"/>
      <c r="P68" s="109"/>
      <c r="Q68" s="109"/>
      <c r="R68" s="109"/>
      <c r="S68" s="150">
        <f t="shared" si="143"/>
        <v>0</v>
      </c>
      <c r="T68" s="116">
        <v>42928</v>
      </c>
      <c r="U68" s="272">
        <v>61</v>
      </c>
      <c r="V68" s="265">
        <f t="shared" si="176"/>
        <v>885.57303703703724</v>
      </c>
      <c r="W68" s="264">
        <v>414.25858333333338</v>
      </c>
      <c r="X68" s="137">
        <f t="shared" si="144"/>
        <v>16.21</v>
      </c>
      <c r="Y68" s="137">
        <f t="shared" si="145"/>
        <v>430.47</v>
      </c>
      <c r="Z68" s="137">
        <f t="shared" si="146"/>
        <v>0</v>
      </c>
      <c r="AA68" s="137">
        <f t="shared" si="147"/>
        <v>0</v>
      </c>
      <c r="AB68" s="146" cm="1">
        <f t="array" ref="AB68">+ROUND(IF(AA68&lt;1,interpoler($A$5:$A$24,$B$5:$B$24,(T68-$B$1)),interpoler($C$5:$C$24,$D$5:$D$24,AA68))+$Y$2,6)</f>
        <v>3.0780999999999999E-2</v>
      </c>
      <c r="AC68" s="137">
        <f t="shared" si="148"/>
        <v>0</v>
      </c>
      <c r="AQ68" s="150">
        <f t="shared" si="149"/>
        <v>0</v>
      </c>
      <c r="AR68" s="116"/>
      <c r="AS68" s="133"/>
      <c r="AT68" s="134"/>
      <c r="AU68" s="134"/>
      <c r="AV68" s="137"/>
      <c r="AW68" s="137"/>
      <c r="AX68" s="137"/>
      <c r="AY68" s="137"/>
      <c r="AZ68" s="146"/>
      <c r="BA68" s="137"/>
      <c r="BC68" s="150"/>
      <c r="BD68" s="116"/>
      <c r="BE68" s="133"/>
      <c r="BF68" s="843"/>
      <c r="BG68" s="836"/>
      <c r="BH68" s="137"/>
      <c r="BI68" s="762"/>
      <c r="BJ68" s="198"/>
      <c r="BK68" s="198"/>
      <c r="BL68" s="199"/>
      <c r="BM68" s="447"/>
      <c r="CB68" s="150">
        <f t="shared" si="160"/>
        <v>32</v>
      </c>
      <c r="CC68" s="1152">
        <v>49027</v>
      </c>
      <c r="CD68" s="205">
        <v>33</v>
      </c>
      <c r="CE68" s="1630">
        <v>9003.0999999999967</v>
      </c>
      <c r="CF68" s="1627">
        <v>1722.98</v>
      </c>
      <c r="CG68" s="1633">
        <v>90.7</v>
      </c>
      <c r="CH68" s="198">
        <f t="shared" si="142"/>
        <v>1813.68</v>
      </c>
      <c r="CI68" s="198">
        <f t="shared" si="161"/>
        <v>1813.68</v>
      </c>
      <c r="CJ68" s="762">
        <f t="shared" si="183"/>
        <v>7.9945652173999999</v>
      </c>
      <c r="CK68" s="621" cm="1">
        <f t="array" ref="CK68">ROUND(interpoler(mat_zc,Taux_ZC,CJ68)+$CH$2,5)</f>
        <v>3.7949999999999998E-2</v>
      </c>
      <c r="CL68" s="762">
        <f t="shared" si="174"/>
        <v>1346.5953999999999</v>
      </c>
      <c r="CM68" s="280"/>
      <c r="CN68" s="280"/>
      <c r="CO68" s="280"/>
      <c r="CP68" s="280"/>
      <c r="CQ68" s="280"/>
      <c r="CR68" s="280"/>
      <c r="CS68" s="280"/>
      <c r="CT68" s="280"/>
      <c r="CU68" s="280"/>
      <c r="CV68" s="280"/>
      <c r="CW68" s="280"/>
      <c r="CX68" s="280"/>
      <c r="CY68" s="280"/>
      <c r="FD68" s="109"/>
      <c r="FE68" s="109"/>
      <c r="FF68" s="109"/>
      <c r="FI68" s="109"/>
      <c r="FN68" s="109"/>
      <c r="FP68" s="221"/>
      <c r="FQ68" s="526"/>
      <c r="FR68" s="796"/>
      <c r="FS68" s="797"/>
      <c r="FT68" s="901"/>
      <c r="FU68" s="903"/>
      <c r="FV68" s="902"/>
      <c r="FW68" s="798"/>
      <c r="FX68" s="798"/>
      <c r="FY68" s="799"/>
      <c r="FZ68" s="800"/>
      <c r="GA68" s="798"/>
      <c r="GB68" s="484"/>
      <c r="GC68" s="522"/>
      <c r="GD68" s="150"/>
      <c r="GE68" s="116"/>
      <c r="GF68" s="133"/>
      <c r="GG68" s="1040">
        <v>0</v>
      </c>
      <c r="GH68" s="1040">
        <v>0</v>
      </c>
      <c r="GI68" s="728">
        <v>0</v>
      </c>
      <c r="GJ68" s="198"/>
      <c r="GK68" s="198"/>
      <c r="GL68" s="198"/>
      <c r="GM68" s="199"/>
      <c r="GN68" s="198"/>
      <c r="GO68" s="198"/>
      <c r="GQ68" s="150">
        <f t="shared" si="169"/>
        <v>42</v>
      </c>
      <c r="GR68" s="1152">
        <v>49942</v>
      </c>
      <c r="GS68" s="205"/>
      <c r="GT68" s="1630">
        <v>15148.840000000011</v>
      </c>
      <c r="GU68" s="1627">
        <v>3617.06</v>
      </c>
      <c r="GV68" s="1633">
        <v>117.4</v>
      </c>
      <c r="GW68" s="198">
        <f t="shared" si="170"/>
        <v>3734.46</v>
      </c>
      <c r="GX68" s="198">
        <f t="shared" si="171"/>
        <v>3734.46</v>
      </c>
      <c r="GY68" s="1042">
        <f t="shared" si="175"/>
        <v>10.4945652174</v>
      </c>
      <c r="GZ68" s="199" cm="1">
        <f t="array" ref="GZ68">+ROUND(IF(GY68&lt;1,interpoler($A$5:$A$24,$B$5:$B$24,(GR68-$B$1)),interpoler(CIH!$K$72:$K$103,CIH!$L$72:$L$103,GY68))+$GW$2,5)</f>
        <v>4.0410000000000001E-2</v>
      </c>
      <c r="HA68" s="212">
        <f t="shared" si="180"/>
        <v>2464.1882244530898</v>
      </c>
      <c r="HE68" s="116"/>
      <c r="HF68" s="133"/>
      <c r="HG68" s="134"/>
      <c r="HH68" s="134"/>
      <c r="HI68" s="198"/>
      <c r="HJ68" s="198"/>
      <c r="HK68" s="198"/>
      <c r="HL68" s="198"/>
      <c r="HM68" s="199"/>
      <c r="HN68" s="198"/>
      <c r="HR68" s="150">
        <f t="shared" si="182"/>
        <v>0</v>
      </c>
      <c r="HS68" s="714"/>
      <c r="HT68" s="205"/>
      <c r="HU68" s="718"/>
      <c r="HV68" s="718"/>
      <c r="HW68" s="786"/>
      <c r="HX68" s="198"/>
      <c r="HY68" s="198"/>
      <c r="HZ68" s="198"/>
      <c r="IA68" s="199"/>
      <c r="IB68" s="199"/>
      <c r="ID68" s="150">
        <f t="shared" si="173"/>
        <v>0</v>
      </c>
      <c r="IE68" s="714"/>
      <c r="IF68" s="205"/>
      <c r="IG68" s="718"/>
      <c r="IH68" s="718"/>
      <c r="II68" s="198"/>
      <c r="IJ68" s="198"/>
      <c r="IK68" s="198"/>
      <c r="IL68" s="198"/>
      <c r="IM68" s="199"/>
      <c r="IN68" s="776"/>
      <c r="IP68" s="1382">
        <f t="shared" si="181"/>
        <v>0</v>
      </c>
      <c r="IQ68" s="714"/>
      <c r="IR68" s="205"/>
      <c r="IS68" s="718"/>
      <c r="IT68" s="718"/>
      <c r="IU68" s="198"/>
      <c r="IV68" s="198"/>
      <c r="IW68" s="198"/>
      <c r="IX68" s="198"/>
      <c r="IY68" s="199"/>
      <c r="IZ68" s="776"/>
      <c r="JD68" s="150"/>
      <c r="JE68" s="714"/>
      <c r="JF68" s="205"/>
      <c r="JG68" s="718"/>
      <c r="JH68" s="718"/>
      <c r="JI68" s="198"/>
      <c r="JJ68" s="198"/>
      <c r="JK68" s="198"/>
      <c r="JL68" s="198"/>
      <c r="JM68" s="199"/>
      <c r="JN68" s="776"/>
      <c r="JP68" s="150"/>
      <c r="JQ68" s="714"/>
      <c r="JR68" s="205"/>
      <c r="JS68" s="718"/>
      <c r="JT68" s="718"/>
      <c r="JU68" s="198"/>
      <c r="JV68" s="198"/>
      <c r="JW68" s="198"/>
      <c r="JX68" s="198"/>
      <c r="JY68" s="199"/>
      <c r="JZ68" s="776"/>
      <c r="KB68" s="714"/>
      <c r="KC68" s="205"/>
      <c r="KD68" s="718"/>
      <c r="KE68" s="718"/>
      <c r="KF68" s="198"/>
      <c r="KG68" s="198"/>
      <c r="KH68" s="198"/>
      <c r="KI68" s="198"/>
      <c r="KJ68" s="199"/>
      <c r="KK68" s="776"/>
      <c r="KN68" s="714"/>
      <c r="KO68" s="205"/>
      <c r="KP68" s="718"/>
      <c r="KQ68" s="718"/>
      <c r="KR68" s="198"/>
      <c r="KS68" s="198"/>
      <c r="KT68" s="198"/>
      <c r="KU68" s="198"/>
      <c r="KV68" s="199"/>
      <c r="KW68" s="1612"/>
    </row>
    <row r="69" spans="15:309" ht="15" x14ac:dyDescent="0.25">
      <c r="O69" s="109"/>
      <c r="P69" s="109"/>
      <c r="Q69" s="109"/>
      <c r="R69" s="109"/>
      <c r="S69" s="150">
        <f t="shared" si="143"/>
        <v>0</v>
      </c>
      <c r="T69" s="116">
        <v>43020</v>
      </c>
      <c r="U69" s="272">
        <v>62</v>
      </c>
      <c r="V69" s="265">
        <f t="shared" si="176"/>
        <v>471.31445370370386</v>
      </c>
      <c r="W69" s="265">
        <v>352.28329629629633</v>
      </c>
      <c r="X69" s="137">
        <f t="shared" si="144"/>
        <v>8.6300000000000008</v>
      </c>
      <c r="Y69" s="137">
        <f t="shared" si="145"/>
        <v>360.91</v>
      </c>
      <c r="Z69" s="137">
        <f t="shared" si="146"/>
        <v>0</v>
      </c>
      <c r="AA69" s="137">
        <f t="shared" si="147"/>
        <v>0</v>
      </c>
      <c r="AB69" s="146" cm="1">
        <f t="array" ref="AB69">+ROUND(IF(AA69&lt;1,interpoler($A$5:$A$24,$B$5:$B$24,(T69-$B$1)),interpoler($C$5:$C$24,$D$5:$D$24,AA69))+$Y$2,6)</f>
        <v>3.0780999999999999E-2</v>
      </c>
      <c r="AC69" s="137">
        <f t="shared" si="148"/>
        <v>0</v>
      </c>
      <c r="AQ69" s="150">
        <f t="shared" si="149"/>
        <v>0</v>
      </c>
      <c r="AR69" s="116"/>
      <c r="AS69" s="133"/>
      <c r="AT69" s="134"/>
      <c r="AU69" s="134"/>
      <c r="AV69" s="137"/>
      <c r="AW69" s="137"/>
      <c r="AX69" s="137"/>
      <c r="AY69" s="137"/>
      <c r="AZ69" s="146"/>
      <c r="BA69" s="137"/>
      <c r="BC69" s="150"/>
      <c r="BD69" s="116"/>
      <c r="BE69" s="133"/>
      <c r="BF69" s="843"/>
      <c r="BG69" s="836"/>
      <c r="BH69" s="137"/>
      <c r="BI69" s="762"/>
      <c r="BJ69" s="198"/>
      <c r="BK69" s="198"/>
      <c r="BL69" s="199"/>
      <c r="BM69" s="447"/>
      <c r="CB69" s="150">
        <f t="shared" si="160"/>
        <v>33</v>
      </c>
      <c r="CC69" s="1151">
        <v>49119</v>
      </c>
      <c r="CD69" s="205">
        <v>34</v>
      </c>
      <c r="CE69" s="1629">
        <v>7280.1199999999972</v>
      </c>
      <c r="CF69" s="1626">
        <v>1697.82</v>
      </c>
      <c r="CG69" s="1632">
        <v>73.34</v>
      </c>
      <c r="CH69" s="198">
        <f t="shared" si="142"/>
        <v>1771.16</v>
      </c>
      <c r="CI69" s="198">
        <f t="shared" si="161"/>
        <v>1771.16</v>
      </c>
      <c r="CJ69" s="762">
        <f t="shared" si="183"/>
        <v>8.2445652173999999</v>
      </c>
      <c r="CK69" s="621" cm="1">
        <f t="array" ref="CK69">ROUND(interpoler(mat_zc,Taux_ZC,CJ69)+$CH$2,5)</f>
        <v>3.8080000000000003E-2</v>
      </c>
      <c r="CL69" s="762">
        <f t="shared" si="174"/>
        <v>1301.4926</v>
      </c>
      <c r="CM69" s="280"/>
      <c r="CN69" s="280"/>
      <c r="CO69" s="280"/>
      <c r="CP69" s="280"/>
      <c r="CQ69" s="280"/>
      <c r="CR69" s="280"/>
      <c r="CS69" s="280"/>
      <c r="CT69" s="280"/>
      <c r="CU69" s="280"/>
      <c r="CV69" s="280"/>
      <c r="CW69" s="280"/>
      <c r="CX69" s="280"/>
      <c r="CY69" s="280"/>
      <c r="FD69" s="109"/>
      <c r="FE69" s="109"/>
      <c r="FF69" s="109"/>
      <c r="FI69" s="109"/>
      <c r="FN69" s="109"/>
      <c r="FP69" s="221"/>
      <c r="FQ69" s="526"/>
      <c r="FR69" s="796"/>
      <c r="FS69" s="797"/>
      <c r="FT69" s="901"/>
      <c r="FU69" s="1008"/>
      <c r="FV69" s="902"/>
      <c r="FW69" s="798"/>
      <c r="FX69" s="798"/>
      <c r="FY69" s="799"/>
      <c r="FZ69" s="800"/>
      <c r="GA69" s="798"/>
      <c r="GB69" s="484"/>
      <c r="GC69" s="522"/>
      <c r="GD69" s="150"/>
      <c r="GE69" s="116"/>
      <c r="GF69" s="133"/>
      <c r="GG69" s="1040">
        <v>0</v>
      </c>
      <c r="GH69" s="1040">
        <v>0</v>
      </c>
      <c r="GI69" s="728">
        <v>0</v>
      </c>
      <c r="GJ69" s="198"/>
      <c r="GK69" s="198"/>
      <c r="GL69" s="198"/>
      <c r="GM69" s="199"/>
      <c r="GN69" s="198"/>
      <c r="GO69" s="198"/>
      <c r="GQ69" s="150">
        <f t="shared" si="169"/>
        <v>43</v>
      </c>
      <c r="GR69" s="1151">
        <v>50033</v>
      </c>
      <c r="GS69" s="205"/>
      <c r="GT69" s="1629">
        <v>11531.780000000012</v>
      </c>
      <c r="GU69" s="1626">
        <v>3461.61</v>
      </c>
      <c r="GV69" s="1632">
        <v>89.37</v>
      </c>
      <c r="GW69" s="198">
        <f t="shared" si="170"/>
        <v>3550.98</v>
      </c>
      <c r="GX69" s="198">
        <f t="shared" si="171"/>
        <v>3550.98</v>
      </c>
      <c r="GY69" s="1042">
        <f t="shared" si="175"/>
        <v>10.7445652174</v>
      </c>
      <c r="GZ69" s="199" cm="1">
        <f t="array" ref="GZ69">+ROUND(IF(GY69&lt;1,interpoler($A$5:$A$24,$B$5:$B$24,(GR69-$B$1)),interpoler(CIH!$K$72:$K$103,CIH!$L$72:$L$103,GY69))+$GW$2,5)</f>
        <v>4.0570000000000002E-2</v>
      </c>
      <c r="HA69" s="212">
        <f t="shared" si="180"/>
        <v>2316.1976016911599</v>
      </c>
      <c r="HE69" s="116"/>
      <c r="HF69" s="133"/>
      <c r="HG69" s="134"/>
      <c r="HH69" s="134"/>
      <c r="HI69" s="198"/>
      <c r="HJ69" s="198"/>
      <c r="HK69" s="198"/>
      <c r="HL69" s="198"/>
      <c r="HM69" s="199"/>
      <c r="HN69" s="198"/>
      <c r="HR69" s="150">
        <f t="shared" si="182"/>
        <v>0</v>
      </c>
      <c r="HS69" s="714"/>
      <c r="HT69" s="205"/>
      <c r="HU69" s="718"/>
      <c r="HV69" s="718"/>
      <c r="HW69" s="786"/>
      <c r="HX69" s="198"/>
      <c r="HY69" s="198"/>
      <c r="HZ69" s="198"/>
      <c r="IA69" s="199"/>
      <c r="IB69" s="199"/>
      <c r="ID69" s="150">
        <f t="shared" si="173"/>
        <v>0</v>
      </c>
      <c r="IE69" s="714"/>
      <c r="IF69" s="205"/>
      <c r="IG69" s="718"/>
      <c r="IH69" s="718"/>
      <c r="II69" s="198"/>
      <c r="IJ69" s="198"/>
      <c r="IK69" s="198"/>
      <c r="IL69" s="198"/>
      <c r="IM69" s="199"/>
      <c r="IN69" s="776"/>
      <c r="IP69" s="1382">
        <f t="shared" si="181"/>
        <v>0</v>
      </c>
      <c r="IQ69" s="714"/>
      <c r="IR69" s="205"/>
      <c r="IS69" s="718"/>
      <c r="IT69" s="718"/>
      <c r="IU69" s="198"/>
      <c r="IV69" s="198"/>
      <c r="IW69" s="198"/>
      <c r="IX69" s="198"/>
      <c r="IY69" s="199"/>
      <c r="IZ69" s="776"/>
      <c r="JD69" s="150"/>
      <c r="JE69" s="714"/>
      <c r="JF69" s="205"/>
      <c r="JG69" s="718"/>
      <c r="JH69" s="718"/>
      <c r="JI69" s="198"/>
      <c r="JJ69" s="198"/>
      <c r="JK69" s="198"/>
      <c r="JL69" s="198"/>
      <c r="JM69" s="199"/>
      <c r="JN69" s="776"/>
      <c r="JP69" s="150"/>
      <c r="JQ69" s="714"/>
      <c r="JR69" s="205"/>
      <c r="JS69" s="718"/>
      <c r="JT69" s="718"/>
      <c r="JU69" s="198"/>
      <c r="JV69" s="198"/>
      <c r="JW69" s="198"/>
      <c r="JX69" s="198"/>
      <c r="JY69" s="199"/>
      <c r="JZ69" s="776"/>
      <c r="KB69" s="714"/>
      <c r="KC69" s="205"/>
      <c r="KD69" s="718"/>
      <c r="KE69" s="718"/>
      <c r="KF69" s="198"/>
      <c r="KG69" s="198"/>
      <c r="KH69" s="198"/>
      <c r="KI69" s="198"/>
      <c r="KJ69" s="199"/>
      <c r="KK69" s="776"/>
      <c r="KN69" s="714"/>
      <c r="KO69" s="205"/>
      <c r="KP69" s="718"/>
      <c r="KQ69" s="718"/>
      <c r="KR69" s="198"/>
      <c r="KS69" s="198"/>
      <c r="KT69" s="198"/>
      <c r="KU69" s="198"/>
      <c r="KV69" s="199"/>
      <c r="KW69" s="1612"/>
    </row>
    <row r="70" spans="15:309" ht="15" x14ac:dyDescent="0.25">
      <c r="O70" s="109"/>
      <c r="P70" s="109"/>
      <c r="Q70" s="109"/>
      <c r="R70" s="109"/>
      <c r="S70" s="150">
        <f t="shared" si="143"/>
        <v>0</v>
      </c>
      <c r="T70" s="116">
        <v>43112</v>
      </c>
      <c r="U70" s="272">
        <v>63</v>
      </c>
      <c r="V70" s="265">
        <f t="shared" si="176"/>
        <v>119.03115740740753</v>
      </c>
      <c r="W70" s="265">
        <v>119.03117592592592</v>
      </c>
      <c r="X70" s="137">
        <f t="shared" si="144"/>
        <v>2.1800000000000002</v>
      </c>
      <c r="Y70" s="137">
        <f t="shared" si="145"/>
        <v>121.21</v>
      </c>
      <c r="Z70" s="137">
        <f t="shared" si="146"/>
        <v>0</v>
      </c>
      <c r="AA70" s="137">
        <f t="shared" si="147"/>
        <v>0</v>
      </c>
      <c r="AB70" s="146" cm="1">
        <f t="array" ref="AB70">+ROUND(IF(AA70&lt;1,interpoler($A$5:$A$24,$B$5:$B$24,(T70-$B$1)),interpoler($C$5:$C$24,$D$5:$D$24,AA70))+$Y$2,6)</f>
        <v>3.0780999999999999E-2</v>
      </c>
      <c r="AC70" s="137">
        <f t="shared" si="148"/>
        <v>0</v>
      </c>
      <c r="AQ70" s="150">
        <f t="shared" si="149"/>
        <v>0</v>
      </c>
      <c r="AR70" s="116"/>
      <c r="AS70" s="133"/>
      <c r="AT70" s="134"/>
      <c r="AU70" s="134"/>
      <c r="AV70" s="137"/>
      <c r="AW70" s="137"/>
      <c r="AX70" s="137"/>
      <c r="AY70" s="137"/>
      <c r="AZ70" s="146"/>
      <c r="BA70" s="137"/>
      <c r="BC70" s="150"/>
      <c r="BD70" s="116"/>
      <c r="BE70" s="133"/>
      <c r="BF70" s="843"/>
      <c r="BG70" s="836"/>
      <c r="BH70" s="137"/>
      <c r="BI70" s="762"/>
      <c r="BJ70" s="198"/>
      <c r="BK70" s="198"/>
      <c r="BL70" s="199"/>
      <c r="BM70" s="447"/>
      <c r="CB70" s="150">
        <f t="shared" si="160"/>
        <v>34</v>
      </c>
      <c r="CC70" s="1152">
        <v>49211</v>
      </c>
      <c r="CD70" s="205">
        <v>35</v>
      </c>
      <c r="CE70" s="1630">
        <v>5582.2999999999975</v>
      </c>
      <c r="CF70" s="1627">
        <v>1662.69</v>
      </c>
      <c r="CG70" s="1633">
        <v>56.24</v>
      </c>
      <c r="CH70" s="198">
        <f t="shared" si="142"/>
        <v>1718.93</v>
      </c>
      <c r="CI70" s="198">
        <f t="shared" si="161"/>
        <v>1718.93</v>
      </c>
      <c r="CJ70" s="762">
        <f t="shared" si="183"/>
        <v>8.4945652173999999</v>
      </c>
      <c r="CK70" s="621" cm="1">
        <f t="array" ref="CK70">ROUND(interpoler(mat_zc,Taux_ZC,CJ70)+$CH$2,5)</f>
        <v>3.8210000000000001E-2</v>
      </c>
      <c r="CL70" s="762">
        <f t="shared" si="174"/>
        <v>1250.0356999999999</v>
      </c>
      <c r="CM70" s="280"/>
      <c r="CN70" s="280"/>
      <c r="CO70" s="280"/>
      <c r="CP70" s="280"/>
      <c r="CQ70" s="280"/>
      <c r="CR70" s="280"/>
      <c r="CS70" s="280"/>
      <c r="CT70" s="280"/>
      <c r="CU70" s="280"/>
      <c r="CV70" s="280"/>
      <c r="CW70" s="280"/>
      <c r="CX70" s="280"/>
      <c r="CY70" s="280"/>
      <c r="FD70" s="109"/>
      <c r="FE70" s="109"/>
      <c r="FF70" s="109"/>
      <c r="FI70" s="109"/>
      <c r="FN70" s="109"/>
      <c r="FP70" s="221"/>
      <c r="FQ70" s="526"/>
      <c r="FR70" s="796"/>
      <c r="FS70" s="797"/>
      <c r="FT70" s="901"/>
      <c r="FU70" s="903"/>
      <c r="FV70" s="902"/>
      <c r="FW70" s="798"/>
      <c r="FX70" s="798"/>
      <c r="FY70" s="799"/>
      <c r="FZ70" s="800"/>
      <c r="GA70" s="798"/>
      <c r="GB70" s="484"/>
      <c r="GC70" s="522"/>
      <c r="GD70" s="150"/>
      <c r="GE70" s="116"/>
      <c r="GF70" s="133"/>
      <c r="GG70" s="1040">
        <v>0</v>
      </c>
      <c r="GH70" s="1040">
        <v>0</v>
      </c>
      <c r="GI70" s="728">
        <v>0</v>
      </c>
      <c r="GJ70" s="198"/>
      <c r="GK70" s="198"/>
      <c r="GL70" s="198"/>
      <c r="GM70" s="199"/>
      <c r="GN70" s="198"/>
      <c r="GO70" s="198"/>
      <c r="GQ70" s="150">
        <f t="shared" si="169"/>
        <v>44</v>
      </c>
      <c r="GR70" s="1152">
        <v>50123</v>
      </c>
      <c r="GS70" s="205"/>
      <c r="GT70" s="1630">
        <v>8070.170000000011</v>
      </c>
      <c r="GU70" s="1627">
        <v>3301.17</v>
      </c>
      <c r="GV70" s="1633">
        <v>62.54</v>
      </c>
      <c r="GW70" s="198">
        <f t="shared" si="170"/>
        <v>3363.71</v>
      </c>
      <c r="GX70" s="198">
        <f t="shared" si="171"/>
        <v>3363.71</v>
      </c>
      <c r="GY70" s="1042">
        <f t="shared" si="175"/>
        <v>10.9945652174</v>
      </c>
      <c r="GZ70" s="199" cm="1">
        <f t="array" ref="GZ70">+ROUND(IF(GY70&lt;1,interpoler($A$5:$A$24,$B$5:$B$24,(GR70-$B$1)),interpoler(CIH!$K$72:$K$103,CIH!$L$72:$L$103,GY70))+$GW$2,5)</f>
        <v>4.0730000000000002E-2</v>
      </c>
      <c r="HA70" s="212">
        <f t="shared" si="180"/>
        <v>2168.6724606013199</v>
      </c>
      <c r="HE70" s="116"/>
      <c r="HF70" s="133"/>
      <c r="HG70" s="134"/>
      <c r="HH70" s="134"/>
      <c r="HI70" s="198"/>
      <c r="HJ70" s="198"/>
      <c r="HK70" s="198"/>
      <c r="HL70" s="198"/>
      <c r="HM70" s="199"/>
      <c r="HN70" s="198"/>
      <c r="HR70" s="150">
        <f t="shared" si="182"/>
        <v>0</v>
      </c>
      <c r="HS70" s="714"/>
      <c r="HT70" s="205"/>
      <c r="HU70" s="718"/>
      <c r="HV70" s="718"/>
      <c r="HW70" s="786"/>
      <c r="HX70" s="198"/>
      <c r="HY70" s="198"/>
      <c r="HZ70" s="198"/>
      <c r="IA70" s="199"/>
      <c r="IB70" s="199"/>
      <c r="ID70" s="150">
        <f t="shared" si="173"/>
        <v>0</v>
      </c>
      <c r="IE70" s="714"/>
      <c r="IF70" s="205"/>
      <c r="IG70" s="718"/>
      <c r="IH70" s="718"/>
      <c r="II70" s="198"/>
      <c r="IJ70" s="198"/>
      <c r="IK70" s="198"/>
      <c r="IL70" s="198"/>
      <c r="IM70" s="199"/>
      <c r="IN70" s="776"/>
      <c r="IP70" s="1382">
        <f t="shared" si="181"/>
        <v>0</v>
      </c>
      <c r="IQ70" s="714"/>
      <c r="IR70" s="205"/>
      <c r="IS70" s="718"/>
      <c r="IT70" s="718"/>
      <c r="IU70" s="198"/>
      <c r="IV70" s="198"/>
      <c r="IW70" s="198"/>
      <c r="IX70" s="198"/>
      <c r="IY70" s="199"/>
      <c r="IZ70" s="776"/>
      <c r="JD70" s="150"/>
      <c r="JE70" s="714"/>
      <c r="JF70" s="205"/>
      <c r="JG70" s="718"/>
      <c r="JH70" s="718"/>
      <c r="JI70" s="198"/>
      <c r="JJ70" s="198"/>
      <c r="JK70" s="198"/>
      <c r="JL70" s="198"/>
      <c r="JM70" s="199"/>
      <c r="JN70" s="776"/>
      <c r="JP70" s="150"/>
      <c r="JQ70" s="714"/>
      <c r="JR70" s="205"/>
      <c r="JS70" s="718"/>
      <c r="JT70" s="718"/>
      <c r="JU70" s="198"/>
      <c r="JV70" s="198"/>
      <c r="JW70" s="198"/>
      <c r="JX70" s="198"/>
      <c r="JY70" s="199"/>
      <c r="JZ70" s="776"/>
      <c r="KB70" s="714"/>
      <c r="KC70" s="205"/>
      <c r="KD70" s="718"/>
      <c r="KE70" s="718"/>
      <c r="KF70" s="198"/>
      <c r="KG70" s="198"/>
      <c r="KH70" s="198"/>
      <c r="KI70" s="198"/>
      <c r="KJ70" s="199"/>
      <c r="KK70" s="776"/>
      <c r="KN70" s="714"/>
      <c r="KO70" s="205"/>
      <c r="KP70" s="718"/>
      <c r="KQ70" s="718"/>
      <c r="KR70" s="198"/>
      <c r="KS70" s="198"/>
      <c r="KT70" s="198"/>
      <c r="KU70" s="198"/>
      <c r="KV70" s="199"/>
      <c r="KW70" s="1612"/>
    </row>
    <row r="71" spans="15:309" ht="15.75" thickBot="1" x14ac:dyDescent="0.3">
      <c r="O71" s="109"/>
      <c r="P71" s="109"/>
      <c r="Q71" s="109"/>
      <c r="R71" s="109"/>
      <c r="S71" s="150">
        <f t="shared" si="143"/>
        <v>0</v>
      </c>
      <c r="T71" s="116">
        <v>43202</v>
      </c>
      <c r="U71" s="273">
        <v>64</v>
      </c>
      <c r="V71" s="265">
        <f t="shared" si="176"/>
        <v>-1.8518518388077609E-5</v>
      </c>
      <c r="W71" s="266">
        <v>0</v>
      </c>
      <c r="X71" s="137">
        <f t="shared" si="144"/>
        <v>0</v>
      </c>
      <c r="Y71" s="137">
        <f t="shared" si="145"/>
        <v>0</v>
      </c>
      <c r="Z71" s="137">
        <f t="shared" si="146"/>
        <v>0</v>
      </c>
      <c r="AA71" s="137">
        <f t="shared" si="147"/>
        <v>0</v>
      </c>
      <c r="AB71" s="146" cm="1">
        <f t="array" ref="AB71">+ROUND(IF(AA71&lt;1,interpoler($A$5:$A$24,$B$5:$B$24,(T71-$B$1)),interpoler($C$5:$C$24,$D$5:$D$24,AA71))+$Y$2,6)</f>
        <v>3.0780999999999999E-2</v>
      </c>
      <c r="AC71" s="137">
        <f t="shared" si="148"/>
        <v>0</v>
      </c>
      <c r="AQ71" s="150">
        <f t="shared" si="149"/>
        <v>0</v>
      </c>
      <c r="AR71" s="116"/>
      <c r="AS71" s="133"/>
      <c r="AT71" s="134"/>
      <c r="AU71" s="134"/>
      <c r="AV71" s="137"/>
      <c r="AW71" s="137"/>
      <c r="AX71" s="137"/>
      <c r="AY71" s="137"/>
      <c r="AZ71" s="146"/>
      <c r="BA71" s="137"/>
      <c r="BC71" s="150"/>
      <c r="BD71" s="116"/>
      <c r="BE71" s="133"/>
      <c r="BF71" s="843"/>
      <c r="BG71" s="836"/>
      <c r="BH71" s="137"/>
      <c r="BI71" s="762"/>
      <c r="BJ71" s="198"/>
      <c r="BK71" s="198"/>
      <c r="BL71" s="199"/>
      <c r="BM71" s="447"/>
      <c r="CB71" s="150">
        <f t="shared" si="160"/>
        <v>35</v>
      </c>
      <c r="CC71" s="1151">
        <v>49302</v>
      </c>
      <c r="CD71" s="205">
        <v>36</v>
      </c>
      <c r="CE71" s="1629">
        <v>3919.6099999999974</v>
      </c>
      <c r="CF71" s="1626">
        <v>1624</v>
      </c>
      <c r="CG71" s="1632">
        <v>39.49</v>
      </c>
      <c r="CH71" s="198">
        <f t="shared" si="142"/>
        <v>1663.49</v>
      </c>
      <c r="CI71" s="198">
        <f t="shared" si="161"/>
        <v>1663.49</v>
      </c>
      <c r="CJ71" s="762">
        <f t="shared" si="183"/>
        <v>8.7445652173999999</v>
      </c>
      <c r="CK71" s="621" cm="1">
        <f t="array" ref="CK71">ROUND(interpoler(mat_zc,Taux_ZC,CJ71)+$CH$2,5)</f>
        <v>3.8339999999999999E-2</v>
      </c>
      <c r="CL71" s="762">
        <f t="shared" si="174"/>
        <v>1197.1197999999999</v>
      </c>
      <c r="CM71" s="280"/>
      <c r="CN71" s="280"/>
      <c r="CO71" s="280"/>
      <c r="CP71" s="280"/>
      <c r="CQ71" s="280"/>
      <c r="CR71" s="280"/>
      <c r="CS71" s="280"/>
      <c r="CT71" s="280"/>
      <c r="CU71" s="280"/>
      <c r="CV71" s="280"/>
      <c r="CW71" s="280"/>
      <c r="CX71" s="280"/>
      <c r="CY71" s="280"/>
      <c r="FD71" s="109"/>
      <c r="FE71" s="109"/>
      <c r="FF71" s="109"/>
      <c r="FI71" s="109"/>
      <c r="FN71" s="109"/>
      <c r="FP71" s="221"/>
      <c r="FQ71" s="526"/>
      <c r="FR71" s="796"/>
      <c r="FS71" s="797"/>
      <c r="FT71" s="901"/>
      <c r="FU71" s="1008"/>
      <c r="FV71" s="902"/>
      <c r="FW71" s="798"/>
      <c r="FX71" s="798"/>
      <c r="FY71" s="799"/>
      <c r="FZ71" s="800"/>
      <c r="GA71" s="798"/>
      <c r="GB71" s="484"/>
      <c r="GC71" s="522"/>
      <c r="GD71" s="150"/>
      <c r="GE71" s="116"/>
      <c r="GF71" s="133"/>
      <c r="GG71" s="1040">
        <v>0</v>
      </c>
      <c r="GH71" s="1040">
        <v>0</v>
      </c>
      <c r="GI71" s="728">
        <v>0</v>
      </c>
      <c r="GJ71" s="198"/>
      <c r="GK71" s="198"/>
      <c r="GL71" s="198"/>
      <c r="GM71" s="199"/>
      <c r="GN71" s="198"/>
      <c r="GO71" s="198"/>
      <c r="GQ71" s="150">
        <f t="shared" si="169"/>
        <v>45</v>
      </c>
      <c r="GR71" s="1151">
        <v>50215</v>
      </c>
      <c r="GS71" s="205"/>
      <c r="GT71" s="1629">
        <v>4769.0000000000109</v>
      </c>
      <c r="GU71" s="1626">
        <v>3135.23</v>
      </c>
      <c r="GV71" s="1632">
        <v>36.950000000000003</v>
      </c>
      <c r="GW71" s="198">
        <f t="shared" si="170"/>
        <v>3172.18</v>
      </c>
      <c r="GX71" s="198">
        <f t="shared" si="171"/>
        <v>3172.18</v>
      </c>
      <c r="GY71" s="1042">
        <f t="shared" si="175"/>
        <v>11.2445652174</v>
      </c>
      <c r="GZ71" s="199" cm="1">
        <f t="array" ref="GZ71">+ROUND(IF(GY71&lt;1,interpoler($A$5:$A$24,$B$5:$B$24,(GR71-$B$1)),interpoler(CIH!$K$72:$K$103,CIH!$L$72:$L$103,GY71))+$GW$2,5)</f>
        <v>4.0890000000000003E-2</v>
      </c>
      <c r="HA71" s="212">
        <f t="shared" si="180"/>
        <v>2021.3801969774099</v>
      </c>
      <c r="HE71" s="116"/>
      <c r="HF71" s="133"/>
      <c r="HG71" s="134"/>
      <c r="HH71" s="134"/>
      <c r="HI71" s="198"/>
      <c r="HJ71" s="198"/>
      <c r="HK71" s="198"/>
      <c r="HL71" s="198"/>
      <c r="HM71" s="199"/>
      <c r="HN71" s="198"/>
      <c r="HR71" s="150">
        <f t="shared" si="182"/>
        <v>0</v>
      </c>
      <c r="HS71" s="714"/>
      <c r="HT71" s="205"/>
      <c r="HU71" s="718"/>
      <c r="HV71" s="718"/>
      <c r="HW71" s="786"/>
      <c r="HX71" s="198"/>
      <c r="HY71" s="198"/>
      <c r="HZ71" s="198"/>
      <c r="IA71" s="199"/>
      <c r="IB71" s="199"/>
      <c r="ID71" s="150">
        <f t="shared" si="173"/>
        <v>0</v>
      </c>
      <c r="IE71" s="714"/>
      <c r="IF71" s="205"/>
      <c r="IG71" s="718"/>
      <c r="IH71" s="718"/>
      <c r="II71" s="198"/>
      <c r="IJ71" s="198"/>
      <c r="IK71" s="198"/>
      <c r="IL71" s="198"/>
      <c r="IM71" s="199"/>
      <c r="IN71" s="776"/>
      <c r="IP71" s="1382">
        <f t="shared" si="181"/>
        <v>0</v>
      </c>
      <c r="IQ71" s="714"/>
      <c r="IR71" s="205"/>
      <c r="IS71" s="718"/>
      <c r="IT71" s="718"/>
      <c r="IU71" s="198"/>
      <c r="IV71" s="198"/>
      <c r="IW71" s="198"/>
      <c r="IX71" s="198"/>
      <c r="IY71" s="199"/>
      <c r="IZ71" s="776"/>
      <c r="JD71" s="150"/>
      <c r="JE71" s="714"/>
      <c r="JF71" s="205"/>
      <c r="JG71" s="718"/>
      <c r="JH71" s="718"/>
      <c r="JI71" s="198"/>
      <c r="JJ71" s="198"/>
      <c r="JK71" s="198"/>
      <c r="JL71" s="198"/>
      <c r="JM71" s="199"/>
      <c r="JN71" s="776"/>
      <c r="JP71" s="150"/>
      <c r="JQ71" s="714"/>
      <c r="JR71" s="205"/>
      <c r="JS71" s="718"/>
      <c r="JT71" s="718"/>
      <c r="JU71" s="198"/>
      <c r="JV71" s="198"/>
      <c r="JW71" s="198"/>
      <c r="JX71" s="198"/>
      <c r="JY71" s="199"/>
      <c r="JZ71" s="776"/>
      <c r="KB71" s="714"/>
      <c r="KC71" s="205"/>
      <c r="KD71" s="718"/>
      <c r="KE71" s="718"/>
      <c r="KF71" s="198"/>
      <c r="KG71" s="198"/>
      <c r="KH71" s="198"/>
      <c r="KI71" s="198"/>
      <c r="KJ71" s="199"/>
      <c r="KK71" s="776"/>
      <c r="KN71" s="714"/>
      <c r="KO71" s="205"/>
      <c r="KP71" s="718"/>
      <c r="KQ71" s="718"/>
      <c r="KR71" s="198"/>
      <c r="KS71" s="198"/>
      <c r="KT71" s="198"/>
      <c r="KU71" s="198"/>
      <c r="KV71" s="199"/>
      <c r="KW71" s="1612"/>
    </row>
    <row r="72" spans="15:309" ht="15.75" thickBot="1" x14ac:dyDescent="0.3">
      <c r="O72" s="109"/>
      <c r="P72" s="109"/>
      <c r="Q72" s="109"/>
      <c r="R72" s="109"/>
      <c r="S72" s="150">
        <f t="shared" ref="S72:S88" si="184">+IF(Z72=0,0,S71+1)</f>
        <v>0</v>
      </c>
      <c r="T72" s="116">
        <v>43293</v>
      </c>
      <c r="U72" s="272">
        <v>65</v>
      </c>
      <c r="V72" s="265"/>
      <c r="W72" s="265"/>
      <c r="X72" s="143"/>
      <c r="Y72" s="143"/>
      <c r="Z72" s="143"/>
      <c r="AA72" s="143"/>
      <c r="AB72" s="143"/>
      <c r="AC72" s="143"/>
      <c r="AQ72" s="150">
        <f t="shared" ref="AQ72:AQ84" si="185">+IF(AX72=0,0,AQ71+1)</f>
        <v>0</v>
      </c>
      <c r="AR72" s="116"/>
      <c r="AS72" s="133"/>
      <c r="AT72" s="134"/>
      <c r="AU72" s="134"/>
      <c r="AV72" s="137"/>
      <c r="AW72" s="137"/>
      <c r="AX72" s="137"/>
      <c r="AY72" s="137"/>
      <c r="AZ72" s="146"/>
      <c r="BA72" s="137"/>
      <c r="BC72" s="150"/>
      <c r="BD72" s="116"/>
      <c r="BE72" s="133"/>
      <c r="BF72" s="843"/>
      <c r="BG72" s="836"/>
      <c r="BH72" s="137"/>
      <c r="BI72" s="762"/>
      <c r="BJ72" s="198"/>
      <c r="BK72" s="198"/>
      <c r="BL72" s="199"/>
      <c r="BM72" s="447"/>
      <c r="CB72" s="150">
        <f t="shared" ref="CB72:CB77" si="186">+IF(CI72=0,0,CB71+1)</f>
        <v>36</v>
      </c>
      <c r="CC72" s="1152">
        <v>49392</v>
      </c>
      <c r="CD72" s="205">
        <v>37</v>
      </c>
      <c r="CE72" s="1630">
        <v>2295.6099999999974</v>
      </c>
      <c r="CF72" s="1627">
        <v>1579.53</v>
      </c>
      <c r="CG72" s="1633">
        <v>23.12</v>
      </c>
      <c r="CH72" s="198">
        <f t="shared" si="142"/>
        <v>1602.65</v>
      </c>
      <c r="CI72" s="198">
        <f t="shared" ref="CI72:CI73" si="187">+IF($B$1&gt;=CC72,0,CH72)</f>
        <v>1602.65</v>
      </c>
      <c r="CJ72" s="762">
        <f t="shared" si="183"/>
        <v>8.9945652173999999</v>
      </c>
      <c r="CK72" s="621" cm="1">
        <f t="array" ref="CK72">ROUND(interpoler(mat_zc,Taux_ZC,CJ72)+$CH$2,5)</f>
        <v>3.8469999999999997E-2</v>
      </c>
      <c r="CL72" s="762">
        <f t="shared" si="174"/>
        <v>1141.2537</v>
      </c>
      <c r="CM72" s="280"/>
      <c r="CN72" s="280"/>
      <c r="CO72" s="280"/>
      <c r="CP72" s="280"/>
      <c r="CQ72" s="280"/>
      <c r="CR72" s="280"/>
      <c r="CS72" s="280"/>
      <c r="CT72" s="280"/>
      <c r="CU72" s="280"/>
      <c r="CV72" s="280"/>
      <c r="CW72" s="280"/>
      <c r="CX72" s="280"/>
      <c r="CY72" s="280"/>
      <c r="FD72" s="109"/>
      <c r="FE72" s="109"/>
      <c r="FF72" s="109"/>
      <c r="FI72" s="109"/>
      <c r="FN72" s="109"/>
      <c r="FP72" s="221"/>
      <c r="FR72" s="796"/>
      <c r="FS72" s="797"/>
      <c r="FT72" s="901"/>
      <c r="FU72" s="903"/>
      <c r="FV72" s="902"/>
      <c r="FW72" s="798"/>
      <c r="FX72" s="798"/>
      <c r="FY72" s="799"/>
      <c r="FZ72" s="800"/>
      <c r="GA72" s="798"/>
      <c r="GB72" s="484"/>
      <c r="GC72" s="522"/>
      <c r="GD72" s="150"/>
      <c r="GE72" s="116"/>
      <c r="GF72" s="133"/>
      <c r="GG72" s="134"/>
      <c r="GH72" s="134"/>
      <c r="GI72" s="198"/>
      <c r="GJ72" s="198"/>
      <c r="GK72" s="198"/>
      <c r="GL72" s="198"/>
      <c r="GM72" s="199"/>
      <c r="GN72" s="198"/>
      <c r="GO72" s="198"/>
      <c r="GQ72" s="150">
        <f t="shared" si="169"/>
        <v>46</v>
      </c>
      <c r="GR72" s="1638">
        <v>50307</v>
      </c>
      <c r="GS72" s="205"/>
      <c r="GT72" s="1636">
        <v>1633.7700000000109</v>
      </c>
      <c r="GU72" s="1635">
        <v>1633.77</v>
      </c>
      <c r="GV72" s="1637">
        <v>12.66</v>
      </c>
      <c r="GW72" s="198">
        <f>+ROUND(GU72+GV72,2)</f>
        <v>1646.43</v>
      </c>
      <c r="GX72" s="198">
        <f>+IF($B$1&gt;=GR72,0,GW72)</f>
        <v>1646.43</v>
      </c>
      <c r="GY72" s="1042">
        <f t="shared" si="175"/>
        <v>11.4945652174</v>
      </c>
      <c r="GZ72" s="199" cm="1">
        <f t="array" ref="GZ72">+ROUND(IF(GY72&lt;1,interpoler($A$5:$A$24,$B$5:$B$24,(GR72-$B$1)),interpoler(CIH!$K$72:$K$103,CIH!$L$72:$L$103,GY72))+$GW$2,5)</f>
        <v>4.1059999999999999E-2</v>
      </c>
      <c r="HA72" s="212">
        <f t="shared" si="180"/>
        <v>1036.7331985692299</v>
      </c>
      <c r="HE72" s="116"/>
      <c r="HF72" s="133"/>
      <c r="HG72" s="134"/>
      <c r="HH72" s="134"/>
      <c r="HI72" s="198"/>
      <c r="HJ72" s="198"/>
      <c r="HK72" s="198"/>
      <c r="HL72" s="198"/>
      <c r="HM72" s="199"/>
      <c r="HN72" s="198"/>
      <c r="HR72" s="150">
        <f t="shared" si="182"/>
        <v>0</v>
      </c>
      <c r="HS72" s="714"/>
      <c r="HT72" s="205"/>
      <c r="HU72" s="718"/>
      <c r="HV72" s="718"/>
      <c r="HW72" s="786"/>
      <c r="HX72" s="198"/>
      <c r="HY72" s="198"/>
      <c r="HZ72" s="198"/>
      <c r="IA72" s="199"/>
      <c r="IB72" s="199"/>
      <c r="ID72" s="150">
        <f t="shared" si="173"/>
        <v>0</v>
      </c>
      <c r="IE72" s="714"/>
      <c r="IF72" s="205"/>
      <c r="IG72" s="718"/>
      <c r="IH72" s="718"/>
      <c r="II72" s="198"/>
      <c r="IJ72" s="198"/>
      <c r="IK72" s="198"/>
      <c r="IL72" s="198"/>
      <c r="IM72" s="199"/>
      <c r="IN72" s="776"/>
      <c r="IP72" s="1382">
        <f t="shared" si="181"/>
        <v>0</v>
      </c>
      <c r="IQ72" s="714"/>
      <c r="IR72" s="205"/>
      <c r="IS72" s="718"/>
      <c r="IT72" s="718"/>
      <c r="IU72" s="198"/>
      <c r="IV72" s="198"/>
      <c r="IW72" s="198"/>
      <c r="IX72" s="198"/>
      <c r="IY72" s="199"/>
      <c r="IZ72" s="776"/>
      <c r="JD72" s="150"/>
      <c r="JE72" s="714"/>
      <c r="JF72" s="205"/>
      <c r="JG72" s="718"/>
      <c r="JH72" s="718"/>
      <c r="JI72" s="198"/>
      <c r="JJ72" s="198"/>
      <c r="JK72" s="198"/>
      <c r="JL72" s="198"/>
      <c r="JM72" s="199"/>
      <c r="JN72" s="776"/>
      <c r="JP72" s="150"/>
      <c r="JQ72" s="714"/>
      <c r="JR72" s="205"/>
      <c r="JS72" s="718"/>
      <c r="JT72" s="718"/>
      <c r="JU72" s="198"/>
      <c r="JV72" s="198"/>
      <c r="JW72" s="198"/>
      <c r="JX72" s="198"/>
      <c r="JY72" s="199"/>
      <c r="JZ72" s="776"/>
      <c r="KB72" s="714"/>
      <c r="KC72" s="205"/>
      <c r="KD72" s="718"/>
      <c r="KE72" s="718"/>
      <c r="KF72" s="198"/>
      <c r="KG72" s="198"/>
      <c r="KH72" s="198"/>
      <c r="KI72" s="198"/>
      <c r="KJ72" s="199"/>
      <c r="KK72" s="776"/>
      <c r="KN72" s="714"/>
      <c r="KO72" s="205"/>
      <c r="KP72" s="718"/>
      <c r="KQ72" s="718"/>
      <c r="KR72" s="198"/>
      <c r="KS72" s="198"/>
      <c r="KT72" s="198"/>
      <c r="KU72" s="198"/>
      <c r="KV72" s="199"/>
      <c r="KW72" s="1612"/>
    </row>
    <row r="73" spans="15:309" ht="15.75" thickBot="1" x14ac:dyDescent="0.3">
      <c r="O73" s="109"/>
      <c r="P73" s="109"/>
      <c r="Q73" s="109"/>
      <c r="R73" s="109"/>
      <c r="S73" s="150">
        <f t="shared" si="184"/>
        <v>0</v>
      </c>
      <c r="T73" s="116">
        <v>43385</v>
      </c>
      <c r="U73" s="272">
        <v>66</v>
      </c>
      <c r="V73" s="265"/>
      <c r="W73" s="265"/>
      <c r="X73" s="143"/>
      <c r="Y73" s="143"/>
      <c r="Z73" s="143"/>
      <c r="AA73" s="143"/>
      <c r="AB73" s="143"/>
      <c r="AC73" s="143"/>
      <c r="AQ73" s="150">
        <f t="shared" si="185"/>
        <v>0</v>
      </c>
      <c r="AR73" s="116"/>
      <c r="AS73" s="133"/>
      <c r="AT73" s="134"/>
      <c r="AU73" s="134"/>
      <c r="AV73" s="138"/>
      <c r="AW73" s="138"/>
      <c r="AX73" s="138"/>
      <c r="AY73" s="138"/>
      <c r="AZ73" s="138"/>
      <c r="BA73" s="138"/>
      <c r="BC73" s="150"/>
      <c r="BD73" s="116"/>
      <c r="BE73" s="133"/>
      <c r="BF73" s="843"/>
      <c r="BG73" s="836"/>
      <c r="BH73" s="137"/>
      <c r="BI73" s="762"/>
      <c r="BJ73" s="198"/>
      <c r="BK73" s="198"/>
      <c r="BL73" s="199"/>
      <c r="BM73" s="447"/>
      <c r="CB73" s="150">
        <f t="shared" si="186"/>
        <v>37</v>
      </c>
      <c r="CC73" s="1185">
        <v>49484</v>
      </c>
      <c r="CD73" s="205">
        <v>38</v>
      </c>
      <c r="CE73" s="1631">
        <v>716.07999999999743</v>
      </c>
      <c r="CF73" s="1628">
        <v>716.08</v>
      </c>
      <c r="CG73" s="1634">
        <v>7.21</v>
      </c>
      <c r="CH73" s="198">
        <f t="shared" si="142"/>
        <v>723.29</v>
      </c>
      <c r="CI73" s="198">
        <f t="shared" si="187"/>
        <v>723.29</v>
      </c>
      <c r="CJ73" s="762">
        <f t="shared" si="183"/>
        <v>9.2445652173999999</v>
      </c>
      <c r="CK73" s="621" cm="1">
        <f t="array" ref="CK73">ROUND(interpoler(mat_zc,Taux_ZC,CJ73)+$CH$2,5)</f>
        <v>3.8620000000000002E-2</v>
      </c>
      <c r="CL73" s="762">
        <f t="shared" si="174"/>
        <v>509.53919999999999</v>
      </c>
      <c r="CM73" s="280"/>
      <c r="CN73" s="280"/>
      <c r="CO73" s="280"/>
      <c r="CP73" s="280"/>
      <c r="CQ73" s="280"/>
      <c r="CR73" s="280"/>
      <c r="CS73" s="280"/>
      <c r="CT73" s="280"/>
      <c r="CU73" s="280"/>
      <c r="CV73" s="280"/>
      <c r="CW73" s="280"/>
      <c r="CX73" s="280"/>
      <c r="CY73" s="280"/>
      <c r="FD73" s="109"/>
      <c r="FE73" s="109"/>
      <c r="FF73" s="109"/>
      <c r="FI73" s="109"/>
      <c r="FN73" s="109"/>
      <c r="FP73" s="221"/>
      <c r="FR73" s="796"/>
      <c r="FS73" s="797"/>
      <c r="FT73" s="901"/>
      <c r="FU73" s="1008"/>
      <c r="FV73" s="902"/>
      <c r="FW73" s="798"/>
      <c r="FX73" s="798"/>
      <c r="FY73" s="799"/>
      <c r="FZ73" s="800"/>
      <c r="GA73" s="798"/>
      <c r="GB73" s="484"/>
      <c r="GC73" s="522"/>
      <c r="GD73" s="150"/>
      <c r="GE73" s="116"/>
      <c r="GF73" s="133"/>
      <c r="GG73" s="134"/>
      <c r="GH73" s="134"/>
      <c r="GI73" s="198"/>
      <c r="GJ73" s="198"/>
      <c r="GK73" s="198"/>
      <c r="GL73" s="198"/>
      <c r="GM73" s="199"/>
      <c r="GN73" s="198"/>
      <c r="GO73" s="198"/>
      <c r="GQ73" s="150"/>
      <c r="GR73" s="116"/>
      <c r="GS73" s="133"/>
      <c r="GT73" s="1006"/>
      <c r="GU73" s="1006"/>
      <c r="GV73" s="765"/>
      <c r="GW73" s="198"/>
      <c r="GX73" s="198"/>
      <c r="GY73" s="198"/>
      <c r="GZ73" s="199"/>
      <c r="HA73" s="198"/>
      <c r="HE73" s="116"/>
      <c r="HF73" s="133"/>
      <c r="HG73" s="134"/>
      <c r="HH73" s="134"/>
      <c r="HI73" s="198"/>
      <c r="HJ73" s="198"/>
      <c r="HK73" s="198"/>
      <c r="HL73" s="198"/>
      <c r="HM73" s="199"/>
      <c r="HN73" s="198"/>
      <c r="HR73" s="150">
        <f t="shared" si="182"/>
        <v>0</v>
      </c>
      <c r="HS73" s="714"/>
      <c r="HT73" s="205"/>
      <c r="HU73" s="718"/>
      <c r="HV73" s="718"/>
      <c r="HW73" s="786"/>
      <c r="HX73" s="198"/>
      <c r="HY73" s="198"/>
      <c r="HZ73" s="198"/>
      <c r="IA73" s="199"/>
      <c r="IB73" s="199"/>
      <c r="ID73" s="150">
        <f t="shared" si="173"/>
        <v>0</v>
      </c>
      <c r="IE73" s="714"/>
      <c r="IF73" s="205"/>
      <c r="IG73" s="718"/>
      <c r="IH73" s="718"/>
      <c r="II73" s="198"/>
      <c r="IJ73" s="198"/>
      <c r="IK73" s="198"/>
      <c r="IL73" s="198"/>
      <c r="IM73" s="199"/>
      <c r="IN73" s="776"/>
      <c r="IP73" s="1382">
        <f t="shared" si="181"/>
        <v>0</v>
      </c>
      <c r="IQ73" s="714"/>
      <c r="IR73" s="205"/>
      <c r="IS73" s="718"/>
      <c r="IT73" s="718"/>
      <c r="IU73" s="198"/>
      <c r="IV73" s="198"/>
      <c r="IW73" s="198"/>
      <c r="IX73" s="198"/>
      <c r="IY73" s="199"/>
      <c r="IZ73" s="776"/>
      <c r="JD73" s="150"/>
      <c r="JE73" s="714"/>
      <c r="JF73" s="205"/>
      <c r="JG73" s="718"/>
      <c r="JH73" s="718"/>
      <c r="JI73" s="198"/>
      <c r="JJ73" s="198"/>
      <c r="JK73" s="198"/>
      <c r="JL73" s="198"/>
      <c r="JM73" s="199"/>
      <c r="JN73" s="776"/>
      <c r="JP73" s="150"/>
      <c r="JQ73" s="714"/>
      <c r="JR73" s="205"/>
      <c r="JS73" s="718"/>
      <c r="JT73" s="718"/>
      <c r="JU73" s="198"/>
      <c r="JV73" s="198"/>
      <c r="JW73" s="198"/>
      <c r="JX73" s="198"/>
      <c r="JY73" s="199"/>
      <c r="JZ73" s="776"/>
      <c r="KB73" s="714"/>
      <c r="KC73" s="205"/>
      <c r="KD73" s="718"/>
      <c r="KE73" s="718"/>
      <c r="KF73" s="198"/>
      <c r="KG73" s="198"/>
      <c r="KH73" s="198"/>
      <c r="KI73" s="198"/>
      <c r="KJ73" s="199"/>
      <c r="KK73" s="776"/>
      <c r="KN73" s="714"/>
      <c r="KO73" s="205"/>
      <c r="KP73" s="718"/>
      <c r="KQ73" s="718"/>
      <c r="KR73" s="198"/>
      <c r="KS73" s="198"/>
      <c r="KT73" s="198"/>
      <c r="KU73" s="198"/>
      <c r="KV73" s="199"/>
      <c r="KW73" s="1612"/>
    </row>
    <row r="74" spans="15:309" x14ac:dyDescent="0.2">
      <c r="O74" s="109"/>
      <c r="P74" s="109"/>
      <c r="Q74" s="109"/>
      <c r="R74" s="109"/>
      <c r="S74" s="150">
        <f t="shared" si="184"/>
        <v>0</v>
      </c>
      <c r="T74" s="116">
        <v>43477</v>
      </c>
      <c r="U74" s="272">
        <v>67</v>
      </c>
      <c r="V74" s="265"/>
      <c r="W74" s="265"/>
      <c r="X74" s="143"/>
      <c r="Y74" s="143"/>
      <c r="Z74" s="143"/>
      <c r="AA74" s="143"/>
      <c r="AB74" s="143"/>
      <c r="AC74" s="143"/>
      <c r="AQ74" s="150">
        <f t="shared" si="185"/>
        <v>0</v>
      </c>
      <c r="AR74" s="116"/>
      <c r="AS74" s="133"/>
      <c r="AT74" s="134"/>
      <c r="AU74" s="134"/>
      <c r="AV74" s="138"/>
      <c r="AW74" s="138"/>
      <c r="AX74" s="138"/>
      <c r="AY74" s="138"/>
      <c r="AZ74" s="138"/>
      <c r="BA74" s="138"/>
      <c r="BC74" s="150"/>
      <c r="BD74" s="116"/>
      <c r="BE74" s="133"/>
      <c r="BF74" s="843"/>
      <c r="BG74" s="836"/>
      <c r="BH74" s="137"/>
      <c r="BI74" s="762"/>
      <c r="BJ74" s="198"/>
      <c r="BK74" s="198"/>
      <c r="BL74" s="199"/>
      <c r="BM74" s="447"/>
      <c r="CB74" s="150">
        <f t="shared" si="186"/>
        <v>0</v>
      </c>
      <c r="CC74" s="714"/>
      <c r="CD74" s="211"/>
      <c r="CE74"/>
      <c r="CF74"/>
      <c r="CG74"/>
      <c r="CH74" s="198"/>
      <c r="CI74" s="198"/>
      <c r="CJ74" s="762"/>
      <c r="CK74" s="621"/>
      <c r="CL74" s="762"/>
      <c r="CM74" s="280"/>
      <c r="CN74" s="280"/>
      <c r="CO74" s="280"/>
      <c r="CP74" s="280"/>
      <c r="CQ74" s="280"/>
      <c r="CR74" s="280"/>
      <c r="CS74" s="280"/>
      <c r="CT74" s="280"/>
      <c r="CU74" s="280"/>
      <c r="CV74" s="280"/>
      <c r="CW74" s="280"/>
      <c r="CX74" s="280"/>
      <c r="CY74" s="280"/>
      <c r="FD74" s="109"/>
      <c r="FE74" s="109"/>
      <c r="FF74" s="109"/>
      <c r="FI74" s="109"/>
      <c r="FN74" s="109"/>
      <c r="FP74" s="221"/>
      <c r="FR74" s="796"/>
      <c r="FS74" s="797"/>
      <c r="FT74" s="901"/>
      <c r="FU74" s="903"/>
      <c r="FV74" s="902"/>
      <c r="FW74" s="798"/>
      <c r="FX74" s="798"/>
      <c r="FY74" s="799"/>
      <c r="FZ74" s="800"/>
      <c r="GA74" s="798"/>
      <c r="GB74" s="484"/>
      <c r="GC74" s="522"/>
      <c r="GD74" s="150"/>
      <c r="GE74" s="116"/>
      <c r="GF74" s="133"/>
      <c r="GG74" s="134"/>
      <c r="GH74" s="134"/>
      <c r="GI74" s="198"/>
      <c r="GJ74" s="198"/>
      <c r="GK74" s="198"/>
      <c r="GL74" s="198"/>
      <c r="GM74" s="199"/>
      <c r="GN74" s="198"/>
      <c r="GO74" s="198"/>
      <c r="GQ74" s="150"/>
      <c r="GR74" s="116"/>
      <c r="GS74" s="133"/>
      <c r="GT74" s="134"/>
      <c r="GU74" s="134"/>
      <c r="GV74" s="198"/>
      <c r="GW74" s="198"/>
      <c r="GX74" s="198"/>
      <c r="GY74" s="198"/>
      <c r="GZ74" s="199"/>
      <c r="HA74" s="198"/>
      <c r="HE74" s="116"/>
      <c r="HF74" s="133"/>
      <c r="HG74" s="134"/>
      <c r="HH74" s="134"/>
      <c r="HI74" s="198"/>
      <c r="HJ74" s="198"/>
      <c r="HK74" s="198"/>
      <c r="HL74" s="198"/>
      <c r="HM74" s="199"/>
      <c r="HN74" s="198"/>
      <c r="HR74" s="150">
        <f t="shared" si="182"/>
        <v>0</v>
      </c>
      <c r="HS74" s="714"/>
      <c r="HT74" s="205"/>
      <c r="HU74" s="718"/>
      <c r="HV74" s="718"/>
      <c r="HW74" s="786"/>
      <c r="HX74" s="198"/>
      <c r="HY74" s="198"/>
      <c r="HZ74" s="198"/>
      <c r="IA74" s="199"/>
      <c r="IB74" s="199"/>
      <c r="ID74" s="150">
        <f t="shared" si="173"/>
        <v>0</v>
      </c>
      <c r="IE74" s="714"/>
      <c r="IF74" s="205"/>
      <c r="IG74" s="718"/>
      <c r="IH74" s="718"/>
      <c r="II74" s="198"/>
      <c r="IJ74" s="198"/>
      <c r="IK74" s="198"/>
      <c r="IL74" s="198"/>
      <c r="IM74" s="199"/>
      <c r="IN74" s="776"/>
      <c r="IP74" s="1382">
        <f t="shared" si="181"/>
        <v>0</v>
      </c>
      <c r="IQ74" s="714"/>
      <c r="IR74" s="205"/>
      <c r="IS74" s="718"/>
      <c r="IT74" s="718"/>
      <c r="IU74" s="198"/>
      <c r="IV74" s="198"/>
      <c r="IW74" s="198"/>
      <c r="IX74" s="198"/>
      <c r="IY74" s="199"/>
      <c r="IZ74" s="776"/>
      <c r="JD74" s="150"/>
      <c r="JE74" s="714"/>
      <c r="JF74" s="205"/>
      <c r="JG74" s="718"/>
      <c r="JH74" s="718"/>
      <c r="JI74" s="198"/>
      <c r="JJ74" s="198"/>
      <c r="JK74" s="198"/>
      <c r="JL74" s="198"/>
      <c r="JM74" s="199"/>
      <c r="JN74" s="776"/>
      <c r="JP74" s="150"/>
      <c r="JQ74" s="714"/>
      <c r="JR74" s="205"/>
      <c r="JS74" s="718"/>
      <c r="JT74" s="718"/>
      <c r="JU74" s="198"/>
      <c r="JV74" s="198"/>
      <c r="JW74" s="198"/>
      <c r="JX74" s="198"/>
      <c r="JY74" s="199"/>
      <c r="JZ74" s="776"/>
      <c r="KB74" s="714"/>
      <c r="KC74" s="205"/>
      <c r="KD74" s="718"/>
      <c r="KE74" s="718"/>
      <c r="KF74" s="198"/>
      <c r="KG74" s="198"/>
      <c r="KH74" s="198"/>
      <c r="KI74" s="198"/>
      <c r="KJ74" s="199"/>
      <c r="KK74" s="776"/>
      <c r="KN74" s="714"/>
      <c r="KO74" s="205"/>
      <c r="KP74" s="718"/>
      <c r="KQ74" s="718"/>
      <c r="KR74" s="198"/>
      <c r="KS74" s="198"/>
      <c r="KT74" s="198"/>
      <c r="KU74" s="198"/>
      <c r="KV74" s="199"/>
      <c r="KW74" s="1612"/>
    </row>
    <row r="75" spans="15:309" ht="13.5" thickBot="1" x14ac:dyDescent="0.25">
      <c r="O75" s="109"/>
      <c r="P75" s="109"/>
      <c r="Q75" s="109"/>
      <c r="R75" s="109"/>
      <c r="S75" s="150">
        <f t="shared" si="184"/>
        <v>0</v>
      </c>
      <c r="T75" s="116">
        <v>43567</v>
      </c>
      <c r="U75" s="273">
        <v>68</v>
      </c>
      <c r="V75" s="266"/>
      <c r="W75" s="266"/>
      <c r="X75" s="143"/>
      <c r="Y75" s="143"/>
      <c r="Z75" s="143"/>
      <c r="AA75" s="143"/>
      <c r="AB75" s="143"/>
      <c r="AC75" s="143"/>
      <c r="AQ75" s="150">
        <f t="shared" si="185"/>
        <v>0</v>
      </c>
      <c r="AR75" s="116"/>
      <c r="AS75" s="133"/>
      <c r="AT75" s="134"/>
      <c r="AU75" s="134"/>
      <c r="AV75" s="138"/>
      <c r="AW75" s="138"/>
      <c r="AX75" s="138"/>
      <c r="AY75" s="138"/>
      <c r="AZ75" s="138"/>
      <c r="BA75" s="138"/>
      <c r="BC75" s="150"/>
      <c r="BD75" s="116"/>
      <c r="BE75" s="133"/>
      <c r="BF75" s="843"/>
      <c r="BG75" s="836"/>
      <c r="BH75" s="137"/>
      <c r="BI75" s="762"/>
      <c r="BJ75" s="198"/>
      <c r="BK75" s="198"/>
      <c r="BL75" s="199"/>
      <c r="BM75" s="447"/>
      <c r="CB75" s="150">
        <f t="shared" si="186"/>
        <v>0</v>
      </c>
      <c r="CC75" s="714"/>
      <c r="CD75" s="211"/>
      <c r="CE75"/>
      <c r="CF75"/>
      <c r="CG75"/>
      <c r="CH75" s="198"/>
      <c r="CI75" s="198"/>
      <c r="CJ75" s="762"/>
      <c r="CK75" s="621"/>
      <c r="CL75" s="762"/>
      <c r="CM75" s="280"/>
      <c r="CN75" s="280"/>
      <c r="CO75" s="280"/>
      <c r="CP75" s="280"/>
      <c r="CQ75" s="280"/>
      <c r="CR75" s="280"/>
      <c r="CS75" s="280"/>
      <c r="CT75" s="280"/>
      <c r="CU75" s="280"/>
      <c r="CV75" s="280"/>
      <c r="CW75" s="280"/>
      <c r="CX75" s="280"/>
      <c r="CY75" s="280"/>
      <c r="FD75" s="109"/>
      <c r="FE75" s="109"/>
      <c r="FF75" s="109"/>
      <c r="FI75" s="109"/>
      <c r="FN75" s="109"/>
      <c r="GF75" s="133"/>
      <c r="GG75" s="134"/>
      <c r="GH75" s="134"/>
      <c r="GS75" s="133"/>
      <c r="GT75" s="134"/>
      <c r="GU75" s="134"/>
      <c r="HF75" s="133"/>
      <c r="HG75" s="134"/>
      <c r="HH75" s="134"/>
      <c r="HR75" s="150">
        <f t="shared" si="182"/>
        <v>0</v>
      </c>
      <c r="HS75" s="714"/>
      <c r="HT75" s="205"/>
      <c r="HU75" s="718"/>
      <c r="HV75" s="718"/>
      <c r="HW75" s="786"/>
      <c r="HX75" s="198"/>
      <c r="HY75" s="198"/>
      <c r="HZ75" s="198"/>
      <c r="IA75" s="199"/>
      <c r="IB75" s="199"/>
      <c r="ID75" s="150">
        <f t="shared" si="173"/>
        <v>0</v>
      </c>
      <c r="IE75" s="714"/>
      <c r="IF75" s="205"/>
      <c r="IG75" s="718"/>
      <c r="IH75" s="718"/>
      <c r="II75" s="198"/>
      <c r="IJ75" s="198"/>
      <c r="IK75" s="198"/>
      <c r="IL75" s="198"/>
      <c r="IM75" s="199"/>
      <c r="IN75" s="776"/>
      <c r="IP75" s="1382">
        <f t="shared" si="181"/>
        <v>0</v>
      </c>
      <c r="IQ75" s="714"/>
      <c r="IR75" s="205"/>
      <c r="IS75" s="718"/>
      <c r="IT75" s="718"/>
      <c r="IU75" s="198"/>
      <c r="IV75" s="198"/>
      <c r="IW75" s="198"/>
      <c r="IX75" s="198"/>
      <c r="IY75" s="199"/>
      <c r="IZ75" s="776"/>
      <c r="JD75" s="150"/>
      <c r="JE75" s="714"/>
      <c r="JF75" s="205"/>
      <c r="JG75" s="718"/>
      <c r="JH75" s="718"/>
      <c r="JI75" s="198"/>
      <c r="JJ75" s="198"/>
      <c r="JK75" s="198"/>
      <c r="JL75" s="198"/>
      <c r="JM75" s="199"/>
      <c r="JN75" s="776"/>
      <c r="JP75" s="150"/>
      <c r="JQ75" s="714"/>
      <c r="JR75" s="205"/>
      <c r="JS75" s="718"/>
      <c r="JT75" s="718"/>
      <c r="JU75" s="198"/>
      <c r="JV75" s="198"/>
      <c r="JW75" s="198"/>
      <c r="JX75" s="198"/>
      <c r="JY75" s="199"/>
      <c r="JZ75" s="776"/>
      <c r="KB75" s="714"/>
      <c r="KC75" s="205"/>
      <c r="KD75" s="718"/>
      <c r="KE75" s="718"/>
      <c r="KF75" s="198"/>
      <c r="KG75" s="198"/>
      <c r="KH75" s="198"/>
      <c r="KI75" s="198"/>
      <c r="KJ75" s="199"/>
      <c r="KK75" s="776"/>
      <c r="KN75" s="714"/>
      <c r="KO75" s="205"/>
      <c r="KP75" s="718"/>
      <c r="KQ75" s="718"/>
      <c r="KR75" s="198"/>
      <c r="KS75" s="198"/>
      <c r="KT75" s="198"/>
      <c r="KU75" s="198"/>
      <c r="KV75" s="199"/>
      <c r="KW75" s="1612"/>
    </row>
    <row r="76" spans="15:309" x14ac:dyDescent="0.2">
      <c r="O76" s="109"/>
      <c r="P76" s="109"/>
      <c r="Q76" s="109"/>
      <c r="R76" s="109"/>
      <c r="S76" s="150">
        <f t="shared" si="184"/>
        <v>0</v>
      </c>
      <c r="T76" s="116">
        <v>43658</v>
      </c>
      <c r="U76" s="272">
        <v>69</v>
      </c>
      <c r="V76" s="264"/>
      <c r="W76" s="264"/>
      <c r="X76" s="143"/>
      <c r="Y76" s="143"/>
      <c r="Z76" s="143"/>
      <c r="AA76" s="143"/>
      <c r="AB76" s="143"/>
      <c r="AC76" s="143"/>
      <c r="AQ76" s="150">
        <f t="shared" si="185"/>
        <v>0</v>
      </c>
      <c r="AR76" s="116"/>
      <c r="AS76" s="133"/>
      <c r="AT76" s="134"/>
      <c r="AU76" s="134"/>
      <c r="AV76" s="138"/>
      <c r="AW76" s="138"/>
      <c r="AX76" s="138"/>
      <c r="AY76" s="138"/>
      <c r="AZ76" s="138"/>
      <c r="BA76" s="138"/>
      <c r="BG76" s="403"/>
      <c r="BI76" s="762"/>
      <c r="BJ76" s="198"/>
      <c r="BK76" s="198"/>
      <c r="BL76" s="199"/>
      <c r="BM76" s="447"/>
      <c r="CB76" s="150">
        <f t="shared" si="186"/>
        <v>0</v>
      </c>
      <c r="CC76" s="714"/>
      <c r="CD76" s="211"/>
      <c r="CE76"/>
      <c r="CF76"/>
      <c r="CG76"/>
      <c r="CH76" s="198"/>
      <c r="CI76" s="198"/>
      <c r="CJ76" s="762"/>
      <c r="CK76" s="621"/>
      <c r="CL76" s="762"/>
      <c r="CM76" s="280"/>
      <c r="CN76" s="280"/>
      <c r="CO76" s="280"/>
      <c r="CP76" s="280"/>
      <c r="CQ76" s="280"/>
      <c r="CR76" s="280"/>
      <c r="CS76" s="280"/>
      <c r="CT76" s="280"/>
      <c r="CU76" s="280"/>
      <c r="CV76" s="280"/>
      <c r="CW76" s="280"/>
      <c r="CX76" s="280"/>
      <c r="CY76" s="280"/>
      <c r="FD76" s="109"/>
      <c r="FE76" s="109"/>
      <c r="FF76" s="109"/>
      <c r="FI76" s="109"/>
      <c r="FN76" s="109"/>
      <c r="HR76" s="150">
        <f t="shared" si="182"/>
        <v>0</v>
      </c>
      <c r="HS76" s="714"/>
      <c r="HT76" s="205"/>
      <c r="HU76" s="718"/>
      <c r="HV76" s="718"/>
      <c r="HW76" s="786"/>
      <c r="HX76" s="198"/>
      <c r="HY76" s="198"/>
      <c r="HZ76" s="198"/>
      <c r="IA76" s="199"/>
      <c r="IB76" s="199"/>
      <c r="ID76" s="150">
        <f t="shared" si="173"/>
        <v>0</v>
      </c>
      <c r="IE76" s="714"/>
      <c r="IF76" s="205"/>
      <c r="IG76" s="718"/>
      <c r="IH76" s="718"/>
      <c r="II76" s="198"/>
      <c r="IJ76" s="198"/>
      <c r="IK76" s="198"/>
      <c r="IL76" s="198"/>
      <c r="IM76" s="199"/>
      <c r="IN76" s="776"/>
      <c r="IP76" s="1382">
        <f t="shared" si="181"/>
        <v>0</v>
      </c>
      <c r="IQ76" s="714"/>
      <c r="IR76" s="205"/>
      <c r="IS76" s="718"/>
      <c r="IT76" s="718"/>
      <c r="IU76" s="198"/>
      <c r="IV76" s="198"/>
      <c r="IW76" s="198"/>
      <c r="IX76" s="198"/>
      <c r="IY76" s="199"/>
      <c r="IZ76" s="776"/>
      <c r="JD76" s="150">
        <f t="shared" ref="JD76:JD88" si="188">+IF(JK76=0,0,JD75+1)</f>
        <v>0</v>
      </c>
      <c r="JE76" s="714"/>
      <c r="JF76" s="205"/>
      <c r="JG76" s="718"/>
      <c r="JH76" s="718"/>
      <c r="JI76" s="198"/>
      <c r="JJ76" s="198"/>
      <c r="JK76" s="198"/>
      <c r="JL76" s="198"/>
      <c r="JM76" s="199"/>
      <c r="JN76" s="776"/>
      <c r="JP76" s="150">
        <f t="shared" ref="JP76:JP88" si="189">+IF(JW76=0,0,JP75+1)</f>
        <v>0</v>
      </c>
      <c r="JQ76" s="714"/>
      <c r="JR76" s="205"/>
      <c r="JS76" s="718"/>
      <c r="JT76" s="718"/>
      <c r="JU76" s="198"/>
      <c r="JV76" s="198"/>
      <c r="JW76" s="198"/>
      <c r="JX76" s="198"/>
      <c r="JY76" s="199"/>
      <c r="JZ76" s="776"/>
      <c r="KB76" s="714"/>
      <c r="KC76" s="205"/>
      <c r="KD76" s="718"/>
      <c r="KE76" s="718"/>
      <c r="KF76" s="198"/>
      <c r="KG76" s="198"/>
      <c r="KH76" s="198"/>
      <c r="KI76" s="198"/>
      <c r="KJ76" s="199"/>
      <c r="KK76" s="776"/>
      <c r="KN76" s="714"/>
      <c r="KO76" s="205"/>
      <c r="KP76" s="718"/>
      <c r="KQ76" s="718"/>
      <c r="KR76" s="198"/>
      <c r="KS76" s="198"/>
      <c r="KT76" s="198"/>
      <c r="KU76" s="198"/>
      <c r="KV76" s="199"/>
      <c r="KW76" s="1612"/>
    </row>
    <row r="77" spans="15:309" x14ac:dyDescent="0.2">
      <c r="O77" s="109"/>
      <c r="P77" s="109"/>
      <c r="Q77" s="109"/>
      <c r="R77" s="109"/>
      <c r="S77" s="150">
        <f t="shared" si="184"/>
        <v>0</v>
      </c>
      <c r="T77" s="116">
        <v>43750</v>
      </c>
      <c r="U77" s="272">
        <v>70</v>
      </c>
      <c r="V77" s="265"/>
      <c r="W77" s="265"/>
      <c r="X77" s="143"/>
      <c r="Y77" s="143"/>
      <c r="Z77" s="143"/>
      <c r="AA77" s="143"/>
      <c r="AB77" s="143"/>
      <c r="AC77" s="143"/>
      <c r="AQ77" s="150">
        <f t="shared" si="185"/>
        <v>0</v>
      </c>
      <c r="AR77" s="116"/>
      <c r="AS77" s="133"/>
      <c r="AT77" s="134"/>
      <c r="AU77" s="134"/>
      <c r="AV77" s="138"/>
      <c r="AW77" s="138"/>
      <c r="AX77" s="138"/>
      <c r="AY77" s="138"/>
      <c r="AZ77" s="138"/>
      <c r="BA77" s="138"/>
      <c r="BG77" s="403"/>
      <c r="BI77" s="762"/>
      <c r="BJ77" s="198"/>
      <c r="BK77" s="198"/>
      <c r="BL77" s="199"/>
      <c r="BM77" s="447"/>
      <c r="CB77" s="150">
        <f t="shared" si="186"/>
        <v>0</v>
      </c>
      <c r="CC77" s="714"/>
      <c r="CD77" s="211"/>
      <c r="CE77"/>
      <c r="CF77"/>
      <c r="CG77"/>
      <c r="CH77" s="198"/>
      <c r="CI77" s="198"/>
      <c r="CJ77" s="762"/>
      <c r="CK77" s="621"/>
      <c r="CL77" s="762"/>
      <c r="CM77" s="280"/>
      <c r="CN77" s="280"/>
      <c r="CO77" s="280"/>
      <c r="CP77" s="280"/>
      <c r="CQ77" s="280"/>
      <c r="CR77" s="280"/>
      <c r="CS77" s="280"/>
      <c r="CT77" s="280"/>
      <c r="CU77" s="280"/>
      <c r="CV77" s="280"/>
      <c r="CW77" s="280"/>
      <c r="CX77" s="280"/>
      <c r="CY77" s="280"/>
      <c r="FD77" s="109"/>
      <c r="FE77" s="109"/>
      <c r="FF77" s="109"/>
      <c r="FI77" s="109"/>
      <c r="FN77" s="109"/>
      <c r="HR77" s="150">
        <f t="shared" si="182"/>
        <v>0</v>
      </c>
      <c r="HS77" s="714"/>
      <c r="HT77" s="205"/>
      <c r="HU77" s="718"/>
      <c r="HV77" s="718"/>
      <c r="HW77" s="786"/>
      <c r="HX77" s="198"/>
      <c r="HY77" s="198"/>
      <c r="HZ77" s="198"/>
      <c r="IA77" s="199"/>
      <c r="IB77" s="199"/>
      <c r="ID77" s="150">
        <f t="shared" si="173"/>
        <v>0</v>
      </c>
      <c r="IE77" s="714"/>
      <c r="IF77" s="205"/>
      <c r="IG77" s="718"/>
      <c r="IH77" s="718"/>
      <c r="II77" s="198"/>
      <c r="IJ77" s="198"/>
      <c r="IK77" s="198"/>
      <c r="IL77" s="198"/>
      <c r="IM77" s="199"/>
      <c r="IN77" s="776"/>
      <c r="IP77" s="1382">
        <f t="shared" si="181"/>
        <v>0</v>
      </c>
      <c r="IQ77" s="714"/>
      <c r="IR77" s="205"/>
      <c r="IS77" s="718"/>
      <c r="IT77" s="718"/>
      <c r="IU77" s="198"/>
      <c r="IV77" s="198"/>
      <c r="IW77" s="198"/>
      <c r="IX77" s="198"/>
      <c r="IY77" s="199"/>
      <c r="IZ77" s="776"/>
      <c r="JD77" s="150">
        <f t="shared" si="188"/>
        <v>0</v>
      </c>
      <c r="JE77" s="714"/>
      <c r="JF77" s="205"/>
      <c r="JG77" s="718"/>
      <c r="JH77" s="718"/>
      <c r="JI77" s="198"/>
      <c r="JJ77" s="198"/>
      <c r="JK77" s="198"/>
      <c r="JL77" s="198"/>
      <c r="JM77" s="199"/>
      <c r="JN77" s="776"/>
      <c r="JP77" s="150">
        <f t="shared" si="189"/>
        <v>0</v>
      </c>
      <c r="JQ77" s="714"/>
      <c r="JR77" s="205"/>
      <c r="JS77" s="718"/>
      <c r="JT77" s="718"/>
      <c r="JU77" s="198"/>
      <c r="JV77" s="198"/>
      <c r="JW77" s="198"/>
      <c r="JX77" s="198"/>
      <c r="JY77" s="199"/>
      <c r="JZ77" s="776"/>
      <c r="KB77" s="714"/>
      <c r="KC77" s="205"/>
      <c r="KD77" s="718"/>
      <c r="KE77" s="718"/>
      <c r="KF77" s="198"/>
      <c r="KG77" s="198"/>
      <c r="KH77" s="198"/>
      <c r="KI77" s="198"/>
      <c r="KJ77" s="199"/>
      <c r="KK77" s="776"/>
      <c r="KN77" s="714"/>
      <c r="KO77" s="205"/>
      <c r="KP77" s="718"/>
      <c r="KQ77" s="718"/>
      <c r="KR77" s="198"/>
      <c r="KS77" s="198"/>
      <c r="KT77" s="198"/>
      <c r="KU77" s="198"/>
      <c r="KV77" s="199"/>
      <c r="KW77" s="1612"/>
    </row>
    <row r="78" spans="15:309" x14ac:dyDescent="0.2">
      <c r="O78" s="109"/>
      <c r="P78" s="109"/>
      <c r="Q78" s="109"/>
      <c r="R78" s="109"/>
      <c r="S78" s="150">
        <f t="shared" si="184"/>
        <v>0</v>
      </c>
      <c r="T78" s="116">
        <v>43842</v>
      </c>
      <c r="U78" s="272">
        <v>71</v>
      </c>
      <c r="V78" s="265"/>
      <c r="W78" s="265"/>
      <c r="X78" s="143"/>
      <c r="Y78" s="143"/>
      <c r="Z78" s="143"/>
      <c r="AA78" s="143"/>
      <c r="AB78" s="143"/>
      <c r="AC78" s="143"/>
      <c r="AQ78" s="150">
        <f t="shared" si="185"/>
        <v>0</v>
      </c>
      <c r="AR78" s="116"/>
      <c r="AS78" s="133"/>
      <c r="AT78" s="134"/>
      <c r="AU78" s="134"/>
      <c r="AV78" s="138"/>
      <c r="AW78" s="138"/>
      <c r="AX78" s="138"/>
      <c r="AY78" s="138"/>
      <c r="AZ78" s="138"/>
      <c r="BA78" s="138"/>
      <c r="BG78" s="403"/>
      <c r="BI78" s="762"/>
      <c r="BJ78" s="198"/>
      <c r="BK78" s="198"/>
      <c r="BL78" s="199"/>
      <c r="BM78" s="447"/>
      <c r="CB78" s="150"/>
      <c r="CC78" s="194"/>
      <c r="CD78" s="211"/>
      <c r="CE78" s="402"/>
      <c r="CF78" s="925"/>
      <c r="CG78" s="926"/>
      <c r="CH78" s="198"/>
      <c r="CI78" s="198"/>
      <c r="CJ78" s="762"/>
      <c r="CK78" s="621"/>
      <c r="CL78" s="762"/>
      <c r="CM78" s="280"/>
      <c r="CN78" s="280"/>
      <c r="CO78" s="280"/>
      <c r="CP78" s="280"/>
      <c r="CQ78" s="280"/>
      <c r="CR78" s="280"/>
      <c r="CS78" s="280"/>
      <c r="CT78" s="280"/>
      <c r="CU78" s="280"/>
      <c r="CV78" s="280"/>
      <c r="CW78" s="280"/>
      <c r="CX78" s="280"/>
      <c r="CY78" s="280"/>
      <c r="FD78" s="109"/>
      <c r="FE78" s="109"/>
      <c r="FF78" s="109"/>
      <c r="FI78" s="109"/>
      <c r="FN78" s="109"/>
      <c r="HR78" s="150">
        <f t="shared" si="182"/>
        <v>0</v>
      </c>
      <c r="HS78" s="714"/>
      <c r="HT78" s="205"/>
      <c r="HU78" s="718"/>
      <c r="HV78" s="718"/>
      <c r="HW78" s="786"/>
      <c r="HX78" s="198"/>
      <c r="HY78" s="198"/>
      <c r="HZ78" s="198"/>
      <c r="IA78" s="199"/>
      <c r="IB78" s="199"/>
      <c r="ID78" s="150">
        <f t="shared" si="173"/>
        <v>0</v>
      </c>
      <c r="IE78" s="714"/>
      <c r="IF78" s="205"/>
      <c r="IG78" s="718"/>
      <c r="IH78" s="718"/>
      <c r="II78" s="198"/>
      <c r="IJ78" s="198"/>
      <c r="IK78" s="198"/>
      <c r="IL78" s="198"/>
      <c r="IM78" s="199"/>
      <c r="IN78" s="776"/>
      <c r="IP78" s="1382">
        <f t="shared" si="181"/>
        <v>0</v>
      </c>
      <c r="IQ78" s="714"/>
      <c r="IR78" s="205"/>
      <c r="IS78" s="718"/>
      <c r="IT78" s="718"/>
      <c r="IU78" s="198"/>
      <c r="IV78" s="198"/>
      <c r="IW78" s="198"/>
      <c r="IX78" s="198"/>
      <c r="IY78" s="199"/>
      <c r="IZ78" s="776"/>
      <c r="JD78" s="150">
        <f t="shared" si="188"/>
        <v>0</v>
      </c>
      <c r="JE78" s="714"/>
      <c r="JF78" s="205"/>
      <c r="JG78" s="718"/>
      <c r="JH78" s="718"/>
      <c r="JI78" s="198"/>
      <c r="JJ78" s="198"/>
      <c r="JK78" s="198"/>
      <c r="JL78" s="198"/>
      <c r="JM78" s="199"/>
      <c r="JN78" s="776"/>
      <c r="JP78" s="150">
        <f t="shared" si="189"/>
        <v>0</v>
      </c>
      <c r="JQ78" s="714"/>
      <c r="JR78" s="205"/>
      <c r="JS78" s="718"/>
      <c r="JT78" s="718"/>
      <c r="JU78" s="198"/>
      <c r="JV78" s="198"/>
      <c r="JW78" s="198"/>
      <c r="JX78" s="198"/>
      <c r="JY78" s="199"/>
      <c r="JZ78" s="776"/>
      <c r="KB78" s="714"/>
      <c r="KC78" s="205"/>
      <c r="KD78" s="718"/>
      <c r="KE78" s="718"/>
      <c r="KF78" s="198"/>
      <c r="KG78" s="198"/>
      <c r="KH78" s="198"/>
      <c r="KI78" s="198"/>
      <c r="KJ78" s="199"/>
      <c r="KK78" s="776"/>
      <c r="KN78" s="714"/>
      <c r="KO78" s="205"/>
      <c r="KP78" s="718"/>
      <c r="KQ78" s="718"/>
      <c r="KR78" s="198"/>
      <c r="KS78" s="198"/>
      <c r="KT78" s="198"/>
      <c r="KU78" s="198"/>
      <c r="KV78" s="199"/>
      <c r="KW78" s="1612"/>
    </row>
    <row r="79" spans="15:309" ht="13.5" thickBot="1" x14ac:dyDescent="0.25">
      <c r="O79" s="109"/>
      <c r="P79" s="109"/>
      <c r="Q79" s="109"/>
      <c r="R79" s="109"/>
      <c r="S79" s="150">
        <f t="shared" si="184"/>
        <v>0</v>
      </c>
      <c r="T79" s="116">
        <v>43933</v>
      </c>
      <c r="U79" s="273">
        <v>72</v>
      </c>
      <c r="V79" s="266"/>
      <c r="W79" s="266"/>
      <c r="X79" s="143"/>
      <c r="Y79" s="143"/>
      <c r="Z79" s="143"/>
      <c r="AA79" s="143"/>
      <c r="AB79" s="143"/>
      <c r="AC79" s="143"/>
      <c r="AQ79" s="150">
        <f t="shared" si="185"/>
        <v>0</v>
      </c>
      <c r="AR79" s="116"/>
      <c r="AS79" s="133"/>
      <c r="AT79" s="134"/>
      <c r="AU79" s="134"/>
      <c r="AV79" s="138"/>
      <c r="AW79" s="138"/>
      <c r="AX79" s="138"/>
      <c r="AY79" s="138"/>
      <c r="AZ79" s="138"/>
      <c r="BA79" s="138"/>
      <c r="BG79" s="403"/>
      <c r="BI79" s="762"/>
      <c r="BJ79" s="198"/>
      <c r="BK79" s="198"/>
      <c r="BL79" s="199"/>
      <c r="BM79" s="447"/>
      <c r="CB79" s="150"/>
      <c r="CC79" s="194"/>
      <c r="CD79" s="211"/>
      <c r="CE79" s="296"/>
      <c r="CF79" s="822"/>
      <c r="CG79" s="728"/>
      <c r="CH79" s="622"/>
      <c r="CI79" s="198"/>
      <c r="CJ79" s="198"/>
      <c r="CK79" s="199"/>
      <c r="CL79" s="198"/>
      <c r="CM79" s="280"/>
      <c r="CN79" s="280"/>
      <c r="CO79" s="280"/>
      <c r="CP79" s="280"/>
      <c r="CQ79" s="280"/>
      <c r="CR79" s="280"/>
      <c r="CS79" s="280"/>
      <c r="CT79" s="280"/>
      <c r="CU79" s="280"/>
      <c r="CV79" s="280"/>
      <c r="CW79" s="280"/>
      <c r="CX79" s="280"/>
      <c r="CY79" s="280"/>
      <c r="FD79" s="109"/>
      <c r="FE79" s="109"/>
      <c r="FF79" s="109"/>
      <c r="FI79" s="109"/>
      <c r="FN79" s="109"/>
      <c r="HR79" s="150">
        <f t="shared" si="182"/>
        <v>0</v>
      </c>
      <c r="HS79" s="714"/>
      <c r="HT79" s="205"/>
      <c r="HU79" s="718"/>
      <c r="HV79" s="718"/>
      <c r="HW79" s="786"/>
      <c r="HX79" s="198"/>
      <c r="HY79" s="198"/>
      <c r="HZ79" s="198"/>
      <c r="IA79" s="199"/>
      <c r="IB79" s="199"/>
      <c r="ID79" s="150">
        <f t="shared" si="173"/>
        <v>0</v>
      </c>
      <c r="IE79" s="714"/>
      <c r="IF79" s="205"/>
      <c r="IG79" s="718"/>
      <c r="IH79" s="718"/>
      <c r="II79" s="198"/>
      <c r="IJ79" s="198"/>
      <c r="IK79" s="198"/>
      <c r="IL79" s="198"/>
      <c r="IM79" s="199"/>
      <c r="IN79" s="776"/>
      <c r="IP79" s="1382">
        <f t="shared" si="181"/>
        <v>0</v>
      </c>
      <c r="IQ79" s="714"/>
      <c r="IR79" s="205"/>
      <c r="IS79" s="718"/>
      <c r="IT79" s="718"/>
      <c r="IU79" s="198"/>
      <c r="IV79" s="198"/>
      <c r="IW79" s="198"/>
      <c r="IX79" s="198"/>
      <c r="IY79" s="199"/>
      <c r="IZ79" s="776"/>
      <c r="JD79" s="150">
        <f t="shared" si="188"/>
        <v>0</v>
      </c>
      <c r="JE79" s="714"/>
      <c r="JF79" s="205"/>
      <c r="JG79" s="718"/>
      <c r="JH79" s="718"/>
      <c r="JI79" s="198"/>
      <c r="JJ79" s="198"/>
      <c r="JK79" s="198"/>
      <c r="JL79" s="198"/>
      <c r="JM79" s="199"/>
      <c r="JN79" s="776"/>
      <c r="JP79" s="150">
        <f t="shared" si="189"/>
        <v>0</v>
      </c>
      <c r="JQ79" s="714"/>
      <c r="JR79" s="205"/>
      <c r="JS79" s="718"/>
      <c r="JT79" s="718"/>
      <c r="JU79" s="198"/>
      <c r="JV79" s="198"/>
      <c r="JW79" s="198"/>
      <c r="JX79" s="198"/>
      <c r="JY79" s="199"/>
      <c r="JZ79" s="776"/>
      <c r="KB79" s="714"/>
      <c r="KC79" s="205"/>
      <c r="KD79" s="718"/>
      <c r="KE79" s="718"/>
      <c r="KF79" s="198"/>
      <c r="KG79" s="198"/>
      <c r="KH79" s="198"/>
      <c r="KI79" s="198"/>
      <c r="KJ79" s="199"/>
      <c r="KK79" s="776"/>
      <c r="KN79" s="714"/>
      <c r="KO79" s="205"/>
      <c r="KP79" s="718"/>
      <c r="KQ79" s="718"/>
      <c r="KR79" s="198"/>
      <c r="KS79" s="198"/>
      <c r="KT79" s="198"/>
      <c r="KU79" s="198"/>
      <c r="KV79" s="199"/>
      <c r="KW79" s="1612"/>
    </row>
    <row r="80" spans="15:309" x14ac:dyDescent="0.2">
      <c r="O80" s="109"/>
      <c r="P80" s="109"/>
      <c r="Q80" s="109"/>
      <c r="R80" s="109"/>
      <c r="S80" s="150">
        <f t="shared" si="184"/>
        <v>0</v>
      </c>
      <c r="T80" s="116">
        <v>44024</v>
      </c>
      <c r="U80" s="272">
        <v>73</v>
      </c>
      <c r="V80" s="264"/>
      <c r="W80" s="264"/>
      <c r="X80" s="143"/>
      <c r="Y80" s="143"/>
      <c r="Z80" s="143"/>
      <c r="AA80" s="143"/>
      <c r="AB80" s="143"/>
      <c r="AC80" s="143"/>
      <c r="AQ80" s="150">
        <f t="shared" si="185"/>
        <v>0</v>
      </c>
      <c r="AR80" s="116"/>
      <c r="AS80" s="133"/>
      <c r="AT80" s="134"/>
      <c r="AU80" s="134"/>
      <c r="AV80" s="138"/>
      <c r="AW80" s="138"/>
      <c r="AX80" s="138"/>
      <c r="AY80" s="138"/>
      <c r="AZ80" s="138"/>
      <c r="BA80" s="138"/>
      <c r="BG80" s="403"/>
      <c r="BI80" s="762"/>
      <c r="BJ80" s="198"/>
      <c r="BK80" s="198"/>
      <c r="BL80" s="199"/>
      <c r="BM80" s="447"/>
      <c r="CM80" s="280"/>
      <c r="FD80" s="109"/>
      <c r="FE80" s="109"/>
      <c r="FF80" s="109"/>
      <c r="FI80" s="109"/>
      <c r="FN80" s="109"/>
      <c r="HR80" s="150">
        <f t="shared" si="182"/>
        <v>0</v>
      </c>
      <c r="HS80" s="714"/>
      <c r="HT80" s="205"/>
      <c r="HU80" s="718"/>
      <c r="HV80" s="718"/>
      <c r="HW80" s="786"/>
      <c r="HX80" s="198"/>
      <c r="HY80" s="198"/>
      <c r="HZ80" s="198"/>
      <c r="IA80" s="199"/>
      <c r="IB80" s="199"/>
      <c r="ID80" s="150">
        <f t="shared" si="173"/>
        <v>0</v>
      </c>
      <c r="IE80" s="714"/>
      <c r="IF80" s="205"/>
      <c r="IG80" s="718"/>
      <c r="IH80" s="718"/>
      <c r="II80" s="198"/>
      <c r="IJ80" s="198"/>
      <c r="IK80" s="198"/>
      <c r="IL80" s="198"/>
      <c r="IM80" s="199"/>
      <c r="IN80" s="776"/>
      <c r="IP80" s="1382">
        <f t="shared" si="181"/>
        <v>0</v>
      </c>
      <c r="IQ80" s="714"/>
      <c r="IR80" s="205"/>
      <c r="IS80" s="718"/>
      <c r="IT80" s="718"/>
      <c r="IU80" s="198"/>
      <c r="IV80" s="198"/>
      <c r="IW80" s="198"/>
      <c r="IX80" s="198"/>
      <c r="IY80" s="199"/>
      <c r="IZ80" s="776"/>
      <c r="JD80" s="150">
        <f t="shared" si="188"/>
        <v>0</v>
      </c>
      <c r="JE80" s="714"/>
      <c r="JF80" s="205"/>
      <c r="JG80" s="718"/>
      <c r="JH80" s="718"/>
      <c r="JI80" s="198"/>
      <c r="JJ80" s="198"/>
      <c r="JK80" s="198"/>
      <c r="JL80" s="198"/>
      <c r="JM80" s="199"/>
      <c r="JN80" s="776"/>
      <c r="JP80" s="150">
        <f t="shared" si="189"/>
        <v>0</v>
      </c>
      <c r="JQ80" s="714"/>
      <c r="JR80" s="205"/>
      <c r="JS80" s="718"/>
      <c r="JT80" s="718"/>
      <c r="JU80" s="198"/>
      <c r="JV80" s="198"/>
      <c r="JW80" s="198"/>
      <c r="JX80" s="198"/>
      <c r="JY80" s="199"/>
      <c r="JZ80" s="776"/>
      <c r="KB80" s="714"/>
      <c r="KC80" s="205"/>
      <c r="KD80" s="718"/>
      <c r="KE80" s="718"/>
      <c r="KF80" s="198"/>
      <c r="KG80" s="198"/>
      <c r="KH80" s="198"/>
      <c r="KI80" s="198"/>
      <c r="KJ80" s="199"/>
      <c r="KK80" s="776"/>
      <c r="KN80" s="714"/>
      <c r="KO80" s="205"/>
      <c r="KP80" s="718"/>
      <c r="KQ80" s="718"/>
      <c r="KR80" s="198"/>
      <c r="KS80" s="198"/>
      <c r="KT80" s="198"/>
      <c r="KU80" s="198"/>
      <c r="KV80" s="199"/>
      <c r="KW80" s="1612"/>
    </row>
    <row r="81" spans="15:309" x14ac:dyDescent="0.2">
      <c r="O81" s="109"/>
      <c r="P81" s="109"/>
      <c r="Q81" s="109"/>
      <c r="R81" s="109"/>
      <c r="S81" s="150">
        <f t="shared" si="184"/>
        <v>0</v>
      </c>
      <c r="T81" s="116">
        <v>44116</v>
      </c>
      <c r="U81" s="272">
        <v>74</v>
      </c>
      <c r="V81" s="265"/>
      <c r="W81" s="265"/>
      <c r="X81" s="143"/>
      <c r="Y81" s="143"/>
      <c r="Z81" s="143"/>
      <c r="AA81" s="143"/>
      <c r="AB81" s="143"/>
      <c r="AC81" s="143"/>
      <c r="AQ81" s="150">
        <f t="shared" si="185"/>
        <v>0</v>
      </c>
      <c r="AR81" s="116"/>
      <c r="AS81" s="133"/>
      <c r="AT81" s="134"/>
      <c r="AU81" s="134"/>
      <c r="AV81" s="138"/>
      <c r="AW81" s="138"/>
      <c r="AX81" s="138"/>
      <c r="AY81" s="138"/>
      <c r="AZ81" s="138"/>
      <c r="BA81" s="138"/>
      <c r="BG81" s="403"/>
      <c r="BI81" s="762"/>
      <c r="BJ81" s="198"/>
      <c r="BK81" s="198"/>
      <c r="BL81" s="199"/>
      <c r="BM81" s="447"/>
      <c r="CE81" s="484"/>
      <c r="CF81" s="769"/>
      <c r="CM81" s="280"/>
      <c r="FD81" s="109"/>
      <c r="FE81" s="109"/>
      <c r="FF81" s="109"/>
      <c r="FI81" s="109"/>
      <c r="FN81" s="109"/>
      <c r="HR81" s="150">
        <f t="shared" si="182"/>
        <v>0</v>
      </c>
      <c r="HS81" s="714"/>
      <c r="HT81" s="205"/>
      <c r="HU81" s="718"/>
      <c r="HV81" s="718"/>
      <c r="HW81" s="786"/>
      <c r="HX81" s="198"/>
      <c r="HY81" s="198"/>
      <c r="HZ81" s="198"/>
      <c r="IA81" s="199"/>
      <c r="IB81" s="199"/>
      <c r="ID81" s="150">
        <f t="shared" si="173"/>
        <v>0</v>
      </c>
      <c r="IE81" s="714"/>
      <c r="IF81" s="205"/>
      <c r="IG81" s="718"/>
      <c r="IH81" s="718"/>
      <c r="II81" s="198"/>
      <c r="IJ81" s="198"/>
      <c r="IK81" s="198"/>
      <c r="IL81" s="198"/>
      <c r="IM81" s="199"/>
      <c r="IN81" s="776"/>
      <c r="IP81" s="1382">
        <f t="shared" si="181"/>
        <v>0</v>
      </c>
      <c r="IQ81" s="714"/>
      <c r="IR81" s="205"/>
      <c r="IS81" s="718"/>
      <c r="IT81" s="718"/>
      <c r="IU81" s="198"/>
      <c r="IV81" s="198"/>
      <c r="IW81" s="198"/>
      <c r="IX81" s="198"/>
      <c r="IY81" s="199"/>
      <c r="IZ81" s="776"/>
      <c r="JD81" s="150">
        <f t="shared" si="188"/>
        <v>0</v>
      </c>
      <c r="JE81" s="714"/>
      <c r="JF81" s="205"/>
      <c r="JG81" s="718"/>
      <c r="JH81" s="718"/>
      <c r="JI81" s="198"/>
      <c r="JJ81" s="198"/>
      <c r="JK81" s="198"/>
      <c r="JL81" s="198"/>
      <c r="JM81" s="199"/>
      <c r="JN81" s="776"/>
      <c r="JP81" s="150">
        <f t="shared" si="189"/>
        <v>0</v>
      </c>
      <c r="JQ81" s="714"/>
      <c r="JR81" s="205"/>
      <c r="JS81" s="718"/>
      <c r="JT81" s="718"/>
      <c r="JU81" s="198"/>
      <c r="JV81" s="198"/>
      <c r="JW81" s="198"/>
      <c r="JX81" s="198"/>
      <c r="JY81" s="199"/>
      <c r="JZ81" s="776"/>
      <c r="KB81" s="714"/>
      <c r="KC81" s="205"/>
      <c r="KD81" s="718"/>
      <c r="KE81" s="718"/>
      <c r="KF81" s="198"/>
      <c r="KG81" s="198"/>
      <c r="KH81" s="198"/>
      <c r="KI81" s="198"/>
      <c r="KJ81" s="199"/>
      <c r="KK81" s="776"/>
      <c r="KN81" s="714"/>
      <c r="KO81" s="205"/>
      <c r="KP81" s="718"/>
      <c r="KQ81" s="718"/>
      <c r="KR81" s="198"/>
      <c r="KS81" s="198"/>
      <c r="KT81" s="198"/>
      <c r="KU81" s="198"/>
      <c r="KV81" s="199"/>
      <c r="KW81" s="1612"/>
    </row>
    <row r="82" spans="15:309" x14ac:dyDescent="0.2">
      <c r="O82" s="109"/>
      <c r="P82" s="109"/>
      <c r="Q82" s="109"/>
      <c r="R82" s="109"/>
      <c r="S82" s="150">
        <f t="shared" si="184"/>
        <v>0</v>
      </c>
      <c r="T82" s="116">
        <v>44208</v>
      </c>
      <c r="U82" s="272">
        <v>75</v>
      </c>
      <c r="V82" s="265"/>
      <c r="W82" s="265"/>
      <c r="X82" s="143"/>
      <c r="Y82" s="143"/>
      <c r="Z82" s="143"/>
      <c r="AA82" s="143"/>
      <c r="AB82" s="143"/>
      <c r="AC82" s="143"/>
      <c r="AQ82" s="150">
        <f t="shared" si="185"/>
        <v>0</v>
      </c>
      <c r="AR82" s="116"/>
      <c r="AS82" s="133"/>
      <c r="AT82" s="134"/>
      <c r="AU82" s="134"/>
      <c r="AV82" s="138"/>
      <c r="AW82" s="138"/>
      <c r="AX82" s="138"/>
      <c r="AY82" s="138"/>
      <c r="AZ82" s="138"/>
      <c r="BA82" s="138"/>
      <c r="BG82" s="403"/>
      <c r="BI82" s="762"/>
      <c r="BJ82" s="198"/>
      <c r="BK82" s="198"/>
      <c r="BL82" s="199"/>
      <c r="BM82" s="447"/>
      <c r="CE82" s="484"/>
      <c r="CF82" s="769"/>
      <c r="CM82" s="280"/>
      <c r="HR82" s="150">
        <f t="shared" si="182"/>
        <v>0</v>
      </c>
      <c r="HS82" s="714"/>
      <c r="HT82" s="205"/>
      <c r="HU82" s="718"/>
      <c r="HV82" s="718"/>
      <c r="HW82" s="786"/>
      <c r="HX82" s="198"/>
      <c r="HY82" s="198"/>
      <c r="HZ82" s="198"/>
      <c r="IA82" s="199"/>
      <c r="IB82" s="199"/>
      <c r="ID82" s="150">
        <f t="shared" si="173"/>
        <v>0</v>
      </c>
      <c r="IE82" s="714"/>
      <c r="IF82" s="205"/>
      <c r="IG82" s="718"/>
      <c r="IH82" s="718"/>
      <c r="II82" s="198"/>
      <c r="IJ82" s="198"/>
      <c r="IK82" s="198"/>
      <c r="IL82" s="198"/>
      <c r="IM82" s="199"/>
      <c r="IN82" s="776"/>
      <c r="IP82" s="1382">
        <f t="shared" si="181"/>
        <v>0</v>
      </c>
      <c r="IQ82" s="714"/>
      <c r="IR82" s="205"/>
      <c r="IS82" s="718"/>
      <c r="IT82" s="718"/>
      <c r="IU82" s="198"/>
      <c r="IV82" s="198"/>
      <c r="IW82" s="198"/>
      <c r="IX82" s="198"/>
      <c r="IY82" s="199"/>
      <c r="IZ82" s="776"/>
      <c r="JD82" s="150">
        <f t="shared" si="188"/>
        <v>0</v>
      </c>
      <c r="JE82" s="714"/>
      <c r="JF82" s="205"/>
      <c r="JG82" s="718"/>
      <c r="JH82" s="718"/>
      <c r="JI82" s="198"/>
      <c r="JJ82" s="198"/>
      <c r="JK82" s="198"/>
      <c r="JL82" s="198"/>
      <c r="JM82" s="199"/>
      <c r="JN82" s="776"/>
      <c r="JP82" s="150">
        <f t="shared" si="189"/>
        <v>0</v>
      </c>
      <c r="JQ82" s="714"/>
      <c r="JR82" s="205"/>
      <c r="JS82" s="718"/>
      <c r="JT82" s="718"/>
      <c r="JU82" s="198"/>
      <c r="JV82" s="198"/>
      <c r="JW82" s="198"/>
      <c r="JX82" s="198"/>
      <c r="JY82" s="199"/>
      <c r="JZ82" s="776"/>
      <c r="KB82" s="714"/>
      <c r="KC82" s="205"/>
      <c r="KD82" s="718"/>
      <c r="KE82" s="718"/>
      <c r="KF82" s="198"/>
      <c r="KG82" s="198"/>
      <c r="KH82" s="198"/>
      <c r="KI82" s="198"/>
      <c r="KJ82" s="199"/>
      <c r="KK82" s="776"/>
      <c r="KN82" s="714"/>
      <c r="KO82" s="205"/>
      <c r="KP82" s="718"/>
      <c r="KQ82" s="718"/>
      <c r="KR82" s="198"/>
      <c r="KS82" s="198"/>
      <c r="KT82" s="198"/>
      <c r="KU82" s="198"/>
      <c r="KV82" s="199"/>
      <c r="KW82" s="1612"/>
    </row>
    <row r="83" spans="15:309" ht="13.5" thickBot="1" x14ac:dyDescent="0.25">
      <c r="O83" s="109"/>
      <c r="P83" s="109"/>
      <c r="Q83" s="109"/>
      <c r="R83" s="109"/>
      <c r="S83" s="150">
        <f t="shared" si="184"/>
        <v>0</v>
      </c>
      <c r="T83" s="116">
        <v>44298</v>
      </c>
      <c r="U83" s="273">
        <v>76</v>
      </c>
      <c r="V83" s="266"/>
      <c r="W83" s="266"/>
      <c r="X83" s="143"/>
      <c r="Y83" s="143"/>
      <c r="Z83" s="143"/>
      <c r="AA83" s="143"/>
      <c r="AB83" s="143"/>
      <c r="AC83" s="143"/>
      <c r="AQ83" s="150">
        <f t="shared" si="185"/>
        <v>0</v>
      </c>
      <c r="AR83" s="116"/>
      <c r="AS83" s="133"/>
      <c r="AT83" s="134"/>
      <c r="AU83" s="134"/>
      <c r="AV83" s="138"/>
      <c r="AW83" s="138"/>
      <c r="AX83" s="138"/>
      <c r="AY83" s="138"/>
      <c r="AZ83" s="138"/>
      <c r="BA83" s="138"/>
      <c r="BG83" s="403"/>
      <c r="BI83" s="762"/>
      <c r="BJ83" s="198"/>
      <c r="BK83" s="198"/>
      <c r="BL83" s="199"/>
      <c r="BM83" s="447"/>
      <c r="CE83" s="484"/>
      <c r="CF83" s="769"/>
      <c r="CM83" s="280"/>
      <c r="HR83" s="150">
        <f t="shared" si="182"/>
        <v>0</v>
      </c>
      <c r="HS83" s="714"/>
      <c r="HT83" s="205"/>
      <c r="HU83" s="718"/>
      <c r="HV83" s="718"/>
      <c r="HW83" s="786"/>
      <c r="HX83" s="198"/>
      <c r="HY83" s="198"/>
      <c r="HZ83" s="198"/>
      <c r="IA83" s="199"/>
      <c r="IB83" s="199"/>
      <c r="ID83" s="150">
        <f t="shared" si="173"/>
        <v>0</v>
      </c>
      <c r="IE83" s="714"/>
      <c r="IF83" s="205"/>
      <c r="IG83" s="718"/>
      <c r="IH83" s="718"/>
      <c r="II83" s="198"/>
      <c r="IJ83" s="198"/>
      <c r="IK83" s="198"/>
      <c r="IL83" s="198"/>
      <c r="IM83" s="199"/>
      <c r="IN83" s="776"/>
      <c r="IP83" s="1382">
        <f t="shared" si="181"/>
        <v>0</v>
      </c>
      <c r="IQ83" s="714"/>
      <c r="IR83" s="205"/>
      <c r="IS83" s="718"/>
      <c r="IT83" s="718"/>
      <c r="IU83" s="198"/>
      <c r="IV83" s="198"/>
      <c r="IW83" s="198"/>
      <c r="IX83" s="198"/>
      <c r="IY83" s="199"/>
      <c r="IZ83" s="776"/>
      <c r="JD83" s="150">
        <f t="shared" si="188"/>
        <v>0</v>
      </c>
      <c r="JE83" s="714"/>
      <c r="JF83" s="205"/>
      <c r="JG83" s="718"/>
      <c r="JH83" s="718"/>
      <c r="JI83" s="198"/>
      <c r="JJ83" s="198"/>
      <c r="JK83" s="198"/>
      <c r="JL83" s="198"/>
      <c r="JM83" s="199"/>
      <c r="JN83" s="776"/>
      <c r="JP83" s="150">
        <f t="shared" si="189"/>
        <v>0</v>
      </c>
      <c r="JQ83" s="714"/>
      <c r="JR83" s="205"/>
      <c r="JS83" s="718"/>
      <c r="JT83" s="718"/>
      <c r="JU83" s="198"/>
      <c r="JV83" s="198"/>
      <c r="JW83" s="198"/>
      <c r="JX83" s="198"/>
      <c r="JY83" s="199"/>
      <c r="JZ83" s="776"/>
      <c r="KB83" s="714"/>
      <c r="KC83" s="205"/>
      <c r="KD83" s="718"/>
      <c r="KE83" s="718"/>
      <c r="KF83" s="198"/>
      <c r="KG83" s="198"/>
      <c r="KH83" s="198"/>
      <c r="KI83" s="198"/>
      <c r="KJ83" s="199"/>
      <c r="KK83" s="776"/>
      <c r="KN83" s="714"/>
      <c r="KO83" s="205"/>
      <c r="KP83" s="718"/>
      <c r="KQ83" s="718"/>
      <c r="KR83" s="198"/>
      <c r="KS83" s="198"/>
      <c r="KT83" s="198"/>
      <c r="KU83" s="198"/>
      <c r="KV83" s="199"/>
      <c r="KW83" s="1612"/>
    </row>
    <row r="84" spans="15:309" ht="13.5" thickBot="1" x14ac:dyDescent="0.25">
      <c r="O84" s="109"/>
      <c r="P84" s="109"/>
      <c r="Q84" s="109"/>
      <c r="R84" s="109"/>
      <c r="S84" s="150">
        <f t="shared" si="184"/>
        <v>0</v>
      </c>
      <c r="T84" s="116">
        <v>44389</v>
      </c>
      <c r="U84" s="272">
        <v>77</v>
      </c>
      <c r="V84" s="265"/>
      <c r="W84" s="265"/>
      <c r="X84" s="143"/>
      <c r="Y84" s="143"/>
      <c r="Z84" s="143"/>
      <c r="AA84" s="143"/>
      <c r="AB84" s="143"/>
      <c r="AC84" s="143"/>
      <c r="AQ84" s="150">
        <f t="shared" si="185"/>
        <v>0</v>
      </c>
      <c r="AR84" s="115" t="s">
        <v>1363</v>
      </c>
      <c r="AS84" s="177"/>
      <c r="AT84" s="136"/>
      <c r="AU84" s="136">
        <f>SUM(AU8:AU82)</f>
        <v>100872.61686114909</v>
      </c>
      <c r="AV84" s="144"/>
      <c r="AW84" s="144"/>
      <c r="AX84" s="144"/>
      <c r="AY84" s="144"/>
      <c r="AZ84" s="144"/>
      <c r="BA84" s="144"/>
      <c r="BG84" s="403"/>
      <c r="BI84" s="762"/>
      <c r="BJ84" s="198"/>
      <c r="BK84" s="198"/>
      <c r="BL84" s="199"/>
      <c r="BM84" s="447"/>
      <c r="CE84" s="484">
        <v>0</v>
      </c>
      <c r="CF84" s="769"/>
      <c r="CM84" s="280"/>
      <c r="HR84" s="150">
        <f t="shared" si="182"/>
        <v>0</v>
      </c>
      <c r="HS84" s="714"/>
      <c r="HT84" s="205"/>
      <c r="HU84" s="718"/>
      <c r="HV84" s="718"/>
      <c r="HW84" s="786"/>
      <c r="HX84" s="198"/>
      <c r="HY84" s="198"/>
      <c r="HZ84" s="198"/>
      <c r="IA84" s="199"/>
      <c r="IB84" s="199"/>
      <c r="ID84" s="150">
        <f t="shared" si="173"/>
        <v>0</v>
      </c>
      <c r="IE84" s="714"/>
      <c r="IF84" s="205"/>
      <c r="IG84" s="718"/>
      <c r="IH84" s="718"/>
      <c r="II84" s="198"/>
      <c r="IJ84" s="198"/>
      <c r="IK84" s="198"/>
      <c r="IL84" s="198"/>
      <c r="IM84" s="199"/>
      <c r="IN84" s="776"/>
      <c r="IP84" s="1382">
        <f t="shared" si="181"/>
        <v>0</v>
      </c>
      <c r="IQ84" s="714"/>
      <c r="IR84" s="205"/>
      <c r="IS84" s="718"/>
      <c r="IT84" s="718"/>
      <c r="IU84" s="198"/>
      <c r="IV84" s="198"/>
      <c r="IW84" s="198"/>
      <c r="IX84" s="198"/>
      <c r="IY84" s="199"/>
      <c r="IZ84" s="776"/>
      <c r="JD84" s="150">
        <f t="shared" si="188"/>
        <v>0</v>
      </c>
      <c r="JE84" s="714"/>
      <c r="JF84" s="205"/>
      <c r="JG84" s="718"/>
      <c r="JH84" s="718"/>
      <c r="JI84" s="198"/>
      <c r="JJ84" s="198"/>
      <c r="JK84" s="198"/>
      <c r="JL84" s="198"/>
      <c r="JM84" s="199"/>
      <c r="JN84" s="776"/>
      <c r="JP84" s="150">
        <f t="shared" si="189"/>
        <v>0</v>
      </c>
      <c r="JQ84" s="714"/>
      <c r="JR84" s="205"/>
      <c r="JS84" s="718"/>
      <c r="JT84" s="718"/>
      <c r="JU84" s="198"/>
      <c r="JV84" s="198"/>
      <c r="JW84" s="198"/>
      <c r="JX84" s="198"/>
      <c r="JY84" s="199"/>
      <c r="JZ84" s="776"/>
      <c r="KB84" s="714"/>
      <c r="KC84" s="205"/>
      <c r="KD84" s="718"/>
      <c r="KE84" s="718"/>
      <c r="KF84" s="198"/>
      <c r="KG84" s="198"/>
      <c r="KH84" s="198"/>
      <c r="KI84" s="198"/>
      <c r="KJ84" s="199"/>
      <c r="KK84" s="776"/>
      <c r="KN84" s="714"/>
      <c r="KO84" s="205"/>
      <c r="KP84" s="718"/>
      <c r="KQ84" s="718"/>
      <c r="KR84" s="198"/>
      <c r="KS84" s="198"/>
      <c r="KT84" s="198"/>
      <c r="KU84" s="198"/>
      <c r="KV84" s="199"/>
      <c r="KW84" s="1612"/>
    </row>
    <row r="85" spans="15:309" x14ac:dyDescent="0.2">
      <c r="O85" s="109"/>
      <c r="P85" s="109"/>
      <c r="Q85" s="109"/>
      <c r="R85" s="109"/>
      <c r="S85" s="150">
        <f t="shared" si="184"/>
        <v>0</v>
      </c>
      <c r="T85" s="116">
        <v>44481</v>
      </c>
      <c r="U85" s="272">
        <v>78</v>
      </c>
      <c r="V85" s="265"/>
      <c r="W85" s="265"/>
      <c r="X85" s="143"/>
      <c r="Y85" s="143"/>
      <c r="Z85" s="143"/>
      <c r="AA85" s="143"/>
      <c r="AB85" s="143"/>
      <c r="AC85" s="143"/>
      <c r="BG85" s="403"/>
      <c r="BI85" s="762"/>
      <c r="BJ85" s="198"/>
      <c r="BK85" s="198"/>
      <c r="BL85" s="199"/>
      <c r="BM85" s="447"/>
      <c r="CE85" s="484">
        <v>0</v>
      </c>
      <c r="CF85" s="769">
        <v>0</v>
      </c>
      <c r="CM85" s="280"/>
      <c r="HR85" s="150">
        <f t="shared" si="182"/>
        <v>0</v>
      </c>
      <c r="HS85" s="714"/>
      <c r="HT85" s="205"/>
      <c r="HU85" s="718"/>
      <c r="HV85" s="718"/>
      <c r="HW85" s="786"/>
      <c r="HX85" s="198"/>
      <c r="HY85" s="198"/>
      <c r="HZ85" s="198"/>
      <c r="IA85" s="199"/>
      <c r="IB85" s="199"/>
      <c r="ID85" s="150">
        <f t="shared" si="173"/>
        <v>0</v>
      </c>
      <c r="IE85" s="714"/>
      <c r="IF85" s="205"/>
      <c r="IG85" s="718"/>
      <c r="IH85" s="718"/>
      <c r="II85" s="198"/>
      <c r="IJ85" s="198"/>
      <c r="IK85" s="198"/>
      <c r="IL85" s="198"/>
      <c r="IM85" s="199"/>
      <c r="IN85" s="776"/>
      <c r="IP85" s="1382">
        <f t="shared" si="181"/>
        <v>0</v>
      </c>
      <c r="IQ85" s="714"/>
      <c r="IR85" s="205"/>
      <c r="IS85" s="718"/>
      <c r="IT85" s="718"/>
      <c r="IU85" s="198"/>
      <c r="IV85" s="198"/>
      <c r="IW85" s="198"/>
      <c r="IX85" s="198"/>
      <c r="IY85" s="199"/>
      <c r="IZ85" s="776"/>
      <c r="JD85" s="150">
        <f t="shared" si="188"/>
        <v>0</v>
      </c>
      <c r="JE85" s="714"/>
      <c r="JF85" s="205"/>
      <c r="JG85" s="718"/>
      <c r="JH85" s="718"/>
      <c r="JI85" s="198"/>
      <c r="JJ85" s="198"/>
      <c r="JK85" s="198"/>
      <c r="JL85" s="198"/>
      <c r="JM85" s="199"/>
      <c r="JN85" s="776"/>
      <c r="JP85" s="150">
        <f t="shared" si="189"/>
        <v>0</v>
      </c>
      <c r="JQ85" s="714"/>
      <c r="JR85" s="205"/>
      <c r="JS85" s="718"/>
      <c r="JT85" s="718"/>
      <c r="JU85" s="198"/>
      <c r="JV85" s="198"/>
      <c r="JW85" s="198"/>
      <c r="JX85" s="198"/>
      <c r="JY85" s="199"/>
      <c r="JZ85" s="776"/>
      <c r="KB85" s="714"/>
      <c r="KC85" s="205"/>
      <c r="KD85" s="718"/>
      <c r="KE85" s="718"/>
      <c r="KF85" s="198"/>
      <c r="KG85" s="198"/>
      <c r="KH85" s="198"/>
      <c r="KI85" s="198"/>
      <c r="KJ85" s="199"/>
      <c r="KK85" s="776"/>
      <c r="KN85" s="714"/>
      <c r="KO85" s="205"/>
      <c r="KP85" s="718"/>
      <c r="KQ85" s="718"/>
      <c r="KR85" s="198"/>
      <c r="KS85" s="198"/>
      <c r="KT85" s="198"/>
      <c r="KU85" s="198"/>
      <c r="KV85" s="199"/>
      <c r="KW85" s="1612"/>
    </row>
    <row r="86" spans="15:309" x14ac:dyDescent="0.2">
      <c r="O86" s="109"/>
      <c r="P86" s="109"/>
      <c r="Q86" s="109"/>
      <c r="R86" s="109"/>
      <c r="S86" s="150">
        <f t="shared" si="184"/>
        <v>0</v>
      </c>
      <c r="T86" s="116">
        <v>44573</v>
      </c>
      <c r="U86" s="272">
        <v>79</v>
      </c>
      <c r="V86" s="265"/>
      <c r="W86" s="265"/>
      <c r="X86" s="143"/>
      <c r="Y86" s="143"/>
      <c r="Z86" s="143"/>
      <c r="AA86" s="143"/>
      <c r="AB86" s="143"/>
      <c r="AC86" s="143"/>
      <c r="BG86" s="403"/>
      <c r="BI86" s="762"/>
      <c r="BJ86" s="198"/>
      <c r="BK86" s="198"/>
      <c r="BL86" s="199"/>
      <c r="BM86" s="447"/>
      <c r="CE86" s="484">
        <v>0</v>
      </c>
      <c r="CF86" s="769">
        <v>0</v>
      </c>
      <c r="CM86" s="280"/>
      <c r="HR86" s="150">
        <f t="shared" si="182"/>
        <v>0</v>
      </c>
      <c r="HS86" s="714"/>
      <c r="HT86" s="205"/>
      <c r="HU86" s="718"/>
      <c r="HV86" s="718"/>
      <c r="HW86" s="786"/>
      <c r="HX86" s="198"/>
      <c r="HY86" s="198"/>
      <c r="HZ86" s="198"/>
      <c r="IA86" s="199"/>
      <c r="IB86" s="199"/>
      <c r="ID86" s="150">
        <f t="shared" si="173"/>
        <v>0</v>
      </c>
      <c r="IE86" s="714"/>
      <c r="IF86" s="205"/>
      <c r="IG86" s="718"/>
      <c r="IH86" s="718"/>
      <c r="II86" s="198"/>
      <c r="IJ86" s="198"/>
      <c r="IK86" s="198"/>
      <c r="IL86" s="198"/>
      <c r="IM86" s="199"/>
      <c r="IN86" s="776"/>
      <c r="IP86" s="1382">
        <f t="shared" si="181"/>
        <v>0</v>
      </c>
      <c r="IQ86" s="714"/>
      <c r="IR86" s="205"/>
      <c r="IS86" s="718"/>
      <c r="IT86" s="718"/>
      <c r="IU86" s="198"/>
      <c r="IV86" s="198"/>
      <c r="IW86" s="198"/>
      <c r="IX86" s="198"/>
      <c r="IY86" s="199"/>
      <c r="IZ86" s="776"/>
      <c r="JD86" s="150">
        <f t="shared" si="188"/>
        <v>0</v>
      </c>
      <c r="JE86" s="714"/>
      <c r="JF86" s="205"/>
      <c r="JG86" s="718"/>
      <c r="JH86" s="718"/>
      <c r="JI86" s="198"/>
      <c r="JJ86" s="198"/>
      <c r="JK86" s="198"/>
      <c r="JL86" s="198"/>
      <c r="JM86" s="199"/>
      <c r="JN86" s="776"/>
      <c r="JP86" s="150">
        <f t="shared" si="189"/>
        <v>0</v>
      </c>
      <c r="JQ86" s="714"/>
      <c r="JR86" s="205"/>
      <c r="JS86" s="718"/>
      <c r="JT86" s="718"/>
      <c r="JU86" s="198"/>
      <c r="JV86" s="198"/>
      <c r="JW86" s="198"/>
      <c r="JX86" s="198"/>
      <c r="JY86" s="199"/>
      <c r="JZ86" s="776"/>
      <c r="KB86" s="714"/>
      <c r="KC86" s="205"/>
      <c r="KD86" s="718"/>
      <c r="KE86" s="718"/>
      <c r="KF86" s="198"/>
      <c r="KG86" s="198"/>
      <c r="KH86" s="198"/>
      <c r="KI86" s="198"/>
      <c r="KJ86" s="199"/>
      <c r="KK86" s="776"/>
      <c r="KN86" s="714"/>
      <c r="KO86" s="205"/>
      <c r="KP86" s="718"/>
      <c r="KQ86" s="718"/>
      <c r="KR86" s="198"/>
      <c r="KS86" s="198"/>
      <c r="KT86" s="198"/>
      <c r="KU86" s="198"/>
      <c r="KV86" s="199"/>
      <c r="KW86" s="1612"/>
    </row>
    <row r="87" spans="15:309" ht="13.5" thickBot="1" x14ac:dyDescent="0.25">
      <c r="O87" s="109"/>
      <c r="P87" s="109"/>
      <c r="Q87" s="109"/>
      <c r="R87" s="109"/>
      <c r="S87" s="150">
        <f t="shared" si="184"/>
        <v>0</v>
      </c>
      <c r="T87" s="116">
        <v>44663</v>
      </c>
      <c r="U87" s="273">
        <v>80</v>
      </c>
      <c r="V87" s="266"/>
      <c r="W87" s="266"/>
      <c r="X87" s="143"/>
      <c r="Y87" s="143"/>
      <c r="Z87" s="143"/>
      <c r="AA87" s="143"/>
      <c r="AB87" s="143"/>
      <c r="AC87" s="143"/>
      <c r="BG87" s="403"/>
      <c r="BI87" s="762"/>
      <c r="BJ87" s="198"/>
      <c r="BK87" s="198"/>
      <c r="BL87" s="199"/>
      <c r="BM87" s="447"/>
      <c r="CE87" s="484">
        <v>0</v>
      </c>
      <c r="CF87" s="769">
        <v>0</v>
      </c>
      <c r="CM87" s="280"/>
      <c r="HR87" s="150">
        <f t="shared" si="182"/>
        <v>0</v>
      </c>
      <c r="HS87" s="714"/>
      <c r="HT87" s="205"/>
      <c r="HU87" s="718"/>
      <c r="HV87" s="718"/>
      <c r="HW87" s="786"/>
      <c r="HX87" s="198"/>
      <c r="HY87" s="198"/>
      <c r="HZ87" s="198"/>
      <c r="IA87" s="199"/>
      <c r="IB87" s="199"/>
      <c r="ID87" s="150">
        <f t="shared" si="173"/>
        <v>0</v>
      </c>
      <c r="IE87" s="714"/>
      <c r="IF87" s="205"/>
      <c r="IG87" s="718"/>
      <c r="IH87" s="718"/>
      <c r="II87" s="198"/>
      <c r="IJ87" s="198"/>
      <c r="IK87" s="198"/>
      <c r="IL87" s="198"/>
      <c r="IM87" s="199"/>
      <c r="IN87" s="776"/>
      <c r="IP87" s="1382">
        <f t="shared" si="181"/>
        <v>0</v>
      </c>
      <c r="IQ87" s="714"/>
      <c r="IR87" s="205"/>
      <c r="IS87" s="718"/>
      <c r="IT87" s="718"/>
      <c r="IU87" s="198"/>
      <c r="IV87" s="198"/>
      <c r="IW87" s="198"/>
      <c r="IX87" s="198"/>
      <c r="IY87" s="199"/>
      <c r="IZ87" s="776"/>
      <c r="JD87" s="150">
        <f t="shared" si="188"/>
        <v>0</v>
      </c>
      <c r="JE87" s="714"/>
      <c r="JF87" s="205"/>
      <c r="JG87" s="718"/>
      <c r="JH87" s="718"/>
      <c r="JI87" s="198"/>
      <c r="JJ87" s="198"/>
      <c r="JK87" s="198"/>
      <c r="JL87" s="198"/>
      <c r="JM87" s="199"/>
      <c r="JN87" s="776"/>
      <c r="JP87" s="150">
        <f t="shared" si="189"/>
        <v>0</v>
      </c>
      <c r="JQ87" s="714"/>
      <c r="JR87" s="205"/>
      <c r="JS87" s="718"/>
      <c r="JT87" s="718"/>
      <c r="JU87" s="198"/>
      <c r="JV87" s="198"/>
      <c r="JW87" s="198"/>
      <c r="JX87" s="198"/>
      <c r="JY87" s="199"/>
      <c r="JZ87" s="776"/>
      <c r="KB87" s="714"/>
      <c r="KC87" s="205"/>
      <c r="KD87" s="718"/>
      <c r="KE87" s="718"/>
      <c r="KF87" s="198"/>
      <c r="KG87" s="198"/>
      <c r="KH87" s="198"/>
      <c r="KI87" s="198"/>
      <c r="KJ87" s="199"/>
      <c r="KK87" s="776"/>
      <c r="KN87" s="714"/>
      <c r="KO87" s="205"/>
      <c r="KP87" s="718"/>
      <c r="KQ87" s="718"/>
      <c r="KR87" s="198"/>
      <c r="KS87" s="198"/>
      <c r="KT87" s="198"/>
      <c r="KU87" s="198"/>
      <c r="KV87" s="199"/>
      <c r="KW87" s="1612"/>
    </row>
    <row r="88" spans="15:309" ht="13.5" thickBot="1" x14ac:dyDescent="0.25">
      <c r="O88" s="109"/>
      <c r="P88" s="109"/>
      <c r="Q88" s="109"/>
      <c r="R88" s="109"/>
      <c r="S88" s="150">
        <f t="shared" si="184"/>
        <v>0</v>
      </c>
      <c r="T88" s="115" t="s">
        <v>1363</v>
      </c>
      <c r="U88" s="177"/>
      <c r="V88" s="128"/>
      <c r="W88" s="129"/>
      <c r="X88" s="143"/>
      <c r="Y88" s="143"/>
      <c r="Z88" s="143"/>
      <c r="AA88" s="143"/>
      <c r="AB88" s="143"/>
      <c r="AC88" s="143"/>
      <c r="BG88" s="403"/>
      <c r="BI88" s="762"/>
      <c r="BJ88" s="198"/>
      <c r="BK88" s="198"/>
      <c r="BL88" s="199"/>
      <c r="BM88" s="447"/>
      <c r="CE88" s="484">
        <v>0</v>
      </c>
      <c r="CF88" s="769">
        <v>0</v>
      </c>
      <c r="CM88" s="280"/>
      <c r="HR88" s="150">
        <f t="shared" si="182"/>
        <v>0</v>
      </c>
      <c r="HS88" s="714"/>
      <c r="HT88" s="205"/>
      <c r="HU88" s="718"/>
      <c r="HV88" s="718"/>
      <c r="HW88" s="786"/>
      <c r="HX88" s="198"/>
      <c r="HY88" s="198"/>
      <c r="HZ88" s="198"/>
      <c r="IA88" s="199"/>
      <c r="IB88" s="199"/>
      <c r="ID88" s="150">
        <f t="shared" si="173"/>
        <v>0</v>
      </c>
      <c r="IE88" s="714"/>
      <c r="IF88" s="205"/>
      <c r="IG88" s="718"/>
      <c r="IH88" s="718"/>
      <c r="II88" s="198"/>
      <c r="IJ88" s="198"/>
      <c r="IK88" s="198"/>
      <c r="IL88" s="198"/>
      <c r="IM88" s="199"/>
      <c r="IN88" s="776"/>
      <c r="IP88" s="1382">
        <f t="shared" si="181"/>
        <v>0</v>
      </c>
      <c r="IQ88" s="714"/>
      <c r="IR88" s="205"/>
      <c r="IS88" s="718"/>
      <c r="IT88" s="718"/>
      <c r="IU88" s="198"/>
      <c r="IV88" s="198"/>
      <c r="IW88" s="198"/>
      <c r="IX88" s="198"/>
      <c r="IY88" s="199"/>
      <c r="IZ88" s="776"/>
      <c r="JD88" s="150">
        <f t="shared" si="188"/>
        <v>0</v>
      </c>
      <c r="JE88" s="714"/>
      <c r="JF88" s="205"/>
      <c r="JG88" s="718"/>
      <c r="JH88" s="718"/>
      <c r="JI88" s="198"/>
      <c r="JJ88" s="198"/>
      <c r="JK88" s="198"/>
      <c r="JL88" s="198"/>
      <c r="JM88" s="199"/>
      <c r="JN88" s="776"/>
      <c r="JP88" s="150">
        <f t="shared" si="189"/>
        <v>0</v>
      </c>
      <c r="JQ88" s="714"/>
      <c r="JR88" s="205"/>
      <c r="JS88" s="718"/>
      <c r="JT88" s="718"/>
      <c r="JU88" s="198"/>
      <c r="JV88" s="198"/>
      <c r="JW88" s="198"/>
      <c r="JX88" s="198"/>
      <c r="JY88" s="199"/>
      <c r="JZ88" s="776"/>
      <c r="KB88" s="714"/>
      <c r="KC88" s="205"/>
      <c r="KD88" s="718"/>
      <c r="KE88" s="718"/>
      <c r="KF88" s="198"/>
      <c r="KG88" s="198"/>
      <c r="KH88" s="198"/>
      <c r="KI88" s="198"/>
      <c r="KJ88" s="199"/>
      <c r="KK88" s="776"/>
      <c r="KN88" s="714"/>
      <c r="KO88" s="205"/>
      <c r="KP88" s="718"/>
      <c r="KQ88" s="718"/>
      <c r="KR88" s="198"/>
      <c r="KS88" s="198"/>
      <c r="KT88" s="198"/>
      <c r="KU88" s="198"/>
      <c r="KV88" s="199"/>
      <c r="KW88" s="1612"/>
    </row>
    <row r="89" spans="15:309" x14ac:dyDescent="0.2">
      <c r="O89" s="109"/>
      <c r="P89" s="109"/>
      <c r="Q89" s="109"/>
      <c r="R89" s="109"/>
      <c r="S89" s="109"/>
      <c r="T89" s="109"/>
      <c r="U89" s="109"/>
      <c r="V89" s="171"/>
      <c r="W89" s="171"/>
      <c r="X89" s="171"/>
      <c r="Y89" s="171"/>
      <c r="Z89" s="171"/>
      <c r="AA89" s="171"/>
      <c r="AB89" s="171"/>
      <c r="AC89" s="171"/>
      <c r="BG89" s="403"/>
      <c r="BI89" s="762"/>
      <c r="BJ89" s="198"/>
      <c r="BK89" s="198"/>
      <c r="BL89" s="199"/>
      <c r="BM89" s="447"/>
      <c r="CE89" s="484">
        <v>0</v>
      </c>
      <c r="CF89" s="769">
        <v>0</v>
      </c>
      <c r="CM89" s="280"/>
      <c r="HR89" s="109"/>
      <c r="HS89" s="109"/>
      <c r="HT89" s="109"/>
      <c r="HU89" s="171"/>
      <c r="HV89" s="171"/>
      <c r="HW89" s="794"/>
      <c r="HX89" s="171"/>
      <c r="HY89" s="171"/>
      <c r="HZ89" s="171"/>
      <c r="IA89" s="171"/>
      <c r="IB89" s="171"/>
      <c r="ID89" s="109"/>
      <c r="IE89" s="109"/>
      <c r="IF89" s="109"/>
      <c r="IG89" s="171"/>
      <c r="IH89" s="171"/>
      <c r="II89" s="171"/>
      <c r="IJ89" s="171"/>
      <c r="IK89" s="171"/>
      <c r="IL89" s="171"/>
      <c r="IM89" s="171"/>
      <c r="IN89" s="775"/>
      <c r="IP89" s="1382"/>
      <c r="IQ89" s="109"/>
      <c r="IR89" s="109"/>
      <c r="IS89" s="171"/>
      <c r="IT89" s="171"/>
      <c r="IU89" s="171"/>
      <c r="IV89" s="171"/>
      <c r="IW89" s="171"/>
      <c r="IX89" s="171"/>
      <c r="IY89" s="171"/>
      <c r="IZ89" s="775"/>
      <c r="JD89" s="109"/>
      <c r="JE89" s="109"/>
      <c r="JF89" s="109"/>
      <c r="JG89" s="171"/>
      <c r="JH89" s="171"/>
      <c r="JI89" s="171"/>
      <c r="JJ89" s="171"/>
      <c r="JK89" s="171"/>
      <c r="JL89" s="171"/>
      <c r="JM89" s="171"/>
      <c r="JN89" s="775"/>
      <c r="JP89" s="109"/>
      <c r="JQ89" s="109"/>
      <c r="JR89" s="109"/>
      <c r="JS89" s="171"/>
      <c r="JT89" s="171"/>
      <c r="JU89" s="171"/>
      <c r="JV89" s="171"/>
      <c r="JW89" s="171"/>
      <c r="JX89" s="171"/>
      <c r="JY89" s="171"/>
      <c r="JZ89" s="775"/>
      <c r="KB89" s="109"/>
      <c r="KC89" s="109"/>
      <c r="KD89" s="171"/>
      <c r="KE89" s="171"/>
      <c r="KF89" s="171"/>
      <c r="KG89" s="171"/>
      <c r="KH89" s="171"/>
      <c r="KI89" s="171"/>
      <c r="KJ89" s="171"/>
      <c r="KK89" s="775"/>
      <c r="KN89" s="109"/>
      <c r="KO89" s="109"/>
      <c r="KP89" s="171"/>
      <c r="KQ89" s="171"/>
      <c r="KR89" s="171"/>
      <c r="KS89" s="171"/>
      <c r="KT89" s="171"/>
      <c r="KU89" s="171"/>
      <c r="KV89" s="171"/>
      <c r="KW89" s="1610"/>
    </row>
    <row r="90" spans="15:309" x14ac:dyDescent="0.2">
      <c r="O90" s="109"/>
      <c r="P90" s="109"/>
      <c r="Q90" s="109"/>
      <c r="R90" s="109"/>
      <c r="S90" s="109"/>
      <c r="T90" s="109"/>
      <c r="U90" s="109"/>
      <c r="V90" s="171"/>
      <c r="W90" s="171"/>
      <c r="X90" s="171"/>
      <c r="Y90" s="171"/>
      <c r="Z90" s="171"/>
      <c r="AA90" s="171"/>
      <c r="AB90" s="171"/>
      <c r="AC90" s="171"/>
      <c r="BG90" s="403"/>
      <c r="BI90" s="762"/>
      <c r="BJ90" s="198"/>
      <c r="BK90" s="198"/>
      <c r="BL90" s="199"/>
      <c r="BM90" s="447"/>
      <c r="HR90" s="109"/>
      <c r="HS90" s="109"/>
      <c r="HT90" s="109"/>
      <c r="HU90" s="171"/>
      <c r="HV90" s="171"/>
      <c r="HW90" s="794"/>
      <c r="HX90" s="171"/>
      <c r="HY90" s="171"/>
      <c r="HZ90" s="171"/>
      <c r="IA90" s="171"/>
      <c r="IB90" s="171"/>
      <c r="ID90" s="109"/>
      <c r="IE90" s="109"/>
      <c r="IF90" s="109"/>
      <c r="IG90" s="171"/>
      <c r="IH90" s="171"/>
      <c r="II90" s="171"/>
      <c r="IJ90" s="171"/>
      <c r="IK90" s="171"/>
      <c r="IL90" s="171"/>
      <c r="IM90" s="171"/>
      <c r="IN90" s="775"/>
      <c r="IP90" s="1382"/>
      <c r="IQ90" s="109"/>
      <c r="IR90" s="109"/>
      <c r="IS90" s="171"/>
      <c r="IT90" s="171"/>
      <c r="IU90" s="171"/>
      <c r="IV90" s="171"/>
      <c r="IW90" s="171"/>
      <c r="IX90" s="171"/>
      <c r="IY90" s="171"/>
      <c r="IZ90" s="775"/>
      <c r="JD90" s="109"/>
      <c r="JE90" s="109"/>
      <c r="JF90" s="109"/>
      <c r="JG90" s="171"/>
      <c r="JH90" s="171"/>
      <c r="JI90" s="171"/>
      <c r="JJ90" s="171"/>
      <c r="JK90" s="171"/>
      <c r="JL90" s="171"/>
      <c r="JM90" s="171"/>
      <c r="JN90" s="775"/>
      <c r="JP90" s="109"/>
      <c r="JQ90" s="109"/>
      <c r="JR90" s="109"/>
      <c r="JS90" s="171"/>
      <c r="JT90" s="171"/>
      <c r="JU90" s="171"/>
      <c r="JV90" s="171"/>
      <c r="JW90" s="171"/>
      <c r="JX90" s="171"/>
      <c r="JY90" s="171"/>
      <c r="JZ90" s="775"/>
      <c r="KB90" s="109"/>
      <c r="KC90" s="109"/>
      <c r="KD90" s="171"/>
      <c r="KE90" s="171"/>
      <c r="KF90" s="171"/>
      <c r="KG90" s="171"/>
      <c r="KH90" s="171"/>
      <c r="KI90" s="171"/>
      <c r="KJ90" s="171"/>
      <c r="KK90" s="775"/>
      <c r="KN90" s="109"/>
      <c r="KO90" s="109"/>
      <c r="KP90" s="171"/>
      <c r="KQ90" s="171"/>
      <c r="KR90" s="171"/>
      <c r="KS90" s="171"/>
      <c r="KT90" s="171"/>
      <c r="KU90" s="171"/>
      <c r="KV90" s="171"/>
      <c r="KW90" s="1610"/>
    </row>
    <row r="91" spans="15:309" x14ac:dyDescent="0.2">
      <c r="O91" s="109"/>
      <c r="P91" s="109"/>
      <c r="Q91" s="109"/>
      <c r="R91" s="109"/>
      <c r="S91" s="109"/>
      <c r="T91" s="109"/>
      <c r="U91" s="109"/>
      <c r="V91" s="171"/>
      <c r="W91" s="171"/>
      <c r="X91" s="171"/>
      <c r="Y91" s="171"/>
      <c r="Z91" s="171"/>
      <c r="AA91" s="171"/>
      <c r="AB91" s="171"/>
      <c r="AC91" s="171"/>
      <c r="BG91" s="403"/>
      <c r="BI91" s="762"/>
      <c r="BJ91" s="198"/>
      <c r="BK91" s="198"/>
      <c r="BL91" s="199"/>
      <c r="BM91" s="447"/>
      <c r="HR91" s="109"/>
      <c r="HS91" s="109"/>
      <c r="HT91" s="109"/>
      <c r="HU91" s="171"/>
      <c r="HV91" s="171"/>
      <c r="HW91" s="794"/>
      <c r="HX91" s="171"/>
      <c r="HY91" s="171"/>
      <c r="HZ91" s="171"/>
      <c r="IA91" s="171"/>
      <c r="IB91" s="171"/>
      <c r="ID91" s="109"/>
      <c r="IE91" s="109"/>
      <c r="IF91" s="109"/>
      <c r="IG91" s="171"/>
      <c r="IH91" s="171"/>
      <c r="II91" s="171"/>
      <c r="IJ91" s="171"/>
      <c r="IK91" s="171"/>
      <c r="IL91" s="171"/>
      <c r="IM91" s="171"/>
      <c r="IN91" s="775"/>
      <c r="IP91" s="1382"/>
      <c r="IQ91" s="109"/>
      <c r="IR91" s="109"/>
      <c r="IS91" s="171"/>
      <c r="IT91" s="171"/>
      <c r="IU91" s="171"/>
      <c r="IV91" s="171"/>
      <c r="IW91" s="171"/>
      <c r="IX91" s="171"/>
      <c r="IY91" s="171"/>
      <c r="IZ91" s="775"/>
      <c r="JD91" s="109"/>
      <c r="JE91" s="109"/>
      <c r="JF91" s="109"/>
      <c r="JG91" s="171"/>
      <c r="JH91" s="171"/>
      <c r="JI91" s="171"/>
      <c r="JJ91" s="171"/>
      <c r="JK91" s="171"/>
      <c r="JL91" s="171"/>
      <c r="JM91" s="171"/>
      <c r="JN91" s="775"/>
      <c r="JP91" s="109"/>
      <c r="JQ91" s="109"/>
      <c r="JR91" s="109"/>
      <c r="JS91" s="171"/>
      <c r="JT91" s="171"/>
      <c r="JU91" s="171"/>
      <c r="JV91" s="171"/>
      <c r="JW91" s="171"/>
      <c r="JX91" s="171"/>
      <c r="JY91" s="171"/>
      <c r="JZ91" s="775"/>
      <c r="KB91" s="109"/>
      <c r="KC91" s="109"/>
      <c r="KD91" s="171"/>
      <c r="KE91" s="171"/>
      <c r="KF91" s="171"/>
      <c r="KG91" s="171"/>
      <c r="KH91" s="171"/>
      <c r="KI91" s="171"/>
      <c r="KJ91" s="171"/>
      <c r="KK91" s="775"/>
      <c r="KN91" s="109"/>
      <c r="KO91" s="109"/>
      <c r="KP91" s="171"/>
      <c r="KQ91" s="171"/>
      <c r="KR91" s="171"/>
      <c r="KS91" s="171"/>
      <c r="KT91" s="171"/>
      <c r="KU91" s="171"/>
      <c r="KV91" s="171"/>
      <c r="KW91" s="1610"/>
    </row>
    <row r="92" spans="15:309" x14ac:dyDescent="0.2">
      <c r="O92" s="109"/>
      <c r="P92" s="109"/>
      <c r="Q92" s="109"/>
      <c r="R92" s="109"/>
      <c r="S92" s="109"/>
      <c r="T92" s="109"/>
      <c r="U92" s="109"/>
      <c r="V92" s="171"/>
      <c r="W92" s="171"/>
      <c r="X92" s="171"/>
      <c r="Y92" s="171"/>
      <c r="Z92" s="171"/>
      <c r="AA92" s="171"/>
      <c r="AB92" s="171"/>
      <c r="AC92" s="171"/>
      <c r="BG92" s="403"/>
      <c r="BI92" s="762"/>
      <c r="BJ92" s="198"/>
      <c r="BK92" s="198"/>
      <c r="BL92" s="199"/>
      <c r="BM92" s="447"/>
      <c r="HR92" s="109"/>
      <c r="HS92" s="109"/>
      <c r="HT92" s="109"/>
      <c r="HU92" s="171"/>
      <c r="HV92" s="171"/>
      <c r="HW92" s="794"/>
      <c r="HX92" s="171"/>
      <c r="HY92" s="171"/>
      <c r="HZ92" s="171"/>
      <c r="IA92" s="171"/>
      <c r="IB92" s="171"/>
      <c r="ID92" s="109"/>
      <c r="IE92" s="109"/>
      <c r="IF92" s="109"/>
      <c r="IG92" s="171"/>
      <c r="IH92" s="171"/>
      <c r="II92" s="171"/>
      <c r="IJ92" s="171"/>
      <c r="IK92" s="171"/>
      <c r="IL92" s="171"/>
      <c r="IM92" s="171"/>
      <c r="IN92" s="775"/>
      <c r="IP92" s="1382"/>
      <c r="IQ92" s="109"/>
      <c r="IR92" s="109"/>
      <c r="IS92" s="171"/>
      <c r="IT92" s="171"/>
      <c r="IU92" s="171"/>
      <c r="IV92" s="171"/>
      <c r="IW92" s="171"/>
      <c r="IX92" s="171"/>
      <c r="IY92" s="171"/>
      <c r="IZ92" s="775"/>
      <c r="JD92" s="109"/>
      <c r="JE92" s="109"/>
      <c r="JF92" s="109"/>
      <c r="JG92" s="171"/>
      <c r="JH92" s="171"/>
      <c r="JI92" s="171"/>
      <c r="JJ92" s="171"/>
      <c r="JK92" s="171"/>
      <c r="JL92" s="171"/>
      <c r="JM92" s="171"/>
      <c r="JN92" s="775"/>
      <c r="JP92" s="109"/>
      <c r="JQ92" s="109"/>
      <c r="JR92" s="109"/>
      <c r="JS92" s="171"/>
      <c r="JT92" s="171"/>
      <c r="JU92" s="171"/>
      <c r="JV92" s="171"/>
      <c r="JW92" s="171"/>
      <c r="JX92" s="171"/>
      <c r="JY92" s="171"/>
      <c r="JZ92" s="775"/>
      <c r="KB92" s="109"/>
      <c r="KC92" s="109"/>
      <c r="KD92" s="171"/>
      <c r="KE92" s="171"/>
      <c r="KF92" s="171"/>
      <c r="KG92" s="171"/>
      <c r="KH92" s="171"/>
      <c r="KI92" s="171"/>
      <c r="KJ92" s="171"/>
      <c r="KK92" s="775"/>
      <c r="KN92" s="109"/>
      <c r="KO92" s="109"/>
      <c r="KP92" s="171"/>
      <c r="KQ92" s="171"/>
      <c r="KR92" s="171"/>
      <c r="KS92" s="171"/>
      <c r="KT92" s="171"/>
      <c r="KU92" s="171"/>
      <c r="KV92" s="171"/>
      <c r="KW92" s="1610"/>
    </row>
    <row r="93" spans="15:309" x14ac:dyDescent="0.2">
      <c r="O93" s="109"/>
      <c r="P93" s="109"/>
      <c r="Q93" s="109"/>
      <c r="R93" s="109"/>
      <c r="S93" s="109"/>
      <c r="T93" s="109"/>
      <c r="U93" s="109"/>
      <c r="V93" s="171"/>
      <c r="W93" s="171"/>
      <c r="X93" s="171"/>
      <c r="Y93" s="171"/>
      <c r="Z93" s="171"/>
      <c r="AA93" s="171"/>
      <c r="AB93" s="171"/>
      <c r="AC93" s="171"/>
      <c r="BG93" s="403"/>
      <c r="BI93" s="762"/>
      <c r="BJ93" s="198"/>
      <c r="BK93" s="198"/>
      <c r="BL93" s="199"/>
      <c r="BM93" s="447"/>
      <c r="HR93" s="109"/>
      <c r="HS93" s="109"/>
      <c r="HT93" s="109"/>
      <c r="HU93" s="171"/>
      <c r="HV93" s="171"/>
      <c r="HW93" s="794"/>
      <c r="HX93" s="171"/>
      <c r="HY93" s="171"/>
      <c r="HZ93" s="171"/>
      <c r="IA93" s="171"/>
      <c r="IB93" s="171"/>
      <c r="ID93" s="109"/>
      <c r="IE93" s="109"/>
      <c r="IF93" s="109"/>
      <c r="IG93" s="171"/>
      <c r="IH93" s="171"/>
      <c r="II93" s="171"/>
      <c r="IJ93" s="171"/>
      <c r="IK93" s="171"/>
      <c r="IL93" s="171"/>
      <c r="IM93" s="171"/>
      <c r="IN93" s="775"/>
      <c r="IP93" s="1382"/>
      <c r="IQ93" s="109"/>
      <c r="IR93" s="109"/>
      <c r="IS93" s="171"/>
      <c r="IT93" s="171"/>
      <c r="IU93" s="171"/>
      <c r="IV93" s="171"/>
      <c r="IW93" s="171"/>
      <c r="IX93" s="171"/>
      <c r="IY93" s="171"/>
      <c r="IZ93" s="775"/>
      <c r="JD93" s="109"/>
      <c r="JE93" s="109"/>
      <c r="JF93" s="109"/>
      <c r="JG93" s="171"/>
      <c r="JH93" s="171"/>
      <c r="JI93" s="171"/>
      <c r="JJ93" s="171"/>
      <c r="JK93" s="171"/>
      <c r="JL93" s="171"/>
      <c r="JM93" s="171"/>
      <c r="JN93" s="775"/>
      <c r="JP93" s="109"/>
      <c r="JQ93" s="109"/>
      <c r="JR93" s="109"/>
      <c r="JS93" s="171"/>
      <c r="JT93" s="171"/>
      <c r="JU93" s="171"/>
      <c r="JV93" s="171"/>
      <c r="JW93" s="171"/>
      <c r="JX93" s="171"/>
      <c r="JY93" s="171"/>
      <c r="JZ93" s="775"/>
      <c r="KB93" s="109"/>
      <c r="KC93" s="109"/>
      <c r="KD93" s="171"/>
      <c r="KE93" s="171"/>
      <c r="KF93" s="171"/>
      <c r="KG93" s="171"/>
      <c r="KH93" s="171"/>
      <c r="KI93" s="171"/>
      <c r="KJ93" s="171"/>
      <c r="KK93" s="775"/>
      <c r="KN93" s="109"/>
      <c r="KO93" s="109"/>
      <c r="KP93" s="171"/>
      <c r="KQ93" s="171"/>
      <c r="KR93" s="171"/>
      <c r="KS93" s="171"/>
      <c r="KT93" s="171"/>
      <c r="KU93" s="171"/>
      <c r="KV93" s="171"/>
      <c r="KW93" s="1610"/>
    </row>
    <row r="94" spans="15:309" x14ac:dyDescent="0.2">
      <c r="O94" s="109"/>
      <c r="P94" s="109"/>
      <c r="Q94" s="109"/>
      <c r="R94" s="109"/>
      <c r="S94" s="109"/>
      <c r="T94" s="109"/>
      <c r="U94" s="109"/>
      <c r="V94" s="171"/>
      <c r="W94" s="171"/>
      <c r="X94" s="171"/>
      <c r="Y94" s="171"/>
      <c r="Z94" s="171"/>
      <c r="AA94" s="171"/>
      <c r="AB94" s="171"/>
      <c r="AC94" s="171"/>
      <c r="BG94" s="403"/>
      <c r="BI94" s="762"/>
      <c r="BJ94" s="198"/>
      <c r="BK94" s="198"/>
      <c r="BL94" s="199"/>
      <c r="BM94" s="447"/>
      <c r="HR94" s="109"/>
      <c r="HS94" s="109"/>
      <c r="HT94" s="109"/>
      <c r="HU94" s="171"/>
      <c r="HV94" s="171"/>
      <c r="HW94" s="794"/>
      <c r="HX94" s="171"/>
      <c r="HY94" s="171"/>
      <c r="HZ94" s="171"/>
      <c r="IA94" s="171"/>
      <c r="IB94" s="171"/>
      <c r="ID94" s="109"/>
      <c r="IE94" s="109"/>
      <c r="IF94" s="109"/>
      <c r="IG94" s="171"/>
      <c r="IH94" s="171"/>
      <c r="II94" s="171"/>
      <c r="IJ94" s="171"/>
      <c r="IK94" s="171"/>
      <c r="IL94" s="171"/>
      <c r="IM94" s="171"/>
      <c r="IN94" s="775"/>
      <c r="IP94" s="1382"/>
      <c r="IQ94" s="109"/>
      <c r="IR94" s="109"/>
      <c r="IS94" s="171"/>
      <c r="IT94" s="171"/>
      <c r="IU94" s="171"/>
      <c r="IV94" s="171"/>
      <c r="IW94" s="171"/>
      <c r="IX94" s="171"/>
      <c r="IY94" s="171"/>
      <c r="IZ94" s="775"/>
      <c r="JD94" s="109"/>
      <c r="JE94" s="109"/>
      <c r="JF94" s="109"/>
      <c r="JG94" s="171"/>
      <c r="JH94" s="171"/>
      <c r="JI94" s="171"/>
      <c r="JJ94" s="171"/>
      <c r="JK94" s="171"/>
      <c r="JL94" s="171"/>
      <c r="JM94" s="171"/>
      <c r="JN94" s="775"/>
      <c r="JP94" s="109"/>
      <c r="JQ94" s="109"/>
      <c r="JR94" s="109"/>
      <c r="JS94" s="171"/>
      <c r="JT94" s="171"/>
      <c r="JU94" s="171"/>
      <c r="JV94" s="171"/>
      <c r="JW94" s="171"/>
      <c r="JX94" s="171"/>
      <c r="JY94" s="171"/>
      <c r="JZ94" s="775"/>
      <c r="KB94" s="109"/>
      <c r="KC94" s="109"/>
      <c r="KD94" s="171"/>
      <c r="KE94" s="171"/>
      <c r="KF94" s="171"/>
      <c r="KG94" s="171"/>
      <c r="KH94" s="171"/>
      <c r="KI94" s="171"/>
      <c r="KJ94" s="171"/>
      <c r="KK94" s="775"/>
      <c r="KN94" s="109"/>
      <c r="KO94" s="109"/>
      <c r="KP94" s="171"/>
      <c r="KQ94" s="171"/>
      <c r="KR94" s="171"/>
      <c r="KS94" s="171"/>
      <c r="KT94" s="171"/>
      <c r="KU94" s="171"/>
      <c r="KV94" s="171"/>
      <c r="KW94" s="1610"/>
    </row>
    <row r="95" spans="15:309" x14ac:dyDescent="0.2">
      <c r="O95" s="109"/>
      <c r="P95" s="109"/>
      <c r="Q95" s="109"/>
      <c r="R95" s="109"/>
      <c r="S95" s="109"/>
      <c r="T95" s="109"/>
      <c r="U95" s="109"/>
      <c r="V95" s="171"/>
      <c r="W95" s="171"/>
      <c r="X95" s="171"/>
      <c r="Y95" s="171"/>
      <c r="Z95" s="171"/>
      <c r="AA95" s="171"/>
      <c r="AB95" s="171"/>
      <c r="AC95" s="171"/>
      <c r="BG95" s="403"/>
      <c r="BI95" s="762"/>
      <c r="BJ95" s="198"/>
      <c r="BK95" s="198"/>
      <c r="BL95" s="199"/>
      <c r="BM95" s="447"/>
      <c r="HR95" s="109"/>
      <c r="HS95" s="109"/>
      <c r="HT95" s="109"/>
      <c r="HU95" s="171"/>
      <c r="HV95" s="171"/>
      <c r="HW95" s="794"/>
      <c r="HX95" s="171"/>
      <c r="HY95" s="171"/>
      <c r="HZ95" s="171"/>
      <c r="IA95" s="171"/>
      <c r="IB95" s="171"/>
      <c r="ID95" s="109"/>
      <c r="IE95" s="109"/>
      <c r="IF95" s="109"/>
      <c r="IG95" s="171"/>
      <c r="IH95" s="171"/>
      <c r="II95" s="171"/>
      <c r="IJ95" s="171"/>
      <c r="IK95" s="171"/>
      <c r="IL95" s="171"/>
      <c r="IM95" s="171"/>
      <c r="IN95" s="775"/>
      <c r="IP95" s="1382"/>
      <c r="IQ95" s="109"/>
      <c r="IR95" s="109"/>
      <c r="IS95" s="171"/>
      <c r="IT95" s="171"/>
      <c r="IU95" s="171"/>
      <c r="IV95" s="171"/>
      <c r="IW95" s="171"/>
      <c r="IX95" s="171"/>
      <c r="IY95" s="171"/>
      <c r="IZ95" s="775"/>
      <c r="JD95" s="109"/>
      <c r="JE95" s="109"/>
      <c r="JF95" s="109"/>
      <c r="JG95" s="171"/>
      <c r="JH95" s="171"/>
      <c r="JI95" s="171"/>
      <c r="JJ95" s="171"/>
      <c r="JK95" s="171"/>
      <c r="JL95" s="171"/>
      <c r="JM95" s="171"/>
      <c r="JN95" s="775"/>
      <c r="JP95" s="109"/>
      <c r="JQ95" s="109"/>
      <c r="JR95" s="109"/>
      <c r="JS95" s="171"/>
      <c r="JT95" s="171"/>
      <c r="JU95" s="171"/>
      <c r="JV95" s="171"/>
      <c r="JW95" s="171"/>
      <c r="JX95" s="171"/>
      <c r="JY95" s="171"/>
      <c r="JZ95" s="775"/>
      <c r="KB95" s="109"/>
      <c r="KC95" s="109"/>
      <c r="KD95" s="171"/>
      <c r="KE95" s="171"/>
      <c r="KF95" s="171"/>
      <c r="KG95" s="171"/>
      <c r="KH95" s="171"/>
      <c r="KI95" s="171"/>
      <c r="KJ95" s="171"/>
      <c r="KK95" s="775"/>
      <c r="KN95" s="109"/>
      <c r="KO95" s="109"/>
      <c r="KP95" s="171"/>
      <c r="KQ95" s="171"/>
      <c r="KR95" s="171"/>
      <c r="KS95" s="171"/>
      <c r="KT95" s="171"/>
      <c r="KU95" s="171"/>
      <c r="KV95" s="171"/>
      <c r="KW95" s="1610"/>
    </row>
    <row r="96" spans="15:309" x14ac:dyDescent="0.2">
      <c r="O96" s="109"/>
      <c r="P96" s="109"/>
      <c r="Q96" s="109"/>
      <c r="R96" s="109"/>
      <c r="S96" s="109"/>
      <c r="T96" s="109"/>
      <c r="U96" s="109"/>
      <c r="V96" s="171"/>
      <c r="W96" s="171"/>
      <c r="X96" s="171"/>
      <c r="Y96" s="171"/>
      <c r="Z96" s="171"/>
      <c r="AA96" s="171"/>
      <c r="AB96" s="171"/>
      <c r="AC96" s="171"/>
      <c r="BG96" s="403"/>
      <c r="BI96" s="762"/>
      <c r="BJ96" s="198"/>
      <c r="BK96" s="198"/>
      <c r="BL96" s="199"/>
      <c r="BM96" s="447"/>
      <c r="HR96" s="109"/>
      <c r="HS96" s="109"/>
      <c r="HT96" s="109"/>
      <c r="HU96" s="171"/>
      <c r="HV96" s="171"/>
      <c r="HW96" s="794"/>
      <c r="HX96" s="171"/>
      <c r="HY96" s="171"/>
      <c r="HZ96" s="171"/>
      <c r="IA96" s="171"/>
      <c r="IB96" s="171"/>
      <c r="ID96" s="109"/>
      <c r="IE96" s="109"/>
      <c r="IF96" s="109"/>
      <c r="IG96" s="171"/>
      <c r="IH96" s="171"/>
      <c r="II96" s="171"/>
      <c r="IJ96" s="171"/>
      <c r="IK96" s="171"/>
      <c r="IL96" s="171"/>
      <c r="IM96" s="171"/>
      <c r="IN96" s="775"/>
      <c r="IP96" s="1382"/>
      <c r="IQ96" s="109"/>
      <c r="IR96" s="109"/>
      <c r="IS96" s="171"/>
      <c r="IT96" s="171"/>
      <c r="IU96" s="171"/>
      <c r="IV96" s="171"/>
      <c r="IW96" s="171"/>
      <c r="IX96" s="171"/>
      <c r="IY96" s="171"/>
      <c r="IZ96" s="775"/>
      <c r="JD96" s="109"/>
      <c r="JE96" s="109"/>
      <c r="JF96" s="109"/>
      <c r="JG96" s="171"/>
      <c r="JH96" s="171"/>
      <c r="JI96" s="171"/>
      <c r="JJ96" s="171"/>
      <c r="JK96" s="171"/>
      <c r="JL96" s="171"/>
      <c r="JM96" s="171"/>
      <c r="JN96" s="775"/>
      <c r="JP96" s="109"/>
      <c r="JQ96" s="109"/>
      <c r="JR96" s="109"/>
      <c r="JS96" s="171"/>
      <c r="JT96" s="171"/>
      <c r="JU96" s="171"/>
      <c r="JV96" s="171"/>
      <c r="JW96" s="171"/>
      <c r="JX96" s="171"/>
      <c r="JY96" s="171"/>
      <c r="JZ96" s="775"/>
      <c r="KB96" s="109"/>
      <c r="KC96" s="109"/>
      <c r="KD96" s="171"/>
      <c r="KE96" s="171"/>
      <c r="KF96" s="171"/>
      <c r="KG96" s="171"/>
      <c r="KH96" s="171"/>
      <c r="KI96" s="171"/>
      <c r="KJ96" s="171"/>
      <c r="KK96" s="775"/>
      <c r="KN96" s="109"/>
      <c r="KO96" s="109"/>
      <c r="KP96" s="171"/>
      <c r="KQ96" s="171"/>
      <c r="KR96" s="171"/>
      <c r="KS96" s="171"/>
      <c r="KT96" s="171"/>
      <c r="KU96" s="171"/>
      <c r="KV96" s="171"/>
      <c r="KW96" s="1610"/>
    </row>
    <row r="97" spans="15:309" x14ac:dyDescent="0.2">
      <c r="O97" s="109"/>
      <c r="P97" s="109"/>
      <c r="Q97" s="109"/>
      <c r="R97" s="171"/>
      <c r="S97" s="171"/>
      <c r="T97" s="109"/>
      <c r="U97" s="109"/>
      <c r="V97" s="171"/>
      <c r="W97" s="171"/>
      <c r="X97" s="171"/>
      <c r="Y97" s="171"/>
      <c r="Z97" s="171"/>
      <c r="AA97" s="171"/>
      <c r="AB97" s="171"/>
      <c r="AC97" s="171"/>
      <c r="HR97" s="171"/>
      <c r="HS97" s="109"/>
      <c r="HT97" s="109"/>
      <c r="HU97" s="171"/>
      <c r="HV97" s="171"/>
      <c r="HW97" s="794"/>
      <c r="HX97" s="171"/>
      <c r="HY97" s="171"/>
      <c r="HZ97" s="171"/>
      <c r="IA97" s="171"/>
      <c r="IB97" s="171"/>
      <c r="ID97" s="171"/>
      <c r="IE97" s="109"/>
      <c r="IF97" s="109"/>
      <c r="IG97" s="171"/>
      <c r="IH97" s="171"/>
      <c r="II97" s="171"/>
      <c r="IJ97" s="171"/>
      <c r="IK97" s="171"/>
      <c r="IL97" s="171"/>
      <c r="IM97" s="171"/>
      <c r="IN97" s="775"/>
      <c r="IP97" s="1383"/>
      <c r="IQ97" s="109"/>
      <c r="IR97" s="109"/>
      <c r="IS97" s="171"/>
      <c r="IT97" s="171"/>
      <c r="IU97" s="171"/>
      <c r="IV97" s="171"/>
      <c r="IW97" s="171"/>
      <c r="IX97" s="171"/>
      <c r="IY97" s="171"/>
      <c r="IZ97" s="775"/>
      <c r="JD97" s="171"/>
      <c r="JE97" s="109"/>
      <c r="JF97" s="109"/>
      <c r="JG97" s="171"/>
      <c r="JH97" s="171"/>
      <c r="JI97" s="171"/>
      <c r="JJ97" s="171"/>
      <c r="JK97" s="171"/>
      <c r="JL97" s="171"/>
      <c r="JM97" s="171"/>
      <c r="JN97" s="775"/>
      <c r="JP97" s="171"/>
      <c r="JQ97" s="109"/>
      <c r="JR97" s="109"/>
      <c r="JS97" s="171"/>
      <c r="JT97" s="171"/>
      <c r="JU97" s="171"/>
      <c r="JV97" s="171"/>
      <c r="JW97" s="171"/>
      <c r="JX97" s="171"/>
      <c r="JY97" s="171"/>
      <c r="JZ97" s="775"/>
      <c r="KB97" s="109"/>
      <c r="KC97" s="109"/>
      <c r="KD97" s="171"/>
      <c r="KE97" s="171"/>
      <c r="KF97" s="171"/>
      <c r="KG97" s="171"/>
      <c r="KH97" s="171"/>
      <c r="KI97" s="171"/>
      <c r="KJ97" s="171"/>
      <c r="KK97" s="775"/>
      <c r="KN97" s="109"/>
      <c r="KO97" s="109"/>
      <c r="KP97" s="171"/>
      <c r="KQ97" s="171"/>
      <c r="KR97" s="171"/>
      <c r="KS97" s="171"/>
      <c r="KT97" s="171"/>
      <c r="KU97" s="171"/>
      <c r="KV97" s="171"/>
      <c r="KW97" s="1610"/>
    </row>
    <row r="98" spans="15:309" x14ac:dyDescent="0.2">
      <c r="O98" s="109"/>
      <c r="P98" s="109"/>
      <c r="Q98" s="109"/>
      <c r="R98" s="171"/>
      <c r="S98" s="171"/>
      <c r="T98" s="171"/>
      <c r="U98" s="171"/>
      <c r="V98" s="171"/>
      <c r="W98" s="171"/>
      <c r="X98" s="171"/>
      <c r="Y98" s="171"/>
      <c r="Z98" s="171"/>
      <c r="HR98" s="171"/>
      <c r="HS98" s="171"/>
      <c r="HT98" s="171"/>
      <c r="HU98" s="171"/>
      <c r="HV98" s="171"/>
      <c r="HW98" s="794"/>
      <c r="HX98" s="171"/>
      <c r="HY98" s="171"/>
      <c r="IA98" s="171"/>
      <c r="IB98" s="171"/>
      <c r="ID98" s="171"/>
      <c r="IE98" s="171"/>
      <c r="IF98" s="171"/>
      <c r="IG98" s="171"/>
      <c r="IH98" s="171"/>
      <c r="II98" s="171"/>
      <c r="IJ98" s="171"/>
      <c r="IK98" s="171"/>
      <c r="IM98" s="171"/>
      <c r="IN98" s="775"/>
      <c r="IP98" s="1383"/>
      <c r="IQ98" s="171"/>
      <c r="IR98" s="171"/>
      <c r="IS98" s="171"/>
      <c r="IT98" s="171"/>
      <c r="IU98" s="171"/>
      <c r="IV98" s="171"/>
      <c r="IW98" s="171"/>
      <c r="IY98" s="171"/>
      <c r="IZ98" s="775"/>
      <c r="JD98" s="171"/>
      <c r="JE98" s="171"/>
      <c r="JF98" s="171"/>
      <c r="JG98" s="171"/>
      <c r="JH98" s="171"/>
      <c r="JI98" s="171"/>
      <c r="JJ98" s="171"/>
      <c r="JK98" s="171"/>
      <c r="JM98" s="171"/>
      <c r="JN98" s="775"/>
      <c r="JP98" s="171"/>
      <c r="JQ98" s="171"/>
      <c r="JR98" s="171"/>
      <c r="JS98" s="171"/>
      <c r="JT98" s="171"/>
      <c r="JU98" s="171"/>
      <c r="JV98" s="171"/>
      <c r="JW98" s="171"/>
      <c r="JY98" s="171"/>
      <c r="JZ98" s="775"/>
      <c r="KB98" s="171"/>
      <c r="KC98" s="171"/>
      <c r="KD98" s="171"/>
      <c r="KE98" s="171"/>
      <c r="KF98" s="171"/>
      <c r="KG98" s="171"/>
      <c r="KH98" s="171"/>
      <c r="KJ98" s="171"/>
      <c r="KK98" s="775"/>
      <c r="KN98" s="171"/>
      <c r="KO98" s="171"/>
      <c r="KP98" s="171"/>
      <c r="KQ98" s="171"/>
      <c r="KR98" s="171"/>
      <c r="KS98" s="171"/>
      <c r="KT98" s="171"/>
      <c r="KV98" s="171"/>
      <c r="KW98" s="1610"/>
    </row>
    <row r="99" spans="15:309" x14ac:dyDescent="0.2">
      <c r="O99" s="109"/>
      <c r="P99" s="109"/>
      <c r="Q99" s="109"/>
      <c r="R99" s="171"/>
      <c r="S99" s="171"/>
      <c r="T99" s="171"/>
      <c r="U99" s="171"/>
      <c r="V99" s="171"/>
      <c r="W99" s="171"/>
      <c r="X99" s="171"/>
      <c r="Y99" s="171"/>
      <c r="Z99" s="171"/>
      <c r="HR99" s="171"/>
      <c r="HS99" s="171"/>
      <c r="HT99" s="171"/>
      <c r="HU99" s="171"/>
      <c r="HV99" s="171"/>
      <c r="HW99" s="794"/>
      <c r="HX99" s="171"/>
      <c r="HY99" s="171"/>
      <c r="IA99" s="171"/>
      <c r="IB99" s="171"/>
      <c r="ID99" s="171"/>
      <c r="IE99" s="171"/>
      <c r="IF99" s="171"/>
      <c r="IG99" s="171"/>
      <c r="IH99" s="171"/>
      <c r="II99" s="171"/>
      <c r="IJ99" s="171"/>
      <c r="IK99" s="171"/>
      <c r="IM99" s="171"/>
      <c r="IN99" s="775"/>
      <c r="IP99" s="1383"/>
      <c r="IQ99" s="171"/>
      <c r="IR99" s="171"/>
      <c r="IS99" s="171"/>
      <c r="IT99" s="171"/>
      <c r="IU99" s="171"/>
      <c r="IV99" s="171"/>
      <c r="IW99" s="171"/>
      <c r="IY99" s="171"/>
      <c r="IZ99" s="775"/>
      <c r="JD99" s="171"/>
      <c r="JE99" s="171"/>
      <c r="JF99" s="171"/>
      <c r="JG99" s="171"/>
      <c r="JH99" s="171"/>
      <c r="JI99" s="171"/>
      <c r="JJ99" s="171"/>
      <c r="JK99" s="171"/>
      <c r="JM99" s="171"/>
      <c r="JN99" s="775"/>
      <c r="JP99" s="171"/>
      <c r="JQ99" s="171"/>
      <c r="JR99" s="171"/>
      <c r="JS99" s="171"/>
      <c r="JT99" s="171"/>
      <c r="JU99" s="171"/>
      <c r="JV99" s="171"/>
      <c r="JW99" s="171"/>
      <c r="JY99" s="171"/>
      <c r="JZ99" s="775"/>
      <c r="KB99" s="171"/>
      <c r="KC99" s="171"/>
      <c r="KD99" s="171"/>
      <c r="KE99" s="171"/>
      <c r="KF99" s="171"/>
      <c r="KG99" s="171"/>
      <c r="KH99" s="171"/>
      <c r="KJ99" s="171"/>
      <c r="KK99" s="775"/>
      <c r="KN99" s="171"/>
      <c r="KO99" s="171"/>
      <c r="KP99" s="171"/>
      <c r="KQ99" s="171"/>
      <c r="KR99" s="171"/>
      <c r="KS99" s="171"/>
      <c r="KT99" s="171"/>
      <c r="KV99" s="171"/>
      <c r="KW99" s="1610"/>
    </row>
    <row r="100" spans="15:309" x14ac:dyDescent="0.2">
      <c r="O100" s="109"/>
      <c r="P100" s="109"/>
      <c r="Q100" s="109"/>
      <c r="R100" s="171"/>
      <c r="S100" s="171"/>
      <c r="T100" s="171"/>
      <c r="U100" s="171"/>
      <c r="V100" s="171"/>
      <c r="W100" s="171"/>
      <c r="X100" s="171"/>
      <c r="Y100" s="171"/>
      <c r="Z100" s="171"/>
      <c r="HR100" s="171"/>
      <c r="HS100" s="171"/>
      <c r="HT100" s="171"/>
      <c r="HU100" s="171"/>
      <c r="HV100" s="171"/>
      <c r="HW100" s="794"/>
      <c r="HX100" s="171"/>
      <c r="HY100" s="171"/>
      <c r="IA100" s="111"/>
      <c r="IB100" s="111"/>
      <c r="ID100" s="171"/>
      <c r="IE100" s="171"/>
      <c r="IF100" s="171"/>
      <c r="IG100" s="171"/>
      <c r="IH100" s="171"/>
      <c r="II100" s="171"/>
      <c r="IJ100" s="171"/>
      <c r="IK100" s="171"/>
      <c r="IM100" s="111"/>
      <c r="IN100" s="777"/>
      <c r="IP100" s="1383"/>
      <c r="IQ100" s="171"/>
      <c r="IR100" s="171"/>
      <c r="IS100" s="171"/>
      <c r="IT100" s="171"/>
      <c r="IU100" s="171"/>
      <c r="IV100" s="171"/>
      <c r="IW100" s="171"/>
      <c r="IY100" s="111"/>
      <c r="IZ100" s="777"/>
      <c r="JD100" s="171"/>
      <c r="JE100" s="171"/>
      <c r="JF100" s="171"/>
      <c r="JG100" s="171"/>
      <c r="JH100" s="171"/>
      <c r="JI100" s="171"/>
      <c r="JJ100" s="171"/>
      <c r="JK100" s="171"/>
      <c r="JM100" s="111"/>
      <c r="JN100" s="777"/>
      <c r="JP100" s="171"/>
      <c r="JQ100" s="171"/>
      <c r="JR100" s="171"/>
      <c r="JS100" s="171"/>
      <c r="JT100" s="171"/>
      <c r="JU100" s="171"/>
      <c r="JV100" s="171"/>
      <c r="JW100" s="171"/>
      <c r="JY100" s="111"/>
      <c r="JZ100" s="777"/>
      <c r="KB100" s="171"/>
      <c r="KC100" s="171"/>
      <c r="KD100" s="171"/>
      <c r="KE100" s="171"/>
      <c r="KF100" s="171"/>
      <c r="KG100" s="171"/>
      <c r="KH100" s="171"/>
      <c r="KJ100" s="111"/>
      <c r="KK100" s="777"/>
      <c r="KN100" s="171"/>
      <c r="KO100" s="171"/>
      <c r="KP100" s="171"/>
      <c r="KQ100" s="171"/>
      <c r="KR100" s="171"/>
      <c r="KS100" s="171"/>
      <c r="KT100" s="171"/>
      <c r="KV100" s="111"/>
      <c r="KW100" s="1613"/>
    </row>
    <row r="101" spans="15:309" x14ac:dyDescent="0.2">
      <c r="O101" s="109"/>
      <c r="P101" s="109"/>
      <c r="Q101" s="109"/>
      <c r="X101" s="111"/>
      <c r="Y101" s="111"/>
      <c r="Z101" s="111"/>
      <c r="HW101" s="794"/>
      <c r="HX101" s="111"/>
      <c r="HY101" s="111"/>
      <c r="IA101" s="111"/>
      <c r="IB101" s="111"/>
      <c r="II101" s="111"/>
      <c r="IJ101" s="111"/>
      <c r="IK101" s="111"/>
      <c r="IM101" s="111"/>
      <c r="IN101" s="777"/>
      <c r="IU101" s="111"/>
      <c r="IV101" s="111"/>
      <c r="IW101" s="111"/>
      <c r="IY101" s="111"/>
      <c r="IZ101" s="777"/>
      <c r="JI101" s="111"/>
      <c r="JJ101" s="111"/>
      <c r="JK101" s="111"/>
      <c r="JM101" s="111"/>
      <c r="JN101" s="777"/>
      <c r="JU101" s="111"/>
      <c r="JV101" s="111"/>
      <c r="JW101" s="111"/>
      <c r="JY101" s="111"/>
      <c r="JZ101" s="777"/>
      <c r="KF101" s="111"/>
      <c r="KG101" s="111"/>
      <c r="KH101" s="111"/>
      <c r="KJ101" s="111"/>
      <c r="KK101" s="777"/>
      <c r="KR101" s="111"/>
      <c r="KS101" s="111"/>
      <c r="KT101" s="111"/>
      <c r="KV101" s="111"/>
      <c r="KW101" s="1613"/>
    </row>
    <row r="102" spans="15:309" x14ac:dyDescent="0.2">
      <c r="O102" s="109"/>
      <c r="P102" s="109"/>
      <c r="Q102" s="109"/>
      <c r="X102" s="111"/>
      <c r="Y102" s="111"/>
      <c r="Z102" s="111"/>
      <c r="HW102" s="794"/>
      <c r="HX102" s="111"/>
      <c r="HY102" s="111"/>
      <c r="IA102" s="111"/>
      <c r="IB102" s="111"/>
      <c r="II102" s="111"/>
      <c r="IJ102" s="111"/>
      <c r="IK102" s="111"/>
      <c r="IM102" s="111"/>
      <c r="IN102" s="777"/>
      <c r="IU102" s="111"/>
      <c r="IV102" s="111"/>
      <c r="IW102" s="111"/>
      <c r="IY102" s="111"/>
      <c r="IZ102" s="777"/>
      <c r="JI102" s="111"/>
      <c r="JJ102" s="111"/>
      <c r="JK102" s="111"/>
      <c r="JM102" s="111"/>
      <c r="JN102" s="777"/>
      <c r="JU102" s="111"/>
      <c r="JV102" s="111"/>
      <c r="JW102" s="111"/>
      <c r="JY102" s="111"/>
      <c r="JZ102" s="777"/>
      <c r="KF102" s="111"/>
      <c r="KG102" s="111"/>
      <c r="KH102" s="111"/>
      <c r="KJ102" s="111"/>
      <c r="KK102" s="777"/>
      <c r="KR102" s="111"/>
      <c r="KS102" s="111"/>
      <c r="KT102" s="111"/>
      <c r="KV102" s="111"/>
      <c r="KW102" s="1613"/>
    </row>
    <row r="103" spans="15:309" x14ac:dyDescent="0.2">
      <c r="O103" s="109"/>
      <c r="P103" s="109"/>
      <c r="Q103" s="109"/>
      <c r="X103" s="111"/>
      <c r="Y103" s="111"/>
      <c r="Z103" s="111"/>
      <c r="HW103" s="794"/>
      <c r="HX103" s="111"/>
      <c r="HY103" s="111"/>
      <c r="IA103" s="111"/>
      <c r="IB103" s="111"/>
      <c r="II103" s="111"/>
      <c r="IJ103" s="111"/>
      <c r="IK103" s="111"/>
      <c r="IM103" s="111"/>
      <c r="IN103" s="777"/>
      <c r="IU103" s="111"/>
      <c r="IV103" s="111"/>
      <c r="IW103" s="111"/>
      <c r="IY103" s="111"/>
      <c r="IZ103" s="777"/>
      <c r="JI103" s="111"/>
      <c r="JJ103" s="111"/>
      <c r="JK103" s="111"/>
      <c r="JM103" s="111"/>
      <c r="JN103" s="777"/>
      <c r="JU103" s="111"/>
      <c r="JV103" s="111"/>
      <c r="JW103" s="111"/>
      <c r="JY103" s="111"/>
      <c r="JZ103" s="777"/>
      <c r="KF103" s="111"/>
      <c r="KG103" s="111"/>
      <c r="KH103" s="111"/>
      <c r="KJ103" s="111"/>
      <c r="KK103" s="777"/>
      <c r="KR103" s="111"/>
      <c r="KS103" s="111"/>
      <c r="KT103" s="111"/>
      <c r="KV103" s="111"/>
      <c r="KW103" s="1613"/>
    </row>
    <row r="104" spans="15:309" x14ac:dyDescent="0.2">
      <c r="O104" s="109"/>
      <c r="P104" s="109"/>
      <c r="Q104" s="109"/>
      <c r="X104" s="111"/>
      <c r="Y104" s="111"/>
      <c r="Z104" s="111"/>
      <c r="HW104" s="794"/>
      <c r="HX104" s="111"/>
      <c r="HY104" s="111"/>
      <c r="IA104" s="111"/>
      <c r="IB104" s="111"/>
      <c r="II104" s="111"/>
      <c r="IJ104" s="111"/>
      <c r="IK104" s="111"/>
      <c r="IM104" s="111"/>
      <c r="IN104" s="777"/>
      <c r="IU104" s="111"/>
      <c r="IV104" s="111"/>
      <c r="IW104" s="111"/>
      <c r="IY104" s="111"/>
      <c r="IZ104" s="777"/>
      <c r="JI104" s="111"/>
      <c r="JJ104" s="111"/>
      <c r="JK104" s="111"/>
      <c r="JM104" s="111"/>
      <c r="JN104" s="777"/>
      <c r="JU104" s="111"/>
      <c r="JV104" s="111"/>
      <c r="JW104" s="111"/>
      <c r="JY104" s="111"/>
      <c r="JZ104" s="777"/>
      <c r="KF104" s="111"/>
      <c r="KG104" s="111"/>
      <c r="KH104" s="111"/>
      <c r="KJ104" s="111"/>
      <c r="KK104" s="777"/>
      <c r="KR104" s="111"/>
      <c r="KS104" s="111"/>
      <c r="KT104" s="111"/>
      <c r="KV104" s="111"/>
      <c r="KW104" s="1613"/>
    </row>
    <row r="105" spans="15:309" x14ac:dyDescent="0.2">
      <c r="O105" s="109"/>
      <c r="P105" s="109"/>
      <c r="Q105" s="109"/>
      <c r="X105" s="111"/>
      <c r="Y105" s="111"/>
      <c r="Z105" s="111"/>
      <c r="HW105" s="794"/>
      <c r="HX105" s="111"/>
      <c r="HY105" s="111"/>
      <c r="IA105" s="111"/>
      <c r="IB105" s="111"/>
      <c r="II105" s="111"/>
      <c r="IJ105" s="111"/>
      <c r="IK105" s="111"/>
      <c r="IM105" s="111"/>
      <c r="IN105" s="777"/>
      <c r="IU105" s="111"/>
      <c r="IV105" s="111"/>
      <c r="IW105" s="111"/>
      <c r="IY105" s="111"/>
      <c r="IZ105" s="777"/>
      <c r="JI105" s="111"/>
      <c r="JJ105" s="111"/>
      <c r="JK105" s="111"/>
      <c r="JM105" s="111"/>
      <c r="JN105" s="777"/>
      <c r="JU105" s="111"/>
      <c r="JV105" s="111"/>
      <c r="JW105" s="111"/>
      <c r="JY105" s="111"/>
      <c r="JZ105" s="777"/>
      <c r="KF105" s="111"/>
      <c r="KG105" s="111"/>
      <c r="KH105" s="111"/>
      <c r="KJ105" s="111"/>
      <c r="KK105" s="777"/>
      <c r="KR105" s="111"/>
      <c r="KS105" s="111"/>
      <c r="KT105" s="111"/>
      <c r="KV105" s="111"/>
      <c r="KW105" s="1613"/>
    </row>
    <row r="106" spans="15:309" x14ac:dyDescent="0.2">
      <c r="O106" s="109"/>
      <c r="P106" s="109"/>
      <c r="X106" s="111"/>
      <c r="Y106" s="111"/>
      <c r="Z106" s="111"/>
      <c r="HW106" s="794"/>
      <c r="HX106" s="111"/>
      <c r="HY106" s="111"/>
      <c r="IA106" s="111"/>
      <c r="II106" s="111"/>
      <c r="IJ106" s="111"/>
      <c r="IK106" s="111"/>
      <c r="IM106" s="111"/>
      <c r="IU106" s="111"/>
      <c r="IV106" s="111"/>
      <c r="IW106" s="111"/>
      <c r="IY106" s="111"/>
      <c r="JI106" s="111"/>
      <c r="JJ106" s="111"/>
      <c r="JK106" s="111"/>
      <c r="JM106" s="111"/>
      <c r="JU106" s="111"/>
      <c r="JV106" s="111"/>
      <c r="JW106" s="111"/>
      <c r="JY106" s="111"/>
      <c r="KF106" s="111"/>
      <c r="KG106" s="111"/>
      <c r="KH106" s="111"/>
      <c r="KJ106" s="111"/>
      <c r="KR106" s="111"/>
      <c r="KS106" s="111"/>
      <c r="KT106" s="111"/>
      <c r="KV106" s="111"/>
    </row>
    <row r="107" spans="15:309" x14ac:dyDescent="0.2">
      <c r="O107" s="109"/>
      <c r="P107" s="109"/>
      <c r="X107" s="111"/>
      <c r="Y107" s="111"/>
      <c r="HW107" s="794"/>
      <c r="HX107" s="111"/>
      <c r="IA107" s="111"/>
      <c r="II107" s="111"/>
      <c r="IJ107" s="111"/>
      <c r="IM107" s="111"/>
      <c r="IU107" s="111"/>
      <c r="IV107" s="111"/>
      <c r="IY107" s="111"/>
      <c r="JI107" s="111"/>
      <c r="JJ107" s="111"/>
      <c r="JM107" s="111"/>
      <c r="JU107" s="111"/>
      <c r="JV107" s="111"/>
      <c r="JY107" s="111"/>
      <c r="KF107" s="111"/>
      <c r="KG107" s="111"/>
      <c r="KJ107" s="111"/>
      <c r="KR107" s="111"/>
      <c r="KS107" s="111"/>
      <c r="KV107" s="111"/>
    </row>
    <row r="108" spans="15:309" x14ac:dyDescent="0.2">
      <c r="O108" s="109"/>
      <c r="P108" s="109"/>
      <c r="X108" s="111"/>
      <c r="Y108" s="111"/>
      <c r="HW108" s="794"/>
      <c r="HX108" s="111"/>
      <c r="IA108" s="111"/>
      <c r="II108" s="111"/>
      <c r="IJ108" s="111"/>
      <c r="IM108" s="111"/>
      <c r="IU108" s="111"/>
      <c r="IV108" s="111"/>
      <c r="IY108" s="111"/>
      <c r="JI108" s="111"/>
      <c r="JJ108" s="111"/>
      <c r="JM108" s="111"/>
      <c r="JU108" s="111"/>
      <c r="JV108" s="111"/>
      <c r="JY108" s="111"/>
      <c r="KF108" s="111"/>
      <c r="KG108" s="111"/>
      <c r="KJ108" s="111"/>
      <c r="KR108" s="111"/>
      <c r="KS108" s="111"/>
      <c r="KV108" s="111"/>
    </row>
    <row r="109" spans="15:309" x14ac:dyDescent="0.2">
      <c r="O109" s="109"/>
      <c r="P109" s="109"/>
      <c r="X109" s="111"/>
      <c r="Y109" s="111"/>
      <c r="HW109" s="794"/>
      <c r="HX109" s="111"/>
      <c r="IA109" s="111"/>
      <c r="II109" s="111"/>
      <c r="IJ109" s="111"/>
      <c r="IM109" s="111"/>
      <c r="IU109" s="111"/>
      <c r="IV109" s="111"/>
      <c r="IY109" s="111"/>
      <c r="JI109" s="111"/>
      <c r="JJ109" s="111"/>
      <c r="JM109" s="111"/>
      <c r="JU109" s="111"/>
      <c r="JV109" s="111"/>
      <c r="JY109" s="111"/>
      <c r="KF109" s="111"/>
      <c r="KG109" s="111"/>
      <c r="KJ109" s="111"/>
      <c r="KR109" s="111"/>
      <c r="KS109" s="111"/>
      <c r="KV109" s="111"/>
    </row>
    <row r="110" spans="15:309" x14ac:dyDescent="0.2">
      <c r="O110" s="109"/>
      <c r="P110" s="109"/>
      <c r="X110" s="111"/>
      <c r="Y110" s="111"/>
      <c r="HW110" s="794"/>
      <c r="HX110" s="111"/>
      <c r="IA110" s="111"/>
      <c r="II110" s="111"/>
      <c r="IJ110" s="111"/>
      <c r="IM110" s="111"/>
      <c r="IU110" s="111"/>
      <c r="IV110" s="111"/>
      <c r="IY110" s="111"/>
      <c r="JI110" s="111"/>
      <c r="JJ110" s="111"/>
      <c r="JM110" s="111"/>
      <c r="JU110" s="111"/>
      <c r="JV110" s="111"/>
      <c r="JY110" s="111"/>
      <c r="KF110" s="111"/>
      <c r="KG110" s="111"/>
      <c r="KJ110" s="111"/>
      <c r="KR110" s="111"/>
      <c r="KS110" s="111"/>
      <c r="KV110" s="111"/>
    </row>
    <row r="111" spans="15:309" x14ac:dyDescent="0.2">
      <c r="O111" s="109"/>
      <c r="P111" s="109"/>
      <c r="X111" s="111"/>
      <c r="Y111" s="111"/>
      <c r="HW111" s="794"/>
      <c r="HX111" s="111"/>
      <c r="IA111" s="111"/>
      <c r="II111" s="111"/>
      <c r="IJ111" s="111"/>
      <c r="IM111" s="111"/>
      <c r="IU111" s="111"/>
      <c r="IV111" s="111"/>
      <c r="IY111" s="111"/>
      <c r="JI111" s="111"/>
      <c r="JJ111" s="111"/>
      <c r="JM111" s="111"/>
      <c r="JU111" s="111"/>
      <c r="JV111" s="111"/>
      <c r="JY111" s="111"/>
      <c r="KF111" s="111"/>
      <c r="KG111" s="111"/>
      <c r="KJ111" s="111"/>
      <c r="KR111" s="111"/>
      <c r="KS111" s="111"/>
      <c r="KV111" s="111"/>
    </row>
    <row r="112" spans="15:309" x14ac:dyDescent="0.2">
      <c r="O112" s="109"/>
      <c r="P112" s="109"/>
      <c r="X112" s="111"/>
      <c r="Y112" s="111"/>
      <c r="HW112" s="794"/>
      <c r="HX112" s="111"/>
      <c r="IA112" s="111"/>
      <c r="II112" s="111"/>
      <c r="IJ112" s="111"/>
      <c r="IM112" s="111"/>
      <c r="IU112" s="111"/>
      <c r="IV112" s="111"/>
      <c r="IY112" s="111"/>
      <c r="JI112" s="111"/>
      <c r="JJ112" s="111"/>
      <c r="JM112" s="111"/>
      <c r="JU112" s="111"/>
      <c r="JV112" s="111"/>
      <c r="JY112" s="111"/>
      <c r="KF112" s="111"/>
      <c r="KG112" s="111"/>
      <c r="KJ112" s="111"/>
      <c r="KR112" s="111"/>
      <c r="KS112" s="111"/>
      <c r="KV112" s="111"/>
    </row>
    <row r="113" spans="15:308" x14ac:dyDescent="0.2">
      <c r="O113" s="109"/>
      <c r="P113" s="109"/>
      <c r="X113" s="111"/>
      <c r="Y113" s="111"/>
      <c r="HW113" s="794"/>
      <c r="HX113" s="111"/>
      <c r="IA113" s="111"/>
      <c r="II113" s="111"/>
      <c r="IJ113" s="111"/>
      <c r="IM113" s="111"/>
      <c r="IU113" s="111"/>
      <c r="IV113" s="111"/>
      <c r="IY113" s="111"/>
      <c r="JI113" s="111"/>
      <c r="JJ113" s="111"/>
      <c r="JM113" s="111"/>
      <c r="JU113" s="111"/>
      <c r="JV113" s="111"/>
      <c r="JY113" s="111"/>
      <c r="KF113" s="111"/>
      <c r="KG113" s="111"/>
      <c r="KJ113" s="111"/>
      <c r="KR113" s="111"/>
      <c r="KS113" s="111"/>
      <c r="KV113" s="111"/>
    </row>
    <row r="114" spans="15:308" x14ac:dyDescent="0.2">
      <c r="O114" s="109"/>
      <c r="P114" s="109"/>
      <c r="X114" s="111"/>
      <c r="Y114" s="111"/>
      <c r="HW114" s="794"/>
      <c r="HX114" s="111"/>
      <c r="IA114" s="111"/>
      <c r="II114" s="111"/>
      <c r="IJ114" s="111"/>
      <c r="IM114" s="111"/>
      <c r="IU114" s="111"/>
      <c r="IV114" s="111"/>
      <c r="IY114" s="111"/>
      <c r="JI114" s="111"/>
      <c r="JJ114" s="111"/>
      <c r="JM114" s="111"/>
      <c r="JU114" s="111"/>
      <c r="JV114" s="111"/>
      <c r="JY114" s="111"/>
      <c r="KF114" s="111"/>
      <c r="KG114" s="111"/>
      <c r="KJ114" s="111"/>
      <c r="KR114" s="111"/>
      <c r="KS114" s="111"/>
      <c r="KV114" s="111"/>
    </row>
    <row r="115" spans="15:308" x14ac:dyDescent="0.2">
      <c r="O115" s="109"/>
      <c r="P115" s="109"/>
      <c r="X115" s="111"/>
      <c r="Y115" s="111"/>
      <c r="HW115" s="794"/>
      <c r="HX115" s="111"/>
      <c r="IA115" s="111"/>
      <c r="II115" s="111"/>
      <c r="IJ115" s="111"/>
      <c r="IM115" s="111"/>
      <c r="IU115" s="111"/>
      <c r="IV115" s="111"/>
      <c r="IY115" s="111"/>
      <c r="JI115" s="111"/>
      <c r="JJ115" s="111"/>
      <c r="JM115" s="111"/>
      <c r="JU115" s="111"/>
      <c r="JV115" s="111"/>
      <c r="JY115" s="111"/>
      <c r="KF115" s="111"/>
      <c r="KG115" s="111"/>
      <c r="KJ115" s="111"/>
      <c r="KR115" s="111"/>
      <c r="KS115" s="111"/>
      <c r="KV115" s="111"/>
    </row>
    <row r="116" spans="15:308" x14ac:dyDescent="0.2">
      <c r="O116" s="109"/>
      <c r="P116" s="109"/>
      <c r="X116" s="111"/>
      <c r="Y116" s="111"/>
      <c r="HW116" s="794"/>
      <c r="HX116" s="111"/>
      <c r="IA116" s="111"/>
      <c r="II116" s="111"/>
      <c r="IJ116" s="111"/>
      <c r="IM116" s="111"/>
      <c r="IU116" s="111"/>
      <c r="IV116" s="111"/>
      <c r="IY116" s="111"/>
      <c r="JI116" s="111"/>
      <c r="JJ116" s="111"/>
      <c r="JM116" s="111"/>
      <c r="JU116" s="111"/>
      <c r="JV116" s="111"/>
      <c r="JY116" s="111"/>
      <c r="KF116" s="111"/>
      <c r="KG116" s="111"/>
      <c r="KJ116" s="111"/>
      <c r="KR116" s="111"/>
      <c r="KS116" s="111"/>
      <c r="KV116" s="111"/>
    </row>
    <row r="117" spans="15:308" x14ac:dyDescent="0.2">
      <c r="O117" s="109"/>
      <c r="P117" s="109"/>
      <c r="X117" s="111"/>
      <c r="Y117" s="111"/>
      <c r="HW117" s="794"/>
      <c r="HX117" s="111"/>
      <c r="IA117" s="111"/>
      <c r="II117" s="111"/>
      <c r="IJ117" s="111"/>
      <c r="IM117" s="111"/>
      <c r="IU117" s="111"/>
      <c r="IV117" s="111"/>
      <c r="IY117" s="111"/>
      <c r="JI117" s="111"/>
      <c r="JJ117" s="111"/>
      <c r="JM117" s="111"/>
      <c r="JU117" s="111"/>
      <c r="JV117" s="111"/>
      <c r="JY117" s="111"/>
      <c r="KF117" s="111"/>
      <c r="KG117" s="111"/>
      <c r="KJ117" s="111"/>
      <c r="KR117" s="111"/>
      <c r="KS117" s="111"/>
      <c r="KV117" s="111"/>
    </row>
    <row r="118" spans="15:308" x14ac:dyDescent="0.2">
      <c r="O118" s="109"/>
      <c r="P118" s="109"/>
      <c r="X118" s="111"/>
      <c r="Y118" s="111"/>
      <c r="HW118" s="794"/>
      <c r="HX118" s="111"/>
      <c r="IA118" s="111"/>
      <c r="II118" s="111"/>
      <c r="IJ118" s="111"/>
      <c r="IM118" s="111"/>
      <c r="IU118" s="111"/>
      <c r="IV118" s="111"/>
      <c r="IY118" s="111"/>
      <c r="JI118" s="111"/>
      <c r="JJ118" s="111"/>
      <c r="JM118" s="111"/>
      <c r="JU118" s="111"/>
      <c r="JV118" s="111"/>
      <c r="JY118" s="111"/>
      <c r="KF118" s="111"/>
      <c r="KG118" s="111"/>
      <c r="KJ118" s="111"/>
      <c r="KR118" s="111"/>
      <c r="KS118" s="111"/>
      <c r="KV118" s="111"/>
    </row>
    <row r="119" spans="15:308" x14ac:dyDescent="0.2">
      <c r="O119" s="109"/>
      <c r="P119" s="109"/>
      <c r="X119" s="111"/>
      <c r="Y119" s="111"/>
      <c r="HW119" s="794"/>
      <c r="HX119" s="111"/>
      <c r="IA119" s="111"/>
      <c r="II119" s="111"/>
      <c r="IJ119" s="111"/>
      <c r="IM119" s="111"/>
      <c r="IU119" s="111"/>
      <c r="IV119" s="111"/>
      <c r="IY119" s="111"/>
      <c r="JI119" s="111"/>
      <c r="JJ119" s="111"/>
      <c r="JM119" s="111"/>
      <c r="JU119" s="111"/>
      <c r="JV119" s="111"/>
      <c r="JY119" s="111"/>
      <c r="KF119" s="111"/>
      <c r="KG119" s="111"/>
      <c r="KJ119" s="111"/>
      <c r="KR119" s="111"/>
      <c r="KS119" s="111"/>
      <c r="KV119" s="111"/>
    </row>
    <row r="120" spans="15:308" x14ac:dyDescent="0.2">
      <c r="O120" s="109"/>
      <c r="P120" s="109"/>
      <c r="X120" s="111"/>
      <c r="Y120" s="111"/>
      <c r="HW120" s="794"/>
      <c r="HX120" s="111"/>
      <c r="IA120" s="111"/>
      <c r="II120" s="111"/>
      <c r="IJ120" s="111"/>
      <c r="IM120" s="111"/>
      <c r="IU120" s="111"/>
      <c r="IV120" s="111"/>
      <c r="IY120" s="111"/>
      <c r="JI120" s="111"/>
      <c r="JJ120" s="111"/>
      <c r="JM120" s="111"/>
      <c r="JU120" s="111"/>
      <c r="JV120" s="111"/>
      <c r="JY120" s="111"/>
      <c r="KF120" s="111"/>
      <c r="KG120" s="111"/>
      <c r="KJ120" s="111"/>
      <c r="KR120" s="111"/>
      <c r="KS120" s="111"/>
      <c r="KV120" s="111"/>
    </row>
    <row r="121" spans="15:308" x14ac:dyDescent="0.2">
      <c r="O121" s="109"/>
      <c r="P121" s="109"/>
      <c r="X121" s="111"/>
      <c r="Y121" s="111"/>
      <c r="HW121" s="794"/>
      <c r="HX121" s="111"/>
      <c r="IA121" s="111"/>
      <c r="II121" s="111"/>
      <c r="IJ121" s="111"/>
      <c r="IM121" s="111"/>
      <c r="IU121" s="111"/>
      <c r="IV121" s="111"/>
      <c r="IY121" s="111"/>
      <c r="JI121" s="111"/>
      <c r="JJ121" s="111"/>
      <c r="JM121" s="111"/>
      <c r="JU121" s="111"/>
      <c r="JV121" s="111"/>
      <c r="JY121" s="111"/>
      <c r="KF121" s="111"/>
      <c r="KG121" s="111"/>
      <c r="KJ121" s="111"/>
      <c r="KR121" s="111"/>
      <c r="KS121" s="111"/>
      <c r="KV121" s="111"/>
    </row>
    <row r="122" spans="15:308" x14ac:dyDescent="0.2">
      <c r="O122" s="109"/>
      <c r="P122" s="109"/>
      <c r="X122" s="111"/>
      <c r="Y122" s="111"/>
      <c r="HW122" s="794"/>
      <c r="HX122" s="111"/>
      <c r="IA122" s="111"/>
      <c r="II122" s="111"/>
      <c r="IJ122" s="111"/>
      <c r="IM122" s="111"/>
      <c r="IU122" s="111"/>
      <c r="IV122" s="111"/>
      <c r="IY122" s="111"/>
      <c r="JI122" s="111"/>
      <c r="JJ122" s="111"/>
      <c r="JM122" s="111"/>
      <c r="JU122" s="111"/>
      <c r="JV122" s="111"/>
      <c r="JY122" s="111"/>
      <c r="KF122" s="111"/>
      <c r="KG122" s="111"/>
      <c r="KJ122" s="111"/>
      <c r="KR122" s="111"/>
      <c r="KS122" s="111"/>
      <c r="KV122" s="111"/>
    </row>
    <row r="123" spans="15:308" x14ac:dyDescent="0.2">
      <c r="O123" s="109"/>
      <c r="P123" s="109"/>
      <c r="X123" s="111"/>
      <c r="Y123" s="111"/>
      <c r="HW123" s="794"/>
      <c r="HX123" s="111"/>
      <c r="IA123" s="111"/>
      <c r="II123" s="111"/>
      <c r="IJ123" s="111"/>
      <c r="IM123" s="111"/>
      <c r="IU123" s="111"/>
      <c r="IV123" s="111"/>
      <c r="IY123" s="111"/>
      <c r="JI123" s="111"/>
      <c r="JJ123" s="111"/>
      <c r="JM123" s="111"/>
      <c r="JU123" s="111"/>
      <c r="JV123" s="111"/>
      <c r="JY123" s="111"/>
      <c r="KF123" s="111"/>
      <c r="KG123" s="111"/>
      <c r="KJ123" s="111"/>
      <c r="KR123" s="111"/>
      <c r="KS123" s="111"/>
      <c r="KV123" s="111"/>
    </row>
    <row r="124" spans="15:308" x14ac:dyDescent="0.2">
      <c r="O124" s="109"/>
      <c r="P124" s="109"/>
      <c r="X124" s="111"/>
      <c r="Y124" s="111"/>
      <c r="HW124" s="794"/>
      <c r="HX124" s="111"/>
      <c r="IA124" s="111"/>
      <c r="II124" s="111"/>
      <c r="IJ124" s="111"/>
      <c r="IM124" s="111"/>
      <c r="IU124" s="111"/>
      <c r="IV124" s="111"/>
      <c r="IY124" s="111"/>
      <c r="JI124" s="111"/>
      <c r="JJ124" s="111"/>
      <c r="JM124" s="111"/>
      <c r="JU124" s="111"/>
      <c r="JV124" s="111"/>
      <c r="JY124" s="111"/>
      <c r="KF124" s="111"/>
      <c r="KG124" s="111"/>
      <c r="KJ124" s="111"/>
      <c r="KR124" s="111"/>
      <c r="KS124" s="111"/>
      <c r="KV124" s="111"/>
    </row>
    <row r="125" spans="15:308" x14ac:dyDescent="0.2">
      <c r="O125" s="109"/>
      <c r="P125" s="109"/>
      <c r="X125" s="111"/>
      <c r="Y125" s="111"/>
      <c r="HW125" s="794"/>
      <c r="HX125" s="111"/>
      <c r="IA125" s="111"/>
      <c r="II125" s="111"/>
      <c r="IJ125" s="111"/>
      <c r="IM125" s="111"/>
      <c r="IU125" s="111"/>
      <c r="IV125" s="111"/>
      <c r="IY125" s="111"/>
      <c r="JI125" s="111"/>
      <c r="JJ125" s="111"/>
      <c r="JM125" s="111"/>
      <c r="JU125" s="111"/>
      <c r="JV125" s="111"/>
      <c r="JY125" s="111"/>
      <c r="KF125" s="111"/>
      <c r="KG125" s="111"/>
      <c r="KJ125" s="111"/>
      <c r="KR125" s="111"/>
      <c r="KS125" s="111"/>
      <c r="KV125" s="111"/>
    </row>
    <row r="126" spans="15:308" x14ac:dyDescent="0.2">
      <c r="O126" s="109"/>
      <c r="P126" s="109"/>
      <c r="X126" s="111"/>
      <c r="Y126" s="111"/>
      <c r="HW126" s="794"/>
      <c r="HX126" s="111"/>
      <c r="IA126" s="111"/>
      <c r="II126" s="111"/>
      <c r="IJ126" s="111"/>
      <c r="IM126" s="111"/>
      <c r="IU126" s="111"/>
      <c r="IV126" s="111"/>
      <c r="IY126" s="111"/>
      <c r="JI126" s="111"/>
      <c r="JJ126" s="111"/>
      <c r="JM126" s="111"/>
      <c r="JU126" s="111"/>
      <c r="JV126" s="111"/>
      <c r="JY126" s="111"/>
      <c r="KF126" s="111"/>
      <c r="KG126" s="111"/>
      <c r="KJ126" s="111"/>
      <c r="KR126" s="111"/>
      <c r="KS126" s="111"/>
      <c r="KV126" s="111"/>
    </row>
    <row r="127" spans="15:308" x14ac:dyDescent="0.2">
      <c r="O127" s="109"/>
      <c r="P127" s="109"/>
      <c r="X127" s="111"/>
      <c r="Y127" s="111"/>
      <c r="HW127" s="794"/>
      <c r="HX127" s="111"/>
      <c r="IA127" s="111"/>
      <c r="II127" s="111"/>
      <c r="IJ127" s="111"/>
      <c r="IM127" s="111"/>
      <c r="IU127" s="111"/>
      <c r="IV127" s="111"/>
      <c r="IY127" s="111"/>
      <c r="JI127" s="111"/>
      <c r="JJ127" s="111"/>
      <c r="JM127" s="111"/>
      <c r="JU127" s="111"/>
      <c r="JV127" s="111"/>
      <c r="JY127" s="111"/>
      <c r="KF127" s="111"/>
      <c r="KG127" s="111"/>
      <c r="KJ127" s="111"/>
      <c r="KR127" s="111"/>
      <c r="KS127" s="111"/>
      <c r="KV127" s="111"/>
    </row>
    <row r="128" spans="15:308" x14ac:dyDescent="0.2">
      <c r="O128" s="109"/>
      <c r="P128" s="109"/>
      <c r="X128" s="111"/>
      <c r="Y128" s="111"/>
      <c r="HW128" s="794"/>
      <c r="HX128" s="111"/>
      <c r="IA128" s="111"/>
      <c r="II128" s="111"/>
      <c r="IJ128" s="111"/>
      <c r="IM128" s="111"/>
      <c r="IU128" s="111"/>
      <c r="IV128" s="111"/>
      <c r="IY128" s="111"/>
      <c r="JI128" s="111"/>
      <c r="JJ128" s="111"/>
      <c r="JM128" s="111"/>
      <c r="JU128" s="111"/>
      <c r="JV128" s="111"/>
      <c r="JY128" s="111"/>
      <c r="KF128" s="111"/>
      <c r="KG128" s="111"/>
      <c r="KJ128" s="111"/>
      <c r="KR128" s="111"/>
      <c r="KS128" s="111"/>
      <c r="KV128" s="111"/>
    </row>
    <row r="129" spans="15:308" x14ac:dyDescent="0.2">
      <c r="O129" s="109"/>
      <c r="P129" s="109"/>
      <c r="X129" s="111"/>
      <c r="Y129" s="111"/>
      <c r="HW129" s="794"/>
      <c r="HX129" s="111"/>
      <c r="IA129" s="111"/>
      <c r="II129" s="111"/>
      <c r="IJ129" s="111"/>
      <c r="IM129" s="111"/>
      <c r="IU129" s="111"/>
      <c r="IV129" s="111"/>
      <c r="IY129" s="111"/>
      <c r="JI129" s="111"/>
      <c r="JJ129" s="111"/>
      <c r="JM129" s="111"/>
      <c r="JU129" s="111"/>
      <c r="JV129" s="111"/>
      <c r="JY129" s="111"/>
      <c r="KF129" s="111"/>
      <c r="KG129" s="111"/>
      <c r="KJ129" s="111"/>
      <c r="KR129" s="111"/>
      <c r="KS129" s="111"/>
      <c r="KV129" s="111"/>
    </row>
    <row r="130" spans="15:308" x14ac:dyDescent="0.2">
      <c r="O130" s="109"/>
      <c r="P130" s="109"/>
      <c r="X130" s="111"/>
      <c r="Y130" s="111"/>
      <c r="HW130" s="794"/>
      <c r="HX130" s="111"/>
      <c r="IA130" s="111"/>
      <c r="II130" s="111"/>
      <c r="IJ130" s="111"/>
      <c r="IM130" s="111"/>
      <c r="IU130" s="111"/>
      <c r="IV130" s="111"/>
      <c r="IY130" s="111"/>
      <c r="JI130" s="111"/>
      <c r="JJ130" s="111"/>
      <c r="JM130" s="111"/>
      <c r="JU130" s="111"/>
      <c r="JV130" s="111"/>
      <c r="JY130" s="111"/>
      <c r="KF130" s="111"/>
      <c r="KG130" s="111"/>
      <c r="KJ130" s="111"/>
      <c r="KR130" s="111"/>
      <c r="KS130" s="111"/>
      <c r="KV130" s="111"/>
    </row>
    <row r="131" spans="15:308" x14ac:dyDescent="0.2">
      <c r="O131" s="109"/>
      <c r="P131" s="109"/>
      <c r="X131" s="111"/>
      <c r="Y131" s="111"/>
      <c r="HW131" s="794"/>
      <c r="HX131" s="111"/>
      <c r="IA131" s="111"/>
      <c r="II131" s="111"/>
      <c r="IJ131" s="111"/>
      <c r="IM131" s="111"/>
      <c r="IU131" s="111"/>
      <c r="IV131" s="111"/>
      <c r="IY131" s="111"/>
      <c r="JI131" s="111"/>
      <c r="JJ131" s="111"/>
      <c r="JM131" s="111"/>
      <c r="JU131" s="111"/>
      <c r="JV131" s="111"/>
      <c r="JY131" s="111"/>
      <c r="KF131" s="111"/>
      <c r="KG131" s="111"/>
      <c r="KJ131" s="111"/>
      <c r="KR131" s="111"/>
      <c r="KS131" s="111"/>
      <c r="KV131" s="111"/>
    </row>
    <row r="132" spans="15:308" x14ac:dyDescent="0.2">
      <c r="O132" s="109"/>
      <c r="P132" s="109"/>
      <c r="X132" s="111"/>
      <c r="Y132" s="111"/>
      <c r="HW132" s="794"/>
      <c r="HX132" s="111"/>
      <c r="IA132" s="111"/>
      <c r="II132" s="111"/>
      <c r="IJ132" s="111"/>
      <c r="IM132" s="111"/>
      <c r="IU132" s="111"/>
      <c r="IV132" s="111"/>
      <c r="IY132" s="111"/>
      <c r="JI132" s="111"/>
      <c r="JJ132" s="111"/>
      <c r="JM132" s="111"/>
      <c r="JU132" s="111"/>
      <c r="JV132" s="111"/>
      <c r="JY132" s="111"/>
      <c r="KF132" s="111"/>
      <c r="KG132" s="111"/>
      <c r="KJ132" s="111"/>
      <c r="KR132" s="111"/>
      <c r="KS132" s="111"/>
      <c r="KV132" s="111"/>
    </row>
    <row r="133" spans="15:308" x14ac:dyDescent="0.2">
      <c r="O133" s="109"/>
      <c r="P133" s="109"/>
      <c r="X133" s="111"/>
      <c r="Y133" s="111"/>
      <c r="HW133" s="794"/>
      <c r="HX133" s="111"/>
      <c r="IA133" s="111"/>
      <c r="II133" s="111"/>
      <c r="IJ133" s="111"/>
      <c r="IM133" s="111"/>
      <c r="IU133" s="111"/>
      <c r="IV133" s="111"/>
      <c r="IY133" s="111"/>
      <c r="JI133" s="111"/>
      <c r="JJ133" s="111"/>
      <c r="JM133" s="111"/>
      <c r="JU133" s="111"/>
      <c r="JV133" s="111"/>
      <c r="JY133" s="111"/>
      <c r="KF133" s="111"/>
      <c r="KG133" s="111"/>
      <c r="KJ133" s="111"/>
      <c r="KR133" s="111"/>
      <c r="KS133" s="111"/>
      <c r="KV133" s="111"/>
    </row>
    <row r="134" spans="15:308" x14ac:dyDescent="0.2">
      <c r="O134" s="109"/>
      <c r="P134" s="109"/>
      <c r="X134" s="111"/>
      <c r="Y134" s="111"/>
      <c r="HW134" s="794"/>
      <c r="HX134" s="111"/>
      <c r="IA134" s="111"/>
      <c r="II134" s="111"/>
      <c r="IJ134" s="111"/>
      <c r="IM134" s="111"/>
      <c r="IU134" s="111"/>
      <c r="IV134" s="111"/>
      <c r="IY134" s="111"/>
      <c r="JI134" s="111"/>
      <c r="JJ134" s="111"/>
      <c r="JM134" s="111"/>
      <c r="JU134" s="111"/>
      <c r="JV134" s="111"/>
      <c r="JY134" s="111"/>
      <c r="KF134" s="111"/>
      <c r="KG134" s="111"/>
      <c r="KJ134" s="111"/>
      <c r="KR134" s="111"/>
      <c r="KS134" s="111"/>
      <c r="KV134" s="111"/>
    </row>
    <row r="135" spans="15:308" x14ac:dyDescent="0.2">
      <c r="O135" s="109"/>
      <c r="P135" s="109"/>
      <c r="X135" s="111"/>
      <c r="Y135" s="111"/>
      <c r="HW135" s="794"/>
      <c r="HX135" s="111"/>
      <c r="IA135" s="111"/>
      <c r="II135" s="111"/>
      <c r="IJ135" s="111"/>
      <c r="IM135" s="111"/>
      <c r="IU135" s="111"/>
      <c r="IV135" s="111"/>
      <c r="IY135" s="111"/>
      <c r="JI135" s="111"/>
      <c r="JJ135" s="111"/>
      <c r="JM135" s="111"/>
      <c r="JU135" s="111"/>
      <c r="JV135" s="111"/>
      <c r="JY135" s="111"/>
      <c r="KF135" s="111"/>
      <c r="KG135" s="111"/>
      <c r="KJ135" s="111"/>
      <c r="KR135" s="111"/>
      <c r="KS135" s="111"/>
      <c r="KV135" s="111"/>
    </row>
    <row r="136" spans="15:308" x14ac:dyDescent="0.2">
      <c r="O136" s="109"/>
      <c r="P136" s="109"/>
      <c r="X136" s="111"/>
      <c r="Y136" s="111"/>
      <c r="HW136" s="794"/>
      <c r="HX136" s="111"/>
      <c r="IA136" s="111"/>
      <c r="II136" s="111"/>
      <c r="IJ136" s="111"/>
      <c r="IM136" s="111"/>
      <c r="IU136" s="111"/>
      <c r="IV136" s="111"/>
      <c r="IY136" s="111"/>
      <c r="JI136" s="111"/>
      <c r="JJ136" s="111"/>
      <c r="JM136" s="111"/>
      <c r="JU136" s="111"/>
      <c r="JV136" s="111"/>
      <c r="JY136" s="111"/>
      <c r="KF136" s="111"/>
      <c r="KG136" s="111"/>
      <c r="KJ136" s="111"/>
      <c r="KR136" s="111"/>
      <c r="KS136" s="111"/>
      <c r="KV136" s="111"/>
    </row>
    <row r="137" spans="15:308" x14ac:dyDescent="0.2">
      <c r="O137" s="109"/>
      <c r="P137" s="109"/>
      <c r="X137" s="111"/>
      <c r="Y137" s="111"/>
      <c r="HW137" s="794"/>
      <c r="HX137" s="111"/>
      <c r="IA137" s="111"/>
      <c r="II137" s="111"/>
      <c r="IJ137" s="111"/>
      <c r="IM137" s="111"/>
      <c r="IU137" s="111"/>
      <c r="IV137" s="111"/>
      <c r="IY137" s="111"/>
      <c r="JI137" s="111"/>
      <c r="JJ137" s="111"/>
      <c r="JM137" s="111"/>
      <c r="JU137" s="111"/>
      <c r="JV137" s="111"/>
      <c r="JY137" s="111"/>
      <c r="KF137" s="111"/>
      <c r="KG137" s="111"/>
      <c r="KJ137" s="111"/>
      <c r="KR137" s="111"/>
      <c r="KS137" s="111"/>
      <c r="KV137" s="111"/>
    </row>
    <row r="138" spans="15:308" x14ac:dyDescent="0.2">
      <c r="O138" s="109"/>
      <c r="P138" s="109"/>
      <c r="X138" s="111"/>
      <c r="Y138" s="111"/>
      <c r="HW138" s="794"/>
      <c r="HX138" s="111"/>
      <c r="IA138" s="111"/>
      <c r="II138" s="111"/>
      <c r="IJ138" s="111"/>
      <c r="IM138" s="111"/>
      <c r="IU138" s="111"/>
      <c r="IV138" s="111"/>
      <c r="IY138" s="111"/>
      <c r="JI138" s="111"/>
      <c r="JJ138" s="111"/>
      <c r="JM138" s="111"/>
      <c r="JU138" s="111"/>
      <c r="JV138" s="111"/>
      <c r="JY138" s="111"/>
      <c r="KF138" s="111"/>
      <c r="KG138" s="111"/>
      <c r="KJ138" s="111"/>
      <c r="KR138" s="111"/>
      <c r="KS138" s="111"/>
      <c r="KV138" s="111"/>
    </row>
    <row r="139" spans="15:308" x14ac:dyDescent="0.2">
      <c r="O139" s="109"/>
      <c r="P139" s="109"/>
      <c r="X139" s="111"/>
      <c r="Y139" s="111"/>
      <c r="HW139" s="794"/>
      <c r="HX139" s="111"/>
      <c r="IA139" s="111"/>
      <c r="II139" s="111"/>
      <c r="IJ139" s="111"/>
      <c r="IM139" s="111"/>
      <c r="IU139" s="111"/>
      <c r="IV139" s="111"/>
      <c r="IY139" s="111"/>
      <c r="JI139" s="111"/>
      <c r="JJ139" s="111"/>
      <c r="JM139" s="111"/>
      <c r="JU139" s="111"/>
      <c r="JV139" s="111"/>
      <c r="JY139" s="111"/>
      <c r="KF139" s="111"/>
      <c r="KG139" s="111"/>
      <c r="KJ139" s="111"/>
      <c r="KR139" s="111"/>
      <c r="KS139" s="111"/>
      <c r="KV139" s="111"/>
    </row>
    <row r="140" spans="15:308" x14ac:dyDescent="0.2">
      <c r="O140" s="109"/>
      <c r="P140" s="109"/>
      <c r="X140" s="111"/>
      <c r="Y140" s="111"/>
      <c r="HW140" s="794"/>
      <c r="HX140" s="111"/>
      <c r="IA140" s="111"/>
      <c r="II140" s="111"/>
      <c r="IJ140" s="111"/>
      <c r="IM140" s="111"/>
      <c r="IU140" s="111"/>
      <c r="IV140" s="111"/>
      <c r="IY140" s="111"/>
      <c r="JI140" s="111"/>
      <c r="JJ140" s="111"/>
      <c r="JM140" s="111"/>
      <c r="JU140" s="111"/>
      <c r="JV140" s="111"/>
      <c r="JY140" s="111"/>
      <c r="KF140" s="111"/>
      <c r="KG140" s="111"/>
      <c r="KJ140" s="111"/>
      <c r="KR140" s="111"/>
      <c r="KS140" s="111"/>
      <c r="KV140" s="111"/>
    </row>
    <row r="141" spans="15:308" x14ac:dyDescent="0.2">
      <c r="O141" s="109"/>
      <c r="P141" s="109"/>
      <c r="X141" s="111"/>
      <c r="Y141" s="111"/>
      <c r="HW141" s="794"/>
      <c r="HX141" s="111"/>
      <c r="IA141" s="111"/>
      <c r="II141" s="111"/>
      <c r="IJ141" s="111"/>
      <c r="IM141" s="111"/>
      <c r="IU141" s="111"/>
      <c r="IV141" s="111"/>
      <c r="IY141" s="111"/>
      <c r="JI141" s="111"/>
      <c r="JJ141" s="111"/>
      <c r="JM141" s="111"/>
      <c r="JU141" s="111"/>
      <c r="JV141" s="111"/>
      <c r="JY141" s="111"/>
      <c r="KF141" s="111"/>
      <c r="KG141" s="111"/>
      <c r="KJ141" s="111"/>
      <c r="KR141" s="111"/>
      <c r="KS141" s="111"/>
      <c r="KV141" s="111"/>
    </row>
    <row r="142" spans="15:308" x14ac:dyDescent="0.2">
      <c r="O142" s="109"/>
      <c r="P142" s="109"/>
      <c r="X142" s="111"/>
      <c r="Y142" s="111"/>
      <c r="HW142" s="794"/>
      <c r="HX142" s="111"/>
      <c r="IA142" s="111"/>
      <c r="II142" s="111"/>
      <c r="IJ142" s="111"/>
      <c r="IM142" s="111"/>
      <c r="IU142" s="111"/>
      <c r="IV142" s="111"/>
      <c r="IY142" s="111"/>
      <c r="JI142" s="111"/>
      <c r="JJ142" s="111"/>
      <c r="JM142" s="111"/>
      <c r="JU142" s="111"/>
      <c r="JV142" s="111"/>
      <c r="JY142" s="111"/>
      <c r="KF142" s="111"/>
      <c r="KG142" s="111"/>
      <c r="KJ142" s="111"/>
      <c r="KR142" s="111"/>
      <c r="KS142" s="111"/>
      <c r="KV142" s="111"/>
    </row>
    <row r="143" spans="15:308" x14ac:dyDescent="0.2">
      <c r="O143" s="109"/>
      <c r="P143" s="109"/>
      <c r="X143" s="111"/>
      <c r="Y143" s="111"/>
      <c r="HW143" s="794"/>
      <c r="HX143" s="111"/>
      <c r="IA143" s="111"/>
      <c r="II143" s="111"/>
      <c r="IJ143" s="111"/>
      <c r="IM143" s="111"/>
      <c r="IU143" s="111"/>
      <c r="IV143" s="111"/>
      <c r="IY143" s="111"/>
      <c r="JI143" s="111"/>
      <c r="JJ143" s="111"/>
      <c r="JM143" s="111"/>
      <c r="JU143" s="111"/>
      <c r="JV143" s="111"/>
      <c r="JY143" s="111"/>
      <c r="KF143" s="111"/>
      <c r="KG143" s="111"/>
      <c r="KJ143" s="111"/>
      <c r="KR143" s="111"/>
      <c r="KS143" s="111"/>
      <c r="KV143" s="111"/>
    </row>
    <row r="144" spans="15:308" x14ac:dyDescent="0.2">
      <c r="O144" s="109"/>
      <c r="P144" s="109"/>
      <c r="X144" s="111"/>
      <c r="Y144" s="111"/>
      <c r="HW144" s="794"/>
      <c r="HX144" s="111"/>
      <c r="IA144" s="111"/>
      <c r="II144" s="111"/>
      <c r="IJ144" s="111"/>
      <c r="IM144" s="111"/>
      <c r="IU144" s="111"/>
      <c r="IV144" s="111"/>
      <c r="IY144" s="111"/>
      <c r="JI144" s="111"/>
      <c r="JJ144" s="111"/>
      <c r="JM144" s="111"/>
      <c r="JU144" s="111"/>
      <c r="JV144" s="111"/>
      <c r="JY144" s="111"/>
      <c r="KF144" s="111"/>
      <c r="KG144" s="111"/>
      <c r="KJ144" s="111"/>
      <c r="KR144" s="111"/>
      <c r="KS144" s="111"/>
      <c r="KV144" s="111"/>
    </row>
    <row r="145" spans="15:308" x14ac:dyDescent="0.2">
      <c r="O145" s="109"/>
      <c r="P145" s="109"/>
      <c r="X145" s="111"/>
      <c r="Y145" s="111"/>
      <c r="HW145" s="794"/>
      <c r="HX145" s="111"/>
      <c r="IA145" s="111"/>
      <c r="II145" s="111"/>
      <c r="IJ145" s="111"/>
      <c r="IM145" s="111"/>
      <c r="IU145" s="111"/>
      <c r="IV145" s="111"/>
      <c r="IY145" s="111"/>
      <c r="JI145" s="111"/>
      <c r="JJ145" s="111"/>
      <c r="JM145" s="111"/>
      <c r="JU145" s="111"/>
      <c r="JV145" s="111"/>
      <c r="JY145" s="111"/>
      <c r="KF145" s="111"/>
      <c r="KG145" s="111"/>
      <c r="KJ145" s="111"/>
      <c r="KR145" s="111"/>
      <c r="KS145" s="111"/>
      <c r="KV145" s="111"/>
    </row>
    <row r="146" spans="15:308" x14ac:dyDescent="0.2">
      <c r="O146" s="109"/>
      <c r="P146" s="109"/>
      <c r="X146" s="111"/>
      <c r="Y146" s="111"/>
      <c r="HW146" s="794"/>
      <c r="HX146" s="111"/>
      <c r="IA146" s="111"/>
      <c r="II146" s="111"/>
      <c r="IJ146" s="111"/>
      <c r="IM146" s="111"/>
      <c r="IU146" s="111"/>
      <c r="IV146" s="111"/>
      <c r="IY146" s="111"/>
      <c r="JI146" s="111"/>
      <c r="JJ146" s="111"/>
      <c r="JM146" s="111"/>
      <c r="JU146" s="111"/>
      <c r="JV146" s="111"/>
      <c r="JY146" s="111"/>
      <c r="KF146" s="111"/>
      <c r="KG146" s="111"/>
      <c r="KJ146" s="111"/>
      <c r="KR146" s="111"/>
      <c r="KS146" s="111"/>
      <c r="KV146" s="111"/>
    </row>
    <row r="147" spans="15:308" x14ac:dyDescent="0.2">
      <c r="O147" s="109"/>
      <c r="P147" s="109"/>
      <c r="X147" s="111"/>
      <c r="Y147" s="111"/>
      <c r="HW147" s="794"/>
      <c r="HX147" s="111"/>
      <c r="IA147" s="111"/>
      <c r="II147" s="111"/>
      <c r="IJ147" s="111"/>
      <c r="IM147" s="111"/>
      <c r="IU147" s="111"/>
      <c r="IV147" s="111"/>
      <c r="IY147" s="111"/>
      <c r="JI147" s="111"/>
      <c r="JJ147" s="111"/>
      <c r="JM147" s="111"/>
      <c r="JU147" s="111"/>
      <c r="JV147" s="111"/>
      <c r="JY147" s="111"/>
      <c r="KF147" s="111"/>
      <c r="KG147" s="111"/>
      <c r="KJ147" s="111"/>
      <c r="KR147" s="111"/>
      <c r="KS147" s="111"/>
      <c r="KV147" s="111"/>
    </row>
    <row r="148" spans="15:308" x14ac:dyDescent="0.2">
      <c r="O148" s="109"/>
      <c r="P148" s="109"/>
      <c r="X148" s="111"/>
      <c r="Y148" s="111"/>
      <c r="HW148" s="794"/>
      <c r="HX148" s="111"/>
      <c r="IA148" s="111"/>
      <c r="II148" s="111"/>
      <c r="IJ148" s="111"/>
      <c r="IM148" s="111"/>
      <c r="IU148" s="111"/>
      <c r="IV148" s="111"/>
      <c r="IY148" s="111"/>
      <c r="JI148" s="111"/>
      <c r="JJ148" s="111"/>
      <c r="JM148" s="111"/>
      <c r="JU148" s="111"/>
      <c r="JV148" s="111"/>
      <c r="JY148" s="111"/>
      <c r="KF148" s="111"/>
      <c r="KG148" s="111"/>
      <c r="KJ148" s="111"/>
      <c r="KR148" s="111"/>
      <c r="KS148" s="111"/>
      <c r="KV148" s="111"/>
    </row>
    <row r="149" spans="15:308" x14ac:dyDescent="0.2">
      <c r="O149" s="109"/>
      <c r="P149" s="109"/>
      <c r="X149" s="111"/>
      <c r="Y149" s="111"/>
      <c r="HW149" s="794"/>
      <c r="HX149" s="111"/>
      <c r="IA149" s="111"/>
      <c r="II149" s="111"/>
      <c r="IJ149" s="111"/>
      <c r="IM149" s="111"/>
      <c r="IU149" s="111"/>
      <c r="IV149" s="111"/>
      <c r="IY149" s="111"/>
      <c r="JI149" s="111"/>
      <c r="JJ149" s="111"/>
      <c r="JM149" s="111"/>
      <c r="JU149" s="111"/>
      <c r="JV149" s="111"/>
      <c r="JY149" s="111"/>
      <c r="KF149" s="111"/>
      <c r="KG149" s="111"/>
      <c r="KJ149" s="111"/>
      <c r="KR149" s="111"/>
      <c r="KS149" s="111"/>
      <c r="KV149" s="111"/>
    </row>
    <row r="150" spans="15:308" x14ac:dyDescent="0.2">
      <c r="O150" s="109"/>
      <c r="P150" s="109"/>
      <c r="X150" s="111"/>
      <c r="Y150" s="111"/>
      <c r="HW150" s="794"/>
      <c r="HX150" s="111"/>
      <c r="IA150" s="111"/>
      <c r="II150" s="111"/>
      <c r="IJ150" s="111"/>
      <c r="IM150" s="111"/>
      <c r="IU150" s="111"/>
      <c r="IV150" s="111"/>
      <c r="IY150" s="111"/>
      <c r="JI150" s="111"/>
      <c r="JJ150" s="111"/>
      <c r="JM150" s="111"/>
      <c r="JU150" s="111"/>
      <c r="JV150" s="111"/>
      <c r="JY150" s="111"/>
      <c r="KF150" s="111"/>
      <c r="KG150" s="111"/>
      <c r="KJ150" s="111"/>
      <c r="KR150" s="111"/>
      <c r="KS150" s="111"/>
      <c r="KV150" s="111"/>
    </row>
    <row r="151" spans="15:308" x14ac:dyDescent="0.2">
      <c r="O151" s="109"/>
      <c r="P151" s="109"/>
      <c r="X151" s="111"/>
      <c r="Y151" s="111"/>
      <c r="HW151" s="794"/>
      <c r="HX151" s="111"/>
      <c r="IA151" s="111"/>
      <c r="II151" s="111"/>
      <c r="IJ151" s="111"/>
      <c r="IM151" s="111"/>
      <c r="IU151" s="111"/>
      <c r="IV151" s="111"/>
      <c r="IY151" s="111"/>
      <c r="JI151" s="111"/>
      <c r="JJ151" s="111"/>
      <c r="JM151" s="111"/>
      <c r="JU151" s="111"/>
      <c r="JV151" s="111"/>
      <c r="JY151" s="111"/>
      <c r="KF151" s="111"/>
      <c r="KG151" s="111"/>
      <c r="KJ151" s="111"/>
      <c r="KR151" s="111"/>
      <c r="KS151" s="111"/>
      <c r="KV151" s="111"/>
    </row>
    <row r="152" spans="15:308" x14ac:dyDescent="0.2">
      <c r="O152" s="109"/>
      <c r="P152" s="109"/>
      <c r="X152" s="111"/>
      <c r="Y152" s="111"/>
      <c r="HW152" s="794"/>
      <c r="HX152" s="111"/>
      <c r="IA152" s="111"/>
      <c r="II152" s="111"/>
      <c r="IJ152" s="111"/>
      <c r="IM152" s="111"/>
      <c r="IU152" s="111"/>
      <c r="IV152" s="111"/>
      <c r="IY152" s="111"/>
      <c r="JI152" s="111"/>
      <c r="JJ152" s="111"/>
      <c r="JM152" s="111"/>
      <c r="JU152" s="111"/>
      <c r="JV152" s="111"/>
      <c r="JY152" s="111"/>
      <c r="KF152" s="111"/>
      <c r="KG152" s="111"/>
      <c r="KJ152" s="111"/>
      <c r="KR152" s="111"/>
      <c r="KS152" s="111"/>
      <c r="KV152" s="111"/>
    </row>
    <row r="153" spans="15:308" x14ac:dyDescent="0.2">
      <c r="O153" s="109"/>
      <c r="P153" s="109"/>
      <c r="X153" s="111"/>
      <c r="Y153" s="111"/>
      <c r="HW153" s="794"/>
      <c r="HX153" s="111"/>
      <c r="IA153" s="111"/>
      <c r="II153" s="111"/>
      <c r="IJ153" s="111"/>
      <c r="IM153" s="111"/>
      <c r="IU153" s="111"/>
      <c r="IV153" s="111"/>
      <c r="IY153" s="111"/>
      <c r="JI153" s="111"/>
      <c r="JJ153" s="111"/>
      <c r="JM153" s="111"/>
      <c r="JU153" s="111"/>
      <c r="JV153" s="111"/>
      <c r="JY153" s="111"/>
      <c r="KF153" s="111"/>
      <c r="KG153" s="111"/>
      <c r="KJ153" s="111"/>
      <c r="KR153" s="111"/>
      <c r="KS153" s="111"/>
      <c r="KV153" s="111"/>
    </row>
    <row r="154" spans="15:308" x14ac:dyDescent="0.2">
      <c r="O154" s="109"/>
      <c r="P154" s="109"/>
      <c r="X154" s="111"/>
      <c r="Y154" s="111"/>
      <c r="HW154" s="794"/>
      <c r="HX154" s="111"/>
      <c r="IA154" s="111"/>
      <c r="II154" s="111"/>
      <c r="IJ154" s="111"/>
      <c r="IM154" s="111"/>
      <c r="IU154" s="111"/>
      <c r="IV154" s="111"/>
      <c r="IY154" s="111"/>
      <c r="JI154" s="111"/>
      <c r="JJ154" s="111"/>
      <c r="JM154" s="111"/>
      <c r="JU154" s="111"/>
      <c r="JV154" s="111"/>
      <c r="JY154" s="111"/>
      <c r="KF154" s="111"/>
      <c r="KG154" s="111"/>
      <c r="KJ154" s="111"/>
      <c r="KR154" s="111"/>
      <c r="KS154" s="111"/>
      <c r="KV154" s="111"/>
    </row>
    <row r="155" spans="15:308" x14ac:dyDescent="0.2">
      <c r="O155" s="109"/>
      <c r="P155" s="109"/>
      <c r="X155" s="111"/>
      <c r="Y155" s="111"/>
      <c r="HW155" s="794"/>
      <c r="HX155" s="111"/>
      <c r="IA155" s="111"/>
      <c r="II155" s="111"/>
      <c r="IJ155" s="111"/>
      <c r="IM155" s="111"/>
      <c r="IU155" s="111"/>
      <c r="IV155" s="111"/>
      <c r="IY155" s="111"/>
      <c r="JI155" s="111"/>
      <c r="JJ155" s="111"/>
      <c r="JM155" s="111"/>
      <c r="JU155" s="111"/>
      <c r="JV155" s="111"/>
      <c r="JY155" s="111"/>
      <c r="KF155" s="111"/>
      <c r="KG155" s="111"/>
      <c r="KJ155" s="111"/>
      <c r="KR155" s="111"/>
      <c r="KS155" s="111"/>
      <c r="KV155" s="111"/>
    </row>
    <row r="156" spans="15:308" x14ac:dyDescent="0.2">
      <c r="O156" s="109"/>
      <c r="P156" s="109"/>
      <c r="X156" s="111"/>
      <c r="Y156" s="111"/>
      <c r="HW156" s="794"/>
      <c r="HX156" s="111"/>
      <c r="IA156" s="111"/>
      <c r="II156" s="111"/>
      <c r="IJ156" s="111"/>
      <c r="IM156" s="111"/>
      <c r="IU156" s="111"/>
      <c r="IV156" s="111"/>
      <c r="IY156" s="111"/>
      <c r="JI156" s="111"/>
      <c r="JJ156" s="111"/>
      <c r="JM156" s="111"/>
      <c r="JU156" s="111"/>
      <c r="JV156" s="111"/>
      <c r="JY156" s="111"/>
      <c r="KF156" s="111"/>
      <c r="KG156" s="111"/>
      <c r="KJ156" s="111"/>
      <c r="KR156" s="111"/>
      <c r="KS156" s="111"/>
      <c r="KV156" s="111"/>
    </row>
    <row r="157" spans="15:308" x14ac:dyDescent="0.2">
      <c r="O157" s="109"/>
      <c r="P157" s="109"/>
      <c r="X157" s="111"/>
      <c r="Y157" s="111"/>
      <c r="HW157" s="794"/>
      <c r="HX157" s="111"/>
      <c r="IA157" s="111"/>
      <c r="II157" s="111"/>
      <c r="IJ157" s="111"/>
      <c r="IM157" s="111"/>
      <c r="IU157" s="111"/>
      <c r="IV157" s="111"/>
      <c r="IY157" s="111"/>
      <c r="JI157" s="111"/>
      <c r="JJ157" s="111"/>
      <c r="JM157" s="111"/>
      <c r="JU157" s="111"/>
      <c r="JV157" s="111"/>
      <c r="JY157" s="111"/>
      <c r="KF157" s="111"/>
      <c r="KG157" s="111"/>
      <c r="KJ157" s="111"/>
      <c r="KR157" s="111"/>
      <c r="KS157" s="111"/>
      <c r="KV157" s="111"/>
    </row>
    <row r="158" spans="15:308" x14ac:dyDescent="0.2">
      <c r="O158" s="109"/>
      <c r="P158" s="109"/>
      <c r="X158" s="111"/>
      <c r="Y158" s="111"/>
      <c r="HW158" s="794"/>
      <c r="HX158" s="111"/>
      <c r="IA158" s="111"/>
      <c r="II158" s="111"/>
      <c r="IJ158" s="111"/>
      <c r="IM158" s="111"/>
      <c r="IU158" s="111"/>
      <c r="IV158" s="111"/>
      <c r="IY158" s="111"/>
      <c r="JI158" s="111"/>
      <c r="JJ158" s="111"/>
      <c r="JM158" s="111"/>
      <c r="JU158" s="111"/>
      <c r="JV158" s="111"/>
      <c r="JY158" s="111"/>
      <c r="KF158" s="111"/>
      <c r="KG158" s="111"/>
      <c r="KJ158" s="111"/>
      <c r="KR158" s="111"/>
      <c r="KS158" s="111"/>
      <c r="KV158" s="111"/>
    </row>
    <row r="159" spans="15:308" x14ac:dyDescent="0.2">
      <c r="O159" s="109"/>
      <c r="P159" s="109"/>
      <c r="X159" s="111"/>
      <c r="Y159" s="111"/>
      <c r="HW159" s="794"/>
      <c r="HX159" s="111"/>
      <c r="IA159" s="111"/>
      <c r="II159" s="111"/>
      <c r="IJ159" s="111"/>
      <c r="IM159" s="111"/>
      <c r="IU159" s="111"/>
      <c r="IV159" s="111"/>
      <c r="IY159" s="111"/>
      <c r="JI159" s="111"/>
      <c r="JJ159" s="111"/>
      <c r="JM159" s="111"/>
      <c r="JU159" s="111"/>
      <c r="JV159" s="111"/>
      <c r="JY159" s="111"/>
      <c r="KF159" s="111"/>
      <c r="KG159" s="111"/>
      <c r="KJ159" s="111"/>
      <c r="KR159" s="111"/>
      <c r="KS159" s="111"/>
      <c r="KV159" s="111"/>
    </row>
    <row r="160" spans="15:308" x14ac:dyDescent="0.2">
      <c r="O160" s="109"/>
      <c r="P160" s="109"/>
      <c r="X160" s="111"/>
      <c r="Y160" s="111"/>
      <c r="HW160" s="794"/>
      <c r="HX160" s="111"/>
      <c r="IA160" s="111"/>
      <c r="II160" s="111"/>
      <c r="IJ160" s="111"/>
      <c r="IM160" s="111"/>
      <c r="IU160" s="111"/>
      <c r="IV160" s="111"/>
      <c r="IY160" s="111"/>
      <c r="JI160" s="111"/>
      <c r="JJ160" s="111"/>
      <c r="JM160" s="111"/>
      <c r="JU160" s="111"/>
      <c r="JV160" s="111"/>
      <c r="JY160" s="111"/>
      <c r="KF160" s="111"/>
      <c r="KG160" s="111"/>
      <c r="KJ160" s="111"/>
      <c r="KR160" s="111"/>
      <c r="KS160" s="111"/>
      <c r="KV160" s="111"/>
    </row>
    <row r="161" spans="15:308" x14ac:dyDescent="0.2">
      <c r="O161" s="109"/>
      <c r="P161" s="109"/>
      <c r="X161" s="111"/>
      <c r="Y161" s="111"/>
      <c r="HW161" s="794"/>
      <c r="HX161" s="111"/>
      <c r="IA161" s="111"/>
      <c r="II161" s="111"/>
      <c r="IJ161" s="111"/>
      <c r="IM161" s="111"/>
      <c r="IU161" s="111"/>
      <c r="IV161" s="111"/>
      <c r="IY161" s="111"/>
      <c r="JI161" s="111"/>
      <c r="JJ161" s="111"/>
      <c r="JM161" s="111"/>
      <c r="JU161" s="111"/>
      <c r="JV161" s="111"/>
      <c r="JY161" s="111"/>
      <c r="KF161" s="111"/>
      <c r="KG161" s="111"/>
      <c r="KJ161" s="111"/>
      <c r="KR161" s="111"/>
      <c r="KS161" s="111"/>
      <c r="KV161" s="111"/>
    </row>
    <row r="162" spans="15:308" x14ac:dyDescent="0.2">
      <c r="O162" s="109"/>
      <c r="P162" s="109"/>
      <c r="X162" s="111"/>
      <c r="Y162" s="111"/>
      <c r="HW162" s="794"/>
      <c r="HX162" s="111"/>
      <c r="IA162" s="111"/>
      <c r="II162" s="111"/>
      <c r="IJ162" s="111"/>
      <c r="IM162" s="111"/>
      <c r="IU162" s="111"/>
      <c r="IV162" s="111"/>
      <c r="IY162" s="111"/>
      <c r="JI162" s="111"/>
      <c r="JJ162" s="111"/>
      <c r="JM162" s="111"/>
      <c r="JU162" s="111"/>
      <c r="JV162" s="111"/>
      <c r="JY162" s="111"/>
      <c r="KF162" s="111"/>
      <c r="KG162" s="111"/>
      <c r="KJ162" s="111"/>
      <c r="KR162" s="111"/>
      <c r="KS162" s="111"/>
      <c r="KV162" s="111"/>
    </row>
    <row r="163" spans="15:308" x14ac:dyDescent="0.2">
      <c r="O163" s="109"/>
      <c r="P163" s="109"/>
      <c r="X163" s="111"/>
      <c r="Y163" s="111"/>
      <c r="HW163" s="794"/>
      <c r="HX163" s="111"/>
      <c r="IA163" s="111"/>
      <c r="II163" s="111"/>
      <c r="IJ163" s="111"/>
      <c r="IM163" s="111"/>
      <c r="IU163" s="111"/>
      <c r="IV163" s="111"/>
      <c r="IY163" s="111"/>
      <c r="JI163" s="111"/>
      <c r="JJ163" s="111"/>
      <c r="JM163" s="111"/>
      <c r="JU163" s="111"/>
      <c r="JV163" s="111"/>
      <c r="JY163" s="111"/>
      <c r="KF163" s="111"/>
      <c r="KG163" s="111"/>
      <c r="KJ163" s="111"/>
      <c r="KR163" s="111"/>
      <c r="KS163" s="111"/>
      <c r="KV163" s="111"/>
    </row>
    <row r="164" spans="15:308" x14ac:dyDescent="0.2">
      <c r="O164" s="109"/>
      <c r="P164" s="109"/>
      <c r="X164" s="111"/>
      <c r="Y164" s="111"/>
      <c r="HW164" s="794"/>
      <c r="HX164" s="111"/>
      <c r="IA164" s="111"/>
      <c r="II164" s="111"/>
      <c r="IJ164" s="111"/>
      <c r="IM164" s="111"/>
      <c r="IU164" s="111"/>
      <c r="IV164" s="111"/>
      <c r="IY164" s="111"/>
      <c r="JI164" s="111"/>
      <c r="JJ164" s="111"/>
      <c r="JM164" s="111"/>
      <c r="JU164" s="111"/>
      <c r="JV164" s="111"/>
      <c r="JY164" s="111"/>
      <c r="KF164" s="111"/>
      <c r="KG164" s="111"/>
      <c r="KJ164" s="111"/>
      <c r="KR164" s="111"/>
      <c r="KS164" s="111"/>
      <c r="KV164" s="111"/>
    </row>
    <row r="165" spans="15:308" x14ac:dyDescent="0.2">
      <c r="O165" s="109"/>
      <c r="P165" s="109"/>
      <c r="X165" s="111"/>
      <c r="Y165" s="111"/>
      <c r="HW165" s="794"/>
      <c r="HX165" s="111"/>
      <c r="IA165" s="111"/>
      <c r="II165" s="111"/>
      <c r="IJ165" s="111"/>
      <c r="IM165" s="111"/>
      <c r="IU165" s="111"/>
      <c r="IV165" s="111"/>
      <c r="IY165" s="111"/>
      <c r="JI165" s="111"/>
      <c r="JJ165" s="111"/>
      <c r="JM165" s="111"/>
      <c r="JU165" s="111"/>
      <c r="JV165" s="111"/>
      <c r="JY165" s="111"/>
      <c r="KF165" s="111"/>
      <c r="KG165" s="111"/>
      <c r="KJ165" s="111"/>
      <c r="KR165" s="111"/>
      <c r="KS165" s="111"/>
      <c r="KV165" s="111"/>
    </row>
    <row r="166" spans="15:308" x14ac:dyDescent="0.2">
      <c r="O166" s="109"/>
      <c r="P166" s="109"/>
      <c r="X166" s="111"/>
      <c r="Y166" s="111"/>
      <c r="HW166" s="794"/>
      <c r="HX166" s="111"/>
      <c r="IA166" s="111"/>
      <c r="II166" s="111"/>
      <c r="IJ166" s="111"/>
      <c r="IM166" s="111"/>
      <c r="IU166" s="111"/>
      <c r="IV166" s="111"/>
      <c r="IY166" s="111"/>
      <c r="JI166" s="111"/>
      <c r="JJ166" s="111"/>
      <c r="JM166" s="111"/>
      <c r="JU166" s="111"/>
      <c r="JV166" s="111"/>
      <c r="JY166" s="111"/>
      <c r="KF166" s="111"/>
      <c r="KG166" s="111"/>
      <c r="KJ166" s="111"/>
      <c r="KR166" s="111"/>
      <c r="KS166" s="111"/>
      <c r="KV166" s="111"/>
    </row>
    <row r="167" spans="15:308" x14ac:dyDescent="0.2">
      <c r="O167" s="109"/>
      <c r="P167" s="109"/>
      <c r="X167" s="111"/>
      <c r="Y167" s="111"/>
      <c r="HW167" s="794"/>
      <c r="HX167" s="111"/>
      <c r="IA167" s="111"/>
      <c r="II167" s="111"/>
      <c r="IJ167" s="111"/>
      <c r="IM167" s="111"/>
      <c r="IU167" s="111"/>
      <c r="IV167" s="111"/>
      <c r="IY167" s="111"/>
      <c r="JI167" s="111"/>
      <c r="JJ167" s="111"/>
      <c r="JM167" s="111"/>
      <c r="JU167" s="111"/>
      <c r="JV167" s="111"/>
      <c r="JY167" s="111"/>
      <c r="KF167" s="111"/>
      <c r="KG167" s="111"/>
      <c r="KJ167" s="111"/>
      <c r="KR167" s="111"/>
      <c r="KS167" s="111"/>
      <c r="KV167" s="111"/>
    </row>
    <row r="168" spans="15:308" x14ac:dyDescent="0.2">
      <c r="O168" s="109"/>
      <c r="P168" s="109"/>
      <c r="X168" s="111"/>
      <c r="Y168" s="111"/>
      <c r="HW168" s="794"/>
      <c r="HX168" s="111"/>
      <c r="IA168" s="111"/>
      <c r="II168" s="111"/>
      <c r="IJ168" s="111"/>
      <c r="IM168" s="111"/>
      <c r="IU168" s="111"/>
      <c r="IV168" s="111"/>
      <c r="IY168" s="111"/>
      <c r="JI168" s="111"/>
      <c r="JJ168" s="111"/>
      <c r="JM168" s="111"/>
      <c r="JU168" s="111"/>
      <c r="JV168" s="111"/>
      <c r="JY168" s="111"/>
      <c r="KF168" s="111"/>
      <c r="KG168" s="111"/>
      <c r="KJ168" s="111"/>
      <c r="KR168" s="111"/>
      <c r="KS168" s="111"/>
      <c r="KV168" s="111"/>
    </row>
    <row r="169" spans="15:308" x14ac:dyDescent="0.2">
      <c r="O169" s="109"/>
      <c r="P169" s="109"/>
      <c r="X169" s="111"/>
      <c r="Y169" s="111"/>
      <c r="HW169" s="794"/>
      <c r="HX169" s="111"/>
      <c r="IA169" s="111"/>
      <c r="II169" s="111"/>
      <c r="IJ169" s="111"/>
      <c r="IM169" s="111"/>
      <c r="IU169" s="111"/>
      <c r="IV169" s="111"/>
      <c r="IY169" s="111"/>
      <c r="JI169" s="111"/>
      <c r="JJ169" s="111"/>
      <c r="JM169" s="111"/>
      <c r="JU169" s="111"/>
      <c r="JV169" s="111"/>
      <c r="JY169" s="111"/>
      <c r="KF169" s="111"/>
      <c r="KG169" s="111"/>
      <c r="KJ169" s="111"/>
      <c r="KR169" s="111"/>
      <c r="KS169" s="111"/>
      <c r="KV169" s="111"/>
    </row>
    <row r="170" spans="15:308" x14ac:dyDescent="0.2">
      <c r="O170" s="109"/>
      <c r="P170" s="109"/>
      <c r="X170" s="111"/>
      <c r="Y170" s="111"/>
      <c r="HW170" s="794"/>
      <c r="HX170" s="111"/>
      <c r="IA170" s="111"/>
      <c r="II170" s="111"/>
      <c r="IJ170" s="111"/>
      <c r="IM170" s="111"/>
      <c r="IU170" s="111"/>
      <c r="IV170" s="111"/>
      <c r="IY170" s="111"/>
      <c r="JI170" s="111"/>
      <c r="JJ170" s="111"/>
      <c r="JM170" s="111"/>
      <c r="JU170" s="111"/>
      <c r="JV170" s="111"/>
      <c r="JY170" s="111"/>
      <c r="KF170" s="111"/>
      <c r="KG170" s="111"/>
      <c r="KJ170" s="111"/>
      <c r="KR170" s="111"/>
      <c r="KS170" s="111"/>
      <c r="KV170" s="111"/>
    </row>
    <row r="171" spans="15:308" x14ac:dyDescent="0.2">
      <c r="O171" s="109"/>
      <c r="P171" s="109"/>
      <c r="X171" s="111"/>
      <c r="Y171" s="111"/>
      <c r="HW171" s="794"/>
      <c r="HX171" s="111"/>
      <c r="IA171" s="111"/>
      <c r="II171" s="111"/>
      <c r="IJ171" s="111"/>
      <c r="IM171" s="111"/>
      <c r="IU171" s="111"/>
      <c r="IV171" s="111"/>
      <c r="IY171" s="111"/>
      <c r="JI171" s="111"/>
      <c r="JJ171" s="111"/>
      <c r="JM171" s="111"/>
      <c r="JU171" s="111"/>
      <c r="JV171" s="111"/>
      <c r="JY171" s="111"/>
      <c r="KF171" s="111"/>
      <c r="KG171" s="111"/>
      <c r="KJ171" s="111"/>
      <c r="KR171" s="111"/>
      <c r="KS171" s="111"/>
      <c r="KV171" s="111"/>
    </row>
    <row r="172" spans="15:308" x14ac:dyDescent="0.2">
      <c r="O172" s="109"/>
      <c r="P172" s="109"/>
      <c r="X172" s="111"/>
      <c r="Y172" s="111"/>
      <c r="HW172" s="794"/>
      <c r="HX172" s="111"/>
      <c r="IA172" s="111"/>
      <c r="II172" s="111"/>
      <c r="IJ172" s="111"/>
      <c r="IM172" s="111"/>
      <c r="IU172" s="111"/>
      <c r="IV172" s="111"/>
      <c r="IY172" s="111"/>
      <c r="JI172" s="111"/>
      <c r="JJ172" s="111"/>
      <c r="JM172" s="111"/>
      <c r="JU172" s="111"/>
      <c r="JV172" s="111"/>
      <c r="JY172" s="111"/>
      <c r="KF172" s="111"/>
      <c r="KG172" s="111"/>
      <c r="KJ172" s="111"/>
      <c r="KR172" s="111"/>
      <c r="KS172" s="111"/>
      <c r="KV172" s="111"/>
    </row>
    <row r="173" spans="15:308" x14ac:dyDescent="0.2">
      <c r="O173" s="109"/>
      <c r="P173" s="109"/>
      <c r="X173" s="111"/>
      <c r="Y173" s="111"/>
      <c r="HW173" s="794"/>
      <c r="HX173" s="111"/>
      <c r="IA173" s="111"/>
      <c r="II173" s="111"/>
      <c r="IJ173" s="111"/>
      <c r="IM173" s="111"/>
      <c r="IU173" s="111"/>
      <c r="IV173" s="111"/>
      <c r="IY173" s="111"/>
      <c r="JI173" s="111"/>
      <c r="JJ173" s="111"/>
      <c r="JM173" s="111"/>
      <c r="JU173" s="111"/>
      <c r="JV173" s="111"/>
      <c r="JY173" s="111"/>
      <c r="KF173" s="111"/>
      <c r="KG173" s="111"/>
      <c r="KJ173" s="111"/>
      <c r="KR173" s="111"/>
      <c r="KS173" s="111"/>
      <c r="KV173" s="111"/>
    </row>
    <row r="174" spans="15:308" x14ac:dyDescent="0.2">
      <c r="O174" s="109"/>
      <c r="P174" s="109"/>
      <c r="X174" s="111"/>
      <c r="Y174" s="111"/>
      <c r="HW174" s="794"/>
      <c r="HX174" s="111"/>
      <c r="IA174" s="111"/>
      <c r="II174" s="111"/>
      <c r="IJ174" s="111"/>
      <c r="IM174" s="111"/>
      <c r="IU174" s="111"/>
      <c r="IV174" s="111"/>
      <c r="IY174" s="111"/>
      <c r="JI174" s="111"/>
      <c r="JJ174" s="111"/>
      <c r="JM174" s="111"/>
      <c r="JU174" s="111"/>
      <c r="JV174" s="111"/>
      <c r="JY174" s="111"/>
      <c r="KF174" s="111"/>
      <c r="KG174" s="111"/>
      <c r="KJ174" s="111"/>
      <c r="KR174" s="111"/>
      <c r="KS174" s="111"/>
      <c r="KV174" s="111"/>
    </row>
    <row r="175" spans="15:308" x14ac:dyDescent="0.2">
      <c r="O175" s="109"/>
      <c r="P175" s="109"/>
      <c r="X175" s="111"/>
      <c r="Y175" s="111"/>
      <c r="HW175" s="794"/>
      <c r="HX175" s="111"/>
      <c r="IA175" s="111"/>
      <c r="II175" s="111"/>
      <c r="IJ175" s="111"/>
      <c r="IM175" s="111"/>
      <c r="IU175" s="111"/>
      <c r="IV175" s="111"/>
      <c r="IY175" s="111"/>
      <c r="JI175" s="111"/>
      <c r="JJ175" s="111"/>
      <c r="JM175" s="111"/>
      <c r="JU175" s="111"/>
      <c r="JV175" s="111"/>
      <c r="JY175" s="111"/>
      <c r="KF175" s="111"/>
      <c r="KG175" s="111"/>
      <c r="KJ175" s="111"/>
      <c r="KR175" s="111"/>
      <c r="KS175" s="111"/>
      <c r="KV175" s="111"/>
    </row>
    <row r="176" spans="15:308" x14ac:dyDescent="0.2">
      <c r="O176" s="109"/>
      <c r="P176" s="109"/>
      <c r="X176" s="111"/>
      <c r="Y176" s="111"/>
      <c r="HW176" s="794"/>
      <c r="HX176" s="111"/>
      <c r="IA176" s="111"/>
      <c r="II176" s="111"/>
      <c r="IJ176" s="111"/>
      <c r="IM176" s="111"/>
      <c r="IU176" s="111"/>
      <c r="IV176" s="111"/>
      <c r="IY176" s="111"/>
      <c r="JI176" s="111"/>
      <c r="JJ176" s="111"/>
      <c r="JM176" s="111"/>
      <c r="JU176" s="111"/>
      <c r="JV176" s="111"/>
      <c r="JY176" s="111"/>
      <c r="KF176" s="111"/>
      <c r="KG176" s="111"/>
      <c r="KJ176" s="111"/>
      <c r="KR176" s="111"/>
      <c r="KS176" s="111"/>
      <c r="KV176" s="111"/>
    </row>
    <row r="177" spans="15:308" x14ac:dyDescent="0.2">
      <c r="O177" s="109"/>
      <c r="P177" s="109"/>
      <c r="X177" s="111"/>
      <c r="Y177" s="111"/>
      <c r="HW177" s="794"/>
      <c r="HX177" s="111"/>
      <c r="IA177" s="111"/>
      <c r="II177" s="111"/>
      <c r="IJ177" s="111"/>
      <c r="IM177" s="111"/>
      <c r="IU177" s="111"/>
      <c r="IV177" s="111"/>
      <c r="IY177" s="111"/>
      <c r="JI177" s="111"/>
      <c r="JJ177" s="111"/>
      <c r="JM177" s="111"/>
      <c r="JU177" s="111"/>
      <c r="JV177" s="111"/>
      <c r="JY177" s="111"/>
      <c r="KF177" s="111"/>
      <c r="KG177" s="111"/>
      <c r="KJ177" s="111"/>
      <c r="KR177" s="111"/>
      <c r="KS177" s="111"/>
      <c r="KV177" s="111"/>
    </row>
    <row r="178" spans="15:308" x14ac:dyDescent="0.2">
      <c r="O178" s="109"/>
      <c r="P178" s="109"/>
      <c r="X178" s="111"/>
      <c r="Y178" s="111"/>
      <c r="HW178" s="794"/>
      <c r="HX178" s="111"/>
      <c r="IA178" s="111"/>
      <c r="II178" s="111"/>
      <c r="IJ178" s="111"/>
      <c r="IM178" s="111"/>
      <c r="IU178" s="111"/>
      <c r="IV178" s="111"/>
      <c r="IY178" s="111"/>
      <c r="JI178" s="111"/>
      <c r="JJ178" s="111"/>
      <c r="JM178" s="111"/>
      <c r="JU178" s="111"/>
      <c r="JV178" s="111"/>
      <c r="JY178" s="111"/>
      <c r="KF178" s="111"/>
      <c r="KG178" s="111"/>
      <c r="KJ178" s="111"/>
      <c r="KR178" s="111"/>
      <c r="KS178" s="111"/>
      <c r="KV178" s="111"/>
    </row>
    <row r="179" spans="15:308" x14ac:dyDescent="0.2">
      <c r="O179" s="109"/>
      <c r="P179" s="109"/>
      <c r="X179" s="111"/>
      <c r="Y179" s="111"/>
      <c r="HW179" s="794"/>
      <c r="HX179" s="111"/>
      <c r="IA179" s="111"/>
      <c r="II179" s="111"/>
      <c r="IJ179" s="111"/>
      <c r="IM179" s="111"/>
      <c r="IU179" s="111"/>
      <c r="IV179" s="111"/>
      <c r="IY179" s="111"/>
      <c r="JI179" s="111"/>
      <c r="JJ179" s="111"/>
      <c r="JM179" s="111"/>
      <c r="JU179" s="111"/>
      <c r="JV179" s="111"/>
      <c r="JY179" s="111"/>
      <c r="KF179" s="111"/>
      <c r="KG179" s="111"/>
      <c r="KJ179" s="111"/>
      <c r="KR179" s="111"/>
      <c r="KS179" s="111"/>
      <c r="KV179" s="111"/>
    </row>
    <row r="180" spans="15:308" x14ac:dyDescent="0.2">
      <c r="O180" s="109"/>
      <c r="P180" s="109"/>
      <c r="X180" s="111"/>
      <c r="Y180" s="111"/>
      <c r="HW180" s="794"/>
      <c r="HX180" s="111"/>
      <c r="IA180" s="111"/>
      <c r="II180" s="111"/>
      <c r="IJ180" s="111"/>
      <c r="IM180" s="111"/>
      <c r="IU180" s="111"/>
      <c r="IV180" s="111"/>
      <c r="IY180" s="111"/>
      <c r="JI180" s="111"/>
      <c r="JJ180" s="111"/>
      <c r="JM180" s="111"/>
      <c r="JU180" s="111"/>
      <c r="JV180" s="111"/>
      <c r="JY180" s="111"/>
      <c r="KF180" s="111"/>
      <c r="KG180" s="111"/>
      <c r="KJ180" s="111"/>
      <c r="KR180" s="111"/>
      <c r="KS180" s="111"/>
      <c r="KV180" s="111"/>
    </row>
    <row r="181" spans="15:308" x14ac:dyDescent="0.2">
      <c r="O181" s="109"/>
      <c r="P181" s="109"/>
      <c r="X181" s="111"/>
      <c r="Y181" s="111"/>
      <c r="HW181" s="794"/>
      <c r="HX181" s="111"/>
      <c r="IA181" s="111"/>
      <c r="II181" s="111"/>
      <c r="IJ181" s="111"/>
      <c r="IM181" s="111"/>
      <c r="IU181" s="111"/>
      <c r="IV181" s="111"/>
      <c r="IY181" s="111"/>
      <c r="JI181" s="111"/>
      <c r="JJ181" s="111"/>
      <c r="JM181" s="111"/>
      <c r="JU181" s="111"/>
      <c r="JV181" s="111"/>
      <c r="JY181" s="111"/>
      <c r="KF181" s="111"/>
      <c r="KG181" s="111"/>
      <c r="KJ181" s="111"/>
      <c r="KR181" s="111"/>
      <c r="KS181" s="111"/>
      <c r="KV181" s="111"/>
    </row>
    <row r="182" spans="15:308" x14ac:dyDescent="0.2">
      <c r="O182" s="109"/>
      <c r="P182" s="109"/>
      <c r="X182" s="111"/>
      <c r="Y182" s="111"/>
      <c r="HW182" s="794"/>
      <c r="HX182" s="111"/>
      <c r="IA182" s="111"/>
      <c r="II182" s="111"/>
      <c r="IJ182" s="111"/>
      <c r="IM182" s="111"/>
      <c r="IU182" s="111"/>
      <c r="IV182" s="111"/>
      <c r="IY182" s="111"/>
      <c r="JI182" s="111"/>
      <c r="JJ182" s="111"/>
      <c r="JM182" s="111"/>
      <c r="JU182" s="111"/>
      <c r="JV182" s="111"/>
      <c r="JY182" s="111"/>
      <c r="KF182" s="111"/>
      <c r="KG182" s="111"/>
      <c r="KJ182" s="111"/>
      <c r="KR182" s="111"/>
      <c r="KS182" s="111"/>
      <c r="KV182" s="111"/>
    </row>
    <row r="183" spans="15:308" x14ac:dyDescent="0.2">
      <c r="O183" s="109"/>
      <c r="P183" s="109"/>
      <c r="X183" s="111"/>
      <c r="Y183" s="111"/>
      <c r="HW183" s="794"/>
      <c r="HX183" s="111"/>
      <c r="IA183" s="111"/>
      <c r="II183" s="111"/>
      <c r="IJ183" s="111"/>
      <c r="IM183" s="111"/>
      <c r="IU183" s="111"/>
      <c r="IV183" s="111"/>
      <c r="IY183" s="111"/>
      <c r="JI183" s="111"/>
      <c r="JJ183" s="111"/>
      <c r="JM183" s="111"/>
      <c r="JU183" s="111"/>
      <c r="JV183" s="111"/>
      <c r="JY183" s="111"/>
      <c r="KF183" s="111"/>
      <c r="KG183" s="111"/>
      <c r="KJ183" s="111"/>
      <c r="KR183" s="111"/>
      <c r="KS183" s="111"/>
      <c r="KV183" s="111"/>
    </row>
    <row r="184" spans="15:308" x14ac:dyDescent="0.2">
      <c r="O184" s="109"/>
      <c r="P184" s="109"/>
      <c r="X184" s="111"/>
      <c r="Y184" s="111"/>
      <c r="HW184" s="794"/>
      <c r="HX184" s="111"/>
      <c r="IA184" s="111"/>
      <c r="II184" s="111"/>
      <c r="IJ184" s="111"/>
      <c r="IM184" s="111"/>
      <c r="IU184" s="111"/>
      <c r="IV184" s="111"/>
      <c r="IY184" s="111"/>
      <c r="JI184" s="111"/>
      <c r="JJ184" s="111"/>
      <c r="JM184" s="111"/>
      <c r="JU184" s="111"/>
      <c r="JV184" s="111"/>
      <c r="JY184" s="111"/>
      <c r="KF184" s="111"/>
      <c r="KG184" s="111"/>
      <c r="KJ184" s="111"/>
      <c r="KR184" s="111"/>
      <c r="KS184" s="111"/>
      <c r="KV184" s="111"/>
    </row>
    <row r="185" spans="15:308" x14ac:dyDescent="0.2">
      <c r="O185" s="109"/>
      <c r="P185" s="109"/>
      <c r="X185" s="111"/>
      <c r="Y185" s="111"/>
      <c r="HW185" s="794"/>
      <c r="HX185" s="111"/>
      <c r="IA185" s="111"/>
      <c r="II185" s="111"/>
      <c r="IJ185" s="111"/>
      <c r="IM185" s="111"/>
      <c r="IU185" s="111"/>
      <c r="IV185" s="111"/>
      <c r="IY185" s="111"/>
      <c r="JI185" s="111"/>
      <c r="JJ185" s="111"/>
      <c r="JM185" s="111"/>
      <c r="JU185" s="111"/>
      <c r="JV185" s="111"/>
      <c r="JY185" s="111"/>
      <c r="KF185" s="111"/>
      <c r="KG185" s="111"/>
      <c r="KJ185" s="111"/>
      <c r="KR185" s="111"/>
      <c r="KS185" s="111"/>
      <c r="KV185" s="111"/>
    </row>
    <row r="186" spans="15:308" x14ac:dyDescent="0.2">
      <c r="O186" s="109"/>
      <c r="P186" s="109"/>
      <c r="X186" s="111"/>
      <c r="Y186" s="111"/>
      <c r="HW186" s="794"/>
      <c r="HX186" s="111"/>
      <c r="IA186" s="111"/>
      <c r="II186" s="111"/>
      <c r="IJ186" s="111"/>
      <c r="IM186" s="111"/>
      <c r="IU186" s="111"/>
      <c r="IV186" s="111"/>
      <c r="IY186" s="111"/>
      <c r="JI186" s="111"/>
      <c r="JJ186" s="111"/>
      <c r="JM186" s="111"/>
      <c r="JU186" s="111"/>
      <c r="JV186" s="111"/>
      <c r="JY186" s="111"/>
      <c r="KF186" s="111"/>
      <c r="KG186" s="111"/>
      <c r="KJ186" s="111"/>
      <c r="KR186" s="111"/>
      <c r="KS186" s="111"/>
      <c r="KV186" s="111"/>
    </row>
    <row r="187" spans="15:308" x14ac:dyDescent="0.2">
      <c r="O187" s="109"/>
      <c r="P187" s="109"/>
      <c r="X187" s="111"/>
      <c r="Y187" s="111"/>
      <c r="HW187" s="794"/>
      <c r="HX187" s="111"/>
      <c r="IA187" s="111"/>
      <c r="II187" s="111"/>
      <c r="IJ187" s="111"/>
      <c r="IM187" s="111"/>
      <c r="IU187" s="111"/>
      <c r="IV187" s="111"/>
      <c r="IY187" s="111"/>
      <c r="JI187" s="111"/>
      <c r="JJ187" s="111"/>
      <c r="JM187" s="111"/>
      <c r="JU187" s="111"/>
      <c r="JV187" s="111"/>
      <c r="JY187" s="111"/>
      <c r="KF187" s="111"/>
      <c r="KG187" s="111"/>
      <c r="KJ187" s="111"/>
      <c r="KR187" s="111"/>
      <c r="KS187" s="111"/>
      <c r="KV187" s="111"/>
    </row>
    <row r="188" spans="15:308" x14ac:dyDescent="0.2">
      <c r="O188" s="109"/>
      <c r="P188" s="109"/>
      <c r="X188" s="111"/>
      <c r="Y188" s="111"/>
      <c r="HW188" s="794"/>
      <c r="HX188" s="111"/>
      <c r="IA188" s="111"/>
      <c r="II188" s="111"/>
      <c r="IJ188" s="111"/>
      <c r="IM188" s="111"/>
      <c r="IU188" s="111"/>
      <c r="IV188" s="111"/>
      <c r="IY188" s="111"/>
      <c r="JI188" s="111"/>
      <c r="JJ188" s="111"/>
      <c r="JM188" s="111"/>
      <c r="JU188" s="111"/>
      <c r="JV188" s="111"/>
      <c r="JY188" s="111"/>
      <c r="KF188" s="111"/>
      <c r="KG188" s="111"/>
      <c r="KJ188" s="111"/>
      <c r="KR188" s="111"/>
      <c r="KS188" s="111"/>
      <c r="KV188" s="111"/>
    </row>
    <row r="189" spans="15:308" x14ac:dyDescent="0.2">
      <c r="O189" s="109"/>
      <c r="P189" s="109"/>
      <c r="X189" s="111"/>
      <c r="Y189" s="111"/>
      <c r="HW189" s="794"/>
      <c r="HX189" s="111"/>
      <c r="IA189" s="111"/>
      <c r="II189" s="111"/>
      <c r="IJ189" s="111"/>
      <c r="IM189" s="111"/>
      <c r="IU189" s="111"/>
      <c r="IV189" s="111"/>
      <c r="IY189" s="111"/>
      <c r="JI189" s="111"/>
      <c r="JJ189" s="111"/>
      <c r="JM189" s="111"/>
      <c r="JU189" s="111"/>
      <c r="JV189" s="111"/>
      <c r="JY189" s="111"/>
      <c r="KF189" s="111"/>
      <c r="KG189" s="111"/>
      <c r="KJ189" s="111"/>
      <c r="KR189" s="111"/>
      <c r="KS189" s="111"/>
      <c r="KV189" s="111"/>
    </row>
    <row r="190" spans="15:308" x14ac:dyDescent="0.2">
      <c r="O190" s="109"/>
      <c r="P190" s="109"/>
      <c r="X190" s="111"/>
      <c r="Y190" s="111"/>
      <c r="HW190" s="794"/>
      <c r="HX190" s="111"/>
      <c r="IA190" s="111"/>
      <c r="II190" s="111"/>
      <c r="IJ190" s="111"/>
      <c r="IM190" s="111"/>
      <c r="IU190" s="111"/>
      <c r="IV190" s="111"/>
      <c r="IY190" s="111"/>
      <c r="JI190" s="111"/>
      <c r="JJ190" s="111"/>
      <c r="JM190" s="111"/>
      <c r="JU190" s="111"/>
      <c r="JV190" s="111"/>
      <c r="JY190" s="111"/>
      <c r="KF190" s="111"/>
      <c r="KG190" s="111"/>
      <c r="KJ190" s="111"/>
      <c r="KR190" s="111"/>
      <c r="KS190" s="111"/>
      <c r="KV190" s="111"/>
    </row>
    <row r="191" spans="15:308" x14ac:dyDescent="0.2">
      <c r="O191" s="109"/>
      <c r="P191" s="109"/>
      <c r="X191" s="111"/>
      <c r="Y191" s="111"/>
      <c r="HW191" s="794"/>
      <c r="HX191" s="111"/>
      <c r="IA191" s="111"/>
      <c r="II191" s="111"/>
      <c r="IJ191" s="111"/>
      <c r="IM191" s="111"/>
      <c r="IU191" s="111"/>
      <c r="IV191" s="111"/>
      <c r="IY191" s="111"/>
      <c r="JI191" s="111"/>
      <c r="JJ191" s="111"/>
      <c r="JM191" s="111"/>
      <c r="JU191" s="111"/>
      <c r="JV191" s="111"/>
      <c r="JY191" s="111"/>
      <c r="KF191" s="111"/>
      <c r="KG191" s="111"/>
      <c r="KJ191" s="111"/>
      <c r="KR191" s="111"/>
      <c r="KS191" s="111"/>
      <c r="KV191" s="111"/>
    </row>
    <row r="192" spans="15:308" x14ac:dyDescent="0.2">
      <c r="O192" s="109"/>
      <c r="P192" s="109"/>
      <c r="X192" s="111"/>
      <c r="Y192" s="111"/>
      <c r="HW192" s="794"/>
      <c r="HX192" s="111"/>
      <c r="IA192" s="111"/>
      <c r="II192" s="111"/>
      <c r="IJ192" s="111"/>
      <c r="IM192" s="111"/>
      <c r="IU192" s="111"/>
      <c r="IV192" s="111"/>
      <c r="IY192" s="111"/>
      <c r="JI192" s="111"/>
      <c r="JJ192" s="111"/>
      <c r="JM192" s="111"/>
      <c r="JU192" s="111"/>
      <c r="JV192" s="111"/>
      <c r="JY192" s="111"/>
      <c r="KF192" s="111"/>
      <c r="KG192" s="111"/>
      <c r="KJ192" s="111"/>
      <c r="KR192" s="111"/>
      <c r="KS192" s="111"/>
      <c r="KV192" s="111"/>
    </row>
    <row r="193" spans="15:308" x14ac:dyDescent="0.2">
      <c r="O193" s="109"/>
      <c r="P193" s="109"/>
      <c r="X193" s="111"/>
      <c r="Y193" s="111"/>
      <c r="HW193" s="794"/>
      <c r="HX193" s="111"/>
      <c r="IA193" s="111"/>
      <c r="II193" s="111"/>
      <c r="IJ193" s="111"/>
      <c r="IM193" s="111"/>
      <c r="IU193" s="111"/>
      <c r="IV193" s="111"/>
      <c r="IY193" s="111"/>
      <c r="JI193" s="111"/>
      <c r="JJ193" s="111"/>
      <c r="JM193" s="111"/>
      <c r="JU193" s="111"/>
      <c r="JV193" s="111"/>
      <c r="JY193" s="111"/>
      <c r="KF193" s="111"/>
      <c r="KG193" s="111"/>
      <c r="KJ193" s="111"/>
      <c r="KR193" s="111"/>
      <c r="KS193" s="111"/>
      <c r="KV193" s="111"/>
    </row>
    <row r="194" spans="15:308" x14ac:dyDescent="0.2">
      <c r="O194" s="109"/>
      <c r="P194" s="109"/>
      <c r="X194" s="111"/>
      <c r="Y194" s="111"/>
      <c r="HW194" s="794"/>
      <c r="HX194" s="111"/>
      <c r="IA194" s="111"/>
      <c r="II194" s="111"/>
      <c r="IJ194" s="111"/>
      <c r="IM194" s="111"/>
      <c r="IU194" s="111"/>
      <c r="IV194" s="111"/>
      <c r="IY194" s="111"/>
      <c r="JI194" s="111"/>
      <c r="JJ194" s="111"/>
      <c r="JM194" s="111"/>
      <c r="JU194" s="111"/>
      <c r="JV194" s="111"/>
      <c r="JY194" s="111"/>
      <c r="KF194" s="111"/>
      <c r="KG194" s="111"/>
      <c r="KJ194" s="111"/>
      <c r="KR194" s="111"/>
      <c r="KS194" s="111"/>
      <c r="KV194" s="111"/>
    </row>
    <row r="195" spans="15:308" x14ac:dyDescent="0.2">
      <c r="O195" s="109"/>
      <c r="P195" s="109"/>
      <c r="X195" s="111"/>
      <c r="Y195" s="111"/>
      <c r="HW195" s="794"/>
      <c r="HX195" s="111"/>
      <c r="IA195" s="111"/>
      <c r="II195" s="111"/>
      <c r="IJ195" s="111"/>
      <c r="IM195" s="111"/>
      <c r="IU195" s="111"/>
      <c r="IV195" s="111"/>
      <c r="IY195" s="111"/>
      <c r="JI195" s="111"/>
      <c r="JJ195" s="111"/>
      <c r="JM195" s="111"/>
      <c r="JU195" s="111"/>
      <c r="JV195" s="111"/>
      <c r="JY195" s="111"/>
      <c r="KF195" s="111"/>
      <c r="KG195" s="111"/>
      <c r="KJ195" s="111"/>
      <c r="KR195" s="111"/>
      <c r="KS195" s="111"/>
      <c r="KV195" s="111"/>
    </row>
    <row r="196" spans="15:308" x14ac:dyDescent="0.2">
      <c r="O196" s="109"/>
      <c r="P196" s="109"/>
      <c r="X196" s="111"/>
      <c r="Y196" s="111"/>
      <c r="HW196" s="794"/>
      <c r="HX196" s="111"/>
      <c r="IA196" s="111"/>
      <c r="II196" s="111"/>
      <c r="IJ196" s="111"/>
      <c r="IM196" s="111"/>
      <c r="IU196" s="111"/>
      <c r="IV196" s="111"/>
      <c r="IY196" s="111"/>
      <c r="JI196" s="111"/>
      <c r="JJ196" s="111"/>
      <c r="JM196" s="111"/>
      <c r="JU196" s="111"/>
      <c r="JV196" s="111"/>
      <c r="JY196" s="111"/>
      <c r="KF196" s="111"/>
      <c r="KG196" s="111"/>
      <c r="KJ196" s="111"/>
      <c r="KR196" s="111"/>
      <c r="KS196" s="111"/>
      <c r="KV196" s="111"/>
    </row>
    <row r="197" spans="15:308" x14ac:dyDescent="0.2">
      <c r="O197" s="109"/>
      <c r="P197" s="109"/>
      <c r="X197" s="111"/>
      <c r="Y197" s="111"/>
      <c r="HW197" s="794"/>
      <c r="HX197" s="111"/>
      <c r="IA197" s="111"/>
      <c r="II197" s="111"/>
      <c r="IJ197" s="111"/>
      <c r="IM197" s="111"/>
      <c r="IU197" s="111"/>
      <c r="IV197" s="111"/>
      <c r="IY197" s="111"/>
      <c r="JI197" s="111"/>
      <c r="JJ197" s="111"/>
      <c r="JM197" s="111"/>
      <c r="JU197" s="111"/>
      <c r="JV197" s="111"/>
      <c r="JY197" s="111"/>
      <c r="KF197" s="111"/>
      <c r="KG197" s="111"/>
      <c r="KJ197" s="111"/>
      <c r="KR197" s="111"/>
      <c r="KS197" s="111"/>
      <c r="KV197" s="111"/>
    </row>
    <row r="198" spans="15:308" x14ac:dyDescent="0.2">
      <c r="O198" s="109"/>
      <c r="P198" s="109"/>
      <c r="X198" s="111"/>
      <c r="Y198" s="111"/>
      <c r="HW198" s="794"/>
      <c r="HX198" s="111"/>
      <c r="IA198" s="111"/>
      <c r="II198" s="111"/>
      <c r="IJ198" s="111"/>
      <c r="IM198" s="111"/>
      <c r="IU198" s="111"/>
      <c r="IV198" s="111"/>
      <c r="IY198" s="111"/>
      <c r="JI198" s="111"/>
      <c r="JJ198" s="111"/>
      <c r="JM198" s="111"/>
      <c r="JU198" s="111"/>
      <c r="JV198" s="111"/>
      <c r="JY198" s="111"/>
      <c r="KF198" s="111"/>
      <c r="KG198" s="111"/>
      <c r="KJ198" s="111"/>
      <c r="KR198" s="111"/>
      <c r="KS198" s="111"/>
      <c r="KV198" s="111"/>
    </row>
    <row r="199" spans="15:308" x14ac:dyDescent="0.2">
      <c r="O199" s="109"/>
      <c r="P199" s="109"/>
      <c r="X199" s="111"/>
      <c r="Y199" s="111"/>
      <c r="HW199" s="794"/>
      <c r="HX199" s="111"/>
      <c r="IA199" s="111"/>
      <c r="II199" s="111"/>
      <c r="IJ199" s="111"/>
      <c r="IM199" s="111"/>
      <c r="IU199" s="111"/>
      <c r="IV199" s="111"/>
      <c r="IY199" s="111"/>
      <c r="JI199" s="111"/>
      <c r="JJ199" s="111"/>
      <c r="JM199" s="111"/>
      <c r="JU199" s="111"/>
      <c r="JV199" s="111"/>
      <c r="JY199" s="111"/>
      <c r="KF199" s="111"/>
      <c r="KG199" s="111"/>
      <c r="KJ199" s="111"/>
      <c r="KR199" s="111"/>
      <c r="KS199" s="111"/>
      <c r="KV199" s="111"/>
    </row>
    <row r="200" spans="15:308" x14ac:dyDescent="0.2">
      <c r="O200" s="109"/>
      <c r="P200" s="109"/>
      <c r="X200" s="111"/>
      <c r="Y200" s="111"/>
      <c r="HW200" s="794"/>
      <c r="HX200" s="111"/>
      <c r="IA200" s="111"/>
      <c r="II200" s="111"/>
      <c r="IJ200" s="111"/>
      <c r="IM200" s="111"/>
      <c r="IU200" s="111"/>
      <c r="IV200" s="111"/>
      <c r="IY200" s="111"/>
      <c r="JI200" s="111"/>
      <c r="JJ200" s="111"/>
      <c r="JM200" s="111"/>
      <c r="JU200" s="111"/>
      <c r="JV200" s="111"/>
      <c r="JY200" s="111"/>
      <c r="KF200" s="111"/>
      <c r="KG200" s="111"/>
      <c r="KJ200" s="111"/>
      <c r="KR200" s="111"/>
      <c r="KS200" s="111"/>
      <c r="KV200" s="111"/>
    </row>
    <row r="201" spans="15:308" x14ac:dyDescent="0.2">
      <c r="O201" s="109"/>
      <c r="P201" s="109"/>
      <c r="X201" s="111"/>
      <c r="Y201" s="111"/>
      <c r="HW201" s="794"/>
      <c r="HX201" s="111"/>
      <c r="IA201" s="111"/>
      <c r="II201" s="111"/>
      <c r="IJ201" s="111"/>
      <c r="IM201" s="111"/>
      <c r="IU201" s="111"/>
      <c r="IV201" s="111"/>
      <c r="IY201" s="111"/>
      <c r="JI201" s="111"/>
      <c r="JJ201" s="111"/>
      <c r="JM201" s="111"/>
      <c r="JU201" s="111"/>
      <c r="JV201" s="111"/>
      <c r="JY201" s="111"/>
      <c r="KF201" s="111"/>
      <c r="KG201" s="111"/>
      <c r="KJ201" s="111"/>
      <c r="KR201" s="111"/>
      <c r="KS201" s="111"/>
      <c r="KV201" s="111"/>
    </row>
    <row r="202" spans="15:308" x14ac:dyDescent="0.2">
      <c r="O202" s="109"/>
      <c r="P202" s="109"/>
      <c r="X202" s="111"/>
      <c r="Y202" s="111"/>
      <c r="HW202" s="794"/>
      <c r="HX202" s="111"/>
      <c r="IA202" s="111"/>
      <c r="II202" s="111"/>
      <c r="IJ202" s="111"/>
      <c r="IM202" s="111"/>
      <c r="IU202" s="111"/>
      <c r="IV202" s="111"/>
      <c r="IY202" s="111"/>
      <c r="JI202" s="111"/>
      <c r="JJ202" s="111"/>
      <c r="JM202" s="111"/>
      <c r="JU202" s="111"/>
      <c r="JV202" s="111"/>
      <c r="JY202" s="111"/>
      <c r="KF202" s="111"/>
      <c r="KG202" s="111"/>
      <c r="KJ202" s="111"/>
      <c r="KR202" s="111"/>
      <c r="KS202" s="111"/>
      <c r="KV202" s="111"/>
    </row>
    <row r="203" spans="15:308" x14ac:dyDescent="0.2">
      <c r="O203" s="109"/>
      <c r="P203" s="109"/>
      <c r="X203" s="111"/>
      <c r="Y203" s="111"/>
      <c r="HW203" s="794"/>
      <c r="HX203" s="111"/>
      <c r="IA203" s="111"/>
      <c r="II203" s="111"/>
      <c r="IJ203" s="111"/>
      <c r="IM203" s="111"/>
      <c r="IU203" s="111"/>
      <c r="IV203" s="111"/>
      <c r="IY203" s="111"/>
      <c r="JI203" s="111"/>
      <c r="JJ203" s="111"/>
      <c r="JM203" s="111"/>
      <c r="JU203" s="111"/>
      <c r="JV203" s="111"/>
      <c r="JY203" s="111"/>
      <c r="KF203" s="111"/>
      <c r="KG203" s="111"/>
      <c r="KJ203" s="111"/>
      <c r="KR203" s="111"/>
      <c r="KS203" s="111"/>
      <c r="KV203" s="111"/>
    </row>
    <row r="204" spans="15:308" x14ac:dyDescent="0.2">
      <c r="O204" s="109"/>
      <c r="P204" s="109"/>
      <c r="X204" s="111"/>
      <c r="Y204" s="111"/>
      <c r="HW204" s="794"/>
      <c r="HX204" s="111"/>
      <c r="IA204" s="111"/>
      <c r="II204" s="111"/>
      <c r="IJ204" s="111"/>
      <c r="IM204" s="111"/>
      <c r="IU204" s="111"/>
      <c r="IV204" s="111"/>
      <c r="IY204" s="111"/>
      <c r="JI204" s="111"/>
      <c r="JJ204" s="111"/>
      <c r="JM204" s="111"/>
      <c r="JU204" s="111"/>
      <c r="JV204" s="111"/>
      <c r="JY204" s="111"/>
      <c r="KF204" s="111"/>
      <c r="KG204" s="111"/>
      <c r="KJ204" s="111"/>
      <c r="KR204" s="111"/>
      <c r="KS204" s="111"/>
      <c r="KV204" s="111"/>
    </row>
    <row r="205" spans="15:308" x14ac:dyDescent="0.2">
      <c r="O205" s="109"/>
      <c r="P205" s="109"/>
      <c r="X205" s="111"/>
      <c r="Y205" s="111"/>
      <c r="HW205" s="794"/>
      <c r="HX205" s="111"/>
      <c r="IA205" s="111"/>
      <c r="II205" s="111"/>
      <c r="IJ205" s="111"/>
      <c r="IM205" s="111"/>
      <c r="IU205" s="111"/>
      <c r="IV205" s="111"/>
      <c r="IY205" s="111"/>
      <c r="JI205" s="111"/>
      <c r="JJ205" s="111"/>
      <c r="JM205" s="111"/>
      <c r="JU205" s="111"/>
      <c r="JV205" s="111"/>
      <c r="JY205" s="111"/>
      <c r="KF205" s="111"/>
      <c r="KG205" s="111"/>
      <c r="KJ205" s="111"/>
      <c r="KR205" s="111"/>
      <c r="KS205" s="111"/>
      <c r="KV205" s="111"/>
    </row>
    <row r="206" spans="15:308" x14ac:dyDescent="0.2">
      <c r="O206" s="109"/>
      <c r="P206" s="109"/>
      <c r="X206" s="111"/>
      <c r="Y206" s="111"/>
      <c r="HW206" s="794"/>
      <c r="HX206" s="111"/>
      <c r="IA206" s="111"/>
      <c r="II206" s="111"/>
      <c r="IJ206" s="111"/>
      <c r="IM206" s="111"/>
      <c r="IU206" s="111"/>
      <c r="IV206" s="111"/>
      <c r="IY206" s="111"/>
      <c r="JI206" s="111"/>
      <c r="JJ206" s="111"/>
      <c r="JM206" s="111"/>
      <c r="JU206" s="111"/>
      <c r="JV206" s="111"/>
      <c r="JY206" s="111"/>
      <c r="KF206" s="111"/>
      <c r="KG206" s="111"/>
      <c r="KJ206" s="111"/>
      <c r="KR206" s="111"/>
      <c r="KS206" s="111"/>
      <c r="KV206" s="111"/>
    </row>
    <row r="207" spans="15:308" x14ac:dyDescent="0.2">
      <c r="O207" s="109"/>
      <c r="P207" s="109"/>
      <c r="X207" s="111"/>
      <c r="Y207" s="111"/>
      <c r="HW207" s="794"/>
      <c r="HX207" s="111"/>
      <c r="IA207" s="111"/>
      <c r="II207" s="111"/>
      <c r="IJ207" s="111"/>
      <c r="IM207" s="111"/>
      <c r="IU207" s="111"/>
      <c r="IV207" s="111"/>
      <c r="IY207" s="111"/>
      <c r="JI207" s="111"/>
      <c r="JJ207" s="111"/>
      <c r="JM207" s="111"/>
      <c r="JU207" s="111"/>
      <c r="JV207" s="111"/>
      <c r="JY207" s="111"/>
      <c r="KF207" s="111"/>
      <c r="KG207" s="111"/>
      <c r="KJ207" s="111"/>
      <c r="KR207" s="111"/>
      <c r="KS207" s="111"/>
      <c r="KV207" s="111"/>
    </row>
    <row r="208" spans="15:308" x14ac:dyDescent="0.2">
      <c r="O208" s="109"/>
      <c r="P208" s="109"/>
      <c r="X208" s="111"/>
      <c r="Y208" s="111"/>
      <c r="HW208" s="794"/>
      <c r="HX208" s="111"/>
      <c r="IA208" s="111"/>
      <c r="II208" s="111"/>
      <c r="IJ208" s="111"/>
      <c r="IM208" s="111"/>
      <c r="IU208" s="111"/>
      <c r="IV208" s="111"/>
      <c r="IY208" s="111"/>
      <c r="JI208" s="111"/>
      <c r="JJ208" s="111"/>
      <c r="JM208" s="111"/>
      <c r="JU208" s="111"/>
      <c r="JV208" s="111"/>
      <c r="JY208" s="111"/>
      <c r="KF208" s="111"/>
      <c r="KG208" s="111"/>
      <c r="KJ208" s="111"/>
      <c r="KR208" s="111"/>
      <c r="KS208" s="111"/>
      <c r="KV208" s="111"/>
    </row>
    <row r="209" spans="15:308" x14ac:dyDescent="0.2">
      <c r="O209" s="109"/>
      <c r="P209" s="109"/>
      <c r="X209" s="111"/>
      <c r="Y209" s="111"/>
      <c r="HW209" s="794"/>
      <c r="HX209" s="111"/>
      <c r="IA209" s="111"/>
      <c r="II209" s="111"/>
      <c r="IJ209" s="111"/>
      <c r="IM209" s="111"/>
      <c r="IU209" s="111"/>
      <c r="IV209" s="111"/>
      <c r="IY209" s="111"/>
      <c r="JI209" s="111"/>
      <c r="JJ209" s="111"/>
      <c r="JM209" s="111"/>
      <c r="JU209" s="111"/>
      <c r="JV209" s="111"/>
      <c r="JY209" s="111"/>
      <c r="KF209" s="111"/>
      <c r="KG209" s="111"/>
      <c r="KJ209" s="111"/>
      <c r="KR209" s="111"/>
      <c r="KS209" s="111"/>
      <c r="KV209" s="111"/>
    </row>
    <row r="210" spans="15:308" x14ac:dyDescent="0.2">
      <c r="O210" s="109"/>
      <c r="P210" s="109"/>
      <c r="X210" s="111"/>
      <c r="Y210" s="111"/>
      <c r="HW210" s="794"/>
      <c r="HX210" s="111"/>
      <c r="IA210" s="111"/>
      <c r="II210" s="111"/>
      <c r="IJ210" s="111"/>
      <c r="IM210" s="111"/>
      <c r="IU210" s="111"/>
      <c r="IV210" s="111"/>
      <c r="IY210" s="111"/>
      <c r="JI210" s="111"/>
      <c r="JJ210" s="111"/>
      <c r="JM210" s="111"/>
      <c r="JU210" s="111"/>
      <c r="JV210" s="111"/>
      <c r="JY210" s="111"/>
      <c r="KF210" s="111"/>
      <c r="KG210" s="111"/>
      <c r="KJ210" s="111"/>
      <c r="KR210" s="111"/>
      <c r="KS210" s="111"/>
      <c r="KV210" s="111"/>
    </row>
    <row r="211" spans="15:308" x14ac:dyDescent="0.2">
      <c r="O211" s="109"/>
      <c r="P211" s="109"/>
      <c r="X211" s="111"/>
      <c r="Y211" s="111"/>
      <c r="HW211" s="794"/>
      <c r="HX211" s="111"/>
      <c r="IA211" s="111"/>
      <c r="II211" s="111"/>
      <c r="IJ211" s="111"/>
      <c r="IM211" s="111"/>
      <c r="IU211" s="111"/>
      <c r="IV211" s="111"/>
      <c r="IY211" s="111"/>
      <c r="JI211" s="111"/>
      <c r="JJ211" s="111"/>
      <c r="JM211" s="111"/>
      <c r="JU211" s="111"/>
      <c r="JV211" s="111"/>
      <c r="JY211" s="111"/>
      <c r="KF211" s="111"/>
      <c r="KG211" s="111"/>
      <c r="KJ211" s="111"/>
      <c r="KR211" s="111"/>
      <c r="KS211" s="111"/>
      <c r="KV211" s="111"/>
    </row>
    <row r="212" spans="15:308" x14ac:dyDescent="0.2">
      <c r="O212" s="109"/>
      <c r="P212" s="109"/>
      <c r="X212" s="111"/>
      <c r="Y212" s="111"/>
      <c r="HW212" s="794"/>
      <c r="HX212" s="111"/>
      <c r="IA212" s="111"/>
      <c r="II212" s="111"/>
      <c r="IJ212" s="111"/>
      <c r="IM212" s="111"/>
      <c r="IU212" s="111"/>
      <c r="IV212" s="111"/>
      <c r="IY212" s="111"/>
      <c r="JI212" s="111"/>
      <c r="JJ212" s="111"/>
      <c r="JM212" s="111"/>
      <c r="JU212" s="111"/>
      <c r="JV212" s="111"/>
      <c r="JY212" s="111"/>
      <c r="KF212" s="111"/>
      <c r="KG212" s="111"/>
      <c r="KJ212" s="111"/>
      <c r="KR212" s="111"/>
      <c r="KS212" s="111"/>
      <c r="KV212" s="111"/>
    </row>
    <row r="213" spans="15:308" x14ac:dyDescent="0.2">
      <c r="O213" s="109"/>
      <c r="P213" s="109"/>
      <c r="X213" s="111"/>
      <c r="Y213" s="111"/>
      <c r="HW213" s="794"/>
      <c r="HX213" s="111"/>
      <c r="IA213" s="111"/>
      <c r="II213" s="111"/>
      <c r="IJ213" s="111"/>
      <c r="IM213" s="111"/>
      <c r="IU213" s="111"/>
      <c r="IV213" s="111"/>
      <c r="IY213" s="111"/>
      <c r="JI213" s="111"/>
      <c r="JJ213" s="111"/>
      <c r="JM213" s="111"/>
      <c r="JU213" s="111"/>
      <c r="JV213" s="111"/>
      <c r="JY213" s="111"/>
      <c r="KF213" s="111"/>
      <c r="KG213" s="111"/>
      <c r="KJ213" s="111"/>
      <c r="KR213" s="111"/>
      <c r="KS213" s="111"/>
      <c r="KV213" s="111"/>
    </row>
    <row r="214" spans="15:308" x14ac:dyDescent="0.2">
      <c r="O214" s="109"/>
      <c r="P214" s="109"/>
      <c r="X214" s="111"/>
      <c r="Y214" s="111"/>
      <c r="HW214" s="794"/>
      <c r="HX214" s="111"/>
      <c r="IA214" s="111"/>
      <c r="II214" s="111"/>
      <c r="IJ214" s="111"/>
      <c r="IM214" s="111"/>
      <c r="IU214" s="111"/>
      <c r="IV214" s="111"/>
      <c r="IY214" s="111"/>
      <c r="JI214" s="111"/>
      <c r="JJ214" s="111"/>
      <c r="JM214" s="111"/>
      <c r="JU214" s="111"/>
      <c r="JV214" s="111"/>
      <c r="JY214" s="111"/>
      <c r="KF214" s="111"/>
      <c r="KG214" s="111"/>
      <c r="KJ214" s="111"/>
      <c r="KR214" s="111"/>
      <c r="KS214" s="111"/>
      <c r="KV214" s="111"/>
    </row>
    <row r="215" spans="15:308" x14ac:dyDescent="0.2">
      <c r="O215" s="109"/>
      <c r="P215" s="109"/>
      <c r="X215" s="111"/>
      <c r="Y215" s="111"/>
      <c r="HW215" s="794"/>
      <c r="HX215" s="111"/>
      <c r="IA215" s="111"/>
      <c r="II215" s="111"/>
      <c r="IJ215" s="111"/>
      <c r="IM215" s="111"/>
      <c r="IU215" s="111"/>
      <c r="IV215" s="111"/>
      <c r="IY215" s="111"/>
      <c r="JI215" s="111"/>
      <c r="JJ215" s="111"/>
      <c r="JM215" s="111"/>
      <c r="JU215" s="111"/>
      <c r="JV215" s="111"/>
      <c r="JY215" s="111"/>
      <c r="KF215" s="111"/>
      <c r="KG215" s="111"/>
      <c r="KJ215" s="111"/>
      <c r="KR215" s="111"/>
      <c r="KS215" s="111"/>
      <c r="KV215" s="111"/>
    </row>
    <row r="216" spans="15:308" x14ac:dyDescent="0.2">
      <c r="O216" s="109"/>
      <c r="P216" s="109"/>
      <c r="X216" s="111"/>
      <c r="Y216" s="111"/>
      <c r="HW216" s="794"/>
      <c r="HX216" s="111"/>
      <c r="IA216" s="111"/>
      <c r="II216" s="111"/>
      <c r="IJ216" s="111"/>
      <c r="IM216" s="111"/>
      <c r="IU216" s="111"/>
      <c r="IV216" s="111"/>
      <c r="IY216" s="111"/>
      <c r="JI216" s="111"/>
      <c r="JJ216" s="111"/>
      <c r="JM216" s="111"/>
      <c r="JU216" s="111"/>
      <c r="JV216" s="111"/>
      <c r="JY216" s="111"/>
      <c r="KF216" s="111"/>
      <c r="KG216" s="111"/>
      <c r="KJ216" s="111"/>
      <c r="KR216" s="111"/>
      <c r="KS216" s="111"/>
      <c r="KV216" s="111"/>
    </row>
    <row r="217" spans="15:308" x14ac:dyDescent="0.2">
      <c r="O217" s="109"/>
      <c r="P217" s="109"/>
      <c r="X217" s="111"/>
      <c r="Y217" s="111"/>
      <c r="HW217" s="794"/>
      <c r="HX217" s="111"/>
      <c r="IA217" s="111"/>
      <c r="II217" s="111"/>
      <c r="IJ217" s="111"/>
      <c r="IM217" s="111"/>
      <c r="IU217" s="111"/>
      <c r="IV217" s="111"/>
      <c r="IY217" s="111"/>
      <c r="JI217" s="111"/>
      <c r="JJ217" s="111"/>
      <c r="JM217" s="111"/>
      <c r="JU217" s="111"/>
      <c r="JV217" s="111"/>
      <c r="JY217" s="111"/>
      <c r="KF217" s="111"/>
      <c r="KG217" s="111"/>
      <c r="KJ217" s="111"/>
      <c r="KR217" s="111"/>
      <c r="KS217" s="111"/>
      <c r="KV217" s="111"/>
    </row>
    <row r="218" spans="15:308" x14ac:dyDescent="0.2">
      <c r="O218" s="109"/>
      <c r="P218" s="109"/>
      <c r="X218" s="111"/>
      <c r="Y218" s="111"/>
      <c r="HW218" s="794"/>
      <c r="HX218" s="111"/>
      <c r="IA218" s="111"/>
      <c r="II218" s="111"/>
      <c r="IJ218" s="111"/>
      <c r="IM218" s="111"/>
      <c r="IU218" s="111"/>
      <c r="IV218" s="111"/>
      <c r="IY218" s="111"/>
      <c r="JI218" s="111"/>
      <c r="JJ218" s="111"/>
      <c r="JM218" s="111"/>
      <c r="JU218" s="111"/>
      <c r="JV218" s="111"/>
      <c r="JY218" s="111"/>
      <c r="KF218" s="111"/>
      <c r="KG218" s="111"/>
      <c r="KJ218" s="111"/>
      <c r="KR218" s="111"/>
      <c r="KS218" s="111"/>
      <c r="KV218" s="111"/>
    </row>
    <row r="219" spans="15:308" x14ac:dyDescent="0.2">
      <c r="O219" s="109"/>
      <c r="P219" s="109"/>
      <c r="X219" s="111"/>
      <c r="Y219" s="111"/>
      <c r="HW219" s="794"/>
      <c r="HX219" s="111"/>
      <c r="IA219" s="111"/>
      <c r="II219" s="111"/>
      <c r="IJ219" s="111"/>
      <c r="IM219" s="111"/>
      <c r="IU219" s="111"/>
      <c r="IV219" s="111"/>
      <c r="IY219" s="111"/>
      <c r="JI219" s="111"/>
      <c r="JJ219" s="111"/>
      <c r="JM219" s="111"/>
      <c r="JU219" s="111"/>
      <c r="JV219" s="111"/>
      <c r="JY219" s="111"/>
      <c r="KF219" s="111"/>
      <c r="KG219" s="111"/>
      <c r="KJ219" s="111"/>
      <c r="KR219" s="111"/>
      <c r="KS219" s="111"/>
      <c r="KV219" s="111"/>
    </row>
    <row r="220" spans="15:308" x14ac:dyDescent="0.2">
      <c r="O220" s="109"/>
      <c r="P220" s="109"/>
      <c r="X220" s="111"/>
      <c r="Y220" s="111"/>
      <c r="HW220" s="794"/>
      <c r="HX220" s="111"/>
      <c r="IA220" s="111"/>
      <c r="II220" s="111"/>
      <c r="IJ220" s="111"/>
      <c r="IM220" s="111"/>
      <c r="IU220" s="111"/>
      <c r="IV220" s="111"/>
      <c r="IY220" s="111"/>
      <c r="JI220" s="111"/>
      <c r="JJ220" s="111"/>
      <c r="JM220" s="111"/>
      <c r="JU220" s="111"/>
      <c r="JV220" s="111"/>
      <c r="JY220" s="111"/>
      <c r="KF220" s="111"/>
      <c r="KG220" s="111"/>
      <c r="KJ220" s="111"/>
      <c r="KR220" s="111"/>
      <c r="KS220" s="111"/>
      <c r="KV220" s="111"/>
    </row>
    <row r="221" spans="15:308" x14ac:dyDescent="0.2">
      <c r="O221" s="109"/>
      <c r="P221" s="109"/>
      <c r="X221" s="111"/>
      <c r="Y221" s="111"/>
      <c r="HW221" s="794"/>
      <c r="HX221" s="111"/>
      <c r="IA221" s="111"/>
      <c r="II221" s="111"/>
      <c r="IJ221" s="111"/>
      <c r="IM221" s="111"/>
      <c r="IU221" s="111"/>
      <c r="IV221" s="111"/>
      <c r="IY221" s="111"/>
      <c r="JI221" s="111"/>
      <c r="JJ221" s="111"/>
      <c r="JM221" s="111"/>
      <c r="JU221" s="111"/>
      <c r="JV221" s="111"/>
      <c r="JY221" s="111"/>
      <c r="KF221" s="111"/>
      <c r="KG221" s="111"/>
      <c r="KJ221" s="111"/>
      <c r="KR221" s="111"/>
      <c r="KS221" s="111"/>
      <c r="KV221" s="111"/>
    </row>
    <row r="222" spans="15:308" x14ac:dyDescent="0.2">
      <c r="O222" s="109"/>
      <c r="P222" s="109"/>
      <c r="X222" s="111"/>
      <c r="Y222" s="111"/>
      <c r="HW222" s="794"/>
      <c r="HX222" s="111"/>
      <c r="IA222" s="111"/>
      <c r="II222" s="111"/>
      <c r="IJ222" s="111"/>
      <c r="IM222" s="111"/>
      <c r="IU222" s="111"/>
      <c r="IV222" s="111"/>
      <c r="IY222" s="111"/>
      <c r="JI222" s="111"/>
      <c r="JJ222" s="111"/>
      <c r="JM222" s="111"/>
      <c r="JU222" s="111"/>
      <c r="JV222" s="111"/>
      <c r="JY222" s="111"/>
      <c r="KF222" s="111"/>
      <c r="KG222" s="111"/>
      <c r="KJ222" s="111"/>
      <c r="KR222" s="111"/>
      <c r="KS222" s="111"/>
      <c r="KV222" s="111"/>
    </row>
    <row r="223" spans="15:308" x14ac:dyDescent="0.2">
      <c r="O223" s="109"/>
      <c r="P223" s="109"/>
      <c r="X223" s="111"/>
      <c r="Y223" s="111"/>
      <c r="HW223" s="794"/>
      <c r="HX223" s="111"/>
      <c r="IA223" s="111"/>
      <c r="II223" s="111"/>
      <c r="IJ223" s="111"/>
      <c r="IM223" s="111"/>
      <c r="IU223" s="111"/>
      <c r="IV223" s="111"/>
      <c r="IY223" s="111"/>
      <c r="JI223" s="111"/>
      <c r="JJ223" s="111"/>
      <c r="JM223" s="111"/>
      <c r="JU223" s="111"/>
      <c r="JV223" s="111"/>
      <c r="JY223" s="111"/>
      <c r="KF223" s="111"/>
      <c r="KG223" s="111"/>
      <c r="KJ223" s="111"/>
      <c r="KR223" s="111"/>
      <c r="KS223" s="111"/>
      <c r="KV223" s="111"/>
    </row>
    <row r="224" spans="15:308" x14ac:dyDescent="0.2">
      <c r="O224" s="109"/>
      <c r="P224" s="109"/>
      <c r="X224" s="111"/>
      <c r="Y224" s="111"/>
      <c r="HW224" s="794"/>
      <c r="HX224" s="111"/>
      <c r="IA224" s="111"/>
      <c r="II224" s="111"/>
      <c r="IJ224" s="111"/>
      <c r="IM224" s="111"/>
      <c r="IU224" s="111"/>
      <c r="IV224" s="111"/>
      <c r="IY224" s="111"/>
      <c r="JI224" s="111"/>
      <c r="JJ224" s="111"/>
      <c r="JM224" s="111"/>
      <c r="JU224" s="111"/>
      <c r="JV224" s="111"/>
      <c r="JY224" s="111"/>
      <c r="KF224" s="111"/>
      <c r="KG224" s="111"/>
      <c r="KJ224" s="111"/>
      <c r="KR224" s="111"/>
      <c r="KS224" s="111"/>
      <c r="KV224" s="111"/>
    </row>
    <row r="225" spans="15:309" x14ac:dyDescent="0.2">
      <c r="O225" s="109"/>
      <c r="P225" s="109"/>
      <c r="X225" s="111"/>
      <c r="Y225" s="111"/>
      <c r="HW225" s="794"/>
      <c r="HX225" s="111"/>
      <c r="IA225" s="111"/>
      <c r="II225" s="111"/>
      <c r="IJ225" s="111"/>
      <c r="IM225" s="111"/>
      <c r="IU225" s="111"/>
      <c r="IV225" s="111"/>
      <c r="IY225" s="111"/>
      <c r="JI225" s="111"/>
      <c r="JJ225" s="111"/>
      <c r="JM225" s="111"/>
      <c r="JU225" s="111"/>
      <c r="JV225" s="111"/>
      <c r="JY225" s="111"/>
      <c r="KF225" s="111"/>
      <c r="KG225" s="111"/>
      <c r="KJ225" s="111"/>
      <c r="KR225" s="111"/>
      <c r="KS225" s="111"/>
      <c r="KV225" s="111"/>
    </row>
    <row r="226" spans="15:309" x14ac:dyDescent="0.2">
      <c r="O226" s="109"/>
      <c r="P226" s="109"/>
      <c r="X226" s="111"/>
      <c r="Y226" s="111"/>
      <c r="HW226" s="794"/>
      <c r="HX226" s="111"/>
      <c r="IA226" s="111"/>
      <c r="II226" s="111"/>
      <c r="IJ226" s="111"/>
      <c r="IM226" s="111"/>
      <c r="IU226" s="111"/>
      <c r="IV226" s="111"/>
      <c r="IY226" s="111"/>
      <c r="JI226" s="111"/>
      <c r="JJ226" s="111"/>
      <c r="JM226" s="111"/>
      <c r="JU226" s="111"/>
      <c r="JV226" s="111"/>
      <c r="JY226" s="111"/>
      <c r="KF226" s="111"/>
      <c r="KG226" s="111"/>
      <c r="KJ226" s="111"/>
      <c r="KR226" s="111"/>
      <c r="KS226" s="111"/>
      <c r="KV226" s="111"/>
    </row>
    <row r="227" spans="15:309" x14ac:dyDescent="0.2">
      <c r="O227" s="109"/>
      <c r="P227" s="109"/>
      <c r="X227" s="111"/>
      <c r="Y227" s="111"/>
      <c r="HW227" s="794"/>
      <c r="HX227" s="111"/>
      <c r="IA227" s="111"/>
      <c r="II227" s="111"/>
      <c r="IJ227" s="111"/>
      <c r="IM227" s="111"/>
      <c r="IU227" s="111"/>
      <c r="IV227" s="111"/>
      <c r="IY227" s="111"/>
      <c r="JI227" s="111"/>
      <c r="JJ227" s="111"/>
      <c r="JM227" s="111"/>
      <c r="JU227" s="111"/>
      <c r="JV227" s="111"/>
      <c r="JY227" s="111"/>
      <c r="KF227" s="111"/>
      <c r="KG227" s="111"/>
      <c r="KJ227" s="111"/>
      <c r="KR227" s="111"/>
      <c r="KS227" s="111"/>
      <c r="KV227" s="111"/>
    </row>
    <row r="228" spans="15:309" x14ac:dyDescent="0.2">
      <c r="O228" s="109"/>
      <c r="P228" s="109"/>
      <c r="X228" s="111"/>
      <c r="Y228" s="111"/>
      <c r="HW228" s="794"/>
      <c r="HX228" s="111"/>
      <c r="IA228" s="111"/>
      <c r="II228" s="111"/>
      <c r="IJ228" s="111"/>
      <c r="IM228" s="111"/>
      <c r="IU228" s="111"/>
      <c r="IV228" s="111"/>
      <c r="IY228" s="111"/>
      <c r="JI228" s="111"/>
      <c r="JJ228" s="111"/>
      <c r="JM228" s="111"/>
      <c r="JU228" s="111"/>
      <c r="JV228" s="111"/>
      <c r="JY228" s="111"/>
      <c r="KF228" s="111"/>
      <c r="KG228" s="111"/>
      <c r="KJ228" s="111"/>
      <c r="KR228" s="111"/>
      <c r="KS228" s="111"/>
      <c r="KV228" s="111"/>
    </row>
    <row r="229" spans="15:309" x14ac:dyDescent="0.2">
      <c r="O229" s="109"/>
      <c r="P229" s="109"/>
      <c r="X229" s="111"/>
      <c r="Y229" s="111"/>
      <c r="HW229" s="794"/>
      <c r="HX229" s="111"/>
      <c r="IA229" s="111"/>
      <c r="II229" s="111"/>
      <c r="IJ229" s="111"/>
      <c r="IM229" s="111"/>
      <c r="IU229" s="111"/>
      <c r="IV229" s="111"/>
      <c r="IY229" s="111"/>
      <c r="JI229" s="111"/>
      <c r="JJ229" s="111"/>
      <c r="JM229" s="111"/>
      <c r="JU229" s="111"/>
      <c r="JV229" s="111"/>
      <c r="JY229" s="111"/>
      <c r="KF229" s="111"/>
      <c r="KG229" s="111"/>
      <c r="KJ229" s="111"/>
      <c r="KR229" s="111"/>
      <c r="KS229" s="111"/>
      <c r="KV229" s="111"/>
    </row>
    <row r="230" spans="15:309" x14ac:dyDescent="0.2">
      <c r="O230" s="109"/>
      <c r="P230" s="109"/>
      <c r="X230" s="111"/>
      <c r="Y230" s="111"/>
      <c r="HW230" s="794"/>
      <c r="HX230" s="111"/>
      <c r="IA230" s="111"/>
      <c r="II230" s="111"/>
      <c r="IJ230" s="111"/>
      <c r="IM230" s="111"/>
      <c r="IU230" s="111"/>
      <c r="IV230" s="111"/>
      <c r="IY230" s="111"/>
      <c r="JI230" s="111"/>
      <c r="JJ230" s="111"/>
      <c r="JM230" s="111"/>
      <c r="JU230" s="111"/>
      <c r="JV230" s="111"/>
      <c r="JY230" s="111"/>
      <c r="KF230" s="111"/>
      <c r="KG230" s="111"/>
      <c r="KJ230" s="111"/>
      <c r="KR230" s="111"/>
      <c r="KS230" s="111"/>
      <c r="KV230" s="111"/>
    </row>
    <row r="231" spans="15:309" x14ac:dyDescent="0.2">
      <c r="O231" s="109"/>
      <c r="P231" s="109"/>
      <c r="X231" s="111"/>
      <c r="Y231" s="111"/>
      <c r="HW231" s="794"/>
      <c r="HX231" s="111"/>
      <c r="IA231" s="111"/>
      <c r="II231" s="111"/>
      <c r="IJ231" s="111"/>
      <c r="IM231" s="111"/>
      <c r="IU231" s="111"/>
      <c r="IV231" s="111"/>
      <c r="IY231" s="111"/>
      <c r="JI231" s="111"/>
      <c r="JJ231" s="111"/>
      <c r="JM231" s="111"/>
      <c r="JU231" s="111"/>
      <c r="JV231" s="111"/>
      <c r="JY231" s="111"/>
      <c r="KF231" s="111"/>
      <c r="KG231" s="111"/>
      <c r="KJ231" s="111"/>
      <c r="KR231" s="111"/>
      <c r="KS231" s="111"/>
      <c r="KV231" s="111"/>
    </row>
    <row r="232" spans="15:309" x14ac:dyDescent="0.2">
      <c r="O232" s="109"/>
      <c r="P232" s="109"/>
      <c r="X232" s="111"/>
      <c r="Y232" s="111"/>
      <c r="HW232" s="794"/>
      <c r="HX232" s="111"/>
      <c r="IA232" s="111"/>
      <c r="II232" s="111"/>
      <c r="IJ232" s="111"/>
      <c r="IM232" s="111"/>
      <c r="IU232" s="111"/>
      <c r="IV232" s="111"/>
      <c r="IY232" s="111"/>
      <c r="JI232" s="111"/>
      <c r="JJ232" s="111"/>
      <c r="JM232" s="111"/>
      <c r="JU232" s="111"/>
      <c r="JV232" s="111"/>
      <c r="JY232" s="111"/>
      <c r="KF232" s="111"/>
      <c r="KG232" s="111"/>
      <c r="KJ232" s="111"/>
      <c r="KR232" s="111"/>
      <c r="KS232" s="111"/>
      <c r="KV232" s="111"/>
    </row>
    <row r="233" spans="15:309" x14ac:dyDescent="0.2">
      <c r="O233" s="109"/>
      <c r="P233" s="109"/>
      <c r="X233" s="111"/>
      <c r="Y233" s="111"/>
      <c r="HW233" s="794"/>
      <c r="HX233" s="111"/>
      <c r="IA233" s="111"/>
      <c r="II233" s="111"/>
      <c r="IJ233" s="111"/>
      <c r="IM233" s="111"/>
      <c r="IU233" s="111"/>
      <c r="IV233" s="111"/>
      <c r="IY233" s="111"/>
      <c r="JI233" s="111"/>
      <c r="JJ233" s="111"/>
      <c r="JM233" s="111"/>
      <c r="JU233" s="111"/>
      <c r="JV233" s="111"/>
      <c r="JY233" s="111"/>
      <c r="KF233" s="111"/>
      <c r="KG233" s="111"/>
      <c r="KJ233" s="111"/>
      <c r="KR233" s="111"/>
      <c r="KS233" s="111"/>
      <c r="KV233" s="111"/>
    </row>
    <row r="234" spans="15:309" x14ac:dyDescent="0.2">
      <c r="O234" s="109"/>
      <c r="P234" s="109"/>
      <c r="X234" s="111"/>
      <c r="Y234" s="111"/>
      <c r="HW234" s="794"/>
      <c r="HX234" s="111"/>
      <c r="IA234" s="111"/>
      <c r="II234" s="111"/>
      <c r="IJ234" s="111"/>
      <c r="IM234" s="111"/>
      <c r="IU234" s="111"/>
      <c r="IV234" s="111"/>
      <c r="IY234" s="111"/>
      <c r="JI234" s="111"/>
      <c r="JJ234" s="111"/>
      <c r="JM234" s="111"/>
      <c r="JU234" s="111"/>
      <c r="JV234" s="111"/>
      <c r="JY234" s="111"/>
      <c r="KF234" s="111"/>
      <c r="KG234" s="111"/>
      <c r="KJ234" s="111"/>
      <c r="KR234" s="111"/>
      <c r="KS234" s="111"/>
      <c r="KV234" s="111"/>
    </row>
    <row r="235" spans="15:309" x14ac:dyDescent="0.2">
      <c r="O235" s="109"/>
      <c r="P235" s="109"/>
      <c r="X235" s="111"/>
      <c r="Y235" s="111"/>
      <c r="HW235" s="794"/>
      <c r="HX235" s="111"/>
      <c r="IA235" s="111"/>
      <c r="II235" s="111"/>
      <c r="IJ235" s="111"/>
      <c r="IM235" s="111"/>
      <c r="IU235" s="111"/>
      <c r="IV235" s="111"/>
      <c r="IY235" s="111"/>
      <c r="JI235" s="111"/>
      <c r="JJ235" s="111"/>
      <c r="JM235" s="111"/>
      <c r="JU235" s="111"/>
      <c r="JV235" s="111"/>
      <c r="JY235" s="111"/>
      <c r="KF235" s="111"/>
      <c r="KG235" s="111"/>
      <c r="KJ235" s="111"/>
      <c r="KR235" s="111"/>
      <c r="KS235" s="111"/>
      <c r="KV235" s="111"/>
    </row>
    <row r="236" spans="15:309" x14ac:dyDescent="0.2">
      <c r="O236" s="109"/>
      <c r="P236" s="109"/>
      <c r="X236" s="111"/>
      <c r="Y236" s="111"/>
      <c r="HW236" s="794"/>
      <c r="HX236" s="111"/>
      <c r="IA236" s="111"/>
      <c r="II236" s="111"/>
      <c r="IJ236" s="111"/>
      <c r="IM236" s="111"/>
      <c r="IU236" s="111"/>
      <c r="IV236" s="111"/>
      <c r="IY236" s="111"/>
      <c r="JI236" s="111"/>
      <c r="JJ236" s="111"/>
      <c r="JM236" s="111"/>
      <c r="JU236" s="111"/>
      <c r="JV236" s="111"/>
      <c r="JY236" s="111"/>
      <c r="KF236" s="111"/>
      <c r="KG236" s="111"/>
      <c r="KJ236" s="111"/>
      <c r="KR236" s="111"/>
      <c r="KS236" s="111"/>
      <c r="KV236" s="111"/>
    </row>
    <row r="237" spans="15:309" x14ac:dyDescent="0.2">
      <c r="O237" s="109"/>
      <c r="P237" s="109"/>
      <c r="X237" s="111"/>
      <c r="Y237" s="111"/>
      <c r="HW237" s="794"/>
      <c r="HX237" s="111"/>
      <c r="IA237" s="111"/>
      <c r="II237" s="111"/>
      <c r="IJ237" s="111"/>
      <c r="IM237" s="111"/>
      <c r="IU237" s="111"/>
      <c r="IV237" s="111"/>
      <c r="IY237" s="111"/>
      <c r="JI237" s="111"/>
      <c r="JJ237" s="111"/>
      <c r="JM237" s="111"/>
      <c r="JU237" s="111"/>
      <c r="JV237" s="111"/>
      <c r="JY237" s="111"/>
      <c r="KF237" s="111"/>
      <c r="KG237" s="111"/>
      <c r="KJ237" s="111"/>
      <c r="KR237" s="111"/>
      <c r="KS237" s="111"/>
      <c r="KV237" s="111"/>
    </row>
    <row r="238" spans="15:309" x14ac:dyDescent="0.2">
      <c r="O238" s="109"/>
      <c r="P238" s="109"/>
      <c r="X238" s="111"/>
      <c r="Y238" s="111"/>
      <c r="HW238" s="794"/>
      <c r="HX238" s="111"/>
      <c r="IA238" s="171"/>
      <c r="IB238" s="171"/>
      <c r="II238" s="111"/>
      <c r="IJ238" s="111"/>
      <c r="IM238" s="171"/>
      <c r="IN238" s="775"/>
      <c r="IU238" s="111"/>
      <c r="IV238" s="111"/>
      <c r="IY238" s="171"/>
      <c r="IZ238" s="775"/>
      <c r="JI238" s="111"/>
      <c r="JJ238" s="111"/>
      <c r="JM238" s="171"/>
      <c r="JN238" s="775"/>
      <c r="JU238" s="111"/>
      <c r="JV238" s="111"/>
      <c r="JY238" s="171"/>
      <c r="JZ238" s="775"/>
      <c r="KF238" s="111"/>
      <c r="KG238" s="111"/>
      <c r="KJ238" s="171"/>
      <c r="KK238" s="775"/>
      <c r="KR238" s="111"/>
      <c r="KS238" s="111"/>
      <c r="KV238" s="171"/>
      <c r="KW238" s="1610"/>
    </row>
    <row r="239" spans="15:309" x14ac:dyDescent="0.2">
      <c r="O239" s="109"/>
      <c r="P239" s="109"/>
      <c r="X239" s="111"/>
      <c r="Y239" s="111"/>
      <c r="HW239" s="794"/>
      <c r="HX239" s="111"/>
      <c r="IA239" s="171"/>
      <c r="IB239" s="171"/>
      <c r="II239" s="111"/>
      <c r="IJ239" s="111"/>
      <c r="IM239" s="171"/>
      <c r="IN239" s="775"/>
      <c r="IU239" s="111"/>
      <c r="IV239" s="111"/>
      <c r="IY239" s="171"/>
      <c r="IZ239" s="775"/>
      <c r="JI239" s="111"/>
      <c r="JJ239" s="111"/>
      <c r="JM239" s="171"/>
      <c r="JN239" s="775"/>
      <c r="JU239" s="111"/>
      <c r="JV239" s="111"/>
      <c r="JY239" s="171"/>
      <c r="JZ239" s="775"/>
      <c r="KF239" s="111"/>
      <c r="KG239" s="111"/>
      <c r="KJ239" s="171"/>
      <c r="KK239" s="775"/>
      <c r="KR239" s="111"/>
      <c r="KS239" s="111"/>
      <c r="KV239" s="171"/>
      <c r="KW239" s="1610"/>
    </row>
    <row r="240" spans="15:309" x14ac:dyDescent="0.2">
      <c r="O240" s="109"/>
      <c r="P240" s="109"/>
      <c r="X240" s="111"/>
      <c r="Y240" s="111"/>
      <c r="HW240" s="794"/>
      <c r="HX240" s="111"/>
      <c r="IA240" s="171"/>
      <c r="IB240" s="171"/>
      <c r="II240" s="111"/>
      <c r="IJ240" s="111"/>
      <c r="IM240" s="171"/>
      <c r="IN240" s="775"/>
      <c r="IU240" s="111"/>
      <c r="IV240" s="111"/>
      <c r="IY240" s="171"/>
      <c r="IZ240" s="775"/>
      <c r="JI240" s="111"/>
      <c r="JJ240" s="111"/>
      <c r="JM240" s="171"/>
      <c r="JN240" s="775"/>
      <c r="JU240" s="111"/>
      <c r="JV240" s="111"/>
      <c r="JY240" s="171"/>
      <c r="JZ240" s="775"/>
      <c r="KF240" s="111"/>
      <c r="KG240" s="111"/>
      <c r="KJ240" s="171"/>
      <c r="KK240" s="775"/>
      <c r="KR240" s="111"/>
      <c r="KS240" s="111"/>
      <c r="KV240" s="171"/>
      <c r="KW240" s="1610"/>
    </row>
    <row r="241" spans="15:309" x14ac:dyDescent="0.2">
      <c r="O241" s="109"/>
      <c r="P241" s="109"/>
      <c r="X241" s="111"/>
      <c r="Y241" s="111"/>
      <c r="HW241" s="794"/>
      <c r="HX241" s="111"/>
      <c r="IA241" s="171"/>
      <c r="IB241" s="171"/>
      <c r="II241" s="111"/>
      <c r="IJ241" s="111"/>
      <c r="IM241" s="171"/>
      <c r="IN241" s="775"/>
      <c r="IU241" s="111"/>
      <c r="IV241" s="111"/>
      <c r="IY241" s="171"/>
      <c r="IZ241" s="775"/>
      <c r="JI241" s="111"/>
      <c r="JJ241" s="111"/>
      <c r="JM241" s="171"/>
      <c r="JN241" s="775"/>
      <c r="JU241" s="111"/>
      <c r="JV241" s="111"/>
      <c r="JY241" s="171"/>
      <c r="JZ241" s="775"/>
      <c r="KF241" s="111"/>
      <c r="KG241" s="111"/>
      <c r="KJ241" s="171"/>
      <c r="KK241" s="775"/>
      <c r="KR241" s="111"/>
      <c r="KS241" s="111"/>
      <c r="KV241" s="171"/>
      <c r="KW241" s="1610"/>
    </row>
    <row r="242" spans="15:309" x14ac:dyDescent="0.2">
      <c r="O242" s="109"/>
      <c r="P242" s="109"/>
      <c r="X242" s="111"/>
      <c r="Y242" s="111"/>
      <c r="HW242" s="794"/>
      <c r="HX242" s="111"/>
      <c r="IA242" s="171"/>
      <c r="IB242" s="171"/>
      <c r="II242" s="111"/>
      <c r="IJ242" s="111"/>
      <c r="IM242" s="171"/>
      <c r="IN242" s="775"/>
      <c r="IU242" s="111"/>
      <c r="IV242" s="111"/>
      <c r="IY242" s="171"/>
      <c r="IZ242" s="775"/>
      <c r="JI242" s="111"/>
      <c r="JJ242" s="111"/>
      <c r="JM242" s="171"/>
      <c r="JN242" s="775"/>
      <c r="JU242" s="111"/>
      <c r="JV242" s="111"/>
      <c r="JY242" s="171"/>
      <c r="JZ242" s="775"/>
      <c r="KF242" s="111"/>
      <c r="KG242" s="111"/>
      <c r="KJ242" s="171"/>
      <c r="KK242" s="775"/>
      <c r="KR242" s="111"/>
      <c r="KS242" s="111"/>
      <c r="KV242" s="171"/>
      <c r="KW242" s="1610"/>
    </row>
    <row r="243" spans="15:309" x14ac:dyDescent="0.2">
      <c r="O243" s="109"/>
      <c r="P243" s="109"/>
      <c r="X243" s="111"/>
      <c r="Y243" s="111"/>
      <c r="HW243" s="794"/>
      <c r="HX243" s="111"/>
      <c r="IA243" s="171"/>
      <c r="IB243" s="171"/>
      <c r="II243" s="111"/>
      <c r="IJ243" s="111"/>
      <c r="IM243" s="171"/>
      <c r="IN243" s="775"/>
      <c r="IU243" s="111"/>
      <c r="IV243" s="111"/>
      <c r="IY243" s="171"/>
      <c r="IZ243" s="775"/>
      <c r="JI243" s="111"/>
      <c r="JJ243" s="111"/>
      <c r="JM243" s="171"/>
      <c r="JN243" s="775"/>
      <c r="JU243" s="111"/>
      <c r="JV243" s="111"/>
      <c r="JY243" s="171"/>
      <c r="JZ243" s="775"/>
      <c r="KF243" s="111"/>
      <c r="KG243" s="111"/>
      <c r="KJ243" s="171"/>
      <c r="KK243" s="775"/>
      <c r="KR243" s="111"/>
      <c r="KS243" s="111"/>
      <c r="KV243" s="171"/>
      <c r="KW243" s="1610"/>
    </row>
    <row r="244" spans="15:309" x14ac:dyDescent="0.2">
      <c r="O244" s="109"/>
      <c r="P244" s="109"/>
      <c r="X244" s="111"/>
      <c r="Y244" s="111"/>
      <c r="HW244" s="794"/>
      <c r="HX244" s="111"/>
      <c r="IA244" s="171"/>
      <c r="IB244" s="171"/>
      <c r="II244" s="111"/>
      <c r="IJ244" s="111"/>
      <c r="IM244" s="171"/>
      <c r="IN244" s="775"/>
      <c r="IU244" s="111"/>
      <c r="IV244" s="111"/>
      <c r="IY244" s="171"/>
      <c r="IZ244" s="775"/>
      <c r="JI244" s="111"/>
      <c r="JJ244" s="111"/>
      <c r="JM244" s="171"/>
      <c r="JN244" s="775"/>
      <c r="JU244" s="111"/>
      <c r="JV244" s="111"/>
      <c r="JY244" s="171"/>
      <c r="JZ244" s="775"/>
      <c r="KF244" s="111"/>
      <c r="KG244" s="111"/>
      <c r="KJ244" s="171"/>
      <c r="KK244" s="775"/>
      <c r="KR244" s="111"/>
      <c r="KS244" s="111"/>
      <c r="KV244" s="171"/>
      <c r="KW244" s="1610"/>
    </row>
    <row r="245" spans="15:309" x14ac:dyDescent="0.2">
      <c r="O245" s="109"/>
      <c r="P245" s="109"/>
      <c r="X245" s="111"/>
      <c r="Y245" s="111"/>
      <c r="HW245" s="794"/>
      <c r="HX245" s="111"/>
      <c r="IA245" s="171"/>
      <c r="IB245" s="171"/>
      <c r="II245" s="111"/>
      <c r="IJ245" s="111"/>
      <c r="IM245" s="171"/>
      <c r="IN245" s="775"/>
      <c r="IU245" s="111"/>
      <c r="IV245" s="111"/>
      <c r="IY245" s="171"/>
      <c r="IZ245" s="775"/>
      <c r="JI245" s="111"/>
      <c r="JJ245" s="111"/>
      <c r="JM245" s="171"/>
      <c r="JN245" s="775"/>
      <c r="JU245" s="111"/>
      <c r="JV245" s="111"/>
      <c r="JY245" s="171"/>
      <c r="JZ245" s="775"/>
      <c r="KF245" s="111"/>
      <c r="KG245" s="111"/>
      <c r="KJ245" s="171"/>
      <c r="KK245" s="775"/>
      <c r="KR245" s="111"/>
      <c r="KS245" s="111"/>
      <c r="KV245" s="171"/>
      <c r="KW245" s="1610"/>
    </row>
    <row r="246" spans="15:309" x14ac:dyDescent="0.2">
      <c r="O246" s="109"/>
      <c r="P246" s="109"/>
      <c r="X246" s="111"/>
      <c r="Y246" s="111"/>
      <c r="HW246" s="794"/>
      <c r="HX246" s="111"/>
      <c r="IA246" s="171"/>
      <c r="IB246" s="171"/>
      <c r="II246" s="111"/>
      <c r="IJ246" s="111"/>
      <c r="IM246" s="171"/>
      <c r="IN246" s="775"/>
      <c r="IU246" s="111"/>
      <c r="IV246" s="111"/>
      <c r="IY246" s="171"/>
      <c r="IZ246" s="775"/>
      <c r="JI246" s="111"/>
      <c r="JJ246" s="111"/>
      <c r="JM246" s="171"/>
      <c r="JN246" s="775"/>
      <c r="JU246" s="111"/>
      <c r="JV246" s="111"/>
      <c r="JY246" s="171"/>
      <c r="JZ246" s="775"/>
      <c r="KF246" s="111"/>
      <c r="KG246" s="111"/>
      <c r="KJ246" s="171"/>
      <c r="KK246" s="775"/>
      <c r="KR246" s="111"/>
      <c r="KS246" s="111"/>
      <c r="KV246" s="171"/>
      <c r="KW246" s="1610"/>
    </row>
    <row r="247" spans="15:309" x14ac:dyDescent="0.2">
      <c r="O247" s="109"/>
      <c r="P247" s="109"/>
      <c r="X247" s="111"/>
      <c r="Y247" s="111"/>
      <c r="HW247" s="794"/>
      <c r="HX247" s="111"/>
      <c r="IA247" s="171"/>
      <c r="IB247" s="171"/>
      <c r="II247" s="111"/>
      <c r="IJ247" s="111"/>
      <c r="IM247" s="171"/>
      <c r="IN247" s="775"/>
      <c r="IU247" s="111"/>
      <c r="IV247" s="111"/>
      <c r="IY247" s="171"/>
      <c r="IZ247" s="775"/>
      <c r="JI247" s="111"/>
      <c r="JJ247" s="111"/>
      <c r="JM247" s="171"/>
      <c r="JN247" s="775"/>
      <c r="JU247" s="111"/>
      <c r="JV247" s="111"/>
      <c r="JY247" s="171"/>
      <c r="JZ247" s="775"/>
      <c r="KF247" s="111"/>
      <c r="KG247" s="111"/>
      <c r="KJ247" s="171"/>
      <c r="KK247" s="775"/>
      <c r="KR247" s="111"/>
      <c r="KS247" s="111"/>
      <c r="KV247" s="171"/>
      <c r="KW247" s="1610"/>
    </row>
    <row r="248" spans="15:309" x14ac:dyDescent="0.2">
      <c r="O248" s="109"/>
      <c r="P248" s="109"/>
      <c r="X248" s="111"/>
      <c r="Y248" s="111"/>
      <c r="HW248" s="794"/>
      <c r="HX248" s="111"/>
      <c r="IA248" s="171"/>
      <c r="IB248" s="171"/>
      <c r="II248" s="111"/>
      <c r="IJ248" s="111"/>
      <c r="IM248" s="171"/>
      <c r="IN248" s="775"/>
      <c r="IU248" s="111"/>
      <c r="IV248" s="111"/>
      <c r="IY248" s="171"/>
      <c r="IZ248" s="775"/>
      <c r="JI248" s="111"/>
      <c r="JJ248" s="111"/>
      <c r="JM248" s="171"/>
      <c r="JN248" s="775"/>
      <c r="JU248" s="111"/>
      <c r="JV248" s="111"/>
      <c r="JY248" s="171"/>
      <c r="JZ248" s="775"/>
      <c r="KF248" s="111"/>
      <c r="KG248" s="111"/>
      <c r="KJ248" s="171"/>
      <c r="KK248" s="775"/>
      <c r="KR248" s="111"/>
      <c r="KS248" s="111"/>
      <c r="KV248" s="171"/>
      <c r="KW248" s="1610"/>
    </row>
    <row r="249" spans="15:309" x14ac:dyDescent="0.2">
      <c r="O249" s="109"/>
      <c r="P249" s="109"/>
      <c r="X249" s="111"/>
      <c r="Y249" s="111"/>
      <c r="HW249" s="794"/>
      <c r="HX249" s="111"/>
      <c r="IA249" s="111"/>
      <c r="IB249" s="111"/>
      <c r="II249" s="111"/>
      <c r="IJ249" s="111"/>
      <c r="IM249" s="111"/>
      <c r="IN249" s="777"/>
      <c r="IU249" s="111"/>
      <c r="IV249" s="111"/>
      <c r="IY249" s="111"/>
      <c r="IZ249" s="777"/>
      <c r="JI249" s="111"/>
      <c r="JJ249" s="111"/>
      <c r="JM249" s="111"/>
      <c r="JN249" s="777"/>
      <c r="JU249" s="111"/>
      <c r="JV249" s="111"/>
      <c r="JY249" s="111"/>
      <c r="JZ249" s="777"/>
      <c r="KF249" s="111"/>
      <c r="KG249" s="111"/>
      <c r="KJ249" s="111"/>
      <c r="KK249" s="777"/>
      <c r="KR249" s="111"/>
      <c r="KS249" s="111"/>
      <c r="KV249" s="111"/>
      <c r="KW249" s="1613"/>
    </row>
    <row r="250" spans="15:309" x14ac:dyDescent="0.2">
      <c r="O250" s="109"/>
      <c r="P250" s="109"/>
      <c r="X250" s="111"/>
      <c r="Y250" s="111"/>
      <c r="HW250" s="794"/>
      <c r="HX250" s="111"/>
      <c r="IA250" s="111"/>
      <c r="IB250" s="111"/>
      <c r="II250" s="111"/>
      <c r="IJ250" s="111"/>
      <c r="IM250" s="111"/>
      <c r="IN250" s="777"/>
      <c r="IU250" s="111"/>
      <c r="IV250" s="111"/>
      <c r="IY250" s="111"/>
      <c r="IZ250" s="777"/>
      <c r="JI250" s="111"/>
      <c r="JJ250" s="111"/>
      <c r="JM250" s="111"/>
      <c r="JN250" s="777"/>
      <c r="JU250" s="111"/>
      <c r="JV250" s="111"/>
      <c r="JY250" s="111"/>
      <c r="JZ250" s="777"/>
      <c r="KF250" s="111"/>
      <c r="KG250" s="111"/>
      <c r="KJ250" s="111"/>
      <c r="KK250" s="777"/>
      <c r="KR250" s="111"/>
      <c r="KS250" s="111"/>
      <c r="KV250" s="111"/>
      <c r="KW250" s="1613"/>
    </row>
    <row r="251" spans="15:309" x14ac:dyDescent="0.2">
      <c r="O251" s="109"/>
      <c r="P251" s="109"/>
      <c r="X251" s="111"/>
      <c r="Y251" s="111"/>
      <c r="HW251" s="794"/>
      <c r="HX251" s="111"/>
      <c r="IA251" s="111"/>
      <c r="IB251" s="111"/>
      <c r="II251" s="111"/>
      <c r="IJ251" s="111"/>
      <c r="IM251" s="111"/>
      <c r="IN251" s="777"/>
      <c r="IU251" s="111"/>
      <c r="IV251" s="111"/>
      <c r="IY251" s="111"/>
      <c r="IZ251" s="777"/>
      <c r="JI251" s="111"/>
      <c r="JJ251" s="111"/>
      <c r="JM251" s="111"/>
      <c r="JN251" s="777"/>
      <c r="JU251" s="111"/>
      <c r="JV251" s="111"/>
      <c r="JY251" s="111"/>
      <c r="JZ251" s="777"/>
      <c r="KF251" s="111"/>
      <c r="KG251" s="111"/>
      <c r="KJ251" s="111"/>
      <c r="KK251" s="777"/>
      <c r="KR251" s="111"/>
      <c r="KS251" s="111"/>
      <c r="KV251" s="111"/>
      <c r="KW251" s="1613"/>
    </row>
    <row r="252" spans="15:309" x14ac:dyDescent="0.2">
      <c r="O252" s="109"/>
      <c r="P252" s="109"/>
      <c r="X252" s="111"/>
      <c r="Y252" s="111"/>
      <c r="HW252" s="794"/>
      <c r="HX252" s="111"/>
      <c r="IA252" s="111"/>
      <c r="IB252" s="111"/>
      <c r="II252" s="111"/>
      <c r="IJ252" s="111"/>
      <c r="IM252" s="111"/>
      <c r="IN252" s="777"/>
      <c r="IU252" s="111"/>
      <c r="IV252" s="111"/>
      <c r="IY252" s="111"/>
      <c r="IZ252" s="777"/>
      <c r="JI252" s="111"/>
      <c r="JJ252" s="111"/>
      <c r="JM252" s="111"/>
      <c r="JN252" s="777"/>
      <c r="JU252" s="111"/>
      <c r="JV252" s="111"/>
      <c r="JY252" s="111"/>
      <c r="JZ252" s="777"/>
      <c r="KF252" s="111"/>
      <c r="KG252" s="111"/>
      <c r="KJ252" s="111"/>
      <c r="KK252" s="777"/>
      <c r="KR252" s="111"/>
      <c r="KS252" s="111"/>
      <c r="KV252" s="111"/>
      <c r="KW252" s="1613"/>
    </row>
    <row r="253" spans="15:309" x14ac:dyDescent="0.2">
      <c r="O253" s="109"/>
      <c r="P253" s="109"/>
      <c r="X253" s="111"/>
      <c r="Y253" s="111"/>
      <c r="HW253" s="794"/>
      <c r="HX253" s="111"/>
      <c r="IA253" s="111"/>
      <c r="IB253" s="111"/>
      <c r="II253" s="111"/>
      <c r="IJ253" s="111"/>
      <c r="IM253" s="111"/>
      <c r="IN253" s="777"/>
      <c r="IU253" s="111"/>
      <c r="IV253" s="111"/>
      <c r="IY253" s="111"/>
      <c r="IZ253" s="777"/>
      <c r="JI253" s="111"/>
      <c r="JJ253" s="111"/>
      <c r="JM253" s="111"/>
      <c r="JN253" s="777"/>
      <c r="JU253" s="111"/>
      <c r="JV253" s="111"/>
      <c r="JY253" s="111"/>
      <c r="JZ253" s="777"/>
      <c r="KF253" s="111"/>
      <c r="KG253" s="111"/>
      <c r="KJ253" s="111"/>
      <c r="KK253" s="777"/>
      <c r="KR253" s="111"/>
      <c r="KS253" s="111"/>
      <c r="KV253" s="111"/>
      <c r="KW253" s="1613"/>
    </row>
    <row r="254" spans="15:309" x14ac:dyDescent="0.2">
      <c r="O254" s="109"/>
      <c r="P254" s="109"/>
      <c r="X254" s="111"/>
      <c r="Y254" s="111"/>
      <c r="HW254" s="794"/>
      <c r="HX254" s="111"/>
      <c r="IA254" s="111"/>
      <c r="IB254" s="111"/>
      <c r="II254" s="111"/>
      <c r="IJ254" s="111"/>
      <c r="IM254" s="111"/>
      <c r="IN254" s="777"/>
      <c r="IU254" s="111"/>
      <c r="IV254" s="111"/>
      <c r="IY254" s="111"/>
      <c r="IZ254" s="777"/>
      <c r="JI254" s="111"/>
      <c r="JJ254" s="111"/>
      <c r="JM254" s="111"/>
      <c r="JN254" s="777"/>
      <c r="JU254" s="111"/>
      <c r="JV254" s="111"/>
      <c r="JY254" s="111"/>
      <c r="JZ254" s="777"/>
      <c r="KF254" s="111"/>
      <c r="KG254" s="111"/>
      <c r="KJ254" s="111"/>
      <c r="KK254" s="777"/>
      <c r="KR254" s="111"/>
      <c r="KS254" s="111"/>
      <c r="KV254" s="111"/>
      <c r="KW254" s="1613"/>
    </row>
    <row r="255" spans="15:309" x14ac:dyDescent="0.2">
      <c r="O255" s="109"/>
      <c r="P255" s="109"/>
      <c r="X255" s="111"/>
      <c r="Y255" s="111"/>
      <c r="HW255" s="794"/>
      <c r="HX255" s="111"/>
      <c r="IA255" s="111"/>
      <c r="II255" s="111"/>
      <c r="IJ255" s="111"/>
      <c r="IM255" s="111"/>
      <c r="IU255" s="111"/>
      <c r="IV255" s="111"/>
      <c r="IY255" s="111"/>
      <c r="JI255" s="111"/>
      <c r="JJ255" s="111"/>
      <c r="JM255" s="111"/>
      <c r="JU255" s="111"/>
      <c r="JV255" s="111"/>
      <c r="JY255" s="111"/>
      <c r="KF255" s="111"/>
      <c r="KG255" s="111"/>
      <c r="KJ255" s="111"/>
      <c r="KR255" s="111"/>
      <c r="KS255" s="111"/>
      <c r="KV255" s="111"/>
    </row>
    <row r="256" spans="15:309" x14ac:dyDescent="0.2">
      <c r="O256" s="109"/>
      <c r="P256" s="109"/>
      <c r="X256" s="111"/>
      <c r="Y256" s="111"/>
      <c r="HW256" s="794"/>
      <c r="HX256" s="111"/>
      <c r="IA256" s="111"/>
      <c r="II256" s="111"/>
      <c r="IJ256" s="111"/>
      <c r="IM256" s="111"/>
      <c r="IU256" s="111"/>
      <c r="IV256" s="111"/>
      <c r="IY256" s="111"/>
      <c r="JI256" s="111"/>
      <c r="JJ256" s="111"/>
      <c r="JM256" s="111"/>
      <c r="JU256" s="111"/>
      <c r="JV256" s="111"/>
      <c r="JY256" s="111"/>
      <c r="KF256" s="111"/>
      <c r="KG256" s="111"/>
      <c r="KJ256" s="111"/>
      <c r="KR256" s="111"/>
      <c r="KS256" s="111"/>
      <c r="KV256" s="111"/>
    </row>
    <row r="257" spans="15:308" x14ac:dyDescent="0.2">
      <c r="O257" s="109"/>
      <c r="P257" s="109"/>
      <c r="X257" s="111"/>
      <c r="Y257" s="111"/>
      <c r="HW257" s="794"/>
      <c r="HX257" s="111"/>
      <c r="IA257" s="111"/>
      <c r="II257" s="111"/>
      <c r="IJ257" s="111"/>
      <c r="IM257" s="111"/>
      <c r="IU257" s="111"/>
      <c r="IV257" s="111"/>
      <c r="IY257" s="111"/>
      <c r="JI257" s="111"/>
      <c r="JJ257" s="111"/>
      <c r="JM257" s="111"/>
      <c r="JU257" s="111"/>
      <c r="JV257" s="111"/>
      <c r="JY257" s="111"/>
      <c r="KF257" s="111"/>
      <c r="KG257" s="111"/>
      <c r="KJ257" s="111"/>
      <c r="KR257" s="111"/>
      <c r="KS257" s="111"/>
      <c r="KV257" s="111"/>
    </row>
    <row r="258" spans="15:308" x14ac:dyDescent="0.2">
      <c r="O258" s="109"/>
      <c r="P258" s="109"/>
      <c r="X258" s="111"/>
      <c r="Y258" s="111"/>
      <c r="HW258" s="794"/>
      <c r="HX258" s="111"/>
      <c r="IA258" s="111"/>
      <c r="II258" s="111"/>
      <c r="IJ258" s="111"/>
      <c r="IM258" s="111"/>
      <c r="IU258" s="111"/>
      <c r="IV258" s="111"/>
      <c r="IY258" s="111"/>
      <c r="JI258" s="111"/>
      <c r="JJ258" s="111"/>
      <c r="JM258" s="111"/>
      <c r="JU258" s="111"/>
      <c r="JV258" s="111"/>
      <c r="JY258" s="111"/>
      <c r="KF258" s="111"/>
      <c r="KG258" s="111"/>
      <c r="KJ258" s="111"/>
      <c r="KR258" s="111"/>
      <c r="KS258" s="111"/>
      <c r="KV258" s="111"/>
    </row>
    <row r="259" spans="15:308" x14ac:dyDescent="0.2">
      <c r="O259" s="109"/>
      <c r="P259" s="109"/>
      <c r="X259" s="111"/>
      <c r="Y259" s="111"/>
      <c r="HW259" s="794"/>
      <c r="HX259" s="111"/>
      <c r="IA259" s="111"/>
      <c r="II259" s="111"/>
      <c r="IJ259" s="111"/>
      <c r="IM259" s="111"/>
      <c r="IU259" s="111"/>
      <c r="IV259" s="111"/>
      <c r="IY259" s="111"/>
      <c r="JI259" s="111"/>
      <c r="JJ259" s="111"/>
      <c r="JM259" s="111"/>
      <c r="JU259" s="111"/>
      <c r="JV259" s="111"/>
      <c r="JY259" s="111"/>
      <c r="KF259" s="111"/>
      <c r="KG259" s="111"/>
      <c r="KJ259" s="111"/>
      <c r="KR259" s="111"/>
      <c r="KS259" s="111"/>
      <c r="KV259" s="111"/>
    </row>
    <row r="260" spans="15:308" x14ac:dyDescent="0.2">
      <c r="O260" s="109"/>
      <c r="P260" s="109"/>
      <c r="X260" s="111"/>
      <c r="Y260" s="111"/>
      <c r="HW260" s="794"/>
      <c r="HX260" s="111"/>
      <c r="IA260" s="111"/>
      <c r="II260" s="111"/>
      <c r="IJ260" s="111"/>
      <c r="IM260" s="111"/>
      <c r="IU260" s="111"/>
      <c r="IV260" s="111"/>
      <c r="IY260" s="111"/>
      <c r="JI260" s="111"/>
      <c r="JJ260" s="111"/>
      <c r="JM260" s="111"/>
      <c r="JU260" s="111"/>
      <c r="JV260" s="111"/>
      <c r="JY260" s="111"/>
      <c r="KF260" s="111"/>
      <c r="KG260" s="111"/>
      <c r="KJ260" s="111"/>
      <c r="KR260" s="111"/>
      <c r="KS260" s="111"/>
      <c r="KV260" s="111"/>
    </row>
    <row r="261" spans="15:308" x14ac:dyDescent="0.2">
      <c r="O261" s="109"/>
      <c r="P261" s="109"/>
      <c r="X261" s="111"/>
      <c r="Y261" s="111"/>
      <c r="HW261" s="794"/>
      <c r="HX261" s="111"/>
      <c r="IA261" s="111"/>
      <c r="II261" s="111"/>
      <c r="IJ261" s="111"/>
      <c r="IM261" s="111"/>
      <c r="IU261" s="111"/>
      <c r="IV261" s="111"/>
      <c r="IY261" s="111"/>
      <c r="JI261" s="111"/>
      <c r="JJ261" s="111"/>
      <c r="JM261" s="111"/>
      <c r="JU261" s="111"/>
      <c r="JV261" s="111"/>
      <c r="JY261" s="111"/>
      <c r="KF261" s="111"/>
      <c r="KG261" s="111"/>
      <c r="KJ261" s="111"/>
      <c r="KR261" s="111"/>
      <c r="KS261" s="111"/>
      <c r="KV261" s="111"/>
    </row>
    <row r="262" spans="15:308" x14ac:dyDescent="0.2">
      <c r="O262" s="109"/>
      <c r="P262" s="109"/>
      <c r="X262" s="111"/>
      <c r="Y262" s="111"/>
      <c r="HW262" s="794"/>
      <c r="HX262" s="111"/>
      <c r="IA262" s="111"/>
      <c r="II262" s="111"/>
      <c r="IJ262" s="111"/>
      <c r="IM262" s="111"/>
      <c r="IU262" s="111"/>
      <c r="IV262" s="111"/>
      <c r="IY262" s="111"/>
      <c r="JI262" s="111"/>
      <c r="JJ262" s="111"/>
      <c r="JM262" s="111"/>
      <c r="JU262" s="111"/>
      <c r="JV262" s="111"/>
      <c r="JY262" s="111"/>
      <c r="KF262" s="111"/>
      <c r="KG262" s="111"/>
      <c r="KJ262" s="111"/>
      <c r="KR262" s="111"/>
      <c r="KS262" s="111"/>
      <c r="KV262" s="111"/>
    </row>
    <row r="263" spans="15:308" x14ac:dyDescent="0.2">
      <c r="O263" s="109"/>
      <c r="P263" s="109"/>
      <c r="X263" s="111"/>
      <c r="Y263" s="111"/>
      <c r="HW263" s="794"/>
      <c r="HX263" s="111"/>
      <c r="IA263" s="111"/>
      <c r="II263" s="111"/>
      <c r="IJ263" s="111"/>
      <c r="IM263" s="111"/>
      <c r="IU263" s="111"/>
      <c r="IV263" s="111"/>
      <c r="IY263" s="111"/>
      <c r="JI263" s="111"/>
      <c r="JJ263" s="111"/>
      <c r="JM263" s="111"/>
      <c r="JU263" s="111"/>
      <c r="JV263" s="111"/>
      <c r="JY263" s="111"/>
      <c r="KF263" s="111"/>
      <c r="KG263" s="111"/>
      <c r="KJ263" s="111"/>
      <c r="KR263" s="111"/>
      <c r="KS263" s="111"/>
      <c r="KV263" s="111"/>
    </row>
    <row r="264" spans="15:308" x14ac:dyDescent="0.2">
      <c r="O264" s="109"/>
      <c r="P264" s="109"/>
      <c r="X264" s="111"/>
      <c r="Y264" s="111"/>
      <c r="HW264" s="794"/>
      <c r="HX264" s="111"/>
      <c r="IA264" s="111"/>
      <c r="II264" s="111"/>
      <c r="IJ264" s="111"/>
      <c r="IM264" s="111"/>
      <c r="IU264" s="111"/>
      <c r="IV264" s="111"/>
      <c r="IY264" s="111"/>
      <c r="JI264" s="111"/>
      <c r="JJ264" s="111"/>
      <c r="JM264" s="111"/>
      <c r="JU264" s="111"/>
      <c r="JV264" s="111"/>
      <c r="JY264" s="111"/>
      <c r="KF264" s="111"/>
      <c r="KG264" s="111"/>
      <c r="KJ264" s="111"/>
      <c r="KR264" s="111"/>
      <c r="KS264" s="111"/>
      <c r="KV264" s="111"/>
    </row>
    <row r="265" spans="15:308" x14ac:dyDescent="0.2">
      <c r="O265" s="109"/>
      <c r="P265" s="109"/>
      <c r="X265" s="111"/>
      <c r="Y265" s="111"/>
      <c r="HW265" s="794"/>
      <c r="HX265" s="111"/>
      <c r="IA265" s="111"/>
      <c r="II265" s="111"/>
      <c r="IJ265" s="111"/>
      <c r="IM265" s="111"/>
      <c r="IU265" s="111"/>
      <c r="IV265" s="111"/>
      <c r="IY265" s="111"/>
      <c r="JI265" s="111"/>
      <c r="JJ265" s="111"/>
      <c r="JM265" s="111"/>
      <c r="JU265" s="111"/>
      <c r="JV265" s="111"/>
      <c r="JY265" s="111"/>
      <c r="KF265" s="111"/>
      <c r="KG265" s="111"/>
      <c r="KJ265" s="111"/>
      <c r="KR265" s="111"/>
      <c r="KS265" s="111"/>
      <c r="KV265" s="111"/>
    </row>
    <row r="266" spans="15:308" x14ac:dyDescent="0.2">
      <c r="O266" s="109"/>
      <c r="P266" s="109"/>
      <c r="X266" s="111"/>
      <c r="Y266" s="111"/>
      <c r="HW266" s="794"/>
      <c r="HX266" s="111"/>
      <c r="IA266" s="111"/>
      <c r="II266" s="111"/>
      <c r="IJ266" s="111"/>
      <c r="IM266" s="111"/>
      <c r="IU266" s="111"/>
      <c r="IV266" s="111"/>
      <c r="IY266" s="111"/>
      <c r="JI266" s="111"/>
      <c r="JJ266" s="111"/>
      <c r="JM266" s="111"/>
      <c r="JU266" s="111"/>
      <c r="JV266" s="111"/>
      <c r="JY266" s="111"/>
      <c r="KF266" s="111"/>
      <c r="KG266" s="111"/>
      <c r="KJ266" s="111"/>
      <c r="KR266" s="111"/>
      <c r="KS266" s="111"/>
      <c r="KV266" s="111"/>
    </row>
    <row r="267" spans="15:308" x14ac:dyDescent="0.2">
      <c r="O267" s="109"/>
      <c r="P267" s="109"/>
      <c r="X267" s="111"/>
      <c r="Y267" s="111"/>
      <c r="HW267" s="794"/>
      <c r="HX267" s="111"/>
      <c r="IA267" s="111"/>
      <c r="II267" s="111"/>
      <c r="IJ267" s="111"/>
      <c r="IM267" s="111"/>
      <c r="IU267" s="111"/>
      <c r="IV267" s="111"/>
      <c r="IY267" s="111"/>
      <c r="JI267" s="111"/>
      <c r="JJ267" s="111"/>
      <c r="JM267" s="111"/>
      <c r="JU267" s="111"/>
      <c r="JV267" s="111"/>
      <c r="JY267" s="111"/>
      <c r="KF267" s="111"/>
      <c r="KG267" s="111"/>
      <c r="KJ267" s="111"/>
      <c r="KR267" s="111"/>
      <c r="KS267" s="111"/>
      <c r="KV267" s="111"/>
    </row>
    <row r="268" spans="15:308" x14ac:dyDescent="0.2">
      <c r="O268" s="109"/>
      <c r="P268" s="109"/>
      <c r="X268" s="111"/>
      <c r="Y268" s="111"/>
      <c r="HW268" s="794"/>
      <c r="HX268" s="111"/>
      <c r="IA268" s="111"/>
      <c r="II268" s="111"/>
      <c r="IJ268" s="111"/>
      <c r="IM268" s="111"/>
      <c r="IU268" s="111"/>
      <c r="IV268" s="111"/>
      <c r="IY268" s="111"/>
      <c r="JI268" s="111"/>
      <c r="JJ268" s="111"/>
      <c r="JM268" s="111"/>
      <c r="JU268" s="111"/>
      <c r="JV268" s="111"/>
      <c r="JY268" s="111"/>
      <c r="KF268" s="111"/>
      <c r="KG268" s="111"/>
      <c r="KJ268" s="111"/>
      <c r="KR268" s="111"/>
      <c r="KS268" s="111"/>
      <c r="KV268" s="111"/>
    </row>
    <row r="269" spans="15:308" x14ac:dyDescent="0.2">
      <c r="O269" s="109"/>
      <c r="P269" s="109"/>
      <c r="X269" s="111"/>
      <c r="Y269" s="111"/>
      <c r="HW269" s="794"/>
      <c r="HX269" s="111"/>
      <c r="IA269" s="111"/>
      <c r="II269" s="111"/>
      <c r="IJ269" s="111"/>
      <c r="IM269" s="111"/>
      <c r="IU269" s="111"/>
      <c r="IV269" s="111"/>
      <c r="IY269" s="111"/>
      <c r="JI269" s="111"/>
      <c r="JJ269" s="111"/>
      <c r="JM269" s="111"/>
      <c r="JU269" s="111"/>
      <c r="JV269" s="111"/>
      <c r="JY269" s="111"/>
      <c r="KF269" s="111"/>
      <c r="KG269" s="111"/>
      <c r="KJ269" s="111"/>
      <c r="KR269" s="111"/>
      <c r="KS269" s="111"/>
      <c r="KV269" s="111"/>
    </row>
    <row r="270" spans="15:308" x14ac:dyDescent="0.2">
      <c r="O270" s="109"/>
      <c r="P270" s="109"/>
      <c r="X270" s="111"/>
      <c r="Y270" s="111"/>
      <c r="HW270" s="794"/>
      <c r="HX270" s="111"/>
      <c r="IA270" s="111"/>
      <c r="II270" s="111"/>
      <c r="IJ270" s="111"/>
      <c r="IM270" s="111"/>
      <c r="IU270" s="111"/>
      <c r="IV270" s="111"/>
      <c r="IY270" s="111"/>
      <c r="JI270" s="111"/>
      <c r="JJ270" s="111"/>
      <c r="JM270" s="111"/>
      <c r="JU270" s="111"/>
      <c r="JV270" s="111"/>
      <c r="JY270" s="111"/>
      <c r="KF270" s="111"/>
      <c r="KG270" s="111"/>
      <c r="KJ270" s="111"/>
      <c r="KR270" s="111"/>
      <c r="KS270" s="111"/>
      <c r="KV270" s="111"/>
    </row>
    <row r="271" spans="15:308" x14ac:dyDescent="0.2">
      <c r="O271" s="109"/>
      <c r="P271" s="109"/>
      <c r="X271" s="111"/>
      <c r="Y271" s="111"/>
      <c r="HW271" s="794"/>
      <c r="HX271" s="111"/>
      <c r="IA271" s="111"/>
      <c r="II271" s="111"/>
      <c r="IJ271" s="111"/>
      <c r="IM271" s="111"/>
      <c r="IU271" s="111"/>
      <c r="IV271" s="111"/>
      <c r="IY271" s="111"/>
      <c r="JI271" s="111"/>
      <c r="JJ271" s="111"/>
      <c r="JM271" s="111"/>
      <c r="JU271" s="111"/>
      <c r="JV271" s="111"/>
      <c r="JY271" s="111"/>
      <c r="KF271" s="111"/>
      <c r="KG271" s="111"/>
      <c r="KJ271" s="111"/>
      <c r="KR271" s="111"/>
      <c r="KS271" s="111"/>
      <c r="KV271" s="111"/>
    </row>
    <row r="272" spans="15:308" x14ac:dyDescent="0.2">
      <c r="O272" s="109"/>
      <c r="P272" s="109"/>
      <c r="X272" s="111"/>
      <c r="Y272" s="111"/>
      <c r="HW272" s="794"/>
      <c r="HX272" s="111"/>
      <c r="IA272" s="111"/>
      <c r="II272" s="111"/>
      <c r="IJ272" s="111"/>
      <c r="IM272" s="111"/>
      <c r="IU272" s="111"/>
      <c r="IV272" s="111"/>
      <c r="IY272" s="111"/>
      <c r="JI272" s="111"/>
      <c r="JJ272" s="111"/>
      <c r="JM272" s="111"/>
      <c r="JU272" s="111"/>
      <c r="JV272" s="111"/>
      <c r="JY272" s="111"/>
      <c r="KF272" s="111"/>
      <c r="KG272" s="111"/>
      <c r="KJ272" s="111"/>
      <c r="KR272" s="111"/>
      <c r="KS272" s="111"/>
      <c r="KV272" s="111"/>
    </row>
    <row r="273" spans="15:308" x14ac:dyDescent="0.2">
      <c r="O273" s="109"/>
      <c r="P273" s="109"/>
      <c r="X273" s="111"/>
      <c r="Y273" s="111"/>
      <c r="HW273" s="794"/>
      <c r="HX273" s="111"/>
      <c r="IA273" s="111"/>
      <c r="II273" s="111"/>
      <c r="IJ273" s="111"/>
      <c r="IM273" s="111"/>
      <c r="IU273" s="111"/>
      <c r="IV273" s="111"/>
      <c r="IY273" s="111"/>
      <c r="JI273" s="111"/>
      <c r="JJ273" s="111"/>
      <c r="JM273" s="111"/>
      <c r="JU273" s="111"/>
      <c r="JV273" s="111"/>
      <c r="JY273" s="111"/>
      <c r="KF273" s="111"/>
      <c r="KG273" s="111"/>
      <c r="KJ273" s="111"/>
      <c r="KR273" s="111"/>
      <c r="KS273" s="111"/>
      <c r="KV273" s="111"/>
    </row>
    <row r="274" spans="15:308" x14ac:dyDescent="0.2">
      <c r="O274" s="109"/>
      <c r="P274" s="109"/>
      <c r="X274" s="111"/>
      <c r="Y274" s="111"/>
      <c r="HW274" s="794"/>
      <c r="HX274" s="111"/>
      <c r="IA274" s="111"/>
      <c r="II274" s="111"/>
      <c r="IJ274" s="111"/>
      <c r="IM274" s="111"/>
      <c r="IU274" s="111"/>
      <c r="IV274" s="111"/>
      <c r="IY274" s="111"/>
      <c r="JI274" s="111"/>
      <c r="JJ274" s="111"/>
      <c r="JM274" s="111"/>
      <c r="JU274" s="111"/>
      <c r="JV274" s="111"/>
      <c r="JY274" s="111"/>
      <c r="KF274" s="111"/>
      <c r="KG274" s="111"/>
      <c r="KJ274" s="111"/>
      <c r="KR274" s="111"/>
      <c r="KS274" s="111"/>
      <c r="KV274" s="111"/>
    </row>
    <row r="275" spans="15:308" x14ac:dyDescent="0.2">
      <c r="O275" s="109"/>
      <c r="P275" s="109"/>
      <c r="X275" s="111"/>
      <c r="Y275" s="111"/>
      <c r="HW275" s="794"/>
      <c r="HX275" s="111"/>
      <c r="IA275" s="111"/>
      <c r="II275" s="111"/>
      <c r="IJ275" s="111"/>
      <c r="IM275" s="111"/>
      <c r="IU275" s="111"/>
      <c r="IV275" s="111"/>
      <c r="IY275" s="111"/>
      <c r="JI275" s="111"/>
      <c r="JJ275" s="111"/>
      <c r="JM275" s="111"/>
      <c r="JU275" s="111"/>
      <c r="JV275" s="111"/>
      <c r="JY275" s="111"/>
      <c r="KF275" s="111"/>
      <c r="KG275" s="111"/>
      <c r="KJ275" s="111"/>
      <c r="KR275" s="111"/>
      <c r="KS275" s="111"/>
      <c r="KV275" s="111"/>
    </row>
    <row r="276" spans="15:308" x14ac:dyDescent="0.2">
      <c r="O276" s="109"/>
      <c r="P276" s="109"/>
      <c r="X276" s="111"/>
      <c r="Y276" s="111"/>
      <c r="HW276" s="794"/>
      <c r="HX276" s="111"/>
      <c r="IA276" s="111"/>
      <c r="II276" s="111"/>
      <c r="IJ276" s="111"/>
      <c r="IM276" s="111"/>
      <c r="IU276" s="111"/>
      <c r="IV276" s="111"/>
      <c r="IY276" s="111"/>
      <c r="JI276" s="111"/>
      <c r="JJ276" s="111"/>
      <c r="JM276" s="111"/>
      <c r="JU276" s="111"/>
      <c r="JV276" s="111"/>
      <c r="JY276" s="111"/>
      <c r="KF276" s="111"/>
      <c r="KG276" s="111"/>
      <c r="KJ276" s="111"/>
      <c r="KR276" s="111"/>
      <c r="KS276" s="111"/>
      <c r="KV276" s="111"/>
    </row>
    <row r="277" spans="15:308" x14ac:dyDescent="0.2">
      <c r="O277" s="109"/>
      <c r="P277" s="109"/>
      <c r="X277" s="111"/>
      <c r="Y277" s="111"/>
      <c r="HW277" s="794"/>
      <c r="HX277" s="111"/>
      <c r="IA277" s="111"/>
      <c r="II277" s="111"/>
      <c r="IJ277" s="111"/>
      <c r="IM277" s="111"/>
      <c r="IU277" s="111"/>
      <c r="IV277" s="111"/>
      <c r="IY277" s="111"/>
      <c r="JI277" s="111"/>
      <c r="JJ277" s="111"/>
      <c r="JM277" s="111"/>
      <c r="JU277" s="111"/>
      <c r="JV277" s="111"/>
      <c r="JY277" s="111"/>
      <c r="KF277" s="111"/>
      <c r="KG277" s="111"/>
      <c r="KJ277" s="111"/>
      <c r="KR277" s="111"/>
      <c r="KS277" s="111"/>
      <c r="KV277" s="111"/>
    </row>
    <row r="278" spans="15:308" x14ac:dyDescent="0.2">
      <c r="O278" s="109"/>
      <c r="P278" s="109"/>
      <c r="X278" s="111"/>
      <c r="Y278" s="111"/>
      <c r="HW278" s="794"/>
      <c r="HX278" s="111"/>
      <c r="IA278" s="111"/>
      <c r="II278" s="111"/>
      <c r="IJ278" s="111"/>
      <c r="IM278" s="111"/>
      <c r="IU278" s="111"/>
      <c r="IV278" s="111"/>
      <c r="IY278" s="111"/>
      <c r="JI278" s="111"/>
      <c r="JJ278" s="111"/>
      <c r="JM278" s="111"/>
      <c r="JU278" s="111"/>
      <c r="JV278" s="111"/>
      <c r="JY278" s="111"/>
      <c r="KF278" s="111"/>
      <c r="KG278" s="111"/>
      <c r="KJ278" s="111"/>
      <c r="KR278" s="111"/>
      <c r="KS278" s="111"/>
      <c r="KV278" s="111"/>
    </row>
    <row r="279" spans="15:308" x14ac:dyDescent="0.2">
      <c r="O279" s="109"/>
      <c r="P279" s="109"/>
      <c r="X279" s="111"/>
      <c r="Y279" s="111"/>
      <c r="HW279" s="794"/>
      <c r="HX279" s="111"/>
      <c r="IA279" s="111"/>
      <c r="II279" s="111"/>
      <c r="IJ279" s="111"/>
      <c r="IM279" s="111"/>
      <c r="IU279" s="111"/>
      <c r="IV279" s="111"/>
      <c r="IY279" s="111"/>
      <c r="JI279" s="111"/>
      <c r="JJ279" s="111"/>
      <c r="JM279" s="111"/>
      <c r="JU279" s="111"/>
      <c r="JV279" s="111"/>
      <c r="JY279" s="111"/>
      <c r="KF279" s="111"/>
      <c r="KG279" s="111"/>
      <c r="KJ279" s="111"/>
      <c r="KR279" s="111"/>
      <c r="KS279" s="111"/>
      <c r="KV279" s="111"/>
    </row>
    <row r="280" spans="15:308" x14ac:dyDescent="0.2">
      <c r="O280" s="109"/>
      <c r="P280" s="109"/>
      <c r="X280" s="111"/>
      <c r="Y280" s="111"/>
      <c r="HW280" s="794"/>
      <c r="HX280" s="111"/>
      <c r="IA280" s="111"/>
      <c r="II280" s="111"/>
      <c r="IJ280" s="111"/>
      <c r="IM280" s="111"/>
      <c r="IU280" s="111"/>
      <c r="IV280" s="111"/>
      <c r="IY280" s="111"/>
      <c r="JI280" s="111"/>
      <c r="JJ280" s="111"/>
      <c r="JM280" s="111"/>
      <c r="JU280" s="111"/>
      <c r="JV280" s="111"/>
      <c r="JY280" s="111"/>
      <c r="KF280" s="111"/>
      <c r="KG280" s="111"/>
      <c r="KJ280" s="111"/>
      <c r="KR280" s="111"/>
      <c r="KS280" s="111"/>
      <c r="KV280" s="111"/>
    </row>
    <row r="281" spans="15:308" x14ac:dyDescent="0.2">
      <c r="O281" s="109"/>
      <c r="P281" s="109"/>
      <c r="X281" s="111"/>
      <c r="Y281" s="111"/>
      <c r="HW281" s="794"/>
      <c r="HX281" s="111"/>
      <c r="IA281" s="111"/>
      <c r="II281" s="111"/>
      <c r="IJ281" s="111"/>
      <c r="IM281" s="111"/>
      <c r="IU281" s="111"/>
      <c r="IV281" s="111"/>
      <c r="IY281" s="111"/>
      <c r="JI281" s="111"/>
      <c r="JJ281" s="111"/>
      <c r="JM281" s="111"/>
      <c r="JU281" s="111"/>
      <c r="JV281" s="111"/>
      <c r="JY281" s="111"/>
      <c r="KF281" s="111"/>
      <c r="KG281" s="111"/>
      <c r="KJ281" s="111"/>
      <c r="KR281" s="111"/>
      <c r="KS281" s="111"/>
      <c r="KV281" s="111"/>
    </row>
    <row r="282" spans="15:308" x14ac:dyDescent="0.2">
      <c r="O282" s="109"/>
      <c r="P282" s="109"/>
      <c r="X282" s="111"/>
      <c r="Y282" s="111"/>
      <c r="HW282" s="794"/>
      <c r="HX282" s="111"/>
      <c r="IA282" s="111"/>
      <c r="II282" s="111"/>
      <c r="IJ282" s="111"/>
      <c r="IM282" s="111"/>
      <c r="IU282" s="111"/>
      <c r="IV282" s="111"/>
      <c r="IY282" s="111"/>
      <c r="JI282" s="111"/>
      <c r="JJ282" s="111"/>
      <c r="JM282" s="111"/>
      <c r="JU282" s="111"/>
      <c r="JV282" s="111"/>
      <c r="JY282" s="111"/>
      <c r="KF282" s="111"/>
      <c r="KG282" s="111"/>
      <c r="KJ282" s="111"/>
      <c r="KR282" s="111"/>
      <c r="KS282" s="111"/>
      <c r="KV282" s="111"/>
    </row>
    <row r="283" spans="15:308" x14ac:dyDescent="0.2">
      <c r="O283" s="109"/>
      <c r="P283" s="109"/>
      <c r="X283" s="111"/>
      <c r="Y283" s="111"/>
      <c r="HW283" s="794"/>
      <c r="HX283" s="111"/>
      <c r="IA283" s="111"/>
      <c r="II283" s="111"/>
      <c r="IJ283" s="111"/>
      <c r="IM283" s="111"/>
      <c r="IU283" s="111"/>
      <c r="IV283" s="111"/>
      <c r="IY283" s="111"/>
      <c r="JI283" s="111"/>
      <c r="JJ283" s="111"/>
      <c r="JM283" s="111"/>
      <c r="JU283" s="111"/>
      <c r="JV283" s="111"/>
      <c r="JY283" s="111"/>
      <c r="KF283" s="111"/>
      <c r="KG283" s="111"/>
      <c r="KJ283" s="111"/>
      <c r="KR283" s="111"/>
      <c r="KS283" s="111"/>
      <c r="KV283" s="111"/>
    </row>
    <row r="284" spans="15:308" x14ac:dyDescent="0.2">
      <c r="O284" s="109"/>
      <c r="P284" s="109"/>
      <c r="X284" s="111"/>
      <c r="Y284" s="111"/>
      <c r="HW284" s="794"/>
      <c r="HX284" s="111"/>
      <c r="IA284" s="111"/>
      <c r="II284" s="111"/>
      <c r="IJ284" s="111"/>
      <c r="IM284" s="111"/>
      <c r="IU284" s="111"/>
      <c r="IV284" s="111"/>
      <c r="IY284" s="111"/>
      <c r="JI284" s="111"/>
      <c r="JJ284" s="111"/>
      <c r="JM284" s="111"/>
      <c r="JU284" s="111"/>
      <c r="JV284" s="111"/>
      <c r="JY284" s="111"/>
      <c r="KF284" s="111"/>
      <c r="KG284" s="111"/>
      <c r="KJ284" s="111"/>
      <c r="KR284" s="111"/>
      <c r="KS284" s="111"/>
      <c r="KV284" s="111"/>
    </row>
    <row r="285" spans="15:308" x14ac:dyDescent="0.2">
      <c r="O285" s="109"/>
      <c r="P285" s="109"/>
      <c r="X285" s="111"/>
      <c r="Y285" s="111"/>
      <c r="HW285" s="794"/>
      <c r="HX285" s="111"/>
      <c r="IA285" s="111"/>
      <c r="II285" s="111"/>
      <c r="IJ285" s="111"/>
      <c r="IM285" s="111"/>
      <c r="IU285" s="111"/>
      <c r="IV285" s="111"/>
      <c r="IY285" s="111"/>
      <c r="JI285" s="111"/>
      <c r="JJ285" s="111"/>
      <c r="JM285" s="111"/>
      <c r="JU285" s="111"/>
      <c r="JV285" s="111"/>
      <c r="JY285" s="111"/>
      <c r="KF285" s="111"/>
      <c r="KG285" s="111"/>
      <c r="KJ285" s="111"/>
      <c r="KR285" s="111"/>
      <c r="KS285" s="111"/>
      <c r="KV285" s="111"/>
    </row>
    <row r="286" spans="15:308" x14ac:dyDescent="0.2">
      <c r="O286" s="109"/>
      <c r="P286" s="109"/>
      <c r="X286" s="111"/>
      <c r="Y286" s="111"/>
      <c r="HW286" s="794"/>
      <c r="HX286" s="111"/>
      <c r="IA286" s="111"/>
      <c r="II286" s="111"/>
      <c r="IJ286" s="111"/>
      <c r="IM286" s="111"/>
      <c r="IU286" s="111"/>
      <c r="IV286" s="111"/>
      <c r="IY286" s="111"/>
      <c r="JI286" s="111"/>
      <c r="JJ286" s="111"/>
      <c r="JM286" s="111"/>
      <c r="JU286" s="111"/>
      <c r="JV286" s="111"/>
      <c r="JY286" s="111"/>
      <c r="KF286" s="111"/>
      <c r="KG286" s="111"/>
      <c r="KJ286" s="111"/>
      <c r="KR286" s="111"/>
      <c r="KS286" s="111"/>
      <c r="KV286" s="111"/>
    </row>
    <row r="287" spans="15:308" x14ac:dyDescent="0.2">
      <c r="O287" s="109"/>
      <c r="P287" s="109"/>
      <c r="X287" s="111"/>
      <c r="Y287" s="111"/>
      <c r="HW287" s="794"/>
      <c r="HX287" s="111"/>
      <c r="IA287" s="111"/>
      <c r="II287" s="111"/>
      <c r="IJ287" s="111"/>
      <c r="IM287" s="111"/>
      <c r="IU287" s="111"/>
      <c r="IV287" s="111"/>
      <c r="IY287" s="111"/>
      <c r="JI287" s="111"/>
      <c r="JJ287" s="111"/>
      <c r="JM287" s="111"/>
      <c r="JU287" s="111"/>
      <c r="JV287" s="111"/>
      <c r="JY287" s="111"/>
      <c r="KF287" s="111"/>
      <c r="KG287" s="111"/>
      <c r="KJ287" s="111"/>
      <c r="KR287" s="111"/>
      <c r="KS287" s="111"/>
      <c r="KV287" s="111"/>
    </row>
    <row r="288" spans="15:308" x14ac:dyDescent="0.2">
      <c r="O288" s="109"/>
      <c r="P288" s="109"/>
      <c r="X288" s="111"/>
      <c r="Y288" s="111"/>
      <c r="HW288" s="794"/>
      <c r="HX288" s="111"/>
      <c r="IA288" s="111"/>
      <c r="II288" s="111"/>
      <c r="IJ288" s="111"/>
      <c r="IM288" s="111"/>
      <c r="IU288" s="111"/>
      <c r="IV288" s="111"/>
      <c r="IY288" s="111"/>
      <c r="JI288" s="111"/>
      <c r="JJ288" s="111"/>
      <c r="JM288" s="111"/>
      <c r="JU288" s="111"/>
      <c r="JV288" s="111"/>
      <c r="JY288" s="111"/>
      <c r="KF288" s="111"/>
      <c r="KG288" s="111"/>
      <c r="KJ288" s="111"/>
      <c r="KR288" s="111"/>
      <c r="KS288" s="111"/>
      <c r="KV288" s="111"/>
    </row>
    <row r="289" spans="15:308" x14ac:dyDescent="0.2">
      <c r="O289" s="109"/>
      <c r="P289" s="109"/>
      <c r="X289" s="111"/>
      <c r="Y289" s="111"/>
      <c r="HW289" s="794"/>
      <c r="HX289" s="111"/>
      <c r="IA289" s="111"/>
      <c r="II289" s="111"/>
      <c r="IJ289" s="111"/>
      <c r="IM289" s="111"/>
      <c r="IU289" s="111"/>
      <c r="IV289" s="111"/>
      <c r="IY289" s="111"/>
      <c r="JI289" s="111"/>
      <c r="JJ289" s="111"/>
      <c r="JM289" s="111"/>
      <c r="JU289" s="111"/>
      <c r="JV289" s="111"/>
      <c r="JY289" s="111"/>
      <c r="KF289" s="111"/>
      <c r="KG289" s="111"/>
      <c r="KJ289" s="111"/>
      <c r="KR289" s="111"/>
      <c r="KS289" s="111"/>
      <c r="KV289" s="111"/>
    </row>
    <row r="290" spans="15:308" x14ac:dyDescent="0.2">
      <c r="O290" s="109"/>
      <c r="P290" s="109"/>
      <c r="X290" s="111"/>
      <c r="Y290" s="111"/>
      <c r="HW290" s="794"/>
      <c r="HX290" s="111"/>
      <c r="IA290" s="111"/>
      <c r="II290" s="111"/>
      <c r="IJ290" s="111"/>
      <c r="IM290" s="111"/>
      <c r="IU290" s="111"/>
      <c r="IV290" s="111"/>
      <c r="IY290" s="111"/>
      <c r="JI290" s="111"/>
      <c r="JJ290" s="111"/>
      <c r="JM290" s="111"/>
      <c r="JU290" s="111"/>
      <c r="JV290" s="111"/>
      <c r="JY290" s="111"/>
      <c r="KF290" s="111"/>
      <c r="KG290" s="111"/>
      <c r="KJ290" s="111"/>
      <c r="KR290" s="111"/>
      <c r="KS290" s="111"/>
      <c r="KV290" s="111"/>
    </row>
    <row r="291" spans="15:308" x14ac:dyDescent="0.2">
      <c r="O291" s="109"/>
      <c r="P291" s="109"/>
      <c r="X291" s="111"/>
      <c r="Y291" s="111"/>
      <c r="HW291" s="794"/>
      <c r="HX291" s="111"/>
      <c r="IA291" s="111"/>
      <c r="II291" s="111"/>
      <c r="IJ291" s="111"/>
      <c r="IM291" s="111"/>
      <c r="IU291" s="111"/>
      <c r="IV291" s="111"/>
      <c r="IY291" s="111"/>
      <c r="JI291" s="111"/>
      <c r="JJ291" s="111"/>
      <c r="JM291" s="111"/>
      <c r="JU291" s="111"/>
      <c r="JV291" s="111"/>
      <c r="JY291" s="111"/>
      <c r="KF291" s="111"/>
      <c r="KG291" s="111"/>
      <c r="KJ291" s="111"/>
      <c r="KR291" s="111"/>
      <c r="KS291" s="111"/>
      <c r="KV291" s="111"/>
    </row>
    <row r="292" spans="15:308" x14ac:dyDescent="0.2">
      <c r="O292" s="109"/>
      <c r="P292" s="109"/>
      <c r="X292" s="111"/>
      <c r="Y292" s="111"/>
      <c r="HW292" s="794"/>
      <c r="HX292" s="111"/>
      <c r="IA292" s="111"/>
      <c r="II292" s="111"/>
      <c r="IJ292" s="111"/>
      <c r="IM292" s="111"/>
      <c r="IU292" s="111"/>
      <c r="IV292" s="111"/>
      <c r="IY292" s="111"/>
      <c r="JI292" s="111"/>
      <c r="JJ292" s="111"/>
      <c r="JM292" s="111"/>
      <c r="JU292" s="111"/>
      <c r="JV292" s="111"/>
      <c r="JY292" s="111"/>
      <c r="KF292" s="111"/>
      <c r="KG292" s="111"/>
      <c r="KJ292" s="111"/>
      <c r="KR292" s="111"/>
      <c r="KS292" s="111"/>
      <c r="KV292" s="111"/>
    </row>
    <row r="293" spans="15:308" x14ac:dyDescent="0.2">
      <c r="O293" s="109"/>
      <c r="P293" s="109"/>
      <c r="X293" s="111"/>
      <c r="Y293" s="111"/>
      <c r="HW293" s="794"/>
      <c r="HX293" s="111"/>
      <c r="IA293" s="111"/>
      <c r="II293" s="111"/>
      <c r="IJ293" s="111"/>
      <c r="IM293" s="111"/>
      <c r="IU293" s="111"/>
      <c r="IV293" s="111"/>
      <c r="IY293" s="111"/>
      <c r="JI293" s="111"/>
      <c r="JJ293" s="111"/>
      <c r="JM293" s="111"/>
      <c r="JU293" s="111"/>
      <c r="JV293" s="111"/>
      <c r="JY293" s="111"/>
      <c r="KF293" s="111"/>
      <c r="KG293" s="111"/>
      <c r="KJ293" s="111"/>
      <c r="KR293" s="111"/>
      <c r="KS293" s="111"/>
      <c r="KV293" s="111"/>
    </row>
    <row r="294" spans="15:308" x14ac:dyDescent="0.2">
      <c r="O294" s="109"/>
      <c r="P294" s="109"/>
      <c r="X294" s="111"/>
      <c r="Y294" s="111"/>
      <c r="HW294" s="794"/>
      <c r="HX294" s="111"/>
      <c r="IA294" s="111"/>
      <c r="II294" s="111"/>
      <c r="IJ294" s="111"/>
      <c r="IM294" s="111"/>
      <c r="IU294" s="111"/>
      <c r="IV294" s="111"/>
      <c r="IY294" s="111"/>
      <c r="JI294" s="111"/>
      <c r="JJ294" s="111"/>
      <c r="JM294" s="111"/>
      <c r="JU294" s="111"/>
      <c r="JV294" s="111"/>
      <c r="JY294" s="111"/>
      <c r="KF294" s="111"/>
      <c r="KG294" s="111"/>
      <c r="KJ294" s="111"/>
      <c r="KR294" s="111"/>
      <c r="KS294" s="111"/>
      <c r="KV294" s="111"/>
    </row>
    <row r="295" spans="15:308" x14ac:dyDescent="0.2">
      <c r="O295" s="109"/>
      <c r="P295" s="109"/>
      <c r="X295" s="111"/>
      <c r="Y295" s="111"/>
      <c r="HW295" s="794"/>
      <c r="HX295" s="111"/>
      <c r="IA295" s="111"/>
      <c r="II295" s="111"/>
      <c r="IJ295" s="111"/>
      <c r="IM295" s="111"/>
      <c r="IU295" s="111"/>
      <c r="IV295" s="111"/>
      <c r="IY295" s="111"/>
      <c r="JI295" s="111"/>
      <c r="JJ295" s="111"/>
      <c r="JM295" s="111"/>
      <c r="JU295" s="111"/>
      <c r="JV295" s="111"/>
      <c r="JY295" s="111"/>
      <c r="KF295" s="111"/>
      <c r="KG295" s="111"/>
      <c r="KJ295" s="111"/>
      <c r="KR295" s="111"/>
      <c r="KS295" s="111"/>
      <c r="KV295" s="111"/>
    </row>
    <row r="296" spans="15:308" x14ac:dyDescent="0.2">
      <c r="O296" s="109"/>
      <c r="P296" s="109"/>
      <c r="X296" s="111"/>
      <c r="Y296" s="111"/>
      <c r="HW296" s="794"/>
      <c r="HX296" s="111"/>
      <c r="IA296" s="111"/>
      <c r="II296" s="111"/>
      <c r="IJ296" s="111"/>
      <c r="IM296" s="111"/>
      <c r="IU296" s="111"/>
      <c r="IV296" s="111"/>
      <c r="IY296" s="111"/>
      <c r="JI296" s="111"/>
      <c r="JJ296" s="111"/>
      <c r="JM296" s="111"/>
      <c r="JU296" s="111"/>
      <c r="JV296" s="111"/>
      <c r="JY296" s="111"/>
      <c r="KF296" s="111"/>
      <c r="KG296" s="111"/>
      <c r="KJ296" s="111"/>
      <c r="KR296" s="111"/>
      <c r="KS296" s="111"/>
      <c r="KV296" s="111"/>
    </row>
    <row r="297" spans="15:308" x14ac:dyDescent="0.2">
      <c r="O297" s="109"/>
      <c r="P297" s="109"/>
      <c r="X297" s="111"/>
      <c r="Y297" s="111"/>
      <c r="HW297" s="794"/>
      <c r="HX297" s="111"/>
      <c r="IA297" s="111"/>
      <c r="II297" s="111"/>
      <c r="IJ297" s="111"/>
      <c r="IM297" s="111"/>
      <c r="IU297" s="111"/>
      <c r="IV297" s="111"/>
      <c r="IY297" s="111"/>
      <c r="JI297" s="111"/>
      <c r="JJ297" s="111"/>
      <c r="JM297" s="111"/>
      <c r="JU297" s="111"/>
      <c r="JV297" s="111"/>
      <c r="JY297" s="111"/>
      <c r="KF297" s="111"/>
      <c r="KG297" s="111"/>
      <c r="KJ297" s="111"/>
      <c r="KR297" s="111"/>
      <c r="KS297" s="111"/>
      <c r="KV297" s="111"/>
    </row>
    <row r="298" spans="15:308" x14ac:dyDescent="0.2">
      <c r="O298" s="109"/>
      <c r="P298" s="109"/>
      <c r="X298" s="111"/>
      <c r="Y298" s="111"/>
      <c r="HW298" s="794"/>
      <c r="HX298" s="111"/>
      <c r="IA298" s="111"/>
      <c r="II298" s="111"/>
      <c r="IJ298" s="111"/>
      <c r="IM298" s="111"/>
      <c r="IU298" s="111"/>
      <c r="IV298" s="111"/>
      <c r="IY298" s="111"/>
      <c r="JI298" s="111"/>
      <c r="JJ298" s="111"/>
      <c r="JM298" s="111"/>
      <c r="JU298" s="111"/>
      <c r="JV298" s="111"/>
      <c r="JY298" s="111"/>
      <c r="KF298" s="111"/>
      <c r="KG298" s="111"/>
      <c r="KJ298" s="111"/>
      <c r="KR298" s="111"/>
      <c r="KS298" s="111"/>
      <c r="KV298" s="111"/>
    </row>
    <row r="299" spans="15:308" x14ac:dyDescent="0.2">
      <c r="O299" s="109"/>
      <c r="P299" s="109"/>
      <c r="X299" s="111"/>
      <c r="Y299" s="111"/>
      <c r="HW299" s="794"/>
      <c r="HX299" s="111"/>
      <c r="IA299" s="111"/>
      <c r="II299" s="111"/>
      <c r="IJ299" s="111"/>
      <c r="IM299" s="111"/>
      <c r="IU299" s="111"/>
      <c r="IV299" s="111"/>
      <c r="IY299" s="111"/>
      <c r="JI299" s="111"/>
      <c r="JJ299" s="111"/>
      <c r="JM299" s="111"/>
      <c r="JU299" s="111"/>
      <c r="JV299" s="111"/>
      <c r="JY299" s="111"/>
      <c r="KF299" s="111"/>
      <c r="KG299" s="111"/>
      <c r="KJ299" s="111"/>
      <c r="KR299" s="111"/>
      <c r="KS299" s="111"/>
      <c r="KV299" s="111"/>
    </row>
    <row r="300" spans="15:308" x14ac:dyDescent="0.2">
      <c r="O300" s="109"/>
      <c r="P300" s="109"/>
      <c r="X300" s="111"/>
      <c r="Y300" s="111"/>
      <c r="HW300" s="794"/>
      <c r="HX300" s="111"/>
      <c r="IA300" s="111"/>
      <c r="II300" s="111"/>
      <c r="IJ300" s="111"/>
      <c r="IM300" s="111"/>
      <c r="IU300" s="111"/>
      <c r="IV300" s="111"/>
      <c r="IY300" s="111"/>
      <c r="JI300" s="111"/>
      <c r="JJ300" s="111"/>
      <c r="JM300" s="111"/>
      <c r="JU300" s="111"/>
      <c r="JV300" s="111"/>
      <c r="JY300" s="111"/>
      <c r="KF300" s="111"/>
      <c r="KG300" s="111"/>
      <c r="KJ300" s="111"/>
      <c r="KR300" s="111"/>
      <c r="KS300" s="111"/>
      <c r="KV300" s="111"/>
    </row>
    <row r="301" spans="15:308" x14ac:dyDescent="0.2">
      <c r="O301" s="109"/>
      <c r="P301" s="109"/>
      <c r="X301" s="111"/>
      <c r="Y301" s="111"/>
      <c r="HW301" s="794"/>
      <c r="HX301" s="111"/>
      <c r="IA301" s="111"/>
      <c r="II301" s="111"/>
      <c r="IJ301" s="111"/>
      <c r="IM301" s="111"/>
      <c r="IU301" s="111"/>
      <c r="IV301" s="111"/>
      <c r="IY301" s="111"/>
      <c r="JI301" s="111"/>
      <c r="JJ301" s="111"/>
      <c r="JM301" s="111"/>
      <c r="JU301" s="111"/>
      <c r="JV301" s="111"/>
      <c r="JY301" s="111"/>
      <c r="KF301" s="111"/>
      <c r="KG301" s="111"/>
      <c r="KJ301" s="111"/>
      <c r="KR301" s="111"/>
      <c r="KS301" s="111"/>
      <c r="KV301" s="111"/>
    </row>
    <row r="302" spans="15:308" x14ac:dyDescent="0.2">
      <c r="O302" s="109"/>
      <c r="P302" s="109"/>
      <c r="X302" s="111"/>
      <c r="Y302" s="111"/>
      <c r="HW302" s="794"/>
      <c r="HX302" s="111"/>
      <c r="IA302" s="111"/>
      <c r="II302" s="111"/>
      <c r="IJ302" s="111"/>
      <c r="IM302" s="111"/>
      <c r="IU302" s="111"/>
      <c r="IV302" s="111"/>
      <c r="IY302" s="111"/>
      <c r="JI302" s="111"/>
      <c r="JJ302" s="111"/>
      <c r="JM302" s="111"/>
      <c r="JU302" s="111"/>
      <c r="JV302" s="111"/>
      <c r="JY302" s="111"/>
      <c r="KF302" s="111"/>
      <c r="KG302" s="111"/>
      <c r="KJ302" s="111"/>
      <c r="KR302" s="111"/>
      <c r="KS302" s="111"/>
      <c r="KV302" s="111"/>
    </row>
    <row r="303" spans="15:308" x14ac:dyDescent="0.2">
      <c r="O303" s="109"/>
      <c r="P303" s="109"/>
      <c r="X303" s="111"/>
      <c r="Y303" s="111"/>
      <c r="HW303" s="794"/>
      <c r="HX303" s="111"/>
      <c r="IA303" s="111"/>
      <c r="II303" s="111"/>
      <c r="IJ303" s="111"/>
      <c r="IM303" s="111"/>
      <c r="IU303" s="111"/>
      <c r="IV303" s="111"/>
      <c r="IY303" s="111"/>
      <c r="JI303" s="111"/>
      <c r="JJ303" s="111"/>
      <c r="JM303" s="111"/>
      <c r="JU303" s="111"/>
      <c r="JV303" s="111"/>
      <c r="JY303" s="111"/>
      <c r="KF303" s="111"/>
      <c r="KG303" s="111"/>
      <c r="KJ303" s="111"/>
      <c r="KR303" s="111"/>
      <c r="KS303" s="111"/>
      <c r="KV303" s="111"/>
    </row>
    <row r="304" spans="15:308" x14ac:dyDescent="0.2">
      <c r="O304" s="109"/>
      <c r="P304" s="109"/>
      <c r="X304" s="111"/>
      <c r="Y304" s="111"/>
      <c r="HW304" s="794"/>
      <c r="HX304" s="111"/>
      <c r="IA304" s="111"/>
      <c r="II304" s="111"/>
      <c r="IJ304" s="111"/>
      <c r="IM304" s="111"/>
      <c r="IU304" s="111"/>
      <c r="IV304" s="111"/>
      <c r="IY304" s="111"/>
      <c r="JI304" s="111"/>
      <c r="JJ304" s="111"/>
      <c r="JM304" s="111"/>
      <c r="JU304" s="111"/>
      <c r="JV304" s="111"/>
      <c r="JY304" s="111"/>
      <c r="KF304" s="111"/>
      <c r="KG304" s="111"/>
      <c r="KJ304" s="111"/>
      <c r="KR304" s="111"/>
      <c r="KS304" s="111"/>
      <c r="KV304" s="111"/>
    </row>
    <row r="305" spans="15:308" x14ac:dyDescent="0.2">
      <c r="O305" s="109"/>
      <c r="P305" s="109"/>
      <c r="X305" s="111"/>
      <c r="Y305" s="111"/>
      <c r="HW305" s="794"/>
      <c r="HX305" s="111"/>
      <c r="IA305" s="111"/>
      <c r="II305" s="111"/>
      <c r="IJ305" s="111"/>
      <c r="IM305" s="111"/>
      <c r="IU305" s="111"/>
      <c r="IV305" s="111"/>
      <c r="IY305" s="111"/>
      <c r="JI305" s="111"/>
      <c r="JJ305" s="111"/>
      <c r="JM305" s="111"/>
      <c r="JU305" s="111"/>
      <c r="JV305" s="111"/>
      <c r="JY305" s="111"/>
      <c r="KF305" s="111"/>
      <c r="KG305" s="111"/>
      <c r="KJ305" s="111"/>
      <c r="KR305" s="111"/>
      <c r="KS305" s="111"/>
      <c r="KV305" s="111"/>
    </row>
    <row r="306" spans="15:308" x14ac:dyDescent="0.2">
      <c r="O306" s="109"/>
      <c r="P306" s="109"/>
      <c r="X306" s="111"/>
      <c r="Y306" s="111"/>
      <c r="HW306" s="794"/>
      <c r="HX306" s="111"/>
      <c r="IA306" s="111"/>
      <c r="II306" s="111"/>
      <c r="IJ306" s="111"/>
      <c r="IM306" s="111"/>
      <c r="IU306" s="111"/>
      <c r="IV306" s="111"/>
      <c r="IY306" s="111"/>
      <c r="JI306" s="111"/>
      <c r="JJ306" s="111"/>
      <c r="JM306" s="111"/>
      <c r="JU306" s="111"/>
      <c r="JV306" s="111"/>
      <c r="JY306" s="111"/>
      <c r="KF306" s="111"/>
      <c r="KG306" s="111"/>
      <c r="KJ306" s="111"/>
      <c r="KR306" s="111"/>
      <c r="KS306" s="111"/>
      <c r="KV306" s="111"/>
    </row>
    <row r="307" spans="15:308" x14ac:dyDescent="0.2">
      <c r="O307" s="109"/>
      <c r="P307" s="109"/>
      <c r="X307" s="111"/>
      <c r="Y307" s="111"/>
      <c r="HW307" s="794"/>
      <c r="HX307" s="111"/>
      <c r="IA307" s="111"/>
      <c r="II307" s="111"/>
      <c r="IJ307" s="111"/>
      <c r="IM307" s="111"/>
      <c r="IU307" s="111"/>
      <c r="IV307" s="111"/>
      <c r="IY307" s="111"/>
      <c r="JI307" s="111"/>
      <c r="JJ307" s="111"/>
      <c r="JM307" s="111"/>
      <c r="JU307" s="111"/>
      <c r="JV307" s="111"/>
      <c r="JY307" s="111"/>
      <c r="KF307" s="111"/>
      <c r="KG307" s="111"/>
      <c r="KJ307" s="111"/>
      <c r="KR307" s="111"/>
      <c r="KS307" s="111"/>
      <c r="KV307" s="111"/>
    </row>
    <row r="308" spans="15:308" x14ac:dyDescent="0.2">
      <c r="O308" s="109"/>
      <c r="P308" s="109"/>
      <c r="X308" s="111"/>
      <c r="Y308" s="111"/>
      <c r="HW308" s="794"/>
      <c r="HX308" s="111"/>
      <c r="IA308" s="111"/>
      <c r="II308" s="111"/>
      <c r="IJ308" s="111"/>
      <c r="IM308" s="111"/>
      <c r="IU308" s="111"/>
      <c r="IV308" s="111"/>
      <c r="IY308" s="111"/>
      <c r="JI308" s="111"/>
      <c r="JJ308" s="111"/>
      <c r="JM308" s="111"/>
      <c r="JU308" s="111"/>
      <c r="JV308" s="111"/>
      <c r="JY308" s="111"/>
      <c r="KF308" s="111"/>
      <c r="KG308" s="111"/>
      <c r="KJ308" s="111"/>
      <c r="KR308" s="111"/>
      <c r="KS308" s="111"/>
      <c r="KV308" s="111"/>
    </row>
    <row r="309" spans="15:308" x14ac:dyDescent="0.2">
      <c r="O309" s="109"/>
      <c r="P309" s="109"/>
      <c r="X309" s="111"/>
      <c r="Y309" s="111"/>
      <c r="HW309" s="794"/>
      <c r="HX309" s="111"/>
      <c r="IA309" s="111"/>
      <c r="II309" s="111"/>
      <c r="IJ309" s="111"/>
      <c r="IM309" s="111"/>
      <c r="IU309" s="111"/>
      <c r="IV309" s="111"/>
      <c r="IY309" s="111"/>
      <c r="JI309" s="111"/>
      <c r="JJ309" s="111"/>
      <c r="JM309" s="111"/>
      <c r="JU309" s="111"/>
      <c r="JV309" s="111"/>
      <c r="JY309" s="111"/>
      <c r="KF309" s="111"/>
      <c r="KG309" s="111"/>
      <c r="KJ309" s="111"/>
      <c r="KR309" s="111"/>
      <c r="KS309" s="111"/>
      <c r="KV309" s="111"/>
    </row>
    <row r="310" spans="15:308" x14ac:dyDescent="0.2">
      <c r="O310" s="109"/>
      <c r="P310" s="109"/>
      <c r="X310" s="111"/>
      <c r="Y310" s="111"/>
      <c r="HW310" s="794"/>
      <c r="HX310" s="111"/>
      <c r="IA310" s="111"/>
      <c r="II310" s="111"/>
      <c r="IJ310" s="111"/>
      <c r="IM310" s="111"/>
      <c r="IU310" s="111"/>
      <c r="IV310" s="111"/>
      <c r="IY310" s="111"/>
      <c r="JI310" s="111"/>
      <c r="JJ310" s="111"/>
      <c r="JM310" s="111"/>
      <c r="JU310" s="111"/>
      <c r="JV310" s="111"/>
      <c r="JY310" s="111"/>
      <c r="KF310" s="111"/>
      <c r="KG310" s="111"/>
      <c r="KJ310" s="111"/>
      <c r="KR310" s="111"/>
      <c r="KS310" s="111"/>
      <c r="KV310" s="111"/>
    </row>
    <row r="311" spans="15:308" x14ac:dyDescent="0.2">
      <c r="O311" s="109"/>
      <c r="P311" s="109"/>
      <c r="X311" s="111"/>
      <c r="Y311" s="111"/>
      <c r="HW311" s="794"/>
      <c r="HX311" s="111"/>
      <c r="IA311" s="111"/>
      <c r="II311" s="111"/>
      <c r="IJ311" s="111"/>
      <c r="IM311" s="111"/>
      <c r="IU311" s="111"/>
      <c r="IV311" s="111"/>
      <c r="IY311" s="111"/>
      <c r="JI311" s="111"/>
      <c r="JJ311" s="111"/>
      <c r="JM311" s="111"/>
      <c r="JU311" s="111"/>
      <c r="JV311" s="111"/>
      <c r="JY311" s="111"/>
      <c r="KF311" s="111"/>
      <c r="KG311" s="111"/>
      <c r="KJ311" s="111"/>
      <c r="KR311" s="111"/>
      <c r="KS311" s="111"/>
      <c r="KV311" s="111"/>
    </row>
    <row r="312" spans="15:308" x14ac:dyDescent="0.2">
      <c r="O312" s="109"/>
      <c r="P312" s="109"/>
      <c r="X312" s="111"/>
      <c r="Y312" s="111"/>
      <c r="HW312" s="794"/>
      <c r="HX312" s="111"/>
      <c r="IA312" s="111"/>
      <c r="II312" s="111"/>
      <c r="IJ312" s="111"/>
      <c r="IM312" s="111"/>
      <c r="IU312" s="111"/>
      <c r="IV312" s="111"/>
      <c r="IY312" s="111"/>
      <c r="JI312" s="111"/>
      <c r="JJ312" s="111"/>
      <c r="JM312" s="111"/>
      <c r="JU312" s="111"/>
      <c r="JV312" s="111"/>
      <c r="JY312" s="111"/>
      <c r="KF312" s="111"/>
      <c r="KG312" s="111"/>
      <c r="KJ312" s="111"/>
      <c r="KR312" s="111"/>
      <c r="KS312" s="111"/>
      <c r="KV312" s="111"/>
    </row>
    <row r="313" spans="15:308" x14ac:dyDescent="0.2">
      <c r="O313" s="109"/>
      <c r="P313" s="109"/>
      <c r="X313" s="111"/>
      <c r="Y313" s="111"/>
      <c r="HW313" s="794"/>
      <c r="HX313" s="111"/>
      <c r="IA313" s="111"/>
      <c r="II313" s="111"/>
      <c r="IJ313" s="111"/>
      <c r="IM313" s="111"/>
      <c r="IU313" s="111"/>
      <c r="IV313" s="111"/>
      <c r="IY313" s="111"/>
      <c r="JI313" s="111"/>
      <c r="JJ313" s="111"/>
      <c r="JM313" s="111"/>
      <c r="JU313" s="111"/>
      <c r="JV313" s="111"/>
      <c r="JY313" s="111"/>
      <c r="KF313" s="111"/>
      <c r="KG313" s="111"/>
      <c r="KJ313" s="111"/>
      <c r="KR313" s="111"/>
      <c r="KS313" s="111"/>
      <c r="KV313" s="111"/>
    </row>
    <row r="314" spans="15:308" x14ac:dyDescent="0.2">
      <c r="O314" s="109"/>
      <c r="P314" s="109"/>
      <c r="X314" s="111"/>
      <c r="Y314" s="111"/>
      <c r="HW314" s="794"/>
      <c r="HX314" s="111"/>
      <c r="IA314" s="111"/>
      <c r="II314" s="111"/>
      <c r="IJ314" s="111"/>
      <c r="IM314" s="111"/>
      <c r="IU314" s="111"/>
      <c r="IV314" s="111"/>
      <c r="IY314" s="111"/>
      <c r="JI314" s="111"/>
      <c r="JJ314" s="111"/>
      <c r="JM314" s="111"/>
      <c r="JU314" s="111"/>
      <c r="JV314" s="111"/>
      <c r="JY314" s="111"/>
      <c r="KF314" s="111"/>
      <c r="KG314" s="111"/>
      <c r="KJ314" s="111"/>
      <c r="KR314" s="111"/>
      <c r="KS314" s="111"/>
      <c r="KV314" s="111"/>
    </row>
    <row r="315" spans="15:308" x14ac:dyDescent="0.2">
      <c r="O315" s="109"/>
      <c r="P315" s="109"/>
      <c r="X315" s="111"/>
      <c r="Y315" s="111"/>
      <c r="HW315" s="794"/>
      <c r="HX315" s="111"/>
      <c r="IA315" s="111"/>
      <c r="II315" s="111"/>
      <c r="IJ315" s="111"/>
      <c r="IM315" s="111"/>
      <c r="IU315" s="111"/>
      <c r="IV315" s="111"/>
      <c r="IY315" s="111"/>
      <c r="JI315" s="111"/>
      <c r="JJ315" s="111"/>
      <c r="JM315" s="111"/>
      <c r="JU315" s="111"/>
      <c r="JV315" s="111"/>
      <c r="JY315" s="111"/>
      <c r="KF315" s="111"/>
      <c r="KG315" s="111"/>
      <c r="KJ315" s="111"/>
      <c r="KR315" s="111"/>
      <c r="KS315" s="111"/>
      <c r="KV315" s="111"/>
    </row>
    <row r="316" spans="15:308" x14ac:dyDescent="0.2">
      <c r="O316" s="109"/>
      <c r="P316" s="109"/>
      <c r="X316" s="111"/>
      <c r="Y316" s="111"/>
      <c r="HW316" s="794"/>
      <c r="HX316" s="111"/>
      <c r="IA316" s="111"/>
      <c r="II316" s="111"/>
      <c r="IJ316" s="111"/>
      <c r="IM316" s="111"/>
      <c r="IU316" s="111"/>
      <c r="IV316" s="111"/>
      <c r="IY316" s="111"/>
      <c r="JI316" s="111"/>
      <c r="JJ316" s="111"/>
      <c r="JM316" s="111"/>
      <c r="JU316" s="111"/>
      <c r="JV316" s="111"/>
      <c r="JY316" s="111"/>
      <c r="KF316" s="111"/>
      <c r="KG316" s="111"/>
      <c r="KJ316" s="111"/>
      <c r="KR316" s="111"/>
      <c r="KS316" s="111"/>
      <c r="KV316" s="111"/>
    </row>
    <row r="317" spans="15:308" x14ac:dyDescent="0.2">
      <c r="O317" s="109"/>
      <c r="P317" s="109"/>
      <c r="X317" s="111"/>
      <c r="Y317" s="111"/>
      <c r="HW317" s="794"/>
      <c r="HX317" s="111"/>
      <c r="IA317" s="111"/>
      <c r="II317" s="111"/>
      <c r="IJ317" s="111"/>
      <c r="IM317" s="111"/>
      <c r="IU317" s="111"/>
      <c r="IV317" s="111"/>
      <c r="IY317" s="111"/>
      <c r="JI317" s="111"/>
      <c r="JJ317" s="111"/>
      <c r="JM317" s="111"/>
      <c r="JU317" s="111"/>
      <c r="JV317" s="111"/>
      <c r="JY317" s="111"/>
      <c r="KF317" s="111"/>
      <c r="KG317" s="111"/>
      <c r="KJ317" s="111"/>
      <c r="KR317" s="111"/>
      <c r="KS317" s="111"/>
      <c r="KV317" s="111"/>
    </row>
    <row r="318" spans="15:308" x14ac:dyDescent="0.2">
      <c r="O318" s="109"/>
      <c r="P318" s="109"/>
      <c r="X318" s="111"/>
      <c r="Y318" s="111"/>
      <c r="HW318" s="794"/>
      <c r="HX318" s="111"/>
      <c r="IA318" s="111"/>
      <c r="II318" s="111"/>
      <c r="IJ318" s="111"/>
      <c r="IM318" s="111"/>
      <c r="IU318" s="111"/>
      <c r="IV318" s="111"/>
      <c r="IY318" s="111"/>
      <c r="JI318" s="111"/>
      <c r="JJ318" s="111"/>
      <c r="JM318" s="111"/>
      <c r="JU318" s="111"/>
      <c r="JV318" s="111"/>
      <c r="JY318" s="111"/>
      <c r="KF318" s="111"/>
      <c r="KG318" s="111"/>
      <c r="KJ318" s="111"/>
      <c r="KR318" s="111"/>
      <c r="KS318" s="111"/>
      <c r="KV318" s="111"/>
    </row>
    <row r="319" spans="15:308" x14ac:dyDescent="0.2">
      <c r="O319" s="109"/>
      <c r="P319" s="109"/>
      <c r="X319" s="111"/>
      <c r="Y319" s="111"/>
      <c r="HW319" s="794"/>
      <c r="HX319" s="111"/>
      <c r="IA319" s="111"/>
      <c r="II319" s="111"/>
      <c r="IJ319" s="111"/>
      <c r="IM319" s="111"/>
      <c r="IU319" s="111"/>
      <c r="IV319" s="111"/>
      <c r="IY319" s="111"/>
      <c r="JI319" s="111"/>
      <c r="JJ319" s="111"/>
      <c r="JM319" s="111"/>
      <c r="JU319" s="111"/>
      <c r="JV319" s="111"/>
      <c r="JY319" s="111"/>
      <c r="KF319" s="111"/>
      <c r="KG319" s="111"/>
      <c r="KJ319" s="111"/>
      <c r="KR319" s="111"/>
      <c r="KS319" s="111"/>
      <c r="KV319" s="111"/>
    </row>
    <row r="320" spans="15:308" x14ac:dyDescent="0.2">
      <c r="O320" s="109"/>
      <c r="P320" s="109"/>
      <c r="X320" s="111"/>
      <c r="Y320" s="111"/>
      <c r="HW320" s="794"/>
      <c r="HX320" s="111"/>
      <c r="IA320" s="111"/>
      <c r="II320" s="111"/>
      <c r="IJ320" s="111"/>
      <c r="IM320" s="111"/>
      <c r="IU320" s="111"/>
      <c r="IV320" s="111"/>
      <c r="IY320" s="111"/>
      <c r="JI320" s="111"/>
      <c r="JJ320" s="111"/>
      <c r="JM320" s="111"/>
      <c r="JU320" s="111"/>
      <c r="JV320" s="111"/>
      <c r="JY320" s="111"/>
      <c r="KF320" s="111"/>
      <c r="KG320" s="111"/>
      <c r="KJ320" s="111"/>
      <c r="KR320" s="111"/>
      <c r="KS320" s="111"/>
      <c r="KV320" s="111"/>
    </row>
    <row r="321" spans="15:308" x14ac:dyDescent="0.2">
      <c r="O321" s="109"/>
      <c r="P321" s="109"/>
      <c r="X321" s="111"/>
      <c r="Y321" s="111"/>
      <c r="HW321" s="794"/>
      <c r="HX321" s="111"/>
      <c r="IA321" s="111"/>
      <c r="II321" s="111"/>
      <c r="IJ321" s="111"/>
      <c r="IM321" s="111"/>
      <c r="IU321" s="111"/>
      <c r="IV321" s="111"/>
      <c r="IY321" s="111"/>
      <c r="JI321" s="111"/>
      <c r="JJ321" s="111"/>
      <c r="JM321" s="111"/>
      <c r="JU321" s="111"/>
      <c r="JV321" s="111"/>
      <c r="JY321" s="111"/>
      <c r="KF321" s="111"/>
      <c r="KG321" s="111"/>
      <c r="KJ321" s="111"/>
      <c r="KR321" s="111"/>
      <c r="KS321" s="111"/>
      <c r="KV321" s="111"/>
    </row>
    <row r="322" spans="15:308" x14ac:dyDescent="0.2">
      <c r="O322" s="109"/>
      <c r="P322" s="109"/>
      <c r="X322" s="111"/>
      <c r="Y322" s="111"/>
      <c r="HW322" s="794"/>
      <c r="HX322" s="111"/>
      <c r="IA322" s="111"/>
      <c r="II322" s="111"/>
      <c r="IJ322" s="111"/>
      <c r="IM322" s="111"/>
      <c r="IU322" s="111"/>
      <c r="IV322" s="111"/>
      <c r="IY322" s="111"/>
      <c r="JI322" s="111"/>
      <c r="JJ322" s="111"/>
      <c r="JM322" s="111"/>
      <c r="JU322" s="111"/>
      <c r="JV322" s="111"/>
      <c r="JY322" s="111"/>
      <c r="KF322" s="111"/>
      <c r="KG322" s="111"/>
      <c r="KJ322" s="111"/>
      <c r="KR322" s="111"/>
      <c r="KS322" s="111"/>
      <c r="KV322" s="111"/>
    </row>
    <row r="323" spans="15:308" x14ac:dyDescent="0.2">
      <c r="O323" s="109"/>
      <c r="P323" s="109"/>
      <c r="X323" s="111"/>
      <c r="Y323" s="111"/>
      <c r="HW323" s="794"/>
      <c r="HX323" s="111"/>
      <c r="II323" s="111"/>
      <c r="IJ323" s="111"/>
      <c r="IU323" s="111"/>
      <c r="IV323" s="111"/>
      <c r="JI323" s="111"/>
      <c r="JJ323" s="111"/>
      <c r="JU323" s="111"/>
      <c r="JV323" s="111"/>
      <c r="KF323" s="111"/>
      <c r="KG323" s="111"/>
      <c r="KR323" s="111"/>
      <c r="KS323" s="111"/>
    </row>
    <row r="324" spans="15:308" x14ac:dyDescent="0.2">
      <c r="O324" s="109"/>
      <c r="P324" s="109"/>
      <c r="X324" s="111"/>
      <c r="Y324" s="111"/>
      <c r="HW324" s="794"/>
      <c r="HX324" s="111"/>
      <c r="II324" s="111"/>
      <c r="IJ324" s="111"/>
      <c r="IU324" s="111"/>
      <c r="IV324" s="111"/>
      <c r="JI324" s="111"/>
      <c r="JJ324" s="111"/>
      <c r="JU324" s="111"/>
      <c r="JV324" s="111"/>
      <c r="KF324" s="111"/>
      <c r="KG324" s="111"/>
      <c r="KR324" s="111"/>
      <c r="KS324" s="111"/>
    </row>
    <row r="325" spans="15:308" x14ac:dyDescent="0.2">
      <c r="O325" s="109"/>
      <c r="P325" s="109"/>
      <c r="X325" s="111"/>
      <c r="Y325" s="111"/>
      <c r="HW325" s="794"/>
      <c r="HX325" s="111"/>
      <c r="II325" s="111"/>
      <c r="IJ325" s="111"/>
      <c r="IU325" s="111"/>
      <c r="IV325" s="111"/>
      <c r="JI325" s="111"/>
      <c r="JJ325" s="111"/>
      <c r="JU325" s="111"/>
      <c r="JV325" s="111"/>
      <c r="KF325" s="111"/>
      <c r="KG325" s="111"/>
      <c r="KR325" s="111"/>
      <c r="KS325" s="111"/>
    </row>
    <row r="326" spans="15:308" x14ac:dyDescent="0.2">
      <c r="O326" s="109"/>
      <c r="P326" s="109"/>
      <c r="X326" s="111"/>
      <c r="Y326" s="111"/>
      <c r="HW326" s="794"/>
      <c r="HX326" s="111"/>
      <c r="II326" s="111"/>
      <c r="IJ326" s="111"/>
      <c r="IU326" s="111"/>
      <c r="IV326" s="111"/>
      <c r="JI326" s="111"/>
      <c r="JJ326" s="111"/>
      <c r="JU326" s="111"/>
      <c r="JV326" s="111"/>
      <c r="KF326" s="111"/>
      <c r="KG326" s="111"/>
      <c r="KR326" s="111"/>
      <c r="KS326" s="111"/>
    </row>
    <row r="327" spans="15:308" x14ac:dyDescent="0.2">
      <c r="O327" s="109"/>
      <c r="P327" s="109"/>
      <c r="X327" s="111"/>
      <c r="Y327" s="111"/>
      <c r="HW327" s="794"/>
      <c r="HX327" s="111"/>
      <c r="II327" s="111"/>
      <c r="IJ327" s="111"/>
      <c r="IU327" s="111"/>
      <c r="IV327" s="111"/>
      <c r="JI327" s="111"/>
      <c r="JJ327" s="111"/>
      <c r="JU327" s="111"/>
      <c r="JV327" s="111"/>
      <c r="KF327" s="111"/>
      <c r="KG327" s="111"/>
      <c r="KR327" s="111"/>
      <c r="KS327" s="111"/>
    </row>
    <row r="328" spans="15:308" x14ac:dyDescent="0.2">
      <c r="O328" s="109"/>
      <c r="P328" s="109"/>
      <c r="X328" s="111"/>
      <c r="Y328" s="111"/>
      <c r="HW328" s="794"/>
      <c r="HX328" s="111"/>
      <c r="II328" s="111"/>
      <c r="IJ328" s="111"/>
      <c r="IU328" s="111"/>
      <c r="IV328" s="111"/>
      <c r="JI328" s="111"/>
      <c r="JJ328" s="111"/>
      <c r="JU328" s="111"/>
      <c r="JV328" s="111"/>
      <c r="KF328" s="111"/>
      <c r="KG328" s="111"/>
      <c r="KR328" s="111"/>
      <c r="KS328" s="111"/>
    </row>
    <row r="329" spans="15:308" x14ac:dyDescent="0.2">
      <c r="O329" s="109"/>
      <c r="P329" s="109"/>
      <c r="X329" s="111"/>
      <c r="Y329" s="111"/>
      <c r="HW329" s="794"/>
      <c r="HX329" s="111"/>
      <c r="II329" s="111"/>
      <c r="IJ329" s="111"/>
      <c r="IU329" s="111"/>
      <c r="IV329" s="111"/>
      <c r="JI329" s="111"/>
      <c r="JJ329" s="111"/>
      <c r="JU329" s="111"/>
      <c r="JV329" s="111"/>
      <c r="KF329" s="111"/>
      <c r="KG329" s="111"/>
      <c r="KR329" s="111"/>
      <c r="KS329" s="111"/>
    </row>
    <row r="330" spans="15:308" x14ac:dyDescent="0.2">
      <c r="O330" s="109"/>
      <c r="P330" s="109"/>
      <c r="X330" s="111"/>
      <c r="Y330" s="111"/>
      <c r="HW330" s="794"/>
      <c r="HX330" s="111"/>
      <c r="II330" s="111"/>
      <c r="IJ330" s="111"/>
      <c r="IU330" s="111"/>
      <c r="IV330" s="111"/>
      <c r="JI330" s="111"/>
      <c r="JJ330" s="111"/>
      <c r="JU330" s="111"/>
      <c r="JV330" s="111"/>
      <c r="KF330" s="111"/>
      <c r="KG330" s="111"/>
      <c r="KR330" s="111"/>
      <c r="KS330" s="111"/>
    </row>
    <row r="331" spans="15:308" x14ac:dyDescent="0.2">
      <c r="O331" s="109"/>
      <c r="P331" s="109"/>
      <c r="X331" s="111"/>
      <c r="Y331" s="111"/>
      <c r="HW331" s="794"/>
      <c r="HX331" s="111"/>
      <c r="II331" s="111"/>
      <c r="IJ331" s="111"/>
      <c r="IU331" s="111"/>
      <c r="IV331" s="111"/>
      <c r="JI331" s="111"/>
      <c r="JJ331" s="111"/>
      <c r="JU331" s="111"/>
      <c r="JV331" s="111"/>
      <c r="KF331" s="111"/>
      <c r="KG331" s="111"/>
      <c r="KR331" s="111"/>
      <c r="KS331" s="111"/>
    </row>
    <row r="332" spans="15:308" x14ac:dyDescent="0.2">
      <c r="O332" s="109"/>
      <c r="P332" s="109"/>
      <c r="X332" s="111"/>
      <c r="Y332" s="111"/>
      <c r="HW332" s="794"/>
      <c r="HX332" s="111"/>
      <c r="II332" s="111"/>
      <c r="IJ332" s="111"/>
      <c r="IU332" s="111"/>
      <c r="IV332" s="111"/>
      <c r="JI332" s="111"/>
      <c r="JJ332" s="111"/>
      <c r="JU332" s="111"/>
      <c r="JV332" s="111"/>
      <c r="KF332" s="111"/>
      <c r="KG332" s="111"/>
      <c r="KR332" s="111"/>
      <c r="KS332" s="111"/>
    </row>
    <row r="333" spans="15:308" x14ac:dyDescent="0.2">
      <c r="O333" s="109"/>
      <c r="P333" s="109"/>
      <c r="X333" s="111"/>
      <c r="Y333" s="111"/>
      <c r="HW333" s="794"/>
      <c r="HX333" s="111"/>
      <c r="II333" s="111"/>
      <c r="IJ333" s="111"/>
      <c r="IU333" s="111"/>
      <c r="IV333" s="111"/>
      <c r="JI333" s="111"/>
      <c r="JJ333" s="111"/>
      <c r="JU333" s="111"/>
      <c r="JV333" s="111"/>
      <c r="KF333" s="111"/>
      <c r="KG333" s="111"/>
      <c r="KR333" s="111"/>
      <c r="KS333" s="111"/>
    </row>
    <row r="334" spans="15:308" x14ac:dyDescent="0.2">
      <c r="O334" s="109"/>
      <c r="P334" s="109"/>
      <c r="X334" s="111"/>
      <c r="Y334" s="111"/>
      <c r="HW334" s="794"/>
      <c r="HX334" s="111"/>
      <c r="II334" s="111"/>
      <c r="IJ334" s="111"/>
      <c r="IU334" s="111"/>
      <c r="IV334" s="111"/>
      <c r="JI334" s="111"/>
      <c r="JJ334" s="111"/>
      <c r="JU334" s="111"/>
      <c r="JV334" s="111"/>
      <c r="KF334" s="111"/>
      <c r="KG334" s="111"/>
      <c r="KR334" s="111"/>
      <c r="KS334" s="111"/>
    </row>
    <row r="335" spans="15:308" x14ac:dyDescent="0.2">
      <c r="O335" s="109"/>
      <c r="P335" s="109"/>
      <c r="X335" s="111"/>
      <c r="Y335" s="111"/>
      <c r="HW335" s="794"/>
      <c r="HX335" s="111"/>
      <c r="II335" s="111"/>
      <c r="IJ335" s="111"/>
      <c r="IU335" s="111"/>
      <c r="IV335" s="111"/>
      <c r="JI335" s="111"/>
      <c r="JJ335" s="111"/>
      <c r="JU335" s="111"/>
      <c r="JV335" s="111"/>
      <c r="KF335" s="111"/>
      <c r="KG335" s="111"/>
      <c r="KR335" s="111"/>
      <c r="KS335" s="111"/>
    </row>
    <row r="336" spans="15:308" x14ac:dyDescent="0.2">
      <c r="X336" s="111"/>
      <c r="Y336" s="111"/>
      <c r="HW336" s="794"/>
      <c r="HX336" s="111"/>
      <c r="II336" s="111"/>
      <c r="IJ336" s="111"/>
      <c r="IU336" s="111"/>
      <c r="IV336" s="111"/>
      <c r="JI336" s="111"/>
      <c r="JJ336" s="111"/>
      <c r="JU336" s="111"/>
      <c r="JV336" s="111"/>
      <c r="KF336" s="111"/>
      <c r="KG336" s="111"/>
      <c r="KR336" s="111"/>
      <c r="KS336" s="111"/>
    </row>
  </sheetData>
  <mergeCells count="2">
    <mergeCell ref="A4:B4"/>
    <mergeCell ref="C4:D4"/>
  </mergeCells>
  <phoneticPr fontId="0" type="noConversion"/>
  <pageMargins left="0.78740157480314965" right="0.78740157480314965" top="0.98425196850393704" bottom="0.98425196850393704" header="0.51181102362204722" footer="0.51181102362204722"/>
  <pageSetup paperSize="9" scale="10"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tabColor theme="0" tint="-0.14999847407452621"/>
  </sheetPr>
  <dimension ref="A1:EA1060"/>
  <sheetViews>
    <sheetView topLeftCell="AQ1" zoomScaleNormal="100" workbookViewId="0">
      <selection activeCell="AX26" sqref="AX26"/>
    </sheetView>
  </sheetViews>
  <sheetFormatPr baseColWidth="10" defaultColWidth="11.42578125" defaultRowHeight="12.75" x14ac:dyDescent="0.2"/>
  <cols>
    <col min="2" max="2" width="19" customWidth="1"/>
    <col min="3" max="3" width="11" bestFit="1" customWidth="1"/>
    <col min="4" max="4" width="13.85546875" bestFit="1" customWidth="1"/>
    <col min="7" max="7" width="16.7109375" style="1135" customWidth="1"/>
    <col min="8" max="8" width="31.85546875" style="1135" customWidth="1"/>
    <col min="9" max="9" width="37" style="1135" customWidth="1"/>
    <col min="10" max="11" width="16.7109375" style="1135" customWidth="1"/>
    <col min="12" max="12" width="20.7109375" style="1126" customWidth="1"/>
    <col min="13" max="13" width="22.7109375" style="1126" customWidth="1"/>
    <col min="14" max="14" width="26.7109375" style="1126" customWidth="1"/>
    <col min="15" max="15" width="19.28515625" style="1126" bestFit="1" customWidth="1"/>
    <col min="17" max="17" width="16.7109375" style="1135" customWidth="1"/>
    <col min="18" max="18" width="31.85546875" style="1135" customWidth="1"/>
    <col min="19" max="19" width="37" style="1135" customWidth="1"/>
    <col min="20" max="21" width="16.7109375" style="1135" customWidth="1"/>
    <col min="22" max="22" width="20.7109375" style="1126" customWidth="1"/>
    <col min="23" max="23" width="22.7109375" style="1126" customWidth="1"/>
    <col min="24" max="24" width="16.85546875" style="1126" bestFit="1" customWidth="1"/>
    <col min="25" max="25" width="19.28515625" style="1126" bestFit="1" customWidth="1"/>
    <col min="26" max="26" width="13.85546875" style="1126" bestFit="1" customWidth="1"/>
    <col min="27" max="27" width="16.7109375" style="1136" bestFit="1" customWidth="1"/>
    <col min="28" max="28" width="16.7109375" style="1136" customWidth="1"/>
    <col min="30" max="30" width="16.7109375" style="1135" customWidth="1"/>
    <col min="31" max="31" width="31.85546875" style="1135" customWidth="1"/>
    <col min="32" max="32" width="37" style="1135" customWidth="1"/>
    <col min="33" max="34" width="16.7109375" style="1135" customWidth="1"/>
    <col min="35" max="35" width="20.7109375" style="1126" customWidth="1"/>
    <col min="36" max="36" width="22.7109375" style="1126" customWidth="1"/>
    <col min="37" max="37" width="16.85546875" style="1126" bestFit="1" customWidth="1"/>
    <col min="38" max="38" width="19.28515625" style="1126" bestFit="1" customWidth="1"/>
    <col min="39" max="39" width="13.85546875" style="1126" bestFit="1" customWidth="1"/>
    <col min="40" max="40" width="16.7109375" style="1136" bestFit="1" customWidth="1"/>
    <col min="41" max="41" width="16.7109375" style="1136" customWidth="1"/>
    <col min="43" max="47" width="16.7109375" style="506" customWidth="1"/>
    <col min="49" max="49" width="22.7109375" customWidth="1"/>
    <col min="50" max="50" width="16.85546875" bestFit="1" customWidth="1"/>
    <col min="51" max="51" width="19.28515625" bestFit="1" customWidth="1"/>
    <col min="52" max="52" width="13.85546875" bestFit="1" customWidth="1"/>
    <col min="53" max="53" width="16.7109375" style="280" bestFit="1" customWidth="1"/>
    <col min="56" max="60" width="16.7109375" style="506" customWidth="1"/>
    <col min="62" max="62" width="22.7109375" customWidth="1"/>
    <col min="63" max="63" width="16.85546875" bestFit="1" customWidth="1"/>
    <col min="64" max="64" width="19.28515625" bestFit="1" customWidth="1"/>
    <col min="65" max="65" width="13.85546875" bestFit="1" customWidth="1"/>
    <col min="66" max="66" width="16.7109375" style="280" bestFit="1" customWidth="1"/>
    <col min="67" max="67" width="14.28515625" customWidth="1"/>
    <col min="68" max="72" width="16.7109375" style="506" customWidth="1"/>
    <col min="74" max="74" width="22.7109375" customWidth="1"/>
    <col min="75" max="75" width="16.85546875" bestFit="1" customWidth="1"/>
    <col min="76" max="76" width="19.28515625" bestFit="1" customWidth="1"/>
    <col min="77" max="77" width="13.85546875" bestFit="1" customWidth="1"/>
    <col min="78" max="78" width="16.7109375" style="280" bestFit="1" customWidth="1"/>
    <col min="80" max="84" width="16.7109375" style="506" customWidth="1"/>
    <col min="86" max="86" width="27.7109375" customWidth="1"/>
    <col min="87" max="87" width="24.7109375" customWidth="1"/>
    <col min="88" max="88" width="19.28515625" bestFit="1" customWidth="1"/>
    <col min="89" max="89" width="13.85546875" bestFit="1" customWidth="1"/>
    <col min="90" max="90" width="16.7109375" style="280" bestFit="1" customWidth="1"/>
    <col min="94" max="98" width="16.7109375" style="506" customWidth="1"/>
    <col min="100" max="100" width="22.7109375" customWidth="1"/>
    <col min="101" max="101" width="16.85546875" bestFit="1" customWidth="1"/>
    <col min="102" max="102" width="19.28515625" bestFit="1" customWidth="1"/>
    <col min="103" max="103" width="13.85546875" bestFit="1" customWidth="1"/>
    <col min="104" max="104" width="16.7109375" style="280" bestFit="1" customWidth="1"/>
    <col min="105" max="105" width="12.85546875" bestFit="1" customWidth="1"/>
    <col min="106" max="106" width="12.42578125" bestFit="1" customWidth="1"/>
    <col min="108" max="112" width="16.7109375" style="506" customWidth="1"/>
    <col min="114" max="114" width="22.7109375" customWidth="1"/>
    <col min="115" max="115" width="16.85546875" bestFit="1" customWidth="1"/>
    <col min="116" max="116" width="19.28515625" bestFit="1" customWidth="1"/>
    <col min="117" max="117" width="13.85546875" bestFit="1" customWidth="1"/>
    <col min="118" max="118" width="16.7109375" style="280" bestFit="1" customWidth="1"/>
    <col min="121" max="125" width="16.7109375" style="506" customWidth="1"/>
    <col min="127" max="127" width="22.7109375" customWidth="1"/>
    <col min="128" max="128" width="16.85546875" bestFit="1" customWidth="1"/>
    <col min="129" max="129" width="19.28515625" bestFit="1" customWidth="1"/>
    <col min="130" max="130" width="13.85546875" bestFit="1" customWidth="1"/>
    <col min="131" max="131" width="16.7109375" style="280" bestFit="1" customWidth="1"/>
  </cols>
  <sheetData>
    <row r="1" spans="1:131" ht="33.75" thickBot="1" x14ac:dyDescent="0.4">
      <c r="A1" s="1133" t="s">
        <v>1918</v>
      </c>
      <c r="B1" s="1134">
        <f>+'Courbe des taux'!F1</f>
        <v>46107</v>
      </c>
      <c r="G1" s="1109"/>
      <c r="H1" s="1138" t="s">
        <v>3069</v>
      </c>
      <c r="I1" s="1110"/>
      <c r="J1" s="1110"/>
      <c r="K1" s="1110"/>
      <c r="L1" s="1147" t="s">
        <v>815</v>
      </c>
      <c r="M1" s="1148">
        <v>2.7300000000000001E-2</v>
      </c>
      <c r="N1" s="754"/>
      <c r="O1" s="754"/>
      <c r="P1" s="754"/>
      <c r="Q1" s="1109"/>
      <c r="R1" s="1138" t="s">
        <v>3154</v>
      </c>
      <c r="S1" s="1110"/>
      <c r="T1" s="1110"/>
      <c r="U1" s="1110"/>
      <c r="V1" s="1147" t="s">
        <v>815</v>
      </c>
      <c r="W1" s="1148">
        <v>3.7400000000000003E-2</v>
      </c>
      <c r="X1" s="754"/>
      <c r="Y1" s="754"/>
      <c r="Z1" s="754"/>
      <c r="AA1" s="1111"/>
      <c r="AB1" s="280"/>
      <c r="AD1" s="1109"/>
      <c r="AE1" s="1138" t="s">
        <v>3069</v>
      </c>
      <c r="AF1" s="1110"/>
      <c r="AG1" s="1110"/>
      <c r="AH1" s="1110"/>
      <c r="AI1" s="1147" t="s">
        <v>815</v>
      </c>
      <c r="AJ1" s="1148">
        <v>3.0300000000000001E-2</v>
      </c>
      <c r="AK1" s="754"/>
      <c r="AL1" s="754"/>
      <c r="AM1" s="754"/>
      <c r="AN1" s="1111"/>
      <c r="AO1" s="280"/>
      <c r="AQ1" s="142"/>
      <c r="AR1" s="110" t="s">
        <v>1459</v>
      </c>
      <c r="AS1" s="110"/>
      <c r="AT1" s="110"/>
      <c r="AU1" s="110"/>
      <c r="AV1" s="110" t="s">
        <v>815</v>
      </c>
      <c r="AW1" s="142">
        <v>2.7E-2</v>
      </c>
      <c r="AX1" s="109"/>
      <c r="AY1" s="109"/>
      <c r="AZ1" s="109"/>
      <c r="BA1" s="221"/>
      <c r="BD1" s="142"/>
      <c r="BE1" s="110" t="s">
        <v>1459</v>
      </c>
      <c r="BF1" s="110"/>
      <c r="BG1" s="110"/>
      <c r="BH1" s="110"/>
      <c r="BI1" s="110" t="s">
        <v>815</v>
      </c>
      <c r="BJ1" s="142">
        <v>2.1000000000000001E-2</v>
      </c>
      <c r="BK1" s="109"/>
      <c r="BL1" s="109"/>
      <c r="BM1" s="109"/>
      <c r="BN1" s="221"/>
      <c r="BP1" s="142"/>
      <c r="BQ1" s="110" t="s">
        <v>1459</v>
      </c>
      <c r="BR1" s="110"/>
      <c r="BS1" s="110"/>
      <c r="BT1" s="110"/>
      <c r="BU1" s="110" t="s">
        <v>815</v>
      </c>
      <c r="BV1" s="142">
        <v>3.0499999999999999E-2</v>
      </c>
      <c r="BW1" s="109"/>
      <c r="BX1" s="109"/>
      <c r="BY1" s="109"/>
      <c r="BZ1" s="221"/>
      <c r="CB1" s="142"/>
      <c r="CC1" s="110" t="s">
        <v>1459</v>
      </c>
      <c r="CD1" s="110"/>
      <c r="CE1" s="110"/>
      <c r="CF1" s="110"/>
      <c r="CG1" s="110" t="s">
        <v>815</v>
      </c>
      <c r="CH1" s="142">
        <v>3.4099999999999998E-2</v>
      </c>
      <c r="CI1" s="169" t="s">
        <v>3008</v>
      </c>
      <c r="CJ1" s="109"/>
      <c r="CK1" s="109"/>
      <c r="CL1" s="221"/>
      <c r="CP1" s="142"/>
      <c r="CQ1" s="110" t="s">
        <v>1459</v>
      </c>
      <c r="CR1" s="110"/>
      <c r="CS1" s="110"/>
      <c r="CT1" s="110"/>
      <c r="CU1" s="110" t="s">
        <v>815</v>
      </c>
      <c r="CV1" s="142">
        <v>2.8500000000000001E-2</v>
      </c>
      <c r="CW1" s="109"/>
      <c r="CX1" s="109"/>
      <c r="CY1" s="109"/>
      <c r="CZ1" s="221"/>
      <c r="DD1" s="142"/>
      <c r="DE1" s="110" t="s">
        <v>1459</v>
      </c>
      <c r="DF1" s="110"/>
      <c r="DG1" s="110"/>
      <c r="DH1" s="110"/>
      <c r="DI1" s="110" t="s">
        <v>815</v>
      </c>
      <c r="DJ1" s="142">
        <v>2.9899999999999999E-2</v>
      </c>
      <c r="DK1" s="109"/>
      <c r="DL1" s="109"/>
      <c r="DM1" s="109"/>
      <c r="DN1" s="221"/>
      <c r="DQ1" s="142"/>
      <c r="DR1" s="110" t="s">
        <v>1459</v>
      </c>
      <c r="DS1" s="110"/>
      <c r="DT1" s="110"/>
      <c r="DU1" s="110"/>
      <c r="DV1" s="110" t="s">
        <v>815</v>
      </c>
      <c r="DW1" s="142">
        <v>4.07E-2</v>
      </c>
      <c r="DX1" s="109"/>
      <c r="DY1" s="109"/>
      <c r="DZ1" s="109"/>
      <c r="EA1" s="221"/>
    </row>
    <row r="2" spans="1:131" ht="16.5" thickBot="1" x14ac:dyDescent="0.3">
      <c r="G2" s="1109"/>
      <c r="H2" s="620"/>
      <c r="I2" s="1112"/>
      <c r="J2" s="1109"/>
      <c r="K2" s="1109"/>
      <c r="L2" s="1147" t="s">
        <v>1328</v>
      </c>
      <c r="M2" s="1148">
        <v>4.4999999999999997E-3</v>
      </c>
      <c r="N2" s="1147" t="s">
        <v>3118</v>
      </c>
      <c r="O2" s="620"/>
      <c r="P2" s="754"/>
      <c r="Q2" s="1109"/>
      <c r="R2" s="620"/>
      <c r="S2" s="1112"/>
      <c r="T2" s="1109"/>
      <c r="U2" s="1109"/>
      <c r="V2" s="1147" t="s">
        <v>1328</v>
      </c>
      <c r="W2" s="1148">
        <v>1.4E-2</v>
      </c>
      <c r="X2" s="620"/>
      <c r="Y2" s="620"/>
      <c r="Z2" s="620"/>
      <c r="AA2" s="1113"/>
      <c r="AB2" s="680"/>
      <c r="AD2" s="1109"/>
      <c r="AE2" s="620"/>
      <c r="AF2" s="1112"/>
      <c r="AG2" s="1109"/>
      <c r="AH2" s="1109"/>
      <c r="AI2" s="1147" t="s">
        <v>1328</v>
      </c>
      <c r="AJ2" s="1148">
        <v>7.4999999999999997E-3</v>
      </c>
      <c r="AK2" s="620"/>
      <c r="AL2" s="620"/>
      <c r="AM2" s="620"/>
      <c r="AN2" s="1113"/>
      <c r="AO2" s="680"/>
      <c r="AQ2" s="142"/>
      <c r="AR2" s="676">
        <v>5122</v>
      </c>
      <c r="AS2" s="677"/>
      <c r="AT2" s="142"/>
      <c r="AU2" s="142"/>
      <c r="AV2" s="110" t="s">
        <v>1328</v>
      </c>
      <c r="AW2" s="142">
        <v>6.0000000000000001E-3</v>
      </c>
      <c r="AX2" s="675"/>
      <c r="AY2" s="675"/>
      <c r="AZ2" s="675"/>
      <c r="BA2" s="681"/>
      <c r="BD2" s="142"/>
      <c r="BE2" s="676">
        <v>5129</v>
      </c>
      <c r="BF2" s="677"/>
      <c r="BG2" s="142"/>
      <c r="BH2" s="142"/>
      <c r="BI2" s="110" t="s">
        <v>1328</v>
      </c>
      <c r="BJ2" s="875">
        <v>9.58E-3</v>
      </c>
      <c r="BK2" s="675"/>
      <c r="BL2" s="675"/>
      <c r="BM2" s="675"/>
      <c r="BN2" s="681"/>
      <c r="BP2" s="142"/>
      <c r="BQ2" s="676">
        <v>5132</v>
      </c>
      <c r="BR2" s="677"/>
      <c r="BS2" s="142"/>
      <c r="BT2" s="142"/>
      <c r="BU2" s="110" t="s">
        <v>1328</v>
      </c>
      <c r="BV2" s="875">
        <v>8.0000000000000002E-3</v>
      </c>
      <c r="BW2" s="675"/>
      <c r="BX2" s="675"/>
      <c r="BY2" s="675"/>
      <c r="BZ2" s="681"/>
      <c r="CB2" s="142"/>
      <c r="CC2" s="676" t="s">
        <v>2805</v>
      </c>
      <c r="CD2" s="677"/>
      <c r="CE2" s="142"/>
      <c r="CF2" s="142"/>
      <c r="CG2" s="110" t="s">
        <v>1328</v>
      </c>
      <c r="CH2" s="875">
        <v>8.0000000000000002E-3</v>
      </c>
      <c r="CI2" s="675"/>
      <c r="CJ2" s="675"/>
      <c r="CK2" s="675"/>
      <c r="CL2" s="681"/>
      <c r="CP2" s="142"/>
      <c r="CQ2" s="676">
        <v>5166</v>
      </c>
      <c r="CR2" s="677"/>
      <c r="CS2" s="142"/>
      <c r="CT2" s="142"/>
      <c r="CU2" s="110" t="s">
        <v>1328</v>
      </c>
      <c r="CV2" s="1313">
        <v>6.13E-3</v>
      </c>
      <c r="CW2" s="675"/>
      <c r="CX2" s="675"/>
      <c r="CY2" s="675"/>
      <c r="CZ2" s="681"/>
      <c r="DD2" s="142"/>
      <c r="DE2" s="676">
        <v>5167</v>
      </c>
      <c r="DF2" s="677"/>
      <c r="DG2" s="142"/>
      <c r="DH2" s="142"/>
      <c r="DI2" s="110" t="s">
        <v>1328</v>
      </c>
      <c r="DJ2" s="1313">
        <v>7.2760000000000003E-3</v>
      </c>
      <c r="DK2" s="675"/>
      <c r="DL2" s="675"/>
      <c r="DM2" s="675"/>
      <c r="DN2" s="681"/>
      <c r="DQ2" s="142"/>
      <c r="DR2" s="676">
        <v>5158</v>
      </c>
      <c r="DS2" s="677"/>
      <c r="DT2" s="142"/>
      <c r="DU2" s="142"/>
      <c r="DV2" s="110" t="s">
        <v>1328</v>
      </c>
      <c r="DW2" s="1313">
        <v>1.4E-2</v>
      </c>
      <c r="DX2" s="675"/>
      <c r="DY2" s="675"/>
      <c r="DZ2" s="675"/>
      <c r="EA2" s="681"/>
    </row>
    <row r="3" spans="1:131" ht="18.75" thickBot="1" x14ac:dyDescent="0.3">
      <c r="G3" s="754"/>
      <c r="I3" s="1114"/>
      <c r="J3" s="1114"/>
      <c r="K3" s="1114"/>
      <c r="L3" s="1149" t="s">
        <v>650</v>
      </c>
      <c r="M3" s="1150">
        <f>(L13+J13)/(1+(M2+N3)*O13)</f>
        <v>47067.325730961638</v>
      </c>
      <c r="N3" s="1186">
        <f>Lignes_détenues!S158</f>
        <v>2.298E-2</v>
      </c>
      <c r="O3" s="1116"/>
      <c r="P3" s="754"/>
      <c r="Q3" s="754"/>
      <c r="R3" s="1139" t="s">
        <v>3140</v>
      </c>
      <c r="S3" s="1114"/>
      <c r="T3" s="1114"/>
      <c r="U3" s="1114"/>
      <c r="V3" s="1149" t="s">
        <v>650</v>
      </c>
      <c r="W3" s="1150">
        <f>+AA8</f>
        <v>100728.93930821831</v>
      </c>
      <c r="X3" s="1115"/>
      <c r="Y3" s="1116"/>
      <c r="Z3" s="1110"/>
      <c r="AA3" s="1117"/>
      <c r="AB3" s="1098"/>
      <c r="AD3" s="754"/>
      <c r="AE3" s="1139" t="s">
        <v>3170</v>
      </c>
      <c r="AF3" s="1114"/>
      <c r="AG3" s="1114"/>
      <c r="AH3" s="1114"/>
      <c r="AI3" s="1149" t="s">
        <v>650</v>
      </c>
      <c r="AJ3" s="1150">
        <f>AN14</f>
        <v>100024.71233822756</v>
      </c>
      <c r="AK3" s="1115"/>
      <c r="AL3" s="1116"/>
      <c r="AM3" s="1110"/>
      <c r="AN3" s="1117"/>
      <c r="AO3" s="1098"/>
      <c r="AQ3" s="109"/>
      <c r="AR3" s="171"/>
      <c r="AS3" s="171"/>
      <c r="AT3" s="171"/>
      <c r="AU3" s="171"/>
      <c r="AV3" s="148" t="s">
        <v>650</v>
      </c>
      <c r="AW3" s="720">
        <f>+SUM(BA13:BA70)</f>
        <v>40564.496999999996</v>
      </c>
      <c r="AX3" s="147"/>
      <c r="AY3" s="758"/>
      <c r="AZ3" s="110"/>
      <c r="BA3" s="671"/>
      <c r="BD3" s="109"/>
      <c r="BE3" s="171"/>
      <c r="BF3" s="171"/>
      <c r="BG3" s="171"/>
      <c r="BH3" s="171"/>
      <c r="BI3" s="148" t="s">
        <v>650</v>
      </c>
      <c r="BJ3" s="720">
        <f>+SUM(BN8:BN70)</f>
        <v>105326.1416</v>
      </c>
      <c r="BK3" s="147"/>
      <c r="BL3" s="758"/>
      <c r="BM3" s="110"/>
      <c r="BN3" s="671"/>
      <c r="BP3" s="109"/>
      <c r="BQ3" s="171"/>
      <c r="BR3" s="171"/>
      <c r="BS3" s="171"/>
      <c r="BT3" s="171"/>
      <c r="BU3" s="148" t="s">
        <v>650</v>
      </c>
      <c r="BV3" s="720">
        <f>+SUM(BZ21:BZ22)</f>
        <v>0</v>
      </c>
      <c r="BW3" s="147"/>
      <c r="BX3" s="758"/>
      <c r="BY3" s="110"/>
      <c r="BZ3" s="671"/>
      <c r="CB3" s="109"/>
      <c r="CC3" s="171"/>
      <c r="CD3" s="171"/>
      <c r="CE3" s="171"/>
      <c r="CF3" s="171"/>
      <c r="CG3" s="148" t="s">
        <v>650</v>
      </c>
      <c r="CH3" s="1182">
        <f>CI3</f>
        <v>21409.10645396671</v>
      </c>
      <c r="CI3" s="720">
        <f>(CG31+CF31)/(1+(CL4)*ROUND((CC31-B1)/360,5))</f>
        <v>21409.10645396671</v>
      </c>
      <c r="CJ3" s="941" t="s">
        <v>3009</v>
      </c>
      <c r="CK3" s="212">
        <f>(CC30-B1)/365</f>
        <v>-1.2767123287671234</v>
      </c>
      <c r="CL3" s="671"/>
      <c r="CP3" s="109"/>
      <c r="CQ3" s="171"/>
      <c r="CR3" s="171"/>
      <c r="CS3" s="171"/>
      <c r="CT3" s="171"/>
      <c r="CU3" s="148" t="s">
        <v>650</v>
      </c>
      <c r="CV3" s="720">
        <f>CZ14</f>
        <v>100558.60194883672</v>
      </c>
      <c r="CW3" s="147"/>
      <c r="CX3" s="758"/>
      <c r="CY3" s="1314"/>
      <c r="CZ3" s="671"/>
      <c r="DD3" s="109"/>
      <c r="DE3" s="171"/>
      <c r="DF3" s="171"/>
      <c r="DG3" s="171"/>
      <c r="DH3" s="171"/>
      <c r="DI3" s="148" t="s">
        <v>650</v>
      </c>
      <c r="DJ3" s="720">
        <f>+SUM(DN8:DN83)</f>
        <v>101241.3377</v>
      </c>
      <c r="DK3" s="147"/>
      <c r="DL3" s="758"/>
      <c r="DM3" s="110"/>
      <c r="DN3" s="671"/>
      <c r="DQ3" s="109"/>
      <c r="DR3" s="171"/>
      <c r="DS3" s="171"/>
      <c r="DT3" s="171"/>
      <c r="DU3" s="171"/>
      <c r="DV3" s="148" t="s">
        <v>650</v>
      </c>
      <c r="DW3" s="720">
        <f>EA8</f>
        <v>100844.59698392346</v>
      </c>
      <c r="DX3" s="147"/>
      <c r="DY3" s="758"/>
      <c r="DZ3" s="110"/>
      <c r="EA3" s="671"/>
    </row>
    <row r="4" spans="1:131" ht="18.75" thickBot="1" x14ac:dyDescent="0.3">
      <c r="A4" s="1651" t="s">
        <v>816</v>
      </c>
      <c r="B4" s="1651"/>
      <c r="C4" s="1127"/>
      <c r="D4" s="1127" t="s">
        <v>136</v>
      </c>
      <c r="G4" s="754"/>
      <c r="H4" s="1139" t="s">
        <v>3116</v>
      </c>
      <c r="I4" s="1114"/>
      <c r="J4" s="1114"/>
      <c r="K4" s="1114"/>
      <c r="L4" s="1118"/>
      <c r="M4" s="1118"/>
      <c r="N4" s="1110"/>
      <c r="O4" s="1119"/>
      <c r="P4" s="754"/>
      <c r="Q4" s="754"/>
      <c r="R4" s="1114"/>
      <c r="S4" s="1114"/>
      <c r="T4" s="1114"/>
      <c r="U4" s="1114"/>
      <c r="V4" s="1118"/>
      <c r="W4" s="1118"/>
      <c r="X4" s="1110"/>
      <c r="Y4" s="1119"/>
      <c r="Z4" s="1110"/>
      <c r="AA4" s="1117"/>
      <c r="AB4" s="1098"/>
      <c r="AD4" s="754"/>
      <c r="AE4" s="1114"/>
      <c r="AF4" s="1114"/>
      <c r="AG4" s="1114"/>
      <c r="AH4" s="1114"/>
      <c r="AI4" s="1118"/>
      <c r="AJ4" s="1118"/>
      <c r="AK4" s="1110"/>
      <c r="AL4" s="1119"/>
      <c r="AM4" s="1110"/>
      <c r="AN4" s="1117"/>
      <c r="AO4" s="1098"/>
      <c r="AQ4" s="109"/>
      <c r="AR4" s="171">
        <v>44466</v>
      </c>
      <c r="AS4" s="171"/>
      <c r="AT4" s="171"/>
      <c r="AU4" s="171"/>
      <c r="AV4" s="148" t="s">
        <v>1331</v>
      </c>
      <c r="AW4" s="764"/>
      <c r="AX4" s="110"/>
      <c r="AY4" s="760"/>
      <c r="AZ4" s="110"/>
      <c r="BA4" s="671"/>
      <c r="BD4" s="109"/>
      <c r="BE4" s="876">
        <v>44532</v>
      </c>
      <c r="BF4" s="171"/>
      <c r="BG4" s="171"/>
      <c r="BH4" s="171"/>
      <c r="BI4" s="148" t="s">
        <v>1331</v>
      </c>
      <c r="BJ4" s="764">
        <f>+SUMPRODUCT(BL8:BL70,BN8:BN70)/BJ3</f>
        <v>5.5161771809428171</v>
      </c>
      <c r="BK4" s="110"/>
      <c r="BL4" s="760"/>
      <c r="BM4" s="110"/>
      <c r="BN4" s="671"/>
      <c r="BP4" s="109"/>
      <c r="BQ4" s="876"/>
      <c r="BR4" s="171"/>
      <c r="BS4" s="171"/>
      <c r="BT4" s="171"/>
      <c r="BU4" s="148" t="s">
        <v>1331</v>
      </c>
      <c r="BV4" s="764" t="e">
        <f>+SUMPRODUCT(BX8:BX70,BZ8:BZ70)/BV3</f>
        <v>#DIV/0!</v>
      </c>
      <c r="BW4" s="110"/>
      <c r="BX4" s="760"/>
      <c r="BY4" s="110"/>
      <c r="BZ4" s="671"/>
      <c r="CB4" s="109"/>
      <c r="CC4" s="876"/>
      <c r="CD4" s="171"/>
      <c r="CE4" s="171"/>
      <c r="CF4" s="171"/>
      <c r="CG4" s="148"/>
      <c r="CH4" s="109"/>
      <c r="CI4" s="764"/>
      <c r="CJ4" s="1075" t="s">
        <v>3018</v>
      </c>
      <c r="CK4" s="674" cm="1">
        <f t="array" ref="CK4">ROUND(IF(CK3*365&gt;366,interpoler(_mat2,taux2,CK3*365),interpoler(_mat1,taux1,CK3*365)),10)</f>
        <v>2.2700000000000001E-2</v>
      </c>
      <c r="CL4" s="1076">
        <f>ROUND(CK4+CH2,4)</f>
        <v>3.0700000000000002E-2</v>
      </c>
      <c r="CP4" s="109"/>
      <c r="CQ4" s="876"/>
      <c r="CR4" s="171"/>
      <c r="CS4" s="171"/>
      <c r="CT4" s="171"/>
      <c r="CU4" s="148" t="s">
        <v>1331</v>
      </c>
      <c r="CV4" s="764">
        <f>+SUMPRODUCT(CX8:CX70,CZ8:CZ70)/CV3</f>
        <v>-0.1415347896896984</v>
      </c>
      <c r="CW4" s="110"/>
      <c r="CX4" s="760"/>
      <c r="CY4" s="110"/>
      <c r="CZ4" s="671"/>
      <c r="DD4" s="109"/>
      <c r="DE4" s="876"/>
      <c r="DF4" s="171"/>
      <c r="DG4" s="171"/>
      <c r="DH4" s="171"/>
      <c r="DI4" s="148" t="s">
        <v>1331</v>
      </c>
      <c r="DJ4" s="764">
        <f>+SUMPRODUCT(DL8:DL70,DN8:DN70)/DJ3</f>
        <v>2.0539680392463979</v>
      </c>
      <c r="DK4" s="110"/>
      <c r="DL4" s="760"/>
      <c r="DM4" s="110"/>
      <c r="DN4" s="671"/>
      <c r="DQ4" s="109"/>
      <c r="DR4" s="876"/>
      <c r="DS4" s="171"/>
      <c r="DT4" s="171"/>
      <c r="DU4" s="171"/>
      <c r="DV4" s="148" t="s">
        <v>1331</v>
      </c>
      <c r="DW4" s="148">
        <f>+SUMPRODUCT(DY8:DY70,EA8:EA70)/DW3</f>
        <v>-0.22465753420000001</v>
      </c>
      <c r="DX4" s="110"/>
      <c r="DY4" s="760"/>
      <c r="DZ4" s="110"/>
      <c r="EA4" s="671"/>
    </row>
    <row r="5" spans="1:131" ht="16.5" thickBot="1" x14ac:dyDescent="0.3">
      <c r="A5" s="1128">
        <f>+CIH!A8</f>
        <v>1</v>
      </c>
      <c r="B5" s="1129">
        <f>+CIH!B8</f>
        <v>2.3281430422376737E-2</v>
      </c>
      <c r="C5" s="1128">
        <f>+CIH!K5</f>
        <v>1</v>
      </c>
      <c r="D5" s="1129">
        <f>+CIH!L5</f>
        <v>2.5139999999999999E-2</v>
      </c>
      <c r="G5"/>
      <c r="H5" s="1120"/>
      <c r="I5" s="1162" t="s">
        <v>3092</v>
      </c>
      <c r="J5" s="1161" t="s">
        <v>3091</v>
      </c>
      <c r="K5" s="1114"/>
      <c r="L5" s="1114"/>
      <c r="M5" s="1114"/>
      <c r="N5" s="1114"/>
      <c r="O5" s="1121"/>
      <c r="Q5"/>
      <c r="R5" s="1120"/>
      <c r="S5" s="1162" t="s">
        <v>3092</v>
      </c>
      <c r="T5" s="1208" t="s">
        <v>3091</v>
      </c>
      <c r="U5" s="1114"/>
      <c r="V5" s="1114"/>
      <c r="W5" s="1114"/>
      <c r="X5" s="1114"/>
      <c r="Y5" s="1121"/>
      <c r="Z5" s="1114"/>
      <c r="AA5" s="1154"/>
      <c r="AB5" s="1099"/>
      <c r="AD5"/>
      <c r="AE5" s="1120"/>
      <c r="AF5" s="1162" t="s">
        <v>3092</v>
      </c>
      <c r="AG5" s="1161" t="s">
        <v>3091</v>
      </c>
      <c r="AH5" s="1114"/>
      <c r="AI5" s="1114"/>
      <c r="AJ5" s="1114"/>
      <c r="AK5" s="1114"/>
      <c r="AL5" s="1121"/>
      <c r="AM5" s="1114"/>
      <c r="AN5" s="1154"/>
      <c r="AO5" s="1099"/>
      <c r="AQ5" s="109"/>
      <c r="AR5" s="306">
        <v>44558</v>
      </c>
      <c r="AS5" s="171"/>
      <c r="AT5" s="171">
        <v>100000</v>
      </c>
      <c r="AU5" s="171"/>
      <c r="AV5" s="171"/>
      <c r="AW5" s="171"/>
      <c r="AX5" s="171"/>
      <c r="AY5" s="759"/>
      <c r="AZ5" s="171"/>
      <c r="BA5" s="775"/>
      <c r="BD5" s="109"/>
      <c r="BE5" s="306">
        <v>44558</v>
      </c>
      <c r="BF5" s="171"/>
      <c r="BG5" s="171">
        <v>100000</v>
      </c>
      <c r="BH5" s="171"/>
      <c r="BI5" s="171"/>
      <c r="BJ5" s="877">
        <f>(BE17-BE7)/365</f>
        <v>5.6904109589041099</v>
      </c>
      <c r="BK5" s="171"/>
      <c r="BL5" s="759"/>
      <c r="BM5" s="171"/>
      <c r="BN5" s="775"/>
      <c r="BP5" s="109"/>
      <c r="BQ5" s="306"/>
      <c r="BR5" s="171"/>
      <c r="BS5" s="171">
        <v>100000</v>
      </c>
      <c r="BT5" s="171"/>
      <c r="BU5" s="171"/>
      <c r="BV5" s="877"/>
      <c r="BW5" s="171"/>
      <c r="BX5" s="759">
        <v>25097.383000000002</v>
      </c>
      <c r="BY5" s="171">
        <f>BX5-BV3</f>
        <v>25097.383000000002</v>
      </c>
      <c r="BZ5" s="775"/>
      <c r="CB5" s="109"/>
      <c r="CC5" s="306"/>
      <c r="CD5" s="171"/>
      <c r="CE5" s="171">
        <v>100000</v>
      </c>
      <c r="CF5" s="171"/>
      <c r="CG5" s="171"/>
      <c r="CH5" s="877"/>
      <c r="CI5" s="171"/>
      <c r="CJ5" s="759"/>
      <c r="CK5" s="171"/>
      <c r="CL5" s="775"/>
      <c r="CP5" s="109"/>
      <c r="CQ5" s="306"/>
      <c r="CR5" s="171"/>
      <c r="CS5" s="171">
        <v>100000</v>
      </c>
      <c r="CT5" s="171"/>
      <c r="CU5" s="171"/>
      <c r="CV5" s="877"/>
      <c r="CW5" s="171"/>
      <c r="CX5" s="759"/>
      <c r="CY5" s="171"/>
      <c r="CZ5" s="775"/>
      <c r="DD5" s="109"/>
      <c r="DE5" s="306"/>
      <c r="DF5" s="171"/>
      <c r="DG5" s="171">
        <v>100000</v>
      </c>
      <c r="DH5" s="171"/>
      <c r="DI5" s="171"/>
      <c r="DJ5" s="877"/>
      <c r="DK5" s="171"/>
      <c r="DL5" s="759"/>
      <c r="DM5" s="171"/>
      <c r="DN5" s="775"/>
      <c r="DQ5" s="109"/>
      <c r="DR5" s="306"/>
      <c r="DS5" s="171"/>
      <c r="DT5" s="171"/>
      <c r="DU5" s="171"/>
      <c r="DV5" s="171"/>
      <c r="DW5" s="877"/>
      <c r="DX5" s="171"/>
      <c r="DY5" s="759"/>
      <c r="DZ5" s="171"/>
      <c r="EA5" s="775"/>
    </row>
    <row r="6" spans="1:131" ht="16.5" thickBot="1" x14ac:dyDescent="0.3">
      <c r="A6" s="1130">
        <f>+CIH!A9</f>
        <v>53</v>
      </c>
      <c r="B6" s="1129">
        <f>+CIH!B9</f>
        <v>2.3242907844156058E-2</v>
      </c>
      <c r="C6" s="1130">
        <f>+CIH!K6</f>
        <v>2</v>
      </c>
      <c r="D6" s="1131">
        <f>+CIH!L6</f>
        <v>2.6702202256353225E-2</v>
      </c>
      <c r="G6"/>
      <c r="H6" s="1120">
        <v>45650</v>
      </c>
      <c r="I6" s="1140" t="s">
        <v>2682</v>
      </c>
      <c r="J6" s="1141" t="s">
        <v>1463</v>
      </c>
      <c r="K6" s="1142"/>
      <c r="L6" s="1143"/>
      <c r="M6" s="1143"/>
      <c r="N6" s="1143"/>
      <c r="O6" s="1143"/>
      <c r="Q6"/>
      <c r="R6" s="1120">
        <v>45694</v>
      </c>
      <c r="S6" s="1140" t="s">
        <v>2682</v>
      </c>
      <c r="T6" s="1141" t="s">
        <v>1463</v>
      </c>
      <c r="U6" s="1142"/>
      <c r="V6" s="1143"/>
      <c r="W6" s="1143"/>
      <c r="X6" s="1143"/>
      <c r="Y6" s="1143"/>
      <c r="Z6" s="1143"/>
      <c r="AA6" s="1144"/>
      <c r="AB6" s="1100"/>
      <c r="AD6"/>
      <c r="AE6" s="1120">
        <v>45559</v>
      </c>
      <c r="AF6" s="1140" t="s">
        <v>2682</v>
      </c>
      <c r="AG6" s="1141" t="s">
        <v>1463</v>
      </c>
      <c r="AH6" s="1142"/>
      <c r="AI6" s="1143"/>
      <c r="AJ6" s="1143"/>
      <c r="AK6" s="1143"/>
      <c r="AL6" s="1143"/>
      <c r="AM6" s="1143"/>
      <c r="AN6" s="1144"/>
      <c r="AO6" s="1100"/>
      <c r="AQ6" s="109"/>
      <c r="AR6" s="719">
        <v>44648</v>
      </c>
      <c r="AS6" s="160" t="s">
        <v>2682</v>
      </c>
      <c r="AT6" s="162" t="s">
        <v>1463</v>
      </c>
      <c r="AU6" s="163"/>
      <c r="AV6" s="50"/>
      <c r="AW6" s="50"/>
      <c r="AX6" s="50"/>
      <c r="AY6" s="50"/>
      <c r="AZ6" s="50"/>
      <c r="BA6" s="672"/>
      <c r="BD6" s="109"/>
      <c r="BE6" s="719"/>
      <c r="BF6" s="160" t="s">
        <v>2682</v>
      </c>
      <c r="BG6" s="162" t="s">
        <v>1463</v>
      </c>
      <c r="BH6" s="163"/>
      <c r="BI6" s="50"/>
      <c r="BJ6" s="50"/>
      <c r="BK6" s="50"/>
      <c r="BL6" s="50"/>
      <c r="BM6" s="50"/>
      <c r="BN6" s="672"/>
      <c r="BP6" s="109"/>
      <c r="BQ6" s="719"/>
      <c r="BR6" s="160" t="s">
        <v>2682</v>
      </c>
      <c r="BS6" s="162" t="s">
        <v>1463</v>
      </c>
      <c r="BT6" s="163"/>
      <c r="BU6" s="50"/>
      <c r="BV6" s="50"/>
      <c r="BW6" s="50"/>
      <c r="BX6" s="50"/>
      <c r="BY6" s="50"/>
      <c r="BZ6" s="672"/>
      <c r="CB6" s="109"/>
      <c r="CC6" s="719"/>
      <c r="CD6" s="160" t="s">
        <v>2682</v>
      </c>
      <c r="CE6" s="162" t="s">
        <v>1463</v>
      </c>
      <c r="CF6" s="163"/>
      <c r="CG6" s="50"/>
      <c r="CH6" s="50"/>
      <c r="CI6" s="50"/>
      <c r="CJ6" s="50"/>
      <c r="CK6" s="50"/>
      <c r="CL6" s="672"/>
      <c r="CP6" s="109"/>
      <c r="CQ6" s="719"/>
      <c r="CR6" s="160" t="s">
        <v>2682</v>
      </c>
      <c r="CS6" s="162" t="s">
        <v>1463</v>
      </c>
      <c r="CT6" s="163"/>
      <c r="CU6" s="50"/>
      <c r="CV6" s="50"/>
      <c r="CW6" s="50"/>
      <c r="CX6" s="50"/>
      <c r="CY6" s="50"/>
      <c r="CZ6" s="672"/>
      <c r="DD6" s="109"/>
      <c r="DE6" s="719"/>
      <c r="DF6" s="160" t="s">
        <v>2682</v>
      </c>
      <c r="DG6" s="162" t="s">
        <v>1463</v>
      </c>
      <c r="DH6" s="163"/>
      <c r="DI6" s="50"/>
      <c r="DJ6" s="50"/>
      <c r="DK6" s="50"/>
      <c r="DL6" s="50"/>
      <c r="DM6" s="50"/>
      <c r="DN6" s="672"/>
      <c r="DQ6" s="109"/>
      <c r="DR6" s="719"/>
      <c r="DS6" s="160" t="s">
        <v>2682</v>
      </c>
      <c r="DT6" s="162" t="s">
        <v>1463</v>
      </c>
      <c r="DU6" s="163"/>
      <c r="DV6" s="50"/>
      <c r="DW6" s="50"/>
      <c r="DX6" s="50"/>
      <c r="DY6" s="50"/>
      <c r="DZ6" s="50"/>
      <c r="EA6" s="672"/>
    </row>
    <row r="7" spans="1:131" ht="16.5" thickBot="1" x14ac:dyDescent="0.3">
      <c r="A7" s="1130">
        <f>+CIH!A10</f>
        <v>144</v>
      </c>
      <c r="B7" s="1129">
        <f>+CIH!B10</f>
        <v>2.3895688795851688E-2</v>
      </c>
      <c r="C7" s="1130">
        <f>+CIH!K7</f>
        <v>3</v>
      </c>
      <c r="D7" s="1131">
        <f>+CIH!L7</f>
        <v>2.825707779481168E-2</v>
      </c>
      <c r="G7"/>
      <c r="H7" s="1137" t="s">
        <v>3068</v>
      </c>
      <c r="I7" s="1145"/>
      <c r="J7" s="1146" t="s">
        <v>1440</v>
      </c>
      <c r="K7" s="1146" t="s">
        <v>1265</v>
      </c>
      <c r="L7" s="1143" t="s">
        <v>1321</v>
      </c>
      <c r="M7" s="1143" t="s">
        <v>1322</v>
      </c>
      <c r="N7" s="1143" t="s">
        <v>1323</v>
      </c>
      <c r="O7" s="1143" t="s">
        <v>1324</v>
      </c>
      <c r="Q7"/>
      <c r="R7" s="1137" t="s">
        <v>3068</v>
      </c>
      <c r="S7" s="1145"/>
      <c r="T7" s="1146" t="s">
        <v>1440</v>
      </c>
      <c r="U7" s="1146" t="s">
        <v>1265</v>
      </c>
      <c r="V7" s="1143" t="s">
        <v>1321</v>
      </c>
      <c r="W7" s="1143" t="s">
        <v>1322</v>
      </c>
      <c r="X7" s="1143" t="s">
        <v>1323</v>
      </c>
      <c r="Y7" s="1143" t="s">
        <v>1324</v>
      </c>
      <c r="Z7" s="1143" t="s">
        <v>84</v>
      </c>
      <c r="AA7" s="1144" t="s">
        <v>814</v>
      </c>
      <c r="AB7" s="1100"/>
      <c r="AD7"/>
      <c r="AE7" s="1137" t="s">
        <v>3068</v>
      </c>
      <c r="AF7" s="1145"/>
      <c r="AG7" s="1146" t="s">
        <v>1440</v>
      </c>
      <c r="AH7" s="1146" t="s">
        <v>1265</v>
      </c>
      <c r="AI7" s="1143" t="s">
        <v>1321</v>
      </c>
      <c r="AJ7" s="1143" t="s">
        <v>1322</v>
      </c>
      <c r="AK7" s="1143" t="s">
        <v>1323</v>
      </c>
      <c r="AL7" s="1143" t="s">
        <v>1324</v>
      </c>
      <c r="AM7" s="1143" t="s">
        <v>84</v>
      </c>
      <c r="AN7" s="1144" t="s">
        <v>814</v>
      </c>
      <c r="AO7" s="1100"/>
      <c r="AQ7" s="109"/>
      <c r="AR7" s="719">
        <v>44414</v>
      </c>
      <c r="AS7" s="161"/>
      <c r="AT7" s="113" t="s">
        <v>1440</v>
      </c>
      <c r="AU7" s="114" t="s">
        <v>1265</v>
      </c>
      <c r="AV7" s="50" t="s">
        <v>1321</v>
      </c>
      <c r="AW7" s="50" t="s">
        <v>1322</v>
      </c>
      <c r="AX7" s="50" t="s">
        <v>1323</v>
      </c>
      <c r="AY7" s="50" t="s">
        <v>1324</v>
      </c>
      <c r="AZ7" s="50" t="s">
        <v>84</v>
      </c>
      <c r="BA7" s="672" t="s">
        <v>814</v>
      </c>
      <c r="BD7" s="109"/>
      <c r="BE7" s="719">
        <f>'Courbe des taux'!F1</f>
        <v>46107</v>
      </c>
      <c r="BF7" s="161"/>
      <c r="BG7" s="113" t="s">
        <v>1440</v>
      </c>
      <c r="BH7" s="114" t="s">
        <v>1265</v>
      </c>
      <c r="BI7" s="50" t="s">
        <v>1321</v>
      </c>
      <c r="BJ7" s="50" t="s">
        <v>1322</v>
      </c>
      <c r="BK7" s="50" t="s">
        <v>1323</v>
      </c>
      <c r="BL7" s="50" t="s">
        <v>1324</v>
      </c>
      <c r="BM7" s="50" t="s">
        <v>84</v>
      </c>
      <c r="BN7" s="672" t="s">
        <v>814</v>
      </c>
      <c r="BP7" s="109"/>
      <c r="BQ7" s="719">
        <v>44835</v>
      </c>
      <c r="BR7" s="161"/>
      <c r="BS7" s="113" t="s">
        <v>1440</v>
      </c>
      <c r="BT7" s="114" t="s">
        <v>1265</v>
      </c>
      <c r="BU7" s="50" t="s">
        <v>1321</v>
      </c>
      <c r="BV7" s="50" t="s">
        <v>1322</v>
      </c>
      <c r="BW7" s="50" t="s">
        <v>1323</v>
      </c>
      <c r="BX7" s="50" t="s">
        <v>1324</v>
      </c>
      <c r="BY7" s="50" t="s">
        <v>84</v>
      </c>
      <c r="BZ7" s="672" t="s">
        <v>814</v>
      </c>
      <c r="CB7" s="109"/>
      <c r="CC7" s="965">
        <v>44635</v>
      </c>
      <c r="CD7" s="161"/>
      <c r="CE7" s="113" t="s">
        <v>1440</v>
      </c>
      <c r="CF7" s="114" t="s">
        <v>1265</v>
      </c>
      <c r="CG7" s="50" t="s">
        <v>1321</v>
      </c>
      <c r="CH7" s="50" t="s">
        <v>1322</v>
      </c>
      <c r="CI7" s="50" t="s">
        <v>1323</v>
      </c>
      <c r="CJ7" s="50" t="s">
        <v>1324</v>
      </c>
      <c r="CK7" s="50" t="s">
        <v>84</v>
      </c>
      <c r="CL7" s="672" t="s">
        <v>814</v>
      </c>
      <c r="CP7" s="109"/>
      <c r="CQ7" s="719">
        <v>45852</v>
      </c>
      <c r="CR7" s="161"/>
      <c r="CS7" s="113" t="s">
        <v>1440</v>
      </c>
      <c r="CT7" s="114" t="s">
        <v>1265</v>
      </c>
      <c r="CU7" s="50" t="s">
        <v>1321</v>
      </c>
      <c r="CV7" s="50" t="s">
        <v>1322</v>
      </c>
      <c r="CW7" s="50" t="s">
        <v>1323</v>
      </c>
      <c r="CX7" s="50" t="s">
        <v>1324</v>
      </c>
      <c r="CY7" s="50" t="s">
        <v>84</v>
      </c>
      <c r="CZ7" s="672" t="s">
        <v>814</v>
      </c>
      <c r="DD7" s="109"/>
      <c r="DE7" s="719">
        <v>45852</v>
      </c>
      <c r="DF7" s="161"/>
      <c r="DG7" s="113" t="s">
        <v>1440</v>
      </c>
      <c r="DH7" s="114" t="s">
        <v>1265</v>
      </c>
      <c r="DI7" s="50" t="s">
        <v>1321</v>
      </c>
      <c r="DJ7" s="50" t="s">
        <v>1322</v>
      </c>
      <c r="DK7" s="50" t="s">
        <v>1323</v>
      </c>
      <c r="DL7" s="50" t="s">
        <v>1324</v>
      </c>
      <c r="DM7" s="50" t="s">
        <v>84</v>
      </c>
      <c r="DN7" s="672" t="s">
        <v>814</v>
      </c>
      <c r="DQ7" s="109"/>
      <c r="DR7" s="1514">
        <v>45660</v>
      </c>
      <c r="DS7" s="161"/>
      <c r="DT7" s="113" t="s">
        <v>1440</v>
      </c>
      <c r="DU7" s="114" t="s">
        <v>1265</v>
      </c>
      <c r="DV7" s="50" t="s">
        <v>1321</v>
      </c>
      <c r="DW7" s="50" t="s">
        <v>1322</v>
      </c>
      <c r="DX7" s="50" t="s">
        <v>1323</v>
      </c>
      <c r="DY7" s="50" t="s">
        <v>1324</v>
      </c>
      <c r="DZ7" s="50" t="s">
        <v>84</v>
      </c>
      <c r="EA7" s="672" t="s">
        <v>814</v>
      </c>
    </row>
    <row r="8" spans="1:131" ht="15.75" x14ac:dyDescent="0.25">
      <c r="A8" s="1128">
        <f>+CIH!A11</f>
        <v>326</v>
      </c>
      <c r="B8" s="1129">
        <f>+CIH!B11</f>
        <v>2.4974686420831338E-2</v>
      </c>
      <c r="C8" s="1128">
        <f>+CIH!K8</f>
        <v>4</v>
      </c>
      <c r="D8" s="1127">
        <f>+CIH!L8</f>
        <v>2.9832009914463997E-2</v>
      </c>
      <c r="F8" t="s">
        <v>3117</v>
      </c>
      <c r="G8">
        <v>1</v>
      </c>
      <c r="H8" s="1152">
        <v>45740</v>
      </c>
      <c r="I8" s="1104">
        <v>1</v>
      </c>
      <c r="J8" s="1329">
        <v>88277.79</v>
      </c>
      <c r="K8" s="1331">
        <v>10720.83</v>
      </c>
      <c r="L8" s="1327">
        <f>J8*M1*(H8-H6)/360</f>
        <v>602.49591674999999</v>
      </c>
      <c r="M8" s="1106">
        <v>0</v>
      </c>
      <c r="N8" s="1122">
        <f t="shared" ref="N8:N13" si="0">+IF($B$1&gt;=H8,0,M8)</f>
        <v>0</v>
      </c>
      <c r="O8" s="1123">
        <f t="shared" ref="O8:O13" si="1">ROUND(((H8-$B$1)/90)*0.25,10)</f>
        <v>-1.0194444443999999</v>
      </c>
      <c r="Q8">
        <v>1</v>
      </c>
      <c r="R8" s="1151">
        <v>46390</v>
      </c>
      <c r="S8" s="1104">
        <v>1</v>
      </c>
      <c r="T8">
        <v>100000</v>
      </c>
      <c r="U8">
        <v>0</v>
      </c>
      <c r="V8">
        <v>3740</v>
      </c>
      <c r="W8" s="1106">
        <v>0</v>
      </c>
      <c r="X8" s="1122">
        <f t="shared" ref="X8:X21" si="2">+IF($B$1&gt;=R8,0,W8)</f>
        <v>0</v>
      </c>
      <c r="Y8" s="1207">
        <f>ROUND((R8-$B$1)/365,10)</f>
        <v>0.77534246579999999</v>
      </c>
      <c r="Z8" s="1163" cm="1">
        <f t="array" ref="Z8">ROUND(interpoler(mat_zc,Taux_ZC,Y8)+W2,5)</f>
        <v>3.8719999999999997E-2</v>
      </c>
      <c r="AA8" s="1164">
        <f>(T8+V8)/(1+Z8)^Y8</f>
        <v>100728.93930821831</v>
      </c>
      <c r="AB8" s="280"/>
      <c r="AD8">
        <v>1</v>
      </c>
      <c r="AE8" s="1151">
        <v>45650</v>
      </c>
      <c r="AF8" s="1104">
        <v>1</v>
      </c>
      <c r="AG8" s="1105">
        <v>100000</v>
      </c>
      <c r="AH8" s="1124" t="s">
        <v>3164</v>
      </c>
      <c r="AI8" s="1225">
        <v>718.75</v>
      </c>
      <c r="AJ8" s="1106">
        <v>0</v>
      </c>
      <c r="AK8" s="1122">
        <f t="shared" ref="AK8:AK51" si="3">+IF($B$1&gt;=AE8,0,AJ8)</f>
        <v>0</v>
      </c>
      <c r="AL8" s="1123">
        <f>ROUND(((AE8-$B$1)/91)*0.25,10)</f>
        <v>-1.2554945055</v>
      </c>
      <c r="AM8" s="1163" cm="1">
        <f t="array" ref="AM8">ROUND(interpoler(mat_zc,Taux_ZC,AL8)+AJ2,7)</f>
        <v>3.07814E-2</v>
      </c>
      <c r="AN8" s="1153"/>
      <c r="AO8" s="280"/>
      <c r="AQ8" s="150">
        <v>1</v>
      </c>
      <c r="AR8" s="415">
        <v>44557</v>
      </c>
      <c r="AS8" s="905">
        <v>1</v>
      </c>
      <c r="AT8" s="1010">
        <f>+AT5-AU8</f>
        <v>95660.800000000003</v>
      </c>
      <c r="AU8" s="1010">
        <v>4339.2</v>
      </c>
      <c r="AV8" s="1015">
        <v>1057.81</v>
      </c>
      <c r="AW8" s="818">
        <v>0</v>
      </c>
      <c r="AX8" s="819">
        <f t="shared" ref="AX8:AX48" si="4">+IF($B$1&gt;=AR8,0,AW8)</f>
        <v>0</v>
      </c>
      <c r="AY8" s="1014">
        <f>ROUND(((AR8-$B$1)/(AR8-AR4))/4,10)</f>
        <v>-4.2582417581999996</v>
      </c>
      <c r="AZ8" s="820" cm="1">
        <f t="array" ref="AZ8">ROUND(interpoler(mat_zc,Taux_ZC,AY8),5)</f>
        <v>2.3279999999999999E-2</v>
      </c>
      <c r="BA8" s="692">
        <f t="shared" ref="BA8:BA15" si="5">ROUND(AX8/(1+AZ8+$AW$2)^AY8,5)</f>
        <v>0</v>
      </c>
      <c r="BD8" s="150">
        <v>1</v>
      </c>
      <c r="BE8" s="830">
        <v>44897</v>
      </c>
      <c r="BF8" s="205">
        <v>1</v>
      </c>
      <c r="BG8" s="831">
        <v>100000</v>
      </c>
      <c r="BH8" s="831">
        <v>0</v>
      </c>
      <c r="BI8" s="832">
        <v>574.73</v>
      </c>
      <c r="BJ8" s="198">
        <f t="shared" ref="BJ8:BJ17" si="6">+ROUND(BH8+BI8,4)</f>
        <v>574.73</v>
      </c>
      <c r="BK8" s="212">
        <f t="shared" ref="BK8:BK17" si="7">+IF($B$1&gt;=BE8,0,BJ8)</f>
        <v>0</v>
      </c>
      <c r="BL8" s="850">
        <f>ROUND((BE8-BE7)/365,5)</f>
        <v>-3.31507</v>
      </c>
      <c r="BM8" s="199" cm="1">
        <f t="array" ref="BM8">+ROUND(IF(BJ5*365&gt;365,interpoler(_mat2,taux2,BJ5*365),interpoler(_mat1,taux1,BJ5*365)),5)</f>
        <v>3.1099999999999999E-2</v>
      </c>
      <c r="BN8" s="447">
        <f t="shared" ref="BN8:BN17" si="8">ROUND(BK8/(1+ROUND((BM8+$BJ$2),5))^BL8,4)</f>
        <v>0</v>
      </c>
      <c r="BO8" s="8">
        <v>44927</v>
      </c>
      <c r="BP8" s="150">
        <v>1</v>
      </c>
      <c r="BQ8" s="539">
        <v>44927</v>
      </c>
      <c r="BR8" s="1315">
        <v>1</v>
      </c>
      <c r="BS8" s="1316">
        <v>100000</v>
      </c>
      <c r="BT8" s="1317">
        <v>0</v>
      </c>
      <c r="BU8" s="1318">
        <v>419.99999999999994</v>
      </c>
      <c r="BV8" s="847">
        <f t="shared" ref="BV8:BV23" si="9">+ROUND(BT8+BU8,4)</f>
        <v>420</v>
      </c>
      <c r="BW8" s="1319">
        <f t="shared" ref="BW8:BW23" si="10">+IF($B$1&gt;=BQ8,0,BV8)</f>
        <v>0</v>
      </c>
      <c r="BX8" s="1320">
        <f>ROUND(((BQ8-$B$1)/(BQ8-BQ7))/4,10)</f>
        <v>-3.2065217390999998</v>
      </c>
      <c r="BY8" s="848" cm="1">
        <f t="array" ref="BY8">+ROUND(IF(BX8&lt;1,interpoler($A$5:$A$24,$B$5:$B$24,(BQ8-$B$1)),interpoler($C$5:$C$24,$D$5:$D$24,BX8)),5)</f>
        <v>2.3279999999999999E-2</v>
      </c>
      <c r="BZ8" s="860">
        <f t="shared" ref="BZ8:BZ23" si="11">ROUND(BW8/(1+ROUND((BY8),5))^BX8,4)</f>
        <v>0</v>
      </c>
      <c r="CB8" s="150">
        <v>1</v>
      </c>
      <c r="CC8" s="830">
        <v>44972</v>
      </c>
      <c r="CD8" s="205">
        <v>1</v>
      </c>
      <c r="CE8" s="963">
        <v>100000</v>
      </c>
      <c r="CF8" s="963">
        <v>0</v>
      </c>
      <c r="CG8" s="964">
        <v>0</v>
      </c>
      <c r="CH8" s="198">
        <f t="shared" ref="CH8:CH30" si="12">+ROUND(CF8+CG8,4)</f>
        <v>0</v>
      </c>
      <c r="CI8" s="212">
        <f t="shared" ref="CI8:CI31" si="13">+IF($B$1&gt;=CC8,0,CH8)</f>
        <v>0</v>
      </c>
      <c r="CJ8" s="956">
        <f>ROUND(((CC8-$B$1)/(CC8-CC7))/4,10)</f>
        <v>-0.8419881306</v>
      </c>
      <c r="CK8" s="199" cm="1">
        <f t="array" ref="CK8">+ROUND(IF(CJ8&lt;1,interpoler($A$5:$A$24,$B$5:$B$24,(CC8-$B$1)),interpoler($C$5:$C$24,$D$5:$D$24,CJ8))+$AW$2,5)</f>
        <v>2.928E-2</v>
      </c>
      <c r="CL8" s="447">
        <f t="shared" ref="CL8:CL27" si="14">ROUND(CI8/(1+ROUND((CK8),5))^CJ8,4)</f>
        <v>0</v>
      </c>
      <c r="CM8" s="870"/>
      <c r="CN8" s="870"/>
      <c r="CO8" s="870"/>
      <c r="CP8" s="150">
        <v>1</v>
      </c>
      <c r="CQ8" s="830">
        <v>45883</v>
      </c>
      <c r="CR8" s="205">
        <v>1</v>
      </c>
      <c r="CS8" s="205">
        <v>100000</v>
      </c>
      <c r="CT8" s="205">
        <v>0</v>
      </c>
      <c r="CU8" s="958">
        <v>0</v>
      </c>
      <c r="CV8" s="198">
        <f t="shared" ref="CV8:CV9" si="15">+ROUND(CT8+CU8,4)</f>
        <v>0</v>
      </c>
      <c r="CW8" s="212">
        <f t="shared" ref="CW8:CW9" si="16">+IF($B$1&gt;=CQ8,0,CV8)</f>
        <v>0</v>
      </c>
      <c r="CX8" s="956">
        <f>ROUND((CQ8-$B$1)/365,10)</f>
        <v>-0.61369863010000003</v>
      </c>
      <c r="CY8" s="199" cm="1">
        <f t="array" ref="CY8">+ROUND(IF(CX8&lt;1,interpoler($A$5:$A$24,$B$5:$B$24,(CQ8-$B$1)),interpoler($C$5:$C$24,$D$5:$D$24,CX8)),5)</f>
        <v>2.3279999999999999E-2</v>
      </c>
      <c r="CZ8" s="447">
        <f t="shared" ref="CZ8" si="17">ROUND(CW8/(1+ROUND((CY8),5))^CX8,4)</f>
        <v>0</v>
      </c>
      <c r="DD8" s="150">
        <v>1</v>
      </c>
      <c r="DE8" s="830">
        <v>45883</v>
      </c>
      <c r="DF8" s="205">
        <v>1</v>
      </c>
      <c r="DG8" s="205">
        <v>100000</v>
      </c>
      <c r="DH8" s="205">
        <v>0</v>
      </c>
      <c r="DI8" s="765">
        <v>0</v>
      </c>
      <c r="DJ8" s="198">
        <f t="shared" ref="DJ8:DJ43" si="18">+ROUND(DH8+DI8,4)</f>
        <v>0</v>
      </c>
      <c r="DK8" s="212">
        <f t="shared" ref="DK8:DK43" si="19">+IF($B$1&gt;=DE8,0,DJ8)</f>
        <v>0</v>
      </c>
      <c r="DL8" s="956">
        <f>ROUND(((DE8-$B$1)/(DE8-DE7))/4,10)</f>
        <v>-1.8064516128999999</v>
      </c>
      <c r="DM8" s="199" cm="1">
        <f t="array" ref="DM8">+ROUND(IF(DL8&lt;1,interpoler($A$5:$A$24,$B$5:$B$24,(DE8-$B$1)),interpoler($C$5:$C$24,$D$5:$D$24,DL8)),5)</f>
        <v>2.3279999999999999E-2</v>
      </c>
      <c r="DN8" s="447">
        <f t="shared" ref="DN8:DN42" si="20">ROUND(DK8/(1+(ROUND(DM8+$DJ$2,5)))^DL8,4)</f>
        <v>0</v>
      </c>
      <c r="DP8" s="29"/>
      <c r="DQ8" s="150">
        <v>1</v>
      </c>
      <c r="DR8" s="8">
        <v>46025</v>
      </c>
      <c r="DS8" s="205">
        <v>1</v>
      </c>
      <c r="DT8">
        <v>100000</v>
      </c>
      <c r="DU8">
        <v>3690.88</v>
      </c>
      <c r="DV8">
        <v>0</v>
      </c>
      <c r="DW8" s="198">
        <f t="shared" ref="DW8" si="21">+ROUND(DU8+DV8,4)</f>
        <v>3690.88</v>
      </c>
      <c r="DX8" s="212">
        <f>+IF($B$1&gt;=DR8,0,DW8)</f>
        <v>0</v>
      </c>
      <c r="DY8" s="1513">
        <f>ROUND((DR8-$B$1)/(DR8-DR7),10)</f>
        <v>-0.22465753420000001</v>
      </c>
      <c r="DZ8" s="199" cm="1">
        <f t="array" ref="DZ8">+ROUND(IF(DY8&lt;1,interpoler($A$5:$A$24,$B$5:$B$24,(DR8-$B$1)),interpoler($C$5:$C$24,$D$5:$D$24,DY8)),5)</f>
        <v>2.3279999999999999E-2</v>
      </c>
      <c r="EA8" s="447">
        <f>(DT8+DX8)/(1+(DZ8+DW2)*DY8)</f>
        <v>100844.59698392346</v>
      </c>
    </row>
    <row r="9" spans="1:131" ht="15.75" x14ac:dyDescent="0.25">
      <c r="A9" s="1128">
        <f>+CIH!A12</f>
        <v>326</v>
      </c>
      <c r="B9" s="1129">
        <f>+CIH!B12</f>
        <v>2.4974686420831338E-2</v>
      </c>
      <c r="C9" s="1128">
        <f>+CIH!K9</f>
        <v>5</v>
      </c>
      <c r="D9" s="1127">
        <f>+CIH!L9</f>
        <v>3.0909167058137843E-2</v>
      </c>
      <c r="G9">
        <v>2</v>
      </c>
      <c r="H9" s="1151">
        <v>45832</v>
      </c>
      <c r="I9" s="1104">
        <v>2</v>
      </c>
      <c r="J9" s="1328">
        <v>78156.23</v>
      </c>
      <c r="K9" s="1330">
        <v>9769.33</v>
      </c>
      <c r="L9" s="1327">
        <v>535.28</v>
      </c>
      <c r="M9" s="1106">
        <v>0</v>
      </c>
      <c r="N9" s="1122">
        <f t="shared" si="0"/>
        <v>0</v>
      </c>
      <c r="O9" s="1123">
        <f t="shared" si="1"/>
        <v>-0.76388888889999995</v>
      </c>
      <c r="Q9">
        <v>2</v>
      </c>
      <c r="R9" s="1206" t="s">
        <v>3141</v>
      </c>
      <c r="S9" s="1104">
        <v>2</v>
      </c>
      <c r="T9">
        <v>100000</v>
      </c>
      <c r="U9">
        <v>0</v>
      </c>
      <c r="V9">
        <v>3690.88</v>
      </c>
      <c r="W9" s="1106">
        <f t="shared" ref="W9:W21" si="22">+ROUND(U9+V9,4)</f>
        <v>3690.88</v>
      </c>
      <c r="X9" s="1122">
        <f t="shared" si="2"/>
        <v>3690.88</v>
      </c>
      <c r="Y9" s="1123"/>
      <c r="Z9" s="1163"/>
      <c r="AA9" s="1153"/>
      <c r="AB9" s="280"/>
      <c r="AD9">
        <v>2</v>
      </c>
      <c r="AE9" s="1152">
        <v>45740</v>
      </c>
      <c r="AF9" s="1104">
        <v>2</v>
      </c>
      <c r="AG9" s="1105">
        <v>100000</v>
      </c>
      <c r="AH9" s="1124" t="s">
        <v>3164</v>
      </c>
      <c r="AI9" s="1225">
        <v>812.5</v>
      </c>
      <c r="AJ9" s="1106" t="e">
        <f>+ROUND(AH9+AI9,4)</f>
        <v>#VALUE!</v>
      </c>
      <c r="AK9" s="1122">
        <f t="shared" si="3"/>
        <v>0</v>
      </c>
      <c r="AL9" s="1123">
        <f>ROUND(((AE9-$B$1)/90)*0.25,10)</f>
        <v>-1.0194444443999999</v>
      </c>
      <c r="AM9" s="1163" cm="1">
        <f t="array" ref="AM9">ROUND(interpoler(mat_zc,Taux_ZC,AL9)+AJ2,6)</f>
        <v>3.0780999999999999E-2</v>
      </c>
      <c r="AN9" s="1153"/>
      <c r="AO9" s="280"/>
      <c r="AQ9" s="150">
        <v>2</v>
      </c>
      <c r="AR9" s="415">
        <v>44648</v>
      </c>
      <c r="AS9" s="905">
        <v>2</v>
      </c>
      <c r="AT9" s="1010">
        <v>91776.15</v>
      </c>
      <c r="AU9" s="1010">
        <v>0</v>
      </c>
      <c r="AV9" s="1005">
        <v>0</v>
      </c>
      <c r="AW9" s="818">
        <f t="shared" ref="AW9:AW17" si="23">+ROUND(AU9+AV9,4)</f>
        <v>0</v>
      </c>
      <c r="AX9" s="819">
        <f t="shared" si="4"/>
        <v>0</v>
      </c>
      <c r="AY9" s="1014">
        <f>AY8+0.25</f>
        <v>-4.0082417581999996</v>
      </c>
      <c r="AZ9" s="820" cm="1">
        <f t="array" ref="AZ9">ROUND(interpoler(mat_zc,Taux_ZC,AY9),5)</f>
        <v>2.3279999999999999E-2</v>
      </c>
      <c r="BA9" s="692">
        <f t="shared" si="5"/>
        <v>0</v>
      </c>
      <c r="BD9" s="150">
        <v>2</v>
      </c>
      <c r="BE9" s="830">
        <v>45262</v>
      </c>
      <c r="BF9" s="205">
        <v>2</v>
      </c>
      <c r="BG9" s="831">
        <v>100000</v>
      </c>
      <c r="BH9" s="831">
        <v>0</v>
      </c>
      <c r="BI9" s="832">
        <v>1199.3499999999999</v>
      </c>
      <c r="BJ9" s="198">
        <f t="shared" si="6"/>
        <v>1199.3499999999999</v>
      </c>
      <c r="BK9" s="212">
        <f t="shared" si="7"/>
        <v>0</v>
      </c>
      <c r="BL9" s="850">
        <f>BL8+1</f>
        <v>-2.31507</v>
      </c>
      <c r="BM9" s="199">
        <f>BM8</f>
        <v>3.1099999999999999E-2</v>
      </c>
      <c r="BN9" s="447">
        <f t="shared" si="8"/>
        <v>0</v>
      </c>
      <c r="BO9" s="280">
        <f>BO8-B1</f>
        <v>-1180</v>
      </c>
      <c r="BP9" s="150">
        <v>2</v>
      </c>
      <c r="BQ9" s="539">
        <v>45017</v>
      </c>
      <c r="BR9" s="1315">
        <v>2</v>
      </c>
      <c r="BS9" s="1316">
        <v>100000</v>
      </c>
      <c r="BT9" s="1317">
        <v>0</v>
      </c>
      <c r="BU9" s="1318">
        <v>787.49999999999989</v>
      </c>
      <c r="BV9" s="847">
        <f t="shared" si="9"/>
        <v>787.5</v>
      </c>
      <c r="BW9" s="1319">
        <f t="shared" si="10"/>
        <v>0</v>
      </c>
      <c r="BX9" s="1321">
        <f>BX8+0.25</f>
        <v>-2.9565217390999998</v>
      </c>
      <c r="BY9" s="848" cm="1">
        <f t="array" ref="BY9">+ROUND(IF(BX9&lt;1,interpoler($A$5:$A$24,$B$5:$B$24,(BQ9-$B$1)),interpoler($C$5:$C$24,$D$5:$D$24,BX9)),5)</f>
        <v>2.3279999999999999E-2</v>
      </c>
      <c r="BZ9" s="860">
        <f t="shared" si="11"/>
        <v>0</v>
      </c>
      <c r="CB9" s="150">
        <v>2</v>
      </c>
      <c r="CC9" s="830">
        <v>45000</v>
      </c>
      <c r="CD9" s="205">
        <v>2</v>
      </c>
      <c r="CE9" s="963">
        <v>100000</v>
      </c>
      <c r="CF9" s="963">
        <v>0</v>
      </c>
      <c r="CG9" s="964">
        <v>0</v>
      </c>
      <c r="CH9" s="198">
        <f t="shared" si="12"/>
        <v>0</v>
      </c>
      <c r="CI9" s="212">
        <f t="shared" si="13"/>
        <v>0</v>
      </c>
      <c r="CJ9" s="956">
        <f>ROUND(((CC9-$B$1)/(CC9-CC7)),10)</f>
        <v>-3.0328767123000002</v>
      </c>
      <c r="CK9" s="199" cm="1">
        <f t="array" ref="CK9">+ROUND(IF(CJ9&lt;1,interpoler($A$5:$A$24,$B$5:$B$24,(CC9-$B$1)),interpoler($C$5:$C$24,$D$5:$D$24,CJ9))+$AW$2,5)</f>
        <v>2.928E-2</v>
      </c>
      <c r="CL9" s="447">
        <f t="shared" si="14"/>
        <v>0</v>
      </c>
      <c r="CP9" s="150">
        <v>2</v>
      </c>
      <c r="CQ9" s="830">
        <v>45914</v>
      </c>
      <c r="CR9" s="205">
        <v>2</v>
      </c>
      <c r="CS9" s="205">
        <v>100000</v>
      </c>
      <c r="CT9" s="205">
        <v>0</v>
      </c>
      <c r="CU9" s="958">
        <v>0</v>
      </c>
      <c r="CV9" s="198">
        <f t="shared" si="15"/>
        <v>0</v>
      </c>
      <c r="CW9" s="212">
        <f t="shared" si="16"/>
        <v>0</v>
      </c>
      <c r="CX9" s="956">
        <f t="shared" ref="CX9" si="24">ROUND((CQ9-$B$1)/365,10)</f>
        <v>-0.52876712329999997</v>
      </c>
      <c r="CY9" s="199" cm="1">
        <f t="array" ref="CY9">+ROUND(IF(CX9&lt;1,interpoler($A$5:$A$24,$B$5:$B$24,(CQ9-$B$1)),interpoler($C$5:$C$24,$D$5:$D$24,CX9)),5)</f>
        <v>2.3279999999999999E-2</v>
      </c>
      <c r="CZ9" s="447">
        <f>ROUND(CW9/(1+ROUND((CY9),5))^CX9,4)</f>
        <v>0</v>
      </c>
      <c r="DD9" s="150">
        <v>2</v>
      </c>
      <c r="DE9" s="830">
        <v>45914</v>
      </c>
      <c r="DF9" s="205">
        <v>2</v>
      </c>
      <c r="DG9" s="205">
        <v>100000</v>
      </c>
      <c r="DH9" s="205">
        <v>0</v>
      </c>
      <c r="DI9" s="765">
        <v>0</v>
      </c>
      <c r="DJ9" s="198">
        <f t="shared" si="18"/>
        <v>0</v>
      </c>
      <c r="DK9" s="212">
        <f t="shared" si="19"/>
        <v>0</v>
      </c>
      <c r="DL9" s="957">
        <f>DL8+0.25</f>
        <v>-1.5564516128999999</v>
      </c>
      <c r="DM9" s="199" cm="1">
        <f t="array" ref="DM9">+ROUND(IF(DL9&lt;1,interpoler($A$5:$A$24,$B$5:$B$24,(DE9-$B$1)),interpoler($C$5:$C$24,$D$5:$D$24,DL9)),5)</f>
        <v>2.3279999999999999E-2</v>
      </c>
      <c r="DN9" s="447">
        <f t="shared" si="20"/>
        <v>0</v>
      </c>
      <c r="DP9" s="29"/>
      <c r="DQ9" s="150">
        <v>2</v>
      </c>
      <c r="DR9" s="8">
        <v>46390</v>
      </c>
      <c r="DS9" s="205">
        <v>2</v>
      </c>
      <c r="DT9">
        <v>100000</v>
      </c>
      <c r="DU9">
        <v>4070</v>
      </c>
      <c r="DV9">
        <v>0</v>
      </c>
      <c r="DW9" s="198"/>
      <c r="DX9" s="212"/>
      <c r="DY9" s="957"/>
      <c r="DZ9" s="199"/>
      <c r="EA9" s="447"/>
    </row>
    <row r="10" spans="1:131" ht="15.75" x14ac:dyDescent="0.25">
      <c r="A10" s="1128">
        <f>+CIH!A13</f>
        <v>326</v>
      </c>
      <c r="B10" s="1129">
        <f>+CIH!B13</f>
        <v>2.4974686420831338E-2</v>
      </c>
      <c r="C10" s="1128">
        <f>+CIH!K10</f>
        <v>6</v>
      </c>
      <c r="D10" s="1127">
        <f>+CIH!L10</f>
        <v>3.1433270213076625E-2</v>
      </c>
      <c r="G10">
        <v>3</v>
      </c>
      <c r="H10" s="1152">
        <v>45924</v>
      </c>
      <c r="I10" s="1104">
        <v>3</v>
      </c>
      <c r="J10" s="1329">
        <v>68918.36</v>
      </c>
      <c r="K10" s="1331">
        <v>8134.65</v>
      </c>
      <c r="L10" s="1327">
        <v>464.96</v>
      </c>
      <c r="M10" s="1106">
        <v>0</v>
      </c>
      <c r="N10" s="1122">
        <f t="shared" si="0"/>
        <v>0</v>
      </c>
      <c r="O10" s="1123">
        <f t="shared" si="1"/>
        <v>-0.50833333329999997</v>
      </c>
      <c r="Q10">
        <v>3</v>
      </c>
      <c r="R10" s="1205" t="s">
        <v>3142</v>
      </c>
      <c r="S10" s="1104">
        <v>3</v>
      </c>
      <c r="T10">
        <v>91666.67</v>
      </c>
      <c r="U10">
        <v>8333.33</v>
      </c>
      <c r="V10">
        <v>3690.88</v>
      </c>
      <c r="W10" s="1106">
        <f t="shared" si="22"/>
        <v>12024.21</v>
      </c>
      <c r="X10" s="1122">
        <f t="shared" si="2"/>
        <v>12024.21</v>
      </c>
      <c r="Y10" s="1123"/>
      <c r="Z10" s="1107"/>
      <c r="AA10" s="280"/>
      <c r="AB10" s="280"/>
      <c r="AD10">
        <v>3</v>
      </c>
      <c r="AE10" s="1151">
        <v>45832</v>
      </c>
      <c r="AF10" s="1104">
        <v>3</v>
      </c>
      <c r="AG10" s="1105">
        <v>100000</v>
      </c>
      <c r="AH10" s="1124" t="s">
        <v>3164</v>
      </c>
      <c r="AI10" s="1225">
        <v>761.55</v>
      </c>
      <c r="AJ10" s="1106" t="e">
        <f t="shared" ref="AJ10:AJ51" si="25">+ROUND(AH10+AI10,4)</f>
        <v>#VALUE!</v>
      </c>
      <c r="AK10" s="1122">
        <f t="shared" si="3"/>
        <v>0</v>
      </c>
      <c r="AL10" s="1123">
        <f>ROUND(((AE10-$B$1)/92)*0.25,10)</f>
        <v>-0.74728260869999996</v>
      </c>
      <c r="AM10" s="1163" cm="1">
        <f t="array" ref="AM10">ROUND(interpoler(mat_zc,Taux_ZC,AL10)+AJ2,5)</f>
        <v>3.0779999999999998E-2</v>
      </c>
      <c r="AN10" s="1153"/>
      <c r="AO10" s="280"/>
      <c r="AQ10" s="150">
        <v>3</v>
      </c>
      <c r="AR10" s="415">
        <v>44739</v>
      </c>
      <c r="AS10" s="905">
        <v>3</v>
      </c>
      <c r="AT10" s="1010">
        <v>91776.15</v>
      </c>
      <c r="AU10" s="1010">
        <v>3680.28</v>
      </c>
      <c r="AV10" s="1005">
        <v>617.79</v>
      </c>
      <c r="AW10" s="818">
        <f t="shared" si="23"/>
        <v>4298.07</v>
      </c>
      <c r="AX10" s="819">
        <f t="shared" si="4"/>
        <v>0</v>
      </c>
      <c r="AY10" s="1014">
        <f>(AR10-$B$1)/(AR10-AR6)/4</f>
        <v>-3.7582417582417582</v>
      </c>
      <c r="AZ10" s="820" cm="1">
        <f t="array" ref="AZ10">ROUND(interpoler(mat_zc,Taux_ZC,AY10),5)</f>
        <v>2.3279999999999999E-2</v>
      </c>
      <c r="BA10" s="692">
        <f t="shared" si="5"/>
        <v>0</v>
      </c>
      <c r="BD10" s="150">
        <v>3</v>
      </c>
      <c r="BE10" s="830">
        <v>45628</v>
      </c>
      <c r="BF10" s="205">
        <v>3</v>
      </c>
      <c r="BG10" s="831">
        <v>100000</v>
      </c>
      <c r="BH10" s="831">
        <v>0</v>
      </c>
      <c r="BI10" s="832">
        <v>1228.92</v>
      </c>
      <c r="BJ10" s="198">
        <f t="shared" si="6"/>
        <v>1228.92</v>
      </c>
      <c r="BK10" s="212">
        <f t="shared" si="7"/>
        <v>0</v>
      </c>
      <c r="BL10" s="850">
        <f>(BE10-$B$1)/366</f>
        <v>-1.3087431693989071</v>
      </c>
      <c r="BM10" s="199">
        <f t="shared" ref="BM10:BM17" si="26">BM9</f>
        <v>3.1099999999999999E-2</v>
      </c>
      <c r="BN10" s="447">
        <f t="shared" si="8"/>
        <v>0</v>
      </c>
      <c r="BO10" s="58"/>
      <c r="BP10" s="150">
        <v>3</v>
      </c>
      <c r="BQ10" s="539">
        <v>45108</v>
      </c>
      <c r="BR10" s="1315">
        <v>3</v>
      </c>
      <c r="BS10" s="1316">
        <v>100000</v>
      </c>
      <c r="BT10" s="1317">
        <v>0</v>
      </c>
      <c r="BU10" s="1318">
        <v>796.24999999999989</v>
      </c>
      <c r="BV10" s="847">
        <f t="shared" si="9"/>
        <v>796.25</v>
      </c>
      <c r="BW10" s="1319">
        <f t="shared" si="10"/>
        <v>0</v>
      </c>
      <c r="BX10" s="1321">
        <f t="shared" ref="BX10:BX17" si="27">BX9+0.25</f>
        <v>-2.7065217390999998</v>
      </c>
      <c r="BY10" s="848" cm="1">
        <f t="array" ref="BY10">+ROUND(IF(BX10&lt;1,interpoler($A$5:$A$24,$B$5:$B$24,(BQ10-$B$1)),interpoler($C$5:$C$24,$D$5:$D$24,BX10)),5)</f>
        <v>2.3279999999999999E-2</v>
      </c>
      <c r="BZ10" s="860">
        <f t="shared" si="11"/>
        <v>0</v>
      </c>
      <c r="CB10" s="150">
        <v>3</v>
      </c>
      <c r="CC10" s="830">
        <v>45031</v>
      </c>
      <c r="CD10" s="205">
        <v>3</v>
      </c>
      <c r="CE10" s="963">
        <v>100000</v>
      </c>
      <c r="CF10" s="963">
        <v>0</v>
      </c>
      <c r="CG10" s="964">
        <v>0</v>
      </c>
      <c r="CH10" s="198">
        <f t="shared" si="12"/>
        <v>0</v>
      </c>
      <c r="CI10" s="212">
        <f t="shared" si="13"/>
        <v>0</v>
      </c>
      <c r="CJ10" s="956">
        <f>CJ9+1/12</f>
        <v>-2.9495433789666667</v>
      </c>
      <c r="CK10" s="199" cm="1">
        <f t="array" ref="CK10">+ROUND(IF(CJ10&lt;1,interpoler($A$5:$A$24,$B$5:$B$24,(CC10-$B$1)),interpoler($C$5:$C$24,$D$5:$D$24,CJ10))+$AW$2,5)</f>
        <v>2.928E-2</v>
      </c>
      <c r="CL10" s="447">
        <f t="shared" si="14"/>
        <v>0</v>
      </c>
      <c r="CP10" s="150">
        <v>3</v>
      </c>
      <c r="CQ10" s="830">
        <v>45944</v>
      </c>
      <c r="CR10" s="205">
        <v>3</v>
      </c>
      <c r="CS10" s="205">
        <v>100000</v>
      </c>
      <c r="CT10" s="205">
        <v>0</v>
      </c>
      <c r="CU10" s="958">
        <v>702.77</v>
      </c>
      <c r="CV10" s="198">
        <f>+ROUND(CT10+CU10,4)</f>
        <v>702.77</v>
      </c>
      <c r="CW10" s="212">
        <f>+IF($B$1&gt;=CQ10,0,CV10)</f>
        <v>0</v>
      </c>
      <c r="CX10" s="956">
        <f>ROUND(((CQ10-$B$1)/92)*0.25,10)</f>
        <v>-0.44293478260000002</v>
      </c>
      <c r="CY10" s="199" cm="1">
        <f t="array" ref="CY10">+ROUND(IF(CX10&lt;1,interpoler($A$5:$A$24,$B$5:$B$24,(CQ10-$B$1)),interpoler($C$5:$C$24,$D$5:$D$24,CX10)),5)</f>
        <v>2.3279999999999999E-2</v>
      </c>
      <c r="CZ10" s="447">
        <f t="shared" ref="CZ10:CZ12" si="28">ROUND(CW10/(1+ROUND((CY10),5))^CX10,4)</f>
        <v>0</v>
      </c>
      <c r="DB10" s="29"/>
      <c r="DD10" s="150">
        <v>3</v>
      </c>
      <c r="DE10" s="830">
        <v>45944</v>
      </c>
      <c r="DF10" s="205">
        <v>3</v>
      </c>
      <c r="DG10" s="205">
        <v>100000</v>
      </c>
      <c r="DH10" s="205">
        <v>0</v>
      </c>
      <c r="DI10" s="765">
        <v>0</v>
      </c>
      <c r="DJ10" s="198">
        <f t="shared" si="18"/>
        <v>0</v>
      </c>
      <c r="DK10" s="212">
        <f t="shared" si="19"/>
        <v>0</v>
      </c>
      <c r="DL10" s="957">
        <f t="shared" ref="DL10:DL17" si="29">DL9+0.25</f>
        <v>-1.3064516128999999</v>
      </c>
      <c r="DM10" s="199" cm="1">
        <f t="array" ref="DM10">+ROUND(IF(DL10&lt;1,interpoler($A$5:$A$24,$B$5:$B$24,(DE10-$B$1)),interpoler($C$5:$C$24,$D$5:$D$24,DL10)),5)</f>
        <v>2.3279999999999999E-2</v>
      </c>
      <c r="DN10" s="447">
        <f t="shared" si="20"/>
        <v>0</v>
      </c>
      <c r="DP10" s="29"/>
      <c r="DQ10" s="150">
        <v>3</v>
      </c>
      <c r="DR10" s="8">
        <v>46755</v>
      </c>
      <c r="DS10" s="205">
        <v>3</v>
      </c>
      <c r="DT10">
        <v>91666.67</v>
      </c>
      <c r="DU10">
        <v>4070</v>
      </c>
      <c r="DV10">
        <v>8333.33</v>
      </c>
      <c r="DW10" s="198"/>
      <c r="DX10" s="212"/>
      <c r="DY10" s="957"/>
      <c r="DZ10" s="199"/>
      <c r="EA10" s="447"/>
    </row>
    <row r="11" spans="1:131" ht="15.75" x14ac:dyDescent="0.25">
      <c r="A11" s="1128">
        <f>+CIH!A14</f>
        <v>326</v>
      </c>
      <c r="B11" s="1129">
        <f>+CIH!B14</f>
        <v>2.4974686420831338E-2</v>
      </c>
      <c r="C11" s="1128">
        <f>+CIH!K11</f>
        <v>7</v>
      </c>
      <c r="D11" s="1127">
        <f>+CIH!L11</f>
        <v>3.1937146721479959E-2</v>
      </c>
      <c r="G11">
        <v>4</v>
      </c>
      <c r="H11" s="1151">
        <v>46015</v>
      </c>
      <c r="I11" s="1104">
        <v>4</v>
      </c>
      <c r="J11" s="1328">
        <v>60783.710000000014</v>
      </c>
      <c r="K11" s="1330">
        <v>8072.11</v>
      </c>
      <c r="L11" s="1327">
        <v>388.72</v>
      </c>
      <c r="M11" s="1106">
        <v>1</v>
      </c>
      <c r="N11" s="1122">
        <f t="shared" si="0"/>
        <v>0</v>
      </c>
      <c r="O11" s="1123">
        <f t="shared" si="1"/>
        <v>-0.25555555559999998</v>
      </c>
      <c r="Q11">
        <v>4</v>
      </c>
      <c r="R11" s="1206" t="s">
        <v>3143</v>
      </c>
      <c r="S11" s="1104">
        <v>4</v>
      </c>
      <c r="T11">
        <v>83333.34</v>
      </c>
      <c r="U11">
        <v>8333.33</v>
      </c>
      <c r="V11">
        <v>3690.88</v>
      </c>
      <c r="W11" s="1106">
        <f t="shared" si="22"/>
        <v>12024.21</v>
      </c>
      <c r="X11" s="1122">
        <f t="shared" si="2"/>
        <v>12024.21</v>
      </c>
      <c r="Y11" s="1123"/>
      <c r="Z11" s="1107"/>
      <c r="AA11" s="280"/>
      <c r="AB11" s="280"/>
      <c r="AD11">
        <v>4</v>
      </c>
      <c r="AE11" s="1152">
        <v>45924</v>
      </c>
      <c r="AF11" s="1104">
        <v>4</v>
      </c>
      <c r="AG11">
        <v>100000</v>
      </c>
      <c r="AH11">
        <v>0</v>
      </c>
      <c r="AI11">
        <v>751.33</v>
      </c>
      <c r="AJ11" s="1106">
        <f t="shared" si="25"/>
        <v>751.33</v>
      </c>
      <c r="AK11" s="1122">
        <f>+IF($B$1&gt;=AE11,0,AJ11)</f>
        <v>0</v>
      </c>
      <c r="AL11" s="1123">
        <f>ROUND(((AE11-$B$1)/92)*0.25,10)</f>
        <v>-0.49728260870000002</v>
      </c>
      <c r="AM11" s="1163" cm="1">
        <f t="array" ref="AM11">ROUND(interpoler(mat_zc,Taux_ZC,AL11)+AJ2,5)</f>
        <v>3.0779999999999998E-2</v>
      </c>
      <c r="AN11" s="1153">
        <f>(AG11+AI11)/(1+AM11)^AL11</f>
        <v>102281.71525270646</v>
      </c>
      <c r="AO11" s="280"/>
      <c r="AQ11" s="150">
        <v>4</v>
      </c>
      <c r="AR11" s="830">
        <v>44830</v>
      </c>
      <c r="AS11" s="205">
        <v>4</v>
      </c>
      <c r="AT11" s="1010">
        <v>84484.84</v>
      </c>
      <c r="AU11" s="1010">
        <v>0</v>
      </c>
      <c r="AV11" s="1005"/>
      <c r="AW11" s="818">
        <f t="shared" si="23"/>
        <v>0</v>
      </c>
      <c r="AX11" s="819">
        <f t="shared" si="4"/>
        <v>0</v>
      </c>
      <c r="AY11" s="1011">
        <f>AY10+0.25</f>
        <v>-3.5082417582417582</v>
      </c>
      <c r="AZ11" s="820" cm="1">
        <f t="array" ref="AZ11">ROUND(interpoler(mat_zc,Taux_ZC,AY11),5)</f>
        <v>2.3279999999999999E-2</v>
      </c>
      <c r="BA11" s="692">
        <f t="shared" si="5"/>
        <v>0</v>
      </c>
      <c r="BD11" s="150">
        <v>4</v>
      </c>
      <c r="BE11" s="830">
        <v>45993</v>
      </c>
      <c r="BF11" s="205">
        <v>4</v>
      </c>
      <c r="BG11" s="831">
        <v>100000</v>
      </c>
      <c r="BH11" s="831">
        <v>0</v>
      </c>
      <c r="BI11" s="832">
        <v>1246.17</v>
      </c>
      <c r="BJ11" s="198">
        <f t="shared" si="6"/>
        <v>1246.17</v>
      </c>
      <c r="BK11" s="212">
        <f t="shared" si="7"/>
        <v>0</v>
      </c>
      <c r="BL11" s="850">
        <f>(BE11-$B$1)/365</f>
        <v>-0.31232876712328766</v>
      </c>
      <c r="BM11" s="199">
        <f t="shared" si="26"/>
        <v>3.1099999999999999E-2</v>
      </c>
      <c r="BN11" s="447">
        <f>ROUND(BK11/(1+ROUND((BM11+$BJ$2),5))^BL11,5)</f>
        <v>0</v>
      </c>
      <c r="BO11" s="29">
        <f>BM11+BJ2</f>
        <v>4.0680000000000001E-2</v>
      </c>
      <c r="BP11" s="150">
        <v>4</v>
      </c>
      <c r="BQ11" s="539">
        <v>45200</v>
      </c>
      <c r="BR11" s="1315">
        <v>4</v>
      </c>
      <c r="BS11" s="1316">
        <v>100000</v>
      </c>
      <c r="BT11" s="1317">
        <v>0</v>
      </c>
      <c r="BU11" s="1318">
        <v>804.99999999999989</v>
      </c>
      <c r="BV11" s="847">
        <f t="shared" si="9"/>
        <v>805</v>
      </c>
      <c r="BW11" s="1319">
        <f t="shared" si="10"/>
        <v>0</v>
      </c>
      <c r="BX11" s="1321">
        <f t="shared" si="27"/>
        <v>-2.4565217390999998</v>
      </c>
      <c r="BY11" s="848" cm="1">
        <f t="array" ref="BY11">+ROUND(IF(BX11&lt;1,interpoler($A$5:$A$24,$B$5:$B$24,(BQ11-$B$1)),interpoler($C$5:$C$24,$D$5:$D$24,BX11)),5)</f>
        <v>2.3279999999999999E-2</v>
      </c>
      <c r="BZ11" s="860">
        <f t="shared" si="11"/>
        <v>0</v>
      </c>
      <c r="CB11" s="150">
        <v>4</v>
      </c>
      <c r="CC11" s="830">
        <v>45061</v>
      </c>
      <c r="CD11" s="205">
        <v>4</v>
      </c>
      <c r="CE11" s="963">
        <v>100000</v>
      </c>
      <c r="CF11" s="963">
        <v>0</v>
      </c>
      <c r="CG11" s="964">
        <v>0</v>
      </c>
      <c r="CH11" s="198">
        <f t="shared" si="12"/>
        <v>0</v>
      </c>
      <c r="CI11" s="212">
        <f t="shared" si="13"/>
        <v>0</v>
      </c>
      <c r="CJ11" s="956">
        <f t="shared" ref="CJ11:CJ25" si="30">CJ10+1/12</f>
        <v>-2.8662100456333333</v>
      </c>
      <c r="CK11" s="199" cm="1">
        <f t="array" ref="CK11">+ROUND(IF(CJ11&lt;1,interpoler($A$5:$A$24,$B$5:$B$24,(CC11-$B$1)),interpoler($C$5:$C$24,$D$5:$D$24,CJ11))+$AW$2,5)</f>
        <v>2.928E-2</v>
      </c>
      <c r="CL11" s="447">
        <f t="shared" si="14"/>
        <v>0</v>
      </c>
      <c r="CP11" s="150">
        <v>4</v>
      </c>
      <c r="CQ11" s="830">
        <v>45975</v>
      </c>
      <c r="CR11" s="205">
        <v>4</v>
      </c>
      <c r="CS11" s="205">
        <v>100000</v>
      </c>
      <c r="CT11" s="205">
        <v>0</v>
      </c>
      <c r="CU11" s="958">
        <v>0</v>
      </c>
      <c r="CV11" s="958">
        <v>0</v>
      </c>
      <c r="CW11" s="958">
        <v>0</v>
      </c>
      <c r="CX11" s="956">
        <f>ROUND(((CQ11-$B$1)/31)*0.25,10)</f>
        <v>-1.064516129</v>
      </c>
      <c r="CY11" s="199" cm="1">
        <f t="array" ref="CY11">TRUNC(+ROUND(IF(CX11&lt;1,interpoler($A$5:$A$24,$B$5:$B$24,(CQ11-$B$1)),interpoler($C$5:$C$24,$D$5:$D$24,CX11)),7),5)</f>
        <v>2.3279999999999999E-2</v>
      </c>
      <c r="CZ11" s="447">
        <f t="shared" si="28"/>
        <v>0</v>
      </c>
      <c r="DB11" s="29"/>
      <c r="DD11" s="150">
        <v>4</v>
      </c>
      <c r="DE11" s="830">
        <v>45975</v>
      </c>
      <c r="DF11" s="205">
        <v>4</v>
      </c>
      <c r="DG11" s="205">
        <v>100000</v>
      </c>
      <c r="DH11" s="205">
        <v>0</v>
      </c>
      <c r="DI11" s="765">
        <v>0</v>
      </c>
      <c r="DJ11" s="198">
        <f t="shared" si="18"/>
        <v>0</v>
      </c>
      <c r="DK11" s="212">
        <f t="shared" si="19"/>
        <v>0</v>
      </c>
      <c r="DL11" s="957">
        <f t="shared" si="29"/>
        <v>-1.0564516128999999</v>
      </c>
      <c r="DM11" s="199" cm="1">
        <f t="array" ref="DM11">+ROUND(IF(DL11&lt;1,interpoler($A$5:$A$24,$B$5:$B$24,(DE11-$B$1)),interpoler($C$5:$C$24,$D$5:$D$24,DL11)),5)</f>
        <v>2.3279999999999999E-2</v>
      </c>
      <c r="DN11" s="447">
        <f t="shared" si="20"/>
        <v>0</v>
      </c>
      <c r="DP11" s="29"/>
      <c r="DQ11" s="150">
        <v>4</v>
      </c>
      <c r="DR11" s="8">
        <v>47121</v>
      </c>
      <c r="DS11" s="205">
        <v>4</v>
      </c>
      <c r="DT11">
        <v>83333.33</v>
      </c>
      <c r="DU11">
        <v>3730.83</v>
      </c>
      <c r="DV11">
        <v>8333.34</v>
      </c>
      <c r="DW11" s="198"/>
      <c r="DX11" s="447"/>
      <c r="DY11" s="957"/>
      <c r="DZ11" s="199"/>
      <c r="EA11" s="447"/>
    </row>
    <row r="12" spans="1:131" ht="15.75" x14ac:dyDescent="0.25">
      <c r="A12" s="1128">
        <f>+CIH!A15</f>
        <v>326</v>
      </c>
      <c r="B12" s="1129">
        <f>+CIH!B15</f>
        <v>2.4974686420831338E-2</v>
      </c>
      <c r="C12" s="1128">
        <f>+CIH!K12</f>
        <v>8</v>
      </c>
      <c r="D12" s="1127">
        <f>+CIH!L12</f>
        <v>3.2451122230424012E-2</v>
      </c>
      <c r="G12">
        <v>5</v>
      </c>
      <c r="H12" s="1152">
        <v>46105</v>
      </c>
      <c r="I12" s="1104">
        <v>5</v>
      </c>
      <c r="J12" s="1445">
        <v>53501.62000000001</v>
      </c>
      <c r="K12" s="1442">
        <v>7317.55</v>
      </c>
      <c r="L12" s="1448" t="s">
        <v>3257</v>
      </c>
      <c r="M12" s="1106">
        <v>1</v>
      </c>
      <c r="N12" s="1122">
        <f t="shared" si="0"/>
        <v>0</v>
      </c>
      <c r="O12" s="1123">
        <f t="shared" si="1"/>
        <v>-5.5555556000000004E-3</v>
      </c>
      <c r="Q12">
        <v>5</v>
      </c>
      <c r="R12" s="1205" t="s">
        <v>3144</v>
      </c>
      <c r="S12" s="1104">
        <v>5</v>
      </c>
      <c r="T12">
        <v>75000.009999999995</v>
      </c>
      <c r="U12">
        <v>8333.33</v>
      </c>
      <c r="V12">
        <v>3690.88</v>
      </c>
      <c r="W12" s="1106">
        <f t="shared" si="22"/>
        <v>12024.21</v>
      </c>
      <c r="X12" s="1122">
        <f t="shared" si="2"/>
        <v>12024.21</v>
      </c>
      <c r="Y12" s="1123"/>
      <c r="Z12" s="1107"/>
      <c r="AA12" s="280"/>
      <c r="AB12" s="280"/>
      <c r="AD12">
        <v>5</v>
      </c>
      <c r="AE12" s="1151">
        <v>46015</v>
      </c>
      <c r="AF12" s="1104">
        <v>5</v>
      </c>
      <c r="AG12">
        <v>100000</v>
      </c>
      <c r="AH12">
        <v>0</v>
      </c>
      <c r="AI12">
        <v>715.36</v>
      </c>
      <c r="AJ12" s="1106">
        <f t="shared" si="25"/>
        <v>715.36</v>
      </c>
      <c r="AK12" s="1122">
        <f t="shared" si="3"/>
        <v>0</v>
      </c>
      <c r="AL12" s="1123">
        <f>ROUND(((AE12-$B$1)/91)*0.25,10)</f>
        <v>-0.25274725269999998</v>
      </c>
      <c r="AM12" s="1163" cm="1">
        <f t="array" ref="AM12">ROUND(interpoler(mat_zc,Taux_ZC,AL12)+AJ2,5)</f>
        <v>3.0779999999999998E-2</v>
      </c>
      <c r="AN12" s="1153">
        <f>(AG12+AI12)/(1+AM12)^AL12</f>
        <v>101490.02875843465</v>
      </c>
      <c r="AO12" s="280"/>
      <c r="AQ12" s="150">
        <v>5</v>
      </c>
      <c r="AR12" s="830">
        <v>44921</v>
      </c>
      <c r="AS12" s="205">
        <v>5</v>
      </c>
      <c r="AT12" s="1012">
        <v>80984.929999999993</v>
      </c>
      <c r="AU12" s="1012">
        <v>3499.91</v>
      </c>
      <c r="AV12" s="1007">
        <v>568.71</v>
      </c>
      <c r="AW12" s="818">
        <f t="shared" si="23"/>
        <v>4068.62</v>
      </c>
      <c r="AX12" s="819">
        <f t="shared" si="4"/>
        <v>0</v>
      </c>
      <c r="AY12" s="1011">
        <f>AY11+0.25</f>
        <v>-3.2582417582417582</v>
      </c>
      <c r="AZ12" s="820" cm="1">
        <f t="array" ref="AZ12">ROUND(interpoler(mat_zc,Taux_ZC,AY12),5)</f>
        <v>2.3279999999999999E-2</v>
      </c>
      <c r="BA12" s="692">
        <f t="shared" si="5"/>
        <v>0</v>
      </c>
      <c r="BD12" s="150">
        <v>5</v>
      </c>
      <c r="BE12" s="830">
        <v>46358</v>
      </c>
      <c r="BF12" s="205">
        <v>5</v>
      </c>
      <c r="BG12" s="831">
        <v>100000</v>
      </c>
      <c r="BH12" s="831">
        <v>0</v>
      </c>
      <c r="BI12" s="832">
        <v>1267.8699999999999</v>
      </c>
      <c r="BJ12" s="198">
        <f t="shared" si="6"/>
        <v>1267.8699999999999</v>
      </c>
      <c r="BK12" s="212">
        <f t="shared" si="7"/>
        <v>1267.8699999999999</v>
      </c>
      <c r="BL12" s="850">
        <f t="shared" ref="BL12:BL17" si="31">ROUND(BL11+1,10)</f>
        <v>0.68767123289999998</v>
      </c>
      <c r="BM12" s="199">
        <f>BM11</f>
        <v>3.1099999999999999E-2</v>
      </c>
      <c r="BN12" s="447">
        <f t="shared" si="8"/>
        <v>1233.5768</v>
      </c>
      <c r="BO12" s="58"/>
      <c r="BP12" s="150">
        <v>5</v>
      </c>
      <c r="BQ12" s="539">
        <v>45292</v>
      </c>
      <c r="BR12" s="1315">
        <v>5</v>
      </c>
      <c r="BS12" s="1316">
        <v>100000</v>
      </c>
      <c r="BT12" s="1317">
        <v>0</v>
      </c>
      <c r="BU12" s="1318">
        <v>804.99999999999989</v>
      </c>
      <c r="BV12" s="1033">
        <f t="shared" si="9"/>
        <v>805</v>
      </c>
      <c r="BW12" s="1319">
        <f t="shared" si="10"/>
        <v>0</v>
      </c>
      <c r="BX12" s="1321">
        <f t="shared" si="27"/>
        <v>-2.2065217390999998</v>
      </c>
      <c r="BY12" s="848" cm="1">
        <f t="array" ref="BY12">+ROUND(IF(BX12&lt;1,interpoler($A$5:$A$24,$B$5:$B$24,(BQ12-$B$1)),interpoler($C$5:$C$24,$D$5:$D$24,BX12)),5)</f>
        <v>2.3279999999999999E-2</v>
      </c>
      <c r="BZ12" s="860">
        <f t="shared" si="11"/>
        <v>0</v>
      </c>
      <c r="CB12" s="150">
        <v>5</v>
      </c>
      <c r="CC12" s="830">
        <v>45092</v>
      </c>
      <c r="CD12" s="205">
        <v>5</v>
      </c>
      <c r="CE12" s="963">
        <v>100000</v>
      </c>
      <c r="CF12" s="963">
        <v>0</v>
      </c>
      <c r="CG12" s="964">
        <v>0</v>
      </c>
      <c r="CH12" s="198">
        <f t="shared" si="12"/>
        <v>0</v>
      </c>
      <c r="CI12" s="212">
        <f t="shared" si="13"/>
        <v>0</v>
      </c>
      <c r="CJ12" s="956">
        <f t="shared" si="30"/>
        <v>-2.7828767122999998</v>
      </c>
      <c r="CK12" s="199" cm="1">
        <f t="array" ref="CK12">+ROUND(IF(CJ12&lt;1,interpoler($A$5:$A$24,$B$5:$B$24,(CC12-$B$1)),interpoler($C$5:$C$24,$D$5:$D$24,CJ12))+$AW$2,5)</f>
        <v>2.928E-2</v>
      </c>
      <c r="CL12" s="447">
        <f t="shared" si="14"/>
        <v>0</v>
      </c>
      <c r="CP12" s="150">
        <v>5</v>
      </c>
      <c r="CQ12" s="830">
        <v>46005</v>
      </c>
      <c r="CR12" s="205">
        <v>5</v>
      </c>
      <c r="CS12" s="205">
        <v>100000</v>
      </c>
      <c r="CT12" s="205">
        <v>0</v>
      </c>
      <c r="CU12" s="958">
        <v>0</v>
      </c>
      <c r="CV12" s="958">
        <v>0</v>
      </c>
      <c r="CW12" s="958">
        <v>0</v>
      </c>
      <c r="CX12" s="956">
        <f>ROUND(((CQ12-$B$1)/61)*0.25,10)</f>
        <v>-0.41803278690000001</v>
      </c>
      <c r="CY12" s="199" cm="1">
        <f t="array" ref="CY12">TRUNC(+ROUND(IF(CX12&lt;1,interpoler($A$5:$A$24,$B$5:$B$24,(CQ12-$B$1)),interpoler($C$5:$C$24,$D$5:$D$24,CX12)),7),5)</f>
        <v>2.3279999999999999E-2</v>
      </c>
      <c r="CZ12" s="447">
        <f t="shared" si="28"/>
        <v>0</v>
      </c>
      <c r="DA12" s="29"/>
      <c r="DB12" s="29"/>
      <c r="DD12" s="150">
        <v>5</v>
      </c>
      <c r="DE12" s="830">
        <v>46005</v>
      </c>
      <c r="DF12" s="205">
        <v>5</v>
      </c>
      <c r="DG12" s="205">
        <v>100000</v>
      </c>
      <c r="DH12" s="205">
        <v>0</v>
      </c>
      <c r="DI12" s="765">
        <v>0</v>
      </c>
      <c r="DJ12" s="198">
        <f t="shared" si="18"/>
        <v>0</v>
      </c>
      <c r="DK12" s="212">
        <f t="shared" si="19"/>
        <v>0</v>
      </c>
      <c r="DL12" s="957">
        <f t="shared" si="29"/>
        <v>-0.80645161289999989</v>
      </c>
      <c r="DM12" s="199" cm="1">
        <f t="array" ref="DM12">+ROUND(IF(DL12&lt;1,interpoler($A$5:$A$24,$B$5:$B$24,(DE12-$B$1)),interpoler($C$5:$C$24,$D$5:$D$24,DL12)),5)</f>
        <v>2.3279999999999999E-2</v>
      </c>
      <c r="DN12" s="447">
        <f t="shared" si="20"/>
        <v>0</v>
      </c>
      <c r="DP12" s="29"/>
      <c r="DQ12" s="150">
        <v>5</v>
      </c>
      <c r="DR12" s="8">
        <v>47486</v>
      </c>
      <c r="DS12" s="205">
        <v>5</v>
      </c>
      <c r="DT12">
        <v>75000</v>
      </c>
      <c r="DU12">
        <v>3391.67</v>
      </c>
      <c r="DV12">
        <v>8333.33</v>
      </c>
      <c r="DW12" s="198"/>
      <c r="DX12" s="212"/>
      <c r="DY12" s="957"/>
      <c r="DZ12" s="199"/>
      <c r="EA12" s="447"/>
    </row>
    <row r="13" spans="1:131" ht="15.75" x14ac:dyDescent="0.25">
      <c r="A13" s="1128">
        <f>+CIH!A16</f>
        <v>326</v>
      </c>
      <c r="B13" s="1129">
        <f>+CIH!B16</f>
        <v>2.4974686420831338E-2</v>
      </c>
      <c r="C13" s="1128">
        <f>+CIH!K13</f>
        <v>9</v>
      </c>
      <c r="D13" s="1127">
        <f>+CIH!L13</f>
        <v>3.2974775639287524E-2</v>
      </c>
      <c r="G13">
        <v>6</v>
      </c>
      <c r="H13" s="1151">
        <v>46197</v>
      </c>
      <c r="I13" s="1104">
        <v>6</v>
      </c>
      <c r="J13" s="1446">
        <v>47062.340000000011</v>
      </c>
      <c r="K13" s="1443">
        <v>6653.29</v>
      </c>
      <c r="L13" s="1624">
        <f>J13*M1*92/360</f>
        <v>328.33825873333342</v>
      </c>
      <c r="M13" s="1106"/>
      <c r="N13" s="1122">
        <f t="shared" si="0"/>
        <v>0</v>
      </c>
      <c r="O13" s="1622">
        <f t="shared" si="1"/>
        <v>0.25</v>
      </c>
      <c r="Q13">
        <v>6</v>
      </c>
      <c r="R13" s="1206" t="s">
        <v>3145</v>
      </c>
      <c r="S13" s="1104">
        <v>6</v>
      </c>
      <c r="T13">
        <v>66666.679999999993</v>
      </c>
      <c r="U13">
        <v>8333.33</v>
      </c>
      <c r="V13">
        <v>3690.88</v>
      </c>
      <c r="W13" s="1106">
        <f t="shared" si="22"/>
        <v>12024.21</v>
      </c>
      <c r="X13" s="1122">
        <f t="shared" si="2"/>
        <v>12024.21</v>
      </c>
      <c r="Y13" s="1123"/>
      <c r="Z13" s="1107"/>
      <c r="AA13" s="280"/>
      <c r="AB13" s="280"/>
      <c r="AD13">
        <v>6</v>
      </c>
      <c r="AE13" s="1152">
        <v>46105</v>
      </c>
      <c r="AF13" s="1104">
        <v>6</v>
      </c>
      <c r="AG13">
        <v>100000</v>
      </c>
      <c r="AH13">
        <v>0</v>
      </c>
      <c r="AI13">
        <v>750</v>
      </c>
      <c r="AJ13" s="1106">
        <f t="shared" si="25"/>
        <v>750</v>
      </c>
      <c r="AK13" s="1122">
        <f t="shared" si="3"/>
        <v>0</v>
      </c>
      <c r="AL13" s="1123">
        <f t="shared" ref="AL13:AL56" si="32">ROUND(((AE13-$B$1)/90)*0.25,10)</f>
        <v>-5.5555556000000004E-3</v>
      </c>
      <c r="AM13" s="1163" cm="1">
        <f t="array" ref="AM13">ROUND(interpoler(mat_zc,Taux_ZC,AL13)+AJ2,5)</f>
        <v>3.0779999999999998E-2</v>
      </c>
      <c r="AN13" s="1153">
        <f>(AG13+AI13)/(1+AM13)^AL13</f>
        <v>100766.9698545147</v>
      </c>
      <c r="AO13" s="280"/>
      <c r="AQ13" s="150">
        <v>6</v>
      </c>
      <c r="AR13" s="830">
        <v>45012</v>
      </c>
      <c r="AS13" s="205">
        <v>6</v>
      </c>
      <c r="AT13" s="1013">
        <v>77674.77</v>
      </c>
      <c r="AU13" s="1012">
        <v>3310.16</v>
      </c>
      <c r="AV13" s="1007">
        <v>545.15</v>
      </c>
      <c r="AW13" s="818">
        <f t="shared" si="23"/>
        <v>3855.31</v>
      </c>
      <c r="AX13" s="819">
        <f t="shared" si="4"/>
        <v>0</v>
      </c>
      <c r="AY13" s="1011">
        <f>AY12+0.25</f>
        <v>-3.0082417582417582</v>
      </c>
      <c r="AZ13" s="820" cm="1">
        <f t="array" ref="AZ13">ROUND(interpoler(mat_zc,Taux_ZC,AY13),5)</f>
        <v>2.3279999999999999E-2</v>
      </c>
      <c r="BA13" s="692">
        <f t="shared" si="5"/>
        <v>0</v>
      </c>
      <c r="BD13" s="150">
        <v>6</v>
      </c>
      <c r="BE13" s="830">
        <v>46723</v>
      </c>
      <c r="BF13" s="205">
        <v>6</v>
      </c>
      <c r="BG13" s="831">
        <v>100000</v>
      </c>
      <c r="BH13" s="831">
        <v>0</v>
      </c>
      <c r="BI13" s="832">
        <v>1292.28</v>
      </c>
      <c r="BJ13" s="198">
        <f t="shared" si="6"/>
        <v>1292.28</v>
      </c>
      <c r="BK13" s="212">
        <f t="shared" si="7"/>
        <v>1292.28</v>
      </c>
      <c r="BL13" s="850">
        <f t="shared" si="31"/>
        <v>1.6876712329000001</v>
      </c>
      <c r="BM13" s="199">
        <f t="shared" si="26"/>
        <v>3.1099999999999999E-2</v>
      </c>
      <c r="BN13" s="447">
        <f t="shared" si="8"/>
        <v>1208.1777999999999</v>
      </c>
      <c r="BO13" s="58"/>
      <c r="BP13" s="150">
        <v>6</v>
      </c>
      <c r="BQ13" s="539">
        <v>45383</v>
      </c>
      <c r="BR13" s="1315">
        <v>6</v>
      </c>
      <c r="BS13" s="1316">
        <v>100000</v>
      </c>
      <c r="BT13" s="1317">
        <v>0</v>
      </c>
      <c r="BU13" s="1318">
        <v>796.24999999999989</v>
      </c>
      <c r="BV13" s="847">
        <f t="shared" si="9"/>
        <v>796.25</v>
      </c>
      <c r="BW13" s="1319">
        <f t="shared" si="10"/>
        <v>0</v>
      </c>
      <c r="BX13" s="1321">
        <f t="shared" si="27"/>
        <v>-1.9565217390999998</v>
      </c>
      <c r="BY13" s="848" cm="1">
        <f t="array" ref="BY13">+ROUND(IF(BX13&lt;1,interpoler($A$5:$A$24,$B$5:$B$24,(BQ13-$B$1)),interpoler($C$5:$C$24,$D$5:$D$24,BX13)),5)</f>
        <v>2.3279999999999999E-2</v>
      </c>
      <c r="BZ13" s="860">
        <f t="shared" si="11"/>
        <v>0</v>
      </c>
      <c r="CB13" s="150">
        <v>6</v>
      </c>
      <c r="CC13" s="830">
        <v>45122</v>
      </c>
      <c r="CD13" s="205">
        <v>6</v>
      </c>
      <c r="CE13" s="963">
        <v>100000</v>
      </c>
      <c r="CF13" s="963">
        <v>0</v>
      </c>
      <c r="CG13" s="964">
        <v>0</v>
      </c>
      <c r="CH13" s="198">
        <f t="shared" si="12"/>
        <v>0</v>
      </c>
      <c r="CI13" s="212">
        <f t="shared" si="13"/>
        <v>0</v>
      </c>
      <c r="CJ13" s="956">
        <f t="shared" si="30"/>
        <v>-2.6995433789666663</v>
      </c>
      <c r="CK13" s="199" cm="1">
        <f t="array" ref="CK13">+ROUND(IF(CJ13&lt;1,interpoler($A$5:$A$24,$B$5:$B$24,(CC13-$B$1)),interpoler($C$5:$C$24,$D$5:$D$24,CJ13))+$AW$2,5)</f>
        <v>2.928E-2</v>
      </c>
      <c r="CL13" s="447">
        <f t="shared" si="14"/>
        <v>0</v>
      </c>
      <c r="CP13" s="150">
        <v>6</v>
      </c>
      <c r="CQ13" s="830">
        <v>46036</v>
      </c>
      <c r="CR13" s="205">
        <v>6</v>
      </c>
      <c r="CS13" s="205">
        <v>100000</v>
      </c>
      <c r="CT13" s="205">
        <v>0</v>
      </c>
      <c r="CU13" s="958">
        <v>715.55</v>
      </c>
      <c r="CV13" s="958">
        <v>715.55</v>
      </c>
      <c r="CW13" s="212">
        <f>+IF($B$1&gt;=CQ13,0,CV13)</f>
        <v>0</v>
      </c>
      <c r="CX13" s="956">
        <f>ROUND(((CQ13-$B$1)/92)*0.25,5)</f>
        <v>-0.19292999999999999</v>
      </c>
      <c r="CY13" s="199" cm="1">
        <f t="array" ref="CY13">+ROUND(IF(CX13&lt;1,interpoler($A$5:$A$24,$B$5:$B$24,(CQ13-$B$1)),interpoler($C$5:$C$24,$D$5:$D$24,CX13)),7)</f>
        <v>2.3281400000000001E-2</v>
      </c>
      <c r="CZ13" s="447">
        <f>(CU13+CS13)/(1+(CY13+CV2))^CX13</f>
        <v>101280.37935613072</v>
      </c>
      <c r="DB13" s="29"/>
      <c r="DD13" s="150">
        <v>6</v>
      </c>
      <c r="DE13" s="830">
        <v>46036</v>
      </c>
      <c r="DF13" s="205">
        <v>6</v>
      </c>
      <c r="DG13" s="205">
        <v>100000</v>
      </c>
      <c r="DH13" s="205">
        <v>0</v>
      </c>
      <c r="DI13" s="765">
        <v>0</v>
      </c>
      <c r="DJ13" s="198">
        <f t="shared" si="18"/>
        <v>0</v>
      </c>
      <c r="DK13" s="212">
        <f t="shared" si="19"/>
        <v>0</v>
      </c>
      <c r="DL13" s="957">
        <f t="shared" si="29"/>
        <v>-0.55645161289999989</v>
      </c>
      <c r="DM13" s="199" cm="1">
        <f t="array" ref="DM13">+ROUND(IF(DL13&lt;1,interpoler($A$5:$A$24,$B$5:$B$24,(DE13-$B$1)),interpoler($C$5:$C$24,$D$5:$D$24,DL13)),5)</f>
        <v>2.3279999999999999E-2</v>
      </c>
      <c r="DN13" s="447">
        <f t="shared" si="20"/>
        <v>0</v>
      </c>
      <c r="DP13" s="29"/>
      <c r="DQ13" s="150">
        <v>6</v>
      </c>
      <c r="DR13" s="8">
        <v>47851</v>
      </c>
      <c r="DS13" s="205">
        <v>6</v>
      </c>
      <c r="DT13">
        <v>66666.67</v>
      </c>
      <c r="DU13">
        <v>3052.5</v>
      </c>
      <c r="DV13">
        <v>8333.33</v>
      </c>
      <c r="DW13" s="198"/>
      <c r="DX13" s="212"/>
      <c r="DY13" s="957"/>
      <c r="DZ13" s="199"/>
      <c r="EA13" s="447"/>
    </row>
    <row r="14" spans="1:131" ht="15.75" x14ac:dyDescent="0.25">
      <c r="A14" s="1128">
        <f>+CIH!A17</f>
        <v>326</v>
      </c>
      <c r="B14" s="1129">
        <f>+CIH!B17</f>
        <v>2.4974686420831338E-2</v>
      </c>
      <c r="C14" s="1128">
        <f>+CIH!K14</f>
        <v>10</v>
      </c>
      <c r="D14" s="1127">
        <f>+CIH!L14</f>
        <v>3.3586697115974617E-2</v>
      </c>
      <c r="G14">
        <v>7</v>
      </c>
      <c r="H14" s="1152">
        <v>46289</v>
      </c>
      <c r="I14" s="1104">
        <v>7</v>
      </c>
      <c r="J14" s="1445">
        <v>40409.05000000001</v>
      </c>
      <c r="K14" s="1442">
        <v>5806.76</v>
      </c>
      <c r="L14" s="1327">
        <v>388.72</v>
      </c>
      <c r="M14" s="1106"/>
      <c r="N14" s="1122"/>
      <c r="O14" s="1123"/>
      <c r="Q14">
        <v>7</v>
      </c>
      <c r="R14" s="1205" t="s">
        <v>3146</v>
      </c>
      <c r="S14" s="1104">
        <v>7</v>
      </c>
      <c r="T14">
        <v>58333.35</v>
      </c>
      <c r="U14">
        <v>8333.33</v>
      </c>
      <c r="V14">
        <v>3690.88</v>
      </c>
      <c r="W14" s="1106">
        <f t="shared" si="22"/>
        <v>12024.21</v>
      </c>
      <c r="X14" s="1122">
        <f t="shared" si="2"/>
        <v>12024.21</v>
      </c>
      <c r="Y14" s="1123"/>
      <c r="Z14" s="1107"/>
      <c r="AA14" s="280"/>
      <c r="AB14" s="280"/>
      <c r="AD14">
        <v>7</v>
      </c>
      <c r="AE14" s="1151">
        <v>46197</v>
      </c>
      <c r="AF14" s="1104">
        <v>7</v>
      </c>
      <c r="AG14">
        <v>100000</v>
      </c>
      <c r="AH14">
        <v>0</v>
      </c>
      <c r="AI14">
        <v>774.33</v>
      </c>
      <c r="AJ14" s="1106">
        <f t="shared" si="25"/>
        <v>774.33</v>
      </c>
      <c r="AK14" s="1122">
        <f t="shared" si="3"/>
        <v>774.33</v>
      </c>
      <c r="AL14" s="1123">
        <f>ROUND(((AE14-$B$1)/92)*0.25,10)</f>
        <v>0.24456521740000001</v>
      </c>
      <c r="AM14" s="1163" cm="1">
        <f t="array" ref="AM14">ROUND(interpoler(mat_zc,Taux_ZC,AL14)+AJ2,5)</f>
        <v>3.1E-2</v>
      </c>
      <c r="AN14" s="1625">
        <f>(AG14+AI14)/(1+AM14)^AL14</f>
        <v>100024.71233822756</v>
      </c>
      <c r="AO14" s="280"/>
      <c r="AQ14" s="150">
        <v>7</v>
      </c>
      <c r="AR14" s="830">
        <v>45103</v>
      </c>
      <c r="AS14" s="205">
        <v>7</v>
      </c>
      <c r="AT14" s="1012">
        <v>74597.98</v>
      </c>
      <c r="AU14" s="1012">
        <v>3076.79</v>
      </c>
      <c r="AV14" s="1007">
        <v>522.87</v>
      </c>
      <c r="AW14" s="818">
        <f t="shared" si="23"/>
        <v>3599.66</v>
      </c>
      <c r="AX14" s="819">
        <f t="shared" si="4"/>
        <v>0</v>
      </c>
      <c r="AY14" s="1011">
        <f>AY13+0.25</f>
        <v>-2.7582417582417582</v>
      </c>
      <c r="AZ14" s="820" cm="1">
        <f t="array" ref="AZ14">ROUND(interpoler(mat_zc,Taux_ZC,AY14),5)</f>
        <v>2.3279999999999999E-2</v>
      </c>
      <c r="BA14" s="692">
        <f t="shared" si="5"/>
        <v>0</v>
      </c>
      <c r="BD14" s="150">
        <v>7</v>
      </c>
      <c r="BE14" s="830">
        <v>47089</v>
      </c>
      <c r="BF14" s="205">
        <v>7</v>
      </c>
      <c r="BG14" s="831">
        <v>100000</v>
      </c>
      <c r="BH14" s="831">
        <v>0</v>
      </c>
      <c r="BI14" s="832">
        <v>1321.86</v>
      </c>
      <c r="BJ14" s="198">
        <f t="shared" si="6"/>
        <v>1321.86</v>
      </c>
      <c r="BK14" s="212">
        <f t="shared" si="7"/>
        <v>1321.86</v>
      </c>
      <c r="BL14" s="850">
        <f t="shared" si="31"/>
        <v>2.6876712329000001</v>
      </c>
      <c r="BM14" s="199">
        <f t="shared" si="26"/>
        <v>3.1099999999999999E-2</v>
      </c>
      <c r="BN14" s="447">
        <f t="shared" si="8"/>
        <v>1187.5243</v>
      </c>
      <c r="BO14" s="58"/>
      <c r="BP14" s="150">
        <v>7</v>
      </c>
      <c r="BQ14" s="539">
        <v>45474</v>
      </c>
      <c r="BR14" s="1315">
        <v>7</v>
      </c>
      <c r="BS14" s="1316">
        <v>100000</v>
      </c>
      <c r="BT14" s="1317">
        <v>0</v>
      </c>
      <c r="BU14" s="1318">
        <v>796.24999999999989</v>
      </c>
      <c r="BV14" s="847">
        <f t="shared" si="9"/>
        <v>796.25</v>
      </c>
      <c r="BW14" s="1319">
        <f t="shared" si="10"/>
        <v>0</v>
      </c>
      <c r="BX14" s="1321">
        <f t="shared" si="27"/>
        <v>-1.7065217390999998</v>
      </c>
      <c r="BY14" s="848" cm="1">
        <f t="array" ref="BY14">+ROUND(IF(BX14&lt;1,interpoler($A$5:$A$24,$B$5:$B$24,(BQ14-$B$1)),interpoler($C$5:$C$24,$D$5:$D$24,BX14)),5)</f>
        <v>2.3279999999999999E-2</v>
      </c>
      <c r="BZ14" s="860">
        <f t="shared" si="11"/>
        <v>0</v>
      </c>
      <c r="CB14" s="150">
        <v>7</v>
      </c>
      <c r="CC14" s="830">
        <v>45153</v>
      </c>
      <c r="CD14" s="205">
        <v>7</v>
      </c>
      <c r="CE14" s="963">
        <v>100000</v>
      </c>
      <c r="CF14" s="963">
        <v>0</v>
      </c>
      <c r="CG14" s="964">
        <v>0</v>
      </c>
      <c r="CH14" s="198">
        <f t="shared" si="12"/>
        <v>0</v>
      </c>
      <c r="CI14" s="212">
        <f t="shared" si="13"/>
        <v>0</v>
      </c>
      <c r="CJ14" s="956">
        <f t="shared" si="30"/>
        <v>-2.6162100456333328</v>
      </c>
      <c r="CK14" s="199" cm="1">
        <f t="array" ref="CK14">+ROUND(IF(CJ14&lt;1,interpoler($A$5:$A$24,$B$5:$B$24,(CC14-$B$1)),interpoler($C$5:$C$24,$D$5:$D$24,CJ14))+$AW$2,5)</f>
        <v>2.928E-2</v>
      </c>
      <c r="CL14" s="447">
        <f t="shared" si="14"/>
        <v>0</v>
      </c>
      <c r="CP14" s="150">
        <v>7</v>
      </c>
      <c r="CQ14" s="830">
        <v>46126</v>
      </c>
      <c r="CR14" s="205">
        <v>7</v>
      </c>
      <c r="CS14" s="205">
        <v>100000</v>
      </c>
      <c r="CT14" s="205">
        <v>0</v>
      </c>
      <c r="CU14" s="958">
        <v>712.5</v>
      </c>
      <c r="CV14" s="958">
        <v>712.5</v>
      </c>
      <c r="CW14" s="212">
        <v>0</v>
      </c>
      <c r="CX14" s="956">
        <f>ROUND(((CQ14-$B$1)/90)*0.25,5)</f>
        <v>5.2780000000000001E-2</v>
      </c>
      <c r="CY14" s="199" cm="1">
        <f t="array" ref="CY14">+ROUND(IF(CX14&lt;1,interpoler($A$5:$A$24,$B$5:$B$24,(CQ14-$B$1)),interpoler($C$5:$C$24,$D$5:$D$24,CX14)),7)</f>
        <v>2.32681E-2</v>
      </c>
      <c r="CZ14" s="447">
        <f>(CU14+CS14)/(1+(CY14+CV2))^CX14</f>
        <v>100558.60194883672</v>
      </c>
      <c r="DB14" s="52"/>
      <c r="DD14" s="150">
        <v>7</v>
      </c>
      <c r="DE14" s="830">
        <v>46067</v>
      </c>
      <c r="DF14" s="205">
        <v>7</v>
      </c>
      <c r="DG14" s="205">
        <v>100000</v>
      </c>
      <c r="DH14" s="205">
        <v>0</v>
      </c>
      <c r="DI14" s="765">
        <v>0</v>
      </c>
      <c r="DJ14" s="198">
        <f t="shared" si="18"/>
        <v>0</v>
      </c>
      <c r="DK14" s="212">
        <f t="shared" si="19"/>
        <v>0</v>
      </c>
      <c r="DL14" s="957">
        <f t="shared" si="29"/>
        <v>-0.30645161289999989</v>
      </c>
      <c r="DM14" s="199" cm="1">
        <f t="array" ref="DM14">+ROUND(IF(DL14&lt;1,interpoler($A$5:$A$24,$B$5:$B$24,(DE14-$B$1)),interpoler($C$5:$C$24,$D$5:$D$24,DL14)),5)</f>
        <v>2.3279999999999999E-2</v>
      </c>
      <c r="DN14" s="447">
        <f t="shared" si="20"/>
        <v>0</v>
      </c>
      <c r="DP14" s="29"/>
      <c r="DQ14" s="150">
        <v>7</v>
      </c>
      <c r="DR14" s="8">
        <v>48216</v>
      </c>
      <c r="DS14" s="205">
        <v>7</v>
      </c>
      <c r="DT14">
        <v>58333.33</v>
      </c>
      <c r="DU14">
        <v>2713.33</v>
      </c>
      <c r="DV14">
        <v>8333.34</v>
      </c>
      <c r="DW14" s="198"/>
      <c r="DX14" s="212"/>
      <c r="DY14" s="957"/>
      <c r="DZ14" s="199"/>
      <c r="EA14" s="447"/>
    </row>
    <row r="15" spans="1:131" ht="15.75" x14ac:dyDescent="0.25">
      <c r="A15" s="1128">
        <f>+CIH!A18</f>
        <v>326</v>
      </c>
      <c r="B15" s="1129">
        <f>+CIH!B18</f>
        <v>2.4974686420831338E-2</v>
      </c>
      <c r="C15" s="1128">
        <f>+CIH!K15</f>
        <v>11</v>
      </c>
      <c r="D15" s="1127">
        <f>+CIH!L15</f>
        <v>3.4231322261192521E-2</v>
      </c>
      <c r="G15">
        <v>8</v>
      </c>
      <c r="H15" s="1151">
        <v>46380</v>
      </c>
      <c r="I15" s="1104">
        <v>8</v>
      </c>
      <c r="J15" s="1446">
        <v>34602.290000000008</v>
      </c>
      <c r="K15" s="1443">
        <v>5091.95</v>
      </c>
      <c r="L15" s="1327">
        <v>388.72</v>
      </c>
      <c r="M15" s="1106"/>
      <c r="N15" s="1122"/>
      <c r="O15" s="1123"/>
      <c r="Q15">
        <v>8</v>
      </c>
      <c r="R15" s="1206" t="s">
        <v>3147</v>
      </c>
      <c r="S15" s="1104">
        <v>8</v>
      </c>
      <c r="T15">
        <v>50000.02</v>
      </c>
      <c r="U15">
        <v>8333.33</v>
      </c>
      <c r="V15">
        <v>3690.88</v>
      </c>
      <c r="W15" s="1106">
        <f t="shared" si="22"/>
        <v>12024.21</v>
      </c>
      <c r="X15" s="1122">
        <f t="shared" si="2"/>
        <v>12024.21</v>
      </c>
      <c r="Y15" s="1123"/>
      <c r="Z15" s="1107"/>
      <c r="AA15" s="280"/>
      <c r="AB15" s="280"/>
      <c r="AD15">
        <v>8</v>
      </c>
      <c r="AE15" s="1152">
        <v>46289</v>
      </c>
      <c r="AF15" s="1104">
        <v>8</v>
      </c>
      <c r="AG15">
        <v>100000</v>
      </c>
      <c r="AH15">
        <v>0</v>
      </c>
      <c r="AI15">
        <v>750</v>
      </c>
      <c r="AJ15" s="1106">
        <f t="shared" si="25"/>
        <v>750</v>
      </c>
      <c r="AK15" s="1122">
        <f t="shared" si="3"/>
        <v>750</v>
      </c>
      <c r="AL15" s="1123">
        <f t="shared" si="32"/>
        <v>0.50555555559999998</v>
      </c>
      <c r="AM15" s="1107"/>
      <c r="AN15" s="280"/>
      <c r="AO15" s="280"/>
      <c r="AQ15" s="150">
        <v>8</v>
      </c>
      <c r="AR15" s="830">
        <v>45195</v>
      </c>
      <c r="AS15" s="205">
        <v>8</v>
      </c>
      <c r="AT15" s="1013">
        <v>71679.839999999997</v>
      </c>
      <c r="AU15" s="1012">
        <v>2918.14</v>
      </c>
      <c r="AV15" s="1007">
        <v>507.68</v>
      </c>
      <c r="AW15" s="818">
        <f t="shared" si="23"/>
        <v>3425.82</v>
      </c>
      <c r="AX15" s="819">
        <f t="shared" si="4"/>
        <v>0</v>
      </c>
      <c r="AY15" s="1011">
        <f>ROUND(((AR15-$B$1)/(AR15-AR14))/4,10)</f>
        <v>-2.4782608696000001</v>
      </c>
      <c r="AZ15" s="820" cm="1">
        <f t="array" ref="AZ15">ROUND(interpoler(mat_zc,Taux_ZC,AY15),5)</f>
        <v>2.3279999999999999E-2</v>
      </c>
      <c r="BA15" s="692">
        <f t="shared" si="5"/>
        <v>0</v>
      </c>
      <c r="BD15" s="150">
        <v>8</v>
      </c>
      <c r="BE15" s="830">
        <v>47454</v>
      </c>
      <c r="BF15" s="205">
        <v>8</v>
      </c>
      <c r="BG15" s="831">
        <v>100000</v>
      </c>
      <c r="BH15" s="831">
        <v>0</v>
      </c>
      <c r="BI15" s="832">
        <v>1349.72</v>
      </c>
      <c r="BJ15" s="198">
        <f t="shared" si="6"/>
        <v>1349.72</v>
      </c>
      <c r="BK15" s="212">
        <f t="shared" si="7"/>
        <v>1349.72</v>
      </c>
      <c r="BL15" s="850">
        <f t="shared" si="31"/>
        <v>3.6876712329000001</v>
      </c>
      <c r="BM15" s="199">
        <f t="shared" si="26"/>
        <v>3.1099999999999999E-2</v>
      </c>
      <c r="BN15" s="447">
        <f t="shared" si="8"/>
        <v>1165.1545000000001</v>
      </c>
      <c r="BO15" s="58"/>
      <c r="BP15" s="150">
        <v>8</v>
      </c>
      <c r="BQ15" s="539">
        <v>45566</v>
      </c>
      <c r="BR15" s="1315">
        <v>8</v>
      </c>
      <c r="BS15" s="1316">
        <v>100000</v>
      </c>
      <c r="BT15" s="1317">
        <v>0</v>
      </c>
      <c r="BU15" s="1318">
        <v>804.99999999999989</v>
      </c>
      <c r="BV15" s="847">
        <f t="shared" si="9"/>
        <v>805</v>
      </c>
      <c r="BW15" s="1319">
        <f t="shared" si="10"/>
        <v>0</v>
      </c>
      <c r="BX15" s="1321">
        <f t="shared" si="27"/>
        <v>-1.4565217390999998</v>
      </c>
      <c r="BY15" s="848" cm="1">
        <f t="array" ref="BY15">+ROUND(IF(BX15&lt;1,interpoler($A$5:$A$24,$B$5:$B$24,(BQ15-$B$1)),interpoler($C$5:$C$24,$D$5:$D$24,BX15)),5)</f>
        <v>2.3279999999999999E-2</v>
      </c>
      <c r="BZ15" s="860">
        <f t="shared" si="11"/>
        <v>0</v>
      </c>
      <c r="CB15" s="150">
        <v>8</v>
      </c>
      <c r="CC15" s="830">
        <v>45184</v>
      </c>
      <c r="CD15" s="205">
        <v>8</v>
      </c>
      <c r="CE15" s="963">
        <v>100000</v>
      </c>
      <c r="CF15" s="963">
        <v>0</v>
      </c>
      <c r="CG15" s="964">
        <v>0</v>
      </c>
      <c r="CH15" s="198">
        <f t="shared" si="12"/>
        <v>0</v>
      </c>
      <c r="CI15" s="212">
        <f t="shared" si="13"/>
        <v>0</v>
      </c>
      <c r="CJ15" s="956">
        <f t="shared" si="30"/>
        <v>-2.5328767122999993</v>
      </c>
      <c r="CK15" s="199" cm="1">
        <f t="array" ref="CK15">+ROUND(IF(CJ15&lt;1,interpoler($A$5:$A$24,$B$5:$B$24,(CC15-$B$1)),interpoler($C$5:$C$24,$D$5:$D$24,CJ15))+$AW$2,5)</f>
        <v>2.928E-2</v>
      </c>
      <c r="CL15" s="447">
        <f t="shared" si="14"/>
        <v>0</v>
      </c>
      <c r="CP15" s="150"/>
      <c r="CQ15" s="830"/>
      <c r="CR15" s="205"/>
      <c r="CS15" s="205"/>
      <c r="CT15" s="205"/>
      <c r="CU15" s="958"/>
      <c r="CV15" s="198"/>
      <c r="CW15" s="212"/>
      <c r="CX15" s="956"/>
      <c r="CY15" s="199"/>
      <c r="CZ15" s="447"/>
      <c r="DD15" s="150">
        <v>8</v>
      </c>
      <c r="DE15" s="830">
        <v>46095</v>
      </c>
      <c r="DF15" s="205">
        <v>8</v>
      </c>
      <c r="DG15" s="205">
        <v>100000</v>
      </c>
      <c r="DH15" s="205">
        <v>0</v>
      </c>
      <c r="DI15" s="765">
        <v>0</v>
      </c>
      <c r="DJ15" s="198">
        <f t="shared" si="18"/>
        <v>0</v>
      </c>
      <c r="DK15" s="212">
        <f t="shared" si="19"/>
        <v>0</v>
      </c>
      <c r="DL15" s="957">
        <f t="shared" si="29"/>
        <v>-5.6451612899999892E-2</v>
      </c>
      <c r="DM15" s="199" cm="1">
        <f t="array" ref="DM15">+ROUND(IF(DL15&lt;1,interpoler($A$5:$A$24,$B$5:$B$24,(DE15-$B$1)),interpoler($C$5:$C$24,$D$5:$D$24,DL15)),5)</f>
        <v>2.3279999999999999E-2</v>
      </c>
      <c r="DN15" s="447">
        <f t="shared" si="20"/>
        <v>0</v>
      </c>
      <c r="DP15" s="29"/>
      <c r="DQ15" s="150">
        <v>8</v>
      </c>
      <c r="DR15" s="8">
        <v>48582</v>
      </c>
      <c r="DS15" s="205">
        <v>8</v>
      </c>
      <c r="DT15">
        <v>50000</v>
      </c>
      <c r="DU15">
        <v>2374.17</v>
      </c>
      <c r="DV15">
        <v>8333.33</v>
      </c>
      <c r="DW15" s="198"/>
      <c r="DX15" s="212"/>
      <c r="DY15" s="957"/>
      <c r="DZ15" s="199"/>
      <c r="EA15" s="447"/>
    </row>
    <row r="16" spans="1:131" ht="15.75" x14ac:dyDescent="0.25">
      <c r="A16" s="1128">
        <f>+CIH!A19</f>
        <v>326</v>
      </c>
      <c r="B16" s="1129">
        <f>+CIH!B19</f>
        <v>2.4974686420831338E-2</v>
      </c>
      <c r="C16" s="1128">
        <f>+CIH!K16</f>
        <v>12</v>
      </c>
      <c r="D16" s="1127">
        <f>+CIH!L16</f>
        <v>3.4888111785712717E-2</v>
      </c>
      <c r="G16">
        <v>9</v>
      </c>
      <c r="H16" s="1152">
        <v>46470</v>
      </c>
      <c r="I16" s="1104">
        <v>9</v>
      </c>
      <c r="J16" s="1445">
        <v>29510.340000000007</v>
      </c>
      <c r="K16" s="1442">
        <v>4436.95</v>
      </c>
      <c r="L16" s="1327">
        <v>388.72</v>
      </c>
      <c r="M16" s="1106"/>
      <c r="N16" s="1122"/>
      <c r="O16" s="1123"/>
      <c r="Q16">
        <v>9</v>
      </c>
      <c r="R16" s="1205" t="s">
        <v>3148</v>
      </c>
      <c r="S16" s="1104">
        <v>9</v>
      </c>
      <c r="T16">
        <v>41666.69</v>
      </c>
      <c r="U16">
        <v>8333.33</v>
      </c>
      <c r="V16">
        <v>3690.88</v>
      </c>
      <c r="W16" s="1106">
        <f t="shared" si="22"/>
        <v>12024.21</v>
      </c>
      <c r="X16" s="1122">
        <f t="shared" si="2"/>
        <v>12024.21</v>
      </c>
      <c r="Y16" s="1123"/>
      <c r="Z16" s="1107"/>
      <c r="AA16" s="280"/>
      <c r="AB16" s="280"/>
      <c r="AD16">
        <v>9</v>
      </c>
      <c r="AE16" s="1151">
        <v>46380</v>
      </c>
      <c r="AF16" s="1104">
        <v>9</v>
      </c>
      <c r="AG16">
        <v>100000</v>
      </c>
      <c r="AH16">
        <v>0</v>
      </c>
      <c r="AI16">
        <v>750</v>
      </c>
      <c r="AJ16" s="1106">
        <f t="shared" si="25"/>
        <v>750</v>
      </c>
      <c r="AK16" s="1122">
        <f t="shared" si="3"/>
        <v>750</v>
      </c>
      <c r="AL16" s="1123">
        <f t="shared" si="32"/>
        <v>0.75833333329999997</v>
      </c>
      <c r="AM16" s="1107"/>
      <c r="AN16" s="280"/>
      <c r="AO16" s="280"/>
      <c r="AQ16" s="150">
        <v>9</v>
      </c>
      <c r="AR16" s="830">
        <v>45286</v>
      </c>
      <c r="AS16" s="205">
        <v>9</v>
      </c>
      <c r="AT16" s="1013">
        <v>68430.039999999994</v>
      </c>
      <c r="AU16" s="1012">
        <v>3249.8</v>
      </c>
      <c r="AV16" s="1007">
        <v>482.51</v>
      </c>
      <c r="AW16" s="818">
        <f t="shared" si="23"/>
        <v>3732.31</v>
      </c>
      <c r="AX16" s="819">
        <f t="shared" si="4"/>
        <v>0</v>
      </c>
      <c r="AY16" s="1011">
        <f>ROUND(((AR16-$B$1)/(AR16-AR15))/4,10)</f>
        <v>-2.2554945055000002</v>
      </c>
      <c r="AZ16" s="820" cm="1">
        <f t="array" ref="AZ16">ROUND(interpoler(mat_zc,Taux_ZC,AY16),5)</f>
        <v>2.3279999999999999E-2</v>
      </c>
      <c r="BA16" s="692">
        <f t="shared" ref="BA16:BA48" si="33">ROUND(AX16/(1+AZ16+$AW$2)^AY16,4)</f>
        <v>0</v>
      </c>
      <c r="BD16" s="150">
        <v>9</v>
      </c>
      <c r="BE16" s="830">
        <v>47819</v>
      </c>
      <c r="BF16" s="205">
        <v>9</v>
      </c>
      <c r="BG16" s="831">
        <v>100000</v>
      </c>
      <c r="BH16" s="831">
        <v>0</v>
      </c>
      <c r="BI16" s="832">
        <v>1409.66</v>
      </c>
      <c r="BJ16" s="198">
        <f t="shared" si="6"/>
        <v>1409.66</v>
      </c>
      <c r="BK16" s="212">
        <f t="shared" si="7"/>
        <v>1409.66</v>
      </c>
      <c r="BL16" s="850">
        <f t="shared" si="31"/>
        <v>4.6876712328999997</v>
      </c>
      <c r="BM16" s="199">
        <f t="shared" si="26"/>
        <v>3.1099999999999999E-2</v>
      </c>
      <c r="BN16" s="447">
        <f t="shared" si="8"/>
        <v>1169.3297</v>
      </c>
      <c r="BO16" s="58"/>
      <c r="BP16" s="150">
        <v>9</v>
      </c>
      <c r="BQ16" s="539">
        <v>45658</v>
      </c>
      <c r="BR16" s="1315">
        <v>9</v>
      </c>
      <c r="BS16" s="1316">
        <v>100000</v>
      </c>
      <c r="BT16" s="1317">
        <v>0</v>
      </c>
      <c r="BU16" s="1318">
        <v>804.99999999999989</v>
      </c>
      <c r="BV16" s="847">
        <f t="shared" si="9"/>
        <v>805</v>
      </c>
      <c r="BW16" s="1319">
        <f t="shared" si="10"/>
        <v>0</v>
      </c>
      <c r="BX16" s="1321">
        <f t="shared" si="27"/>
        <v>-1.2065217390999998</v>
      </c>
      <c r="BY16" s="848" cm="1">
        <f t="array" ref="BY16">+ROUND(IF(BX16&lt;1,interpoler($A$5:$A$24,$B$5:$B$24,(BQ16-$B$1)),interpoler($C$5:$C$24,$D$5:$D$24,BX16)),5)</f>
        <v>2.3279999999999999E-2</v>
      </c>
      <c r="BZ16" s="860">
        <f t="shared" si="11"/>
        <v>0</v>
      </c>
      <c r="CB16" s="150">
        <v>9</v>
      </c>
      <c r="CC16" s="830">
        <v>45214</v>
      </c>
      <c r="CD16" s="205">
        <v>9</v>
      </c>
      <c r="CE16" s="963">
        <v>100000</v>
      </c>
      <c r="CF16" s="963">
        <v>0</v>
      </c>
      <c r="CG16" s="964">
        <v>0</v>
      </c>
      <c r="CH16" s="198">
        <f t="shared" si="12"/>
        <v>0</v>
      </c>
      <c r="CI16" s="212">
        <f t="shared" si="13"/>
        <v>0</v>
      </c>
      <c r="CJ16" s="956">
        <f t="shared" si="30"/>
        <v>-2.4495433789666659</v>
      </c>
      <c r="CK16" s="199" cm="1">
        <f t="array" ref="CK16">+ROUND(IF(CJ16&lt;1,interpoler($A$5:$A$24,$B$5:$B$24,(CC16-$B$1)),interpoler($C$5:$C$24,$D$5:$D$24,CJ16))+$AW$2,5)</f>
        <v>2.928E-2</v>
      </c>
      <c r="CL16" s="447">
        <f t="shared" si="14"/>
        <v>0</v>
      </c>
      <c r="CP16" s="150"/>
      <c r="CQ16" s="830"/>
      <c r="CR16" s="205"/>
      <c r="CS16" s="205"/>
      <c r="CT16" s="205"/>
      <c r="CU16" s="958"/>
      <c r="CV16" s="198"/>
      <c r="CW16" s="212"/>
      <c r="CX16" s="956"/>
      <c r="CY16" s="199"/>
      <c r="CZ16" s="447"/>
      <c r="DB16" s="323"/>
      <c r="DD16" s="150">
        <v>9</v>
      </c>
      <c r="DE16" s="830">
        <v>46126</v>
      </c>
      <c r="DF16" s="205">
        <v>9</v>
      </c>
      <c r="DG16" s="205">
        <v>100000</v>
      </c>
      <c r="DH16" s="205">
        <v>0</v>
      </c>
      <c r="DI16" s="765">
        <v>0</v>
      </c>
      <c r="DJ16" s="198">
        <f t="shared" si="18"/>
        <v>0</v>
      </c>
      <c r="DK16" s="212">
        <f t="shared" si="19"/>
        <v>0</v>
      </c>
      <c r="DL16" s="957">
        <f t="shared" si="29"/>
        <v>0.19354838710000011</v>
      </c>
      <c r="DM16" s="199" cm="1">
        <f t="array" ref="DM16">+ROUND(IF(DL16&lt;1,interpoler($A$5:$A$24,$B$5:$B$24,(DE16-$B$1)),interpoler($C$5:$C$24,$D$5:$D$24,DL16)),5)</f>
        <v>2.3269999999999999E-2</v>
      </c>
      <c r="DN16" s="447">
        <f t="shared" si="20"/>
        <v>0</v>
      </c>
      <c r="DP16" s="29"/>
      <c r="DQ16" s="150">
        <v>9</v>
      </c>
      <c r="DR16" s="8">
        <v>48947</v>
      </c>
      <c r="DS16" s="205">
        <v>9</v>
      </c>
      <c r="DT16">
        <v>41666.67</v>
      </c>
      <c r="DU16">
        <v>2035</v>
      </c>
      <c r="DV16">
        <v>8333.33</v>
      </c>
      <c r="DW16" s="198"/>
      <c r="DX16" s="212"/>
      <c r="DY16" s="957"/>
      <c r="DZ16" s="199"/>
      <c r="EA16" s="447"/>
    </row>
    <row r="17" spans="1:131" ht="15.75" x14ac:dyDescent="0.25">
      <c r="A17" s="1128">
        <f>+CIH!A20</f>
        <v>326</v>
      </c>
      <c r="B17" s="1129">
        <f>+CIH!B20</f>
        <v>2.4974686420831338E-2</v>
      </c>
      <c r="C17" s="1128">
        <f>+CIH!K17</f>
        <v>13</v>
      </c>
      <c r="D17" s="1127">
        <f>+CIH!L17</f>
        <v>3.5557991688015766E-2</v>
      </c>
      <c r="G17">
        <v>10</v>
      </c>
      <c r="H17" s="1151">
        <v>46562</v>
      </c>
      <c r="I17" s="1104">
        <v>10</v>
      </c>
      <c r="J17" s="1446">
        <v>25073.390000000007</v>
      </c>
      <c r="K17" s="1443">
        <v>3848.82</v>
      </c>
      <c r="L17" s="1327">
        <v>388.72</v>
      </c>
      <c r="M17" s="1106"/>
      <c r="N17" s="1122"/>
      <c r="O17" s="1123"/>
      <c r="Q17">
        <v>10</v>
      </c>
      <c r="R17" s="1206" t="s">
        <v>3149</v>
      </c>
      <c r="S17" s="1104">
        <v>10</v>
      </c>
      <c r="T17">
        <v>33333.360000000001</v>
      </c>
      <c r="U17">
        <v>8333.33</v>
      </c>
      <c r="V17">
        <v>3690.88</v>
      </c>
      <c r="W17" s="1106">
        <f t="shared" si="22"/>
        <v>12024.21</v>
      </c>
      <c r="X17" s="1122">
        <f t="shared" si="2"/>
        <v>12024.21</v>
      </c>
      <c r="Y17" s="1123"/>
      <c r="Z17" s="1107"/>
      <c r="AA17" s="1101"/>
      <c r="AB17" s="1101"/>
      <c r="AC17" s="102"/>
      <c r="AD17">
        <v>10</v>
      </c>
      <c r="AE17" s="1152">
        <v>46470</v>
      </c>
      <c r="AF17" s="1104">
        <v>10</v>
      </c>
      <c r="AG17">
        <v>100000</v>
      </c>
      <c r="AH17">
        <v>0</v>
      </c>
      <c r="AI17">
        <v>750</v>
      </c>
      <c r="AJ17" s="1106">
        <f t="shared" si="25"/>
        <v>750</v>
      </c>
      <c r="AK17" s="1122">
        <f t="shared" si="3"/>
        <v>750</v>
      </c>
      <c r="AL17" s="1123">
        <f t="shared" si="32"/>
        <v>1.0083333333</v>
      </c>
      <c r="AM17" s="1107"/>
      <c r="AN17" s="1101"/>
      <c r="AO17" s="1101"/>
      <c r="AP17" s="102"/>
      <c r="AQ17" s="150">
        <v>10</v>
      </c>
      <c r="AR17" s="830">
        <v>45652</v>
      </c>
      <c r="AS17" s="205">
        <v>10</v>
      </c>
      <c r="AT17" s="1226">
        <v>55407.62</v>
      </c>
      <c r="AU17" s="1226">
        <v>0</v>
      </c>
      <c r="AV17" s="1227"/>
      <c r="AW17" s="818">
        <f t="shared" si="23"/>
        <v>0</v>
      </c>
      <c r="AX17" s="819">
        <f t="shared" si="4"/>
        <v>0</v>
      </c>
      <c r="AY17" s="1011">
        <f>AY16+0.25</f>
        <v>-2.0054945055000002</v>
      </c>
      <c r="AZ17" s="1011" cm="1">
        <f t="array" ref="AZ17">ROUND(interpoler(mat_zc,Taux_ZC,AY17),5)</f>
        <v>2.3279999999999999E-2</v>
      </c>
      <c r="BA17" s="1228">
        <f t="shared" si="33"/>
        <v>0</v>
      </c>
      <c r="BB17" s="102">
        <f>AZ17+$AW$2</f>
        <v>2.928E-2</v>
      </c>
      <c r="BD17" s="150">
        <v>10</v>
      </c>
      <c r="BE17" s="830">
        <v>48184</v>
      </c>
      <c r="BF17" s="205">
        <v>10</v>
      </c>
      <c r="BG17" s="831">
        <v>0</v>
      </c>
      <c r="BH17" s="831">
        <v>100000</v>
      </c>
      <c r="BI17" s="832">
        <v>24656.97</v>
      </c>
      <c r="BJ17" s="198">
        <f t="shared" si="6"/>
        <v>124656.97</v>
      </c>
      <c r="BK17" s="212">
        <f t="shared" si="7"/>
        <v>124656.97</v>
      </c>
      <c r="BL17" s="850">
        <f t="shared" si="31"/>
        <v>5.6876712328999997</v>
      </c>
      <c r="BM17" s="199">
        <f t="shared" si="26"/>
        <v>3.1099999999999999E-2</v>
      </c>
      <c r="BN17" s="447">
        <f t="shared" si="8"/>
        <v>99362.378500000006</v>
      </c>
      <c r="BO17" s="58"/>
      <c r="BP17" s="150">
        <v>10</v>
      </c>
      <c r="BQ17" s="539">
        <v>45748</v>
      </c>
      <c r="BR17" s="1315">
        <v>10</v>
      </c>
      <c r="BS17" s="1316">
        <v>100000</v>
      </c>
      <c r="BT17" s="1317">
        <v>0</v>
      </c>
      <c r="BU17" s="1318">
        <v>787.49999999999989</v>
      </c>
      <c r="BV17" s="847">
        <f t="shared" si="9"/>
        <v>787.5</v>
      </c>
      <c r="BW17" s="1319">
        <f t="shared" si="10"/>
        <v>0</v>
      </c>
      <c r="BX17" s="1321">
        <f t="shared" si="27"/>
        <v>-0.95652173909999982</v>
      </c>
      <c r="BY17" s="848" cm="1">
        <f t="array" ref="BY17">+ROUND(IF(BX17&lt;1,interpoler($A$5:$A$24,$B$5:$B$24,(BQ17-$B$1)),interpoler($C$5:$C$24,$D$5:$D$24,BX17)),5)</f>
        <v>2.3279999999999999E-2</v>
      </c>
      <c r="BZ17" s="860">
        <f t="shared" si="11"/>
        <v>0</v>
      </c>
      <c r="CB17" s="150">
        <v>10</v>
      </c>
      <c r="CC17" s="830">
        <v>45245</v>
      </c>
      <c r="CD17" s="205">
        <v>10</v>
      </c>
      <c r="CE17" s="963">
        <v>100000</v>
      </c>
      <c r="CF17" s="963">
        <v>0</v>
      </c>
      <c r="CG17" s="964">
        <v>0</v>
      </c>
      <c r="CH17" s="198">
        <f t="shared" si="12"/>
        <v>0</v>
      </c>
      <c r="CI17" s="212">
        <f t="shared" si="13"/>
        <v>0</v>
      </c>
      <c r="CJ17" s="956">
        <f t="shared" si="30"/>
        <v>-2.3662100456333324</v>
      </c>
      <c r="CK17" s="199" cm="1">
        <f t="array" ref="CK17">+ROUND(IF(CJ17&lt;1,interpoler($A$5:$A$24,$B$5:$B$24,(CC17-$B$1)),interpoler($C$5:$C$24,$D$5:$D$24,CJ17))+$AW$2,5)</f>
        <v>2.928E-2</v>
      </c>
      <c r="CL17" s="447">
        <f t="shared" si="14"/>
        <v>0</v>
      </c>
      <c r="CP17" s="150"/>
      <c r="CQ17" s="830"/>
      <c r="CR17" s="205"/>
      <c r="CS17" s="205"/>
      <c r="CT17" s="205"/>
      <c r="CU17" s="958"/>
      <c r="CV17" s="198"/>
      <c r="CW17" s="212"/>
      <c r="CX17" s="956"/>
      <c r="CY17" s="199"/>
      <c r="CZ17" s="447"/>
      <c r="DA17" s="29"/>
      <c r="DD17" s="150">
        <v>10</v>
      </c>
      <c r="DE17" s="830">
        <v>46156</v>
      </c>
      <c r="DF17" s="205">
        <v>10</v>
      </c>
      <c r="DG17" s="205">
        <v>100000</v>
      </c>
      <c r="DH17" s="205">
        <v>0</v>
      </c>
      <c r="DI17" s="765">
        <v>0</v>
      </c>
      <c r="DJ17" s="198">
        <f t="shared" si="18"/>
        <v>0</v>
      </c>
      <c r="DK17" s="212">
        <f t="shared" si="19"/>
        <v>0</v>
      </c>
      <c r="DL17" s="957">
        <f t="shared" si="29"/>
        <v>0.44354838710000011</v>
      </c>
      <c r="DM17" s="199" cm="1">
        <f t="array" ref="DM17">+ROUND(IF(DL17&lt;1,interpoler($A$5:$A$24,$B$5:$B$24,(DE17-$B$1)),interpoler($C$5:$C$24,$D$5:$D$24,DL17)),5)</f>
        <v>2.325E-2</v>
      </c>
      <c r="DN17" s="447">
        <f t="shared" si="20"/>
        <v>0</v>
      </c>
      <c r="DP17" s="29"/>
      <c r="DQ17" s="150">
        <v>10</v>
      </c>
      <c r="DR17" s="8">
        <v>49312</v>
      </c>
      <c r="DS17" s="205">
        <v>10</v>
      </c>
      <c r="DT17">
        <v>33333.33</v>
      </c>
      <c r="DU17">
        <v>1695.83</v>
      </c>
      <c r="DV17">
        <v>8333.34</v>
      </c>
      <c r="DW17" s="198"/>
      <c r="DX17" s="212"/>
      <c r="DY17" s="957"/>
      <c r="DZ17" s="199"/>
      <c r="EA17" s="447"/>
    </row>
    <row r="18" spans="1:131" ht="15.75" x14ac:dyDescent="0.25">
      <c r="A18" s="1128">
        <f>+CIH!A21</f>
        <v>326</v>
      </c>
      <c r="B18" s="1129">
        <f>+CIH!B21</f>
        <v>2.4974686420831338E-2</v>
      </c>
      <c r="C18" s="1128">
        <f>+CIH!K18</f>
        <v>14</v>
      </c>
      <c r="D18" s="1127">
        <f>+CIH!L18</f>
        <v>3.5945585159940174E-2</v>
      </c>
      <c r="G18">
        <v>11</v>
      </c>
      <c r="H18" s="1152">
        <v>46654</v>
      </c>
      <c r="I18" s="1104">
        <v>11</v>
      </c>
      <c r="J18" s="1445">
        <v>21224.570000000007</v>
      </c>
      <c r="K18" s="1442">
        <v>3344.83</v>
      </c>
      <c r="L18" s="1327">
        <v>388.72</v>
      </c>
      <c r="M18" s="1106"/>
      <c r="N18" s="1122"/>
      <c r="O18" s="1123"/>
      <c r="Q18">
        <v>11</v>
      </c>
      <c r="R18" s="1205" t="s">
        <v>3150</v>
      </c>
      <c r="S18" s="1104">
        <v>11</v>
      </c>
      <c r="T18">
        <v>25000.03</v>
      </c>
      <c r="U18">
        <v>8333.33</v>
      </c>
      <c r="V18">
        <v>3690.88</v>
      </c>
      <c r="W18" s="1106">
        <f t="shared" si="22"/>
        <v>12024.21</v>
      </c>
      <c r="X18" s="1122">
        <f t="shared" si="2"/>
        <v>12024.21</v>
      </c>
      <c r="Y18" s="1123"/>
      <c r="Z18" s="1107"/>
      <c r="AA18" s="1101"/>
      <c r="AB18" s="1101"/>
      <c r="AC18" s="102"/>
      <c r="AD18">
        <v>11</v>
      </c>
      <c r="AE18" s="1151">
        <v>46562</v>
      </c>
      <c r="AF18" s="1104">
        <v>11</v>
      </c>
      <c r="AG18">
        <v>100000</v>
      </c>
      <c r="AH18">
        <v>0</v>
      </c>
      <c r="AI18">
        <v>750</v>
      </c>
      <c r="AJ18" s="1106">
        <f t="shared" si="25"/>
        <v>750</v>
      </c>
      <c r="AK18" s="1122">
        <f t="shared" si="3"/>
        <v>750</v>
      </c>
      <c r="AL18" s="1123">
        <f t="shared" si="32"/>
        <v>1.2638888889</v>
      </c>
      <c r="AM18" s="1107"/>
      <c r="AN18" s="1101"/>
      <c r="AO18" s="1101"/>
      <c r="AP18" s="102"/>
      <c r="AQ18" s="150">
        <v>11</v>
      </c>
      <c r="AR18" s="830">
        <v>45742</v>
      </c>
      <c r="AS18" s="205">
        <v>11</v>
      </c>
      <c r="AT18" s="1226">
        <v>52624.26</v>
      </c>
      <c r="AU18" s="1226"/>
      <c r="AV18" s="1227"/>
      <c r="AW18" s="818">
        <f t="shared" ref="AW18:AW48" si="34">+ROUND(AU18+AV18,4)</f>
        <v>0</v>
      </c>
      <c r="AX18" s="819">
        <f t="shared" si="4"/>
        <v>0</v>
      </c>
      <c r="AY18" s="1011">
        <f>ROUND(((AR18-$B$1)/(AR18-AR17))/4,10)</f>
        <v>-1.0138888889</v>
      </c>
      <c r="AZ18" s="1011" cm="1">
        <f t="array" ref="AZ18">ROUND(interpoler(mat_zc,Taux_ZC,AY18),4)</f>
        <v>2.3300000000000001E-2</v>
      </c>
      <c r="BA18" s="1228">
        <f t="shared" si="33"/>
        <v>0</v>
      </c>
      <c r="BB18" s="102">
        <f t="shared" ref="BB18:BB48" si="35">AZ18+$AW$2</f>
        <v>2.93E-2</v>
      </c>
      <c r="BD18" s="150"/>
      <c r="BE18" s="830"/>
      <c r="BF18" s="205"/>
      <c r="BG18" s="831"/>
      <c r="BH18" s="831"/>
      <c r="BI18" s="832"/>
      <c r="BJ18" s="198"/>
      <c r="BK18" s="212"/>
      <c r="BL18" s="849"/>
      <c r="BM18" s="199"/>
      <c r="BN18" s="447"/>
      <c r="BP18" s="150">
        <v>10</v>
      </c>
      <c r="BQ18" s="539">
        <v>45809</v>
      </c>
      <c r="BR18" s="1315">
        <v>11</v>
      </c>
      <c r="BS18" s="1316">
        <v>100000</v>
      </c>
      <c r="BT18" s="1317">
        <v>20635.80240262139</v>
      </c>
      <c r="BU18" s="1318">
        <v>533.74999999999989</v>
      </c>
      <c r="BV18" s="847">
        <f t="shared" si="9"/>
        <v>21169.5524</v>
      </c>
      <c r="BW18" s="1319">
        <f t="shared" si="10"/>
        <v>0</v>
      </c>
      <c r="BX18" s="1321">
        <f>BX17+2/12</f>
        <v>-0.78985507243333319</v>
      </c>
      <c r="BY18" s="848" cm="1">
        <f t="array" ref="BY18">+ROUND(IF(BX18&lt;1,interpoler($A$5:$A$24,$B$5:$B$24,(BQ18-$B$1)),interpoler($C$5:$C$24,$D$5:$D$24,BX18)),5)</f>
        <v>2.3279999999999999E-2</v>
      </c>
      <c r="BZ18" s="860">
        <f t="shared" si="11"/>
        <v>0</v>
      </c>
      <c r="CB18" s="150">
        <v>10</v>
      </c>
      <c r="CC18" s="830">
        <v>45275</v>
      </c>
      <c r="CD18" s="205">
        <v>11</v>
      </c>
      <c r="CE18" s="963">
        <v>100000</v>
      </c>
      <c r="CF18" s="963">
        <v>0</v>
      </c>
      <c r="CG18" s="964">
        <v>0</v>
      </c>
      <c r="CH18" s="198">
        <f t="shared" si="12"/>
        <v>0</v>
      </c>
      <c r="CI18" s="212">
        <f t="shared" si="13"/>
        <v>0</v>
      </c>
      <c r="CJ18" s="956">
        <f t="shared" si="30"/>
        <v>-2.2828767122999989</v>
      </c>
      <c r="CK18" s="199" cm="1">
        <f t="array" ref="CK18">+ROUND(IF(CJ18&lt;1,interpoler($A$5:$A$24,$B$5:$B$24,(CC18-$B$1)),interpoler($C$5:$C$24,$D$5:$D$24,CJ18))+$AW$2,5)</f>
        <v>2.928E-2</v>
      </c>
      <c r="CL18" s="447">
        <f t="shared" si="14"/>
        <v>0</v>
      </c>
      <c r="CP18" s="150"/>
      <c r="CQ18" s="1580">
        <f>CQ14-CQ13</f>
        <v>90</v>
      </c>
      <c r="CR18" s="205"/>
      <c r="CS18" s="205"/>
      <c r="CT18" s="1579">
        <v>46126</v>
      </c>
      <c r="CU18" s="1579">
        <v>46126</v>
      </c>
      <c r="CV18" s="1292">
        <v>0</v>
      </c>
      <c r="CW18" s="1292">
        <v>100000</v>
      </c>
      <c r="CX18" s="1292" t="s">
        <v>3259</v>
      </c>
      <c r="CY18" s="199"/>
      <c r="CZ18" s="447"/>
      <c r="DD18" s="150">
        <v>11</v>
      </c>
      <c r="DE18" s="830">
        <v>46187</v>
      </c>
      <c r="DF18" s="205">
        <v>11</v>
      </c>
      <c r="DG18" s="205">
        <v>100000</v>
      </c>
      <c r="DH18" s="205">
        <v>0</v>
      </c>
      <c r="DI18" s="765">
        <v>0</v>
      </c>
      <c r="DJ18" s="198">
        <f t="shared" si="18"/>
        <v>0</v>
      </c>
      <c r="DK18" s="212">
        <f t="shared" si="19"/>
        <v>0</v>
      </c>
      <c r="DL18" s="957">
        <f>DL17+2/12</f>
        <v>0.61021505376666674</v>
      </c>
      <c r="DM18" s="199" cm="1">
        <f t="array" ref="DM18">+ROUND(IF(DL18&lt;1,interpoler($A$5:$A$24,$B$5:$B$24,(DE18-$B$1)),interpoler($C$5:$C$24,$D$5:$D$24,DL18)),5)</f>
        <v>2.3439999999999999E-2</v>
      </c>
      <c r="DN18" s="447">
        <f t="shared" si="20"/>
        <v>0</v>
      </c>
      <c r="DP18" s="29"/>
      <c r="DQ18" s="150">
        <v>11</v>
      </c>
      <c r="DR18" s="8">
        <v>49677</v>
      </c>
      <c r="DS18" s="205">
        <v>11</v>
      </c>
      <c r="DT18">
        <v>25000</v>
      </c>
      <c r="DU18">
        <v>1356.67</v>
      </c>
      <c r="DV18">
        <v>8333.33</v>
      </c>
      <c r="DW18" s="198"/>
      <c r="DX18" s="212"/>
      <c r="DY18" s="957"/>
      <c r="DZ18" s="199"/>
      <c r="EA18" s="447"/>
    </row>
    <row r="19" spans="1:131" ht="15.75" x14ac:dyDescent="0.25">
      <c r="A19" s="1128">
        <f>+CIH!A22</f>
        <v>326</v>
      </c>
      <c r="B19" s="1129">
        <f>+CIH!B22</f>
        <v>2.4974686420831338E-2</v>
      </c>
      <c r="C19" s="1128">
        <f>+CIH!K19</f>
        <v>15</v>
      </c>
      <c r="D19" s="1127">
        <f>+CIH!L19</f>
        <v>3.6204260276183176E-2</v>
      </c>
      <c r="G19">
        <v>12</v>
      </c>
      <c r="H19" s="1151">
        <v>46745</v>
      </c>
      <c r="I19" s="1104">
        <v>12</v>
      </c>
      <c r="J19" s="1446">
        <v>17879.740000000005</v>
      </c>
      <c r="K19" s="1443">
        <v>2864.33</v>
      </c>
      <c r="L19" s="1327">
        <v>388.72</v>
      </c>
      <c r="M19" s="1106"/>
      <c r="N19" s="1122"/>
      <c r="O19" s="1123"/>
      <c r="Q19">
        <v>12</v>
      </c>
      <c r="R19" s="1206" t="s">
        <v>3151</v>
      </c>
      <c r="S19" s="1104">
        <v>12</v>
      </c>
      <c r="T19">
        <v>16666.7</v>
      </c>
      <c r="U19">
        <v>8333.33</v>
      </c>
      <c r="V19">
        <v>3690.88</v>
      </c>
      <c r="W19" s="1106">
        <f t="shared" si="22"/>
        <v>12024.21</v>
      </c>
      <c r="X19" s="1122">
        <f t="shared" si="2"/>
        <v>12024.21</v>
      </c>
      <c r="Y19" s="1123"/>
      <c r="Z19" s="1107"/>
      <c r="AA19" s="1101"/>
      <c r="AB19" s="1101"/>
      <c r="AC19" s="102"/>
      <c r="AD19">
        <v>12</v>
      </c>
      <c r="AE19" s="1152">
        <v>46654</v>
      </c>
      <c r="AF19" s="1104">
        <v>12</v>
      </c>
      <c r="AG19">
        <v>100000</v>
      </c>
      <c r="AH19">
        <v>0</v>
      </c>
      <c r="AI19">
        <v>750</v>
      </c>
      <c r="AJ19" s="1106">
        <f t="shared" si="25"/>
        <v>750</v>
      </c>
      <c r="AK19" s="1122">
        <f t="shared" si="3"/>
        <v>750</v>
      </c>
      <c r="AL19" s="1123">
        <f t="shared" si="32"/>
        <v>1.5194444443999999</v>
      </c>
      <c r="AM19" s="1107"/>
      <c r="AN19" s="1101"/>
      <c r="AO19" s="1101"/>
      <c r="AP19" s="102"/>
      <c r="AQ19" s="150">
        <v>12</v>
      </c>
      <c r="AR19" s="830">
        <v>45834</v>
      </c>
      <c r="AS19" s="205">
        <v>12</v>
      </c>
      <c r="AT19" s="1226">
        <v>49666.98</v>
      </c>
      <c r="AU19" s="1226">
        <v>2957.28</v>
      </c>
      <c r="AV19" s="1227">
        <v>358.13</v>
      </c>
      <c r="AW19" s="818">
        <f t="shared" si="34"/>
        <v>3315.41</v>
      </c>
      <c r="AX19" s="819">
        <f t="shared" si="4"/>
        <v>0</v>
      </c>
      <c r="AY19" s="1011">
        <f>ROUND(((AR19-$B$1)/92)*0.25,10)</f>
        <v>-0.7418478261</v>
      </c>
      <c r="AZ19" s="1011" cm="1">
        <f t="array" ref="AZ19">ROUND(interpoler(mat_zc,Taux_ZC,AY19),5)</f>
        <v>2.3279999999999999E-2</v>
      </c>
      <c r="BA19" s="849">
        <f t="shared" si="33"/>
        <v>0</v>
      </c>
      <c r="BB19" s="102">
        <f t="shared" si="35"/>
        <v>2.928E-2</v>
      </c>
      <c r="BD19" s="150"/>
      <c r="BE19" s="830"/>
      <c r="BF19" s="205"/>
      <c r="BG19" s="831"/>
      <c r="BH19" s="831"/>
      <c r="BI19" s="832"/>
      <c r="BJ19" s="198"/>
      <c r="BK19" s="212"/>
      <c r="BL19" s="849"/>
      <c r="BM19" s="199"/>
      <c r="BN19" s="447"/>
      <c r="BP19" s="150">
        <v>10</v>
      </c>
      <c r="BQ19" s="539">
        <v>45839</v>
      </c>
      <c r="BR19" s="1315">
        <v>12</v>
      </c>
      <c r="BS19" s="1316">
        <v>79364</v>
      </c>
      <c r="BT19" s="1317">
        <v>18667.978016474299</v>
      </c>
      <c r="BU19" s="1318">
        <v>208.33101869311886</v>
      </c>
      <c r="BV19" s="847">
        <f t="shared" si="9"/>
        <v>18876.309000000001</v>
      </c>
      <c r="BW19" s="1319">
        <f t="shared" si="10"/>
        <v>0</v>
      </c>
      <c r="BX19" s="1321">
        <f>BX18+1/12</f>
        <v>-0.70652173909999982</v>
      </c>
      <c r="BY19" s="848" cm="1">
        <f t="array" ref="BY19">+ROUND(IF(BX19&lt;1,interpoler($A$5:$A$24,$B$5:$B$24,(BQ19-$B$1)),interpoler($C$5:$C$24,$D$5:$D$24,BX19)),5)</f>
        <v>2.3279999999999999E-2</v>
      </c>
      <c r="BZ19" s="860">
        <f t="shared" si="11"/>
        <v>0</v>
      </c>
      <c r="CB19" s="150">
        <v>10</v>
      </c>
      <c r="CC19" s="830">
        <v>45306</v>
      </c>
      <c r="CD19" s="205">
        <v>12</v>
      </c>
      <c r="CE19" s="963">
        <v>100000</v>
      </c>
      <c r="CF19" s="963">
        <v>0</v>
      </c>
      <c r="CG19" s="964">
        <v>0</v>
      </c>
      <c r="CH19" s="198">
        <f t="shared" si="12"/>
        <v>0</v>
      </c>
      <c r="CI19" s="212">
        <f t="shared" si="13"/>
        <v>0</v>
      </c>
      <c r="CJ19" s="956">
        <f t="shared" si="30"/>
        <v>-2.1995433789666654</v>
      </c>
      <c r="CK19" s="199" cm="1">
        <f t="array" ref="CK19">+ROUND(IF(CJ19&lt;1,interpoler($A$5:$A$24,$B$5:$B$24,(CC19-$B$1)),interpoler($C$5:$C$24,$D$5:$D$24,CJ19))+$AW$2,5)</f>
        <v>2.928E-2</v>
      </c>
      <c r="CL19" s="447">
        <f t="shared" si="14"/>
        <v>0</v>
      </c>
      <c r="CP19" s="150"/>
      <c r="CQ19" s="830"/>
      <c r="CR19" s="205"/>
      <c r="CS19" s="205"/>
      <c r="CT19" s="205"/>
      <c r="CU19" s="958"/>
      <c r="CV19" s="198"/>
      <c r="CW19" s="212"/>
      <c r="CX19" s="956"/>
      <c r="CY19" s="199"/>
      <c r="CZ19" s="447"/>
      <c r="DD19" s="150">
        <v>12</v>
      </c>
      <c r="DE19" s="830">
        <v>46217</v>
      </c>
      <c r="DF19" s="205">
        <v>12</v>
      </c>
      <c r="DG19" s="205">
        <v>100000</v>
      </c>
      <c r="DH19" s="205">
        <v>0</v>
      </c>
      <c r="DI19" s="765">
        <v>2990</v>
      </c>
      <c r="DJ19" s="198">
        <f t="shared" si="18"/>
        <v>2990</v>
      </c>
      <c r="DK19" s="212">
        <f t="shared" si="19"/>
        <v>2990</v>
      </c>
      <c r="DL19" s="957">
        <f>ROUND((DE19-$B$1)/(DE19-DE7),10)</f>
        <v>0.30136986300000002</v>
      </c>
      <c r="DM19" s="199" cm="1">
        <f t="array" ref="DM19">+ROUND(IF(DL19&lt;1,interpoler($A$5:$A$24,$B$5:$B$24,(DE19-$B$1)),interpoler($C$5:$C$24,$D$5:$D$24,DL19)),5)</f>
        <v>2.3650000000000001E-2</v>
      </c>
      <c r="DN19" s="447">
        <f t="shared" si="20"/>
        <v>2962.6770000000001</v>
      </c>
      <c r="DP19" s="29"/>
      <c r="DQ19" s="150">
        <v>12</v>
      </c>
      <c r="DR19" s="8">
        <v>50043</v>
      </c>
      <c r="DS19" s="205">
        <v>12</v>
      </c>
      <c r="DT19">
        <v>16666.669999999998</v>
      </c>
      <c r="DU19">
        <v>1017.5</v>
      </c>
      <c r="DV19">
        <v>8333.33</v>
      </c>
      <c r="DW19" s="198"/>
      <c r="DX19" s="212"/>
      <c r="DY19" s="957"/>
      <c r="DZ19" s="199"/>
      <c r="EA19" s="447"/>
    </row>
    <row r="20" spans="1:131" ht="15.75" x14ac:dyDescent="0.25">
      <c r="A20" s="1128">
        <f>+CIH!A23</f>
        <v>326</v>
      </c>
      <c r="B20" s="1129">
        <f>+CIH!B23</f>
        <v>2.4974686420831338E-2</v>
      </c>
      <c r="C20" s="1128">
        <f>+CIH!K20</f>
        <v>16</v>
      </c>
      <c r="D20" s="1127">
        <f>+CIH!L20</f>
        <v>3.6470866213529574E-2</v>
      </c>
      <c r="G20">
        <v>13</v>
      </c>
      <c r="H20" s="1152">
        <v>46836</v>
      </c>
      <c r="I20" s="1104">
        <v>13</v>
      </c>
      <c r="J20" s="1445">
        <v>15015.410000000005</v>
      </c>
      <c r="K20" s="1442">
        <v>2432.5300000000002</v>
      </c>
      <c r="L20" s="1327">
        <v>388.72</v>
      </c>
      <c r="M20" s="1106"/>
      <c r="N20" s="1122"/>
      <c r="O20" s="1123"/>
      <c r="Q20">
        <v>13</v>
      </c>
      <c r="R20" s="1205" t="s">
        <v>3152</v>
      </c>
      <c r="S20" s="1104">
        <v>13</v>
      </c>
      <c r="T20">
        <v>8333.3700000000008</v>
      </c>
      <c r="U20">
        <v>8333.33</v>
      </c>
      <c r="V20">
        <v>3690.88</v>
      </c>
      <c r="W20" s="1106">
        <f t="shared" si="22"/>
        <v>12024.21</v>
      </c>
      <c r="X20" s="1122">
        <f t="shared" si="2"/>
        <v>12024.21</v>
      </c>
      <c r="Y20" s="1123"/>
      <c r="Z20" s="1107"/>
      <c r="AA20" s="1101"/>
      <c r="AB20" s="1101"/>
      <c r="AC20" s="102"/>
      <c r="AD20">
        <v>13</v>
      </c>
      <c r="AE20" s="1151">
        <v>46745</v>
      </c>
      <c r="AF20" s="1104">
        <v>13</v>
      </c>
      <c r="AG20">
        <v>100000</v>
      </c>
      <c r="AH20">
        <v>10279.15</v>
      </c>
      <c r="AI20">
        <v>750</v>
      </c>
      <c r="AJ20" s="1106">
        <f t="shared" si="25"/>
        <v>11029.15</v>
      </c>
      <c r="AK20" s="1122">
        <f t="shared" si="3"/>
        <v>11029.15</v>
      </c>
      <c r="AL20" s="1123">
        <f t="shared" si="32"/>
        <v>1.7722222221999999</v>
      </c>
      <c r="AM20" s="1107"/>
      <c r="AN20" s="1101"/>
      <c r="AO20" s="1101"/>
      <c r="AP20" s="102"/>
      <c r="AQ20" s="150">
        <v>13</v>
      </c>
      <c r="AR20" s="830">
        <v>45926</v>
      </c>
      <c r="AS20" s="205">
        <v>13</v>
      </c>
      <c r="AT20" s="1226">
        <v>46958.58</v>
      </c>
      <c r="AU20" s="1226">
        <v>2708.4</v>
      </c>
      <c r="AV20" s="1227">
        <v>338.01</v>
      </c>
      <c r="AW20" s="818">
        <f t="shared" si="34"/>
        <v>3046.41</v>
      </c>
      <c r="AX20" s="819">
        <f t="shared" si="4"/>
        <v>0</v>
      </c>
      <c r="AY20" s="1011">
        <f>ROUND(((AR20-$B$1)/92)*0.25,10)</f>
        <v>-0.4918478261</v>
      </c>
      <c r="AZ20" s="1011" cm="1">
        <f t="array" ref="AZ20">ROUND(interpoler(mat_zc,Taux_ZC,AY20),5)</f>
        <v>2.3279999999999999E-2</v>
      </c>
      <c r="BA20" s="849">
        <f t="shared" si="33"/>
        <v>0</v>
      </c>
      <c r="BB20" s="102">
        <f t="shared" si="35"/>
        <v>2.928E-2</v>
      </c>
      <c r="BD20" s="150"/>
      <c r="BE20" s="830"/>
      <c r="BF20" s="205"/>
      <c r="BG20" s="831"/>
      <c r="BH20" s="831"/>
      <c r="BI20" s="832"/>
      <c r="BJ20" s="198"/>
      <c r="BK20" s="212"/>
      <c r="BL20" s="849"/>
      <c r="BM20" s="199"/>
      <c r="BN20" s="447"/>
      <c r="BP20" s="150">
        <v>10</v>
      </c>
      <c r="BQ20" s="539">
        <v>45870</v>
      </c>
      <c r="BR20" s="1315">
        <v>13</v>
      </c>
      <c r="BS20" s="1316">
        <v>25095.05</v>
      </c>
      <c r="BT20" s="1317">
        <v>16309.54</v>
      </c>
      <c r="BU20" s="1318">
        <v>108.74</v>
      </c>
      <c r="BV20" s="847">
        <f t="shared" si="9"/>
        <v>16418.28</v>
      </c>
      <c r="BW20" s="1319">
        <f t="shared" si="10"/>
        <v>0</v>
      </c>
      <c r="BX20" s="1321">
        <f>ROUND((CQ8-$B$1)/365,10)</f>
        <v>-0.61369863010000003</v>
      </c>
      <c r="BY20" s="848" cm="1">
        <f t="array" ref="BY20">+ROUND(IF(BX20&lt;1,interpoler($A$5:$A$24,$B$5:$B$24,(BQ20-$B$1)),interpoler($C$5:$C$24,$D$5:$D$24,BX20)),5)</f>
        <v>2.3279999999999999E-2</v>
      </c>
      <c r="BZ20" s="860">
        <f t="shared" si="11"/>
        <v>0</v>
      </c>
      <c r="CB20" s="150">
        <v>10</v>
      </c>
      <c r="CC20" s="830">
        <v>45337</v>
      </c>
      <c r="CD20" s="205">
        <v>13</v>
      </c>
      <c r="CE20" s="963">
        <v>100000</v>
      </c>
      <c r="CF20" s="963">
        <v>0</v>
      </c>
      <c r="CG20" s="964">
        <v>4680</v>
      </c>
      <c r="CH20" s="198">
        <f t="shared" si="12"/>
        <v>4680</v>
      </c>
      <c r="CI20" s="212">
        <f t="shared" si="13"/>
        <v>0</v>
      </c>
      <c r="CJ20" s="956">
        <f t="shared" si="30"/>
        <v>-2.1162100456333319</v>
      </c>
      <c r="CK20" s="199" cm="1">
        <f t="array" ref="CK20">+ROUND(IF(CJ20&lt;1,interpoler($A$5:$A$24,$B$5:$B$24,(CC20-$B$1)),interpoler($C$5:$C$24,$D$5:$D$24,CJ20))+$AW$2,5)</f>
        <v>2.928E-2</v>
      </c>
      <c r="CL20" s="447">
        <f t="shared" si="14"/>
        <v>0</v>
      </c>
      <c r="CP20" s="150"/>
      <c r="CQ20" s="830"/>
      <c r="CR20" s="205"/>
      <c r="CS20" s="205"/>
      <c r="CT20" s="205" t="s">
        <v>96</v>
      </c>
      <c r="CU20" s="958" t="s">
        <v>3205</v>
      </c>
      <c r="CV20" s="198" t="s">
        <v>105</v>
      </c>
      <c r="CW20" s="212" t="s">
        <v>3206</v>
      </c>
      <c r="CX20" s="956"/>
      <c r="CY20" s="199"/>
      <c r="CZ20" s="447"/>
      <c r="DD20" s="150">
        <v>13</v>
      </c>
      <c r="DE20" s="830">
        <v>46248</v>
      </c>
      <c r="DF20" s="205">
        <v>13</v>
      </c>
      <c r="DG20" s="205">
        <v>100000</v>
      </c>
      <c r="DH20" s="205">
        <v>0</v>
      </c>
      <c r="DI20" s="765">
        <v>0</v>
      </c>
      <c r="DJ20" s="198">
        <f t="shared" si="18"/>
        <v>0</v>
      </c>
      <c r="DK20" s="212">
        <f t="shared" si="19"/>
        <v>0</v>
      </c>
      <c r="DL20" s="957">
        <f t="shared" ref="DL20:DL30" si="36">ROUND((DE20-$B$1)/(DE20-DE8),10)</f>
        <v>0.38630136990000002</v>
      </c>
      <c r="DM20" s="199" cm="1">
        <f t="array" ref="DM20">+ROUND(IF(DL20&lt;1,interpoler($A$5:$A$24,$B$5:$B$24,(DE20-$B$1)),interpoler($C$5:$C$24,$D$5:$D$24,DL20)),5)</f>
        <v>2.3869999999999999E-2</v>
      </c>
      <c r="DN20" s="447">
        <f t="shared" si="20"/>
        <v>0</v>
      </c>
      <c r="DP20" s="29"/>
      <c r="DQ20" s="150">
        <v>13</v>
      </c>
      <c r="DR20" s="8">
        <v>50408</v>
      </c>
      <c r="DS20" s="205">
        <v>13</v>
      </c>
      <c r="DT20">
        <v>8333.33</v>
      </c>
      <c r="DU20">
        <v>678.33</v>
      </c>
      <c r="DV20">
        <v>8333.34</v>
      </c>
      <c r="DW20" s="198"/>
      <c r="DX20" s="212"/>
      <c r="DY20" s="957"/>
      <c r="DZ20" s="199"/>
      <c r="EA20" s="447"/>
    </row>
    <row r="21" spans="1:131" ht="15.75" x14ac:dyDescent="0.25">
      <c r="A21" s="1128">
        <f>+CIH!A24</f>
        <v>326</v>
      </c>
      <c r="B21" s="1129">
        <f>+CIH!B24</f>
        <v>2.4974686420831338E-2</v>
      </c>
      <c r="C21" s="1128">
        <f>+CIH!K21</f>
        <v>17</v>
      </c>
      <c r="D21" s="1127">
        <f>+CIH!L21</f>
        <v>3.6745176572350546E-2</v>
      </c>
      <c r="G21">
        <v>14</v>
      </c>
      <c r="H21" s="1151">
        <v>46928</v>
      </c>
      <c r="I21" s="1104">
        <v>14</v>
      </c>
      <c r="J21" s="1446">
        <v>12582.880000000005</v>
      </c>
      <c r="K21" s="1443">
        <v>2086.85</v>
      </c>
      <c r="L21" s="1327">
        <v>388.72</v>
      </c>
      <c r="M21" s="1106"/>
      <c r="N21" s="1122"/>
      <c r="O21" s="1123"/>
      <c r="Q21">
        <v>14</v>
      </c>
      <c r="R21" s="1206" t="s">
        <v>3153</v>
      </c>
      <c r="S21" s="1104">
        <v>14</v>
      </c>
      <c r="T21">
        <v>0</v>
      </c>
      <c r="U21">
        <v>8333.3700000000008</v>
      </c>
      <c r="V21">
        <v>3690.88</v>
      </c>
      <c r="W21" s="1106">
        <f t="shared" si="22"/>
        <v>12024.25</v>
      </c>
      <c r="X21" s="1122">
        <f t="shared" si="2"/>
        <v>12024.25</v>
      </c>
      <c r="Y21" s="1123"/>
      <c r="Z21" s="1107"/>
      <c r="AA21" s="1101"/>
      <c r="AB21" s="1101"/>
      <c r="AC21" s="102"/>
      <c r="AD21">
        <v>14</v>
      </c>
      <c r="AE21" s="1152">
        <v>46836</v>
      </c>
      <c r="AF21" s="1104">
        <v>14</v>
      </c>
      <c r="AG21">
        <v>89720.85</v>
      </c>
      <c r="AH21">
        <v>9366.61</v>
      </c>
      <c r="AI21">
        <v>750</v>
      </c>
      <c r="AJ21" s="1106">
        <f t="shared" si="25"/>
        <v>10116.61</v>
      </c>
      <c r="AK21" s="1122">
        <f t="shared" si="3"/>
        <v>10116.61</v>
      </c>
      <c r="AL21" s="1123">
        <f t="shared" si="32"/>
        <v>2.0249999999999999</v>
      </c>
      <c r="AM21" s="1107"/>
      <c r="AN21" s="1101"/>
      <c r="AO21" s="1101"/>
      <c r="AP21" s="102"/>
      <c r="AQ21" s="150">
        <v>14</v>
      </c>
      <c r="AR21" s="830">
        <v>46017</v>
      </c>
      <c r="AS21" s="205">
        <v>14</v>
      </c>
      <c r="AT21">
        <v>44202.83</v>
      </c>
      <c r="AU21">
        <v>2755.75</v>
      </c>
      <c r="AV21">
        <v>316.10000000000002</v>
      </c>
      <c r="AW21" s="198">
        <f t="shared" si="34"/>
        <v>3071.85</v>
      </c>
      <c r="AX21" s="212">
        <f t="shared" si="4"/>
        <v>0</v>
      </c>
      <c r="AY21" s="212">
        <f>ROUND(((AR21-$B$1)/90)*0.25,10)</f>
        <v>-0.25</v>
      </c>
      <c r="AZ21" s="849" cm="1">
        <f t="array" ref="AZ21">ROUND(interpoler(mat_zc,Taux_ZC,AY21),5)</f>
        <v>2.3279999999999999E-2</v>
      </c>
      <c r="BA21" s="849">
        <f t="shared" si="33"/>
        <v>0</v>
      </c>
      <c r="BB21" s="102">
        <f t="shared" si="35"/>
        <v>2.928E-2</v>
      </c>
      <c r="BD21" s="150"/>
      <c r="BE21" s="830"/>
      <c r="BF21" s="205"/>
      <c r="BG21" s="831"/>
      <c r="BH21" s="831"/>
      <c r="BI21" s="832"/>
      <c r="BJ21" s="198"/>
      <c r="BK21" s="212"/>
      <c r="BL21" s="849"/>
      <c r="BM21" s="199"/>
      <c r="BN21" s="447"/>
      <c r="BP21" s="150">
        <v>10</v>
      </c>
      <c r="BQ21" s="830">
        <v>45901</v>
      </c>
      <c r="BR21" s="205">
        <v>14</v>
      </c>
      <c r="BS21" s="831">
        <v>1341.94</v>
      </c>
      <c r="BT21" s="959">
        <v>23753.11</v>
      </c>
      <c r="BU21" s="958">
        <v>65.900000000000006</v>
      </c>
      <c r="BV21" s="198">
        <f>+ROUND(BT21+BU21,4)</f>
        <v>23819.01</v>
      </c>
      <c r="BW21" s="212">
        <f t="shared" si="10"/>
        <v>0</v>
      </c>
      <c r="BX21" s="957">
        <f>ROUND((BQ21-B1)/365,10)</f>
        <v>-0.56438356160000003</v>
      </c>
      <c r="BY21" s="199" cm="1">
        <f t="array" ref="BY21">+ROUND(interpoler($A$5:$A$24,$B$5:$B$24,(BQ21-$B$1)),5)+BV2</f>
        <v>3.1280000000000002E-2</v>
      </c>
      <c r="BZ21" s="447">
        <f>ROUND(BW21/(1+BY21*BX21),4)</f>
        <v>0</v>
      </c>
      <c r="CB21" s="150">
        <v>10</v>
      </c>
      <c r="CC21" s="830">
        <v>45366</v>
      </c>
      <c r="CD21" s="205">
        <v>14</v>
      </c>
      <c r="CE21" s="963">
        <v>100000</v>
      </c>
      <c r="CF21" s="963">
        <v>0</v>
      </c>
      <c r="CG21" s="964">
        <v>0</v>
      </c>
      <c r="CH21" s="198">
        <f t="shared" si="12"/>
        <v>0</v>
      </c>
      <c r="CI21" s="212">
        <f t="shared" si="13"/>
        <v>0</v>
      </c>
      <c r="CJ21" s="956">
        <f t="shared" si="30"/>
        <v>-2.0328767122999984</v>
      </c>
      <c r="CK21" s="199" cm="1">
        <f t="array" ref="CK21">+ROUND(IF(CJ21&lt;1,interpoler($A$5:$A$24,$B$5:$B$24,(CC21-$B$1)),interpoler($C$5:$C$24,$D$5:$D$24,CJ21))+$AW$2,5)</f>
        <v>2.928E-2</v>
      </c>
      <c r="CL21" s="447">
        <f t="shared" si="14"/>
        <v>0</v>
      </c>
      <c r="CP21" s="150"/>
      <c r="CQ21" s="830"/>
      <c r="CR21" s="205"/>
      <c r="CS21" s="205"/>
      <c r="CT21" s="205">
        <v>0.24444444439999999</v>
      </c>
      <c r="CU21" s="958">
        <v>88</v>
      </c>
      <c r="CV21" s="198">
        <v>2.9489999999999998</v>
      </c>
      <c r="CW21" s="212">
        <v>99999.531770753107</v>
      </c>
      <c r="CX21" s="956"/>
      <c r="CY21" s="199"/>
      <c r="CZ21" s="447"/>
      <c r="DD21" s="150">
        <v>14</v>
      </c>
      <c r="DE21" s="830">
        <v>46279</v>
      </c>
      <c r="DF21" s="205">
        <v>14</v>
      </c>
      <c r="DG21" s="205">
        <v>100000</v>
      </c>
      <c r="DH21" s="205">
        <v>0</v>
      </c>
      <c r="DI21" s="765">
        <v>0</v>
      </c>
      <c r="DJ21" s="198">
        <f t="shared" si="18"/>
        <v>0</v>
      </c>
      <c r="DK21" s="212">
        <f t="shared" si="19"/>
        <v>0</v>
      </c>
      <c r="DL21" s="957">
        <f t="shared" si="36"/>
        <v>0.47123287670000003</v>
      </c>
      <c r="DM21" s="199" cm="1">
        <f t="array" ref="DM21">+ROUND(IF(DL21&lt;1,interpoler($A$5:$A$24,$B$5:$B$24,(DE21-$B$1)),interpoler($C$5:$C$24,$D$5:$D$24,DL21)),5)</f>
        <v>2.4060000000000002E-2</v>
      </c>
      <c r="DN21" s="447">
        <f t="shared" si="20"/>
        <v>0</v>
      </c>
      <c r="DP21" s="29"/>
      <c r="DQ21" s="150">
        <v>14</v>
      </c>
      <c r="DR21" s="8">
        <v>50773</v>
      </c>
      <c r="DS21" s="205">
        <v>14</v>
      </c>
      <c r="DT21">
        <v>0</v>
      </c>
      <c r="DU21">
        <v>339.17</v>
      </c>
      <c r="DV21">
        <v>8333.33</v>
      </c>
      <c r="DW21" s="198"/>
      <c r="DX21" s="212"/>
      <c r="DY21" s="957"/>
      <c r="DZ21" s="199"/>
      <c r="EA21" s="447"/>
    </row>
    <row r="22" spans="1:131" ht="15.75" x14ac:dyDescent="0.25">
      <c r="A22" s="1128">
        <f>+CIH!A25</f>
        <v>326</v>
      </c>
      <c r="B22" s="1129">
        <f>+CIH!B25</f>
        <v>2.4974686420831338E-2</v>
      </c>
      <c r="C22" s="1128">
        <f>+CIH!K22</f>
        <v>18</v>
      </c>
      <c r="D22" s="1127">
        <f>+CIH!L22</f>
        <v>3.7027994063701275E-2</v>
      </c>
      <c r="G22">
        <v>15</v>
      </c>
      <c r="H22" s="1152">
        <v>47020</v>
      </c>
      <c r="I22" s="1104">
        <v>15</v>
      </c>
      <c r="J22" s="1445">
        <v>10496.030000000004</v>
      </c>
      <c r="K22" s="1442">
        <v>1792.75</v>
      </c>
      <c r="L22" s="1327">
        <v>388.72</v>
      </c>
      <c r="M22" s="1106"/>
      <c r="N22" s="1122"/>
      <c r="O22" s="1123"/>
      <c r="Q22"/>
      <c r="R22" s="1151"/>
      <c r="S22" s="1104"/>
      <c r="T22"/>
      <c r="U22"/>
      <c r="V22"/>
      <c r="W22" s="1106"/>
      <c r="X22" s="1122"/>
      <c r="Y22" s="1123"/>
      <c r="Z22" s="1107"/>
      <c r="AA22" s="1101"/>
      <c r="AB22" s="1101"/>
      <c r="AC22" s="102"/>
      <c r="AD22">
        <v>15</v>
      </c>
      <c r="AE22" s="1151">
        <v>46928</v>
      </c>
      <c r="AF22" s="1104">
        <v>15</v>
      </c>
      <c r="AG22">
        <v>80354.240000000005</v>
      </c>
      <c r="AH22">
        <v>8523.9500000000007</v>
      </c>
      <c r="AI22">
        <v>750</v>
      </c>
      <c r="AJ22" s="1106">
        <f t="shared" si="25"/>
        <v>9273.9500000000007</v>
      </c>
      <c r="AK22" s="1122">
        <f t="shared" si="3"/>
        <v>9273.9500000000007</v>
      </c>
      <c r="AL22" s="1123">
        <f t="shared" si="32"/>
        <v>2.2805555555999999</v>
      </c>
      <c r="AM22" s="1107"/>
      <c r="AN22" s="1101"/>
      <c r="AO22" s="1101"/>
      <c r="AP22" s="102"/>
      <c r="AQ22" s="150">
        <v>15</v>
      </c>
      <c r="AR22" s="830">
        <v>46107</v>
      </c>
      <c r="AS22" s="205">
        <v>15</v>
      </c>
      <c r="AT22" s="1639">
        <v>41393.599999999999</v>
      </c>
      <c r="AU22" s="1639" t="s">
        <v>3276</v>
      </c>
      <c r="AV22" s="1639"/>
      <c r="AW22" s="198" t="e">
        <f t="shared" si="34"/>
        <v>#VALUE!</v>
      </c>
      <c r="AX22" s="212">
        <f t="shared" si="4"/>
        <v>0</v>
      </c>
      <c r="AY22" s="849">
        <f>AY21+0.25</f>
        <v>0</v>
      </c>
      <c r="AZ22" s="849" cm="1">
        <f t="array" ref="AZ22">ROUND(interpoler(mat_zc,Taux_ZC,AY22),5)</f>
        <v>2.3279999999999999E-2</v>
      </c>
      <c r="BA22" s="849">
        <f>ROUND(AX22/(1+AZ22+$AW$2)^AY22,4)</f>
        <v>0</v>
      </c>
      <c r="BB22" s="102">
        <f t="shared" si="35"/>
        <v>2.928E-2</v>
      </c>
      <c r="BD22" s="150"/>
      <c r="BE22" s="830"/>
      <c r="BF22" s="205"/>
      <c r="BG22" s="831"/>
      <c r="BH22" s="831"/>
      <c r="BI22" s="832"/>
      <c r="BJ22" s="198"/>
      <c r="BK22" s="212"/>
      <c r="BL22" s="849"/>
      <c r="BM22" s="199"/>
      <c r="BN22" s="447"/>
      <c r="BP22" s="150">
        <v>10</v>
      </c>
      <c r="BQ22" s="830">
        <v>45931</v>
      </c>
      <c r="BR22" s="205">
        <v>15</v>
      </c>
      <c r="BS22" s="831">
        <v>0</v>
      </c>
      <c r="BT22" s="959">
        <v>1341.94</v>
      </c>
      <c r="BU22" s="958">
        <v>3.41</v>
      </c>
      <c r="BV22" s="198">
        <f t="shared" si="9"/>
        <v>1345.35</v>
      </c>
      <c r="BW22" s="212">
        <f t="shared" si="10"/>
        <v>0</v>
      </c>
      <c r="BX22" s="957">
        <f>ROUND((BQ22-B1)/365,10)</f>
        <v>-0.48219178080000002</v>
      </c>
      <c r="BY22" s="199" cm="1">
        <f t="array" ref="BY22">+ROUND(interpoler($A$5:$A$24,$B$5:$B$24,(BQ22-$B$1)),5)+BV2</f>
        <v>3.1280000000000002E-2</v>
      </c>
      <c r="BZ22" s="447">
        <f>BW22/(1+BY22*BX22)</f>
        <v>0</v>
      </c>
      <c r="CB22" s="150">
        <v>10</v>
      </c>
      <c r="CC22" s="830">
        <v>45397</v>
      </c>
      <c r="CD22" s="205">
        <v>15</v>
      </c>
      <c r="CE22" s="963">
        <v>100000</v>
      </c>
      <c r="CF22" s="963">
        <v>0</v>
      </c>
      <c r="CG22" s="964">
        <v>0</v>
      </c>
      <c r="CH22" s="198">
        <f t="shared" si="12"/>
        <v>0</v>
      </c>
      <c r="CI22" s="212">
        <f t="shared" si="13"/>
        <v>0</v>
      </c>
      <c r="CJ22" s="956">
        <f t="shared" si="30"/>
        <v>-1.9495433789666652</v>
      </c>
      <c r="CK22" s="199" cm="1">
        <f t="array" ref="CK22">+ROUND(IF(CJ22&lt;1,interpoler($A$5:$A$24,$B$5:$B$24,(CC22-$B$1)),interpoler($C$5:$C$24,$D$5:$D$24,CJ22))+$AW$2,5)</f>
        <v>2.928E-2</v>
      </c>
      <c r="CL22" s="447">
        <f t="shared" si="14"/>
        <v>0</v>
      </c>
      <c r="CP22" s="150"/>
      <c r="CQ22" s="830"/>
      <c r="CR22" s="205"/>
      <c r="CS22" s="205"/>
      <c r="CT22" s="205"/>
      <c r="CU22" s="958"/>
      <c r="CV22" s="198"/>
      <c r="CW22" s="212"/>
      <c r="CX22" s="956"/>
      <c r="CY22" s="199"/>
      <c r="CZ22" s="447"/>
      <c r="DD22" s="150">
        <v>15</v>
      </c>
      <c r="DE22" s="830">
        <v>46309</v>
      </c>
      <c r="DF22" s="205">
        <v>15</v>
      </c>
      <c r="DG22" s="205">
        <v>100000</v>
      </c>
      <c r="DH22" s="205">
        <v>0</v>
      </c>
      <c r="DI22" s="765">
        <v>0</v>
      </c>
      <c r="DJ22" s="198">
        <f t="shared" si="18"/>
        <v>0</v>
      </c>
      <c r="DK22" s="212">
        <f t="shared" si="19"/>
        <v>0</v>
      </c>
      <c r="DL22" s="957">
        <f t="shared" si="36"/>
        <v>0.55342465750000003</v>
      </c>
      <c r="DM22" s="199" cm="1">
        <f t="array" ref="DM22">+ROUND(IF(DL22&lt;1,interpoler($A$5:$A$24,$B$5:$B$24,(DE22-$B$1)),interpoler($C$5:$C$24,$D$5:$D$24,DL22)),5)</f>
        <v>2.4240000000000001E-2</v>
      </c>
      <c r="DN22" s="447">
        <f t="shared" si="20"/>
        <v>0</v>
      </c>
      <c r="DP22" s="29"/>
      <c r="DQ22" s="150"/>
      <c r="DR22" s="830"/>
      <c r="DS22" s="957"/>
      <c r="DT22" s="957"/>
      <c r="DU22" s="957"/>
      <c r="DV22" s="957"/>
      <c r="DW22" s="198"/>
      <c r="DX22" s="212"/>
      <c r="DY22" s="957"/>
      <c r="DZ22" s="199"/>
      <c r="EA22" s="447"/>
    </row>
    <row r="23" spans="1:131" ht="15.75" x14ac:dyDescent="0.25">
      <c r="A23" s="1128">
        <f>+CIH!A26</f>
        <v>365</v>
      </c>
      <c r="B23" s="1129">
        <f>+CIH!B26</f>
        <v>2.5143169815572186E-2</v>
      </c>
      <c r="C23" s="1128">
        <f>+CIH!K23</f>
        <v>19</v>
      </c>
      <c r="D23" s="1127">
        <f>+CIH!L23</f>
        <v>3.7317530141429689E-2</v>
      </c>
      <c r="G23">
        <v>16</v>
      </c>
      <c r="H23" s="1151">
        <v>47111</v>
      </c>
      <c r="I23" s="1104">
        <v>16</v>
      </c>
      <c r="J23" s="1446">
        <v>8703.2800000000043</v>
      </c>
      <c r="K23" s="1443">
        <v>1528.37</v>
      </c>
      <c r="L23" s="1327">
        <v>388.72</v>
      </c>
      <c r="M23" s="1106"/>
      <c r="N23" s="1122"/>
      <c r="O23" s="1123"/>
      <c r="Q23"/>
      <c r="R23" s="1152"/>
      <c r="S23" s="1104"/>
      <c r="T23"/>
      <c r="U23"/>
      <c r="V23"/>
      <c r="W23" s="1122"/>
      <c r="X23" s="1122"/>
      <c r="Y23" s="1122"/>
      <c r="Z23" s="1122"/>
      <c r="AA23" s="1101"/>
      <c r="AB23" s="1101"/>
      <c r="AC23" s="102"/>
      <c r="AD23">
        <v>16</v>
      </c>
      <c r="AE23" s="1152">
        <v>47020</v>
      </c>
      <c r="AF23" s="1104">
        <v>16</v>
      </c>
      <c r="AG23">
        <v>71830.289999999994</v>
      </c>
      <c r="AH23">
        <v>7717.72</v>
      </c>
      <c r="AI23">
        <v>750</v>
      </c>
      <c r="AJ23" s="1106">
        <f t="shared" si="25"/>
        <v>8467.7199999999993</v>
      </c>
      <c r="AK23" s="1122">
        <f t="shared" si="3"/>
        <v>8467.7199999999993</v>
      </c>
      <c r="AL23" s="1123">
        <f t="shared" si="32"/>
        <v>2.5361111110999999</v>
      </c>
      <c r="AM23" s="1107"/>
      <c r="AN23" s="1101"/>
      <c r="AO23" s="1101"/>
      <c r="AP23" s="102"/>
      <c r="AQ23" s="150">
        <v>16</v>
      </c>
      <c r="AR23" s="830">
        <v>46199</v>
      </c>
      <c r="AS23" s="205">
        <v>16</v>
      </c>
      <c r="AT23" s="1639">
        <v>39341.64</v>
      </c>
      <c r="AU23" s="1639">
        <v>2051.96</v>
      </c>
      <c r="AV23" s="1639">
        <v>281.7</v>
      </c>
      <c r="AW23" s="198">
        <f t="shared" si="34"/>
        <v>2333.66</v>
      </c>
      <c r="AX23" s="212">
        <f t="shared" si="4"/>
        <v>2333.66</v>
      </c>
      <c r="AY23" s="849">
        <f t="shared" ref="AY23:AY47" si="37">AY22+0.25</f>
        <v>0.25</v>
      </c>
      <c r="AZ23" s="849" cm="1">
        <f t="array" ref="AZ23">ROUND(interpoler(mat_zc,Taux_ZC,AY23),5)</f>
        <v>2.3519999999999999E-2</v>
      </c>
      <c r="BA23" s="849">
        <f t="shared" si="33"/>
        <v>2316.7485000000001</v>
      </c>
      <c r="BB23" s="102">
        <f t="shared" si="35"/>
        <v>2.9519999999999998E-2</v>
      </c>
      <c r="BD23" s="150"/>
      <c r="BE23" s="830"/>
      <c r="BF23" s="205"/>
      <c r="BG23" s="831"/>
      <c r="BH23" s="831"/>
      <c r="BI23" s="832"/>
      <c r="BJ23" s="198"/>
      <c r="BK23" s="212"/>
      <c r="BL23" s="849"/>
      <c r="BM23" s="199"/>
      <c r="BN23" s="447"/>
      <c r="BP23" s="150">
        <v>10</v>
      </c>
      <c r="BQ23" s="830">
        <v>45975</v>
      </c>
      <c r="BR23" s="205">
        <v>16</v>
      </c>
      <c r="BS23" s="831">
        <v>4600</v>
      </c>
      <c r="BT23" s="959">
        <v>4599.8602784200511</v>
      </c>
      <c r="BU23" s="958">
        <v>17.70946207191718</v>
      </c>
      <c r="BV23" s="198">
        <f t="shared" si="9"/>
        <v>4617.5697</v>
      </c>
      <c r="BW23" s="212">
        <f t="shared" si="10"/>
        <v>0</v>
      </c>
      <c r="BX23" s="957">
        <f>BX22+44/365</f>
        <v>-0.36164383559452057</v>
      </c>
      <c r="BY23" s="199" cm="1">
        <f t="array" ref="BY23">+ROUND(IF(BX23&lt;1,interpoler($A$5:$A$24,$B$5:$B$24,(BQ23-$B$1)),interpoler($C$5:$C$24,$D$5:$D$24,BX23)),5)</f>
        <v>2.3279999999999999E-2</v>
      </c>
      <c r="BZ23" s="447">
        <f t="shared" si="11"/>
        <v>0</v>
      </c>
      <c r="CB23" s="150">
        <v>10</v>
      </c>
      <c r="CC23" s="830">
        <v>45427</v>
      </c>
      <c r="CD23" s="205">
        <v>16</v>
      </c>
      <c r="CE23" s="963">
        <v>100000</v>
      </c>
      <c r="CF23" s="963">
        <v>0</v>
      </c>
      <c r="CG23" s="964">
        <v>0</v>
      </c>
      <c r="CH23" s="198">
        <f t="shared" si="12"/>
        <v>0</v>
      </c>
      <c r="CI23" s="212">
        <f t="shared" si="13"/>
        <v>0</v>
      </c>
      <c r="CJ23" s="956">
        <f t="shared" si="30"/>
        <v>-1.8662100456333319</v>
      </c>
      <c r="CK23" s="199" cm="1">
        <f t="array" ref="CK23">+ROUND(IF(CJ23&lt;1,interpoler($A$5:$A$24,$B$5:$B$24,(CC23-$B$1)),interpoler($C$5:$C$24,$D$5:$D$24,CJ23))+$AW$2,5)</f>
        <v>2.928E-2</v>
      </c>
      <c r="CL23" s="447">
        <f t="shared" si="14"/>
        <v>0</v>
      </c>
      <c r="CP23" s="150"/>
      <c r="CQ23" s="830"/>
      <c r="CR23" s="205"/>
      <c r="CS23" s="205"/>
      <c r="CT23" s="205"/>
      <c r="CU23" s="958"/>
      <c r="CV23" s="198"/>
      <c r="CW23" s="212"/>
      <c r="CX23" s="956"/>
      <c r="CY23" s="199"/>
      <c r="CZ23" s="447"/>
      <c r="DD23" s="150">
        <v>16</v>
      </c>
      <c r="DE23" s="830">
        <v>46340</v>
      </c>
      <c r="DF23" s="205">
        <v>16</v>
      </c>
      <c r="DG23" s="205">
        <v>100000</v>
      </c>
      <c r="DH23" s="205">
        <v>0</v>
      </c>
      <c r="DI23" s="765">
        <v>0</v>
      </c>
      <c r="DJ23" s="198">
        <f t="shared" si="18"/>
        <v>0</v>
      </c>
      <c r="DK23" s="212">
        <f t="shared" si="19"/>
        <v>0</v>
      </c>
      <c r="DL23" s="957">
        <f t="shared" si="36"/>
        <v>0.63835616439999998</v>
      </c>
      <c r="DM23" s="199" cm="1">
        <f t="array" ref="DM23">+ROUND(IF(DL23&lt;1,interpoler($A$5:$A$24,$B$5:$B$24,(DE23-$B$1)),interpoler($C$5:$C$24,$D$5:$D$24,DL23)),5)</f>
        <v>2.4420000000000001E-2</v>
      </c>
      <c r="DN23" s="447">
        <f t="shared" si="20"/>
        <v>0</v>
      </c>
      <c r="DP23" s="29"/>
      <c r="DQ23" s="150"/>
      <c r="DR23" s="830"/>
      <c r="DS23" s="957"/>
      <c r="DT23" s="957"/>
      <c r="DU23" s="957"/>
      <c r="DV23" s="198"/>
      <c r="DW23" s="198"/>
      <c r="DX23" s="212"/>
      <c r="DY23" s="957"/>
      <c r="DZ23" s="199"/>
      <c r="EA23" s="447"/>
    </row>
    <row r="24" spans="1:131" ht="15.75" x14ac:dyDescent="0.25">
      <c r="A24" s="1128">
        <f>+CIH!A27</f>
        <v>365</v>
      </c>
      <c r="B24" s="1129">
        <f>+CIH!B27</f>
        <v>0</v>
      </c>
      <c r="C24" s="1128">
        <f>+CIH!K24</f>
        <v>20</v>
      </c>
      <c r="D24" s="1127">
        <f>+CIH!L24</f>
        <v>3.7810906767328456E-2</v>
      </c>
      <c r="G24">
        <v>17</v>
      </c>
      <c r="H24" s="1152">
        <v>47201</v>
      </c>
      <c r="I24" s="1104">
        <v>17</v>
      </c>
      <c r="J24" s="1445">
        <v>7174.9100000000044</v>
      </c>
      <c r="K24" s="1442">
        <v>1295.5899999999999</v>
      </c>
      <c r="L24" s="1327">
        <v>388.72</v>
      </c>
      <c r="M24" s="1106"/>
      <c r="N24" s="1122"/>
      <c r="O24" s="1123"/>
      <c r="Q24"/>
      <c r="R24" s="1151"/>
      <c r="S24" s="1104"/>
      <c r="T24" s="1124"/>
      <c r="U24"/>
      <c r="V24" s="1125"/>
      <c r="W24" s="1122"/>
      <c r="X24" s="1122"/>
      <c r="Y24" s="1122"/>
      <c r="Z24" s="1122"/>
      <c r="AA24" s="1101"/>
      <c r="AB24" s="1101"/>
      <c r="AC24" s="102"/>
      <c r="AD24">
        <v>17</v>
      </c>
      <c r="AE24" s="1151">
        <v>47111</v>
      </c>
      <c r="AF24" s="1104">
        <v>17</v>
      </c>
      <c r="AG24">
        <v>64112.57</v>
      </c>
      <c r="AH24">
        <v>6974.3</v>
      </c>
      <c r="AI24">
        <v>750</v>
      </c>
      <c r="AJ24" s="1106">
        <f t="shared" si="25"/>
        <v>7724.3</v>
      </c>
      <c r="AK24" s="1122">
        <f t="shared" si="3"/>
        <v>7724.3</v>
      </c>
      <c r="AL24" s="1123">
        <f t="shared" si="32"/>
        <v>2.7888888888999999</v>
      </c>
      <c r="AM24" s="1107"/>
      <c r="AN24" s="1101"/>
      <c r="AO24" s="1101"/>
      <c r="AP24" s="102"/>
      <c r="AQ24" s="150">
        <v>17</v>
      </c>
      <c r="AR24" s="830">
        <v>46293</v>
      </c>
      <c r="AS24" s="205">
        <v>17</v>
      </c>
      <c r="AT24" s="1639">
        <v>37198.94</v>
      </c>
      <c r="AU24" s="1639">
        <v>2142.6999999999998</v>
      </c>
      <c r="AV24" s="1639">
        <v>273.56</v>
      </c>
      <c r="AW24" s="198">
        <f t="shared" si="34"/>
        <v>2416.2600000000002</v>
      </c>
      <c r="AX24" s="212">
        <f t="shared" si="4"/>
        <v>2416.2600000000002</v>
      </c>
      <c r="AY24" s="849">
        <f t="shared" si="37"/>
        <v>0.5</v>
      </c>
      <c r="AZ24" s="849" cm="1">
        <f t="array" ref="AZ24">ROUND(interpoler(mat_zc,Taux_ZC,AY24),5)</f>
        <v>2.4119999999999999E-2</v>
      </c>
      <c r="BA24" s="849">
        <f t="shared" si="33"/>
        <v>2380.6729999999998</v>
      </c>
      <c r="BB24" s="102">
        <f t="shared" si="35"/>
        <v>3.0120000000000001E-2</v>
      </c>
      <c r="BD24" s="150"/>
      <c r="BE24" s="830"/>
      <c r="BF24" s="205"/>
      <c r="BG24" s="831"/>
      <c r="BH24" s="831"/>
      <c r="BI24" s="832"/>
      <c r="BJ24" s="198"/>
      <c r="BK24" s="212"/>
      <c r="BL24" s="849"/>
      <c r="BM24" s="199"/>
      <c r="BN24" s="447"/>
      <c r="BP24" s="150"/>
      <c r="BQ24" s="830"/>
      <c r="BR24" s="205"/>
      <c r="BS24" s="831"/>
      <c r="BT24" s="831"/>
      <c r="BU24" s="832"/>
      <c r="BV24" s="198"/>
      <c r="BW24" s="212"/>
      <c r="BX24" s="849"/>
      <c r="BY24" s="199"/>
      <c r="BZ24" s="447"/>
      <c r="CB24" s="150"/>
      <c r="CC24" s="830">
        <v>45458</v>
      </c>
      <c r="CD24" s="205"/>
      <c r="CE24" s="963">
        <v>100000</v>
      </c>
      <c r="CF24" s="963">
        <v>0</v>
      </c>
      <c r="CG24" s="964">
        <v>0</v>
      </c>
      <c r="CH24" s="198">
        <f t="shared" si="12"/>
        <v>0</v>
      </c>
      <c r="CI24" s="212">
        <f t="shared" si="13"/>
        <v>0</v>
      </c>
      <c r="CJ24" s="956">
        <f t="shared" si="30"/>
        <v>-1.7828767122999987</v>
      </c>
      <c r="CK24" s="199" cm="1">
        <f t="array" ref="CK24">+ROUND(IF(CJ24&lt;1,interpoler($A$5:$A$24,$B$5:$B$24,(CC24-$B$1)),interpoler($C$5:$C$24,$D$5:$D$24,CJ24))+$AW$2,5)</f>
        <v>2.928E-2</v>
      </c>
      <c r="CL24" s="447">
        <f t="shared" si="14"/>
        <v>0</v>
      </c>
      <c r="CP24" s="150"/>
      <c r="CQ24" s="830"/>
      <c r="CR24" s="205"/>
      <c r="CS24" s="205"/>
      <c r="CT24" s="205"/>
      <c r="CU24" s="832"/>
      <c r="CV24" s="198"/>
      <c r="CW24" s="212"/>
      <c r="CX24" s="956"/>
      <c r="CY24" s="199"/>
      <c r="CZ24" s="447"/>
      <c r="DD24" s="150">
        <v>17</v>
      </c>
      <c r="DE24" s="830">
        <v>46370</v>
      </c>
      <c r="DF24" s="205">
        <v>17</v>
      </c>
      <c r="DG24" s="205">
        <v>100000</v>
      </c>
      <c r="DH24" s="205">
        <v>0</v>
      </c>
      <c r="DI24" s="765">
        <v>0</v>
      </c>
      <c r="DJ24" s="198">
        <f t="shared" si="18"/>
        <v>0</v>
      </c>
      <c r="DK24" s="212">
        <f t="shared" si="19"/>
        <v>0</v>
      </c>
      <c r="DL24" s="957">
        <f t="shared" si="36"/>
        <v>0.72054794519999998</v>
      </c>
      <c r="DM24" s="199" cm="1">
        <f t="array" ref="DM24">+ROUND(IF(DL24&lt;1,interpoler($A$5:$A$24,$B$5:$B$24,(DE24-$B$1)),interpoler($C$5:$C$24,$D$5:$D$24,DL24)),5)</f>
        <v>2.46E-2</v>
      </c>
      <c r="DN24" s="447">
        <f t="shared" si="20"/>
        <v>0</v>
      </c>
      <c r="DP24" s="29"/>
      <c r="DQ24" s="150"/>
      <c r="DR24" s="830"/>
      <c r="DS24" s="957"/>
      <c r="DT24" s="957"/>
      <c r="DU24" s="957"/>
      <c r="DV24" s="957"/>
      <c r="DW24" s="198"/>
      <c r="DX24" s="212"/>
      <c r="DY24" s="957"/>
      <c r="DZ24" s="199"/>
      <c r="EA24" s="447"/>
    </row>
    <row r="25" spans="1:131" ht="15.75" x14ac:dyDescent="0.25">
      <c r="A25" s="1132"/>
      <c r="B25" s="1132"/>
      <c r="C25" s="1128"/>
      <c r="D25" s="1127"/>
      <c r="G25">
        <v>18</v>
      </c>
      <c r="H25" s="1151">
        <v>47293</v>
      </c>
      <c r="I25" s="1104">
        <v>18</v>
      </c>
      <c r="J25" s="1446">
        <v>5879.3200000000043</v>
      </c>
      <c r="K25" s="1443">
        <v>1094.8499999999999</v>
      </c>
      <c r="L25" s="1327">
        <v>388.72</v>
      </c>
      <c r="M25" s="1292"/>
      <c r="N25" s="1292"/>
      <c r="O25" s="1292"/>
      <c r="P25" s="1292"/>
      <c r="Q25"/>
      <c r="R25" s="1152"/>
      <c r="S25" s="1104"/>
      <c r="T25" s="1124"/>
      <c r="U25" s="1124"/>
      <c r="V25" s="1125"/>
      <c r="W25" s="1122"/>
      <c r="X25" s="1122"/>
      <c r="Y25" s="1122"/>
      <c r="Z25" s="1122"/>
      <c r="AA25" s="1101"/>
      <c r="AB25" s="1101"/>
      <c r="AC25" s="102"/>
      <c r="AD25">
        <v>18</v>
      </c>
      <c r="AE25" s="1152">
        <v>47201</v>
      </c>
      <c r="AF25" s="1104">
        <v>18</v>
      </c>
      <c r="AG25">
        <v>57138.27</v>
      </c>
      <c r="AH25">
        <v>6306.99</v>
      </c>
      <c r="AI25">
        <v>750</v>
      </c>
      <c r="AJ25" s="1106">
        <f t="shared" si="25"/>
        <v>7056.99</v>
      </c>
      <c r="AK25" s="1122">
        <f t="shared" si="3"/>
        <v>7056.99</v>
      </c>
      <c r="AL25" s="1123">
        <f t="shared" si="32"/>
        <v>3.0388888888999999</v>
      </c>
      <c r="AM25" s="1107"/>
      <c r="AN25" s="1101"/>
      <c r="AO25" s="1101"/>
      <c r="AP25" s="102"/>
      <c r="AQ25" s="150">
        <v>18</v>
      </c>
      <c r="AR25" s="830">
        <v>46384</v>
      </c>
      <c r="AS25" s="205">
        <v>18</v>
      </c>
      <c r="AT25" s="1639">
        <v>35071.25</v>
      </c>
      <c r="AU25" s="1639">
        <v>2127.69</v>
      </c>
      <c r="AV25" s="1639">
        <v>250.4</v>
      </c>
      <c r="AW25" s="198">
        <f t="shared" si="34"/>
        <v>2378.09</v>
      </c>
      <c r="AX25" s="212">
        <f t="shared" si="4"/>
        <v>2378.09</v>
      </c>
      <c r="AY25" s="849">
        <f t="shared" si="37"/>
        <v>0.75</v>
      </c>
      <c r="AZ25" s="849" cm="1">
        <f t="array" ref="AZ25">ROUND(interpoler(mat_zc,Taux_ZC,AY25),5)</f>
        <v>2.4660000000000001E-2</v>
      </c>
      <c r="BA25" s="849">
        <f t="shared" si="33"/>
        <v>2324.8328000000001</v>
      </c>
      <c r="BB25" s="102">
        <f t="shared" si="35"/>
        <v>3.066E-2</v>
      </c>
      <c r="BD25" s="150"/>
      <c r="BE25" s="830"/>
      <c r="BF25" s="205"/>
      <c r="BG25" s="831"/>
      <c r="BH25" s="831"/>
      <c r="BI25" s="832"/>
      <c r="BJ25" s="198"/>
      <c r="BK25" s="212"/>
      <c r="BL25" s="849"/>
      <c r="BM25" s="199"/>
      <c r="BN25" s="447"/>
      <c r="BP25" s="150"/>
      <c r="BQ25" s="830"/>
      <c r="BR25" s="205"/>
      <c r="BS25" s="831"/>
      <c r="BT25" s="831"/>
      <c r="BU25" s="832"/>
      <c r="BV25" s="198"/>
      <c r="BW25" s="212"/>
      <c r="BX25" s="849"/>
      <c r="BY25" s="199"/>
      <c r="BZ25" s="447"/>
      <c r="CB25" s="150"/>
      <c r="CC25" s="830">
        <v>45488</v>
      </c>
      <c r="CD25" s="205"/>
      <c r="CE25" s="963">
        <v>100000</v>
      </c>
      <c r="CF25" s="963">
        <v>0</v>
      </c>
      <c r="CG25" s="964">
        <v>0</v>
      </c>
      <c r="CH25" s="198">
        <f t="shared" si="12"/>
        <v>0</v>
      </c>
      <c r="CI25" s="212">
        <f t="shared" si="13"/>
        <v>0</v>
      </c>
      <c r="CJ25" s="956">
        <f t="shared" si="30"/>
        <v>-1.6995433789666654</v>
      </c>
      <c r="CK25" s="199" cm="1">
        <f t="array" ref="CK25">+ROUND(IF(CJ25&lt;1,interpoler($A$5:$A$24,$B$5:$B$24,(CC25-$B$1)),interpoler($C$5:$C$24,$D$5:$D$24,CJ25))+$AW$2,5)</f>
        <v>2.928E-2</v>
      </c>
      <c r="CL25" s="447">
        <f t="shared" si="14"/>
        <v>0</v>
      </c>
      <c r="CP25" s="150"/>
      <c r="CQ25" s="830"/>
      <c r="CR25" s="205"/>
      <c r="CS25" s="205"/>
      <c r="CT25" s="205"/>
      <c r="CU25" s="832"/>
      <c r="CV25" s="198"/>
      <c r="CW25" s="212"/>
      <c r="CX25" s="956"/>
      <c r="CY25" s="199"/>
      <c r="CZ25" s="447"/>
      <c r="DD25" s="150">
        <v>18</v>
      </c>
      <c r="DE25" s="830">
        <v>46401</v>
      </c>
      <c r="DF25" s="205">
        <v>18</v>
      </c>
      <c r="DG25" s="205">
        <v>100000</v>
      </c>
      <c r="DH25" s="205">
        <v>0</v>
      </c>
      <c r="DI25" s="765">
        <v>0</v>
      </c>
      <c r="DJ25" s="198">
        <f t="shared" si="18"/>
        <v>0</v>
      </c>
      <c r="DK25" s="212">
        <f t="shared" si="19"/>
        <v>0</v>
      </c>
      <c r="DL25" s="957">
        <f t="shared" si="36"/>
        <v>0.80547945210000005</v>
      </c>
      <c r="DM25" s="199" cm="1">
        <f t="array" ref="DM25">+ROUND(IF(DL25&lt;1,interpoler($A$5:$A$24,$B$5:$B$24,(DE25-$B$1)),interpoler($C$5:$C$24,$D$5:$D$24,DL25)),5)</f>
        <v>2.478E-2</v>
      </c>
      <c r="DN25" s="447">
        <f t="shared" si="20"/>
        <v>0</v>
      </c>
      <c r="DP25" s="29"/>
      <c r="DQ25" s="150"/>
      <c r="DR25" s="830"/>
      <c r="DS25" s="957"/>
      <c r="DT25" s="957"/>
      <c r="DU25" s="957"/>
      <c r="DV25" s="957"/>
      <c r="DW25" s="198"/>
      <c r="DX25" s="212"/>
      <c r="DY25" s="957"/>
      <c r="DZ25" s="199"/>
      <c r="EA25" s="447"/>
    </row>
    <row r="26" spans="1:131" ht="15.75" x14ac:dyDescent="0.25">
      <c r="A26" s="1132"/>
      <c r="B26" s="1132"/>
      <c r="C26" s="1128"/>
      <c r="D26" s="1129"/>
      <c r="G26">
        <v>19</v>
      </c>
      <c r="H26" s="1152">
        <v>47385</v>
      </c>
      <c r="I26" s="1104">
        <v>19</v>
      </c>
      <c r="J26" s="1445">
        <v>4784.4700000000048</v>
      </c>
      <c r="K26" s="1442">
        <v>922.64</v>
      </c>
      <c r="L26" s="1327">
        <v>388.72</v>
      </c>
      <c r="M26" s="1106"/>
      <c r="N26" s="1122"/>
      <c r="O26" s="1123"/>
      <c r="Q26"/>
      <c r="R26" s="1151"/>
      <c r="S26" s="1104"/>
      <c r="T26" s="1124"/>
      <c r="U26" s="1124"/>
      <c r="V26" s="1125"/>
      <c r="W26" s="1122"/>
      <c r="X26" s="1122"/>
      <c r="Y26" s="1122"/>
      <c r="Z26" s="1122"/>
      <c r="AA26" s="1101"/>
      <c r="AB26" s="1101"/>
      <c r="AC26" s="102"/>
      <c r="AD26">
        <v>19</v>
      </c>
      <c r="AE26" s="1151">
        <v>47293</v>
      </c>
      <c r="AF26" s="1104">
        <v>19</v>
      </c>
      <c r="AG26">
        <v>50831.28</v>
      </c>
      <c r="AH26">
        <v>5736.27</v>
      </c>
      <c r="AI26">
        <v>750</v>
      </c>
      <c r="AJ26" s="1106">
        <f t="shared" si="25"/>
        <v>6486.27</v>
      </c>
      <c r="AK26" s="1122">
        <f t="shared" si="3"/>
        <v>6486.27</v>
      </c>
      <c r="AL26" s="1123">
        <f t="shared" si="32"/>
        <v>3.2944444443999998</v>
      </c>
      <c r="AM26" s="1107"/>
      <c r="AN26" s="1101"/>
      <c r="AO26" s="1101"/>
      <c r="AP26" s="102"/>
      <c r="AQ26" s="150">
        <v>19</v>
      </c>
      <c r="AR26" s="830">
        <v>46472</v>
      </c>
      <c r="AS26" s="205">
        <v>19</v>
      </c>
      <c r="AT26" s="1639">
        <v>32973.99</v>
      </c>
      <c r="AU26" s="1639">
        <v>2097.2600000000002</v>
      </c>
      <c r="AV26" s="1639">
        <v>228.3</v>
      </c>
      <c r="AW26" s="198">
        <f t="shared" si="34"/>
        <v>2325.56</v>
      </c>
      <c r="AX26" s="212">
        <f t="shared" si="4"/>
        <v>2325.56</v>
      </c>
      <c r="AY26" s="849">
        <f t="shared" si="37"/>
        <v>1</v>
      </c>
      <c r="AZ26" s="849" cm="1">
        <f t="array" ref="AZ26">ROUND(interpoler(mat_zc,Taux_ZC,AY26),5)</f>
        <v>2.5139999999999999E-2</v>
      </c>
      <c r="BA26" s="849">
        <f t="shared" si="33"/>
        <v>2255.3290999999999</v>
      </c>
      <c r="BB26" s="102">
        <f t="shared" si="35"/>
        <v>3.1140000000000001E-2</v>
      </c>
      <c r="BD26" s="150"/>
      <c r="BE26" s="830"/>
      <c r="BF26" s="205"/>
      <c r="BG26" s="831"/>
      <c r="BH26" s="831"/>
      <c r="BI26" s="832"/>
      <c r="BJ26" s="198"/>
      <c r="BK26" s="212"/>
      <c r="BL26" s="849"/>
      <c r="BM26" s="199"/>
      <c r="BN26" s="447"/>
      <c r="BP26" s="150"/>
      <c r="BQ26" s="830"/>
      <c r="BR26" s="205"/>
      <c r="BS26" s="831"/>
      <c r="BT26" s="831"/>
      <c r="BU26" s="832"/>
      <c r="BV26" s="198"/>
      <c r="BW26" s="212"/>
      <c r="BX26" s="849"/>
      <c r="BY26" s="199"/>
      <c r="BZ26" s="447"/>
      <c r="CB26" s="150"/>
      <c r="CC26" s="830">
        <v>45519</v>
      </c>
      <c r="CD26" s="205"/>
      <c r="CE26" s="963">
        <v>100000</v>
      </c>
      <c r="CF26" s="963">
        <v>0</v>
      </c>
      <c r="CG26" s="964">
        <v>0</v>
      </c>
      <c r="CH26" s="198">
        <f t="shared" si="12"/>
        <v>0</v>
      </c>
      <c r="CI26" s="212">
        <f t="shared" si="13"/>
        <v>0</v>
      </c>
      <c r="CJ26" s="956">
        <f>(CC26-$B$1)/360</f>
        <v>-1.6333333333333333</v>
      </c>
      <c r="CK26" s="199" cm="1">
        <f t="array" ref="CK26">+ROUND(IF(CJ26&lt;1,interpoler($A$5:$A$24,$B$5:$B$24,(CC26-$B$1)),interpoler($C$5:$C$24,$D$5:$D$24,CJ26))+$AW$2,5)</f>
        <v>2.928E-2</v>
      </c>
      <c r="CL26" s="447">
        <f t="shared" si="14"/>
        <v>0</v>
      </c>
      <c r="CM26" t="s">
        <v>3008</v>
      </c>
      <c r="CP26" s="150"/>
      <c r="CQ26" s="830"/>
      <c r="CR26" s="205"/>
      <c r="CS26" s="205"/>
      <c r="CT26" s="205"/>
      <c r="CU26" s="832"/>
      <c r="CV26" s="198"/>
      <c r="CW26" s="212"/>
      <c r="CX26" s="956"/>
      <c r="CY26" s="199"/>
      <c r="CZ26" s="447"/>
      <c r="DD26" s="150">
        <v>19</v>
      </c>
      <c r="DE26" s="830">
        <v>46432</v>
      </c>
      <c r="DF26" s="205">
        <v>19</v>
      </c>
      <c r="DG26" s="205">
        <v>100000</v>
      </c>
      <c r="DH26" s="205">
        <v>0</v>
      </c>
      <c r="DI26" s="765">
        <v>0</v>
      </c>
      <c r="DJ26" s="198">
        <f t="shared" si="18"/>
        <v>0</v>
      </c>
      <c r="DK26" s="212">
        <f t="shared" si="19"/>
        <v>0</v>
      </c>
      <c r="DL26" s="957">
        <f t="shared" si="36"/>
        <v>0.89041095889999999</v>
      </c>
      <c r="DM26" s="199" cm="1">
        <f t="array" ref="DM26">+ROUND(IF(DL26&lt;1,interpoler($A$5:$A$24,$B$5:$B$24,(DE26-$B$1)),interpoler($C$5:$C$24,$D$5:$D$24,DL26)),5)</f>
        <v>2.4969999999999999E-2</v>
      </c>
      <c r="DN26" s="447">
        <f t="shared" si="20"/>
        <v>0</v>
      </c>
      <c r="DP26" s="29"/>
      <c r="DQ26" s="150"/>
      <c r="DR26" s="830"/>
      <c r="DS26" s="957"/>
      <c r="DT26" s="957"/>
      <c r="DU26" s="957"/>
      <c r="DV26" s="957"/>
      <c r="DW26" s="198"/>
      <c r="DX26" s="1334"/>
      <c r="DY26" s="957"/>
      <c r="DZ26" s="199"/>
      <c r="EA26" s="447"/>
    </row>
    <row r="27" spans="1:131" ht="15" x14ac:dyDescent="0.25">
      <c r="G27">
        <v>20</v>
      </c>
      <c r="H27" s="1151">
        <v>47476</v>
      </c>
      <c r="I27" s="1104">
        <v>20</v>
      </c>
      <c r="J27" s="1446">
        <v>3861.8300000000049</v>
      </c>
      <c r="K27" s="1443">
        <v>769.09</v>
      </c>
      <c r="L27" s="1327">
        <v>388.72</v>
      </c>
      <c r="M27" s="1106"/>
      <c r="N27" s="1122"/>
      <c r="O27" s="1123"/>
      <c r="Q27"/>
      <c r="R27" s="1152"/>
      <c r="S27" s="1104"/>
      <c r="T27" s="1124"/>
      <c r="U27" s="1124"/>
      <c r="V27" s="1125"/>
      <c r="W27" s="1122"/>
      <c r="X27" s="1122"/>
      <c r="Y27" s="1122"/>
      <c r="Z27" s="1122"/>
      <c r="AA27" s="1101"/>
      <c r="AB27" s="1101"/>
      <c r="AC27" s="102"/>
      <c r="AD27">
        <v>20</v>
      </c>
      <c r="AE27" s="1152">
        <v>47385</v>
      </c>
      <c r="AF27" s="1104">
        <v>20</v>
      </c>
      <c r="AG27">
        <v>45095.01</v>
      </c>
      <c r="AH27">
        <v>5176.1499999999996</v>
      </c>
      <c r="AI27">
        <v>750</v>
      </c>
      <c r="AJ27" s="1106">
        <f t="shared" si="25"/>
        <v>5926.15</v>
      </c>
      <c r="AK27" s="1122">
        <f t="shared" si="3"/>
        <v>5926.15</v>
      </c>
      <c r="AL27" s="1123">
        <f t="shared" si="32"/>
        <v>3.55</v>
      </c>
      <c r="AM27" s="1107"/>
      <c r="AN27" s="1101"/>
      <c r="AO27" s="1101"/>
      <c r="AP27" s="102"/>
      <c r="AQ27" s="150">
        <v>20</v>
      </c>
      <c r="AR27" s="830">
        <v>46566</v>
      </c>
      <c r="AS27" s="205">
        <v>20</v>
      </c>
      <c r="AT27" s="1639">
        <v>30920.78</v>
      </c>
      <c r="AU27" s="1639">
        <v>2053.21</v>
      </c>
      <c r="AV27" s="1639">
        <v>229.28</v>
      </c>
      <c r="AW27" s="198">
        <f t="shared" si="34"/>
        <v>2282.4899999999998</v>
      </c>
      <c r="AX27" s="212">
        <f t="shared" si="4"/>
        <v>2282.4899999999998</v>
      </c>
      <c r="AY27" s="849">
        <f t="shared" si="37"/>
        <v>1.25</v>
      </c>
      <c r="AZ27" s="849" cm="1">
        <f t="array" ref="AZ27">ROUND(interpoler(mat_zc,Taux_ZC,AY27),5)</f>
        <v>2.5530000000000001E-2</v>
      </c>
      <c r="BA27" s="849">
        <f t="shared" si="33"/>
        <v>2195.6167999999998</v>
      </c>
      <c r="BB27" s="102">
        <f t="shared" si="35"/>
        <v>3.1530000000000002E-2</v>
      </c>
      <c r="BD27" s="150"/>
      <c r="BE27" s="830"/>
      <c r="BF27" s="205"/>
      <c r="BG27" s="831"/>
      <c r="BH27" s="831"/>
      <c r="BI27" s="832"/>
      <c r="BJ27" s="198"/>
      <c r="BK27" s="212"/>
      <c r="BL27" s="849"/>
      <c r="BM27" s="199"/>
      <c r="BN27" s="447"/>
      <c r="BP27" s="150"/>
      <c r="BQ27" s="830"/>
      <c r="BR27" s="205"/>
      <c r="BS27" s="831"/>
      <c r="BT27" s="831"/>
      <c r="BU27" s="832"/>
      <c r="BV27" s="761"/>
      <c r="BW27" s="212"/>
      <c r="BX27" s="849"/>
      <c r="BY27" s="199"/>
      <c r="BZ27" s="447"/>
      <c r="CB27" s="150"/>
      <c r="CC27" s="830">
        <v>45550</v>
      </c>
      <c r="CD27" s="205"/>
      <c r="CE27" s="963">
        <v>100000</v>
      </c>
      <c r="CF27" s="963">
        <v>0</v>
      </c>
      <c r="CG27" s="964">
        <v>0</v>
      </c>
      <c r="CH27" s="198">
        <f t="shared" si="12"/>
        <v>0</v>
      </c>
      <c r="CI27" s="212">
        <f t="shared" si="13"/>
        <v>0</v>
      </c>
      <c r="CJ27" s="956">
        <f>(CC27-$B$1)/366</f>
        <v>-1.5218579234972678</v>
      </c>
      <c r="CK27" s="199" cm="1">
        <f t="array" ref="CK27">+ROUND(IF(CJ27&lt;1,interpoler($A$5:$A$24,$B$5:$B$24,(CC27-$B$1)),interpoler($C$5:$C$24,$D$5:$D$24,CJ27))+$AW$2,5)</f>
        <v>2.928E-2</v>
      </c>
      <c r="CL27" s="447">
        <f t="shared" si="14"/>
        <v>0</v>
      </c>
      <c r="CP27" s="150"/>
      <c r="CQ27" s="830"/>
      <c r="CR27" s="205"/>
      <c r="CS27" s="205"/>
      <c r="CT27" s="205"/>
      <c r="CU27" s="832"/>
      <c r="CV27" s="198"/>
      <c r="CW27" s="212"/>
      <c r="CX27" s="956"/>
      <c r="CY27" s="199"/>
      <c r="CZ27" s="447"/>
      <c r="DD27" s="150">
        <v>20</v>
      </c>
      <c r="DE27" s="830">
        <v>46460</v>
      </c>
      <c r="DF27" s="205">
        <v>20</v>
      </c>
      <c r="DG27" s="205">
        <v>100000</v>
      </c>
      <c r="DH27" s="205">
        <v>0</v>
      </c>
      <c r="DI27" s="765">
        <v>0</v>
      </c>
      <c r="DJ27" s="198">
        <f t="shared" si="18"/>
        <v>0</v>
      </c>
      <c r="DK27" s="212">
        <f t="shared" si="19"/>
        <v>0</v>
      </c>
      <c r="DL27" s="957">
        <f t="shared" si="36"/>
        <v>0.9671232877</v>
      </c>
      <c r="DM27" s="199" cm="1">
        <f t="array" ref="DM27">+ROUND(IF(DL27&lt;1,interpoler($A$5:$A$24,$B$5:$B$24,(DE27-$B$1)),interpoler($C$5:$C$24,$D$5:$D$24,DL27)),5)</f>
        <v>2.5090000000000001E-2</v>
      </c>
      <c r="DN27" s="447">
        <f t="shared" si="20"/>
        <v>0</v>
      </c>
      <c r="DP27" s="29"/>
      <c r="DQ27" s="150"/>
      <c r="DR27" s="830"/>
      <c r="DS27" s="957"/>
      <c r="DT27" s="957"/>
      <c r="DU27" s="957"/>
      <c r="DV27" s="957"/>
      <c r="DW27" s="198"/>
      <c r="DX27" s="212"/>
      <c r="DY27" s="957"/>
      <c r="DZ27" s="199"/>
      <c r="EA27" s="447"/>
    </row>
    <row r="28" spans="1:131" ht="15" x14ac:dyDescent="0.25">
      <c r="G28">
        <v>21</v>
      </c>
      <c r="H28" s="1152">
        <v>47566</v>
      </c>
      <c r="I28" s="1104">
        <v>21</v>
      </c>
      <c r="J28" s="1445">
        <v>3092.7400000000048</v>
      </c>
      <c r="K28" s="1442">
        <v>636.15</v>
      </c>
      <c r="L28" s="1327">
        <v>388.72</v>
      </c>
      <c r="M28" s="1106"/>
      <c r="N28" s="1122"/>
      <c r="O28" s="1123"/>
      <c r="Q28"/>
      <c r="R28" s="1151"/>
      <c r="S28" s="1104"/>
      <c r="T28" s="1124"/>
      <c r="U28" s="1124"/>
      <c r="V28" s="1125"/>
      <c r="W28" s="1122"/>
      <c r="X28" s="1122"/>
      <c r="Y28" s="1122"/>
      <c r="Z28" s="1122"/>
      <c r="AA28" s="1101"/>
      <c r="AB28" s="1101"/>
      <c r="AC28" s="102"/>
      <c r="AD28">
        <v>21</v>
      </c>
      <c r="AE28" s="1151">
        <v>47476</v>
      </c>
      <c r="AF28" s="1104">
        <v>21</v>
      </c>
      <c r="AG28">
        <v>39918.86</v>
      </c>
      <c r="AH28">
        <v>4661.91</v>
      </c>
      <c r="AI28">
        <v>750</v>
      </c>
      <c r="AJ28" s="1106">
        <f t="shared" si="25"/>
        <v>5411.91</v>
      </c>
      <c r="AK28" s="1122">
        <f t="shared" si="3"/>
        <v>5411.91</v>
      </c>
      <c r="AL28" s="1123">
        <f t="shared" si="32"/>
        <v>3.8027777777999998</v>
      </c>
      <c r="AM28" s="1107"/>
      <c r="AN28" s="1101"/>
      <c r="AO28" s="1101"/>
      <c r="AP28" s="102"/>
      <c r="AQ28" s="150">
        <v>21</v>
      </c>
      <c r="AR28" s="830">
        <v>46657</v>
      </c>
      <c r="AS28" s="205">
        <v>21</v>
      </c>
      <c r="AT28" s="1639">
        <v>28902.12</v>
      </c>
      <c r="AU28" s="1639">
        <v>2018.66</v>
      </c>
      <c r="AV28" s="1639">
        <v>208.14</v>
      </c>
      <c r="AW28" s="198">
        <f t="shared" si="34"/>
        <v>2226.8000000000002</v>
      </c>
      <c r="AX28" s="212">
        <f t="shared" si="4"/>
        <v>2226.8000000000002</v>
      </c>
      <c r="AY28" s="849">
        <f t="shared" si="37"/>
        <v>1.5</v>
      </c>
      <c r="AZ28" s="849" cm="1">
        <f t="array" ref="AZ28">ROUND(interpoler(mat_zc,Taux_ZC,AY28),5)</f>
        <v>2.5919999999999999E-2</v>
      </c>
      <c r="BA28" s="849">
        <f t="shared" si="33"/>
        <v>2124.2820000000002</v>
      </c>
      <c r="BB28" s="102">
        <f t="shared" si="35"/>
        <v>3.1919999999999997E-2</v>
      </c>
      <c r="BD28" s="150"/>
      <c r="BE28" s="830"/>
      <c r="BF28" s="205"/>
      <c r="BG28" s="831"/>
      <c r="BH28" s="831"/>
      <c r="BI28" s="832"/>
      <c r="BJ28" s="198"/>
      <c r="BK28" s="212"/>
      <c r="BL28" s="849"/>
      <c r="BM28" s="199"/>
      <c r="BN28" s="447"/>
      <c r="BP28" s="150"/>
      <c r="BQ28" s="830"/>
      <c r="BR28" s="205"/>
      <c r="BS28" s="831"/>
      <c r="BT28" s="831"/>
      <c r="BU28" s="832"/>
      <c r="BV28" s="761"/>
      <c r="BW28" s="212"/>
      <c r="BX28" s="849"/>
      <c r="BY28" s="199"/>
      <c r="BZ28" s="447"/>
      <c r="CB28" s="150"/>
      <c r="CC28" s="830">
        <v>45580</v>
      </c>
      <c r="CD28" s="205"/>
      <c r="CE28" s="963">
        <v>72219.02</v>
      </c>
      <c r="CF28" s="963">
        <v>27780.98</v>
      </c>
      <c r="CG28" s="964">
        <v>581.19000000000005</v>
      </c>
      <c r="CH28" s="198">
        <f t="shared" si="12"/>
        <v>28362.17</v>
      </c>
      <c r="CI28" s="212">
        <f t="shared" si="13"/>
        <v>0</v>
      </c>
      <c r="CJ28" s="956">
        <f>(CC28-$B$1)/366</f>
        <v>-1.4398907103825136</v>
      </c>
      <c r="CK28" s="199" cm="1">
        <f t="array" ref="CK28">+ROUND(IF(CJ28&lt;1,interpoler($A$5:$A$24,$B$5:$B$24,(CC28-$B$1)),interpoler($C$5:$C$24,$D$5:$D$24,CJ28))+$AW$2,5)</f>
        <v>2.928E-2</v>
      </c>
      <c r="CL28" s="447">
        <f>ROUND(CI28/(1+ROUND((CK28*CJ28),5)),4)</f>
        <v>0</v>
      </c>
      <c r="CP28" s="150"/>
      <c r="CQ28" s="830"/>
      <c r="CR28" s="205"/>
      <c r="CS28" s="205"/>
      <c r="CT28" s="205"/>
      <c r="CU28" s="832"/>
      <c r="CV28" s="198"/>
      <c r="CW28" s="212"/>
      <c r="CX28" s="956"/>
      <c r="CY28" s="199"/>
      <c r="CZ28" s="447"/>
      <c r="DD28" s="150">
        <v>21</v>
      </c>
      <c r="DE28" s="830">
        <v>46491</v>
      </c>
      <c r="DF28" s="205">
        <v>21</v>
      </c>
      <c r="DG28" s="205">
        <v>100000</v>
      </c>
      <c r="DH28" s="205">
        <v>0</v>
      </c>
      <c r="DI28" s="765">
        <v>0</v>
      </c>
      <c r="DJ28" s="198">
        <f t="shared" si="18"/>
        <v>0</v>
      </c>
      <c r="DK28" s="212">
        <f t="shared" si="19"/>
        <v>0</v>
      </c>
      <c r="DL28" s="957">
        <f t="shared" si="36"/>
        <v>1.0520547945000001</v>
      </c>
      <c r="DM28" s="199" cm="1">
        <f t="array" ref="DM28">+ROUND(IF(DL28&lt;1,interpoler($A$5:$A$24,$B$5:$B$24,(DE28-$B$1)),interpoler($C$5:$C$24,$D$5:$D$24,DL28)),5)</f>
        <v>2.5219999999999999E-2</v>
      </c>
      <c r="DN28" s="447">
        <f t="shared" si="20"/>
        <v>0</v>
      </c>
      <c r="DP28" s="29"/>
      <c r="DQ28" s="150"/>
      <c r="DR28" s="830"/>
      <c r="DS28" s="957"/>
      <c r="DT28" s="957"/>
      <c r="DU28" s="957"/>
      <c r="DV28" s="957"/>
      <c r="DW28" s="198"/>
      <c r="DX28" s="212"/>
      <c r="DY28" s="957"/>
      <c r="DZ28" s="199"/>
      <c r="EA28" s="447"/>
    </row>
    <row r="29" spans="1:131" ht="15" x14ac:dyDescent="0.25">
      <c r="B29" s="574"/>
      <c r="D29" s="8"/>
      <c r="G29">
        <v>22</v>
      </c>
      <c r="H29" s="1151">
        <v>47658</v>
      </c>
      <c r="I29" s="1104">
        <v>22</v>
      </c>
      <c r="J29" s="1446">
        <v>2456.5900000000047</v>
      </c>
      <c r="K29" s="1443">
        <v>524.08000000000004</v>
      </c>
      <c r="L29" s="1327">
        <v>388.72</v>
      </c>
      <c r="M29" s="1106"/>
      <c r="N29" s="1122"/>
      <c r="O29" s="1123"/>
      <c r="Q29"/>
      <c r="R29" s="1152"/>
      <c r="S29" s="1104"/>
      <c r="T29" s="1124"/>
      <c r="U29" s="1124"/>
      <c r="V29" s="1125"/>
      <c r="W29" s="1122"/>
      <c r="X29" s="1122"/>
      <c r="Y29" s="1122"/>
      <c r="Z29" s="1122"/>
      <c r="AA29" s="1101"/>
      <c r="AB29" s="1101"/>
      <c r="AC29" s="102"/>
      <c r="AD29">
        <v>22</v>
      </c>
      <c r="AE29" s="1152">
        <v>47566</v>
      </c>
      <c r="AF29" s="1104">
        <v>22</v>
      </c>
      <c r="AG29">
        <v>35256.949999999997</v>
      </c>
      <c r="AH29">
        <v>4200.59</v>
      </c>
      <c r="AI29">
        <v>750</v>
      </c>
      <c r="AJ29" s="1106">
        <f t="shared" si="25"/>
        <v>4950.59</v>
      </c>
      <c r="AK29" s="1122">
        <f t="shared" si="3"/>
        <v>4950.59</v>
      </c>
      <c r="AL29" s="1123">
        <f t="shared" si="32"/>
        <v>4.0527777778000003</v>
      </c>
      <c r="AM29" s="1107"/>
      <c r="AN29" s="1101"/>
      <c r="AO29" s="1101"/>
      <c r="AP29" s="102"/>
      <c r="AQ29" s="150">
        <v>22</v>
      </c>
      <c r="AR29" s="830">
        <v>46748</v>
      </c>
      <c r="AS29" s="205">
        <v>22</v>
      </c>
      <c r="AT29" s="1639">
        <v>26927.81</v>
      </c>
      <c r="AU29" s="1639">
        <v>1974.31</v>
      </c>
      <c r="AV29" s="1639">
        <v>194.55</v>
      </c>
      <c r="AW29" s="198">
        <f t="shared" si="34"/>
        <v>2168.86</v>
      </c>
      <c r="AX29" s="212">
        <f t="shared" si="4"/>
        <v>2168.86</v>
      </c>
      <c r="AY29" s="849">
        <f t="shared" si="37"/>
        <v>1.75</v>
      </c>
      <c r="AZ29" s="849" cm="1">
        <f t="array" ref="AZ29">ROUND(interpoler(mat_zc,Taux_ZC,AY29),5)</f>
        <v>2.631E-2</v>
      </c>
      <c r="BA29" s="849">
        <f t="shared" si="33"/>
        <v>2051.4634999999998</v>
      </c>
      <c r="BB29" s="102">
        <f t="shared" si="35"/>
        <v>3.2309999999999998E-2</v>
      </c>
      <c r="BD29" s="150"/>
      <c r="BE29" s="830"/>
      <c r="BF29" s="205"/>
      <c r="BG29" s="831"/>
      <c r="BH29" s="831"/>
      <c r="BI29" s="832"/>
      <c r="BJ29" s="198"/>
      <c r="BK29" s="212"/>
      <c r="BL29" s="849"/>
      <c r="BM29" s="199"/>
      <c r="BN29" s="447"/>
      <c r="BP29" s="150"/>
      <c r="BQ29" s="830"/>
      <c r="BR29" s="205"/>
      <c r="BS29" s="831"/>
      <c r="BT29" s="831"/>
      <c r="BU29" s="832"/>
      <c r="BV29" s="198"/>
      <c r="BW29" s="212"/>
      <c r="BX29" s="849"/>
      <c r="BY29" s="199"/>
      <c r="BZ29" s="447"/>
      <c r="CB29" s="150"/>
      <c r="CC29" s="830">
        <v>45611</v>
      </c>
      <c r="CD29" s="205"/>
      <c r="CE29" s="963">
        <v>46304.73</v>
      </c>
      <c r="CF29" s="963">
        <v>25914.29</v>
      </c>
      <c r="CG29" s="964">
        <v>213.3</v>
      </c>
      <c r="CH29" s="198">
        <f t="shared" si="12"/>
        <v>26127.59</v>
      </c>
      <c r="CI29" s="212">
        <f t="shared" si="13"/>
        <v>0</v>
      </c>
      <c r="CJ29" s="956">
        <f>(CC29-$B$1)/366</f>
        <v>-1.355191256830601</v>
      </c>
      <c r="CK29" s="199" cm="1">
        <f t="array" ref="CK29">+ROUND(IF(CJ29&lt;1,interpoler($A$5:$A$24,$B$5:$B$24,(CC29-$B$1)),interpoler($C$5:$C$24,$D$5:$D$24,CJ29))+$AW$2,5)</f>
        <v>2.928E-2</v>
      </c>
      <c r="CL29" s="447">
        <f>ROUND(CI29/(1+ROUND((CK29*CJ29),5)),4)</f>
        <v>0</v>
      </c>
      <c r="CP29" s="150"/>
      <c r="CQ29" s="830"/>
      <c r="CR29" s="205"/>
      <c r="CS29" s="205"/>
      <c r="CT29" s="205"/>
      <c r="CU29" s="832"/>
      <c r="CV29" s="198"/>
      <c r="CW29" s="212"/>
      <c r="CX29" s="956"/>
      <c r="CY29" s="199"/>
      <c r="CZ29" s="447"/>
      <c r="DD29" s="150">
        <v>22</v>
      </c>
      <c r="DE29" s="830">
        <v>46521</v>
      </c>
      <c r="DF29" s="205">
        <v>22</v>
      </c>
      <c r="DG29" s="205">
        <v>100000</v>
      </c>
      <c r="DH29" s="205">
        <v>0</v>
      </c>
      <c r="DI29" s="765">
        <v>0</v>
      </c>
      <c r="DJ29" s="198">
        <f t="shared" si="18"/>
        <v>0</v>
      </c>
      <c r="DK29" s="212">
        <f t="shared" si="19"/>
        <v>0</v>
      </c>
      <c r="DL29" s="957">
        <f t="shared" si="36"/>
        <v>1.1342465752999999</v>
      </c>
      <c r="DM29" s="199" cm="1">
        <f t="array" ref="DM29">+ROUND(IF(DL29&lt;1,interpoler($A$5:$A$24,$B$5:$B$24,(DE29-$B$1)),interpoler($C$5:$C$24,$D$5:$D$24,DL29)),5)</f>
        <v>2.5350000000000001E-2</v>
      </c>
      <c r="DN29" s="447">
        <f t="shared" si="20"/>
        <v>0</v>
      </c>
      <c r="DP29" s="29"/>
      <c r="DQ29" s="150"/>
      <c r="DR29" s="830"/>
      <c r="DS29" s="957"/>
      <c r="DT29" s="957"/>
      <c r="DU29" s="957"/>
      <c r="DV29" s="957"/>
      <c r="DW29" s="198"/>
      <c r="DX29" s="212"/>
      <c r="DY29" s="957"/>
      <c r="DZ29" s="199"/>
      <c r="EA29" s="447"/>
    </row>
    <row r="30" spans="1:131" ht="15" x14ac:dyDescent="0.25">
      <c r="D30" s="8"/>
      <c r="G30">
        <v>23</v>
      </c>
      <c r="H30" s="1152">
        <v>47750</v>
      </c>
      <c r="I30" s="1104">
        <v>23</v>
      </c>
      <c r="J30" s="1445">
        <v>1932.5100000000048</v>
      </c>
      <c r="K30" s="1442">
        <v>434.9</v>
      </c>
      <c r="L30" s="1327">
        <v>388.72</v>
      </c>
      <c r="M30" s="1106"/>
      <c r="N30" s="1122"/>
      <c r="O30" s="1123"/>
      <c r="Q30"/>
      <c r="R30" s="1151"/>
      <c r="S30" s="1104"/>
      <c r="T30" s="1124"/>
      <c r="U30" s="1124"/>
      <c r="V30" s="1125"/>
      <c r="W30" s="1122"/>
      <c r="X30" s="1122"/>
      <c r="Y30" s="1122"/>
      <c r="Z30" s="1122"/>
      <c r="AA30" s="1101"/>
      <c r="AB30" s="1101"/>
      <c r="AC30" s="102"/>
      <c r="AD30">
        <v>23</v>
      </c>
      <c r="AE30" s="1151">
        <v>47658</v>
      </c>
      <c r="AF30" s="1104">
        <v>23</v>
      </c>
      <c r="AG30">
        <v>31056.36</v>
      </c>
      <c r="AH30">
        <v>3804.23</v>
      </c>
      <c r="AI30">
        <v>750</v>
      </c>
      <c r="AJ30" s="1106">
        <f t="shared" si="25"/>
        <v>4554.2299999999996</v>
      </c>
      <c r="AK30" s="1122">
        <f t="shared" si="3"/>
        <v>4554.2299999999996</v>
      </c>
      <c r="AL30" s="1123">
        <f t="shared" si="32"/>
        <v>4.3083333333000002</v>
      </c>
      <c r="AM30" s="1107"/>
      <c r="AN30" s="1101"/>
      <c r="AO30" s="1101"/>
      <c r="AP30" s="102"/>
      <c r="AQ30" s="150">
        <v>23</v>
      </c>
      <c r="AR30" s="830">
        <v>46839</v>
      </c>
      <c r="AS30" s="205">
        <v>23</v>
      </c>
      <c r="AT30" s="1639">
        <v>24986.06</v>
      </c>
      <c r="AU30" s="1639">
        <v>1941.75</v>
      </c>
      <c r="AV30" s="1639">
        <v>180.77</v>
      </c>
      <c r="AW30" s="198">
        <f t="shared" si="34"/>
        <v>2122.52</v>
      </c>
      <c r="AX30" s="212">
        <f t="shared" si="4"/>
        <v>2122.52</v>
      </c>
      <c r="AY30" s="849">
        <f t="shared" si="37"/>
        <v>2</v>
      </c>
      <c r="AZ30" s="849" cm="1">
        <f t="array" ref="AZ30">ROUND(interpoler(mat_zc,Taux_ZC,AY30),5)</f>
        <v>2.6700000000000002E-2</v>
      </c>
      <c r="BA30" s="849">
        <f t="shared" si="33"/>
        <v>1990.2308</v>
      </c>
      <c r="BB30" s="102">
        <f t="shared" si="35"/>
        <v>3.27E-2</v>
      </c>
      <c r="BD30" s="150"/>
      <c r="BE30" s="830"/>
      <c r="BF30" s="205"/>
      <c r="BG30" s="831"/>
      <c r="BH30" s="831"/>
      <c r="BI30" s="832"/>
      <c r="BJ30" s="198"/>
      <c r="BK30" s="212"/>
      <c r="BL30" s="849"/>
      <c r="BM30" s="199"/>
      <c r="BN30" s="447"/>
      <c r="BP30" s="150"/>
      <c r="BQ30" s="830"/>
      <c r="BR30" s="205"/>
      <c r="BS30" s="831"/>
      <c r="BT30" s="831"/>
      <c r="BU30" s="832"/>
      <c r="BV30" s="761"/>
      <c r="BW30" s="212"/>
      <c r="BX30" s="849"/>
      <c r="BY30" s="199"/>
      <c r="BZ30" s="447"/>
      <c r="CB30" s="150"/>
      <c r="CC30" s="830">
        <v>45641</v>
      </c>
      <c r="CD30" s="205"/>
      <c r="CE30" s="963">
        <v>22718.06</v>
      </c>
      <c r="CF30" s="963">
        <v>24640.55</v>
      </c>
      <c r="CG30" s="964">
        <v>134.57</v>
      </c>
      <c r="CH30" s="198">
        <f t="shared" si="12"/>
        <v>24775.119999999999</v>
      </c>
      <c r="CI30" s="212">
        <f t="shared" si="13"/>
        <v>0</v>
      </c>
      <c r="CJ30" s="956">
        <f>(CC30-$B$1)/365</f>
        <v>-1.2767123287671234</v>
      </c>
      <c r="CK30" s="199" cm="1">
        <f t="array" ref="CK30">+interpoler($A$5:$A$24,$B$5:$B$24,(CC30-$B$1))</f>
        <v>2.3281430422376737E-2</v>
      </c>
      <c r="CL30" s="447">
        <f>ROUND(CI30/(1+ROUND((CK30*CJ30),5)),4)</f>
        <v>0</v>
      </c>
      <c r="CP30" s="150"/>
      <c r="CQ30" s="830"/>
      <c r="CR30" s="205"/>
      <c r="CS30" s="205"/>
      <c r="CT30" s="205"/>
      <c r="CU30" s="832"/>
      <c r="CV30" s="198"/>
      <c r="CW30" s="212"/>
      <c r="CX30" s="956"/>
      <c r="CY30" s="199"/>
      <c r="CZ30" s="447"/>
      <c r="DD30" s="150">
        <v>23</v>
      </c>
      <c r="DE30" s="830">
        <v>46552</v>
      </c>
      <c r="DF30" s="205">
        <v>23</v>
      </c>
      <c r="DG30" s="205">
        <v>100000</v>
      </c>
      <c r="DH30" s="205">
        <v>0</v>
      </c>
      <c r="DI30" s="765">
        <v>0</v>
      </c>
      <c r="DJ30" s="198">
        <f t="shared" si="18"/>
        <v>0</v>
      </c>
      <c r="DK30" s="212">
        <f t="shared" si="19"/>
        <v>0</v>
      </c>
      <c r="DL30" s="957">
        <f t="shared" si="36"/>
        <v>1.2191780822</v>
      </c>
      <c r="DM30" s="199" cm="1">
        <f t="array" ref="DM30">+ROUND(IF(DL30&lt;1,interpoler($A$5:$A$24,$B$5:$B$24,(DE30-$B$1)),interpoler($C$5:$C$24,$D$5:$D$24,DL30)),5)</f>
        <v>2.5479999999999999E-2</v>
      </c>
      <c r="DN30" s="447">
        <f t="shared" si="20"/>
        <v>0</v>
      </c>
      <c r="DP30" s="29"/>
      <c r="DQ30" s="150"/>
      <c r="DR30" s="830"/>
      <c r="DS30" s="957"/>
      <c r="DT30" s="957"/>
      <c r="DU30" s="957"/>
      <c r="DV30" s="957"/>
      <c r="DW30" s="198"/>
      <c r="DX30" s="212"/>
      <c r="DY30" s="957"/>
      <c r="DZ30" s="199"/>
      <c r="EA30" s="447"/>
    </row>
    <row r="31" spans="1:131" ht="15" x14ac:dyDescent="0.25">
      <c r="B31" s="574"/>
      <c r="G31">
        <v>24</v>
      </c>
      <c r="H31" s="1151">
        <v>47841</v>
      </c>
      <c r="I31" s="1104">
        <v>24</v>
      </c>
      <c r="J31" s="1446">
        <v>1497.6100000000047</v>
      </c>
      <c r="K31" s="1443">
        <v>351.67</v>
      </c>
      <c r="L31" s="1327">
        <v>388.72</v>
      </c>
      <c r="M31" s="1106"/>
      <c r="N31" s="1122"/>
      <c r="O31" s="1123"/>
      <c r="Q31"/>
      <c r="R31" s="1152"/>
      <c r="S31" s="1104"/>
      <c r="T31" s="1124"/>
      <c r="U31" s="1124"/>
      <c r="V31" s="1125"/>
      <c r="W31" s="1106"/>
      <c r="X31" s="1122"/>
      <c r="Y31" s="1123"/>
      <c r="Z31" s="1107"/>
      <c r="AA31" s="1101"/>
      <c r="AB31" s="1101"/>
      <c r="AC31" s="102"/>
      <c r="AD31">
        <v>24</v>
      </c>
      <c r="AE31" s="1152">
        <v>47750</v>
      </c>
      <c r="AF31" s="1104">
        <v>24</v>
      </c>
      <c r="AG31">
        <v>27252.13</v>
      </c>
      <c r="AH31">
        <v>3425.22</v>
      </c>
      <c r="AI31">
        <v>750</v>
      </c>
      <c r="AJ31" s="1106">
        <f t="shared" si="25"/>
        <v>4175.22</v>
      </c>
      <c r="AK31" s="1122">
        <f t="shared" si="3"/>
        <v>4175.22</v>
      </c>
      <c r="AL31" s="1123">
        <f t="shared" si="32"/>
        <v>4.5638888889000002</v>
      </c>
      <c r="AM31" s="1107"/>
      <c r="AN31" s="1101"/>
      <c r="AO31" s="1101"/>
      <c r="AP31" s="102"/>
      <c r="AQ31" s="150">
        <v>24</v>
      </c>
      <c r="AR31" s="830">
        <v>46930</v>
      </c>
      <c r="AS31" s="205">
        <v>24</v>
      </c>
      <c r="AT31" s="1639">
        <v>23057.49</v>
      </c>
      <c r="AU31" s="1639">
        <v>1928.57</v>
      </c>
      <c r="AV31" s="1639">
        <v>167.73</v>
      </c>
      <c r="AW31" s="198">
        <f t="shared" si="34"/>
        <v>2096.3000000000002</v>
      </c>
      <c r="AX31" s="212">
        <f t="shared" si="4"/>
        <v>2096.3000000000002</v>
      </c>
      <c r="AY31" s="849">
        <f t="shared" si="37"/>
        <v>2.25</v>
      </c>
      <c r="AZ31" s="849" cm="1">
        <f t="array" ref="AZ31">ROUND(interpoler(mat_zc,Taux_ZC,AY31),5)</f>
        <v>2.7089999999999999E-2</v>
      </c>
      <c r="BA31" s="849">
        <f t="shared" si="33"/>
        <v>1948.2406000000001</v>
      </c>
      <c r="BB31" s="102">
        <f t="shared" si="35"/>
        <v>3.3090000000000001E-2</v>
      </c>
      <c r="BD31" s="150"/>
      <c r="BE31" s="830"/>
      <c r="BF31" s="205"/>
      <c r="BG31" s="831"/>
      <c r="BH31" s="831"/>
      <c r="BI31" s="832"/>
      <c r="BJ31" s="198"/>
      <c r="BK31" s="212"/>
      <c r="BL31" s="849"/>
      <c r="BM31" s="199"/>
      <c r="BN31" s="447"/>
      <c r="BP31" s="150"/>
      <c r="BQ31" s="830"/>
      <c r="BR31" s="205"/>
      <c r="BS31" s="831"/>
      <c r="BT31" s="831"/>
      <c r="BU31" s="832"/>
      <c r="BV31" s="198"/>
      <c r="BW31" s="212"/>
      <c r="BX31" s="849"/>
      <c r="BY31" s="199"/>
      <c r="BZ31" s="447"/>
      <c r="CB31" s="150"/>
      <c r="CC31" s="830">
        <v>45672</v>
      </c>
      <c r="CD31" s="205"/>
      <c r="CE31" s="963">
        <v>0</v>
      </c>
      <c r="CF31" s="963">
        <v>20554.57</v>
      </c>
      <c r="CG31" s="964">
        <v>60.35</v>
      </c>
      <c r="CH31" s="198">
        <f>+ROUND(CF31+CG31,4)</f>
        <v>20614.919999999998</v>
      </c>
      <c r="CI31" s="212">
        <f t="shared" si="13"/>
        <v>0</v>
      </c>
      <c r="CJ31" s="956">
        <f>(CC31-$B$1)/366</f>
        <v>-1.1885245901639345</v>
      </c>
      <c r="CK31" s="199" cm="1">
        <f t="array" ref="CK31">+interpoler($A$5:$A$24,$B$5:$B$24,(CC31-$B$1))</f>
        <v>2.3281430422376737E-2</v>
      </c>
      <c r="CL31" s="447">
        <f>ROUND(CI31/(1+ROUND((CK31*CJ31),5)),4)</f>
        <v>0</v>
      </c>
      <c r="CP31" s="150"/>
      <c r="CQ31" s="830"/>
      <c r="CR31" s="205"/>
      <c r="CS31" s="205"/>
      <c r="CT31" s="205"/>
      <c r="CU31" s="832"/>
      <c r="CV31" s="198"/>
      <c r="CW31" s="212"/>
      <c r="CX31" s="956"/>
      <c r="CY31" s="199"/>
      <c r="CZ31" s="447"/>
      <c r="DD31" s="150">
        <v>24</v>
      </c>
      <c r="DE31" s="830">
        <v>46582</v>
      </c>
      <c r="DF31" s="205">
        <v>24</v>
      </c>
      <c r="DG31" s="205">
        <v>100000</v>
      </c>
      <c r="DH31" s="205">
        <v>0</v>
      </c>
      <c r="DI31" s="765">
        <v>2990</v>
      </c>
      <c r="DJ31" s="198">
        <f t="shared" si="18"/>
        <v>2990</v>
      </c>
      <c r="DK31" s="212">
        <f t="shared" si="19"/>
        <v>2990</v>
      </c>
      <c r="DL31" s="957">
        <f t="shared" ref="DL31" si="38">ROUND(((DE31-$B$1)/(DE31-DE19)),10)</f>
        <v>1.3013698629999999</v>
      </c>
      <c r="DM31" s="199" cm="1">
        <f t="array" ref="DM31">+ROUND(IF(DL31&lt;1,interpoler($A$5:$A$24,$B$5:$B$24,(DE31-$B$1)),interpoler($C$5:$C$24,$D$5:$D$24,DL31)),5)</f>
        <v>2.5610000000000001E-2</v>
      </c>
      <c r="DN31" s="447">
        <f t="shared" si="20"/>
        <v>2866.6959999999999</v>
      </c>
      <c r="DP31" s="29"/>
      <c r="DQ31" s="150"/>
      <c r="DR31" s="830"/>
      <c r="DS31" s="957"/>
      <c r="DT31" s="957"/>
      <c r="DU31" s="957"/>
      <c r="DV31" s="957"/>
      <c r="DW31" s="198"/>
      <c r="DX31" s="212"/>
      <c r="DY31" s="957"/>
      <c r="DZ31" s="199"/>
      <c r="EA31" s="447"/>
    </row>
    <row r="32" spans="1:131" ht="15" x14ac:dyDescent="0.25">
      <c r="G32">
        <v>25</v>
      </c>
      <c r="H32" s="1152">
        <v>47931</v>
      </c>
      <c r="I32" s="1104">
        <v>25</v>
      </c>
      <c r="J32" s="1445">
        <v>1145.9400000000046</v>
      </c>
      <c r="K32" s="1442">
        <v>269.52999999999997</v>
      </c>
      <c r="L32" s="1327">
        <v>388.72</v>
      </c>
      <c r="M32" s="1106"/>
      <c r="N32" s="1122"/>
      <c r="O32" s="1123"/>
      <c r="Q32"/>
      <c r="R32" s="1151"/>
      <c r="S32" s="1104"/>
      <c r="T32" s="1124"/>
      <c r="U32" s="1124"/>
      <c r="V32" s="1125"/>
      <c r="W32" s="1106"/>
      <c r="X32" s="1122"/>
      <c r="Y32" s="1123"/>
      <c r="Z32" s="1107"/>
      <c r="AA32" s="1101"/>
      <c r="AB32" s="1101"/>
      <c r="AC32" s="102"/>
      <c r="AD32">
        <v>25</v>
      </c>
      <c r="AE32" s="1151">
        <v>47841</v>
      </c>
      <c r="AF32" s="1104">
        <v>25</v>
      </c>
      <c r="AG32">
        <v>23826.91</v>
      </c>
      <c r="AH32">
        <v>3076.71</v>
      </c>
      <c r="AI32">
        <v>750</v>
      </c>
      <c r="AJ32" s="1106">
        <f t="shared" si="25"/>
        <v>3826.71</v>
      </c>
      <c r="AK32" s="1122">
        <f t="shared" si="3"/>
        <v>3826.71</v>
      </c>
      <c r="AL32" s="1123">
        <f t="shared" si="32"/>
        <v>4.8166666666999998</v>
      </c>
      <c r="AM32" s="1107"/>
      <c r="AN32" s="1101"/>
      <c r="AO32" s="1101"/>
      <c r="AP32" s="102"/>
      <c r="AQ32" s="150">
        <v>25</v>
      </c>
      <c r="AR32" s="830">
        <v>47022</v>
      </c>
      <c r="AS32" s="205">
        <v>25</v>
      </c>
      <c r="AT32" s="1639">
        <v>21169.75</v>
      </c>
      <c r="AU32" s="1639">
        <v>1887.74</v>
      </c>
      <c r="AV32" s="1639">
        <v>156.49</v>
      </c>
      <c r="AW32" s="198">
        <f t="shared" si="34"/>
        <v>2044.23</v>
      </c>
      <c r="AX32" s="212">
        <f t="shared" si="4"/>
        <v>2044.23</v>
      </c>
      <c r="AY32" s="849">
        <f t="shared" si="37"/>
        <v>2.5</v>
      </c>
      <c r="AZ32" s="849" cm="1">
        <f t="array" ref="AZ32">ROUND(interpoler(mat_zc,Taux_ZC,AY32),5)</f>
        <v>2.7480000000000001E-2</v>
      </c>
      <c r="BA32" s="849">
        <f t="shared" si="33"/>
        <v>1882.6715999999999</v>
      </c>
      <c r="BB32" s="102">
        <f t="shared" si="35"/>
        <v>3.3480000000000003E-2</v>
      </c>
      <c r="BD32" s="150"/>
      <c r="BE32" s="830"/>
      <c r="BF32" s="205"/>
      <c r="BG32" s="831"/>
      <c r="BH32" s="831"/>
      <c r="BI32" s="832"/>
      <c r="BJ32" s="198"/>
      <c r="BK32" s="212"/>
      <c r="BL32" s="849"/>
      <c r="BM32" s="199"/>
      <c r="BN32" s="447"/>
      <c r="BP32" s="150"/>
      <c r="BQ32" s="830"/>
      <c r="BR32" s="205"/>
      <c r="BS32" s="831"/>
      <c r="BT32" s="831"/>
      <c r="BU32" s="832"/>
      <c r="BV32" s="198"/>
      <c r="BW32" s="212"/>
      <c r="BX32" s="849"/>
      <c r="BY32" s="199"/>
      <c r="BZ32" s="447"/>
      <c r="CB32" s="150"/>
      <c r="CC32" s="830"/>
      <c r="CD32" s="205"/>
      <c r="CE32" s="963"/>
      <c r="CF32" s="963"/>
      <c r="CG32" s="964"/>
      <c r="CH32" s="198"/>
      <c r="CI32" s="212"/>
      <c r="CJ32" s="956"/>
      <c r="CK32" s="199"/>
      <c r="CL32" s="447"/>
      <c r="CP32" s="150"/>
      <c r="CQ32" s="830"/>
      <c r="CR32" s="205"/>
      <c r="CS32" s="205"/>
      <c r="CT32" s="205"/>
      <c r="CU32" s="832"/>
      <c r="CV32" s="198"/>
      <c r="CW32" s="212"/>
      <c r="CX32" s="956"/>
      <c r="CY32" s="199"/>
      <c r="CZ32" s="447"/>
      <c r="DD32" s="150">
        <v>25</v>
      </c>
      <c r="DE32" s="830">
        <v>46613</v>
      </c>
      <c r="DF32" s="205">
        <v>25</v>
      </c>
      <c r="DG32" s="205">
        <v>100000</v>
      </c>
      <c r="DH32" s="205">
        <v>0</v>
      </c>
      <c r="DI32" s="765">
        <v>0</v>
      </c>
      <c r="DJ32" s="198">
        <f t="shared" si="18"/>
        <v>0</v>
      </c>
      <c r="DK32" s="212">
        <f t="shared" si="19"/>
        <v>0</v>
      </c>
      <c r="DL32" s="957">
        <f>DL20+1</f>
        <v>1.3863013699</v>
      </c>
      <c r="DM32" s="199" cm="1">
        <f t="array" ref="DM32">+ROUND(IF(DL32&lt;1,interpoler($A$5:$A$24,$B$5:$B$24,(DE32-$B$1)),interpoler($C$5:$C$24,$D$5:$D$24,DL32)),5)</f>
        <v>2.5739999999999999E-2</v>
      </c>
      <c r="DN32" s="447">
        <f t="shared" si="20"/>
        <v>0</v>
      </c>
      <c r="DP32" s="29"/>
      <c r="DQ32" s="150"/>
      <c r="DR32" s="830"/>
      <c r="DS32" s="957"/>
      <c r="DT32" s="957"/>
      <c r="DU32" s="957"/>
      <c r="DV32" s="957"/>
      <c r="DW32" s="198"/>
      <c r="DX32" s="212"/>
      <c r="DY32" s="957"/>
      <c r="DZ32" s="199"/>
      <c r="EA32" s="447"/>
    </row>
    <row r="33" spans="1:131" ht="15" x14ac:dyDescent="0.25">
      <c r="G33">
        <v>26</v>
      </c>
      <c r="H33" s="1151">
        <v>48023</v>
      </c>
      <c r="I33" s="1104">
        <v>26</v>
      </c>
      <c r="J33" s="1446">
        <v>876.41000000000463</v>
      </c>
      <c r="K33" s="1443">
        <v>212.36</v>
      </c>
      <c r="L33" s="1327">
        <v>388.72</v>
      </c>
      <c r="M33" s="1106"/>
      <c r="N33" s="1122"/>
      <c r="O33" s="1123"/>
      <c r="Q33"/>
      <c r="R33" s="1152"/>
      <c r="S33" s="1104"/>
      <c r="T33" s="1124"/>
      <c r="U33" s="1124"/>
      <c r="V33" s="1125"/>
      <c r="W33" s="1106"/>
      <c r="X33" s="1122"/>
      <c r="Y33" s="1123"/>
      <c r="Z33" s="1107"/>
      <c r="AA33" s="1101"/>
      <c r="AB33" s="1101"/>
      <c r="AC33" s="102"/>
      <c r="AD33">
        <v>26</v>
      </c>
      <c r="AE33" s="1152">
        <v>47931</v>
      </c>
      <c r="AF33" s="1104">
        <v>26</v>
      </c>
      <c r="AG33">
        <v>20750.2</v>
      </c>
      <c r="AH33">
        <v>2758.9</v>
      </c>
      <c r="AI33">
        <v>750</v>
      </c>
      <c r="AJ33" s="1106">
        <f t="shared" si="25"/>
        <v>3508.9</v>
      </c>
      <c r="AK33" s="1122">
        <f t="shared" si="3"/>
        <v>3508.9</v>
      </c>
      <c r="AL33" s="1123">
        <f t="shared" si="32"/>
        <v>5.0666666666999998</v>
      </c>
      <c r="AM33" s="1107"/>
      <c r="AN33" s="1101"/>
      <c r="AO33" s="1101"/>
      <c r="AP33" s="102"/>
      <c r="AQ33" s="150">
        <v>26</v>
      </c>
      <c r="AR33" s="830">
        <v>47113</v>
      </c>
      <c r="AS33" s="205">
        <v>26</v>
      </c>
      <c r="AT33" s="1639">
        <v>19309.64</v>
      </c>
      <c r="AU33" s="1639">
        <v>1860.11</v>
      </c>
      <c r="AV33" s="1639">
        <v>142.11000000000001</v>
      </c>
      <c r="AW33" s="198">
        <f t="shared" si="34"/>
        <v>2002.22</v>
      </c>
      <c r="AX33" s="212">
        <f t="shared" si="4"/>
        <v>2002.22</v>
      </c>
      <c r="AY33" s="849">
        <f t="shared" si="37"/>
        <v>2.75</v>
      </c>
      <c r="AZ33" s="849" cm="1">
        <f t="array" ref="AZ33">ROUND(interpoler(mat_zc,Taux_ZC,AY33),5)</f>
        <v>2.7869999999999999E-2</v>
      </c>
      <c r="BA33" s="849">
        <f t="shared" si="33"/>
        <v>1826.9661000000001</v>
      </c>
      <c r="BB33" s="102">
        <f t="shared" si="35"/>
        <v>3.3869999999999997E-2</v>
      </c>
      <c r="BD33" s="150"/>
      <c r="BE33" s="830"/>
      <c r="BF33" s="205"/>
      <c r="BG33" s="831"/>
      <c r="BH33" s="831"/>
      <c r="BI33" s="832"/>
      <c r="BJ33" s="198"/>
      <c r="BK33" s="212"/>
      <c r="BL33" s="849"/>
      <c r="BM33" s="199"/>
      <c r="BN33" s="447"/>
      <c r="BP33" s="150"/>
      <c r="BQ33" s="830"/>
      <c r="BR33" s="205"/>
      <c r="BS33" s="831"/>
      <c r="BT33" s="831"/>
      <c r="BU33" s="832"/>
      <c r="BV33" s="198"/>
      <c r="BW33" s="212"/>
      <c r="BX33" s="849"/>
      <c r="BY33" s="199"/>
      <c r="BZ33" s="447"/>
      <c r="CB33" s="150"/>
      <c r="CC33" s="830"/>
      <c r="CD33" s="205"/>
      <c r="CE33" s="963"/>
      <c r="CF33" s="963"/>
      <c r="CG33" s="964"/>
      <c r="CH33" s="198"/>
      <c r="CI33" s="212"/>
      <c r="CJ33" s="956"/>
      <c r="CK33" s="199"/>
      <c r="CL33" s="447"/>
      <c r="CP33" s="150"/>
      <c r="CQ33" s="830"/>
      <c r="CR33" s="205"/>
      <c r="CS33" s="205"/>
      <c r="CT33" s="205"/>
      <c r="CU33" s="832"/>
      <c r="CV33" s="198"/>
      <c r="CW33" s="212"/>
      <c r="CX33" s="956"/>
      <c r="CY33" s="199"/>
      <c r="CZ33" s="447"/>
      <c r="DD33" s="150">
        <v>26</v>
      </c>
      <c r="DE33" s="830">
        <v>46644</v>
      </c>
      <c r="DF33" s="205">
        <v>26</v>
      </c>
      <c r="DG33" s="205">
        <v>100000</v>
      </c>
      <c r="DH33" s="205">
        <v>0</v>
      </c>
      <c r="DI33" s="765">
        <v>0</v>
      </c>
      <c r="DJ33" s="198">
        <f t="shared" si="18"/>
        <v>0</v>
      </c>
      <c r="DK33" s="212">
        <f t="shared" si="19"/>
        <v>0</v>
      </c>
      <c r="DL33" s="957">
        <f t="shared" ref="DL33:DL41" si="39">DL21+1</f>
        <v>1.4712328767</v>
      </c>
      <c r="DM33" s="199" cm="1">
        <f t="array" ref="DM33">+ROUND(IF(DL33&lt;1,interpoler($A$5:$A$24,$B$5:$B$24,(DE33-$B$1)),interpoler($C$5:$C$24,$D$5:$D$24,DL33)),5)</f>
        <v>2.588E-2</v>
      </c>
      <c r="DN33" s="447">
        <f t="shared" si="20"/>
        <v>0</v>
      </c>
      <c r="DP33" s="29"/>
      <c r="DQ33" s="150"/>
      <c r="DR33" s="830"/>
      <c r="DS33" s="957"/>
      <c r="DT33" s="957"/>
      <c r="DU33" s="957"/>
      <c r="DV33" s="957"/>
      <c r="DW33" s="198"/>
      <c r="DX33" s="447"/>
      <c r="DY33" s="957"/>
      <c r="DZ33" s="199"/>
      <c r="EA33" s="447"/>
    </row>
    <row r="34" spans="1:131" ht="15" x14ac:dyDescent="0.25">
      <c r="G34">
        <v>27</v>
      </c>
      <c r="H34" s="1152">
        <v>48115</v>
      </c>
      <c r="I34" s="1104">
        <v>27</v>
      </c>
      <c r="J34" s="1445">
        <v>664.05000000000462</v>
      </c>
      <c r="K34" s="1442">
        <v>172.5</v>
      </c>
      <c r="L34" s="1327">
        <v>388.72</v>
      </c>
      <c r="M34" s="1106"/>
      <c r="N34" s="1122"/>
      <c r="O34" s="1123"/>
      <c r="Q34"/>
      <c r="R34" s="1151"/>
      <c r="S34" s="1104"/>
      <c r="T34" s="1124"/>
      <c r="U34" s="1124"/>
      <c r="V34" s="1125"/>
      <c r="W34" s="1106"/>
      <c r="X34" s="1122"/>
      <c r="Y34" s="1123"/>
      <c r="Z34" s="1107"/>
      <c r="AA34" s="1101"/>
      <c r="AB34" s="1101"/>
      <c r="AC34" s="102"/>
      <c r="AD34">
        <v>27</v>
      </c>
      <c r="AE34" s="1151">
        <v>48023</v>
      </c>
      <c r="AF34" s="1104">
        <v>27</v>
      </c>
      <c r="AG34">
        <v>17991.3</v>
      </c>
      <c r="AH34">
        <v>2473.94</v>
      </c>
      <c r="AI34">
        <v>750</v>
      </c>
      <c r="AJ34" s="1106">
        <f t="shared" si="25"/>
        <v>3223.94</v>
      </c>
      <c r="AK34" s="1122">
        <f t="shared" si="3"/>
        <v>3223.94</v>
      </c>
      <c r="AL34" s="1123">
        <f t="shared" si="32"/>
        <v>5.3222222221999997</v>
      </c>
      <c r="AM34" s="1107"/>
      <c r="AN34" s="1101"/>
      <c r="AO34" s="1101"/>
      <c r="AP34" s="102"/>
      <c r="AQ34" s="150">
        <v>27</v>
      </c>
      <c r="AR34" s="830">
        <v>47203</v>
      </c>
      <c r="AS34" s="205">
        <v>27</v>
      </c>
      <c r="AT34" s="1639">
        <v>17494.82</v>
      </c>
      <c r="AU34" s="1639">
        <v>1814.82</v>
      </c>
      <c r="AV34" s="1639">
        <v>128.55000000000001</v>
      </c>
      <c r="AW34" s="198">
        <f t="shared" si="34"/>
        <v>1943.37</v>
      </c>
      <c r="AX34" s="212">
        <f t="shared" si="4"/>
        <v>1943.37</v>
      </c>
      <c r="AY34" s="849">
        <f t="shared" si="37"/>
        <v>3</v>
      </c>
      <c r="AZ34" s="849" cm="1">
        <f t="array" ref="AZ34">ROUND(interpoler(mat_zc,Taux_ZC,AY34),5)</f>
        <v>2.826E-2</v>
      </c>
      <c r="BA34" s="849">
        <f t="shared" si="33"/>
        <v>1756.5734</v>
      </c>
      <c r="BB34" s="102">
        <f t="shared" si="35"/>
        <v>3.4259999999999999E-2</v>
      </c>
      <c r="BC34" s="452"/>
      <c r="BD34" s="150"/>
      <c r="BE34" s="830"/>
      <c r="BF34" s="205"/>
      <c r="BG34" s="831"/>
      <c r="BH34" s="831"/>
      <c r="BI34" s="832"/>
      <c r="BJ34" s="198"/>
      <c r="BK34" s="212"/>
      <c r="BL34" s="849"/>
      <c r="BM34" s="199"/>
      <c r="BN34" s="447"/>
      <c r="BP34" s="150"/>
      <c r="BQ34" s="830"/>
      <c r="BR34" s="205"/>
      <c r="BS34" s="831"/>
      <c r="BT34" s="831"/>
      <c r="BU34" s="832"/>
      <c r="BV34" s="198"/>
      <c r="BW34" s="212"/>
      <c r="BX34" s="849"/>
      <c r="BY34" s="199"/>
      <c r="BZ34" s="447"/>
      <c r="CB34" s="150"/>
      <c r="CC34" s="830"/>
      <c r="CD34" s="205"/>
      <c r="CE34" s="963"/>
      <c r="CF34" s="963"/>
      <c r="CG34" s="964"/>
      <c r="CH34" s="198"/>
      <c r="CI34" s="212"/>
      <c r="CJ34" s="956"/>
      <c r="CK34" s="199"/>
      <c r="CL34" s="447"/>
      <c r="CP34" s="150"/>
      <c r="CQ34" s="830"/>
      <c r="CR34" s="205"/>
      <c r="CS34" s="205"/>
      <c r="CT34" s="205"/>
      <c r="CU34" s="832"/>
      <c r="CV34" s="198"/>
      <c r="CW34" s="212"/>
      <c r="CX34" s="956"/>
      <c r="CY34" s="199"/>
      <c r="CZ34" s="447"/>
      <c r="DD34" s="150">
        <v>27</v>
      </c>
      <c r="DE34" s="830">
        <v>46674</v>
      </c>
      <c r="DF34" s="205">
        <v>27</v>
      </c>
      <c r="DG34" s="205">
        <v>100000</v>
      </c>
      <c r="DH34" s="205">
        <v>0</v>
      </c>
      <c r="DI34" s="765">
        <v>0</v>
      </c>
      <c r="DJ34" s="198">
        <f t="shared" si="18"/>
        <v>0</v>
      </c>
      <c r="DK34" s="212">
        <f t="shared" si="19"/>
        <v>0</v>
      </c>
      <c r="DL34" s="957">
        <f t="shared" si="39"/>
        <v>1.5534246574999999</v>
      </c>
      <c r="DM34" s="199" cm="1">
        <f t="array" ref="DM34">+ROUND(IF(DL34&lt;1,interpoler($A$5:$A$24,$B$5:$B$24,(DE34-$B$1)),interpoler($C$5:$C$24,$D$5:$D$24,DL34)),5)</f>
        <v>2.5999999999999999E-2</v>
      </c>
      <c r="DN34" s="447">
        <f t="shared" si="20"/>
        <v>0</v>
      </c>
      <c r="DP34" s="29"/>
      <c r="DQ34" s="150"/>
      <c r="DR34" s="830"/>
      <c r="DS34" s="957"/>
      <c r="DT34" s="957"/>
      <c r="DU34" s="957"/>
      <c r="DV34" s="957"/>
      <c r="DW34" s="198"/>
      <c r="DX34" s="212"/>
      <c r="DY34" s="957"/>
      <c r="DZ34" s="199"/>
      <c r="EA34" s="447"/>
    </row>
    <row r="35" spans="1:131" ht="15" x14ac:dyDescent="0.25">
      <c r="A35" s="8"/>
      <c r="B35" s="8"/>
      <c r="C35" s="8"/>
      <c r="D35" s="8"/>
      <c r="E35" s="8"/>
      <c r="F35" s="8"/>
      <c r="G35">
        <v>28</v>
      </c>
      <c r="H35" s="1151">
        <v>48206</v>
      </c>
      <c r="I35" s="1104">
        <v>28</v>
      </c>
      <c r="J35" s="1446">
        <v>491.55000000000462</v>
      </c>
      <c r="K35" s="1443">
        <v>139.30000000000001</v>
      </c>
      <c r="L35" s="1327">
        <v>388.72</v>
      </c>
      <c r="M35" s="1106"/>
      <c r="N35" s="1122"/>
      <c r="O35" s="1123"/>
      <c r="P35" s="8"/>
      <c r="Q35"/>
      <c r="R35" s="1152"/>
      <c r="S35" s="1104"/>
      <c r="T35" s="1124"/>
      <c r="U35" s="1124"/>
      <c r="V35" s="1125"/>
      <c r="W35" s="1106"/>
      <c r="X35" s="1122"/>
      <c r="Y35" s="1123"/>
      <c r="Z35" s="1107"/>
      <c r="AA35" s="1101"/>
      <c r="AB35" s="1101"/>
      <c r="AC35" s="102"/>
      <c r="AD35">
        <v>28</v>
      </c>
      <c r="AE35" s="1152">
        <v>48115</v>
      </c>
      <c r="AF35" s="1104">
        <v>28</v>
      </c>
      <c r="AG35">
        <v>15517.36</v>
      </c>
      <c r="AH35">
        <v>2195.2800000000002</v>
      </c>
      <c r="AI35">
        <v>750</v>
      </c>
      <c r="AJ35" s="1106">
        <f t="shared" si="25"/>
        <v>2945.28</v>
      </c>
      <c r="AK35" s="1122">
        <f t="shared" si="3"/>
        <v>2945.28</v>
      </c>
      <c r="AL35" s="1123">
        <f t="shared" si="32"/>
        <v>5.5777777777999997</v>
      </c>
      <c r="AM35" s="1107"/>
      <c r="AN35" s="1101"/>
      <c r="AO35" s="1101"/>
      <c r="AP35" s="102"/>
      <c r="AQ35" s="150">
        <v>28</v>
      </c>
      <c r="AR35" s="830">
        <v>47295</v>
      </c>
      <c r="AS35" s="205">
        <v>28</v>
      </c>
      <c r="AT35" s="1639">
        <v>15729.24</v>
      </c>
      <c r="AU35" s="1639">
        <v>1765.58</v>
      </c>
      <c r="AV35" s="1639">
        <v>119.06</v>
      </c>
      <c r="AW35" s="198">
        <f t="shared" si="34"/>
        <v>1884.64</v>
      </c>
      <c r="AX35" s="212">
        <f t="shared" si="4"/>
        <v>1884.64</v>
      </c>
      <c r="AY35" s="849">
        <f t="shared" si="37"/>
        <v>3.25</v>
      </c>
      <c r="AZ35" s="849" cm="1">
        <f t="array" ref="AZ35">ROUND(interpoler(mat_zc,Taux_ZC,AY35),5)</f>
        <v>2.8649999999999998E-2</v>
      </c>
      <c r="BA35" s="849">
        <f t="shared" si="33"/>
        <v>1687.1342999999999</v>
      </c>
      <c r="BB35" s="102">
        <f t="shared" si="35"/>
        <v>3.465E-2</v>
      </c>
      <c r="BD35" s="150"/>
      <c r="BE35" s="830"/>
      <c r="BF35" s="205"/>
      <c r="BG35" s="831"/>
      <c r="BH35" s="831"/>
      <c r="BI35" s="832"/>
      <c r="BJ35" s="198"/>
      <c r="BK35" s="212"/>
      <c r="BL35" s="849"/>
      <c r="BM35" s="199"/>
      <c r="BN35" s="447"/>
      <c r="BP35" s="150"/>
      <c r="BQ35" s="830"/>
      <c r="BR35" s="205"/>
      <c r="BS35" s="831"/>
      <c r="BT35" s="831"/>
      <c r="BU35" s="832"/>
      <c r="BV35" s="198"/>
      <c r="BW35" s="212"/>
      <c r="BX35" s="849"/>
      <c r="BY35" s="199"/>
      <c r="BZ35" s="447"/>
      <c r="CB35" s="150"/>
      <c r="CC35" s="830"/>
      <c r="CD35" s="205"/>
      <c r="CE35" s="831"/>
      <c r="CF35" s="831"/>
      <c r="CG35" s="832"/>
      <c r="CH35" s="198"/>
      <c r="CI35" s="198"/>
      <c r="CJ35" s="198"/>
      <c r="CK35" s="198"/>
      <c r="CL35" s="447"/>
      <c r="CP35" s="150"/>
      <c r="CQ35" s="830"/>
      <c r="CR35" s="205"/>
      <c r="CS35" s="205"/>
      <c r="CT35" s="205"/>
      <c r="CU35" s="832"/>
      <c r="CV35" s="198"/>
      <c r="CW35" s="212"/>
      <c r="CX35" s="956"/>
      <c r="CY35" s="199"/>
      <c r="CZ35" s="447"/>
      <c r="DD35" s="150">
        <v>28</v>
      </c>
      <c r="DE35" s="830">
        <v>46705</v>
      </c>
      <c r="DF35" s="205">
        <v>28</v>
      </c>
      <c r="DG35" s="205">
        <v>100000</v>
      </c>
      <c r="DH35" s="205">
        <v>0</v>
      </c>
      <c r="DI35" s="765">
        <v>0</v>
      </c>
      <c r="DJ35" s="198">
        <f t="shared" si="18"/>
        <v>0</v>
      </c>
      <c r="DK35" s="212">
        <f t="shared" si="19"/>
        <v>0</v>
      </c>
      <c r="DL35" s="957">
        <f t="shared" si="39"/>
        <v>1.6383561644</v>
      </c>
      <c r="DM35" s="199" cm="1">
        <f t="array" ref="DM35">+ROUND(IF(DL35&lt;1,interpoler($A$5:$A$24,$B$5:$B$24,(DE35-$B$1)),interpoler($C$5:$C$24,$D$5:$D$24,DL35)),5)</f>
        <v>2.614E-2</v>
      </c>
      <c r="DN35" s="447">
        <f t="shared" si="20"/>
        <v>0</v>
      </c>
      <c r="DP35" s="29"/>
      <c r="DQ35" s="150"/>
      <c r="DR35" s="830"/>
      <c r="DS35" s="957"/>
      <c r="DT35" s="957"/>
      <c r="DU35" s="957"/>
      <c r="DV35" s="957"/>
      <c r="DW35" s="198"/>
      <c r="DX35" s="212"/>
      <c r="DY35" s="957"/>
      <c r="DZ35" s="199"/>
      <c r="EA35" s="447"/>
    </row>
    <row r="36" spans="1:131" ht="15" x14ac:dyDescent="0.25">
      <c r="A36" s="8"/>
      <c r="B36" s="8"/>
      <c r="C36" s="8"/>
      <c r="D36" s="8"/>
      <c r="E36" s="8"/>
      <c r="F36" s="8"/>
      <c r="G36">
        <v>29</v>
      </c>
      <c r="H36" s="1152">
        <v>48297</v>
      </c>
      <c r="I36" s="1104">
        <v>29</v>
      </c>
      <c r="J36" s="1445">
        <v>352.2500000000046</v>
      </c>
      <c r="K36" s="1442">
        <v>110.63</v>
      </c>
      <c r="L36" s="1327">
        <v>388.72</v>
      </c>
      <c r="M36" s="1106"/>
      <c r="N36" s="1122"/>
      <c r="O36" s="1123"/>
      <c r="P36" s="8"/>
      <c r="Q36"/>
      <c r="R36" s="1151"/>
      <c r="S36" s="1104"/>
      <c r="T36" s="1124"/>
      <c r="U36" s="1124"/>
      <c r="V36" s="1125"/>
      <c r="W36" s="1106"/>
      <c r="X36" s="1122"/>
      <c r="Y36" s="1123"/>
      <c r="Z36" s="1107"/>
      <c r="AA36" s="1101"/>
      <c r="AB36" s="1101"/>
      <c r="AC36" s="102"/>
      <c r="AD36">
        <v>29</v>
      </c>
      <c r="AE36" s="1151">
        <v>48206</v>
      </c>
      <c r="AF36" s="1104">
        <v>29</v>
      </c>
      <c r="AG36">
        <v>13322.08</v>
      </c>
      <c r="AH36">
        <v>1949.35</v>
      </c>
      <c r="AI36">
        <v>750</v>
      </c>
      <c r="AJ36" s="1106">
        <f t="shared" si="25"/>
        <v>2699.35</v>
      </c>
      <c r="AK36" s="1122">
        <f t="shared" si="3"/>
        <v>2699.35</v>
      </c>
      <c r="AL36" s="1123">
        <f t="shared" si="32"/>
        <v>5.8305555556000002</v>
      </c>
      <c r="AM36" s="1107"/>
      <c r="AN36" s="1101"/>
      <c r="AO36" s="1101"/>
      <c r="AP36" s="102"/>
      <c r="AQ36" s="150">
        <v>29</v>
      </c>
      <c r="AR36" s="830">
        <v>47387</v>
      </c>
      <c r="AS36" s="205">
        <v>29</v>
      </c>
      <c r="AT36" s="1639">
        <v>14010.31</v>
      </c>
      <c r="AU36" s="1639">
        <v>1718.93</v>
      </c>
      <c r="AV36" s="1639">
        <v>107.05</v>
      </c>
      <c r="AW36" s="198">
        <f t="shared" si="34"/>
        <v>1825.98</v>
      </c>
      <c r="AX36" s="212">
        <f t="shared" si="4"/>
        <v>1825.98</v>
      </c>
      <c r="AY36" s="849">
        <f t="shared" si="37"/>
        <v>3.5</v>
      </c>
      <c r="AZ36" s="849" cm="1">
        <f t="array" ref="AZ36">ROUND(interpoler(mat_zc,Taux_ZC,AY36),5)</f>
        <v>2.904E-2</v>
      </c>
      <c r="BA36" s="849">
        <f t="shared" si="33"/>
        <v>1618.6242999999999</v>
      </c>
      <c r="BB36" s="102">
        <f t="shared" si="35"/>
        <v>3.5040000000000002E-2</v>
      </c>
      <c r="BD36" s="150"/>
      <c r="BE36" s="830"/>
      <c r="BF36" s="205"/>
      <c r="BG36" s="831"/>
      <c r="BH36" s="831"/>
      <c r="BI36" s="832"/>
      <c r="BJ36" s="198"/>
      <c r="BK36" s="212"/>
      <c r="BL36" s="849"/>
      <c r="BM36" s="199"/>
      <c r="BN36" s="447"/>
      <c r="BP36" s="150"/>
      <c r="BQ36" s="830"/>
      <c r="BR36" s="205"/>
      <c r="BS36" s="831"/>
      <c r="BT36" s="831"/>
      <c r="BU36" s="832"/>
      <c r="BV36" s="198"/>
      <c r="BW36" s="212"/>
      <c r="BX36" s="849"/>
      <c r="BY36" s="199"/>
      <c r="BZ36" s="447"/>
      <c r="CB36" s="150"/>
      <c r="CC36" s="830"/>
      <c r="CD36" s="205"/>
      <c r="CE36" s="831"/>
      <c r="CF36" s="831"/>
      <c r="CG36" s="832"/>
      <c r="CH36" s="198"/>
      <c r="CI36" s="198"/>
      <c r="CJ36" s="198"/>
      <c r="CK36" s="198"/>
      <c r="CL36" s="447"/>
      <c r="CP36" s="150"/>
      <c r="CQ36" s="830"/>
      <c r="CR36" s="205"/>
      <c r="CS36" s="205"/>
      <c r="CT36" s="205"/>
      <c r="CU36" s="832"/>
      <c r="CV36" s="198"/>
      <c r="CW36" s="212"/>
      <c r="CX36" s="956"/>
      <c r="CY36" s="199"/>
      <c r="CZ36" s="447"/>
      <c r="DD36" s="150">
        <v>29</v>
      </c>
      <c r="DE36" s="830">
        <v>46735</v>
      </c>
      <c r="DF36" s="205">
        <v>29</v>
      </c>
      <c r="DG36" s="205">
        <v>100000</v>
      </c>
      <c r="DH36" s="205">
        <v>0</v>
      </c>
      <c r="DI36" s="765">
        <v>0</v>
      </c>
      <c r="DJ36" s="198">
        <f t="shared" si="18"/>
        <v>0</v>
      </c>
      <c r="DK36" s="212">
        <f t="shared" si="19"/>
        <v>0</v>
      </c>
      <c r="DL36" s="957">
        <f t="shared" si="39"/>
        <v>1.7205479451999999</v>
      </c>
      <c r="DM36" s="199" cm="1">
        <f t="array" ref="DM36">+ROUND(IF(DL36&lt;1,interpoler($A$5:$A$24,$B$5:$B$24,(DE36-$B$1)),interpoler($C$5:$C$24,$D$5:$D$24,DL36)),5)</f>
        <v>2.6270000000000002E-2</v>
      </c>
      <c r="DN36" s="447">
        <f t="shared" si="20"/>
        <v>0</v>
      </c>
      <c r="DP36" s="29"/>
      <c r="DQ36" s="150"/>
      <c r="DR36" s="830"/>
      <c r="DS36" s="957"/>
      <c r="DT36" s="957"/>
      <c r="DU36" s="957"/>
      <c r="DV36" s="957"/>
      <c r="DW36" s="198"/>
      <c r="DX36" s="212"/>
      <c r="DY36" s="957"/>
      <c r="DZ36" s="199"/>
      <c r="EA36" s="447"/>
    </row>
    <row r="37" spans="1:131" ht="15" x14ac:dyDescent="0.25">
      <c r="A37" s="8"/>
      <c r="B37" s="8"/>
      <c r="C37" s="8"/>
      <c r="D37" s="8"/>
      <c r="E37" s="8"/>
      <c r="F37" s="8"/>
      <c r="G37">
        <v>30</v>
      </c>
      <c r="H37" s="1151">
        <v>48389</v>
      </c>
      <c r="I37" s="1104">
        <v>30</v>
      </c>
      <c r="J37" s="1446">
        <v>241.62000000000461</v>
      </c>
      <c r="K37" s="1443">
        <v>86.26</v>
      </c>
      <c r="L37" s="1327">
        <v>388.72</v>
      </c>
      <c r="M37" s="1106"/>
      <c r="N37" s="1122"/>
      <c r="O37" s="1123"/>
      <c r="P37" s="8"/>
      <c r="Q37"/>
      <c r="R37" s="1152"/>
      <c r="S37" s="1104"/>
      <c r="T37" s="1124"/>
      <c r="U37" s="1124"/>
      <c r="V37" s="1125"/>
      <c r="W37" s="1106"/>
      <c r="X37" s="1122"/>
      <c r="Y37" s="1123"/>
      <c r="Z37" s="1107"/>
      <c r="AA37" s="1101"/>
      <c r="AB37" s="1101"/>
      <c r="AC37" s="102"/>
      <c r="AD37">
        <v>30</v>
      </c>
      <c r="AE37" s="1152">
        <v>48297</v>
      </c>
      <c r="AF37" s="1104">
        <v>30</v>
      </c>
      <c r="AG37">
        <v>11372.73</v>
      </c>
      <c r="AH37">
        <v>1726.98</v>
      </c>
      <c r="AI37">
        <v>750</v>
      </c>
      <c r="AJ37" s="1106">
        <f t="shared" si="25"/>
        <v>2476.98</v>
      </c>
      <c r="AK37" s="1122">
        <f t="shared" si="3"/>
        <v>2476.98</v>
      </c>
      <c r="AL37" s="1123">
        <f t="shared" si="32"/>
        <v>6.0833333332999997</v>
      </c>
      <c r="AM37" s="1107"/>
      <c r="AN37" s="1101"/>
      <c r="AO37" s="1101"/>
      <c r="AP37" s="102"/>
      <c r="AQ37" s="150">
        <v>30</v>
      </c>
      <c r="AR37" s="830">
        <v>47478</v>
      </c>
      <c r="AS37" s="205">
        <v>30</v>
      </c>
      <c r="AT37" s="1639">
        <v>12351.49</v>
      </c>
      <c r="AU37" s="1639">
        <v>1658.82</v>
      </c>
      <c r="AV37" s="1639">
        <v>94.31</v>
      </c>
      <c r="AW37" s="198">
        <f t="shared" si="34"/>
        <v>1753.13</v>
      </c>
      <c r="AX37" s="212">
        <f t="shared" si="4"/>
        <v>1753.13</v>
      </c>
      <c r="AY37" s="849">
        <f t="shared" si="37"/>
        <v>3.75</v>
      </c>
      <c r="AZ37" s="849" cm="1">
        <f t="array" ref="AZ37">ROUND(interpoler(mat_zc,Taux_ZC,AY37),5)</f>
        <v>2.9440000000000001E-2</v>
      </c>
      <c r="BA37" s="849">
        <f t="shared" si="33"/>
        <v>1538.4933000000001</v>
      </c>
      <c r="BB37" s="102">
        <f t="shared" si="35"/>
        <v>3.5439999999999999E-2</v>
      </c>
      <c r="BD37" s="150"/>
      <c r="BE37" s="830"/>
      <c r="BF37" s="205"/>
      <c r="BG37" s="831"/>
      <c r="BH37" s="831"/>
      <c r="BI37" s="832"/>
      <c r="BJ37" s="198"/>
      <c r="BK37" s="212"/>
      <c r="BL37" s="849"/>
      <c r="BM37" s="199"/>
      <c r="BN37" s="447"/>
      <c r="BP37" s="150"/>
      <c r="BQ37" s="830"/>
      <c r="BR37" s="205"/>
      <c r="BS37" s="831"/>
      <c r="BT37" s="831"/>
      <c r="BU37" s="832"/>
      <c r="BV37" s="198"/>
      <c r="BW37" s="212"/>
      <c r="BX37" s="849"/>
      <c r="BY37" s="199"/>
      <c r="BZ37" s="447"/>
      <c r="CB37" s="150"/>
      <c r="CC37" s="830"/>
      <c r="CD37" s="205"/>
      <c r="CE37" s="831"/>
      <c r="CF37" s="831"/>
      <c r="CG37" s="832"/>
      <c r="CH37" s="198"/>
      <c r="CI37" s="198"/>
      <c r="CJ37" s="198"/>
      <c r="CK37" s="198"/>
      <c r="CL37" s="447"/>
      <c r="CP37" s="150"/>
      <c r="CQ37" s="830"/>
      <c r="CR37" s="205"/>
      <c r="CS37" s="205"/>
      <c r="CT37" s="205"/>
      <c r="CU37" s="832"/>
      <c r="CV37" s="198"/>
      <c r="CW37" s="212"/>
      <c r="CX37" s="956"/>
      <c r="CY37" s="199"/>
      <c r="CZ37" s="447"/>
      <c r="DD37" s="150">
        <v>30</v>
      </c>
      <c r="DE37" s="830">
        <v>46766</v>
      </c>
      <c r="DF37" s="205">
        <v>30</v>
      </c>
      <c r="DG37" s="205">
        <v>100000</v>
      </c>
      <c r="DH37" s="205">
        <v>0</v>
      </c>
      <c r="DI37" s="765">
        <v>0</v>
      </c>
      <c r="DJ37" s="198">
        <f t="shared" si="18"/>
        <v>0</v>
      </c>
      <c r="DK37" s="212">
        <f t="shared" si="19"/>
        <v>0</v>
      </c>
      <c r="DL37" s="957">
        <f t="shared" si="39"/>
        <v>1.8054794521000002</v>
      </c>
      <c r="DM37" s="199" cm="1">
        <f t="array" ref="DM37">+ROUND(IF(DL37&lt;1,interpoler($A$5:$A$24,$B$5:$B$24,(DE37-$B$1)),interpoler($C$5:$C$24,$D$5:$D$24,DL37)),5)</f>
        <v>2.64E-2</v>
      </c>
      <c r="DN37" s="447">
        <f t="shared" si="20"/>
        <v>0</v>
      </c>
      <c r="DP37" s="29"/>
      <c r="DQ37" s="150"/>
      <c r="DR37" s="830"/>
      <c r="DS37" s="957"/>
      <c r="DT37" s="957"/>
      <c r="DU37" s="957"/>
      <c r="DV37" s="957"/>
      <c r="DW37" s="198"/>
      <c r="DX37" s="212"/>
      <c r="DY37" s="957"/>
      <c r="DZ37" s="199"/>
      <c r="EA37" s="447"/>
    </row>
    <row r="38" spans="1:131" ht="15" x14ac:dyDescent="0.25">
      <c r="A38" s="8"/>
      <c r="B38" s="8"/>
      <c r="C38" s="8"/>
      <c r="D38" s="8"/>
      <c r="E38" s="8"/>
      <c r="F38" s="8"/>
      <c r="G38">
        <v>31</v>
      </c>
      <c r="H38" s="1152">
        <v>48481</v>
      </c>
      <c r="I38" s="1104">
        <v>31</v>
      </c>
      <c r="J38" s="1445">
        <v>155.36000000000462</v>
      </c>
      <c r="K38" s="1442">
        <v>65.16</v>
      </c>
      <c r="L38" s="1327">
        <v>388.72</v>
      </c>
      <c r="M38" s="1106"/>
      <c r="N38" s="1122"/>
      <c r="O38" s="1123"/>
      <c r="P38" s="8"/>
      <c r="Q38"/>
      <c r="R38" s="1151"/>
      <c r="S38" s="1104"/>
      <c r="T38" s="1124"/>
      <c r="U38" s="1124"/>
      <c r="V38" s="1125"/>
      <c r="W38" s="1106"/>
      <c r="X38" s="1122"/>
      <c r="Y38" s="1123"/>
      <c r="Z38" s="1107"/>
      <c r="AA38" s="1101"/>
      <c r="AB38" s="1101"/>
      <c r="AC38" s="102"/>
      <c r="AD38">
        <v>31</v>
      </c>
      <c r="AE38" s="1151">
        <v>48389</v>
      </c>
      <c r="AF38" s="1104">
        <v>31</v>
      </c>
      <c r="AG38">
        <v>9645.75</v>
      </c>
      <c r="AH38">
        <v>1527.82</v>
      </c>
      <c r="AI38">
        <v>750</v>
      </c>
      <c r="AJ38" s="1106">
        <f t="shared" si="25"/>
        <v>2277.8200000000002</v>
      </c>
      <c r="AK38" s="1122">
        <f t="shared" si="3"/>
        <v>2277.8200000000002</v>
      </c>
      <c r="AL38" s="1123">
        <f t="shared" si="32"/>
        <v>6.3388888888999997</v>
      </c>
      <c r="AM38" s="1107"/>
      <c r="AN38" s="1101"/>
      <c r="AO38" s="1101"/>
      <c r="AP38" s="102"/>
      <c r="AQ38" s="150">
        <v>31</v>
      </c>
      <c r="AR38" s="830">
        <v>47568</v>
      </c>
      <c r="AS38" s="205">
        <v>31</v>
      </c>
      <c r="AT38" s="1639">
        <v>10761.33</v>
      </c>
      <c r="AU38" s="1639">
        <v>1590.16</v>
      </c>
      <c r="AV38" s="1639">
        <v>82.23</v>
      </c>
      <c r="AW38" s="198">
        <f t="shared" si="34"/>
        <v>1672.39</v>
      </c>
      <c r="AX38" s="212">
        <f t="shared" si="4"/>
        <v>1672.39</v>
      </c>
      <c r="AY38" s="849">
        <f t="shared" si="37"/>
        <v>4</v>
      </c>
      <c r="AZ38" s="849" cm="1">
        <f t="array" ref="AZ38">ROUND(interpoler(mat_zc,Taux_ZC,AY38),5)</f>
        <v>2.9829999999999999E-2</v>
      </c>
      <c r="BA38" s="849">
        <f t="shared" si="33"/>
        <v>1452.7257</v>
      </c>
      <c r="BB38" s="102">
        <f t="shared" si="35"/>
        <v>3.5830000000000001E-2</v>
      </c>
      <c r="BD38" s="150"/>
      <c r="BE38" s="830"/>
      <c r="BF38" s="205"/>
      <c r="BG38" s="831"/>
      <c r="BH38" s="831"/>
      <c r="BI38" s="832"/>
      <c r="BJ38" s="198"/>
      <c r="BK38" s="212"/>
      <c r="BL38" s="849"/>
      <c r="BM38" s="199"/>
      <c r="BN38" s="447"/>
      <c r="BP38" s="150"/>
      <c r="BQ38" s="830"/>
      <c r="BR38" s="205"/>
      <c r="BS38" s="831"/>
      <c r="BT38" s="831"/>
      <c r="BU38" s="832"/>
      <c r="BV38" s="198"/>
      <c r="BW38" s="212"/>
      <c r="BX38" s="849"/>
      <c r="BY38" s="199"/>
      <c r="BZ38" s="447"/>
      <c r="CB38" s="150"/>
      <c r="CC38" s="830"/>
      <c r="CD38" s="205"/>
      <c r="CE38" s="831"/>
      <c r="CF38" s="831"/>
      <c r="CG38" s="832"/>
      <c r="CH38" s="198"/>
      <c r="CI38" s="198"/>
      <c r="CJ38" s="198"/>
      <c r="CK38" s="198"/>
      <c r="CL38" s="447"/>
      <c r="CP38" s="150"/>
      <c r="CQ38" s="830"/>
      <c r="CR38" s="205"/>
      <c r="CS38" s="205"/>
      <c r="CT38" s="205"/>
      <c r="CU38" s="832"/>
      <c r="CV38" s="198"/>
      <c r="CW38" s="212"/>
      <c r="CX38" s="956"/>
      <c r="CY38" s="199"/>
      <c r="CZ38" s="447"/>
      <c r="DD38" s="150">
        <v>31</v>
      </c>
      <c r="DE38" s="830">
        <v>46797</v>
      </c>
      <c r="DF38" s="205">
        <v>31</v>
      </c>
      <c r="DG38" s="205">
        <v>100000</v>
      </c>
      <c r="DH38" s="205">
        <v>0</v>
      </c>
      <c r="DI38" s="765">
        <v>0</v>
      </c>
      <c r="DJ38" s="198">
        <f t="shared" si="18"/>
        <v>0</v>
      </c>
      <c r="DK38" s="212">
        <f t="shared" si="19"/>
        <v>0</v>
      </c>
      <c r="DL38" s="957">
        <f t="shared" si="39"/>
        <v>1.8904109589</v>
      </c>
      <c r="DM38" s="199" cm="1">
        <f t="array" ref="DM38">+ROUND(IF(DL38&lt;1,interpoler($A$5:$A$24,$B$5:$B$24,(DE38-$B$1)),interpoler($C$5:$C$24,$D$5:$D$24,DL38)),5)</f>
        <v>2.6530000000000001E-2</v>
      </c>
      <c r="DN38" s="447">
        <f t="shared" si="20"/>
        <v>0</v>
      </c>
      <c r="DP38" s="29"/>
      <c r="DQ38" s="150"/>
      <c r="DR38" s="830"/>
      <c r="DS38" s="957"/>
      <c r="DT38" s="957"/>
      <c r="DU38" s="957"/>
      <c r="DV38" s="957"/>
      <c r="DW38" s="198"/>
      <c r="DX38" s="212"/>
      <c r="DY38" s="957"/>
      <c r="DZ38" s="199"/>
      <c r="EA38" s="447"/>
    </row>
    <row r="39" spans="1:131" ht="15" x14ac:dyDescent="0.25">
      <c r="A39" s="8"/>
      <c r="B39" s="8"/>
      <c r="C39" s="8"/>
      <c r="D39" s="8"/>
      <c r="E39" s="8"/>
      <c r="F39" s="8"/>
      <c r="G39">
        <v>32</v>
      </c>
      <c r="H39" s="1151">
        <v>48572</v>
      </c>
      <c r="I39" s="1104">
        <v>32</v>
      </c>
      <c r="J39" s="1446">
        <v>90.200000000004621</v>
      </c>
      <c r="K39" s="1443">
        <v>46.48</v>
      </c>
      <c r="L39" s="1327">
        <v>388.72</v>
      </c>
      <c r="M39" s="1106"/>
      <c r="N39" s="1122"/>
      <c r="O39" s="1123"/>
      <c r="P39" s="8"/>
      <c r="Q39"/>
      <c r="R39" s="1152"/>
      <c r="S39" s="1104"/>
      <c r="T39" s="1124"/>
      <c r="U39" s="1124"/>
      <c r="V39" s="1125"/>
      <c r="W39" s="1106"/>
      <c r="X39" s="1122"/>
      <c r="Y39" s="1123"/>
      <c r="Z39" s="1107"/>
      <c r="AA39" s="1101"/>
      <c r="AB39" s="1101"/>
      <c r="AC39" s="102"/>
      <c r="AD39">
        <v>32</v>
      </c>
      <c r="AE39" s="1152">
        <v>48481</v>
      </c>
      <c r="AF39" s="1104">
        <v>32</v>
      </c>
      <c r="AG39">
        <v>8117.93</v>
      </c>
      <c r="AH39">
        <v>1343.82</v>
      </c>
      <c r="AI39">
        <v>750</v>
      </c>
      <c r="AJ39" s="1106">
        <f t="shared" si="25"/>
        <v>2093.8200000000002</v>
      </c>
      <c r="AK39" s="1122">
        <f t="shared" si="3"/>
        <v>2093.8200000000002</v>
      </c>
      <c r="AL39" s="1123">
        <f t="shared" si="32"/>
        <v>6.5944444443999997</v>
      </c>
      <c r="AM39" s="1107"/>
      <c r="AN39" s="1101"/>
      <c r="AO39" s="1101"/>
      <c r="AP39" s="102"/>
      <c r="AQ39" s="150">
        <v>32</v>
      </c>
      <c r="AR39" s="830">
        <v>47660</v>
      </c>
      <c r="AS39" s="205">
        <v>32</v>
      </c>
      <c r="AT39" s="1639">
        <v>9239.9699999999993</v>
      </c>
      <c r="AU39" s="1639">
        <v>1521.36</v>
      </c>
      <c r="AV39" s="1639">
        <v>73.239999999999995</v>
      </c>
      <c r="AW39" s="198">
        <f t="shared" si="34"/>
        <v>1594.6</v>
      </c>
      <c r="AX39" s="212">
        <f t="shared" si="4"/>
        <v>1594.6</v>
      </c>
      <c r="AY39" s="849">
        <f t="shared" si="37"/>
        <v>4.25</v>
      </c>
      <c r="AZ39" s="849" cm="1">
        <f t="array" ref="AZ39">ROUND(interpoler(mat_zc,Taux_ZC,AY39),5)</f>
        <v>3.0099999999999998E-2</v>
      </c>
      <c r="BA39" s="849">
        <f t="shared" si="33"/>
        <v>1371.4963</v>
      </c>
      <c r="BB39" s="102">
        <f t="shared" si="35"/>
        <v>3.61E-2</v>
      </c>
      <c r="BD39" s="150"/>
      <c r="BE39" s="830"/>
      <c r="BF39" s="205"/>
      <c r="BG39" s="831"/>
      <c r="BH39" s="831"/>
      <c r="BI39" s="832"/>
      <c r="BJ39" s="198"/>
      <c r="BK39" s="212"/>
      <c r="BL39" s="849"/>
      <c r="BM39" s="199"/>
      <c r="BN39" s="447"/>
      <c r="BP39" s="150"/>
      <c r="BQ39" s="830"/>
      <c r="BR39" s="205"/>
      <c r="BS39" s="831"/>
      <c r="BT39" s="831"/>
      <c r="BU39" s="832"/>
      <c r="BV39" s="198"/>
      <c r="BW39" s="212"/>
      <c r="BX39" s="849"/>
      <c r="BY39" s="199"/>
      <c r="BZ39" s="447"/>
      <c r="CB39" s="150"/>
      <c r="CC39" s="830"/>
      <c r="CD39" s="205"/>
      <c r="CE39" s="831"/>
      <c r="CF39" s="831"/>
      <c r="CG39" s="832"/>
      <c r="CH39" s="198"/>
      <c r="CI39" s="198"/>
      <c r="CJ39" s="198"/>
      <c r="CK39" s="198"/>
      <c r="CL39" s="447"/>
      <c r="CP39" s="150"/>
      <c r="CQ39" s="830"/>
      <c r="CR39" s="205"/>
      <c r="CS39" s="205"/>
      <c r="CT39" s="205"/>
      <c r="CU39" s="832"/>
      <c r="CV39" s="198"/>
      <c r="CW39" s="212"/>
      <c r="CX39" s="956"/>
      <c r="CY39" s="199"/>
      <c r="CZ39" s="447"/>
      <c r="DD39" s="150">
        <v>32</v>
      </c>
      <c r="DE39" s="830">
        <v>46826</v>
      </c>
      <c r="DF39" s="205">
        <v>32</v>
      </c>
      <c r="DG39" s="205">
        <v>100000</v>
      </c>
      <c r="DH39" s="205">
        <v>20000</v>
      </c>
      <c r="DI39" s="765">
        <v>1998.79</v>
      </c>
      <c r="DJ39" s="198">
        <f>+ROUND(DH39+DI39,4)</f>
        <v>21998.79</v>
      </c>
      <c r="DK39" s="212">
        <f>+IF($B$1&gt;=DE39,0,DJ39)</f>
        <v>21998.79</v>
      </c>
      <c r="DL39" s="957">
        <f t="shared" si="39"/>
        <v>1.9671232877</v>
      </c>
      <c r="DM39" s="199" cm="1">
        <f t="array" ref="DM39">+ROUND(IF(DL39&lt;1,interpoler($A$5:$A$24,$B$5:$B$24,(DE39-$B$1)),interpoler($C$5:$C$24,$D$5:$D$24,DL39)),5)</f>
        <v>2.665E-2</v>
      </c>
      <c r="DN39" s="447">
        <f t="shared" si="20"/>
        <v>20601.220099999999</v>
      </c>
      <c r="DP39" s="29"/>
      <c r="DQ39" s="150"/>
      <c r="DR39" s="830"/>
      <c r="DS39" s="957"/>
      <c r="DT39" s="957"/>
      <c r="DU39" s="957"/>
      <c r="DV39" s="957"/>
      <c r="DW39" s="198"/>
      <c r="DX39" s="212"/>
      <c r="DY39" s="957"/>
      <c r="DZ39" s="199"/>
      <c r="EA39" s="447"/>
    </row>
    <row r="40" spans="1:131" ht="15" x14ac:dyDescent="0.25">
      <c r="A40" s="8"/>
      <c r="B40" s="8"/>
      <c r="C40" s="8"/>
      <c r="D40" s="8"/>
      <c r="E40" s="8"/>
      <c r="F40" s="8"/>
      <c r="G40">
        <v>33</v>
      </c>
      <c r="H40" s="1152">
        <v>48662</v>
      </c>
      <c r="I40" s="1104">
        <v>33</v>
      </c>
      <c r="J40" s="1445">
        <v>43.720000000004624</v>
      </c>
      <c r="K40" s="1442">
        <v>30.45</v>
      </c>
      <c r="L40" s="1327">
        <v>388.72</v>
      </c>
      <c r="M40" s="1106"/>
      <c r="N40" s="1122"/>
      <c r="O40" s="1123"/>
      <c r="P40" s="8"/>
      <c r="Q40"/>
      <c r="R40" s="1151"/>
      <c r="S40" s="1104"/>
      <c r="T40" s="1124"/>
      <c r="U40" s="1124"/>
      <c r="V40" s="1125"/>
      <c r="W40" s="1106"/>
      <c r="X40" s="1122"/>
      <c r="Y40" s="1123"/>
      <c r="Z40" s="1107"/>
      <c r="AA40" s="1101"/>
      <c r="AB40" s="1101"/>
      <c r="AC40" s="102"/>
      <c r="AD40">
        <v>33</v>
      </c>
      <c r="AE40" s="1151">
        <v>48572</v>
      </c>
      <c r="AF40" s="1104">
        <v>33</v>
      </c>
      <c r="AG40">
        <v>6774.11</v>
      </c>
      <c r="AH40">
        <v>1177.1199999999999</v>
      </c>
      <c r="AI40">
        <v>750</v>
      </c>
      <c r="AJ40" s="1106">
        <f t="shared" si="25"/>
        <v>1927.12</v>
      </c>
      <c r="AK40" s="1122">
        <f t="shared" si="3"/>
        <v>1927.12</v>
      </c>
      <c r="AL40" s="1123">
        <f t="shared" si="32"/>
        <v>6.8472222222000001</v>
      </c>
      <c r="AM40" s="1107"/>
      <c r="AN40" s="1101"/>
      <c r="AO40" s="1101"/>
      <c r="AP40" s="102"/>
      <c r="AQ40" s="150">
        <v>33</v>
      </c>
      <c r="AR40" s="830">
        <v>47752</v>
      </c>
      <c r="AS40" s="205">
        <v>33</v>
      </c>
      <c r="AT40" s="1639">
        <v>7778.23</v>
      </c>
      <c r="AU40" s="1639">
        <v>1461.74</v>
      </c>
      <c r="AV40" s="1639">
        <v>62.88</v>
      </c>
      <c r="AW40" s="198">
        <f t="shared" si="34"/>
        <v>1524.62</v>
      </c>
      <c r="AX40" s="212">
        <f t="shared" si="4"/>
        <v>1524.62</v>
      </c>
      <c r="AY40" s="849">
        <f t="shared" si="37"/>
        <v>4.5</v>
      </c>
      <c r="AZ40" s="849" cm="1">
        <f t="array" ref="AZ40">ROUND(interpoler(mat_zc,Taux_ZC,AY40),5)</f>
        <v>3.0370000000000001E-2</v>
      </c>
      <c r="BA40" s="849">
        <f t="shared" si="33"/>
        <v>1298.2097000000001</v>
      </c>
      <c r="BB40" s="102">
        <f t="shared" si="35"/>
        <v>3.637E-2</v>
      </c>
      <c r="BD40" s="150"/>
      <c r="BE40" s="830"/>
      <c r="BF40" s="205"/>
      <c r="BG40" s="831"/>
      <c r="BH40" s="831"/>
      <c r="BI40" s="832"/>
      <c r="BJ40" s="198"/>
      <c r="BK40" s="212"/>
      <c r="BL40" s="849"/>
      <c r="BM40" s="199"/>
      <c r="BN40" s="447"/>
      <c r="BP40" s="150"/>
      <c r="BQ40" s="830"/>
      <c r="BR40" s="205"/>
      <c r="BS40" s="831"/>
      <c r="BT40" s="831"/>
      <c r="BU40" s="832"/>
      <c r="BV40" s="198"/>
      <c r="BW40" s="212"/>
      <c r="BX40" s="849"/>
      <c r="BY40" s="199"/>
      <c r="BZ40" s="447"/>
      <c r="CB40" s="150"/>
      <c r="CC40" s="830"/>
      <c r="CD40" s="205"/>
      <c r="CE40" s="831"/>
      <c r="CF40" s="831"/>
      <c r="CG40" s="832"/>
      <c r="CH40" s="198"/>
      <c r="CI40" s="212"/>
      <c r="CJ40" s="849"/>
      <c r="CK40" s="199"/>
      <c r="CL40" s="447"/>
      <c r="CP40" s="150"/>
      <c r="CQ40" s="830"/>
      <c r="CR40" s="205"/>
      <c r="CS40" s="205"/>
      <c r="CT40" s="205"/>
      <c r="CU40" s="832"/>
      <c r="CV40" s="198"/>
      <c r="CW40" s="212"/>
      <c r="CX40" s="956"/>
      <c r="CY40" s="199"/>
      <c r="CZ40" s="447"/>
      <c r="DD40" s="150">
        <v>33</v>
      </c>
      <c r="DE40" s="830">
        <v>46857</v>
      </c>
      <c r="DF40" s="205">
        <v>33</v>
      </c>
      <c r="DG40" s="205">
        <v>80000</v>
      </c>
      <c r="DH40" s="205">
        <v>20000</v>
      </c>
      <c r="DI40" s="765">
        <v>203.15</v>
      </c>
      <c r="DJ40" s="198">
        <f t="shared" si="18"/>
        <v>20203.150000000001</v>
      </c>
      <c r="DK40" s="212">
        <f t="shared" si="19"/>
        <v>20203.150000000001</v>
      </c>
      <c r="DL40" s="957">
        <f t="shared" si="39"/>
        <v>2.0520547945000001</v>
      </c>
      <c r="DM40" s="199" cm="1">
        <f t="array" ref="DM40">+ROUND(IF(DL40&lt;1,interpoler($A$5:$A$24,$B$5:$B$24,(DE40-$B$1)),interpoler($C$5:$C$24,$D$5:$D$24,DL40)),5)</f>
        <v>2.6780000000000002E-2</v>
      </c>
      <c r="DN40" s="447">
        <f t="shared" si="20"/>
        <v>18861.2484</v>
      </c>
      <c r="DP40" s="29"/>
      <c r="DQ40" s="150"/>
      <c r="DR40" s="830"/>
      <c r="DS40" s="957"/>
      <c r="DT40" s="957"/>
      <c r="DU40" s="957"/>
      <c r="DV40" s="957"/>
      <c r="DW40" s="198"/>
      <c r="DX40" s="212"/>
      <c r="DY40" s="957"/>
      <c r="DZ40" s="199"/>
      <c r="EA40" s="447"/>
    </row>
    <row r="41" spans="1:131" ht="15.75" thickBot="1" x14ac:dyDescent="0.3">
      <c r="A41" s="8"/>
      <c r="B41" s="8"/>
      <c r="C41" s="8"/>
      <c r="D41" s="8"/>
      <c r="E41" s="8"/>
      <c r="F41" s="8"/>
      <c r="G41">
        <v>34</v>
      </c>
      <c r="H41" s="1185">
        <v>48754</v>
      </c>
      <c r="I41" s="1104">
        <v>34</v>
      </c>
      <c r="J41" s="1447">
        <v>13.270000000004625</v>
      </c>
      <c r="K41" s="1444">
        <v>13.27</v>
      </c>
      <c r="L41" s="1327">
        <v>388.72</v>
      </c>
      <c r="M41" s="1106"/>
      <c r="N41" s="1122"/>
      <c r="O41" s="1123"/>
      <c r="P41" s="8"/>
      <c r="Q41"/>
      <c r="R41" s="1152"/>
      <c r="S41" s="1104"/>
      <c r="T41" s="1124"/>
      <c r="U41" s="1124"/>
      <c r="V41" s="1125"/>
      <c r="W41" s="1106"/>
      <c r="X41" s="1122"/>
      <c r="Y41" s="1123"/>
      <c r="Z41" s="1107"/>
      <c r="AA41" s="1101"/>
      <c r="AB41" s="1101"/>
      <c r="AC41" s="102"/>
      <c r="AD41">
        <v>34</v>
      </c>
      <c r="AE41" s="1152">
        <v>48662</v>
      </c>
      <c r="AF41" s="1104">
        <v>34</v>
      </c>
      <c r="AG41">
        <v>5596.99</v>
      </c>
      <c r="AH41">
        <v>1024.95</v>
      </c>
      <c r="AI41">
        <v>750</v>
      </c>
      <c r="AJ41" s="1106">
        <f t="shared" si="25"/>
        <v>1774.95</v>
      </c>
      <c r="AK41" s="1122">
        <f t="shared" si="3"/>
        <v>1774.95</v>
      </c>
      <c r="AL41" s="1123">
        <f t="shared" si="32"/>
        <v>7.0972222222000001</v>
      </c>
      <c r="AM41" s="1107"/>
      <c r="AN41" s="1101"/>
      <c r="AO41" s="1101"/>
      <c r="AP41" s="102"/>
      <c r="AQ41" s="150">
        <v>34</v>
      </c>
      <c r="AR41" s="830">
        <v>47843</v>
      </c>
      <c r="AS41" s="205">
        <v>34</v>
      </c>
      <c r="AT41" s="1639">
        <v>6395.83</v>
      </c>
      <c r="AU41" s="1639">
        <v>1382.4</v>
      </c>
      <c r="AV41" s="1639">
        <v>52.36</v>
      </c>
      <c r="AW41" s="198">
        <f t="shared" si="34"/>
        <v>1434.76</v>
      </c>
      <c r="AX41" s="212">
        <f t="shared" si="4"/>
        <v>1434.76</v>
      </c>
      <c r="AY41" s="849">
        <f t="shared" si="37"/>
        <v>4.75</v>
      </c>
      <c r="AZ41" s="849" cm="1">
        <f t="array" ref="AZ41">ROUND(interpoler(mat_zc,Taux_ZC,AY41),5)</f>
        <v>3.0640000000000001E-2</v>
      </c>
      <c r="BA41" s="849">
        <f t="shared" si="33"/>
        <v>1209.3344999999999</v>
      </c>
      <c r="BB41" s="102">
        <f t="shared" si="35"/>
        <v>3.6639999999999999E-2</v>
      </c>
      <c r="BD41" s="150"/>
      <c r="BE41" s="830"/>
      <c r="BF41" s="205"/>
      <c r="BG41" s="831"/>
      <c r="BH41" s="831"/>
      <c r="BI41" s="832"/>
      <c r="BJ41" s="198"/>
      <c r="BK41" s="212"/>
      <c r="BL41" s="849"/>
      <c r="BM41" s="199"/>
      <c r="BN41" s="447"/>
      <c r="BP41" s="150"/>
      <c r="BQ41" s="830"/>
      <c r="BR41" s="205"/>
      <c r="BS41" s="831"/>
      <c r="BT41" s="831"/>
      <c r="BU41" s="832"/>
      <c r="BV41" s="198"/>
      <c r="BW41" s="212"/>
      <c r="BX41" s="849"/>
      <c r="BY41" s="199"/>
      <c r="BZ41" s="447"/>
      <c r="CB41" s="150"/>
      <c r="CC41" s="830"/>
      <c r="CD41" s="205"/>
      <c r="CE41" s="831"/>
      <c r="CF41" s="831"/>
      <c r="CG41" s="832"/>
      <c r="CH41" s="198"/>
      <c r="CI41" s="212"/>
      <c r="CJ41" s="849"/>
      <c r="CK41" s="199"/>
      <c r="CL41" s="447"/>
      <c r="CP41" s="150"/>
      <c r="CQ41" s="830"/>
      <c r="CR41" s="205"/>
      <c r="CS41" s="205"/>
      <c r="CT41" s="205"/>
      <c r="CU41" s="832"/>
      <c r="CV41" s="198"/>
      <c r="CW41" s="212"/>
      <c r="CX41" s="956"/>
      <c r="CY41" s="199"/>
      <c r="CZ41" s="447"/>
      <c r="DD41" s="150">
        <v>34</v>
      </c>
      <c r="DE41" s="830">
        <v>46887</v>
      </c>
      <c r="DF41" s="205">
        <v>34</v>
      </c>
      <c r="DG41" s="205">
        <v>60000</v>
      </c>
      <c r="DH41" s="205">
        <v>20000</v>
      </c>
      <c r="DI41" s="765">
        <v>147.44999999999999</v>
      </c>
      <c r="DJ41" s="198">
        <f t="shared" si="18"/>
        <v>20147.45</v>
      </c>
      <c r="DK41" s="212">
        <f t="shared" si="19"/>
        <v>20147.45</v>
      </c>
      <c r="DL41" s="957">
        <f t="shared" si="39"/>
        <v>2.1342465752999997</v>
      </c>
      <c r="DM41" s="199" cm="1">
        <f t="array" ref="DM41">+ROUND(IF(DL41&lt;1,interpoler($A$5:$A$24,$B$5:$B$24,(DE41-$B$1)),interpoler($C$5:$C$24,$D$5:$D$24,DL41)),5)</f>
        <v>2.691E-2</v>
      </c>
      <c r="DN41" s="447">
        <f t="shared" si="20"/>
        <v>18752.508600000001</v>
      </c>
      <c r="DP41" s="29"/>
      <c r="DQ41" s="150"/>
      <c r="DR41" s="830"/>
      <c r="DS41" s="957"/>
      <c r="DT41" s="957"/>
      <c r="DU41" s="957"/>
      <c r="DV41" s="957"/>
      <c r="DW41" s="198"/>
      <c r="DX41" s="212"/>
      <c r="DY41" s="957"/>
      <c r="DZ41" s="199"/>
      <c r="EA41" s="447"/>
    </row>
    <row r="42" spans="1:131" x14ac:dyDescent="0.2">
      <c r="A42" s="8"/>
      <c r="B42" s="8"/>
      <c r="C42" s="8"/>
      <c r="D42" s="8"/>
      <c r="E42" s="8"/>
      <c r="F42" s="8"/>
      <c r="G42"/>
      <c r="H42" s="1151"/>
      <c r="I42" s="1104"/>
      <c r="J42" s="1623"/>
      <c r="K42" s="1124"/>
      <c r="L42" s="1125"/>
      <c r="M42" s="1106"/>
      <c r="N42" s="1122"/>
      <c r="O42" s="1123"/>
      <c r="P42" s="8"/>
      <c r="Q42"/>
      <c r="R42" s="1151"/>
      <c r="S42" s="1104"/>
      <c r="T42" s="1124"/>
      <c r="U42" s="1124"/>
      <c r="V42" s="1125"/>
      <c r="W42" s="1106"/>
      <c r="X42" s="1122"/>
      <c r="Y42" s="1123"/>
      <c r="Z42" s="1107"/>
      <c r="AA42" s="1101"/>
      <c r="AB42" s="1101"/>
      <c r="AC42" s="102"/>
      <c r="AD42">
        <v>35</v>
      </c>
      <c r="AE42" s="1151">
        <v>48754</v>
      </c>
      <c r="AF42" s="1104">
        <v>35</v>
      </c>
      <c r="AG42">
        <v>4572.04</v>
      </c>
      <c r="AH42">
        <v>885.87</v>
      </c>
      <c r="AI42">
        <v>750</v>
      </c>
      <c r="AJ42" s="1106">
        <f t="shared" si="25"/>
        <v>1635.87</v>
      </c>
      <c r="AK42" s="1122">
        <f t="shared" si="3"/>
        <v>1635.87</v>
      </c>
      <c r="AL42" s="1123">
        <f t="shared" si="32"/>
        <v>7.3527777778000001</v>
      </c>
      <c r="AM42" s="1107"/>
      <c r="AN42" s="1101"/>
      <c r="AO42" s="1101"/>
      <c r="AP42" s="102"/>
      <c r="AQ42" s="150">
        <v>35</v>
      </c>
      <c r="AR42" s="830">
        <v>47933</v>
      </c>
      <c r="AS42" s="205">
        <v>35</v>
      </c>
      <c r="AT42" s="1639">
        <v>5109.37</v>
      </c>
      <c r="AU42" s="1639">
        <v>1286.46</v>
      </c>
      <c r="AV42" s="1639">
        <v>42.58</v>
      </c>
      <c r="AW42" s="198">
        <f t="shared" si="34"/>
        <v>1329.04</v>
      </c>
      <c r="AX42" s="212">
        <f t="shared" si="4"/>
        <v>1329.04</v>
      </c>
      <c r="AY42" s="849">
        <f t="shared" si="37"/>
        <v>5</v>
      </c>
      <c r="AZ42" s="849" cm="1">
        <f t="array" ref="AZ42">ROUND(interpoler(mat_zc,Taux_ZC,AY42),5)</f>
        <v>3.091E-2</v>
      </c>
      <c r="BA42" s="849">
        <f t="shared" si="33"/>
        <v>1108.7476999999999</v>
      </c>
      <c r="BB42" s="102">
        <f t="shared" si="35"/>
        <v>3.6909999999999998E-2</v>
      </c>
      <c r="BD42" s="150"/>
      <c r="BE42" s="830"/>
      <c r="BF42" s="205"/>
      <c r="BG42" s="831"/>
      <c r="BH42" s="831"/>
      <c r="BI42" s="832"/>
      <c r="BJ42" s="198"/>
      <c r="BK42" s="212"/>
      <c r="BL42" s="849"/>
      <c r="BM42" s="199"/>
      <c r="BN42" s="447"/>
      <c r="BP42" s="150"/>
      <c r="BQ42" s="830"/>
      <c r="BR42" s="205"/>
      <c r="BS42" s="831"/>
      <c r="BT42" s="831"/>
      <c r="BU42" s="832"/>
      <c r="BV42" s="198"/>
      <c r="BW42" s="212"/>
      <c r="BX42" s="849"/>
      <c r="BY42" s="199"/>
      <c r="BZ42" s="447"/>
      <c r="CB42" s="150"/>
      <c r="CC42" s="830"/>
      <c r="CD42" s="205"/>
      <c r="CE42" s="831"/>
      <c r="CF42" s="831"/>
      <c r="CG42" s="832"/>
      <c r="CH42" s="198"/>
      <c r="CI42" s="212"/>
      <c r="CJ42" s="849"/>
      <c r="CK42" s="199"/>
      <c r="CL42" s="447"/>
      <c r="CP42" s="150"/>
      <c r="CQ42" s="830"/>
      <c r="CR42" s="205"/>
      <c r="CS42" s="205"/>
      <c r="CT42" s="205"/>
      <c r="CU42" s="832"/>
      <c r="CV42" s="198"/>
      <c r="CW42" s="212"/>
      <c r="CX42" s="956"/>
      <c r="CY42" s="199"/>
      <c r="CZ42" s="447"/>
      <c r="DD42" s="150">
        <v>35</v>
      </c>
      <c r="DE42" s="830">
        <v>46918</v>
      </c>
      <c r="DF42" s="205">
        <v>35</v>
      </c>
      <c r="DG42" s="205">
        <v>40000</v>
      </c>
      <c r="DH42" s="205">
        <v>20000</v>
      </c>
      <c r="DI42" s="765">
        <v>101.57</v>
      </c>
      <c r="DJ42" s="198">
        <f t="shared" si="18"/>
        <v>20101.57</v>
      </c>
      <c r="DK42" s="212">
        <f t="shared" si="19"/>
        <v>20101.57</v>
      </c>
      <c r="DL42" s="957">
        <f>DL30+1</f>
        <v>2.2191780822</v>
      </c>
      <c r="DM42" s="1332" cm="1">
        <f t="array" ref="DM42">+ROUND(IF(DL42&lt;1,interpoler($A$5:$A$24,$B$5:$B$24,(DE42-$B$1)),interpoler($C$5:$C$24,$D$5:$D$24,DL42)),5)</f>
        <v>2.7040000000000002E-2</v>
      </c>
      <c r="DN42" s="1333">
        <f t="shared" si="20"/>
        <v>18651.256600000001</v>
      </c>
      <c r="DO42" s="58">
        <f>DM42+DJ2</f>
        <v>3.4315999999999999E-2</v>
      </c>
      <c r="DP42" s="29"/>
      <c r="DQ42" s="150"/>
      <c r="DR42" s="830"/>
      <c r="DS42" s="957"/>
      <c r="DT42" s="957"/>
      <c r="DU42" s="957"/>
      <c r="DV42" s="957"/>
      <c r="DW42" s="198"/>
      <c r="DX42" s="212"/>
      <c r="DY42" s="957"/>
      <c r="DZ42" s="1332"/>
      <c r="EA42" s="1333"/>
    </row>
    <row r="43" spans="1:131" x14ac:dyDescent="0.2">
      <c r="A43" s="8"/>
      <c r="B43" s="8"/>
      <c r="C43" s="8"/>
      <c r="D43" s="8"/>
      <c r="E43" s="8"/>
      <c r="F43" s="8"/>
      <c r="G43"/>
      <c r="H43" s="1152"/>
      <c r="I43" s="1104"/>
      <c r="J43" s="1124"/>
      <c r="K43" s="1124"/>
      <c r="L43" s="1125"/>
      <c r="M43" s="1106"/>
      <c r="N43" s="1122"/>
      <c r="O43" s="1123"/>
      <c r="P43" s="8"/>
      <c r="Q43"/>
      <c r="R43" s="1152"/>
      <c r="S43" s="1104"/>
      <c r="T43" s="1124"/>
      <c r="U43" s="1124"/>
      <c r="V43" s="1125"/>
      <c r="W43" s="1106"/>
      <c r="X43" s="1122"/>
      <c r="Y43" s="1123"/>
      <c r="Z43" s="1107"/>
      <c r="AA43" s="1101"/>
      <c r="AB43" s="1101"/>
      <c r="AC43" s="102"/>
      <c r="AD43">
        <v>36</v>
      </c>
      <c r="AE43" s="1152">
        <v>48846</v>
      </c>
      <c r="AF43" s="1104">
        <v>36</v>
      </c>
      <c r="AG43">
        <v>3686.17</v>
      </c>
      <c r="AH43">
        <v>753.15</v>
      </c>
      <c r="AI43">
        <v>750</v>
      </c>
      <c r="AJ43" s="1106">
        <f t="shared" si="25"/>
        <v>1503.15</v>
      </c>
      <c r="AK43" s="1122">
        <f t="shared" si="3"/>
        <v>1503.15</v>
      </c>
      <c r="AL43" s="1123">
        <f t="shared" si="32"/>
        <v>7.6083333333000001</v>
      </c>
      <c r="AM43" s="1107"/>
      <c r="AN43" s="1101"/>
      <c r="AO43" s="1101"/>
      <c r="AP43" s="102"/>
      <c r="AQ43" s="150">
        <v>36</v>
      </c>
      <c r="AR43" s="830">
        <v>48025</v>
      </c>
      <c r="AS43" s="205">
        <v>36</v>
      </c>
      <c r="AT43" s="1639">
        <v>3912.13</v>
      </c>
      <c r="AU43" s="1639">
        <v>1197.24</v>
      </c>
      <c r="AV43" s="1639">
        <v>34.770000000000003</v>
      </c>
      <c r="AW43" s="198">
        <f t="shared" si="34"/>
        <v>1232.01</v>
      </c>
      <c r="AX43" s="212">
        <f t="shared" si="4"/>
        <v>1232.01</v>
      </c>
      <c r="AY43" s="849">
        <f t="shared" si="37"/>
        <v>5.25</v>
      </c>
      <c r="AZ43" s="849" cm="1">
        <f t="array" ref="AZ43">ROUND(interpoler(mat_zc,Taux_ZC,AY43),5)</f>
        <v>3.1040000000000002E-2</v>
      </c>
      <c r="BA43" s="849">
        <f t="shared" si="33"/>
        <v>1017.8595</v>
      </c>
      <c r="BB43" s="102">
        <f t="shared" si="35"/>
        <v>3.7040000000000003E-2</v>
      </c>
      <c r="BD43" s="150"/>
      <c r="BE43" s="830"/>
      <c r="BF43" s="205"/>
      <c r="BG43" s="831"/>
      <c r="BH43" s="831"/>
      <c r="BI43" s="832"/>
      <c r="BJ43" s="198"/>
      <c r="BK43" s="212"/>
      <c r="BL43" s="849"/>
      <c r="BM43" s="199"/>
      <c r="BN43" s="447"/>
      <c r="BP43" s="150"/>
      <c r="BQ43" s="830"/>
      <c r="BR43" s="205"/>
      <c r="BS43" s="831"/>
      <c r="BT43" s="831"/>
      <c r="BU43" s="832"/>
      <c r="BV43" s="198"/>
      <c r="BW43" s="212"/>
      <c r="BX43" s="849"/>
      <c r="BY43" s="199"/>
      <c r="BZ43" s="447"/>
      <c r="CB43" s="150"/>
      <c r="CC43" s="830"/>
      <c r="CD43" s="205"/>
      <c r="CE43" s="831"/>
      <c r="CF43" s="831"/>
      <c r="CG43" s="832"/>
      <c r="CH43" s="198"/>
      <c r="CI43" s="212"/>
      <c r="CJ43" s="849"/>
      <c r="CK43" s="199"/>
      <c r="CL43" s="447"/>
      <c r="CP43" s="150"/>
      <c r="CQ43" s="830"/>
      <c r="CR43" s="205"/>
      <c r="CS43" s="205"/>
      <c r="CT43" s="205"/>
      <c r="CU43" s="832"/>
      <c r="CV43" s="198"/>
      <c r="CW43" s="212"/>
      <c r="CX43" s="956"/>
      <c r="CY43" s="199"/>
      <c r="CZ43" s="447"/>
      <c r="DD43" s="150">
        <v>36</v>
      </c>
      <c r="DE43" s="830">
        <v>46948</v>
      </c>
      <c r="DF43" s="205">
        <v>36</v>
      </c>
      <c r="DG43" s="205">
        <v>20000</v>
      </c>
      <c r="DH43" s="205">
        <v>20000</v>
      </c>
      <c r="DI43" s="765">
        <v>49.15</v>
      </c>
      <c r="DJ43" s="198">
        <f t="shared" si="18"/>
        <v>20049.150000000001</v>
      </c>
      <c r="DK43" s="212">
        <f t="shared" si="19"/>
        <v>20049.150000000001</v>
      </c>
      <c r="DL43" s="957">
        <f>DL31+1</f>
        <v>2.3013698629999997</v>
      </c>
      <c r="DM43" s="199" cm="1">
        <f t="array" ref="DM43">+ROUND(IF(DL43&lt;1,interpoler($A$5:$A$24,$B$5:$B$24,(DE43-$B$1)),interpoler($C$5:$C$24,$D$5:$D$24,DL43)),5)</f>
        <v>2.717E-2</v>
      </c>
      <c r="DN43" s="447">
        <f>ROUND(DK43/(1+(ROUND(DM43+$DJ$2,5)))^DL43,4)</f>
        <v>18545.731</v>
      </c>
      <c r="DO43" s="58">
        <f>DM43+DJ2</f>
        <v>3.4445999999999997E-2</v>
      </c>
      <c r="DP43" s="29"/>
      <c r="DQ43" s="150"/>
      <c r="DR43" s="830"/>
      <c r="DS43" s="957"/>
      <c r="DT43" s="957"/>
      <c r="DU43" s="957"/>
      <c r="DV43" s="957"/>
      <c r="DW43" s="198"/>
      <c r="DX43" s="212"/>
      <c r="DY43" s="957"/>
      <c r="DZ43" s="199"/>
      <c r="EA43" s="447"/>
    </row>
    <row r="44" spans="1:131" x14ac:dyDescent="0.2">
      <c r="A44" s="8"/>
      <c r="B44" s="8"/>
      <c r="C44" s="8"/>
      <c r="D44" s="8"/>
      <c r="E44" s="8"/>
      <c r="F44" s="8"/>
      <c r="G44"/>
      <c r="H44" s="1151"/>
      <c r="I44" s="1104"/>
      <c r="J44" s="1124"/>
      <c r="K44" s="1124"/>
      <c r="L44" s="1125"/>
      <c r="M44" s="1106"/>
      <c r="N44" s="1122"/>
      <c r="O44" s="1123"/>
      <c r="P44" s="8"/>
      <c r="Q44"/>
      <c r="R44" s="1151"/>
      <c r="S44" s="1104"/>
      <c r="T44" s="1124"/>
      <c r="U44" s="1124"/>
      <c r="V44" s="1125"/>
      <c r="W44" s="1106"/>
      <c r="X44" s="1122"/>
      <c r="Y44" s="1123"/>
      <c r="Z44" s="1107"/>
      <c r="AA44" s="1101"/>
      <c r="AB44" s="1101"/>
      <c r="AC44" s="102"/>
      <c r="AD44">
        <f t="shared" ref="AD44:AD56" si="40">+IF(AK44=0,0,AD43+1)</f>
        <v>37</v>
      </c>
      <c r="AE44" s="1151">
        <v>48937</v>
      </c>
      <c r="AF44" s="1104">
        <v>37</v>
      </c>
      <c r="AG44">
        <v>2933.02</v>
      </c>
      <c r="AH44">
        <v>629.26</v>
      </c>
      <c r="AI44">
        <v>750</v>
      </c>
      <c r="AJ44" s="1106">
        <f t="shared" si="25"/>
        <v>1379.26</v>
      </c>
      <c r="AK44" s="1122">
        <f t="shared" si="3"/>
        <v>1379.26</v>
      </c>
      <c r="AL44" s="1123">
        <f t="shared" si="32"/>
        <v>7.8611111110999996</v>
      </c>
      <c r="AM44" s="1107"/>
      <c r="AN44" s="1101"/>
      <c r="AO44" s="1101"/>
      <c r="AP44" s="102"/>
      <c r="AQ44" s="150">
        <f>+IF(AX44=0,0,AQ43+1)</f>
        <v>37</v>
      </c>
      <c r="AR44" s="830">
        <v>48117</v>
      </c>
      <c r="AS44" s="205">
        <v>37</v>
      </c>
      <c r="AT44" s="1639">
        <v>2803.61</v>
      </c>
      <c r="AU44" s="1639">
        <v>1108.52</v>
      </c>
      <c r="AV44" s="1639">
        <v>26.62</v>
      </c>
      <c r="AW44" s="198">
        <f t="shared" si="34"/>
        <v>1135.1400000000001</v>
      </c>
      <c r="AX44" s="212">
        <f t="shared" si="4"/>
        <v>1135.1400000000001</v>
      </c>
      <c r="AY44" s="849">
        <f t="shared" si="37"/>
        <v>5.5</v>
      </c>
      <c r="AZ44" s="849" cm="1">
        <f t="array" ref="AZ44">ROUND(interpoler(mat_zc,Taux_ZC,AY44),5)</f>
        <v>3.117E-2</v>
      </c>
      <c r="BA44" s="849">
        <f t="shared" si="33"/>
        <v>928.69849999999997</v>
      </c>
      <c r="BB44" s="102">
        <f t="shared" si="35"/>
        <v>3.7170000000000002E-2</v>
      </c>
      <c r="BD44" s="150"/>
      <c r="BE44" s="830"/>
      <c r="BF44" s="205"/>
      <c r="BG44" s="831"/>
      <c r="BH44" s="831"/>
      <c r="BI44" s="832"/>
      <c r="BJ44" s="198"/>
      <c r="BK44" s="212"/>
      <c r="BL44" s="849"/>
      <c r="BM44" s="199"/>
      <c r="BN44" s="447"/>
      <c r="BP44" s="150"/>
      <c r="BQ44" s="830"/>
      <c r="BR44" s="205"/>
      <c r="BS44" s="831"/>
      <c r="BT44" s="831"/>
      <c r="BU44" s="832"/>
      <c r="BV44" s="198"/>
      <c r="BW44" s="212"/>
      <c r="BX44" s="849"/>
      <c r="BY44" s="199"/>
      <c r="BZ44" s="447"/>
      <c r="CB44" s="150"/>
      <c r="CC44" s="830"/>
      <c r="CD44" s="205"/>
      <c r="CE44" s="831"/>
      <c r="CF44" s="831"/>
      <c r="CG44" s="832"/>
      <c r="CH44" s="198"/>
      <c r="CI44" s="212"/>
      <c r="CJ44" s="849"/>
      <c r="CK44" s="199"/>
      <c r="CL44" s="447"/>
      <c r="CP44" s="150"/>
      <c r="CQ44" s="830"/>
      <c r="CR44" s="205"/>
      <c r="CS44" s="831"/>
      <c r="CT44" s="831"/>
      <c r="CU44" s="832"/>
      <c r="CV44" s="198"/>
      <c r="CW44" s="212"/>
      <c r="CX44" s="849"/>
      <c r="CY44" s="199"/>
      <c r="CZ44" s="447"/>
      <c r="DD44" s="150"/>
      <c r="DE44" s="830"/>
      <c r="DF44" s="205"/>
      <c r="DG44" s="831"/>
      <c r="DH44" s="831"/>
      <c r="DI44" s="832"/>
      <c r="DJ44" s="198"/>
      <c r="DK44" s="212"/>
      <c r="DL44" s="849"/>
      <c r="DM44" s="199"/>
      <c r="DN44" s="447"/>
      <c r="DQ44" s="150"/>
      <c r="DR44" s="830"/>
      <c r="DS44" s="957"/>
      <c r="DT44" s="957"/>
      <c r="DU44" s="957"/>
      <c r="DV44" s="957"/>
      <c r="DW44" s="198"/>
      <c r="DX44" s="212"/>
      <c r="DY44" s="849"/>
      <c r="DZ44" s="199"/>
      <c r="EA44" s="447"/>
    </row>
    <row r="45" spans="1:131" x14ac:dyDescent="0.2">
      <c r="A45" s="8"/>
      <c r="B45" s="8"/>
      <c r="C45" s="8"/>
      <c r="D45" s="8"/>
      <c r="E45" s="8"/>
      <c r="F45" s="8"/>
      <c r="G45"/>
      <c r="H45" s="1152"/>
      <c r="I45" s="1104"/>
      <c r="J45" s="1124"/>
      <c r="K45" s="1124"/>
      <c r="L45" s="1125"/>
      <c r="M45" s="1106"/>
      <c r="N45" s="1122"/>
      <c r="O45" s="1123"/>
      <c r="P45" s="8"/>
      <c r="Q45"/>
      <c r="R45" s="1152"/>
      <c r="S45" s="1104"/>
      <c r="T45" s="1124"/>
      <c r="U45" s="1124"/>
      <c r="V45" s="1125"/>
      <c r="W45" s="1106"/>
      <c r="X45" s="1122"/>
      <c r="Y45" s="1123"/>
      <c r="Z45" s="1107"/>
      <c r="AA45" s="1101"/>
      <c r="AB45" s="1101"/>
      <c r="AC45" s="102"/>
      <c r="AD45">
        <f t="shared" si="40"/>
        <v>38</v>
      </c>
      <c r="AE45" s="1152">
        <v>49027</v>
      </c>
      <c r="AF45" s="1104">
        <v>38</v>
      </c>
      <c r="AG45">
        <v>2303.7600000000002</v>
      </c>
      <c r="AH45">
        <v>515.95000000000005</v>
      </c>
      <c r="AI45">
        <v>750</v>
      </c>
      <c r="AJ45" s="1106">
        <f t="shared" si="25"/>
        <v>1265.95</v>
      </c>
      <c r="AK45" s="1122">
        <f t="shared" si="3"/>
        <v>1265.95</v>
      </c>
      <c r="AL45" s="1123">
        <f t="shared" si="32"/>
        <v>8.1111111110999996</v>
      </c>
      <c r="AM45" s="1107"/>
      <c r="AN45" s="1101"/>
      <c r="AO45" s="1101"/>
      <c r="AP45" s="102"/>
      <c r="AQ45" s="150">
        <f>+IF(AX45=0,0,AQ44+1)</f>
        <v>38</v>
      </c>
      <c r="AR45" s="830">
        <v>48208</v>
      </c>
      <c r="AS45" s="205">
        <v>38</v>
      </c>
      <c r="AT45" s="1639">
        <v>1799.67</v>
      </c>
      <c r="AU45" s="1639">
        <v>1003.94</v>
      </c>
      <c r="AV45" s="1639">
        <v>18.87</v>
      </c>
      <c r="AW45" s="198">
        <f t="shared" si="34"/>
        <v>1022.81</v>
      </c>
      <c r="AX45" s="212">
        <f t="shared" si="4"/>
        <v>1022.81</v>
      </c>
      <c r="AY45" s="849">
        <f t="shared" si="37"/>
        <v>5.75</v>
      </c>
      <c r="AZ45" s="849" cm="1">
        <f t="array" ref="AZ45">ROUND(interpoler(mat_zc,Taux_ZC,AY45),5)</f>
        <v>3.1300000000000001E-2</v>
      </c>
      <c r="BA45" s="849">
        <f t="shared" si="33"/>
        <v>828.59969999999998</v>
      </c>
      <c r="BB45" s="102">
        <f t="shared" si="35"/>
        <v>3.73E-2</v>
      </c>
      <c r="BD45" s="150"/>
      <c r="BE45" s="830"/>
      <c r="BF45" s="205"/>
      <c r="BG45" s="831"/>
      <c r="BH45" s="831"/>
      <c r="BI45" s="832"/>
      <c r="BJ45" s="198"/>
      <c r="BK45" s="212"/>
      <c r="BL45" s="849"/>
      <c r="BM45" s="199"/>
      <c r="BN45" s="447"/>
      <c r="BP45" s="150"/>
      <c r="BQ45" s="830"/>
      <c r="BR45" s="205"/>
      <c r="BS45" s="831"/>
      <c r="BT45" s="831"/>
      <c r="BU45" s="832"/>
      <c r="BV45" s="198"/>
      <c r="BW45" s="212"/>
      <c r="BX45" s="849"/>
      <c r="BY45" s="199"/>
      <c r="BZ45" s="447"/>
      <c r="CB45" s="150"/>
      <c r="CC45" s="830"/>
      <c r="CD45" s="205"/>
      <c r="CE45" s="831"/>
      <c r="CF45" s="831"/>
      <c r="CG45" s="832"/>
      <c r="CH45" s="198"/>
      <c r="CI45" s="212"/>
      <c r="CJ45" s="849"/>
      <c r="CK45" s="199"/>
      <c r="CL45" s="447"/>
      <c r="CP45" s="150"/>
      <c r="CQ45" s="830"/>
      <c r="CR45" s="205"/>
      <c r="CS45" s="831"/>
      <c r="CT45" s="831"/>
      <c r="CU45" s="832"/>
      <c r="CV45" s="198"/>
      <c r="CW45" s="212"/>
      <c r="CX45" s="849"/>
      <c r="CY45" s="199"/>
      <c r="CZ45" s="447"/>
      <c r="DD45" s="150"/>
      <c r="DE45" s="830"/>
      <c r="DF45" s="205"/>
      <c r="DG45" s="831"/>
      <c r="DH45" s="831"/>
      <c r="DI45" s="832"/>
      <c r="DJ45" s="198"/>
      <c r="DK45" s="212"/>
      <c r="DL45" s="849"/>
      <c r="DM45" s="199"/>
      <c r="DN45" s="447"/>
      <c r="DQ45" s="150"/>
      <c r="DR45" s="830"/>
      <c r="DS45" s="957"/>
      <c r="DT45" s="957"/>
      <c r="DU45" s="957"/>
      <c r="DV45" s="957"/>
      <c r="DW45" s="198"/>
      <c r="DX45" s="212"/>
      <c r="DY45" s="849"/>
      <c r="DZ45" s="199"/>
      <c r="EA45" s="447"/>
    </row>
    <row r="46" spans="1:131" x14ac:dyDescent="0.2">
      <c r="A46" s="8"/>
      <c r="B46" s="8"/>
      <c r="C46" s="8"/>
      <c r="D46" s="8"/>
      <c r="E46" s="8"/>
      <c r="F46" s="8"/>
      <c r="G46"/>
      <c r="H46" s="1151"/>
      <c r="I46" s="1104"/>
      <c r="J46" s="1124"/>
      <c r="K46" s="1124"/>
      <c r="L46" s="1125"/>
      <c r="M46" s="1106"/>
      <c r="N46" s="1122"/>
      <c r="O46" s="1123"/>
      <c r="P46" s="8"/>
      <c r="Q46"/>
      <c r="R46" s="1151"/>
      <c r="S46" s="1104"/>
      <c r="T46" s="1124"/>
      <c r="U46" s="1124"/>
      <c r="V46" s="1125"/>
      <c r="W46" s="1106"/>
      <c r="X46" s="1122"/>
      <c r="Y46" s="1123"/>
      <c r="Z46" s="1107"/>
      <c r="AA46" s="1101"/>
      <c r="AB46" s="1101"/>
      <c r="AC46" s="102"/>
      <c r="AD46">
        <f t="shared" si="40"/>
        <v>39</v>
      </c>
      <c r="AE46" s="1151">
        <v>49119</v>
      </c>
      <c r="AF46" s="1104">
        <v>39</v>
      </c>
      <c r="AG46">
        <v>1787.81</v>
      </c>
      <c r="AH46">
        <v>417.43</v>
      </c>
      <c r="AI46">
        <v>750</v>
      </c>
      <c r="AJ46" s="1106">
        <f t="shared" si="25"/>
        <v>1167.43</v>
      </c>
      <c r="AK46" s="1122">
        <f t="shared" si="3"/>
        <v>1167.43</v>
      </c>
      <c r="AL46" s="1123">
        <f t="shared" si="32"/>
        <v>8.3666666667000005</v>
      </c>
      <c r="AM46" s="1107"/>
      <c r="AN46" s="1101"/>
      <c r="AO46" s="1101"/>
      <c r="AP46" s="102"/>
      <c r="AQ46" s="150">
        <f>+IF(AX46=0,0,AQ45+1)</f>
        <v>39</v>
      </c>
      <c r="AR46" s="830">
        <v>48299</v>
      </c>
      <c r="AS46" s="205">
        <v>39</v>
      </c>
      <c r="AT46" s="1639">
        <v>887.39</v>
      </c>
      <c r="AU46" s="1639">
        <v>912.28</v>
      </c>
      <c r="AV46" s="1639">
        <v>12.08</v>
      </c>
      <c r="AW46" s="198">
        <f t="shared" si="34"/>
        <v>924.36</v>
      </c>
      <c r="AX46" s="212">
        <f t="shared" si="4"/>
        <v>924.36</v>
      </c>
      <c r="AY46" s="849">
        <f t="shared" si="37"/>
        <v>6</v>
      </c>
      <c r="AZ46" s="849" cm="1">
        <f t="array" ref="AZ46">ROUND(interpoler(mat_zc,Taux_ZC,AY46),5)</f>
        <v>3.143E-2</v>
      </c>
      <c r="BA46" s="849">
        <f t="shared" si="33"/>
        <v>741.46100000000001</v>
      </c>
      <c r="BB46" s="102">
        <f t="shared" si="35"/>
        <v>3.7429999999999998E-2</v>
      </c>
      <c r="BD46" s="150"/>
      <c r="BE46" s="830"/>
      <c r="BF46" s="205"/>
      <c r="BG46" s="831"/>
      <c r="BH46" s="831"/>
      <c r="BI46" s="832"/>
      <c r="BJ46" s="198"/>
      <c r="BK46" s="212"/>
      <c r="BL46" s="849"/>
      <c r="BM46" s="199"/>
      <c r="BN46" s="447"/>
      <c r="BP46" s="150"/>
      <c r="BQ46" s="830"/>
      <c r="BR46" s="205"/>
      <c r="BS46" s="831"/>
      <c r="BT46" s="831"/>
      <c r="BU46" s="832"/>
      <c r="BV46" s="198"/>
      <c r="BW46" s="212"/>
      <c r="BX46" s="849"/>
      <c r="BY46" s="199"/>
      <c r="BZ46" s="447"/>
      <c r="CB46" s="150"/>
      <c r="CC46" s="830"/>
      <c r="CD46" s="205"/>
      <c r="CE46" s="831"/>
      <c r="CF46" s="831"/>
      <c r="CG46" s="832"/>
      <c r="CH46" s="198"/>
      <c r="CI46" s="212"/>
      <c r="CJ46" s="849"/>
      <c r="CK46" s="199"/>
      <c r="CL46" s="447"/>
      <c r="CP46" s="150"/>
      <c r="CQ46" s="830"/>
      <c r="CR46" s="205"/>
      <c r="CS46" s="831"/>
      <c r="CT46" s="831"/>
      <c r="CU46" s="832"/>
      <c r="CV46" s="198"/>
      <c r="CW46" s="212"/>
      <c r="CX46" s="849"/>
      <c r="CY46" s="199"/>
      <c r="CZ46" s="447"/>
      <c r="DD46" s="150"/>
      <c r="DE46" s="830"/>
      <c r="DF46" s="205"/>
      <c r="DG46" s="831"/>
      <c r="DH46" s="831"/>
      <c r="DI46" s="832"/>
      <c r="DJ46" s="198"/>
      <c r="DK46" s="212"/>
      <c r="DL46" s="849"/>
      <c r="DM46" s="199" t="e" cm="1">
        <f t="array" ref="DM46">interpoler($A$5:$A$24,$B$5:$B$24,(DE42-$B$1))</f>
        <v>#VALUE!</v>
      </c>
      <c r="DN46" s="447"/>
      <c r="DQ46" s="150"/>
      <c r="DR46" s="830"/>
      <c r="DS46" s="957"/>
      <c r="DT46" s="957"/>
      <c r="DU46" s="957"/>
      <c r="DV46" s="957"/>
      <c r="DW46" s="198"/>
      <c r="DX46" s="212"/>
      <c r="DY46" s="849"/>
      <c r="DZ46" s="199" cm="1">
        <f t="array" ref="DZ46">interpoler($A$5:$A$24,$B$5:$B$24,(DR42-$B$1))</f>
        <v>2.3281430422376737E-2</v>
      </c>
      <c r="EA46" s="447"/>
    </row>
    <row r="47" spans="1:131" x14ac:dyDescent="0.2">
      <c r="A47" s="8"/>
      <c r="B47" s="8"/>
      <c r="C47" s="8"/>
      <c r="D47" s="8"/>
      <c r="E47" s="8"/>
      <c r="F47" s="8"/>
      <c r="G47"/>
      <c r="H47" s="1151"/>
      <c r="I47" s="1104"/>
      <c r="J47" s="1124"/>
      <c r="K47" s="1124"/>
      <c r="L47" s="1125"/>
      <c r="M47" s="1106"/>
      <c r="N47" s="1122"/>
      <c r="O47" s="1123"/>
      <c r="P47" s="8"/>
      <c r="Q47"/>
      <c r="R47" s="1151"/>
      <c r="S47" s="1104"/>
      <c r="T47" s="1124"/>
      <c r="U47" s="1124"/>
      <c r="V47" s="1125"/>
      <c r="W47" s="1106"/>
      <c r="X47" s="1122"/>
      <c r="Y47" s="1123"/>
      <c r="Z47" s="1107"/>
      <c r="AA47" s="1101"/>
      <c r="AB47" s="1101"/>
      <c r="AC47" s="102"/>
      <c r="AD47">
        <f t="shared" si="40"/>
        <v>40</v>
      </c>
      <c r="AE47" s="1151">
        <v>49211</v>
      </c>
      <c r="AF47" s="1104">
        <v>40</v>
      </c>
      <c r="AG47">
        <v>1370.38</v>
      </c>
      <c r="AH47">
        <v>328.39</v>
      </c>
      <c r="AI47">
        <v>750</v>
      </c>
      <c r="AJ47" s="1106">
        <f t="shared" si="25"/>
        <v>1078.3900000000001</v>
      </c>
      <c r="AK47" s="1122">
        <f t="shared" si="3"/>
        <v>1078.3900000000001</v>
      </c>
      <c r="AL47" s="1123">
        <f t="shared" si="32"/>
        <v>8.6222222221999996</v>
      </c>
      <c r="AM47" s="1107"/>
      <c r="AN47" s="1101"/>
      <c r="AO47" s="1101"/>
      <c r="AP47" s="102"/>
      <c r="AQ47" s="150">
        <f>+IF(AX47=0,0,AQ46+1)</f>
        <v>40</v>
      </c>
      <c r="AR47" s="830">
        <v>48393</v>
      </c>
      <c r="AS47" s="205">
        <v>40</v>
      </c>
      <c r="AT47" s="1639">
        <v>53.96</v>
      </c>
      <c r="AU47" s="1639">
        <v>833.43</v>
      </c>
      <c r="AV47" s="1639">
        <v>6.15</v>
      </c>
      <c r="AW47" s="198">
        <f t="shared" si="34"/>
        <v>839.58</v>
      </c>
      <c r="AX47" s="212">
        <f t="shared" si="4"/>
        <v>839.58</v>
      </c>
      <c r="AY47" s="849">
        <f t="shared" si="37"/>
        <v>6.25</v>
      </c>
      <c r="AZ47" s="849" cm="1">
        <f t="array" ref="AZ47">ROUND(interpoler(mat_zc,Taux_ZC,AY47),5)</f>
        <v>3.1559999999999998E-2</v>
      </c>
      <c r="BA47" s="849">
        <f t="shared" si="33"/>
        <v>666.77520000000004</v>
      </c>
      <c r="BB47" s="102">
        <f t="shared" si="35"/>
        <v>3.7559999999999996E-2</v>
      </c>
      <c r="BD47" s="150"/>
      <c r="BE47" s="830"/>
      <c r="BF47" s="205"/>
      <c r="BG47" s="831"/>
      <c r="BH47" s="831"/>
      <c r="BI47" s="832"/>
      <c r="BJ47" s="198"/>
      <c r="BK47" s="212"/>
      <c r="BL47" s="849"/>
      <c r="BM47" s="199"/>
      <c r="BN47" s="447"/>
      <c r="BP47" s="150"/>
      <c r="BQ47" s="830"/>
      <c r="BR47" s="205"/>
      <c r="BS47" s="831"/>
      <c r="BT47" s="831"/>
      <c r="BU47" s="832"/>
      <c r="BV47" s="198"/>
      <c r="BW47" s="212"/>
      <c r="BX47" s="849"/>
      <c r="BY47" s="199"/>
      <c r="BZ47" s="447"/>
      <c r="CB47" s="150"/>
      <c r="CC47" s="830"/>
      <c r="CD47" s="205"/>
      <c r="CE47" s="831"/>
      <c r="CF47" s="831"/>
      <c r="CG47" s="832"/>
      <c r="CH47" s="198"/>
      <c r="CI47" s="212"/>
      <c r="CJ47" s="849"/>
      <c r="CK47" s="199"/>
      <c r="CL47" s="447"/>
      <c r="CP47" s="150"/>
      <c r="CQ47" s="830"/>
      <c r="CR47" s="205"/>
      <c r="CS47" s="831"/>
      <c r="CT47" s="831"/>
      <c r="CU47" s="832"/>
      <c r="CV47" s="198"/>
      <c r="CW47" s="212"/>
      <c r="CX47" s="849"/>
      <c r="CY47" s="199"/>
      <c r="CZ47" s="447"/>
      <c r="DD47" s="150"/>
      <c r="DE47" s="830"/>
      <c r="DF47" s="205"/>
      <c r="DG47" s="831"/>
      <c r="DH47" s="831"/>
      <c r="DI47" s="832"/>
      <c r="DJ47" s="198"/>
      <c r="DK47" s="212"/>
      <c r="DL47" s="849"/>
      <c r="DM47" s="199" cm="1">
        <f t="array" ref="DM47">interpoler($C$5:$C$24,$D$5:$D$24,DL42)</f>
        <v>2.7042996894932243E-2</v>
      </c>
      <c r="DN47" s="447"/>
      <c r="DQ47" s="150"/>
      <c r="DR47" s="830"/>
      <c r="DS47" s="957"/>
      <c r="DT47" s="957"/>
      <c r="DU47" s="957"/>
      <c r="DV47" s="957"/>
      <c r="DW47" s="198"/>
      <c r="DX47" s="212"/>
      <c r="DY47" s="849"/>
      <c r="DZ47" s="199" cm="1">
        <f t="array" ref="DZ47">interpoler($C$5:$C$24,$D$5:$D$24,DY42)</f>
        <v>2.5139999999999999E-2</v>
      </c>
      <c r="EA47" s="447"/>
    </row>
    <row r="48" spans="1:131" x14ac:dyDescent="0.2">
      <c r="A48" s="8"/>
      <c r="B48" s="8"/>
      <c r="C48" s="8"/>
      <c r="D48" s="8"/>
      <c r="E48" s="8"/>
      <c r="F48" s="8"/>
      <c r="G48"/>
      <c r="H48" s="1152"/>
      <c r="I48" s="1104"/>
      <c r="J48" s="1124"/>
      <c r="K48" s="1124"/>
      <c r="L48" s="1125"/>
      <c r="M48" s="1106"/>
      <c r="N48" s="1122"/>
      <c r="O48" s="1123"/>
      <c r="P48" s="8"/>
      <c r="Q48"/>
      <c r="R48" s="1152"/>
      <c r="S48" s="1104"/>
      <c r="T48" s="1124"/>
      <c r="U48" s="1124"/>
      <c r="V48" s="1125"/>
      <c r="W48" s="1106"/>
      <c r="X48" s="1122"/>
      <c r="Y48" s="1123"/>
      <c r="Z48" s="1107"/>
      <c r="AA48" s="1101"/>
      <c r="AB48" s="1101"/>
      <c r="AC48" s="102"/>
      <c r="AD48">
        <f t="shared" si="40"/>
        <v>41</v>
      </c>
      <c r="AE48" s="1152">
        <v>49302</v>
      </c>
      <c r="AF48" s="1104">
        <v>41</v>
      </c>
      <c r="AG48">
        <v>1041.99</v>
      </c>
      <c r="AH48">
        <v>266.77</v>
      </c>
      <c r="AI48">
        <v>750</v>
      </c>
      <c r="AJ48" s="1106">
        <f t="shared" si="25"/>
        <v>1016.77</v>
      </c>
      <c r="AK48" s="1122">
        <f t="shared" si="3"/>
        <v>1016.77</v>
      </c>
      <c r="AL48" s="1123">
        <f t="shared" si="32"/>
        <v>8.875</v>
      </c>
      <c r="AM48" s="1107"/>
      <c r="AN48" s="1101"/>
      <c r="AO48" s="1101"/>
      <c r="AP48" s="102"/>
      <c r="AQ48" s="150">
        <f>+IF(AX48=0,0,AQ47+1)</f>
        <v>41</v>
      </c>
      <c r="AR48" s="830">
        <v>48484</v>
      </c>
      <c r="AS48" s="205">
        <v>41</v>
      </c>
      <c r="AT48" s="159">
        <v>0</v>
      </c>
      <c r="AU48" s="1639">
        <v>53.96</v>
      </c>
      <c r="AV48" s="1639">
        <v>0.36</v>
      </c>
      <c r="AW48" s="198">
        <f t="shared" si="34"/>
        <v>54.32</v>
      </c>
      <c r="AX48" s="212">
        <f t="shared" si="4"/>
        <v>54.32</v>
      </c>
      <c r="AY48" s="849">
        <f>ROUND(AY47+0.25,3)</f>
        <v>6.5</v>
      </c>
      <c r="AZ48" s="849" cm="1">
        <f t="array" ref="AZ48">ROUND(interpoler(mat_zc,Taux_ZC,AY48),5)</f>
        <v>3.1690000000000003E-2</v>
      </c>
      <c r="BA48" s="849">
        <f t="shared" si="33"/>
        <v>42.709099999999999</v>
      </c>
      <c r="BB48" s="102">
        <f t="shared" si="35"/>
        <v>3.7690000000000001E-2</v>
      </c>
      <c r="BD48" s="150"/>
      <c r="BE48" s="830"/>
      <c r="BF48" s="205"/>
      <c r="BG48" s="831"/>
      <c r="BH48" s="831"/>
      <c r="BI48" s="832"/>
      <c r="BJ48" s="198"/>
      <c r="BK48" s="212"/>
      <c r="BL48" s="849"/>
      <c r="BM48" s="199"/>
      <c r="BN48" s="447"/>
      <c r="BP48" s="150"/>
      <c r="BQ48" s="830"/>
      <c r="BR48" s="205"/>
      <c r="BS48" s="831"/>
      <c r="BT48" s="831"/>
      <c r="BU48" s="832"/>
      <c r="BV48" s="198"/>
      <c r="BW48" s="212"/>
      <c r="BX48" s="849"/>
      <c r="BY48" s="199"/>
      <c r="BZ48" s="447"/>
      <c r="CB48" s="150"/>
      <c r="CC48" s="830"/>
      <c r="CD48" s="205"/>
      <c r="CE48" s="831"/>
      <c r="CF48" s="831"/>
      <c r="CG48" s="832"/>
      <c r="CH48" s="198"/>
      <c r="CI48" s="212"/>
      <c r="CJ48" s="849"/>
      <c r="CK48" s="199"/>
      <c r="CL48" s="447"/>
      <c r="CP48" s="150"/>
      <c r="CQ48" s="830"/>
      <c r="CR48" s="205"/>
      <c r="CS48" s="831"/>
      <c r="CT48" s="831"/>
      <c r="CU48" s="832"/>
      <c r="CV48" s="198"/>
      <c r="CW48" s="212"/>
      <c r="CX48" s="849"/>
      <c r="CY48" s="199"/>
      <c r="CZ48" s="447"/>
      <c r="DD48" s="150"/>
      <c r="DE48" s="830"/>
      <c r="DF48" s="205"/>
      <c r="DG48" s="831"/>
      <c r="DH48" s="831"/>
      <c r="DI48" s="832"/>
      <c r="DJ48" s="198"/>
      <c r="DK48" s="212"/>
      <c r="DL48" s="849"/>
      <c r="DM48" s="1334">
        <f>DE42-$B$1</f>
        <v>811</v>
      </c>
      <c r="DN48" s="447"/>
      <c r="DQ48" s="150"/>
      <c r="DR48" s="830"/>
      <c r="DS48" s="957"/>
      <c r="DT48" s="957"/>
      <c r="DU48" s="957"/>
      <c r="DV48" s="957"/>
      <c r="DW48" s="198"/>
      <c r="DX48" s="212"/>
      <c r="DY48" s="849"/>
      <c r="DZ48" s="1334">
        <f>DR42-$B$1</f>
        <v>-46107</v>
      </c>
      <c r="EA48" s="447"/>
    </row>
    <row r="49" spans="1:131" x14ac:dyDescent="0.2">
      <c r="A49" s="8"/>
      <c r="B49" s="8"/>
      <c r="C49" s="8"/>
      <c r="D49" s="8"/>
      <c r="E49" s="8"/>
      <c r="F49" s="8"/>
      <c r="G49"/>
      <c r="H49" s="1151"/>
      <c r="I49" s="1104"/>
      <c r="J49" s="1124"/>
      <c r="K49" s="1124"/>
      <c r="L49" s="1125"/>
      <c r="M49" s="1106"/>
      <c r="N49" s="1122"/>
      <c r="O49" s="1123"/>
      <c r="P49" s="8"/>
      <c r="Q49"/>
      <c r="R49" s="1151"/>
      <c r="S49" s="1104"/>
      <c r="T49" s="1124"/>
      <c r="U49" s="1124"/>
      <c r="V49" s="1125"/>
      <c r="W49" s="1106"/>
      <c r="X49" s="1122"/>
      <c r="Y49" s="1123"/>
      <c r="Z49" s="1107"/>
      <c r="AA49" s="1101"/>
      <c r="AB49" s="1101"/>
      <c r="AC49" s="102"/>
      <c r="AD49">
        <f t="shared" si="40"/>
        <v>42</v>
      </c>
      <c r="AE49" s="1151">
        <v>49392</v>
      </c>
      <c r="AF49" s="1104">
        <v>42</v>
      </c>
      <c r="AG49">
        <v>775.22</v>
      </c>
      <c r="AH49">
        <v>214.08</v>
      </c>
      <c r="AI49">
        <v>750</v>
      </c>
      <c r="AJ49" s="1106">
        <f t="shared" si="25"/>
        <v>964.08</v>
      </c>
      <c r="AK49" s="1122">
        <f t="shared" si="3"/>
        <v>964.08</v>
      </c>
      <c r="AL49" s="1123">
        <f t="shared" si="32"/>
        <v>9.125</v>
      </c>
      <c r="AM49" s="1107"/>
      <c r="AN49" s="1101"/>
      <c r="AO49" s="1101"/>
      <c r="AP49" s="102"/>
      <c r="AQ49" s="150"/>
      <c r="AR49" s="830"/>
      <c r="AS49" s="205"/>
      <c r="AT49" s="205"/>
      <c r="AU49" s="205"/>
      <c r="AV49" s="765"/>
      <c r="AW49" s="198"/>
      <c r="AX49" s="212"/>
      <c r="AY49" s="849"/>
      <c r="AZ49" s="849"/>
      <c r="BA49" s="849"/>
      <c r="BB49" s="102"/>
      <c r="BD49" s="150"/>
      <c r="BE49" s="830"/>
      <c r="BF49" s="205"/>
      <c r="BG49" s="831"/>
      <c r="BH49" s="831"/>
      <c r="BI49" s="832"/>
      <c r="BJ49" s="198"/>
      <c r="BK49" s="212"/>
      <c r="BL49" s="849"/>
      <c r="BM49" s="199"/>
      <c r="BN49" s="447"/>
      <c r="BP49" s="150"/>
      <c r="BQ49" s="830"/>
      <c r="BR49" s="205"/>
      <c r="BS49" s="831"/>
      <c r="BT49" s="831"/>
      <c r="BU49" s="832"/>
      <c r="BV49" s="198"/>
      <c r="BW49" s="212"/>
      <c r="BX49" s="849"/>
      <c r="BY49" s="199"/>
      <c r="BZ49" s="447"/>
      <c r="CB49" s="150"/>
      <c r="CC49" s="830"/>
      <c r="CD49" s="205"/>
      <c r="CE49" s="831"/>
      <c r="CF49" s="831"/>
      <c r="CG49" s="832"/>
      <c r="CH49" s="198"/>
      <c r="CI49" s="212"/>
      <c r="CJ49" s="849"/>
      <c r="CK49" s="199"/>
      <c r="CL49" s="447"/>
      <c r="CP49" s="150"/>
      <c r="CQ49" s="830"/>
      <c r="CR49" s="205"/>
      <c r="CS49" s="831"/>
      <c r="CT49" s="831"/>
      <c r="CU49" s="832"/>
      <c r="CV49" s="198"/>
      <c r="CW49" s="212"/>
      <c r="CX49" s="849"/>
      <c r="CY49" s="199"/>
      <c r="CZ49" s="447"/>
      <c r="DD49" s="150"/>
      <c r="DE49" s="830"/>
      <c r="DF49" s="205"/>
      <c r="DG49" s="831"/>
      <c r="DH49" s="831"/>
      <c r="DI49" s="832"/>
      <c r="DJ49" s="198"/>
      <c r="DK49" s="212"/>
      <c r="DL49" s="849"/>
      <c r="DM49" s="199"/>
      <c r="DN49" s="447"/>
      <c r="DQ49" s="150"/>
      <c r="DR49" s="830"/>
      <c r="DS49" s="957"/>
      <c r="DT49" s="957"/>
      <c r="DU49" s="957"/>
      <c r="DV49" s="957"/>
      <c r="DW49" s="198"/>
      <c r="DX49" s="212"/>
      <c r="DY49" s="849"/>
      <c r="DZ49" s="199"/>
      <c r="EA49" s="447"/>
    </row>
    <row r="50" spans="1:131" x14ac:dyDescent="0.2">
      <c r="A50" s="8"/>
      <c r="B50" s="8"/>
      <c r="C50" s="8"/>
      <c r="D50" s="8"/>
      <c r="E50" s="8"/>
      <c r="F50" s="8"/>
      <c r="G50"/>
      <c r="H50" s="1151"/>
      <c r="I50" s="1104"/>
      <c r="J50" s="1124"/>
      <c r="K50" s="1124"/>
      <c r="L50" s="1125"/>
      <c r="M50" s="1106"/>
      <c r="N50" s="1122"/>
      <c r="O50" s="1123"/>
      <c r="P50" s="8"/>
      <c r="Q50"/>
      <c r="R50" s="1151"/>
      <c r="S50" s="1104"/>
      <c r="T50" s="1124"/>
      <c r="U50" s="1124"/>
      <c r="V50" s="1125"/>
      <c r="W50" s="1106"/>
      <c r="X50" s="1122"/>
      <c r="Y50" s="1123"/>
      <c r="Z50" s="1107"/>
      <c r="AA50" s="1101"/>
      <c r="AB50" s="1101"/>
      <c r="AC50" s="102"/>
      <c r="AD50">
        <f t="shared" si="40"/>
        <v>43</v>
      </c>
      <c r="AE50" s="1151">
        <v>49484</v>
      </c>
      <c r="AF50" s="1104">
        <v>43</v>
      </c>
      <c r="AG50">
        <v>561.14</v>
      </c>
      <c r="AH50">
        <v>168.93</v>
      </c>
      <c r="AI50">
        <v>750</v>
      </c>
      <c r="AJ50" s="1106">
        <f t="shared" si="25"/>
        <v>918.93</v>
      </c>
      <c r="AK50" s="1122">
        <f t="shared" si="3"/>
        <v>918.93</v>
      </c>
      <c r="AL50" s="1123">
        <f t="shared" si="32"/>
        <v>9.3805555556000009</v>
      </c>
      <c r="AM50" s="1107"/>
      <c r="AN50" s="1101"/>
      <c r="AO50" s="1101"/>
      <c r="AP50" s="102"/>
      <c r="AQ50" s="150"/>
      <c r="AR50" s="830"/>
      <c r="AS50" s="205"/>
      <c r="AT50" s="205"/>
      <c r="AU50" s="205"/>
      <c r="AV50" s="765"/>
      <c r="AW50" s="198"/>
      <c r="AX50" s="212"/>
      <c r="AY50" s="849"/>
      <c r="AZ50" s="849"/>
      <c r="BA50" s="849"/>
      <c r="BB50" s="102"/>
      <c r="BD50" s="150"/>
      <c r="BE50" s="830"/>
      <c r="BF50" s="205"/>
      <c r="BG50" s="831"/>
      <c r="BH50" s="831"/>
      <c r="BI50" s="832"/>
      <c r="BJ50" s="198"/>
      <c r="BK50" s="212"/>
      <c r="BL50" s="849"/>
      <c r="BM50" s="199"/>
      <c r="BN50" s="447"/>
      <c r="BP50" s="150"/>
      <c r="BQ50" s="830"/>
      <c r="BR50" s="205"/>
      <c r="BS50" s="831"/>
      <c r="BT50" s="831"/>
      <c r="BU50" s="832"/>
      <c r="BV50" s="198"/>
      <c r="BW50" s="212"/>
      <c r="BX50" s="849"/>
      <c r="BY50" s="199"/>
      <c r="BZ50" s="447"/>
      <c r="CB50" s="150"/>
      <c r="CC50" s="830"/>
      <c r="CD50" s="205"/>
      <c r="CE50" s="831"/>
      <c r="CF50" s="831"/>
      <c r="CG50" s="832"/>
      <c r="CH50" s="198"/>
      <c r="CI50" s="212"/>
      <c r="CJ50" s="849"/>
      <c r="CK50" s="199"/>
      <c r="CL50" s="447"/>
      <c r="CP50" s="150"/>
      <c r="CQ50" s="830"/>
      <c r="CR50" s="205"/>
      <c r="CS50" s="831"/>
      <c r="CT50" s="831"/>
      <c r="CU50" s="832"/>
      <c r="CV50" s="198"/>
      <c r="CW50" s="212"/>
      <c r="CX50" s="849"/>
      <c r="CY50" s="199"/>
      <c r="CZ50" s="447"/>
      <c r="DD50" s="150"/>
      <c r="DE50" s="830"/>
      <c r="DF50" s="205"/>
      <c r="DG50" s="831"/>
      <c r="DH50" s="831"/>
      <c r="DI50" s="832"/>
      <c r="DJ50" s="198"/>
      <c r="DK50" s="212"/>
      <c r="DL50" s="849"/>
      <c r="DM50" s="199"/>
      <c r="DN50" s="447"/>
      <c r="DQ50" s="150"/>
      <c r="DR50" s="830"/>
      <c r="DS50" s="957"/>
      <c r="DT50" s="957"/>
      <c r="DU50" s="957"/>
      <c r="DV50" s="957"/>
      <c r="DW50" s="198"/>
      <c r="DX50" s="212"/>
      <c r="DY50" s="849"/>
      <c r="DZ50" s="199"/>
      <c r="EA50" s="447"/>
    </row>
    <row r="51" spans="1:131" x14ac:dyDescent="0.2">
      <c r="A51" s="8"/>
      <c r="B51" s="8"/>
      <c r="C51" s="8"/>
      <c r="D51" s="8"/>
      <c r="E51" s="8"/>
      <c r="F51" s="8"/>
      <c r="G51"/>
      <c r="H51" s="1152"/>
      <c r="I51" s="1104"/>
      <c r="J51" s="1124"/>
      <c r="K51" s="1124"/>
      <c r="L51" s="1125"/>
      <c r="M51" s="1106"/>
      <c r="N51" s="1122"/>
      <c r="O51" s="1123"/>
      <c r="P51" s="8"/>
      <c r="Q51"/>
      <c r="R51" s="1152"/>
      <c r="S51" s="1104"/>
      <c r="T51" s="1124"/>
      <c r="U51" s="1124"/>
      <c r="V51" s="1125"/>
      <c r="W51" s="1106"/>
      <c r="X51" s="1122"/>
      <c r="Y51" s="1123"/>
      <c r="Z51" s="1107"/>
      <c r="AA51" s="1101"/>
      <c r="AB51" s="1101"/>
      <c r="AC51" s="102"/>
      <c r="AD51">
        <f t="shared" si="40"/>
        <v>44</v>
      </c>
      <c r="AE51" s="1152">
        <v>49576</v>
      </c>
      <c r="AF51" s="1104">
        <v>44</v>
      </c>
      <c r="AG51">
        <v>392.21</v>
      </c>
      <c r="AH51">
        <v>129.79</v>
      </c>
      <c r="AI51">
        <v>750</v>
      </c>
      <c r="AJ51" s="1106">
        <f t="shared" si="25"/>
        <v>879.79</v>
      </c>
      <c r="AK51" s="1122">
        <f t="shared" si="3"/>
        <v>879.79</v>
      </c>
      <c r="AL51" s="1123">
        <f t="shared" si="32"/>
        <v>9.6361111111</v>
      </c>
      <c r="AM51" s="1107"/>
      <c r="AN51" s="1101"/>
      <c r="AO51" s="1101"/>
      <c r="AP51" s="102"/>
      <c r="AQ51" s="150"/>
      <c r="AR51" s="830"/>
      <c r="AS51" s="205"/>
      <c r="AT51" s="1083"/>
      <c r="AU51" s="205"/>
      <c r="AV51" s="765"/>
      <c r="AW51" s="1292">
        <v>6.6749999999999998</v>
      </c>
      <c r="AX51" s="1292">
        <v>2440</v>
      </c>
      <c r="AY51" s="1292">
        <v>3.613</v>
      </c>
      <c r="AZ51" s="1292">
        <v>120.03966014459699</v>
      </c>
      <c r="BA51" s="849"/>
      <c r="BB51" s="102"/>
      <c r="BD51" s="150"/>
      <c r="BE51" s="830"/>
      <c r="BF51" s="205"/>
      <c r="BG51" s="831"/>
      <c r="BH51" s="831"/>
      <c r="BI51" s="832"/>
      <c r="BJ51" s="198"/>
      <c r="BK51" s="212"/>
      <c r="BL51" s="849"/>
      <c r="BM51" s="199"/>
      <c r="BN51" s="447"/>
      <c r="BP51" s="150"/>
      <c r="BQ51" s="830"/>
      <c r="BR51" s="205"/>
      <c r="BS51" s="831"/>
      <c r="BT51" s="831"/>
      <c r="BU51" s="832"/>
      <c r="BV51" s="198"/>
      <c r="BW51" s="212"/>
      <c r="BX51" s="849"/>
      <c r="BY51" s="199"/>
      <c r="BZ51" s="447"/>
      <c r="CB51" s="150"/>
      <c r="CC51" s="830"/>
      <c r="CD51" s="205"/>
      <c r="CE51" s="831"/>
      <c r="CF51" s="831"/>
      <c r="CG51" s="832"/>
      <c r="CH51" s="198"/>
      <c r="CI51" s="212"/>
      <c r="CJ51" s="849"/>
      <c r="CK51" s="199"/>
      <c r="CL51" s="447"/>
      <c r="CP51" s="150"/>
      <c r="CQ51" s="830"/>
      <c r="CR51" s="205"/>
      <c r="CS51" s="831"/>
      <c r="CT51" s="831"/>
      <c r="CU51" s="832"/>
      <c r="CV51" s="198"/>
      <c r="CW51" s="212"/>
      <c r="CX51" s="849"/>
      <c r="CY51" s="199"/>
      <c r="CZ51" s="447"/>
      <c r="DD51" s="150"/>
      <c r="DE51" s="830"/>
      <c r="DF51" s="205"/>
      <c r="DG51" s="831"/>
      <c r="DH51" s="831"/>
      <c r="DI51" s="832"/>
      <c r="DJ51" s="198"/>
      <c r="DK51" s="212"/>
      <c r="DL51" s="849"/>
      <c r="DM51" s="199"/>
      <c r="DN51" s="447"/>
      <c r="DQ51" s="150"/>
      <c r="DR51" s="830"/>
      <c r="DS51" s="957"/>
      <c r="DT51" s="957"/>
      <c r="DU51" s="957"/>
      <c r="DV51" s="957"/>
      <c r="DW51" s="198"/>
      <c r="DX51" s="212"/>
      <c r="DY51" s="849"/>
      <c r="DZ51" s="199"/>
      <c r="EA51" s="447"/>
    </row>
    <row r="52" spans="1:131" x14ac:dyDescent="0.2">
      <c r="A52" s="8"/>
      <c r="B52" s="8"/>
      <c r="C52" s="8"/>
      <c r="D52" s="8"/>
      <c r="E52" s="8"/>
      <c r="F52" s="8"/>
      <c r="G52"/>
      <c r="H52" s="1151"/>
      <c r="I52" s="1104"/>
      <c r="J52" s="1124"/>
      <c r="K52" s="1124"/>
      <c r="L52" s="1125"/>
      <c r="M52" s="1106"/>
      <c r="N52" s="1122"/>
      <c r="O52" s="1123"/>
      <c r="P52" s="8"/>
      <c r="Q52"/>
      <c r="R52" s="1151"/>
      <c r="S52" s="1104"/>
      <c r="T52" s="1124"/>
      <c r="U52" s="1124"/>
      <c r="V52" s="1125"/>
      <c r="W52" s="1106"/>
      <c r="X52" s="1122"/>
      <c r="Y52" s="1123"/>
      <c r="Z52" s="1107"/>
      <c r="AA52" s="1101"/>
      <c r="AB52" s="8"/>
      <c r="AD52">
        <f t="shared" si="40"/>
        <v>45</v>
      </c>
      <c r="AE52" s="1151">
        <v>49667</v>
      </c>
      <c r="AF52" s="1104">
        <v>45</v>
      </c>
      <c r="AG52">
        <v>262.42</v>
      </c>
      <c r="AH52">
        <v>97.18</v>
      </c>
      <c r="AI52">
        <v>750</v>
      </c>
      <c r="AJ52" s="1106">
        <f>+ROUND(AH52+AI52,4)</f>
        <v>847.18</v>
      </c>
      <c r="AK52" s="1122">
        <f>+IF($B$1&gt;=AE52,0,AJ52)</f>
        <v>847.18</v>
      </c>
      <c r="AL52" s="1123">
        <f t="shared" si="32"/>
        <v>9.8888888889000004</v>
      </c>
      <c r="AM52" s="1107"/>
      <c r="AN52" s="1101"/>
      <c r="AO52" s="8"/>
      <c r="AQ52" s="150"/>
      <c r="AR52" s="830"/>
      <c r="AS52" s="205"/>
      <c r="AT52" s="831"/>
      <c r="AU52" s="831"/>
      <c r="AV52" s="832"/>
      <c r="AW52" s="198"/>
      <c r="AX52" s="212"/>
      <c r="AY52" s="849"/>
      <c r="AZ52" s="849"/>
      <c r="BA52" s="849"/>
      <c r="BD52" s="150"/>
      <c r="BE52" s="830"/>
      <c r="BF52" s="205"/>
      <c r="BG52" s="831"/>
      <c r="BH52" s="831"/>
      <c r="BI52" s="832"/>
      <c r="BJ52" s="198"/>
      <c r="BK52" s="212"/>
      <c r="BL52" s="849"/>
      <c r="BM52" s="199"/>
      <c r="BN52" s="447"/>
      <c r="BP52" s="150"/>
      <c r="BQ52" s="830"/>
      <c r="BR52" s="205"/>
      <c r="BS52" s="831"/>
      <c r="BT52" s="831"/>
      <c r="BU52" s="832"/>
      <c r="BV52" s="198"/>
      <c r="BW52" s="212"/>
      <c r="BX52" s="849"/>
      <c r="BY52" s="199"/>
      <c r="BZ52" s="447"/>
      <c r="CB52" s="150"/>
      <c r="CC52" s="830"/>
      <c r="CD52" s="205"/>
      <c r="CE52" s="831"/>
      <c r="CF52" s="831"/>
      <c r="CG52" s="832"/>
      <c r="CH52" s="198"/>
      <c r="CI52" s="212"/>
      <c r="CJ52" s="849"/>
      <c r="CK52" s="199"/>
      <c r="CL52" s="447"/>
      <c r="CP52" s="150"/>
      <c r="CQ52" s="830"/>
      <c r="CR52" s="205"/>
      <c r="CS52" s="831"/>
      <c r="CT52" s="831"/>
      <c r="CU52" s="832"/>
      <c r="CV52" s="198"/>
      <c r="CW52" s="212"/>
      <c r="CX52" s="849"/>
      <c r="CY52" s="199"/>
      <c r="CZ52" s="447"/>
      <c r="DD52" s="150"/>
      <c r="DE52" s="830"/>
      <c r="DF52" s="205"/>
      <c r="DG52" s="831"/>
      <c r="DH52" s="831"/>
      <c r="DI52" s="832"/>
      <c r="DJ52" s="198"/>
      <c r="DK52" s="212"/>
      <c r="DL52" s="849"/>
      <c r="DM52" s="199"/>
      <c r="DN52" s="447"/>
      <c r="DQ52" s="150"/>
      <c r="DR52" s="830"/>
      <c r="DS52" s="957"/>
      <c r="DT52" s="957"/>
      <c r="DU52" s="957"/>
      <c r="DV52" s="957"/>
      <c r="DW52" s="198"/>
      <c r="DX52" s="212"/>
      <c r="DY52" s="849"/>
      <c r="DZ52" s="199"/>
      <c r="EA52" s="447"/>
    </row>
    <row r="53" spans="1:131" x14ac:dyDescent="0.2">
      <c r="A53" s="8"/>
      <c r="B53" s="8"/>
      <c r="C53" s="8"/>
      <c r="D53" s="8"/>
      <c r="E53" s="8"/>
      <c r="F53" s="8"/>
      <c r="G53"/>
      <c r="H53" s="1151"/>
      <c r="I53" s="1104"/>
      <c r="J53" s="1124"/>
      <c r="K53" s="1124"/>
      <c r="L53" s="1125"/>
      <c r="M53" s="1106"/>
      <c r="N53" s="1122"/>
      <c r="O53" s="1123"/>
      <c r="P53" s="8"/>
      <c r="Q53"/>
      <c r="R53" s="1151"/>
      <c r="S53" s="1104"/>
      <c r="T53" s="1124"/>
      <c r="U53" s="1124"/>
      <c r="V53" s="1125"/>
      <c r="W53" s="1106"/>
      <c r="X53" s="1122"/>
      <c r="Y53" s="1123"/>
      <c r="Z53" s="1107"/>
      <c r="AA53" s="1101"/>
      <c r="AB53" s="8"/>
      <c r="AD53">
        <f t="shared" si="40"/>
        <v>46</v>
      </c>
      <c r="AE53" s="1151">
        <v>49758</v>
      </c>
      <c r="AF53" s="1104">
        <v>46</v>
      </c>
      <c r="AG53">
        <v>165.24</v>
      </c>
      <c r="AH53">
        <v>70.12</v>
      </c>
      <c r="AI53">
        <v>750</v>
      </c>
      <c r="AJ53" s="1106">
        <f>+ROUND(AH53+AI53,4)</f>
        <v>820.12</v>
      </c>
      <c r="AK53" s="1122">
        <f>+IF($B$1&gt;=AE53,0,AJ53)</f>
        <v>820.12</v>
      </c>
      <c r="AL53" s="1123">
        <f t="shared" si="32"/>
        <v>10.141666666700001</v>
      </c>
      <c r="AM53" s="1107"/>
      <c r="AN53" s="1101"/>
      <c r="AO53" s="8"/>
      <c r="AQ53" s="150"/>
      <c r="AR53" s="830"/>
      <c r="AS53" s="205"/>
      <c r="AT53" s="831"/>
      <c r="AU53" s="831"/>
      <c r="AV53" s="832"/>
      <c r="AW53" s="198"/>
      <c r="AX53" s="212"/>
      <c r="AY53" s="849"/>
      <c r="AZ53" s="849"/>
      <c r="BA53" s="849"/>
      <c r="BD53" s="150"/>
      <c r="BE53" s="830"/>
      <c r="BF53" s="205"/>
      <c r="BG53" s="831"/>
      <c r="BH53" s="831"/>
      <c r="BI53" s="832"/>
      <c r="BJ53" s="198"/>
      <c r="BK53" s="212"/>
      <c r="BL53" s="849"/>
      <c r="BM53" s="199"/>
      <c r="BN53" s="447"/>
      <c r="BP53" s="150"/>
      <c r="BQ53" s="830"/>
      <c r="BR53" s="205"/>
      <c r="BS53" s="831"/>
      <c r="BT53" s="831"/>
      <c r="BU53" s="832"/>
      <c r="BV53" s="198"/>
      <c r="BW53" s="212"/>
      <c r="BX53" s="849"/>
      <c r="BY53" s="199"/>
      <c r="BZ53" s="447"/>
      <c r="CB53" s="150"/>
      <c r="CC53" s="830"/>
      <c r="CD53" s="205"/>
      <c r="CE53" s="831"/>
      <c r="CF53" s="831"/>
      <c r="CG53" s="832"/>
      <c r="CH53" s="198"/>
      <c r="CI53" s="212"/>
      <c r="CJ53" s="849"/>
      <c r="CK53" s="199"/>
      <c r="CL53" s="447"/>
      <c r="CP53" s="150"/>
      <c r="CQ53" s="830"/>
      <c r="CR53" s="205"/>
      <c r="CS53" s="831"/>
      <c r="CT53" s="831"/>
      <c r="CU53" s="832"/>
      <c r="CV53" s="198"/>
      <c r="CW53" s="212"/>
      <c r="CX53" s="849"/>
      <c r="CY53" s="199"/>
      <c r="CZ53" s="447"/>
      <c r="DD53" s="150"/>
      <c r="DE53" s="830"/>
      <c r="DF53" s="205"/>
      <c r="DG53" s="831"/>
      <c r="DH53" s="831"/>
      <c r="DI53" s="832"/>
      <c r="DJ53" s="198"/>
      <c r="DK53" s="212"/>
      <c r="DL53" s="849"/>
      <c r="DM53" s="199"/>
      <c r="DN53" s="447"/>
      <c r="DQ53" s="150"/>
      <c r="DR53" s="830"/>
      <c r="DS53" s="957"/>
      <c r="DT53" s="957"/>
      <c r="DU53" s="957"/>
      <c r="DV53" s="957"/>
      <c r="DW53" s="198"/>
      <c r="DX53" s="212"/>
      <c r="DY53" s="849"/>
      <c r="DZ53" s="199"/>
      <c r="EA53" s="447"/>
    </row>
    <row r="54" spans="1:131" x14ac:dyDescent="0.2">
      <c r="A54" s="8"/>
      <c r="B54" s="8"/>
      <c r="C54" s="8"/>
      <c r="D54" s="8"/>
      <c r="E54" s="8"/>
      <c r="F54" s="8"/>
      <c r="G54"/>
      <c r="H54" s="1152"/>
      <c r="I54" s="1104"/>
      <c r="J54" s="1124"/>
      <c r="K54" s="1124"/>
      <c r="L54" s="1125"/>
      <c r="M54" s="1106"/>
      <c r="N54" s="1122"/>
      <c r="O54" s="1123"/>
      <c r="P54" s="8"/>
      <c r="Q54"/>
      <c r="R54" s="1152"/>
      <c r="S54" s="1104"/>
      <c r="T54" s="1124"/>
      <c r="U54" s="1124"/>
      <c r="V54" s="1125"/>
      <c r="W54" s="1106"/>
      <c r="X54" s="1122"/>
      <c r="Y54" s="1123"/>
      <c r="Z54" s="1107"/>
      <c r="AA54" s="1101"/>
      <c r="AB54" s="8"/>
      <c r="AD54">
        <f t="shared" si="40"/>
        <v>47</v>
      </c>
      <c r="AE54" s="1152">
        <v>49850</v>
      </c>
      <c r="AF54" s="1104">
        <v>47</v>
      </c>
      <c r="AG54">
        <v>95.12</v>
      </c>
      <c r="AH54">
        <v>47.93</v>
      </c>
      <c r="AI54">
        <v>750</v>
      </c>
      <c r="AJ54" s="1106">
        <f>+ROUND(AH54+AI54,4)</f>
        <v>797.93</v>
      </c>
      <c r="AK54" s="1122">
        <f>+IF($B$1&gt;=AE54,0,AJ54)</f>
        <v>797.93</v>
      </c>
      <c r="AL54" s="1123">
        <f t="shared" si="32"/>
        <v>10.3972222222</v>
      </c>
      <c r="AM54" s="1107"/>
      <c r="AN54" s="1101"/>
      <c r="AO54" s="8"/>
      <c r="AQ54" s="150"/>
      <c r="AR54" s="830"/>
      <c r="AS54" s="205"/>
      <c r="AT54" s="831"/>
      <c r="AU54" s="718"/>
      <c r="AV54" s="198"/>
      <c r="AW54" s="198"/>
      <c r="AX54" s="198"/>
      <c r="AY54" s="198"/>
      <c r="AZ54" s="199"/>
      <c r="BA54" s="447"/>
      <c r="BD54" s="150"/>
      <c r="BE54" s="830"/>
      <c r="BF54" s="205"/>
      <c r="BG54" s="831"/>
      <c r="BH54" s="718"/>
      <c r="BI54" s="198"/>
      <c r="BJ54" s="198"/>
      <c r="BK54" s="198"/>
      <c r="BL54" s="198"/>
      <c r="BM54" s="199"/>
      <c r="BN54" s="447"/>
      <c r="BP54" s="150"/>
      <c r="BQ54" s="830"/>
      <c r="BR54" s="205"/>
      <c r="BS54" s="831"/>
      <c r="BT54" s="718"/>
      <c r="BU54" s="198"/>
      <c r="BV54" s="198"/>
      <c r="BW54" s="198"/>
      <c r="BX54" s="198"/>
      <c r="BY54" s="199"/>
      <c r="BZ54" s="447"/>
      <c r="CB54" s="150"/>
      <c r="CC54" s="830"/>
      <c r="CD54" s="205"/>
      <c r="CE54" s="831"/>
      <c r="CF54" s="718"/>
      <c r="CG54" s="198"/>
      <c r="CH54" s="198"/>
      <c r="CI54" s="198"/>
      <c r="CJ54" s="198"/>
      <c r="CK54" s="199"/>
      <c r="CL54" s="447"/>
      <c r="CP54" s="150"/>
      <c r="CQ54" s="830"/>
      <c r="CR54" s="205"/>
      <c r="CS54" s="831"/>
      <c r="CT54" s="718"/>
      <c r="CU54" s="198"/>
      <c r="CV54" s="198"/>
      <c r="CW54" s="198"/>
      <c r="CX54" s="198"/>
      <c r="CY54" s="199"/>
      <c r="CZ54" s="447"/>
      <c r="DD54" s="150"/>
      <c r="DE54" s="830"/>
      <c r="DF54" s="205"/>
      <c r="DG54" s="831"/>
      <c r="DH54" s="718"/>
      <c r="DI54" s="198"/>
      <c r="DJ54" s="198"/>
      <c r="DK54" s="198"/>
      <c r="DL54" s="198"/>
      <c r="DM54" s="199"/>
      <c r="DN54" s="447"/>
      <c r="DQ54" s="150"/>
      <c r="DR54" s="830"/>
      <c r="DS54" s="957"/>
      <c r="DT54" s="957"/>
      <c r="DU54" s="957"/>
      <c r="DV54" s="957"/>
      <c r="DW54" s="198"/>
      <c r="DX54" s="198"/>
      <c r="DY54" s="198"/>
      <c r="DZ54" s="199"/>
      <c r="EA54" s="447"/>
    </row>
    <row r="55" spans="1:131" x14ac:dyDescent="0.2">
      <c r="A55" s="8"/>
      <c r="B55" s="8"/>
      <c r="C55" s="8"/>
      <c r="D55" s="8"/>
      <c r="E55" s="8"/>
      <c r="F55" s="8"/>
      <c r="G55"/>
      <c r="H55" s="1151"/>
      <c r="I55" s="1104"/>
      <c r="J55" s="1124"/>
      <c r="K55" s="1124"/>
      <c r="L55" s="1125"/>
      <c r="M55" s="1106"/>
      <c r="N55" s="1122"/>
      <c r="O55" s="1123"/>
      <c r="P55" s="8"/>
      <c r="Q55"/>
      <c r="R55" s="1151"/>
      <c r="S55" s="1104"/>
      <c r="T55" s="1124"/>
      <c r="U55" s="1124"/>
      <c r="V55" s="1125"/>
      <c r="W55" s="1106"/>
      <c r="X55" s="1122"/>
      <c r="Y55" s="1123"/>
      <c r="Z55" s="1107"/>
      <c r="AA55" s="1101"/>
      <c r="AB55" s="8"/>
      <c r="AD55">
        <f t="shared" si="40"/>
        <v>48</v>
      </c>
      <c r="AE55" s="1151">
        <v>49942</v>
      </c>
      <c r="AF55" s="1104">
        <v>48</v>
      </c>
      <c r="AG55">
        <v>47.19</v>
      </c>
      <c r="AH55">
        <v>30.08</v>
      </c>
      <c r="AI55">
        <v>750</v>
      </c>
      <c r="AJ55" s="1106">
        <f>+ROUND(AH55+AI55,4)</f>
        <v>780.08</v>
      </c>
      <c r="AK55" s="1122">
        <f>+IF($B$1&gt;=AE55,0,AJ55)</f>
        <v>780.08</v>
      </c>
      <c r="AL55" s="1123">
        <f t="shared" si="32"/>
        <v>10.652777777800001</v>
      </c>
      <c r="AM55" s="1107"/>
      <c r="AN55" s="1101"/>
      <c r="AO55" s="8"/>
      <c r="AQ55" s="150"/>
      <c r="AR55" s="714"/>
      <c r="AS55" s="205"/>
      <c r="AT55" s="718"/>
      <c r="AU55" s="718"/>
      <c r="AV55" s="198"/>
      <c r="AW55" s="198"/>
      <c r="AX55" s="198"/>
      <c r="AY55" s="198"/>
      <c r="AZ55" s="199"/>
      <c r="BA55" s="447"/>
      <c r="BD55" s="150"/>
      <c r="BE55" s="714"/>
      <c r="BF55" s="205"/>
      <c r="BG55" s="718"/>
      <c r="BH55" s="718"/>
      <c r="BI55" s="198"/>
      <c r="BJ55" s="198"/>
      <c r="BK55" s="198"/>
      <c r="BL55" s="198"/>
      <c r="BM55" s="199"/>
      <c r="BN55" s="447"/>
      <c r="BP55" s="150"/>
      <c r="BQ55" s="714"/>
      <c r="BR55" s="205"/>
      <c r="BS55" s="718"/>
      <c r="BT55" s="718"/>
      <c r="BU55" s="198"/>
      <c r="BV55" s="198"/>
      <c r="BW55" s="198"/>
      <c r="BX55" s="198"/>
      <c r="BY55" s="199"/>
      <c r="BZ55" s="447"/>
      <c r="CB55" s="150"/>
      <c r="CC55" s="714"/>
      <c r="CD55" s="205"/>
      <c r="CE55" s="718"/>
      <c r="CF55" s="718"/>
      <c r="CG55" s="198"/>
      <c r="CH55" s="198"/>
      <c r="CI55" s="198"/>
      <c r="CJ55" s="198"/>
      <c r="CK55" s="199"/>
      <c r="CL55" s="447"/>
      <c r="CP55" s="150"/>
      <c r="CQ55" s="714"/>
      <c r="CR55" s="205"/>
      <c r="CS55" s="718"/>
      <c r="CT55" s="718"/>
      <c r="CU55" s="198"/>
      <c r="CV55" s="198"/>
      <c r="CW55" s="198"/>
      <c r="CX55" s="198"/>
      <c r="CY55" s="199"/>
      <c r="CZ55" s="447"/>
      <c r="DD55" s="150"/>
      <c r="DE55" s="714"/>
      <c r="DF55" s="205"/>
      <c r="DG55" s="718"/>
      <c r="DH55" s="718"/>
      <c r="DI55" s="198"/>
      <c r="DJ55" s="198"/>
      <c r="DK55" s="198"/>
      <c r="DL55" s="198"/>
      <c r="DM55" s="199"/>
      <c r="DN55" s="447"/>
      <c r="DQ55" s="150"/>
      <c r="DR55" s="714"/>
      <c r="DS55" s="205"/>
      <c r="DT55" s="718"/>
      <c r="DU55" s="718"/>
      <c r="DV55" s="198"/>
      <c r="DW55" s="198"/>
      <c r="DX55" s="198"/>
      <c r="DY55" s="198"/>
      <c r="DZ55" s="199"/>
      <c r="EA55" s="447"/>
    </row>
    <row r="56" spans="1:131" x14ac:dyDescent="0.2">
      <c r="A56" s="8"/>
      <c r="B56" s="8"/>
      <c r="C56" s="8"/>
      <c r="D56" s="8"/>
      <c r="E56" s="8"/>
      <c r="F56" s="8"/>
      <c r="G56"/>
      <c r="H56" s="1151"/>
      <c r="I56" s="1104"/>
      <c r="J56" s="1124"/>
      <c r="K56" s="1124"/>
      <c r="L56" s="1125"/>
      <c r="M56" s="1106"/>
      <c r="N56" s="1122"/>
      <c r="O56" s="1123"/>
      <c r="P56" s="8"/>
      <c r="Q56"/>
      <c r="R56" s="1151"/>
      <c r="S56" s="1104"/>
      <c r="T56" s="1124"/>
      <c r="U56" s="1124"/>
      <c r="V56" s="1125"/>
      <c r="W56" s="1106"/>
      <c r="X56" s="1122"/>
      <c r="Y56" s="1123"/>
      <c r="Z56" s="1107"/>
      <c r="AA56" s="1101"/>
      <c r="AB56" s="8"/>
      <c r="AD56">
        <f t="shared" si="40"/>
        <v>49</v>
      </c>
      <c r="AE56" s="1151">
        <v>50033</v>
      </c>
      <c r="AF56" s="1104">
        <v>49</v>
      </c>
      <c r="AG56">
        <v>17.11</v>
      </c>
      <c r="AH56">
        <v>17.11</v>
      </c>
      <c r="AI56">
        <v>750</v>
      </c>
      <c r="AJ56" s="1106">
        <f>+ROUND(AH56+AI56,4)</f>
        <v>767.11</v>
      </c>
      <c r="AK56" s="1122">
        <f>+IF($B$1&gt;=AE56,0,AJ56)</f>
        <v>767.11</v>
      </c>
      <c r="AL56" s="1123">
        <f t="shared" si="32"/>
        <v>10.905555555599999</v>
      </c>
      <c r="AM56" s="1107"/>
      <c r="AN56" s="1101"/>
      <c r="AO56" s="8"/>
      <c r="AQ56" s="150"/>
      <c r="AR56" s="714"/>
      <c r="AS56" s="205"/>
      <c r="AT56" s="718"/>
      <c r="AU56" s="718"/>
      <c r="AV56" s="198"/>
      <c r="AW56" s="198"/>
      <c r="AX56" s="198"/>
      <c r="AY56" s="198"/>
      <c r="AZ56" s="199"/>
      <c r="BA56" s="447"/>
      <c r="BD56" s="150"/>
      <c r="BE56" s="714"/>
      <c r="BF56" s="205"/>
      <c r="BG56" s="718"/>
      <c r="BH56" s="718"/>
      <c r="BI56" s="198"/>
      <c r="BJ56" s="198"/>
      <c r="BK56" s="198"/>
      <c r="BL56" s="198"/>
      <c r="BM56" s="199"/>
      <c r="BN56" s="447"/>
      <c r="BP56" s="150"/>
      <c r="BQ56" s="714"/>
      <c r="BR56" s="205"/>
      <c r="BS56" s="718"/>
      <c r="BT56" s="718"/>
      <c r="BU56" s="198"/>
      <c r="BV56" s="198"/>
      <c r="BW56" s="198"/>
      <c r="BX56" s="198"/>
      <c r="BY56" s="199"/>
      <c r="BZ56" s="447"/>
      <c r="CB56" s="150"/>
      <c r="CC56" s="714"/>
      <c r="CD56" s="205"/>
      <c r="CE56" s="718"/>
      <c r="CF56" s="718"/>
      <c r="CG56" s="198"/>
      <c r="CH56" s="198"/>
      <c r="CI56" s="198"/>
      <c r="CJ56" s="198"/>
      <c r="CK56" s="199"/>
      <c r="CL56" s="447"/>
      <c r="CP56" s="150"/>
      <c r="CQ56" s="714"/>
      <c r="CR56" s="205"/>
      <c r="CS56" s="718"/>
      <c r="CT56" s="718"/>
      <c r="CU56" s="198"/>
      <c r="CV56" s="198"/>
      <c r="CW56" s="198"/>
      <c r="CX56" s="198"/>
      <c r="CY56" s="199"/>
      <c r="CZ56" s="447"/>
      <c r="DD56" s="150"/>
      <c r="DE56" s="714"/>
      <c r="DF56" s="205"/>
      <c r="DG56" s="718"/>
      <c r="DH56" s="718"/>
      <c r="DI56" s="198"/>
      <c r="DJ56" s="198"/>
      <c r="DK56" s="198"/>
      <c r="DL56" s="198"/>
      <c r="DM56" s="199"/>
      <c r="DN56" s="447"/>
      <c r="DQ56" s="150"/>
      <c r="DR56" s="714"/>
      <c r="DS56" s="205"/>
      <c r="DT56" s="718"/>
      <c r="DU56" s="718"/>
      <c r="DV56" s="198"/>
      <c r="DW56" s="198"/>
      <c r="DX56" s="198"/>
      <c r="DY56" s="198"/>
      <c r="DZ56" s="199"/>
      <c r="EA56" s="447"/>
    </row>
    <row r="57" spans="1:131" x14ac:dyDescent="0.2">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D57" s="8"/>
      <c r="AE57" s="8"/>
      <c r="AF57" s="8"/>
      <c r="AG57" s="8"/>
      <c r="AH57" s="8"/>
      <c r="AI57" s="8"/>
      <c r="AJ57" s="8"/>
      <c r="AK57" s="8"/>
      <c r="AL57" s="8"/>
      <c r="AM57" s="8"/>
      <c r="AN57" s="8"/>
      <c r="AO57" s="8"/>
      <c r="AQ57" s="150"/>
      <c r="AR57" s="714"/>
      <c r="AS57" s="205"/>
      <c r="AT57" s="718"/>
      <c r="AU57" s="718"/>
      <c r="AV57" s="198"/>
      <c r="AW57" s="198"/>
      <c r="AX57" s="198"/>
      <c r="AY57" s="198"/>
      <c r="AZ57" s="199"/>
      <c r="BA57" s="447"/>
      <c r="BD57" s="150"/>
      <c r="BE57" s="714"/>
      <c r="BF57" s="205"/>
      <c r="BG57" s="718"/>
      <c r="BH57" s="718"/>
      <c r="BI57" s="198"/>
      <c r="BJ57" s="198"/>
      <c r="BK57" s="198"/>
      <c r="BL57" s="198"/>
      <c r="BM57" s="199"/>
      <c r="BN57" s="447"/>
      <c r="BP57" s="150"/>
      <c r="BQ57" s="714"/>
      <c r="BR57" s="205"/>
      <c r="BS57" s="718"/>
      <c r="BT57" s="718"/>
      <c r="BU57" s="198"/>
      <c r="BV57" s="198"/>
      <c r="BW57" s="198"/>
      <c r="BX57" s="198"/>
      <c r="BY57" s="199"/>
      <c r="BZ57" s="447"/>
      <c r="CB57" s="150"/>
      <c r="CC57" s="714"/>
      <c r="CD57" s="205"/>
      <c r="CE57" s="718"/>
      <c r="CF57" s="718"/>
      <c r="CG57" s="198"/>
      <c r="CH57" s="198"/>
      <c r="CI57" s="198"/>
      <c r="CJ57" s="198"/>
      <c r="CK57" s="199"/>
      <c r="CL57" s="447"/>
      <c r="CP57" s="150"/>
      <c r="CQ57" s="714"/>
      <c r="CR57" s="205"/>
      <c r="CS57" s="718"/>
      <c r="CT57" s="718"/>
      <c r="CU57" s="198"/>
      <c r="CV57" s="198"/>
      <c r="CW57" s="198"/>
      <c r="CX57" s="198"/>
      <c r="CY57" s="199"/>
      <c r="CZ57" s="447"/>
      <c r="DD57" s="150"/>
      <c r="DE57" s="714"/>
      <c r="DF57" s="205"/>
      <c r="DG57" s="718"/>
      <c r="DH57" s="718"/>
      <c r="DI57" s="198"/>
      <c r="DJ57" s="198"/>
      <c r="DK57" s="198"/>
      <c r="DL57" s="198"/>
      <c r="DM57" s="199"/>
      <c r="DN57" s="447"/>
      <c r="DQ57" s="150"/>
      <c r="DR57" s="714"/>
      <c r="DS57" s="205"/>
      <c r="DT57" s="718"/>
      <c r="DU57" s="718"/>
      <c r="DV57" s="198"/>
      <c r="DW57" s="198"/>
      <c r="DX57" s="198"/>
      <c r="DY57" s="198"/>
      <c r="DZ57" s="199"/>
      <c r="EA57" s="447"/>
    </row>
    <row r="58" spans="1:131" x14ac:dyDescent="0.2">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D58" s="8"/>
      <c r="AE58" s="8"/>
      <c r="AF58" s="8"/>
      <c r="AG58" s="8"/>
      <c r="AH58" s="8"/>
      <c r="AI58" s="8"/>
      <c r="AJ58" s="8"/>
      <c r="AK58" s="8"/>
      <c r="AL58" s="8"/>
      <c r="AM58" s="8"/>
      <c r="AN58" s="8"/>
      <c r="AO58" s="8"/>
      <c r="AQ58" s="150"/>
      <c r="AR58" s="714"/>
      <c r="AS58" s="205"/>
      <c r="AT58" s="718"/>
      <c r="AU58" s="718"/>
      <c r="AV58" s="198"/>
      <c r="AW58" s="198"/>
      <c r="AX58" s="198"/>
      <c r="AY58" s="198"/>
      <c r="AZ58" s="199"/>
      <c r="BA58" s="447"/>
      <c r="BD58" s="150"/>
      <c r="BE58" s="714"/>
      <c r="BF58" s="205"/>
      <c r="BG58" s="718"/>
      <c r="BH58" s="718"/>
      <c r="BI58" s="198"/>
      <c r="BJ58" s="198"/>
      <c r="BK58" s="198"/>
      <c r="BL58" s="198"/>
      <c r="BM58" s="199"/>
      <c r="BN58" s="447"/>
      <c r="BP58" s="150"/>
      <c r="BQ58" s="714"/>
      <c r="BR58" s="205"/>
      <c r="BS58" s="718"/>
      <c r="BT58" s="718"/>
      <c r="BU58" s="198"/>
      <c r="BV58" s="198"/>
      <c r="BW58" s="198"/>
      <c r="BX58" s="198"/>
      <c r="BY58" s="199"/>
      <c r="BZ58" s="447"/>
      <c r="CB58" s="150"/>
      <c r="CC58" s="714"/>
      <c r="CD58" s="205"/>
      <c r="CE58" s="718"/>
      <c r="CF58" s="718"/>
      <c r="CG58" s="198"/>
      <c r="CH58" s="198"/>
      <c r="CI58" s="198"/>
      <c r="CJ58" s="198"/>
      <c r="CK58" s="199"/>
      <c r="CL58" s="447"/>
      <c r="CP58" s="150"/>
      <c r="CQ58" s="714"/>
      <c r="CR58" s="205"/>
      <c r="CS58" s="718"/>
      <c r="CT58" s="718"/>
      <c r="CU58" s="198"/>
      <c r="CV58" s="198"/>
      <c r="CW58" s="198"/>
      <c r="CX58" s="198"/>
      <c r="CY58" s="199"/>
      <c r="CZ58" s="447"/>
      <c r="DD58" s="150"/>
      <c r="DE58" s="714"/>
      <c r="DF58" s="205"/>
      <c r="DG58" s="718"/>
      <c r="DH58" s="718"/>
      <c r="DI58" s="198"/>
      <c r="DJ58" s="198"/>
      <c r="DK58" s="198"/>
      <c r="DL58" s="198"/>
      <c r="DM58" s="199"/>
      <c r="DN58" s="447"/>
      <c r="DQ58" s="150"/>
      <c r="DR58" s="714"/>
      <c r="DS58" s="205"/>
      <c r="DT58" s="718"/>
      <c r="DU58" s="718"/>
      <c r="DV58" s="198"/>
      <c r="DW58" s="198"/>
      <c r="DX58" s="198"/>
      <c r="DY58" s="198"/>
      <c r="DZ58" s="199"/>
      <c r="EA58" s="447"/>
    </row>
    <row r="59" spans="1:131" x14ac:dyDescent="0.2">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D59" s="8"/>
      <c r="AE59" s="8"/>
      <c r="AF59" s="8"/>
      <c r="AG59" s="8"/>
      <c r="AH59" s="8"/>
      <c r="AI59" s="8"/>
      <c r="AJ59" s="8"/>
      <c r="AK59" s="8"/>
      <c r="AL59" s="8"/>
      <c r="AM59" s="8"/>
      <c r="AN59" s="8"/>
      <c r="AO59" s="8"/>
      <c r="AQ59" s="150"/>
      <c r="AR59" s="714"/>
      <c r="AS59" s="205"/>
      <c r="AT59" s="718"/>
      <c r="AU59" s="718"/>
      <c r="AV59" s="198"/>
      <c r="AW59" s="198"/>
      <c r="AX59" s="198"/>
      <c r="AY59" s="198"/>
      <c r="AZ59" s="199"/>
      <c r="BA59" s="447"/>
      <c r="BD59" s="150"/>
      <c r="BE59" s="714"/>
      <c r="BF59" s="205"/>
      <c r="BG59" s="718"/>
      <c r="BH59" s="718"/>
      <c r="BI59" s="198"/>
      <c r="BJ59" s="198"/>
      <c r="BK59" s="198"/>
      <c r="BL59" s="198"/>
      <c r="BM59" s="199"/>
      <c r="BN59" s="447"/>
      <c r="BP59" s="150"/>
      <c r="BQ59" s="714"/>
      <c r="BR59" s="205"/>
      <c r="BS59" s="718"/>
      <c r="BT59" s="718"/>
      <c r="BU59" s="198"/>
      <c r="BV59" s="198"/>
      <c r="BW59" s="198"/>
      <c r="BX59" s="198"/>
      <c r="BY59" s="199"/>
      <c r="BZ59" s="447"/>
      <c r="CB59" s="150"/>
      <c r="CC59" s="714"/>
      <c r="CD59" s="205"/>
      <c r="CE59" s="718"/>
      <c r="CF59" s="718"/>
      <c r="CG59" s="198"/>
      <c r="CH59" s="198"/>
      <c r="CI59" s="198"/>
      <c r="CJ59" s="198"/>
      <c r="CK59" s="199"/>
      <c r="CL59" s="447"/>
      <c r="CP59" s="150"/>
      <c r="CQ59" s="714"/>
      <c r="CR59" s="205"/>
      <c r="CS59" s="718"/>
      <c r="CT59" s="718"/>
      <c r="CU59" s="198"/>
      <c r="CV59" s="198"/>
      <c r="CW59" s="198"/>
      <c r="CX59" s="198"/>
      <c r="CY59" s="199"/>
      <c r="CZ59" s="447"/>
      <c r="DD59" s="150"/>
      <c r="DE59" s="714"/>
      <c r="DF59" s="205"/>
      <c r="DG59" s="718"/>
      <c r="DH59" s="718"/>
      <c r="DI59" s="198"/>
      <c r="DJ59" s="198"/>
      <c r="DK59" s="198"/>
      <c r="DL59" s="198"/>
      <c r="DM59" s="199"/>
      <c r="DN59" s="447"/>
      <c r="DQ59" s="150"/>
      <c r="DR59" s="714"/>
      <c r="DS59" s="205"/>
      <c r="DT59" s="718"/>
      <c r="DU59" s="718"/>
      <c r="DV59" s="198"/>
      <c r="DW59" s="198"/>
      <c r="DX59" s="198"/>
      <c r="DY59" s="198"/>
      <c r="DZ59" s="199"/>
      <c r="EA59" s="447"/>
    </row>
    <row r="60" spans="1:131" x14ac:dyDescent="0.2">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D60" s="8"/>
      <c r="AE60" s="8"/>
      <c r="AF60" s="8"/>
      <c r="AG60" s="8"/>
      <c r="AH60" s="8"/>
      <c r="AI60" s="8"/>
      <c r="AJ60" s="8"/>
      <c r="AK60" s="8"/>
      <c r="AL60" s="8"/>
      <c r="AM60" s="8"/>
      <c r="AN60" s="8"/>
      <c r="AO60" s="8"/>
      <c r="AQ60" s="150"/>
      <c r="AR60" s="714"/>
      <c r="AS60" s="205"/>
      <c r="AT60" s="718"/>
      <c r="AU60" s="718"/>
      <c r="AV60" s="198"/>
      <c r="AW60" s="198"/>
      <c r="AX60" s="198"/>
      <c r="AY60" s="198"/>
      <c r="AZ60" s="199"/>
      <c r="BA60" s="447"/>
      <c r="BD60" s="150"/>
      <c r="BE60" s="714"/>
      <c r="BF60" s="205"/>
      <c r="BG60" s="718"/>
      <c r="BH60" s="718"/>
      <c r="BI60" s="198"/>
      <c r="BJ60" s="198"/>
      <c r="BK60" s="198"/>
      <c r="BL60" s="198"/>
      <c r="BM60" s="199"/>
      <c r="BN60" s="447"/>
      <c r="BP60" s="150"/>
      <c r="BQ60" s="714"/>
      <c r="BR60" s="205"/>
      <c r="BS60" s="718"/>
      <c r="BT60" s="718"/>
      <c r="BU60" s="198"/>
      <c r="BV60" s="198"/>
      <c r="BW60" s="198"/>
      <c r="BX60" s="198"/>
      <c r="BY60" s="199"/>
      <c r="BZ60" s="447"/>
      <c r="CB60" s="150"/>
      <c r="CC60" s="714"/>
      <c r="CD60" s="205"/>
      <c r="CE60" s="718"/>
      <c r="CF60" s="718"/>
      <c r="CG60" s="198"/>
      <c r="CH60" s="198"/>
      <c r="CI60" s="198"/>
      <c r="CJ60" s="198"/>
      <c r="CK60" s="199"/>
      <c r="CL60" s="447"/>
      <c r="CP60" s="150"/>
      <c r="CQ60" s="714"/>
      <c r="CR60" s="205"/>
      <c r="CS60" s="718"/>
      <c r="CT60" s="718"/>
      <c r="CU60" s="198"/>
      <c r="CV60" s="198"/>
      <c r="CW60" s="198"/>
      <c r="CX60" s="198"/>
      <c r="CY60" s="199"/>
      <c r="CZ60" s="447"/>
      <c r="DD60" s="150"/>
      <c r="DE60" s="714"/>
      <c r="DF60" s="205"/>
      <c r="DG60" s="718"/>
      <c r="DH60" s="718"/>
      <c r="DI60" s="198"/>
      <c r="DJ60" s="198"/>
      <c r="DK60" s="198"/>
      <c r="DL60" s="198"/>
      <c r="DM60" s="199"/>
      <c r="DN60" s="447"/>
      <c r="DQ60" s="150"/>
      <c r="DR60" s="714"/>
      <c r="DS60" s="205"/>
      <c r="DT60" s="718"/>
      <c r="DU60" s="718"/>
      <c r="DV60" s="198"/>
      <c r="DW60" s="198"/>
      <c r="DX60" s="198"/>
      <c r="DY60" s="198"/>
      <c r="DZ60" s="199"/>
      <c r="EA60" s="447"/>
    </row>
    <row r="61" spans="1:131" x14ac:dyDescent="0.2">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D61" s="8"/>
      <c r="AE61" s="8"/>
      <c r="AF61" s="8"/>
      <c r="AG61" s="8"/>
      <c r="AH61" s="8"/>
      <c r="AI61" s="8"/>
      <c r="AJ61" s="8"/>
      <c r="AK61" s="8"/>
      <c r="AL61" s="8"/>
      <c r="AM61" s="8"/>
      <c r="AN61" s="8"/>
      <c r="AO61" s="8"/>
      <c r="AQ61" s="150"/>
      <c r="AR61" s="714"/>
      <c r="AS61" s="205"/>
      <c r="AT61" s="718"/>
      <c r="AU61" s="718"/>
      <c r="AV61" s="198"/>
      <c r="AW61" s="198"/>
      <c r="AX61" s="198"/>
      <c r="AY61" s="198"/>
      <c r="AZ61" s="199"/>
      <c r="BA61" s="447"/>
      <c r="BD61" s="150"/>
      <c r="BE61" s="714"/>
      <c r="BF61" s="205"/>
      <c r="BG61" s="718"/>
      <c r="BH61" s="718"/>
      <c r="BI61" s="198"/>
      <c r="BJ61" s="198"/>
      <c r="BK61" s="198"/>
      <c r="BL61" s="198"/>
      <c r="BM61" s="199"/>
      <c r="BN61" s="447"/>
      <c r="BP61" s="150"/>
      <c r="BQ61" s="714"/>
      <c r="BR61" s="205"/>
      <c r="BS61" s="718"/>
      <c r="BT61" s="718"/>
      <c r="BU61" s="198"/>
      <c r="BV61" s="198"/>
      <c r="BW61" s="198"/>
      <c r="BX61" s="198"/>
      <c r="BY61" s="199"/>
      <c r="BZ61" s="447"/>
      <c r="CB61" s="150"/>
      <c r="CC61" s="714"/>
      <c r="CD61" s="205"/>
      <c r="CE61" s="718"/>
      <c r="CF61" s="718"/>
      <c r="CG61" s="198"/>
      <c r="CH61" s="198"/>
      <c r="CI61" s="198"/>
      <c r="CJ61" s="198"/>
      <c r="CK61" s="199"/>
      <c r="CL61" s="447"/>
      <c r="CP61" s="150"/>
      <c r="CQ61" s="714"/>
      <c r="CR61" s="205"/>
      <c r="CS61" s="718"/>
      <c r="CT61" s="718"/>
      <c r="CU61" s="198"/>
      <c r="CV61" s="198"/>
      <c r="CW61" s="198"/>
      <c r="CX61" s="198"/>
      <c r="CY61" s="199"/>
      <c r="CZ61" s="447"/>
      <c r="DD61" s="150"/>
      <c r="DE61" s="714"/>
      <c r="DF61" s="205"/>
      <c r="DG61" s="718"/>
      <c r="DH61" s="718"/>
      <c r="DI61" s="198"/>
      <c r="DJ61" s="198"/>
      <c r="DK61" s="198"/>
      <c r="DL61" s="198"/>
      <c r="DM61" s="199"/>
      <c r="DN61" s="447"/>
      <c r="DQ61" s="150"/>
      <c r="DR61" s="714"/>
      <c r="DS61" s="205"/>
      <c r="DT61" s="718"/>
      <c r="DU61" s="718"/>
      <c r="DV61" s="198"/>
      <c r="DW61" s="198"/>
      <c r="DX61" s="198"/>
      <c r="DY61" s="198"/>
      <c r="DZ61" s="199"/>
      <c r="EA61" s="447"/>
    </row>
    <row r="62" spans="1:131" x14ac:dyDescent="0.2">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D62" s="8"/>
      <c r="AE62" s="8"/>
      <c r="AF62" s="8"/>
      <c r="AG62" s="8"/>
      <c r="AH62" s="8"/>
      <c r="AI62" s="8"/>
      <c r="AJ62" s="8"/>
      <c r="AK62" s="8"/>
      <c r="AL62" s="8"/>
      <c r="AM62" s="8"/>
      <c r="AN62" s="8"/>
      <c r="AO62" s="8"/>
      <c r="AQ62" s="150"/>
      <c r="AR62" s="714"/>
      <c r="AS62" s="205"/>
      <c r="AT62" s="718"/>
      <c r="AU62" s="718"/>
      <c r="AV62" s="198"/>
      <c r="AW62" s="198"/>
      <c r="AX62" s="198"/>
      <c r="AY62" s="198"/>
      <c r="AZ62" s="199"/>
      <c r="BA62" s="447"/>
      <c r="BD62" s="150"/>
      <c r="BE62" s="714"/>
      <c r="BF62" s="205"/>
      <c r="BG62" s="718"/>
      <c r="BH62" s="718"/>
      <c r="BI62" s="198"/>
      <c r="BJ62" s="198"/>
      <c r="BK62" s="198"/>
      <c r="BL62" s="198"/>
      <c r="BM62" s="199"/>
      <c r="BN62" s="447"/>
      <c r="BP62" s="150"/>
      <c r="BQ62" s="714"/>
      <c r="BR62" s="205"/>
      <c r="BS62" s="718"/>
      <c r="BT62" s="718"/>
      <c r="BU62" s="198"/>
      <c r="BV62" s="198"/>
      <c r="BW62" s="198"/>
      <c r="BX62" s="198"/>
      <c r="BY62" s="199"/>
      <c r="BZ62" s="447"/>
      <c r="CB62" s="150"/>
      <c r="CC62" s="714"/>
      <c r="CD62" s="205"/>
      <c r="CE62" s="718"/>
      <c r="CF62" s="718"/>
      <c r="CG62" s="198"/>
      <c r="CH62" s="198"/>
      <c r="CI62" s="198"/>
      <c r="CJ62" s="198"/>
      <c r="CK62" s="199"/>
      <c r="CL62" s="447"/>
      <c r="CP62" s="150"/>
      <c r="CQ62" s="714"/>
      <c r="CR62" s="205"/>
      <c r="CS62" s="718"/>
      <c r="CT62" s="718"/>
      <c r="CU62" s="198"/>
      <c r="CV62" s="198"/>
      <c r="CW62" s="198"/>
      <c r="CX62" s="198"/>
      <c r="CY62" s="199"/>
      <c r="CZ62" s="447"/>
      <c r="DD62" s="150"/>
      <c r="DE62" s="714"/>
      <c r="DF62" s="205"/>
      <c r="DG62" s="718"/>
      <c r="DH62" s="718"/>
      <c r="DI62" s="198"/>
      <c r="DJ62" s="198"/>
      <c r="DK62" s="198"/>
      <c r="DL62" s="198"/>
      <c r="DM62" s="199"/>
      <c r="DN62" s="447"/>
      <c r="DQ62" s="150"/>
      <c r="DR62" s="714"/>
      <c r="DS62" s="205"/>
      <c r="DT62" s="718"/>
      <c r="DU62" s="718"/>
      <c r="DV62" s="198"/>
      <c r="DW62" s="198"/>
      <c r="DX62" s="198"/>
      <c r="DY62" s="198"/>
      <c r="DZ62" s="199"/>
      <c r="EA62" s="447"/>
    </row>
    <row r="63" spans="1:131" x14ac:dyDescent="0.2">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D63" s="8"/>
      <c r="AE63" s="8"/>
      <c r="AF63" s="8"/>
      <c r="AG63" s="8"/>
      <c r="AH63" s="8"/>
      <c r="AI63" s="8"/>
      <c r="AJ63" s="8"/>
      <c r="AK63" s="8"/>
      <c r="AL63" s="8"/>
      <c r="AM63" s="8"/>
      <c r="AN63" s="8"/>
      <c r="AO63" s="8"/>
      <c r="AQ63" s="150"/>
      <c r="AR63" s="714"/>
      <c r="AS63" s="205"/>
      <c r="AT63" s="718"/>
      <c r="AU63" s="718"/>
      <c r="AV63" s="198"/>
      <c r="AW63" s="198"/>
      <c r="AX63" s="198"/>
      <c r="AY63" s="198"/>
      <c r="AZ63" s="199"/>
      <c r="BA63" s="447"/>
      <c r="BD63" s="150"/>
      <c r="BE63" s="714"/>
      <c r="BF63" s="205"/>
      <c r="BG63" s="718"/>
      <c r="BH63" s="718"/>
      <c r="BI63" s="198"/>
      <c r="BJ63" s="198"/>
      <c r="BK63" s="198"/>
      <c r="BL63" s="198"/>
      <c r="BM63" s="199"/>
      <c r="BN63" s="447"/>
      <c r="BP63" s="150"/>
      <c r="BQ63" s="714"/>
      <c r="BR63" s="205"/>
      <c r="BS63" s="718"/>
      <c r="BT63" s="718"/>
      <c r="BU63" s="198"/>
      <c r="BV63" s="198"/>
      <c r="BW63" s="198"/>
      <c r="BX63" s="198"/>
      <c r="BY63" s="199"/>
      <c r="BZ63" s="447"/>
      <c r="CB63" s="150"/>
      <c r="CC63" s="714"/>
      <c r="CD63" s="205"/>
      <c r="CE63" s="718"/>
      <c r="CF63" s="718"/>
      <c r="CG63" s="198"/>
      <c r="CH63" s="198"/>
      <c r="CI63" s="198"/>
      <c r="CJ63" s="198"/>
      <c r="CK63" s="199"/>
      <c r="CL63" s="447"/>
      <c r="CP63" s="150"/>
      <c r="CQ63" s="714"/>
      <c r="CR63" s="205"/>
      <c r="CS63" s="718"/>
      <c r="CT63" s="718"/>
      <c r="CU63" s="198"/>
      <c r="CV63" s="198"/>
      <c r="CW63" s="198"/>
      <c r="CX63" s="198"/>
      <c r="CY63" s="199"/>
      <c r="CZ63" s="447"/>
      <c r="DD63" s="150"/>
      <c r="DE63" s="714"/>
      <c r="DF63" s="205"/>
      <c r="DG63" s="718"/>
      <c r="DH63" s="718"/>
      <c r="DI63" s="198"/>
      <c r="DJ63" s="198"/>
      <c r="DK63" s="198"/>
      <c r="DL63" s="198"/>
      <c r="DM63" s="199"/>
      <c r="DN63" s="447"/>
      <c r="DQ63" s="150"/>
      <c r="DR63" s="714"/>
      <c r="DS63" s="205"/>
      <c r="DT63" s="718"/>
      <c r="DU63" s="718"/>
      <c r="DV63" s="198"/>
      <c r="DW63" s="198"/>
      <c r="DX63" s="198"/>
      <c r="DY63" s="198"/>
      <c r="DZ63" s="199"/>
      <c r="EA63" s="447"/>
    </row>
    <row r="64" spans="1:131" x14ac:dyDescent="0.2">
      <c r="A64" s="8"/>
      <c r="B64" s="8"/>
      <c r="C64" s="8"/>
      <c r="D64" s="8"/>
      <c r="E64" s="8"/>
      <c r="F64" s="8"/>
      <c r="G64" s="8"/>
      <c r="H64" s="8"/>
      <c r="I64" s="8"/>
      <c r="J64" s="8"/>
      <c r="K64" s="8"/>
      <c r="L64" s="8"/>
      <c r="M64" s="8"/>
      <c r="N64" s="8"/>
      <c r="O64" s="8"/>
      <c r="P64" s="8"/>
      <c r="Q64" s="8"/>
      <c r="R64" s="8"/>
      <c r="S64" s="8"/>
      <c r="T64" s="8"/>
      <c r="U64" s="8"/>
      <c r="V64" s="8"/>
      <c r="W64" s="8"/>
      <c r="X64" s="8"/>
      <c r="Y64" s="8"/>
      <c r="Z64" s="8"/>
      <c r="AA64" s="8"/>
      <c r="AB64" s="8"/>
      <c r="AD64" s="8"/>
      <c r="AE64" s="8"/>
      <c r="AF64" s="8"/>
      <c r="AG64" s="8"/>
      <c r="AH64" s="8"/>
      <c r="AI64" s="8"/>
      <c r="AJ64" s="8"/>
      <c r="AK64" s="8"/>
      <c r="AL64" s="8"/>
      <c r="AM64" s="8"/>
      <c r="AN64" s="8"/>
      <c r="AO64" s="8"/>
      <c r="AQ64" s="150"/>
      <c r="AR64" s="714"/>
      <c r="AS64" s="205"/>
      <c r="AT64" s="718"/>
      <c r="AU64" s="718"/>
      <c r="AV64" s="198"/>
      <c r="AW64" s="198"/>
      <c r="AX64" s="198"/>
      <c r="AY64" s="198"/>
      <c r="AZ64" s="199"/>
      <c r="BA64" s="447"/>
      <c r="BD64" s="150"/>
      <c r="BE64" s="714"/>
      <c r="BF64" s="205"/>
      <c r="BG64" s="718"/>
      <c r="BH64" s="718"/>
      <c r="BI64" s="198"/>
      <c r="BJ64" s="198"/>
      <c r="BK64" s="198"/>
      <c r="BL64" s="198"/>
      <c r="BM64" s="199"/>
      <c r="BN64" s="447"/>
      <c r="BP64" s="150"/>
      <c r="BQ64" s="714"/>
      <c r="BR64" s="205"/>
      <c r="BS64" s="718"/>
      <c r="BT64" s="718"/>
      <c r="BU64" s="198"/>
      <c r="BV64" s="198"/>
      <c r="BW64" s="198"/>
      <c r="BX64" s="198"/>
      <c r="BY64" s="199"/>
      <c r="BZ64" s="447"/>
      <c r="CB64" s="150"/>
      <c r="CC64" s="714"/>
      <c r="CD64" s="205"/>
      <c r="CE64" s="718"/>
      <c r="CF64" s="718"/>
      <c r="CG64" s="198"/>
      <c r="CH64" s="198"/>
      <c r="CI64" s="198"/>
      <c r="CJ64" s="198"/>
      <c r="CK64" s="199"/>
      <c r="CL64" s="447"/>
      <c r="CP64" s="150"/>
      <c r="CQ64" s="714"/>
      <c r="CR64" s="205"/>
      <c r="CS64" s="718"/>
      <c r="CT64" s="718"/>
      <c r="CU64" s="198"/>
      <c r="CV64" s="198"/>
      <c r="CW64" s="198"/>
      <c r="CX64" s="198"/>
      <c r="CY64" s="199"/>
      <c r="CZ64" s="447"/>
      <c r="DD64" s="150"/>
      <c r="DE64" s="714"/>
      <c r="DF64" s="205"/>
      <c r="DG64" s="718"/>
      <c r="DH64" s="718"/>
      <c r="DI64" s="198"/>
      <c r="DJ64" s="198"/>
      <c r="DK64" s="198"/>
      <c r="DL64" s="198"/>
      <c r="DM64" s="199"/>
      <c r="DN64" s="447"/>
      <c r="DQ64" s="150"/>
      <c r="DR64" s="714"/>
      <c r="DS64" s="205"/>
      <c r="DT64" s="718"/>
      <c r="DU64" s="718"/>
      <c r="DV64" s="198"/>
      <c r="DW64" s="198"/>
      <c r="DX64" s="198"/>
      <c r="DY64" s="198"/>
      <c r="DZ64" s="199"/>
      <c r="EA64" s="447"/>
    </row>
    <row r="65" spans="1:131" x14ac:dyDescent="0.2">
      <c r="A65" s="8"/>
      <c r="B65" s="8"/>
      <c r="C65" s="8"/>
      <c r="D65" s="8"/>
      <c r="E65" s="8"/>
      <c r="F65" s="8"/>
      <c r="G65" s="8"/>
      <c r="H65" s="8"/>
      <c r="I65" s="8"/>
      <c r="J65" s="8"/>
      <c r="K65" s="8"/>
      <c r="L65" s="8"/>
      <c r="M65" s="8"/>
      <c r="N65" s="8"/>
      <c r="O65" s="8"/>
      <c r="P65" s="8"/>
      <c r="Q65" s="8"/>
      <c r="R65" s="8"/>
      <c r="S65" s="8"/>
      <c r="T65" s="8"/>
      <c r="U65" s="8"/>
      <c r="V65" s="8"/>
      <c r="W65" s="8"/>
      <c r="X65" s="8"/>
      <c r="Y65" s="8"/>
      <c r="Z65" s="8"/>
      <c r="AA65" s="8"/>
      <c r="AB65" s="8"/>
      <c r="AD65" s="8"/>
      <c r="AE65" s="8"/>
      <c r="AF65" s="8"/>
      <c r="AG65" s="8"/>
      <c r="AH65" s="8"/>
      <c r="AI65" s="8"/>
      <c r="AJ65" s="8"/>
      <c r="AK65" s="8"/>
      <c r="AL65" s="8"/>
      <c r="AM65" s="8"/>
      <c r="AN65" s="8"/>
      <c r="AO65" s="8"/>
      <c r="AQ65" s="150"/>
      <c r="AR65" s="714"/>
      <c r="AS65" s="205"/>
      <c r="AT65" s="718"/>
      <c r="AU65" s="718"/>
      <c r="AV65" s="198"/>
      <c r="AW65" s="198"/>
      <c r="AX65" s="198"/>
      <c r="AY65" s="198"/>
      <c r="AZ65" s="199"/>
      <c r="BA65" s="447"/>
      <c r="BD65" s="150"/>
      <c r="BE65" s="714"/>
      <c r="BF65" s="205"/>
      <c r="BG65" s="718"/>
      <c r="BH65" s="718"/>
      <c r="BI65" s="198"/>
      <c r="BJ65" s="198"/>
      <c r="BK65" s="198"/>
      <c r="BL65" s="198"/>
      <c r="BM65" s="199"/>
      <c r="BN65" s="447"/>
      <c r="BP65" s="150"/>
      <c r="BQ65" s="714"/>
      <c r="BR65" s="205"/>
      <c r="BS65" s="718"/>
      <c r="BT65" s="718"/>
      <c r="BU65" s="198"/>
      <c r="BV65" s="198"/>
      <c r="BW65" s="198"/>
      <c r="BX65" s="198"/>
      <c r="BY65" s="199"/>
      <c r="BZ65" s="447"/>
      <c r="CB65" s="150"/>
      <c r="CC65" s="714"/>
      <c r="CD65" s="205"/>
      <c r="CE65" s="718"/>
      <c r="CF65" s="718"/>
      <c r="CG65" s="198"/>
      <c r="CH65" s="198"/>
      <c r="CI65" s="198"/>
      <c r="CJ65" s="198"/>
      <c r="CK65" s="199"/>
      <c r="CL65" s="447"/>
      <c r="CP65" s="150"/>
      <c r="CQ65" s="714"/>
      <c r="CR65" s="205"/>
      <c r="CS65" s="718"/>
      <c r="CT65" s="718"/>
      <c r="CU65" s="198"/>
      <c r="CV65" s="198"/>
      <c r="CW65" s="198"/>
      <c r="CX65" s="198"/>
      <c r="CY65" s="199"/>
      <c r="CZ65" s="447"/>
      <c r="DD65" s="150"/>
      <c r="DE65" s="714"/>
      <c r="DF65" s="205"/>
      <c r="DG65" s="718"/>
      <c r="DH65" s="718"/>
      <c r="DI65" s="198"/>
      <c r="DJ65" s="198"/>
      <c r="DK65" s="198"/>
      <c r="DL65" s="198"/>
      <c r="DM65" s="199"/>
      <c r="DN65" s="447"/>
      <c r="DQ65" s="150"/>
      <c r="DR65" s="714"/>
      <c r="DS65" s="205"/>
      <c r="DT65" s="718"/>
      <c r="DU65" s="718"/>
      <c r="DV65" s="198"/>
      <c r="DW65" s="198"/>
      <c r="DX65" s="198"/>
      <c r="DY65" s="198"/>
      <c r="DZ65" s="199"/>
      <c r="EA65" s="447"/>
    </row>
    <row r="66" spans="1:131" x14ac:dyDescent="0.2">
      <c r="A66" s="8"/>
      <c r="B66" s="8"/>
      <c r="C66" s="8"/>
      <c r="D66" s="8"/>
      <c r="E66" s="8"/>
      <c r="F66" s="8"/>
      <c r="G66" s="8"/>
      <c r="H66" s="8"/>
      <c r="I66" s="8"/>
      <c r="J66" s="8"/>
      <c r="K66" s="8"/>
      <c r="L66" s="8"/>
      <c r="M66" s="8"/>
      <c r="N66" s="8"/>
      <c r="O66" s="8"/>
      <c r="P66" s="8"/>
      <c r="Q66" s="8"/>
      <c r="R66" s="8"/>
      <c r="S66" s="8"/>
      <c r="T66" s="8"/>
      <c r="U66" s="8"/>
      <c r="V66" s="8"/>
      <c r="W66" s="8"/>
      <c r="X66" s="8"/>
      <c r="Y66" s="8"/>
      <c r="Z66" s="8"/>
      <c r="AA66" s="8"/>
      <c r="AB66" s="8"/>
      <c r="AD66" s="8"/>
      <c r="AE66" s="8"/>
      <c r="AF66" s="8"/>
      <c r="AG66" s="8"/>
      <c r="AH66" s="8"/>
      <c r="AI66" s="8"/>
      <c r="AJ66" s="8"/>
      <c r="AK66" s="8"/>
      <c r="AL66" s="8"/>
      <c r="AM66" s="8"/>
      <c r="AN66" s="8"/>
      <c r="AO66" s="8"/>
      <c r="AQ66" s="150"/>
      <c r="AR66" s="714"/>
      <c r="AS66" s="205"/>
      <c r="AT66" s="718"/>
      <c r="AU66" s="718"/>
      <c r="AV66" s="198"/>
      <c r="AW66" s="198"/>
      <c r="AX66" s="198"/>
      <c r="AY66" s="198"/>
      <c r="AZ66" s="199"/>
      <c r="BA66" s="447"/>
      <c r="BD66" s="150"/>
      <c r="BE66" s="714"/>
      <c r="BF66" s="205"/>
      <c r="BG66" s="718"/>
      <c r="BH66" s="718"/>
      <c r="BI66" s="198"/>
      <c r="BJ66" s="198"/>
      <c r="BK66" s="198"/>
      <c r="BL66" s="198"/>
      <c r="BM66" s="199"/>
      <c r="BN66" s="447"/>
      <c r="BP66" s="150"/>
      <c r="BQ66" s="714"/>
      <c r="BR66" s="205"/>
      <c r="BS66" s="718"/>
      <c r="BT66" s="718"/>
      <c r="BU66" s="198"/>
      <c r="BV66" s="198"/>
      <c r="BW66" s="198"/>
      <c r="BX66" s="198"/>
      <c r="BY66" s="199"/>
      <c r="BZ66" s="447"/>
      <c r="CB66" s="150"/>
      <c r="CC66" s="714"/>
      <c r="CD66" s="205"/>
      <c r="CE66" s="718"/>
      <c r="CF66" s="718"/>
      <c r="CG66" s="198"/>
      <c r="CH66" s="198"/>
      <c r="CI66" s="198"/>
      <c r="CJ66" s="198"/>
      <c r="CK66" s="199"/>
      <c r="CL66" s="447"/>
      <c r="CP66" s="150"/>
      <c r="CQ66" s="714"/>
      <c r="CR66" s="205"/>
      <c r="CS66" s="718"/>
      <c r="CT66" s="718"/>
      <c r="CU66" s="198"/>
      <c r="CV66" s="198"/>
      <c r="CW66" s="198"/>
      <c r="CX66" s="198"/>
      <c r="CY66" s="199"/>
      <c r="CZ66" s="447"/>
      <c r="DD66" s="150"/>
      <c r="DE66" s="714"/>
      <c r="DF66" s="205"/>
      <c r="DG66" s="718"/>
      <c r="DH66" s="718"/>
      <c r="DI66" s="198"/>
      <c r="DJ66" s="198"/>
      <c r="DK66" s="198"/>
      <c r="DL66" s="198"/>
      <c r="DM66" s="199"/>
      <c r="DN66" s="447"/>
      <c r="DQ66" s="150"/>
      <c r="DR66" s="714"/>
      <c r="DS66" s="205"/>
      <c r="DT66" s="718"/>
      <c r="DU66" s="718"/>
      <c r="DV66" s="198"/>
      <c r="DW66" s="198"/>
      <c r="DX66" s="198"/>
      <c r="DY66" s="198"/>
      <c r="DZ66" s="199"/>
      <c r="EA66" s="447"/>
    </row>
    <row r="67" spans="1:131" x14ac:dyDescent="0.2">
      <c r="A67" s="8"/>
      <c r="B67" s="8"/>
      <c r="C67" s="8"/>
      <c r="D67" s="8"/>
      <c r="E67" s="8"/>
      <c r="F67" s="8"/>
      <c r="G67" s="8"/>
      <c r="H67" s="8"/>
      <c r="I67" s="8"/>
      <c r="J67" s="8"/>
      <c r="K67" s="8"/>
      <c r="L67" s="8"/>
      <c r="M67" s="8"/>
      <c r="N67" s="8"/>
      <c r="O67" s="8"/>
      <c r="P67" s="8"/>
      <c r="Q67" s="8"/>
      <c r="R67" s="8"/>
      <c r="S67" s="8"/>
      <c r="T67" s="8"/>
      <c r="U67" s="8"/>
      <c r="V67" s="8"/>
      <c r="W67" s="8"/>
      <c r="X67" s="8"/>
      <c r="Y67" s="8"/>
      <c r="Z67" s="8"/>
      <c r="AA67" s="8"/>
      <c r="AB67" s="8"/>
      <c r="AD67" s="8"/>
      <c r="AE67" s="8"/>
      <c r="AF67" s="8"/>
      <c r="AG67" s="8"/>
      <c r="AH67" s="8"/>
      <c r="AI67" s="8"/>
      <c r="AJ67" s="8"/>
      <c r="AK67" s="8"/>
      <c r="AL67" s="8"/>
      <c r="AM67" s="8"/>
      <c r="AN67" s="8"/>
      <c r="AO67" s="8"/>
      <c r="AQ67" s="150"/>
      <c r="AR67" s="714"/>
      <c r="AS67" s="205"/>
      <c r="AT67" s="718"/>
      <c r="AU67" s="718"/>
      <c r="AV67" s="198"/>
      <c r="AW67" s="198"/>
      <c r="AX67" s="198"/>
      <c r="AY67" s="198"/>
      <c r="AZ67" s="199"/>
      <c r="BA67" s="447"/>
      <c r="BD67" s="150"/>
      <c r="BE67" s="714"/>
      <c r="BF67" s="205"/>
      <c r="BG67" s="718"/>
      <c r="BH67" s="718"/>
      <c r="BI67" s="198"/>
      <c r="BJ67" s="198"/>
      <c r="BK67" s="198"/>
      <c r="BL67" s="198"/>
      <c r="BM67" s="199"/>
      <c r="BN67" s="447"/>
      <c r="BP67" s="150"/>
      <c r="BQ67" s="714"/>
      <c r="BR67" s="205"/>
      <c r="BS67" s="718"/>
      <c r="BT67" s="718"/>
      <c r="BU67" s="198"/>
      <c r="BV67" s="198"/>
      <c r="BW67" s="198"/>
      <c r="BX67" s="198"/>
      <c r="BY67" s="199"/>
      <c r="BZ67" s="447"/>
      <c r="CB67" s="150"/>
      <c r="CC67" s="714"/>
      <c r="CD67" s="205"/>
      <c r="CE67" s="718"/>
      <c r="CF67" s="718"/>
      <c r="CG67" s="198"/>
      <c r="CH67" s="198"/>
      <c r="CI67" s="198"/>
      <c r="CJ67" s="198"/>
      <c r="CK67" s="199"/>
      <c r="CL67" s="447"/>
      <c r="CP67" s="150"/>
      <c r="CQ67" s="714"/>
      <c r="CR67" s="205"/>
      <c r="CS67" s="718"/>
      <c r="CT67" s="718"/>
      <c r="CU67" s="198"/>
      <c r="CV67" s="198"/>
      <c r="CW67" s="198"/>
      <c r="CX67" s="198"/>
      <c r="CY67" s="199"/>
      <c r="CZ67" s="447"/>
      <c r="DD67" s="150"/>
      <c r="DE67" s="714"/>
      <c r="DF67" s="205"/>
      <c r="DG67" s="718"/>
      <c r="DH67" s="718"/>
      <c r="DI67" s="198"/>
      <c r="DJ67" s="198"/>
      <c r="DK67" s="198"/>
      <c r="DL67" s="198"/>
      <c r="DM67" s="199"/>
      <c r="DN67" s="447"/>
      <c r="DQ67" s="150"/>
      <c r="DR67" s="714"/>
      <c r="DS67" s="205"/>
      <c r="DT67" s="718"/>
      <c r="DU67" s="718"/>
      <c r="DV67" s="198"/>
      <c r="DW67" s="198"/>
      <c r="DX67" s="198"/>
      <c r="DY67" s="198"/>
      <c r="DZ67" s="199"/>
      <c r="EA67" s="447"/>
    </row>
    <row r="68" spans="1:131" x14ac:dyDescent="0.2">
      <c r="A68" s="8"/>
      <c r="B68" s="8"/>
      <c r="C68" s="8"/>
      <c r="D68" s="8"/>
      <c r="E68" s="8"/>
      <c r="F68" s="8"/>
      <c r="G68" s="8"/>
      <c r="H68" s="8"/>
      <c r="I68" s="8"/>
      <c r="J68" s="8"/>
      <c r="K68" s="8"/>
      <c r="L68" s="8"/>
      <c r="M68" s="8"/>
      <c r="N68" s="8"/>
      <c r="O68" s="8"/>
      <c r="P68" s="8"/>
      <c r="Q68" s="8"/>
      <c r="R68" s="8"/>
      <c r="S68" s="8"/>
      <c r="T68" s="8"/>
      <c r="U68" s="8"/>
      <c r="V68" s="8"/>
      <c r="W68" s="8"/>
      <c r="X68" s="8"/>
      <c r="Y68" s="8"/>
      <c r="Z68" s="8"/>
      <c r="AA68" s="8"/>
      <c r="AB68" s="8"/>
      <c r="AD68" s="8"/>
      <c r="AE68" s="8"/>
      <c r="AF68" s="8"/>
      <c r="AG68" s="8"/>
      <c r="AH68" s="8"/>
      <c r="AI68" s="8"/>
      <c r="AJ68" s="8"/>
      <c r="AK68" s="8"/>
      <c r="AL68" s="8"/>
      <c r="AM68" s="8"/>
      <c r="AN68" s="8"/>
      <c r="AO68" s="8"/>
      <c r="AQ68" s="150"/>
      <c r="AR68" s="714"/>
      <c r="AS68" s="205"/>
      <c r="AT68" s="718"/>
      <c r="AU68" s="718"/>
      <c r="AV68" s="198"/>
      <c r="AW68" s="198"/>
      <c r="AX68" s="198"/>
      <c r="AY68" s="198"/>
      <c r="AZ68" s="199"/>
      <c r="BA68" s="447"/>
      <c r="BD68" s="150">
        <f t="shared" ref="BD68:BD88" si="41">+IF(BK68=0,0,BD67+1)</f>
        <v>0</v>
      </c>
      <c r="BE68" s="714"/>
      <c r="BF68" s="205"/>
      <c r="BG68" s="718"/>
      <c r="BH68" s="718"/>
      <c r="BI68" s="198"/>
      <c r="BJ68" s="198"/>
      <c r="BK68" s="198"/>
      <c r="BL68" s="198"/>
      <c r="BM68" s="199"/>
      <c r="BN68" s="447"/>
      <c r="BP68" s="150">
        <f t="shared" ref="BP68:BP88" si="42">+IF(BW68=0,0,BP67+1)</f>
        <v>0</v>
      </c>
      <c r="BQ68" s="714"/>
      <c r="BR68" s="205"/>
      <c r="BS68" s="718"/>
      <c r="BT68" s="718"/>
      <c r="BU68" s="198"/>
      <c r="BV68" s="198"/>
      <c r="BW68" s="198"/>
      <c r="BX68" s="198"/>
      <c r="BY68" s="199"/>
      <c r="BZ68" s="447"/>
      <c r="CB68" s="150">
        <f t="shared" ref="CB68:CB88" si="43">+IF(CI68=0,0,CB67+1)</f>
        <v>0</v>
      </c>
      <c r="CC68" s="714"/>
      <c r="CD68" s="205"/>
      <c r="CE68" s="718"/>
      <c r="CF68" s="718"/>
      <c r="CG68" s="198"/>
      <c r="CH68" s="198"/>
      <c r="CI68" s="198"/>
      <c r="CJ68" s="198"/>
      <c r="CK68" s="199"/>
      <c r="CL68" s="447"/>
      <c r="CP68" s="150">
        <f t="shared" ref="CP68:CP88" si="44">+IF(CW68=0,0,CP67+1)</f>
        <v>0</v>
      </c>
      <c r="CQ68" s="714"/>
      <c r="CR68" s="205"/>
      <c r="CS68" s="718"/>
      <c r="CT68" s="718"/>
      <c r="CU68" s="198"/>
      <c r="CV68" s="198"/>
      <c r="CW68" s="198"/>
      <c r="CX68" s="198"/>
      <c r="CY68" s="199"/>
      <c r="CZ68" s="447"/>
      <c r="DD68" s="150">
        <f t="shared" ref="DD68:DD88" si="45">+IF(DK68=0,0,DD67+1)</f>
        <v>0</v>
      </c>
      <c r="DE68" s="714"/>
      <c r="DF68" s="205"/>
      <c r="DG68" s="718"/>
      <c r="DH68" s="718"/>
      <c r="DI68" s="198"/>
      <c r="DJ68" s="198"/>
      <c r="DK68" s="198"/>
      <c r="DL68" s="198"/>
      <c r="DM68" s="199"/>
      <c r="DN68" s="447"/>
      <c r="DQ68" s="150">
        <f t="shared" ref="DQ68:DQ88" si="46">+IF(DX68=0,0,DQ67+1)</f>
        <v>0</v>
      </c>
      <c r="DR68" s="714"/>
      <c r="DS68" s="205"/>
      <c r="DT68" s="718"/>
      <c r="DU68" s="718"/>
      <c r="DV68" s="198"/>
      <c r="DW68" s="198"/>
      <c r="DX68" s="198"/>
      <c r="DY68" s="198"/>
      <c r="DZ68" s="199"/>
      <c r="EA68" s="447"/>
    </row>
    <row r="69" spans="1:131" x14ac:dyDescent="0.2">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D69" s="8"/>
      <c r="AE69" s="8"/>
      <c r="AF69" s="8"/>
      <c r="AG69" s="8"/>
      <c r="AH69" s="8"/>
      <c r="AI69" s="8"/>
      <c r="AJ69" s="8"/>
      <c r="AK69" s="8"/>
      <c r="AL69" s="8"/>
      <c r="AM69" s="8"/>
      <c r="AN69" s="8"/>
      <c r="AO69" s="8"/>
      <c r="AQ69" s="150"/>
      <c r="AR69" s="714"/>
      <c r="AS69" s="205"/>
      <c r="AT69" s="718"/>
      <c r="AU69" s="718"/>
      <c r="AV69" s="198"/>
      <c r="AW69" s="198"/>
      <c r="AX69" s="198"/>
      <c r="AY69" s="198"/>
      <c r="AZ69" s="199"/>
      <c r="BA69" s="447"/>
      <c r="BD69" s="150">
        <f t="shared" si="41"/>
        <v>0</v>
      </c>
      <c r="BE69" s="714"/>
      <c r="BF69" s="205"/>
      <c r="BG69" s="718"/>
      <c r="BH69" s="718"/>
      <c r="BI69" s="198"/>
      <c r="BJ69" s="198"/>
      <c r="BK69" s="198"/>
      <c r="BL69" s="198"/>
      <c r="BM69" s="199"/>
      <c r="BN69" s="447"/>
      <c r="BP69" s="150">
        <f t="shared" si="42"/>
        <v>0</v>
      </c>
      <c r="BQ69" s="714"/>
      <c r="BR69" s="205"/>
      <c r="BS69" s="718"/>
      <c r="BT69" s="718"/>
      <c r="BU69" s="198"/>
      <c r="BV69" s="198"/>
      <c r="BW69" s="198"/>
      <c r="BX69" s="198"/>
      <c r="BY69" s="199"/>
      <c r="BZ69" s="447"/>
      <c r="CB69" s="150">
        <f t="shared" si="43"/>
        <v>0</v>
      </c>
      <c r="CC69" s="714"/>
      <c r="CD69" s="205"/>
      <c r="CE69" s="718"/>
      <c r="CF69" s="718"/>
      <c r="CG69" s="198"/>
      <c r="CH69" s="198"/>
      <c r="CI69" s="198"/>
      <c r="CJ69" s="198"/>
      <c r="CK69" s="199"/>
      <c r="CL69" s="447"/>
      <c r="CP69" s="150">
        <f t="shared" si="44"/>
        <v>0</v>
      </c>
      <c r="CQ69" s="714"/>
      <c r="CR69" s="205"/>
      <c r="CS69" s="718"/>
      <c r="CT69" s="718"/>
      <c r="CU69" s="198"/>
      <c r="CV69" s="198"/>
      <c r="CW69" s="198"/>
      <c r="CX69" s="198"/>
      <c r="CY69" s="199"/>
      <c r="CZ69" s="447"/>
      <c r="DD69" s="150">
        <f t="shared" si="45"/>
        <v>0</v>
      </c>
      <c r="DE69" s="714"/>
      <c r="DF69" s="205"/>
      <c r="DG69" s="718"/>
      <c r="DH69" s="718"/>
      <c r="DI69" s="198"/>
      <c r="DJ69" s="198"/>
      <c r="DK69" s="198"/>
      <c r="DL69" s="198"/>
      <c r="DM69" s="199"/>
      <c r="DN69" s="447"/>
      <c r="DQ69" s="150">
        <f t="shared" si="46"/>
        <v>0</v>
      </c>
      <c r="DR69" s="714"/>
      <c r="DS69" s="205"/>
      <c r="DT69" s="718"/>
      <c r="DU69" s="718"/>
      <c r="DV69" s="198"/>
      <c r="DW69" s="198"/>
      <c r="DX69" s="198"/>
      <c r="DY69" s="198"/>
      <c r="DZ69" s="199"/>
      <c r="EA69" s="447"/>
    </row>
    <row r="70" spans="1:131" x14ac:dyDescent="0.2">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D70" s="8"/>
      <c r="AE70" s="8"/>
      <c r="AF70" s="8"/>
      <c r="AG70" s="8"/>
      <c r="AH70" s="8"/>
      <c r="AI70" s="8"/>
      <c r="AJ70" s="8"/>
      <c r="AK70" s="8"/>
      <c r="AL70" s="8"/>
      <c r="AM70" s="8"/>
      <c r="AN70" s="8"/>
      <c r="AO70" s="8"/>
      <c r="AQ70" s="150"/>
      <c r="AR70" s="714"/>
      <c r="AS70" s="205"/>
      <c r="AT70" s="718"/>
      <c r="AU70" s="718"/>
      <c r="AV70" s="198"/>
      <c r="AW70" s="198"/>
      <c r="AX70" s="198"/>
      <c r="AY70" s="198"/>
      <c r="AZ70" s="199"/>
      <c r="BA70" s="447"/>
      <c r="BD70" s="150">
        <f t="shared" si="41"/>
        <v>0</v>
      </c>
      <c r="BE70" s="714"/>
      <c r="BF70" s="205"/>
      <c r="BG70" s="718"/>
      <c r="BH70" s="718"/>
      <c r="BI70" s="198"/>
      <c r="BJ70" s="198"/>
      <c r="BK70" s="198"/>
      <c r="BL70" s="198"/>
      <c r="BM70" s="199"/>
      <c r="BN70" s="447"/>
      <c r="BP70" s="150">
        <f t="shared" si="42"/>
        <v>0</v>
      </c>
      <c r="BQ70" s="714"/>
      <c r="BR70" s="205"/>
      <c r="BS70" s="718"/>
      <c r="BT70" s="718"/>
      <c r="BU70" s="198"/>
      <c r="BV70" s="198"/>
      <c r="BW70" s="198"/>
      <c r="BX70" s="198"/>
      <c r="BY70" s="199"/>
      <c r="BZ70" s="447"/>
      <c r="CB70" s="150">
        <f t="shared" si="43"/>
        <v>0</v>
      </c>
      <c r="CC70" s="714"/>
      <c r="CD70" s="205"/>
      <c r="CE70" s="718"/>
      <c r="CF70" s="718"/>
      <c r="CG70" s="198"/>
      <c r="CH70" s="198"/>
      <c r="CI70" s="198"/>
      <c r="CJ70" s="198"/>
      <c r="CK70" s="199"/>
      <c r="CL70" s="447"/>
      <c r="CP70" s="150">
        <f t="shared" si="44"/>
        <v>0</v>
      </c>
      <c r="CQ70" s="714"/>
      <c r="CR70" s="205"/>
      <c r="CS70" s="718"/>
      <c r="CT70" s="718"/>
      <c r="CU70" s="198"/>
      <c r="CV70" s="198"/>
      <c r="CW70" s="198"/>
      <c r="CX70" s="198"/>
      <c r="CY70" s="199"/>
      <c r="CZ70" s="447"/>
      <c r="DD70" s="150">
        <f t="shared" si="45"/>
        <v>0</v>
      </c>
      <c r="DE70" s="714"/>
      <c r="DF70" s="205"/>
      <c r="DG70" s="718"/>
      <c r="DH70" s="718"/>
      <c r="DI70" s="198"/>
      <c r="DJ70" s="198"/>
      <c r="DK70" s="198"/>
      <c r="DL70" s="198"/>
      <c r="DM70" s="199"/>
      <c r="DN70" s="447"/>
      <c r="DQ70" s="150">
        <f t="shared" si="46"/>
        <v>0</v>
      </c>
      <c r="DR70" s="714"/>
      <c r="DS70" s="205"/>
      <c r="DT70" s="718"/>
      <c r="DU70" s="718"/>
      <c r="DV70" s="198"/>
      <c r="DW70" s="198"/>
      <c r="DX70" s="198"/>
      <c r="DY70" s="198"/>
      <c r="DZ70" s="199"/>
      <c r="EA70" s="447"/>
    </row>
    <row r="71" spans="1:131" x14ac:dyDescent="0.2">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D71" s="8"/>
      <c r="AE71" s="8"/>
      <c r="AF71" s="8"/>
      <c r="AG71" s="8"/>
      <c r="AH71" s="8"/>
      <c r="AI71" s="8"/>
      <c r="AJ71" s="8"/>
      <c r="AK71" s="8"/>
      <c r="AL71" s="8"/>
      <c r="AM71" s="8"/>
      <c r="AN71" s="8"/>
      <c r="AO71" s="8"/>
      <c r="AQ71" s="150"/>
      <c r="AR71" s="714"/>
      <c r="AS71" s="205"/>
      <c r="AT71" s="718"/>
      <c r="AU71" s="718"/>
      <c r="AV71" s="198"/>
      <c r="AW71" s="198"/>
      <c r="AX71" s="198"/>
      <c r="AY71" s="198"/>
      <c r="AZ71" s="199"/>
      <c r="BA71" s="447"/>
      <c r="BD71" s="150">
        <f t="shared" si="41"/>
        <v>0</v>
      </c>
      <c r="BE71" s="714"/>
      <c r="BF71" s="205"/>
      <c r="BG71" s="718"/>
      <c r="BH71" s="718"/>
      <c r="BI71" s="198"/>
      <c r="BJ71" s="198"/>
      <c r="BK71" s="198"/>
      <c r="BL71" s="198"/>
      <c r="BM71" s="199"/>
      <c r="BN71" s="447"/>
      <c r="BP71" s="150">
        <f t="shared" si="42"/>
        <v>0</v>
      </c>
      <c r="BQ71" s="714"/>
      <c r="BR71" s="205"/>
      <c r="BS71" s="718"/>
      <c r="BT71" s="718"/>
      <c r="BU71" s="198"/>
      <c r="BV71" s="198"/>
      <c r="BW71" s="198"/>
      <c r="BX71" s="198"/>
      <c r="BY71" s="199"/>
      <c r="BZ71" s="447"/>
      <c r="CB71" s="150">
        <f t="shared" si="43"/>
        <v>0</v>
      </c>
      <c r="CC71" s="714"/>
      <c r="CD71" s="205"/>
      <c r="CE71" s="718"/>
      <c r="CF71" s="718"/>
      <c r="CG71" s="198"/>
      <c r="CH71" s="198"/>
      <c r="CI71" s="198"/>
      <c r="CJ71" s="198"/>
      <c r="CK71" s="199"/>
      <c r="CL71" s="447"/>
      <c r="CP71" s="150">
        <f t="shared" si="44"/>
        <v>0</v>
      </c>
      <c r="CQ71" s="714"/>
      <c r="CR71" s="205"/>
      <c r="CS71" s="718"/>
      <c r="CT71" s="718"/>
      <c r="CU71" s="198"/>
      <c r="CV71" s="198"/>
      <c r="CW71" s="198"/>
      <c r="CX71" s="198"/>
      <c r="CY71" s="199"/>
      <c r="CZ71" s="447"/>
      <c r="DD71" s="150">
        <f t="shared" si="45"/>
        <v>0</v>
      </c>
      <c r="DE71" s="714"/>
      <c r="DF71" s="205"/>
      <c r="DG71" s="718"/>
      <c r="DH71" s="718"/>
      <c r="DI71" s="198"/>
      <c r="DJ71" s="198"/>
      <c r="DK71" s="198"/>
      <c r="DL71" s="198"/>
      <c r="DM71" s="199"/>
      <c r="DN71" s="447"/>
      <c r="DQ71" s="150">
        <f t="shared" si="46"/>
        <v>0</v>
      </c>
      <c r="DR71" s="714"/>
      <c r="DS71" s="205"/>
      <c r="DT71" s="718"/>
      <c r="DU71" s="718"/>
      <c r="DV71" s="198"/>
      <c r="DW71" s="198"/>
      <c r="DX71" s="198"/>
      <c r="DY71" s="198"/>
      <c r="DZ71" s="199"/>
      <c r="EA71" s="447"/>
    </row>
    <row r="72" spans="1:131" x14ac:dyDescent="0.2">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D72" s="8"/>
      <c r="AE72" s="8"/>
      <c r="AF72" s="8"/>
      <c r="AG72" s="8"/>
      <c r="AH72" s="8"/>
      <c r="AI72" s="8"/>
      <c r="AJ72" s="8"/>
      <c r="AK72" s="8"/>
      <c r="AL72" s="8"/>
      <c r="AM72" s="8"/>
      <c r="AN72" s="8"/>
      <c r="AO72" s="8"/>
      <c r="AQ72" s="150"/>
      <c r="AR72" s="714"/>
      <c r="AS72" s="205"/>
      <c r="AT72" s="718"/>
      <c r="AU72" s="718"/>
      <c r="AV72" s="198"/>
      <c r="AW72" s="198"/>
      <c r="AX72" s="198"/>
      <c r="AY72" s="198"/>
      <c r="AZ72" s="199"/>
      <c r="BA72" s="447"/>
      <c r="BD72" s="150">
        <f t="shared" si="41"/>
        <v>0</v>
      </c>
      <c r="BE72" s="714"/>
      <c r="BF72" s="205"/>
      <c r="BG72" s="718"/>
      <c r="BH72" s="718"/>
      <c r="BI72" s="198"/>
      <c r="BJ72" s="198"/>
      <c r="BK72" s="198"/>
      <c r="BL72" s="198"/>
      <c r="BM72" s="199"/>
      <c r="BN72" s="447"/>
      <c r="BP72" s="150">
        <f t="shared" si="42"/>
        <v>0</v>
      </c>
      <c r="BQ72" s="714"/>
      <c r="BR72" s="205"/>
      <c r="BS72" s="718"/>
      <c r="BT72" s="718"/>
      <c r="BU72" s="198"/>
      <c r="BV72" s="198"/>
      <c r="BW72" s="198"/>
      <c r="BX72" s="198"/>
      <c r="BY72" s="199"/>
      <c r="BZ72" s="447"/>
      <c r="CB72" s="150">
        <f t="shared" si="43"/>
        <v>0</v>
      </c>
      <c r="CC72" s="714"/>
      <c r="CD72" s="205"/>
      <c r="CE72" s="718"/>
      <c r="CF72" s="718"/>
      <c r="CG72" s="198"/>
      <c r="CH72" s="198"/>
      <c r="CI72" s="198"/>
      <c r="CJ72" s="198"/>
      <c r="CK72" s="199"/>
      <c r="CL72" s="447"/>
      <c r="CP72" s="150">
        <f t="shared" si="44"/>
        <v>0</v>
      </c>
      <c r="CQ72" s="714"/>
      <c r="CR72" s="205"/>
      <c r="CS72" s="718"/>
      <c r="CT72" s="718"/>
      <c r="CU72" s="198"/>
      <c r="CV72" s="198"/>
      <c r="CW72" s="198"/>
      <c r="CX72" s="198"/>
      <c r="CY72" s="199"/>
      <c r="CZ72" s="447"/>
      <c r="DD72" s="150">
        <f t="shared" si="45"/>
        <v>0</v>
      </c>
      <c r="DE72" s="714"/>
      <c r="DF72" s="205"/>
      <c r="DG72" s="718"/>
      <c r="DH72" s="718"/>
      <c r="DI72" s="198"/>
      <c r="DJ72" s="198"/>
      <c r="DK72" s="198"/>
      <c r="DL72" s="198"/>
      <c r="DM72" s="199"/>
      <c r="DN72" s="447"/>
      <c r="DQ72" s="150">
        <f t="shared" si="46"/>
        <v>0</v>
      </c>
      <c r="DR72" s="714"/>
      <c r="DS72" s="205"/>
      <c r="DT72" s="718"/>
      <c r="DU72" s="718"/>
      <c r="DV72" s="198"/>
      <c r="DW72" s="198"/>
      <c r="DX72" s="198"/>
      <c r="DY72" s="198"/>
      <c r="DZ72" s="199"/>
      <c r="EA72" s="447"/>
    </row>
    <row r="73" spans="1:131" x14ac:dyDescent="0.2">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D73" s="8"/>
      <c r="AE73" s="8"/>
      <c r="AF73" s="8"/>
      <c r="AG73" s="8"/>
      <c r="AH73" s="8"/>
      <c r="AI73" s="8"/>
      <c r="AJ73" s="8"/>
      <c r="AK73" s="8"/>
      <c r="AL73" s="8"/>
      <c r="AM73" s="8"/>
      <c r="AN73" s="8"/>
      <c r="AO73" s="8"/>
      <c r="AQ73" s="150"/>
      <c r="AR73" s="714"/>
      <c r="AS73" s="205"/>
      <c r="AT73" s="718"/>
      <c r="AU73" s="718"/>
      <c r="AV73" s="198"/>
      <c r="AW73" s="198"/>
      <c r="AX73" s="198"/>
      <c r="AY73" s="198"/>
      <c r="AZ73" s="199"/>
      <c r="BA73" s="447"/>
      <c r="BD73" s="150">
        <f t="shared" si="41"/>
        <v>0</v>
      </c>
      <c r="BE73" s="714"/>
      <c r="BF73" s="205"/>
      <c r="BG73" s="718"/>
      <c r="BH73" s="718"/>
      <c r="BI73" s="198"/>
      <c r="BJ73" s="198"/>
      <c r="BK73" s="198"/>
      <c r="BL73" s="198"/>
      <c r="BM73" s="199"/>
      <c r="BN73" s="447"/>
      <c r="BP73" s="150">
        <f t="shared" si="42"/>
        <v>0</v>
      </c>
      <c r="BQ73" s="714"/>
      <c r="BR73" s="205"/>
      <c r="BS73" s="718"/>
      <c r="BT73" s="718"/>
      <c r="BU73" s="198"/>
      <c r="BV73" s="198"/>
      <c r="BW73" s="198"/>
      <c r="BX73" s="198"/>
      <c r="BY73" s="199"/>
      <c r="BZ73" s="447"/>
      <c r="CB73" s="150">
        <f t="shared" si="43"/>
        <v>0</v>
      </c>
      <c r="CC73" s="714"/>
      <c r="CD73" s="205"/>
      <c r="CE73" s="718"/>
      <c r="CF73" s="718"/>
      <c r="CG73" s="198"/>
      <c r="CH73" s="198"/>
      <c r="CI73" s="198"/>
      <c r="CJ73" s="198"/>
      <c r="CK73" s="199"/>
      <c r="CL73" s="447"/>
      <c r="CP73" s="150">
        <f t="shared" si="44"/>
        <v>0</v>
      </c>
      <c r="CQ73" s="714"/>
      <c r="CR73" s="205"/>
      <c r="CS73" s="718"/>
      <c r="CT73" s="718"/>
      <c r="CU73" s="198"/>
      <c r="CV73" s="198"/>
      <c r="CW73" s="198"/>
      <c r="CX73" s="198"/>
      <c r="CY73" s="199"/>
      <c r="CZ73" s="447"/>
      <c r="DD73" s="150">
        <f t="shared" si="45"/>
        <v>0</v>
      </c>
      <c r="DE73" s="714"/>
      <c r="DF73" s="205"/>
      <c r="DG73" s="718"/>
      <c r="DH73" s="718"/>
      <c r="DI73" s="198"/>
      <c r="DJ73" s="198"/>
      <c r="DK73" s="198"/>
      <c r="DL73" s="198"/>
      <c r="DM73" s="199"/>
      <c r="DN73" s="447"/>
      <c r="DQ73" s="150">
        <f t="shared" si="46"/>
        <v>0</v>
      </c>
      <c r="DR73" s="714"/>
      <c r="DS73" s="205"/>
      <c r="DT73" s="718"/>
      <c r="DU73" s="718"/>
      <c r="DV73" s="198"/>
      <c r="DW73" s="198"/>
      <c r="DX73" s="198"/>
      <c r="DY73" s="198"/>
      <c r="DZ73" s="199"/>
      <c r="EA73" s="447"/>
    </row>
    <row r="74" spans="1:131" x14ac:dyDescent="0.2">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D74" s="8"/>
      <c r="AE74" s="8"/>
      <c r="AF74" s="8"/>
      <c r="AG74" s="8"/>
      <c r="AH74" s="8"/>
      <c r="AI74" s="8"/>
      <c r="AJ74" s="8"/>
      <c r="AK74" s="8"/>
      <c r="AL74" s="8"/>
      <c r="AM74" s="8"/>
      <c r="AN74" s="8"/>
      <c r="AO74" s="8"/>
      <c r="AQ74" s="150"/>
      <c r="AR74" s="714"/>
      <c r="AS74" s="205"/>
      <c r="AT74" s="718"/>
      <c r="AU74" s="718"/>
      <c r="AV74" s="198"/>
      <c r="AW74" s="198"/>
      <c r="AX74" s="198"/>
      <c r="AY74" s="198"/>
      <c r="AZ74" s="199"/>
      <c r="BA74" s="447"/>
      <c r="BD74" s="150">
        <f t="shared" si="41"/>
        <v>0</v>
      </c>
      <c r="BE74" s="714"/>
      <c r="BF74" s="205"/>
      <c r="BG74" s="718"/>
      <c r="BH74" s="718"/>
      <c r="BI74" s="198"/>
      <c r="BJ74" s="198"/>
      <c r="BK74" s="198"/>
      <c r="BL74" s="198"/>
      <c r="BM74" s="199"/>
      <c r="BN74" s="447"/>
      <c r="BP74" s="150">
        <f t="shared" si="42"/>
        <v>0</v>
      </c>
      <c r="BQ74" s="714"/>
      <c r="BR74" s="205"/>
      <c r="BS74" s="718"/>
      <c r="BT74" s="718"/>
      <c r="BU74" s="198"/>
      <c r="BV74" s="198"/>
      <c r="BW74" s="198"/>
      <c r="BX74" s="198"/>
      <c r="BY74" s="199"/>
      <c r="BZ74" s="447"/>
      <c r="CB74" s="150">
        <f t="shared" si="43"/>
        <v>0</v>
      </c>
      <c r="CC74" s="714"/>
      <c r="CD74" s="205"/>
      <c r="CE74" s="718"/>
      <c r="CF74" s="718"/>
      <c r="CG74" s="198"/>
      <c r="CH74" s="198"/>
      <c r="CI74" s="198"/>
      <c r="CJ74" s="198"/>
      <c r="CK74" s="199"/>
      <c r="CL74" s="447"/>
      <c r="CP74" s="150">
        <f t="shared" si="44"/>
        <v>0</v>
      </c>
      <c r="CQ74" s="714"/>
      <c r="CR74" s="205"/>
      <c r="CS74" s="718"/>
      <c r="CT74" s="718"/>
      <c r="CU74" s="198"/>
      <c r="CV74" s="198"/>
      <c r="CW74" s="198"/>
      <c r="CX74" s="198"/>
      <c r="CY74" s="199"/>
      <c r="CZ74" s="447"/>
      <c r="DD74" s="150">
        <f t="shared" si="45"/>
        <v>0</v>
      </c>
      <c r="DE74" s="714"/>
      <c r="DF74" s="205"/>
      <c r="DG74" s="718"/>
      <c r="DH74" s="718"/>
      <c r="DI74" s="198"/>
      <c r="DJ74" s="198"/>
      <c r="DK74" s="198"/>
      <c r="DL74" s="198"/>
      <c r="DM74" s="199"/>
      <c r="DN74" s="447"/>
      <c r="DQ74" s="150">
        <f t="shared" si="46"/>
        <v>0</v>
      </c>
      <c r="DR74" s="714"/>
      <c r="DS74" s="205"/>
      <c r="DT74" s="718"/>
      <c r="DU74" s="718"/>
      <c r="DV74" s="198"/>
      <c r="DW74" s="198"/>
      <c r="DX74" s="198"/>
      <c r="DY74" s="198"/>
      <c r="DZ74" s="199"/>
      <c r="EA74" s="447"/>
    </row>
    <row r="75" spans="1:131" x14ac:dyDescent="0.2">
      <c r="A75" s="8"/>
      <c r="B75" s="8"/>
      <c r="C75" s="8"/>
      <c r="D75" s="8"/>
      <c r="E75" s="8"/>
      <c r="F75" s="8"/>
      <c r="G75" s="8"/>
      <c r="H75" s="8"/>
      <c r="I75" s="8"/>
      <c r="J75" s="8"/>
      <c r="K75" s="8"/>
      <c r="L75" s="8"/>
      <c r="M75" s="8"/>
      <c r="N75" s="8"/>
      <c r="O75" s="8"/>
      <c r="P75" s="8"/>
      <c r="Q75" s="8"/>
      <c r="R75" s="8"/>
      <c r="S75" s="8"/>
      <c r="T75" s="8"/>
      <c r="U75" s="8"/>
      <c r="V75" s="8"/>
      <c r="W75" s="8"/>
      <c r="X75" s="8"/>
      <c r="Y75" s="8"/>
      <c r="Z75" s="8"/>
      <c r="AA75" s="8"/>
      <c r="AB75" s="8"/>
      <c r="AD75" s="8"/>
      <c r="AE75" s="8"/>
      <c r="AF75" s="8"/>
      <c r="AG75" s="8"/>
      <c r="AH75" s="8"/>
      <c r="AI75" s="8"/>
      <c r="AJ75" s="8"/>
      <c r="AK75" s="8"/>
      <c r="AL75" s="8"/>
      <c r="AM75" s="8"/>
      <c r="AN75" s="8"/>
      <c r="AO75" s="8"/>
      <c r="AQ75" s="150"/>
      <c r="AR75" s="714"/>
      <c r="AS75" s="205"/>
      <c r="AT75" s="718"/>
      <c r="AU75" s="718"/>
      <c r="AV75" s="198"/>
      <c r="AW75" s="198"/>
      <c r="AX75" s="198"/>
      <c r="AY75" s="198"/>
      <c r="AZ75" s="199"/>
      <c r="BA75" s="447"/>
      <c r="BD75" s="150">
        <f t="shared" si="41"/>
        <v>0</v>
      </c>
      <c r="BE75" s="714"/>
      <c r="BF75" s="205"/>
      <c r="BG75" s="718"/>
      <c r="BH75" s="718"/>
      <c r="BI75" s="198"/>
      <c r="BJ75" s="198"/>
      <c r="BK75" s="198"/>
      <c r="BL75" s="198"/>
      <c r="BM75" s="199"/>
      <c r="BN75" s="447"/>
      <c r="BP75" s="150">
        <f t="shared" si="42"/>
        <v>0</v>
      </c>
      <c r="BQ75" s="714"/>
      <c r="BR75" s="205"/>
      <c r="BS75" s="718"/>
      <c r="BT75" s="718"/>
      <c r="BU75" s="198"/>
      <c r="BV75" s="198"/>
      <c r="BW75" s="198"/>
      <c r="BX75" s="198"/>
      <c r="BY75" s="199"/>
      <c r="BZ75" s="447"/>
      <c r="CB75" s="150">
        <f t="shared" si="43"/>
        <v>0</v>
      </c>
      <c r="CC75" s="714"/>
      <c r="CD75" s="205"/>
      <c r="CE75" s="718"/>
      <c r="CF75" s="718"/>
      <c r="CG75" s="198"/>
      <c r="CH75" s="198"/>
      <c r="CI75" s="198"/>
      <c r="CJ75" s="198"/>
      <c r="CK75" s="199"/>
      <c r="CL75" s="447"/>
      <c r="CP75" s="150">
        <f t="shared" si="44"/>
        <v>0</v>
      </c>
      <c r="CQ75" s="714"/>
      <c r="CR75" s="205"/>
      <c r="CS75" s="718"/>
      <c r="CT75" s="718"/>
      <c r="CU75" s="198"/>
      <c r="CV75" s="198"/>
      <c r="CW75" s="198"/>
      <c r="CX75" s="198"/>
      <c r="CY75" s="199"/>
      <c r="CZ75" s="447"/>
      <c r="DD75" s="150">
        <f t="shared" si="45"/>
        <v>0</v>
      </c>
      <c r="DE75" s="714"/>
      <c r="DF75" s="205"/>
      <c r="DG75" s="718"/>
      <c r="DH75" s="718"/>
      <c r="DI75" s="198"/>
      <c r="DJ75" s="198"/>
      <c r="DK75" s="198"/>
      <c r="DL75" s="198"/>
      <c r="DM75" s="199"/>
      <c r="DN75" s="447"/>
      <c r="DQ75" s="150">
        <f t="shared" si="46"/>
        <v>0</v>
      </c>
      <c r="DR75" s="714"/>
      <c r="DS75" s="205"/>
      <c r="DT75" s="718"/>
      <c r="DU75" s="718"/>
      <c r="DV75" s="198"/>
      <c r="DW75" s="198"/>
      <c r="DX75" s="198"/>
      <c r="DY75" s="198"/>
      <c r="DZ75" s="199"/>
      <c r="EA75" s="447"/>
    </row>
    <row r="76" spans="1:131" x14ac:dyDescent="0.2">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D76" s="8"/>
      <c r="AE76" s="8"/>
      <c r="AF76" s="8"/>
      <c r="AG76" s="8"/>
      <c r="AH76" s="8"/>
      <c r="AI76" s="8"/>
      <c r="AJ76" s="8"/>
      <c r="AK76" s="8"/>
      <c r="AL76" s="8"/>
      <c r="AM76" s="8"/>
      <c r="AN76" s="8"/>
      <c r="AO76" s="8"/>
      <c r="AQ76" s="150"/>
      <c r="AR76" s="714"/>
      <c r="AS76" s="205"/>
      <c r="AT76" s="718"/>
      <c r="AU76" s="718"/>
      <c r="AV76" s="198"/>
      <c r="AW76" s="198"/>
      <c r="AX76" s="198"/>
      <c r="AY76" s="198"/>
      <c r="AZ76" s="199"/>
      <c r="BA76" s="447"/>
      <c r="BD76" s="150">
        <f t="shared" si="41"/>
        <v>0</v>
      </c>
      <c r="BE76" s="714"/>
      <c r="BF76" s="205"/>
      <c r="BG76" s="718"/>
      <c r="BH76" s="718"/>
      <c r="BI76" s="198"/>
      <c r="BJ76" s="198"/>
      <c r="BK76" s="198"/>
      <c r="BL76" s="198"/>
      <c r="BM76" s="199"/>
      <c r="BN76" s="447"/>
      <c r="BP76" s="150">
        <f t="shared" si="42"/>
        <v>0</v>
      </c>
      <c r="BQ76" s="714"/>
      <c r="BR76" s="205"/>
      <c r="BS76" s="718"/>
      <c r="BT76" s="718"/>
      <c r="BU76" s="198"/>
      <c r="BV76" s="198"/>
      <c r="BW76" s="198"/>
      <c r="BX76" s="198"/>
      <c r="BY76" s="199"/>
      <c r="BZ76" s="447"/>
      <c r="CB76" s="150">
        <f t="shared" si="43"/>
        <v>0</v>
      </c>
      <c r="CC76" s="714"/>
      <c r="CD76" s="205"/>
      <c r="CE76" s="718"/>
      <c r="CF76" s="718"/>
      <c r="CG76" s="198"/>
      <c r="CH76" s="198"/>
      <c r="CI76" s="198"/>
      <c r="CJ76" s="198"/>
      <c r="CK76" s="199"/>
      <c r="CL76" s="447"/>
      <c r="CP76" s="150">
        <f t="shared" si="44"/>
        <v>0</v>
      </c>
      <c r="CQ76" s="714"/>
      <c r="CR76" s="205"/>
      <c r="CS76" s="718"/>
      <c r="CT76" s="718"/>
      <c r="CU76" s="198"/>
      <c r="CV76" s="198"/>
      <c r="CW76" s="198"/>
      <c r="CX76" s="198"/>
      <c r="CY76" s="199"/>
      <c r="CZ76" s="447"/>
      <c r="DD76" s="150">
        <f t="shared" si="45"/>
        <v>0</v>
      </c>
      <c r="DE76" s="714"/>
      <c r="DF76" s="205"/>
      <c r="DG76" s="718"/>
      <c r="DH76" s="718"/>
      <c r="DI76" s="198"/>
      <c r="DJ76" s="198"/>
      <c r="DK76" s="198"/>
      <c r="DL76" s="198"/>
      <c r="DM76" s="199"/>
      <c r="DN76" s="447"/>
      <c r="DQ76" s="150">
        <f t="shared" si="46"/>
        <v>0</v>
      </c>
      <c r="DR76" s="714"/>
      <c r="DS76" s="205"/>
      <c r="DT76" s="718"/>
      <c r="DU76" s="718"/>
      <c r="DV76" s="198"/>
      <c r="DW76" s="198"/>
      <c r="DX76" s="198"/>
      <c r="DY76" s="198"/>
      <c r="DZ76" s="199"/>
      <c r="EA76" s="447"/>
    </row>
    <row r="77" spans="1:131" x14ac:dyDescent="0.2">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D77" s="8"/>
      <c r="AE77" s="8"/>
      <c r="AF77" s="8"/>
      <c r="AG77" s="8"/>
      <c r="AH77" s="8"/>
      <c r="AI77" s="8"/>
      <c r="AJ77" s="8"/>
      <c r="AK77" s="8"/>
      <c r="AL77" s="8"/>
      <c r="AM77" s="8"/>
      <c r="AN77" s="8"/>
      <c r="AO77" s="8"/>
      <c r="AQ77" s="150"/>
      <c r="AR77" s="714"/>
      <c r="AS77" s="205"/>
      <c r="AT77" s="718"/>
      <c r="AU77" s="718"/>
      <c r="AV77" s="198"/>
      <c r="AW77" s="198"/>
      <c r="AX77" s="198"/>
      <c r="AY77" s="198"/>
      <c r="AZ77" s="199"/>
      <c r="BA77" s="447"/>
      <c r="BD77" s="150">
        <f t="shared" si="41"/>
        <v>0</v>
      </c>
      <c r="BE77" s="714"/>
      <c r="BF77" s="205"/>
      <c r="BG77" s="718"/>
      <c r="BH77" s="718"/>
      <c r="BI77" s="198"/>
      <c r="BJ77" s="198"/>
      <c r="BK77" s="198"/>
      <c r="BL77" s="198"/>
      <c r="BM77" s="199"/>
      <c r="BN77" s="447"/>
      <c r="BP77" s="150">
        <f t="shared" si="42"/>
        <v>0</v>
      </c>
      <c r="BQ77" s="714"/>
      <c r="BR77" s="205"/>
      <c r="BS77" s="718"/>
      <c r="BT77" s="718"/>
      <c r="BU77" s="198"/>
      <c r="BV77" s="198"/>
      <c r="BW77" s="198"/>
      <c r="BX77" s="198"/>
      <c r="BY77" s="199"/>
      <c r="BZ77" s="447"/>
      <c r="CB77" s="150">
        <f t="shared" si="43"/>
        <v>0</v>
      </c>
      <c r="CC77" s="714"/>
      <c r="CD77" s="205"/>
      <c r="CE77" s="718"/>
      <c r="CF77" s="718"/>
      <c r="CG77" s="198"/>
      <c r="CH77" s="198"/>
      <c r="CI77" s="198"/>
      <c r="CJ77" s="198"/>
      <c r="CK77" s="199"/>
      <c r="CL77" s="447"/>
      <c r="CP77" s="150">
        <f t="shared" si="44"/>
        <v>0</v>
      </c>
      <c r="CQ77" s="714"/>
      <c r="CR77" s="205"/>
      <c r="CS77" s="718"/>
      <c r="CT77" s="718"/>
      <c r="CU77" s="198"/>
      <c r="CV77" s="198"/>
      <c r="CW77" s="198"/>
      <c r="CX77" s="198"/>
      <c r="CY77" s="199"/>
      <c r="CZ77" s="447"/>
      <c r="DD77" s="150">
        <f t="shared" si="45"/>
        <v>0</v>
      </c>
      <c r="DE77" s="714"/>
      <c r="DF77" s="205"/>
      <c r="DG77" s="718"/>
      <c r="DH77" s="718"/>
      <c r="DI77" s="198"/>
      <c r="DJ77" s="198"/>
      <c r="DK77" s="198"/>
      <c r="DL77" s="198"/>
      <c r="DM77" s="199"/>
      <c r="DN77" s="447"/>
      <c r="DQ77" s="150">
        <f t="shared" si="46"/>
        <v>0</v>
      </c>
      <c r="DR77" s="714"/>
      <c r="DS77" s="205"/>
      <c r="DT77" s="718"/>
      <c r="DU77" s="718"/>
      <c r="DV77" s="198"/>
      <c r="DW77" s="198"/>
      <c r="DX77" s="198"/>
      <c r="DY77" s="198"/>
      <c r="DZ77" s="199"/>
      <c r="EA77" s="447"/>
    </row>
    <row r="78" spans="1:131" x14ac:dyDescent="0.2">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D78" s="8"/>
      <c r="AE78" s="8"/>
      <c r="AF78" s="8"/>
      <c r="AG78" s="8"/>
      <c r="AH78" s="8"/>
      <c r="AI78" s="8"/>
      <c r="AJ78" s="8"/>
      <c r="AK78" s="8"/>
      <c r="AL78" s="8"/>
      <c r="AM78" s="8"/>
      <c r="AN78" s="8"/>
      <c r="AO78" s="8"/>
      <c r="AQ78" s="150"/>
      <c r="AR78" s="714"/>
      <c r="AS78" s="205"/>
      <c r="AT78" s="718"/>
      <c r="AU78" s="718"/>
      <c r="AV78" s="198"/>
      <c r="AW78" s="198"/>
      <c r="AX78" s="198"/>
      <c r="AY78" s="198"/>
      <c r="AZ78" s="199"/>
      <c r="BA78" s="447"/>
      <c r="BD78" s="150">
        <f t="shared" si="41"/>
        <v>0</v>
      </c>
      <c r="BE78" s="714"/>
      <c r="BF78" s="205"/>
      <c r="BG78" s="718"/>
      <c r="BH78" s="718"/>
      <c r="BI78" s="198"/>
      <c r="BJ78" s="198"/>
      <c r="BK78" s="198"/>
      <c r="BL78" s="198"/>
      <c r="BM78" s="199"/>
      <c r="BN78" s="447"/>
      <c r="BP78" s="150">
        <f t="shared" si="42"/>
        <v>0</v>
      </c>
      <c r="BQ78" s="714"/>
      <c r="BR78" s="205"/>
      <c r="BS78" s="718"/>
      <c r="BT78" s="718"/>
      <c r="BU78" s="198"/>
      <c r="BV78" s="198"/>
      <c r="BW78" s="198"/>
      <c r="BX78" s="198"/>
      <c r="BY78" s="199"/>
      <c r="BZ78" s="447"/>
      <c r="CB78" s="150">
        <f t="shared" si="43"/>
        <v>0</v>
      </c>
      <c r="CC78" s="714"/>
      <c r="CD78" s="205"/>
      <c r="CE78" s="718"/>
      <c r="CF78" s="718"/>
      <c r="CG78" s="198"/>
      <c r="CH78" s="198"/>
      <c r="CI78" s="198"/>
      <c r="CJ78" s="198"/>
      <c r="CK78" s="199"/>
      <c r="CL78" s="447"/>
      <c r="CP78" s="150">
        <f t="shared" si="44"/>
        <v>0</v>
      </c>
      <c r="CQ78" s="714"/>
      <c r="CR78" s="205"/>
      <c r="CS78" s="718"/>
      <c r="CT78" s="718"/>
      <c r="CU78" s="198"/>
      <c r="CV78" s="198"/>
      <c r="CW78" s="198"/>
      <c r="CX78" s="198"/>
      <c r="CY78" s="199"/>
      <c r="CZ78" s="447"/>
      <c r="DD78" s="150">
        <f t="shared" si="45"/>
        <v>0</v>
      </c>
      <c r="DE78" s="714"/>
      <c r="DF78" s="205"/>
      <c r="DG78" s="718"/>
      <c r="DH78" s="718"/>
      <c r="DI78" s="198"/>
      <c r="DJ78" s="198"/>
      <c r="DK78" s="198"/>
      <c r="DL78" s="198"/>
      <c r="DM78" s="199"/>
      <c r="DN78" s="447"/>
      <c r="DQ78" s="150">
        <f t="shared" si="46"/>
        <v>0</v>
      </c>
      <c r="DR78" s="714"/>
      <c r="DS78" s="205"/>
      <c r="DT78" s="718"/>
      <c r="DU78" s="718"/>
      <c r="DV78" s="198"/>
      <c r="DW78" s="198"/>
      <c r="DX78" s="198"/>
      <c r="DY78" s="198"/>
      <c r="DZ78" s="199"/>
      <c r="EA78" s="447"/>
    </row>
    <row r="79" spans="1:131" x14ac:dyDescent="0.2">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D79" s="8"/>
      <c r="AE79" s="8"/>
      <c r="AF79" s="8"/>
      <c r="AG79" s="8"/>
      <c r="AH79" s="8"/>
      <c r="AI79" s="8"/>
      <c r="AJ79" s="8"/>
      <c r="AK79" s="8"/>
      <c r="AL79" s="8"/>
      <c r="AM79" s="8"/>
      <c r="AN79" s="8"/>
      <c r="AO79" s="8"/>
      <c r="AQ79" s="150"/>
      <c r="AR79" s="714"/>
      <c r="AS79" s="205"/>
      <c r="AT79" s="718"/>
      <c r="AU79" s="718"/>
      <c r="AV79" s="198"/>
      <c r="AW79" s="198"/>
      <c r="AX79" s="198"/>
      <c r="AY79" s="198"/>
      <c r="AZ79" s="199"/>
      <c r="BA79" s="447"/>
      <c r="BD79" s="150">
        <f t="shared" si="41"/>
        <v>0</v>
      </c>
      <c r="BE79" s="714"/>
      <c r="BF79" s="205"/>
      <c r="BG79" s="718"/>
      <c r="BH79" s="718"/>
      <c r="BI79" s="198"/>
      <c r="BJ79" s="198"/>
      <c r="BK79" s="198"/>
      <c r="BL79" s="198"/>
      <c r="BM79" s="199"/>
      <c r="BN79" s="447"/>
      <c r="BP79" s="150">
        <f t="shared" si="42"/>
        <v>0</v>
      </c>
      <c r="BQ79" s="714"/>
      <c r="BR79" s="205"/>
      <c r="BS79" s="718"/>
      <c r="BT79" s="718"/>
      <c r="BU79" s="198"/>
      <c r="BV79" s="198"/>
      <c r="BW79" s="198"/>
      <c r="BX79" s="198"/>
      <c r="BY79" s="199"/>
      <c r="BZ79" s="447"/>
      <c r="CB79" s="150">
        <f t="shared" si="43"/>
        <v>0</v>
      </c>
      <c r="CC79" s="714"/>
      <c r="CD79" s="205"/>
      <c r="CE79" s="718"/>
      <c r="CF79" s="718"/>
      <c r="CG79" s="198"/>
      <c r="CH79" s="198"/>
      <c r="CI79" s="198"/>
      <c r="CJ79" s="198"/>
      <c r="CK79" s="199"/>
      <c r="CL79" s="447"/>
      <c r="CP79" s="150">
        <f t="shared" si="44"/>
        <v>0</v>
      </c>
      <c r="CQ79" s="714"/>
      <c r="CR79" s="205"/>
      <c r="CS79" s="718"/>
      <c r="CT79" s="718"/>
      <c r="CU79" s="198"/>
      <c r="CV79" s="198"/>
      <c r="CW79" s="198"/>
      <c r="CX79" s="198"/>
      <c r="CY79" s="199"/>
      <c r="CZ79" s="447"/>
      <c r="DD79" s="150">
        <f t="shared" si="45"/>
        <v>0</v>
      </c>
      <c r="DE79" s="714"/>
      <c r="DF79" s="205"/>
      <c r="DG79" s="718"/>
      <c r="DH79" s="718"/>
      <c r="DI79" s="198"/>
      <c r="DJ79" s="198"/>
      <c r="DK79" s="198"/>
      <c r="DL79" s="198"/>
      <c r="DM79" s="199"/>
      <c r="DN79" s="447"/>
      <c r="DQ79" s="150">
        <f t="shared" si="46"/>
        <v>0</v>
      </c>
      <c r="DR79" s="714"/>
      <c r="DS79" s="205"/>
      <c r="DT79" s="718"/>
      <c r="DU79" s="718"/>
      <c r="DV79" s="198"/>
      <c r="DW79" s="198"/>
      <c r="DX79" s="198"/>
      <c r="DY79" s="198"/>
      <c r="DZ79" s="199"/>
      <c r="EA79" s="447"/>
    </row>
    <row r="80" spans="1:131" x14ac:dyDescent="0.2">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D80" s="8"/>
      <c r="AE80" s="8"/>
      <c r="AF80" s="8"/>
      <c r="AG80" s="8"/>
      <c r="AH80" s="8"/>
      <c r="AI80" s="8"/>
      <c r="AJ80" s="8"/>
      <c r="AK80" s="8"/>
      <c r="AL80" s="8"/>
      <c r="AM80" s="8"/>
      <c r="AN80" s="8"/>
      <c r="AO80" s="8"/>
      <c r="AQ80" s="150"/>
      <c r="AR80" s="714"/>
      <c r="AS80" s="205"/>
      <c r="AT80" s="718"/>
      <c r="AU80" s="718"/>
      <c r="AV80" s="198"/>
      <c r="AW80" s="198"/>
      <c r="AX80" s="198"/>
      <c r="AY80" s="198"/>
      <c r="AZ80" s="199"/>
      <c r="BA80" s="447"/>
      <c r="BD80" s="150">
        <f t="shared" si="41"/>
        <v>0</v>
      </c>
      <c r="BE80" s="714"/>
      <c r="BF80" s="205"/>
      <c r="BG80" s="718"/>
      <c r="BH80" s="718"/>
      <c r="BI80" s="198"/>
      <c r="BJ80" s="198"/>
      <c r="BK80" s="198"/>
      <c r="BL80" s="198"/>
      <c r="BM80" s="199"/>
      <c r="BN80" s="447"/>
      <c r="BP80" s="150">
        <f t="shared" si="42"/>
        <v>0</v>
      </c>
      <c r="BQ80" s="714"/>
      <c r="BR80" s="205"/>
      <c r="BS80" s="718"/>
      <c r="BT80" s="718"/>
      <c r="BU80" s="198"/>
      <c r="BV80" s="198"/>
      <c r="BW80" s="198"/>
      <c r="BX80" s="198"/>
      <c r="BY80" s="199"/>
      <c r="BZ80" s="447"/>
      <c r="CB80" s="150">
        <f t="shared" si="43"/>
        <v>0</v>
      </c>
      <c r="CC80" s="714"/>
      <c r="CD80" s="205"/>
      <c r="CE80" s="718"/>
      <c r="CF80" s="718"/>
      <c r="CG80" s="198"/>
      <c r="CH80" s="198"/>
      <c r="CI80" s="198"/>
      <c r="CJ80" s="198"/>
      <c r="CK80" s="199"/>
      <c r="CL80" s="447"/>
      <c r="CP80" s="150">
        <f t="shared" si="44"/>
        <v>0</v>
      </c>
      <c r="CQ80" s="714"/>
      <c r="CR80" s="205"/>
      <c r="CS80" s="718"/>
      <c r="CT80" s="718"/>
      <c r="CU80" s="198"/>
      <c r="CV80" s="198"/>
      <c r="CW80" s="198"/>
      <c r="CX80" s="198"/>
      <c r="CY80" s="199"/>
      <c r="CZ80" s="447"/>
      <c r="DD80" s="150">
        <f t="shared" si="45"/>
        <v>0</v>
      </c>
      <c r="DE80" s="714"/>
      <c r="DF80" s="205"/>
      <c r="DG80" s="718"/>
      <c r="DH80" s="718"/>
      <c r="DI80" s="198"/>
      <c r="DJ80" s="198"/>
      <c r="DK80" s="198"/>
      <c r="DL80" s="198"/>
      <c r="DM80" s="199"/>
      <c r="DN80" s="447"/>
      <c r="DQ80" s="150">
        <f t="shared" si="46"/>
        <v>0</v>
      </c>
      <c r="DR80" s="714"/>
      <c r="DS80" s="205"/>
      <c r="DT80" s="718"/>
      <c r="DU80" s="718"/>
      <c r="DV80" s="198"/>
      <c r="DW80" s="198"/>
      <c r="DX80" s="198"/>
      <c r="DY80" s="198"/>
      <c r="DZ80" s="199"/>
      <c r="EA80" s="447"/>
    </row>
    <row r="81" spans="1:131" x14ac:dyDescent="0.2">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D81" s="8"/>
      <c r="AE81" s="8"/>
      <c r="AF81" s="8"/>
      <c r="AG81" s="8"/>
      <c r="AH81" s="8"/>
      <c r="AI81" s="8"/>
      <c r="AJ81" s="8"/>
      <c r="AK81" s="8"/>
      <c r="AL81" s="8"/>
      <c r="AM81" s="8"/>
      <c r="AN81" s="8"/>
      <c r="AO81" s="8"/>
      <c r="AQ81" s="150"/>
      <c r="AR81" s="714"/>
      <c r="AS81" s="205"/>
      <c r="AT81" s="718"/>
      <c r="AU81" s="718"/>
      <c r="AV81" s="198"/>
      <c r="AW81" s="198"/>
      <c r="AX81" s="198"/>
      <c r="AY81" s="198"/>
      <c r="AZ81" s="199"/>
      <c r="BA81" s="447"/>
      <c r="BD81" s="150">
        <f t="shared" si="41"/>
        <v>0</v>
      </c>
      <c r="BE81" s="714"/>
      <c r="BF81" s="205"/>
      <c r="BG81" s="718"/>
      <c r="BH81" s="718"/>
      <c r="BI81" s="198"/>
      <c r="BJ81" s="198"/>
      <c r="BK81" s="198"/>
      <c r="BL81" s="198"/>
      <c r="BM81" s="199"/>
      <c r="BN81" s="447"/>
      <c r="BP81" s="150">
        <f t="shared" si="42"/>
        <v>0</v>
      </c>
      <c r="BQ81" s="714"/>
      <c r="BR81" s="205"/>
      <c r="BS81" s="718"/>
      <c r="BT81" s="718"/>
      <c r="BU81" s="198"/>
      <c r="BV81" s="198"/>
      <c r="BW81" s="198"/>
      <c r="BX81" s="198"/>
      <c r="BY81" s="199"/>
      <c r="BZ81" s="447"/>
      <c r="CB81" s="150">
        <f t="shared" si="43"/>
        <v>0</v>
      </c>
      <c r="CC81" s="714"/>
      <c r="CD81" s="205"/>
      <c r="CE81" s="718"/>
      <c r="CF81" s="718"/>
      <c r="CG81" s="198"/>
      <c r="CH81" s="198"/>
      <c r="CI81" s="198"/>
      <c r="CJ81" s="198"/>
      <c r="CK81" s="199"/>
      <c r="CL81" s="447"/>
      <c r="CP81" s="150">
        <f t="shared" si="44"/>
        <v>0</v>
      </c>
      <c r="CQ81" s="714"/>
      <c r="CR81" s="205"/>
      <c r="CS81" s="718"/>
      <c r="CT81" s="718"/>
      <c r="CU81" s="198"/>
      <c r="CV81" s="198"/>
      <c r="CW81" s="198"/>
      <c r="CX81" s="198"/>
      <c r="CY81" s="199"/>
      <c r="CZ81" s="447"/>
      <c r="DD81" s="150">
        <f t="shared" si="45"/>
        <v>0</v>
      </c>
      <c r="DE81" s="714"/>
      <c r="DF81" s="205"/>
      <c r="DG81" s="718"/>
      <c r="DH81" s="718"/>
      <c r="DI81" s="198"/>
      <c r="DJ81" s="198"/>
      <c r="DK81" s="198"/>
      <c r="DL81" s="198"/>
      <c r="DM81" s="199"/>
      <c r="DN81" s="447"/>
      <c r="DQ81" s="150">
        <f t="shared" si="46"/>
        <v>0</v>
      </c>
      <c r="DR81" s="714"/>
      <c r="DS81" s="205"/>
      <c r="DT81" s="718"/>
      <c r="DU81" s="718"/>
      <c r="DV81" s="198"/>
      <c r="DW81" s="198"/>
      <c r="DX81" s="198"/>
      <c r="DY81" s="198"/>
      <c r="DZ81" s="199"/>
      <c r="EA81" s="447"/>
    </row>
    <row r="82" spans="1:131" x14ac:dyDescent="0.2">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D82" s="8"/>
      <c r="AE82" s="8"/>
      <c r="AF82" s="8"/>
      <c r="AG82" s="8"/>
      <c r="AH82" s="8"/>
      <c r="AI82" s="8"/>
      <c r="AJ82" s="8"/>
      <c r="AK82" s="8"/>
      <c r="AL82" s="8"/>
      <c r="AM82" s="8"/>
      <c r="AN82" s="8"/>
      <c r="AO82" s="8"/>
      <c r="AQ82" s="150"/>
      <c r="AR82" s="714"/>
      <c r="AS82" s="205"/>
      <c r="AT82" s="718"/>
      <c r="AU82" s="718"/>
      <c r="AV82" s="198"/>
      <c r="AW82" s="198"/>
      <c r="AX82" s="198"/>
      <c r="AY82" s="198"/>
      <c r="AZ82" s="199"/>
      <c r="BA82" s="447"/>
      <c r="BD82" s="150">
        <f t="shared" si="41"/>
        <v>0</v>
      </c>
      <c r="BE82" s="714"/>
      <c r="BF82" s="205"/>
      <c r="BG82" s="718"/>
      <c r="BH82" s="718"/>
      <c r="BI82" s="198"/>
      <c r="BJ82" s="198"/>
      <c r="BK82" s="198"/>
      <c r="BL82" s="198"/>
      <c r="BM82" s="199"/>
      <c r="BN82" s="447"/>
      <c r="BP82" s="150">
        <f t="shared" si="42"/>
        <v>0</v>
      </c>
      <c r="BQ82" s="714"/>
      <c r="BR82" s="205"/>
      <c r="BS82" s="718"/>
      <c r="BT82" s="718"/>
      <c r="BU82" s="198"/>
      <c r="BV82" s="198"/>
      <c r="BW82" s="198"/>
      <c r="BX82" s="198"/>
      <c r="BY82" s="199"/>
      <c r="BZ82" s="447"/>
      <c r="CB82" s="150">
        <f t="shared" si="43"/>
        <v>0</v>
      </c>
      <c r="CC82" s="714"/>
      <c r="CD82" s="205"/>
      <c r="CE82" s="718"/>
      <c r="CF82" s="718"/>
      <c r="CG82" s="198"/>
      <c r="CH82" s="198"/>
      <c r="CI82" s="198"/>
      <c r="CJ82" s="198"/>
      <c r="CK82" s="199"/>
      <c r="CL82" s="447"/>
      <c r="CP82" s="150">
        <f t="shared" si="44"/>
        <v>0</v>
      </c>
      <c r="CQ82" s="714"/>
      <c r="CR82" s="205"/>
      <c r="CS82" s="718"/>
      <c r="CT82" s="718"/>
      <c r="CU82" s="198"/>
      <c r="CV82" s="198"/>
      <c r="CW82" s="198"/>
      <c r="CX82" s="198"/>
      <c r="CY82" s="199"/>
      <c r="CZ82" s="447"/>
      <c r="DD82" s="150">
        <f t="shared" si="45"/>
        <v>0</v>
      </c>
      <c r="DE82" s="714"/>
      <c r="DF82" s="205"/>
      <c r="DG82" s="718"/>
      <c r="DH82" s="718"/>
      <c r="DI82" s="198"/>
      <c r="DJ82" s="198"/>
      <c r="DK82" s="198"/>
      <c r="DL82" s="198"/>
      <c r="DM82" s="199"/>
      <c r="DN82" s="447"/>
      <c r="DQ82" s="150">
        <f t="shared" si="46"/>
        <v>0</v>
      </c>
      <c r="DR82" s="714"/>
      <c r="DS82" s="205"/>
      <c r="DT82" s="718"/>
      <c r="DU82" s="718"/>
      <c r="DV82" s="198"/>
      <c r="DW82" s="198"/>
      <c r="DX82" s="198"/>
      <c r="DY82" s="198"/>
      <c r="DZ82" s="199"/>
      <c r="EA82" s="447"/>
    </row>
    <row r="83" spans="1:131" x14ac:dyDescent="0.2">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D83" s="8"/>
      <c r="AE83" s="8"/>
      <c r="AF83" s="8"/>
      <c r="AG83" s="8"/>
      <c r="AH83" s="8"/>
      <c r="AI83" s="8"/>
      <c r="AJ83" s="8"/>
      <c r="AK83" s="8"/>
      <c r="AL83" s="8"/>
      <c r="AM83" s="8"/>
      <c r="AN83" s="8"/>
      <c r="AO83" s="8"/>
      <c r="AQ83" s="150"/>
      <c r="AR83" s="714"/>
      <c r="AS83" s="205"/>
      <c r="AT83" s="718"/>
      <c r="AU83" s="718"/>
      <c r="AV83" s="198"/>
      <c r="AW83" s="198"/>
      <c r="AX83" s="198"/>
      <c r="AY83" s="198"/>
      <c r="AZ83" s="199"/>
      <c r="BA83" s="447"/>
      <c r="BD83" s="150">
        <f t="shared" si="41"/>
        <v>0</v>
      </c>
      <c r="BE83" s="714"/>
      <c r="BF83" s="205"/>
      <c r="BG83" s="718"/>
      <c r="BH83" s="718"/>
      <c r="BI83" s="198"/>
      <c r="BJ83" s="198"/>
      <c r="BK83" s="198"/>
      <c r="BL83" s="198"/>
      <c r="BM83" s="199"/>
      <c r="BN83" s="447"/>
      <c r="BP83" s="150">
        <f t="shared" si="42"/>
        <v>0</v>
      </c>
      <c r="BQ83" s="714"/>
      <c r="BR83" s="205"/>
      <c r="BS83" s="718"/>
      <c r="BT83" s="718"/>
      <c r="BU83" s="198"/>
      <c r="BV83" s="198"/>
      <c r="BW83" s="198"/>
      <c r="BX83" s="198"/>
      <c r="BY83" s="199"/>
      <c r="BZ83" s="447"/>
      <c r="CB83" s="150">
        <f t="shared" si="43"/>
        <v>0</v>
      </c>
      <c r="CC83" s="714"/>
      <c r="CD83" s="205"/>
      <c r="CE83" s="718"/>
      <c r="CF83" s="718"/>
      <c r="CG83" s="198"/>
      <c r="CH83" s="198"/>
      <c r="CI83" s="198"/>
      <c r="CJ83" s="198"/>
      <c r="CK83" s="199"/>
      <c r="CL83" s="447"/>
      <c r="CP83" s="150">
        <f t="shared" si="44"/>
        <v>0</v>
      </c>
      <c r="CQ83" s="714"/>
      <c r="CR83" s="205"/>
      <c r="CS83" s="718"/>
      <c r="CT83" s="718"/>
      <c r="CU83" s="198"/>
      <c r="CV83" s="198"/>
      <c r="CW83" s="198"/>
      <c r="CX83" s="198"/>
      <c r="CY83" s="199"/>
      <c r="CZ83" s="447"/>
      <c r="DD83" s="150">
        <f t="shared" si="45"/>
        <v>0</v>
      </c>
      <c r="DE83" s="714"/>
      <c r="DF83" s="205"/>
      <c r="DG83" s="718"/>
      <c r="DH83" s="718"/>
      <c r="DI83" s="198"/>
      <c r="DJ83" s="198"/>
      <c r="DK83" s="198"/>
      <c r="DL83" s="198"/>
      <c r="DM83" s="199"/>
      <c r="DN83" s="447"/>
      <c r="DQ83" s="150">
        <f t="shared" si="46"/>
        <v>0</v>
      </c>
      <c r="DR83" s="714"/>
      <c r="DS83" s="205"/>
      <c r="DT83" s="718"/>
      <c r="DU83" s="718"/>
      <c r="DV83" s="198"/>
      <c r="DW83" s="198"/>
      <c r="DX83" s="198"/>
      <c r="DY83" s="198"/>
      <c r="DZ83" s="199"/>
      <c r="EA83" s="447"/>
    </row>
    <row r="84" spans="1:131" x14ac:dyDescent="0.2">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D84" s="8"/>
      <c r="AE84" s="8"/>
      <c r="AF84" s="8"/>
      <c r="AG84" s="8"/>
      <c r="AH84" s="8"/>
      <c r="AI84" s="8"/>
      <c r="AJ84" s="8"/>
      <c r="AK84" s="8"/>
      <c r="AL84" s="8"/>
      <c r="AM84" s="8"/>
      <c r="AN84" s="8"/>
      <c r="AO84" s="8"/>
      <c r="AQ84"/>
      <c r="AR84" s="1103"/>
      <c r="AS84" s="1104"/>
      <c r="AT84" s="1105"/>
      <c r="AU84" s="1105"/>
      <c r="AV84" s="1106"/>
      <c r="AW84" s="1106"/>
      <c r="AX84" s="1106"/>
      <c r="AY84" s="1106"/>
      <c r="AZ84" s="1107"/>
      <c r="BA84" s="1102"/>
      <c r="BD84">
        <f t="shared" si="41"/>
        <v>0</v>
      </c>
      <c r="BE84" s="1103"/>
      <c r="BF84" s="1104"/>
      <c r="BG84" s="1105"/>
      <c r="BH84" s="1105"/>
      <c r="BI84" s="1106"/>
      <c r="BJ84" s="1106"/>
      <c r="BK84" s="1106"/>
      <c r="BL84" s="1106"/>
      <c r="BM84" s="1107"/>
      <c r="BN84" s="1102"/>
      <c r="BP84">
        <f t="shared" si="42"/>
        <v>0</v>
      </c>
      <c r="BQ84" s="1103"/>
      <c r="BR84" s="1104"/>
      <c r="BS84" s="1105"/>
      <c r="BT84" s="1105"/>
      <c r="BU84" s="1106"/>
      <c r="BV84" s="1106"/>
      <c r="BW84" s="1106"/>
      <c r="BX84" s="1106"/>
      <c r="BY84" s="1107"/>
      <c r="BZ84" s="1102"/>
      <c r="CB84">
        <f t="shared" si="43"/>
        <v>0</v>
      </c>
      <c r="CC84" s="1103"/>
      <c r="CD84" s="1104"/>
      <c r="CE84" s="1105"/>
      <c r="CF84" s="1105"/>
      <c r="CG84" s="1106"/>
      <c r="CH84" s="1106"/>
      <c r="CI84" s="1106"/>
      <c r="CJ84" s="1106"/>
      <c r="CK84" s="1107"/>
      <c r="CL84" s="1102"/>
      <c r="CP84">
        <f t="shared" si="44"/>
        <v>0</v>
      </c>
      <c r="CQ84" s="1103"/>
      <c r="CR84" s="1104"/>
      <c r="CS84" s="1105"/>
      <c r="CT84" s="1105"/>
      <c r="CU84" s="1106"/>
      <c r="CV84" s="1106"/>
      <c r="CW84" s="1106"/>
      <c r="CX84" s="1106"/>
      <c r="CY84" s="1107"/>
      <c r="CZ84" s="1102"/>
      <c r="DD84">
        <f t="shared" si="45"/>
        <v>0</v>
      </c>
      <c r="DE84" s="1103"/>
      <c r="DF84" s="1104"/>
      <c r="DG84" s="1105"/>
      <c r="DH84" s="1105"/>
      <c r="DI84" s="1106"/>
      <c r="DJ84" s="1106"/>
      <c r="DK84" s="1106"/>
      <c r="DL84" s="1106"/>
      <c r="DM84" s="1107"/>
      <c r="DN84" s="1102"/>
      <c r="DQ84">
        <f t="shared" si="46"/>
        <v>0</v>
      </c>
      <c r="DR84" s="1103"/>
      <c r="DS84" s="1104"/>
      <c r="DT84" s="1105"/>
      <c r="DU84" s="1105"/>
      <c r="DV84" s="1106"/>
      <c r="DW84" s="1106"/>
      <c r="DX84" s="1106"/>
      <c r="DY84" s="1106"/>
      <c r="DZ84" s="1107"/>
      <c r="EA84" s="1102"/>
    </row>
    <row r="85" spans="1:131" x14ac:dyDescent="0.2">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D85" s="8"/>
      <c r="AE85" s="8"/>
      <c r="AF85" s="8"/>
      <c r="AG85" s="8"/>
      <c r="AH85" s="8"/>
      <c r="AI85" s="8"/>
      <c r="AJ85" s="8"/>
      <c r="AK85" s="8"/>
      <c r="AL85" s="8"/>
      <c r="AM85" s="8"/>
      <c r="AN85" s="8"/>
      <c r="AO85" s="8"/>
      <c r="AQ85"/>
      <c r="AR85" s="1103"/>
      <c r="AS85" s="1104"/>
      <c r="AT85" s="1105"/>
      <c r="AU85" s="1105"/>
      <c r="AV85" s="1106"/>
      <c r="AW85" s="1106"/>
      <c r="AX85" s="1106"/>
      <c r="AY85" s="1106"/>
      <c r="AZ85" s="1107"/>
      <c r="BA85" s="1102"/>
      <c r="BD85">
        <f t="shared" si="41"/>
        <v>0</v>
      </c>
      <c r="BE85" s="1103"/>
      <c r="BF85" s="1104"/>
      <c r="BG85" s="1105"/>
      <c r="BH85" s="1105"/>
      <c r="BI85" s="1106"/>
      <c r="BJ85" s="1106"/>
      <c r="BK85" s="1106"/>
      <c r="BL85" s="1106"/>
      <c r="BM85" s="1107"/>
      <c r="BN85" s="1102"/>
      <c r="BP85">
        <f t="shared" si="42"/>
        <v>0</v>
      </c>
      <c r="BQ85" s="1103"/>
      <c r="BR85" s="1104"/>
      <c r="BS85" s="1105"/>
      <c r="BT85" s="1105"/>
      <c r="BU85" s="1106"/>
      <c r="BV85" s="1106"/>
      <c r="BW85" s="1106"/>
      <c r="BX85" s="1106"/>
      <c r="BY85" s="1107"/>
      <c r="BZ85" s="1102"/>
      <c r="CB85">
        <f t="shared" si="43"/>
        <v>0</v>
      </c>
      <c r="CC85" s="1103"/>
      <c r="CD85" s="1104"/>
      <c r="CE85" s="1105"/>
      <c r="CF85" s="1105"/>
      <c r="CG85" s="1106"/>
      <c r="CH85" s="1106"/>
      <c r="CI85" s="1106"/>
      <c r="CJ85" s="1106"/>
      <c r="CK85" s="1107"/>
      <c r="CL85" s="1102"/>
      <c r="CP85">
        <f t="shared" si="44"/>
        <v>0</v>
      </c>
      <c r="CQ85" s="1103"/>
      <c r="CR85" s="1104"/>
      <c r="CS85" s="1105"/>
      <c r="CT85" s="1105"/>
      <c r="CU85" s="1106"/>
      <c r="CV85" s="1106"/>
      <c r="CW85" s="1106"/>
      <c r="CX85" s="1106"/>
      <c r="CY85" s="1107"/>
      <c r="CZ85" s="1102"/>
      <c r="DD85">
        <f t="shared" si="45"/>
        <v>0</v>
      </c>
      <c r="DE85" s="1103"/>
      <c r="DF85" s="1104"/>
      <c r="DG85" s="1105"/>
      <c r="DH85" s="1105"/>
      <c r="DI85" s="1106"/>
      <c r="DJ85" s="1106"/>
      <c r="DK85" s="1106"/>
      <c r="DL85" s="1106"/>
      <c r="DM85" s="1107"/>
      <c r="DN85" s="1102"/>
      <c r="DQ85">
        <f t="shared" si="46"/>
        <v>0</v>
      </c>
      <c r="DR85" s="1103"/>
      <c r="DS85" s="1104"/>
      <c r="DT85" s="1105"/>
      <c r="DU85" s="1105"/>
      <c r="DV85" s="1106"/>
      <c r="DW85" s="1106"/>
      <c r="DX85" s="1106"/>
      <c r="DY85" s="1106"/>
      <c r="DZ85" s="1107"/>
      <c r="EA85" s="1102"/>
    </row>
    <row r="86" spans="1:131" x14ac:dyDescent="0.2">
      <c r="A86" s="8"/>
      <c r="B86" s="8"/>
      <c r="C86" s="8"/>
      <c r="D86" s="8"/>
      <c r="E86" s="8"/>
      <c r="F86" s="8"/>
      <c r="G86" s="8"/>
      <c r="H86" s="8"/>
      <c r="I86" s="8"/>
      <c r="J86" s="8"/>
      <c r="K86" s="8"/>
      <c r="L86" s="8"/>
      <c r="M86" s="8"/>
      <c r="N86" s="8"/>
      <c r="O86" s="8"/>
      <c r="P86" s="8"/>
      <c r="Q86" s="8"/>
      <c r="R86" s="8"/>
      <c r="S86" s="8"/>
      <c r="T86" s="8"/>
      <c r="U86" s="8"/>
      <c r="V86" s="8"/>
      <c r="W86" s="8"/>
      <c r="X86" s="8"/>
      <c r="Y86" s="8"/>
      <c r="Z86" s="8"/>
      <c r="AA86" s="8"/>
      <c r="AB86" s="8"/>
      <c r="AD86" s="8"/>
      <c r="AE86" s="8"/>
      <c r="AF86" s="8"/>
      <c r="AG86" s="8"/>
      <c r="AH86" s="8"/>
      <c r="AI86" s="8"/>
      <c r="AJ86" s="8"/>
      <c r="AK86" s="8"/>
      <c r="AL86" s="8"/>
      <c r="AM86" s="8"/>
      <c r="AN86" s="8"/>
      <c r="AO86" s="8"/>
      <c r="AQ86"/>
      <c r="AR86" s="1103"/>
      <c r="AS86" s="1104"/>
      <c r="AT86" s="1105"/>
      <c r="AU86" s="1105"/>
      <c r="AV86" s="1106"/>
      <c r="AW86" s="1106"/>
      <c r="AX86" s="1106"/>
      <c r="AY86" s="1106"/>
      <c r="AZ86" s="1107"/>
      <c r="BA86" s="1102"/>
      <c r="BD86">
        <f t="shared" si="41"/>
        <v>0</v>
      </c>
      <c r="BE86" s="1103"/>
      <c r="BF86" s="1104"/>
      <c r="BG86" s="1105"/>
      <c r="BH86" s="1105"/>
      <c r="BI86" s="1106"/>
      <c r="BJ86" s="1106"/>
      <c r="BK86" s="1106"/>
      <c r="BL86" s="1106"/>
      <c r="BM86" s="1107"/>
      <c r="BN86" s="1102"/>
      <c r="BP86">
        <f t="shared" si="42"/>
        <v>0</v>
      </c>
      <c r="BQ86" s="1103"/>
      <c r="BR86" s="1104"/>
      <c r="BS86" s="1105"/>
      <c r="BT86" s="1105"/>
      <c r="BU86" s="1106"/>
      <c r="BV86" s="1106"/>
      <c r="BW86" s="1106"/>
      <c r="BX86" s="1106"/>
      <c r="BY86" s="1107"/>
      <c r="BZ86" s="1102"/>
      <c r="CB86">
        <f t="shared" si="43"/>
        <v>0</v>
      </c>
      <c r="CC86" s="1103"/>
      <c r="CD86" s="1104"/>
      <c r="CE86" s="1105"/>
      <c r="CF86" s="1105"/>
      <c r="CG86" s="1106"/>
      <c r="CH86" s="1106"/>
      <c r="CI86" s="1106"/>
      <c r="CJ86" s="1106"/>
      <c r="CK86" s="1107"/>
      <c r="CL86" s="1102"/>
      <c r="CP86">
        <f t="shared" si="44"/>
        <v>0</v>
      </c>
      <c r="CQ86" s="1103"/>
      <c r="CR86" s="1104"/>
      <c r="CS86" s="1105"/>
      <c r="CT86" s="1105"/>
      <c r="CU86" s="1106"/>
      <c r="CV86" s="1106"/>
      <c r="CW86" s="1106"/>
      <c r="CX86" s="1106"/>
      <c r="CY86" s="1107"/>
      <c r="CZ86" s="1102"/>
      <c r="DD86">
        <f t="shared" si="45"/>
        <v>0</v>
      </c>
      <c r="DE86" s="1103"/>
      <c r="DF86" s="1104"/>
      <c r="DG86" s="1105"/>
      <c r="DH86" s="1105"/>
      <c r="DI86" s="1106"/>
      <c r="DJ86" s="1106"/>
      <c r="DK86" s="1106"/>
      <c r="DL86" s="1106"/>
      <c r="DM86" s="1107"/>
      <c r="DN86" s="1102"/>
      <c r="DQ86">
        <f t="shared" si="46"/>
        <v>0</v>
      </c>
      <c r="DR86" s="1103"/>
      <c r="DS86" s="1104"/>
      <c r="DT86" s="1105"/>
      <c r="DU86" s="1105"/>
      <c r="DV86" s="1106"/>
      <c r="DW86" s="1106"/>
      <c r="DX86" s="1106"/>
      <c r="DY86" s="1106"/>
      <c r="DZ86" s="1107"/>
      <c r="EA86" s="1102"/>
    </row>
    <row r="87" spans="1:131" x14ac:dyDescent="0.2">
      <c r="A87" s="8"/>
      <c r="B87" s="8"/>
      <c r="C87" s="8"/>
      <c r="D87" s="8"/>
      <c r="E87" s="8"/>
      <c r="F87" s="8"/>
      <c r="G87" s="8"/>
      <c r="H87" s="8"/>
      <c r="I87" s="8"/>
      <c r="J87" s="8"/>
      <c r="K87" s="8"/>
      <c r="L87" s="8"/>
      <c r="M87" s="8"/>
      <c r="N87" s="8"/>
      <c r="O87" s="8"/>
      <c r="P87" s="8"/>
      <c r="Q87" s="8"/>
      <c r="R87" s="8"/>
      <c r="S87" s="8"/>
      <c r="T87" s="8"/>
      <c r="U87" s="8"/>
      <c r="V87" s="8"/>
      <c r="W87" s="8"/>
      <c r="X87" s="8"/>
      <c r="Y87" s="8"/>
      <c r="Z87" s="8"/>
      <c r="AA87" s="8"/>
      <c r="AB87" s="8"/>
      <c r="AD87" s="8"/>
      <c r="AE87" s="8"/>
      <c r="AF87" s="8"/>
      <c r="AG87" s="8"/>
      <c r="AH87" s="8"/>
      <c r="AI87" s="8"/>
      <c r="AJ87" s="8"/>
      <c r="AK87" s="8"/>
      <c r="AL87" s="8"/>
      <c r="AM87" s="8"/>
      <c r="AN87" s="8"/>
      <c r="AO87" s="8"/>
      <c r="AQ87"/>
      <c r="AR87" s="1103"/>
      <c r="AS87" s="1104"/>
      <c r="AT87" s="1105"/>
      <c r="AU87" s="1105"/>
      <c r="AV87" s="1106"/>
      <c r="AW87" s="1106"/>
      <c r="AX87" s="1106"/>
      <c r="AY87" s="1106"/>
      <c r="AZ87" s="1107"/>
      <c r="BA87" s="1102"/>
      <c r="BD87">
        <f t="shared" si="41"/>
        <v>0</v>
      </c>
      <c r="BE87" s="1103"/>
      <c r="BF87" s="1104"/>
      <c r="BG87" s="1105"/>
      <c r="BH87" s="1105"/>
      <c r="BI87" s="1106"/>
      <c r="BJ87" s="1106"/>
      <c r="BK87" s="1106"/>
      <c r="BL87" s="1106"/>
      <c r="BM87" s="1107"/>
      <c r="BN87" s="1102"/>
      <c r="BP87">
        <f t="shared" si="42"/>
        <v>0</v>
      </c>
      <c r="BQ87" s="1103"/>
      <c r="BR87" s="1104"/>
      <c r="BS87" s="1105"/>
      <c r="BT87" s="1105"/>
      <c r="BU87" s="1106"/>
      <c r="BV87" s="1106"/>
      <c r="BW87" s="1106"/>
      <c r="BX87" s="1106"/>
      <c r="BY87" s="1107"/>
      <c r="BZ87" s="1102"/>
      <c r="CB87">
        <f t="shared" si="43"/>
        <v>0</v>
      </c>
      <c r="CC87" s="1103"/>
      <c r="CD87" s="1104"/>
      <c r="CE87" s="1105"/>
      <c r="CF87" s="1105"/>
      <c r="CG87" s="1106"/>
      <c r="CH87" s="1106"/>
      <c r="CI87" s="1106"/>
      <c r="CJ87" s="1106"/>
      <c r="CK87" s="1107"/>
      <c r="CL87" s="1102"/>
      <c r="CP87">
        <f t="shared" si="44"/>
        <v>0</v>
      </c>
      <c r="CQ87" s="1103"/>
      <c r="CR87" s="1104"/>
      <c r="CS87" s="1105"/>
      <c r="CT87" s="1105"/>
      <c r="CU87" s="1106"/>
      <c r="CV87" s="1106"/>
      <c r="CW87" s="1106"/>
      <c r="CX87" s="1106"/>
      <c r="CY87" s="1107"/>
      <c r="CZ87" s="1102"/>
      <c r="DD87">
        <f t="shared" si="45"/>
        <v>0</v>
      </c>
      <c r="DE87" s="1103"/>
      <c r="DF87" s="1104"/>
      <c r="DG87" s="1105"/>
      <c r="DH87" s="1105"/>
      <c r="DI87" s="1106"/>
      <c r="DJ87" s="1106"/>
      <c r="DK87" s="1106"/>
      <c r="DL87" s="1106"/>
      <c r="DM87" s="1107"/>
      <c r="DN87" s="1102"/>
      <c r="DQ87">
        <f t="shared" si="46"/>
        <v>0</v>
      </c>
      <c r="DR87" s="1103"/>
      <c r="DS87" s="1104"/>
      <c r="DT87" s="1105"/>
      <c r="DU87" s="1105"/>
      <c r="DV87" s="1106"/>
      <c r="DW87" s="1106"/>
      <c r="DX87" s="1106"/>
      <c r="DY87" s="1106"/>
      <c r="DZ87" s="1107"/>
      <c r="EA87" s="1102"/>
    </row>
    <row r="88" spans="1:131" x14ac:dyDescent="0.2">
      <c r="A88" s="8"/>
      <c r="B88" s="8"/>
      <c r="C88" s="8"/>
      <c r="D88" s="8"/>
      <c r="E88" s="8"/>
      <c r="F88" s="8"/>
      <c r="G88" s="8"/>
      <c r="H88" s="8"/>
      <c r="I88" s="8"/>
      <c r="J88" s="8"/>
      <c r="K88" s="8"/>
      <c r="L88" s="8"/>
      <c r="M88" s="8"/>
      <c r="N88" s="8"/>
      <c r="O88" s="8"/>
      <c r="P88" s="8"/>
      <c r="Q88" s="8"/>
      <c r="R88" s="8"/>
      <c r="S88" s="8"/>
      <c r="T88" s="8"/>
      <c r="U88" s="8"/>
      <c r="V88" s="8"/>
      <c r="W88" s="8"/>
      <c r="X88" s="8"/>
      <c r="Y88" s="8"/>
      <c r="Z88" s="8"/>
      <c r="AA88" s="8"/>
      <c r="AB88" s="8"/>
      <c r="AD88" s="8"/>
      <c r="AE88" s="8"/>
      <c r="AF88" s="8"/>
      <c r="AG88" s="8"/>
      <c r="AH88" s="8"/>
      <c r="AI88" s="8"/>
      <c r="AJ88" s="8"/>
      <c r="AK88" s="8"/>
      <c r="AL88" s="8"/>
      <c r="AM88" s="8"/>
      <c r="AN88" s="8"/>
      <c r="AO88" s="8"/>
      <c r="AQ88"/>
      <c r="AR88" s="1103"/>
      <c r="AS88" s="1104"/>
      <c r="AT88" s="1105"/>
      <c r="AU88" s="1105"/>
      <c r="AV88" s="1106"/>
      <c r="AW88" s="1106"/>
      <c r="AX88" s="1106"/>
      <c r="AY88" s="1106"/>
      <c r="AZ88" s="1107"/>
      <c r="BA88" s="1102"/>
      <c r="BD88">
        <f t="shared" si="41"/>
        <v>0</v>
      </c>
      <c r="BE88" s="1103"/>
      <c r="BF88" s="1104"/>
      <c r="BG88" s="1105"/>
      <c r="BH88" s="1105"/>
      <c r="BI88" s="1106"/>
      <c r="BJ88" s="1106"/>
      <c r="BK88" s="1106"/>
      <c r="BL88" s="1106"/>
      <c r="BM88" s="1107"/>
      <c r="BN88" s="1102"/>
      <c r="BP88">
        <f t="shared" si="42"/>
        <v>0</v>
      </c>
      <c r="BQ88" s="1103"/>
      <c r="BR88" s="1104"/>
      <c r="BS88" s="1105"/>
      <c r="BT88" s="1105"/>
      <c r="BU88" s="1106"/>
      <c r="BV88" s="1106"/>
      <c r="BW88" s="1106"/>
      <c r="BX88" s="1106"/>
      <c r="BY88" s="1107"/>
      <c r="BZ88" s="1102"/>
      <c r="CB88">
        <f t="shared" si="43"/>
        <v>0</v>
      </c>
      <c r="CC88" s="1103"/>
      <c r="CD88" s="1104"/>
      <c r="CE88" s="1105"/>
      <c r="CF88" s="1105"/>
      <c r="CG88" s="1106"/>
      <c r="CH88" s="1106"/>
      <c r="CI88" s="1106"/>
      <c r="CJ88" s="1106"/>
      <c r="CK88" s="1107"/>
      <c r="CL88" s="1102"/>
      <c r="CP88">
        <f t="shared" si="44"/>
        <v>0</v>
      </c>
      <c r="CQ88" s="1103"/>
      <c r="CR88" s="1104"/>
      <c r="CS88" s="1105"/>
      <c r="CT88" s="1105"/>
      <c r="CU88" s="1106"/>
      <c r="CV88" s="1106"/>
      <c r="CW88" s="1106"/>
      <c r="CX88" s="1106"/>
      <c r="CY88" s="1107"/>
      <c r="CZ88" s="1102"/>
      <c r="DD88">
        <f t="shared" si="45"/>
        <v>0</v>
      </c>
      <c r="DE88" s="1103"/>
      <c r="DF88" s="1104"/>
      <c r="DG88" s="1105"/>
      <c r="DH88" s="1105"/>
      <c r="DI88" s="1106"/>
      <c r="DJ88" s="1106"/>
      <c r="DK88" s="1106"/>
      <c r="DL88" s="1106"/>
      <c r="DM88" s="1107"/>
      <c r="DN88" s="1102"/>
      <c r="DQ88">
        <f t="shared" si="46"/>
        <v>0</v>
      </c>
      <c r="DR88" s="1103"/>
      <c r="DS88" s="1104"/>
      <c r="DT88" s="1105"/>
      <c r="DU88" s="1105"/>
      <c r="DV88" s="1106"/>
      <c r="DW88" s="1106"/>
      <c r="DX88" s="1106"/>
      <c r="DY88" s="1106"/>
      <c r="DZ88" s="1107"/>
      <c r="EA88" s="1102"/>
    </row>
    <row r="89" spans="1:131" x14ac:dyDescent="0.2">
      <c r="A89" s="8"/>
      <c r="B89" s="8"/>
      <c r="C89" s="8"/>
      <c r="D89" s="8"/>
      <c r="E89" s="8"/>
      <c r="F89" s="8"/>
      <c r="G89" s="8"/>
      <c r="H89" s="8"/>
      <c r="I89" s="8"/>
      <c r="J89" s="8"/>
      <c r="K89" s="8"/>
      <c r="L89" s="8"/>
      <c r="M89" s="8"/>
      <c r="N89" s="8"/>
      <c r="O89" s="8"/>
      <c r="P89" s="8"/>
      <c r="Q89" s="8"/>
      <c r="R89" s="8"/>
      <c r="S89" s="8"/>
      <c r="T89" s="8"/>
      <c r="U89" s="8"/>
      <c r="V89" s="8"/>
      <c r="W89" s="8"/>
      <c r="X89" s="8"/>
      <c r="Y89" s="8"/>
      <c r="Z89" s="8"/>
      <c r="AA89" s="8"/>
      <c r="AB89" s="8"/>
      <c r="AD89" s="8"/>
      <c r="AE89" s="8"/>
      <c r="AF89" s="8"/>
      <c r="AG89" s="8"/>
      <c r="AH89" s="8"/>
      <c r="AI89" s="8"/>
      <c r="AJ89" s="8"/>
      <c r="AK89" s="8"/>
      <c r="AL89" s="8"/>
      <c r="AM89" s="8"/>
      <c r="AN89" s="8"/>
      <c r="AO89" s="8"/>
      <c r="AQ89"/>
      <c r="AR89"/>
      <c r="AS89"/>
      <c r="AT89" s="1108"/>
      <c r="AU89" s="1108"/>
      <c r="AV89" s="1108"/>
      <c r="AW89" s="1108"/>
      <c r="AX89" s="1108"/>
      <c r="AY89" s="1108"/>
      <c r="AZ89" s="1108"/>
      <c r="BA89" s="1099"/>
      <c r="BD89"/>
      <c r="BE89"/>
      <c r="BF89"/>
      <c r="BG89" s="1108"/>
      <c r="BH89" s="1108"/>
      <c r="BI89" s="1108"/>
      <c r="BJ89" s="1108"/>
      <c r="BK89" s="1108"/>
      <c r="BL89" s="1108"/>
      <c r="BM89" s="1108"/>
      <c r="BN89" s="1099"/>
      <c r="BP89"/>
      <c r="BQ89"/>
      <c r="BR89"/>
      <c r="BS89" s="1108"/>
      <c r="BT89" s="1108"/>
      <c r="BU89" s="1108"/>
      <c r="BV89" s="1108"/>
      <c r="BW89" s="1108"/>
      <c r="BX89" s="1108"/>
      <c r="BY89" s="1108"/>
      <c r="BZ89" s="1099"/>
      <c r="CB89"/>
      <c r="CC89"/>
      <c r="CD89"/>
      <c r="CE89" s="1108"/>
      <c r="CF89" s="1108"/>
      <c r="CG89" s="1108"/>
      <c r="CH89" s="1108"/>
      <c r="CI89" s="1108"/>
      <c r="CJ89" s="1108"/>
      <c r="CK89" s="1108"/>
      <c r="CL89" s="1099"/>
      <c r="CP89"/>
      <c r="CQ89"/>
      <c r="CR89"/>
      <c r="CS89" s="1108"/>
      <c r="CT89" s="1108"/>
      <c r="CU89" s="1108"/>
      <c r="CV89" s="1108"/>
      <c r="CW89" s="1108"/>
      <c r="CX89" s="1108"/>
      <c r="CY89" s="1108"/>
      <c r="CZ89" s="1099"/>
      <c r="DD89"/>
      <c r="DE89"/>
      <c r="DF89"/>
      <c r="DG89" s="1108"/>
      <c r="DH89" s="1108"/>
      <c r="DI89" s="1108"/>
      <c r="DJ89" s="1108"/>
      <c r="DK89" s="1108"/>
      <c r="DL89" s="1108"/>
      <c r="DM89" s="1108"/>
      <c r="DN89" s="1099"/>
      <c r="DQ89"/>
      <c r="DR89"/>
      <c r="DS89"/>
      <c r="DT89" s="1108"/>
      <c r="DU89" s="1108"/>
      <c r="DV89" s="1108"/>
      <c r="DW89" s="1108"/>
      <c r="DX89" s="1108"/>
      <c r="DY89" s="1108"/>
      <c r="DZ89" s="1108"/>
      <c r="EA89" s="1099"/>
    </row>
    <row r="90" spans="1:131" x14ac:dyDescent="0.2">
      <c r="A90" s="8"/>
      <c r="B90" s="8"/>
      <c r="C90" s="8"/>
      <c r="D90" s="8"/>
      <c r="E90" s="8"/>
      <c r="F90" s="8"/>
      <c r="G90" s="8"/>
      <c r="H90" s="8"/>
      <c r="I90" s="8"/>
      <c r="J90" s="8"/>
      <c r="K90" s="8"/>
      <c r="L90" s="8"/>
      <c r="M90" s="8"/>
      <c r="N90" s="8"/>
      <c r="O90" s="8"/>
      <c r="P90" s="8"/>
      <c r="Q90" s="8"/>
      <c r="R90" s="8"/>
      <c r="S90" s="8"/>
      <c r="T90" s="8"/>
      <c r="U90" s="8"/>
      <c r="V90" s="8"/>
      <c r="W90" s="8"/>
      <c r="X90" s="8"/>
      <c r="Y90" s="8"/>
      <c r="Z90" s="8"/>
      <c r="AA90" s="8"/>
      <c r="AB90" s="8"/>
      <c r="AD90" s="8"/>
      <c r="AE90" s="8"/>
      <c r="AF90" s="8"/>
      <c r="AG90" s="8"/>
      <c r="AH90" s="8"/>
      <c r="AI90" s="8"/>
      <c r="AJ90" s="8"/>
      <c r="AK90" s="8"/>
      <c r="AL90" s="8"/>
      <c r="AM90" s="8"/>
      <c r="AN90" s="8"/>
      <c r="AO90" s="8"/>
      <c r="AQ90"/>
      <c r="AR90"/>
      <c r="AS90"/>
      <c r="AT90" s="1108"/>
      <c r="AU90" s="1108"/>
      <c r="AV90" s="1108"/>
      <c r="AW90" s="1108"/>
      <c r="AX90" s="1108"/>
      <c r="AY90" s="1108"/>
      <c r="AZ90" s="1108"/>
      <c r="BA90" s="1099"/>
      <c r="BD90"/>
      <c r="BE90"/>
      <c r="BF90"/>
      <c r="BG90" s="1108"/>
      <c r="BH90" s="1108"/>
      <c r="BI90" s="1108"/>
      <c r="BJ90" s="1108"/>
      <c r="BK90" s="1108"/>
      <c r="BL90" s="1108"/>
      <c r="BM90" s="1108"/>
      <c r="BN90" s="1099"/>
      <c r="BP90"/>
      <c r="BQ90"/>
      <c r="BR90"/>
      <c r="BS90" s="1108"/>
      <c r="BT90" s="1108"/>
      <c r="BU90" s="1108"/>
      <c r="BV90" s="1108"/>
      <c r="BW90" s="1108"/>
      <c r="BX90" s="1108"/>
      <c r="BY90" s="1108"/>
      <c r="BZ90" s="1099"/>
      <c r="CB90"/>
      <c r="CC90"/>
      <c r="CD90"/>
      <c r="CE90" s="1108"/>
      <c r="CF90" s="1108"/>
      <c r="CG90" s="1108"/>
      <c r="CH90" s="1108"/>
      <c r="CI90" s="1108"/>
      <c r="CJ90" s="1108"/>
      <c r="CK90" s="1108"/>
      <c r="CL90" s="1099"/>
      <c r="CP90"/>
      <c r="CQ90"/>
      <c r="CR90"/>
      <c r="CS90" s="1108"/>
      <c r="CT90" s="1108"/>
      <c r="CU90" s="1108"/>
      <c r="CV90" s="1108"/>
      <c r="CW90" s="1108"/>
      <c r="CX90" s="1108"/>
      <c r="CY90" s="1108"/>
      <c r="CZ90" s="1099"/>
      <c r="DD90"/>
      <c r="DE90"/>
      <c r="DF90"/>
      <c r="DG90" s="1108"/>
      <c r="DH90" s="1108"/>
      <c r="DI90" s="1108"/>
      <c r="DJ90" s="1108"/>
      <c r="DK90" s="1108"/>
      <c r="DL90" s="1108"/>
      <c r="DM90" s="1108"/>
      <c r="DN90" s="1099"/>
      <c r="DQ90"/>
      <c r="DR90"/>
      <c r="DS90"/>
      <c r="DT90" s="1108"/>
      <c r="DU90" s="1108"/>
      <c r="DV90" s="1108"/>
      <c r="DW90" s="1108"/>
      <c r="DX90" s="1108"/>
      <c r="DY90" s="1108"/>
      <c r="DZ90" s="1108"/>
      <c r="EA90" s="1099"/>
    </row>
    <row r="91" spans="1:131" x14ac:dyDescent="0.2">
      <c r="A91" s="8"/>
      <c r="B91" s="8"/>
      <c r="C91" s="8"/>
      <c r="D91" s="8"/>
      <c r="E91" s="8"/>
      <c r="F91" s="8"/>
      <c r="G91" s="8"/>
      <c r="H91" s="8"/>
      <c r="I91" s="8"/>
      <c r="J91" s="8"/>
      <c r="K91" s="8"/>
      <c r="L91" s="8"/>
      <c r="M91" s="8"/>
      <c r="N91" s="8"/>
      <c r="O91" s="8"/>
      <c r="P91" s="8"/>
      <c r="Q91" s="8"/>
      <c r="R91" s="8"/>
      <c r="S91" s="8"/>
      <c r="T91" s="8"/>
      <c r="U91" s="8"/>
      <c r="V91" s="8"/>
      <c r="W91" s="8"/>
      <c r="X91" s="8"/>
      <c r="Y91" s="8"/>
      <c r="Z91" s="8"/>
      <c r="AA91" s="8"/>
      <c r="AB91" s="8"/>
      <c r="AD91" s="8"/>
      <c r="AE91" s="8"/>
      <c r="AF91" s="8"/>
      <c r="AG91" s="8"/>
      <c r="AH91" s="8"/>
      <c r="AI91" s="8"/>
      <c r="AJ91" s="8"/>
      <c r="AK91" s="8"/>
      <c r="AL91" s="8"/>
      <c r="AM91" s="8"/>
      <c r="AN91" s="8"/>
      <c r="AO91" s="8"/>
      <c r="AQ91"/>
      <c r="AR91"/>
      <c r="AS91"/>
      <c r="AT91" s="1108"/>
      <c r="AU91" s="1108"/>
      <c r="AV91" s="1108"/>
      <c r="AW91" s="1108"/>
      <c r="AX91" s="1108"/>
      <c r="AY91" s="1108"/>
      <c r="AZ91" s="1108"/>
      <c r="BA91" s="1099"/>
      <c r="BD91"/>
      <c r="BE91"/>
      <c r="BF91"/>
      <c r="BG91" s="1108"/>
      <c r="BH91" s="1108"/>
      <c r="BI91" s="1108"/>
      <c r="BJ91" s="1108"/>
      <c r="BK91" s="1108"/>
      <c r="BL91" s="1108"/>
      <c r="BM91" s="1108"/>
      <c r="BN91" s="1099"/>
      <c r="BP91"/>
      <c r="BQ91"/>
      <c r="BR91"/>
      <c r="BS91" s="1108"/>
      <c r="BT91" s="1108"/>
      <c r="BU91" s="1108"/>
      <c r="BV91" s="1108"/>
      <c r="BW91" s="1108"/>
      <c r="BX91" s="1108"/>
      <c r="BY91" s="1108"/>
      <c r="BZ91" s="1099"/>
      <c r="CB91"/>
      <c r="CC91"/>
      <c r="CD91"/>
      <c r="CE91" s="1108"/>
      <c r="CF91" s="1108"/>
      <c r="CG91" s="1108"/>
      <c r="CH91" s="1108"/>
      <c r="CI91" s="1108"/>
      <c r="CJ91" s="1108"/>
      <c r="CK91" s="1108"/>
      <c r="CL91" s="1099"/>
      <c r="CP91"/>
      <c r="CQ91"/>
      <c r="CR91"/>
      <c r="CS91" s="1108"/>
      <c r="CT91" s="1108"/>
      <c r="CU91" s="1108"/>
      <c r="CV91" s="1108"/>
      <c r="CW91" s="1108"/>
      <c r="CX91" s="1108"/>
      <c r="CY91" s="1108"/>
      <c r="CZ91" s="1099"/>
      <c r="DD91"/>
      <c r="DE91"/>
      <c r="DF91"/>
      <c r="DG91" s="1108"/>
      <c r="DH91" s="1108"/>
      <c r="DI91" s="1108"/>
      <c r="DJ91" s="1108"/>
      <c r="DK91" s="1108"/>
      <c r="DL91" s="1108"/>
      <c r="DM91" s="1108"/>
      <c r="DN91" s="1099"/>
      <c r="DQ91"/>
      <c r="DR91"/>
      <c r="DS91"/>
      <c r="DT91" s="1108"/>
      <c r="DU91" s="1108"/>
      <c r="DV91" s="1108"/>
      <c r="DW91" s="1108"/>
      <c r="DX91" s="1108"/>
      <c r="DY91" s="1108"/>
      <c r="DZ91" s="1108"/>
      <c r="EA91" s="1099"/>
    </row>
    <row r="92" spans="1:131" x14ac:dyDescent="0.2">
      <c r="A92" s="8"/>
      <c r="B92" s="8"/>
      <c r="C92" s="8"/>
      <c r="D92" s="8"/>
      <c r="E92" s="8"/>
      <c r="F92" s="8"/>
      <c r="G92" s="8"/>
      <c r="H92" s="8"/>
      <c r="I92" s="8"/>
      <c r="J92" s="8"/>
      <c r="K92" s="8"/>
      <c r="L92" s="8"/>
      <c r="M92" s="8"/>
      <c r="N92" s="8"/>
      <c r="O92" s="8"/>
      <c r="P92" s="8"/>
      <c r="Q92" s="8"/>
      <c r="R92" s="8"/>
      <c r="S92" s="8"/>
      <c r="T92" s="8"/>
      <c r="U92" s="8"/>
      <c r="V92" s="8"/>
      <c r="W92" s="8"/>
      <c r="X92" s="8"/>
      <c r="Y92" s="8"/>
      <c r="Z92" s="8"/>
      <c r="AA92" s="8"/>
      <c r="AB92" s="8"/>
      <c r="AD92" s="8"/>
      <c r="AE92" s="8"/>
      <c r="AF92" s="8"/>
      <c r="AG92" s="8"/>
      <c r="AH92" s="8"/>
      <c r="AI92" s="8"/>
      <c r="AJ92" s="8"/>
      <c r="AK92" s="8"/>
      <c r="AL92" s="8"/>
      <c r="AM92" s="8"/>
      <c r="AN92" s="8"/>
      <c r="AO92" s="8"/>
      <c r="AQ92"/>
      <c r="AR92"/>
      <c r="AS92"/>
      <c r="AT92" s="1108"/>
      <c r="AU92" s="1108"/>
      <c r="AV92" s="1108"/>
      <c r="AW92" s="1108"/>
      <c r="AX92" s="1108"/>
      <c r="AY92" s="1108"/>
      <c r="AZ92" s="1108"/>
      <c r="BA92" s="1099"/>
      <c r="BD92"/>
      <c r="BE92"/>
      <c r="BF92"/>
      <c r="BG92" s="1108"/>
      <c r="BH92" s="1108"/>
      <c r="BI92" s="1108"/>
      <c r="BJ92" s="1108"/>
      <c r="BK92" s="1108"/>
      <c r="BL92" s="1108"/>
      <c r="BM92" s="1108"/>
      <c r="BN92" s="1099"/>
      <c r="BP92"/>
      <c r="BQ92"/>
      <c r="BR92"/>
      <c r="BS92" s="1108"/>
      <c r="BT92" s="1108"/>
      <c r="BU92" s="1108"/>
      <c r="BV92" s="1108"/>
      <c r="BW92" s="1108"/>
      <c r="BX92" s="1108"/>
      <c r="BY92" s="1108"/>
      <c r="BZ92" s="1099"/>
      <c r="CB92"/>
      <c r="CC92"/>
      <c r="CD92"/>
      <c r="CE92" s="1108"/>
      <c r="CF92" s="1108"/>
      <c r="CG92" s="1108"/>
      <c r="CH92" s="1108"/>
      <c r="CI92" s="1108"/>
      <c r="CJ92" s="1108"/>
      <c r="CK92" s="1108"/>
      <c r="CL92" s="1099"/>
      <c r="CP92"/>
      <c r="CQ92"/>
      <c r="CR92"/>
      <c r="CS92" s="1108"/>
      <c r="CT92" s="1108"/>
      <c r="CU92" s="1108"/>
      <c r="CV92" s="1108"/>
      <c r="CW92" s="1108"/>
      <c r="CX92" s="1108"/>
      <c r="CY92" s="1108"/>
      <c r="CZ92" s="1099"/>
      <c r="DD92"/>
      <c r="DE92"/>
      <c r="DF92"/>
      <c r="DG92" s="1108"/>
      <c r="DH92" s="1108"/>
      <c r="DI92" s="1108"/>
      <c r="DJ92" s="1108"/>
      <c r="DK92" s="1108"/>
      <c r="DL92" s="1108"/>
      <c r="DM92" s="1108"/>
      <c r="DN92" s="1099"/>
      <c r="DQ92"/>
      <c r="DR92"/>
      <c r="DS92"/>
      <c r="DT92" s="1108"/>
      <c r="DU92" s="1108"/>
      <c r="DV92" s="1108"/>
      <c r="DW92" s="1108"/>
      <c r="DX92" s="1108"/>
      <c r="DY92" s="1108"/>
      <c r="DZ92" s="1108"/>
      <c r="EA92" s="1099"/>
    </row>
    <row r="93" spans="1:131" x14ac:dyDescent="0.2">
      <c r="A93" s="8"/>
      <c r="B93" s="8"/>
      <c r="C93" s="8"/>
      <c r="D93" s="8"/>
      <c r="E93" s="8"/>
      <c r="F93" s="8"/>
      <c r="G93" s="8"/>
      <c r="H93" s="8"/>
      <c r="I93" s="8"/>
      <c r="J93" s="8"/>
      <c r="K93" s="8"/>
      <c r="L93" s="8"/>
      <c r="M93" s="8"/>
      <c r="N93" s="8"/>
      <c r="O93" s="8"/>
      <c r="P93" s="8"/>
      <c r="Q93" s="8"/>
      <c r="R93" s="8"/>
      <c r="S93" s="8"/>
      <c r="T93" s="8"/>
      <c r="U93" s="8"/>
      <c r="V93" s="8"/>
      <c r="W93" s="8"/>
      <c r="X93" s="8"/>
      <c r="Y93" s="8"/>
      <c r="Z93" s="8"/>
      <c r="AA93" s="8"/>
      <c r="AB93" s="8"/>
      <c r="AD93" s="8"/>
      <c r="AE93" s="8"/>
      <c r="AF93" s="8"/>
      <c r="AG93" s="8"/>
      <c r="AH93" s="8"/>
      <c r="AI93" s="8"/>
      <c r="AJ93" s="8"/>
      <c r="AK93" s="8"/>
      <c r="AL93" s="8"/>
      <c r="AM93" s="8"/>
      <c r="AN93" s="8"/>
      <c r="AO93" s="8"/>
      <c r="AQ93"/>
      <c r="AR93"/>
      <c r="AS93"/>
      <c r="AT93" s="1108"/>
      <c r="AU93" s="1108"/>
      <c r="AV93" s="1108"/>
      <c r="AW93" s="1108"/>
      <c r="AX93" s="1108"/>
      <c r="AY93" s="1108"/>
      <c r="AZ93" s="1108"/>
      <c r="BA93" s="1099"/>
      <c r="BD93"/>
      <c r="BE93"/>
      <c r="BF93"/>
      <c r="BG93" s="1108"/>
      <c r="BH93" s="1108"/>
      <c r="BI93" s="1108"/>
      <c r="BJ93" s="1108"/>
      <c r="BK93" s="1108"/>
      <c r="BL93" s="1108"/>
      <c r="BM93" s="1108"/>
      <c r="BN93" s="1099"/>
      <c r="BP93"/>
      <c r="BQ93"/>
      <c r="BR93"/>
      <c r="BS93" s="1108"/>
      <c r="BT93" s="1108"/>
      <c r="BU93" s="1108"/>
      <c r="BV93" s="1108"/>
      <c r="BW93" s="1108"/>
      <c r="BX93" s="1108"/>
      <c r="BY93" s="1108"/>
      <c r="BZ93" s="1099"/>
      <c r="CB93"/>
      <c r="CC93"/>
      <c r="CD93"/>
      <c r="CE93" s="1108"/>
      <c r="CF93" s="1108"/>
      <c r="CG93" s="1108"/>
      <c r="CH93" s="1108"/>
      <c r="CI93" s="1108"/>
      <c r="CJ93" s="1108"/>
      <c r="CK93" s="1108"/>
      <c r="CL93" s="1099"/>
      <c r="CP93"/>
      <c r="CQ93"/>
      <c r="CR93"/>
      <c r="CS93" s="1108"/>
      <c r="CT93" s="1108"/>
      <c r="CU93" s="1108"/>
      <c r="CV93" s="1108"/>
      <c r="CW93" s="1108"/>
      <c r="CX93" s="1108"/>
      <c r="CY93" s="1108"/>
      <c r="CZ93" s="1099"/>
      <c r="DD93"/>
      <c r="DE93"/>
      <c r="DF93"/>
      <c r="DG93" s="1108"/>
      <c r="DH93" s="1108"/>
      <c r="DI93" s="1108"/>
      <c r="DJ93" s="1108"/>
      <c r="DK93" s="1108"/>
      <c r="DL93" s="1108"/>
      <c r="DM93" s="1108"/>
      <c r="DN93" s="1099"/>
      <c r="DQ93"/>
      <c r="DR93"/>
      <c r="DS93"/>
      <c r="DT93" s="1108"/>
      <c r="DU93" s="1108"/>
      <c r="DV93" s="1108"/>
      <c r="DW93" s="1108"/>
      <c r="DX93" s="1108"/>
      <c r="DY93" s="1108"/>
      <c r="DZ93" s="1108"/>
      <c r="EA93" s="1099"/>
    </row>
    <row r="94" spans="1:131" x14ac:dyDescent="0.2">
      <c r="A94" s="8"/>
      <c r="B94" s="8"/>
      <c r="C94" s="8"/>
      <c r="D94" s="8"/>
      <c r="E94" s="8"/>
      <c r="F94" s="8"/>
      <c r="G94" s="8"/>
      <c r="H94" s="8"/>
      <c r="I94" s="8"/>
      <c r="J94" s="8"/>
      <c r="K94" s="8"/>
      <c r="L94" s="8"/>
      <c r="M94" s="8"/>
      <c r="N94" s="8"/>
      <c r="O94" s="8"/>
      <c r="P94" s="8"/>
      <c r="Q94" s="8"/>
      <c r="R94" s="8"/>
      <c r="S94" s="8"/>
      <c r="T94" s="8"/>
      <c r="U94" s="8"/>
      <c r="V94" s="8"/>
      <c r="W94" s="8"/>
      <c r="X94" s="8"/>
      <c r="Y94" s="8"/>
      <c r="Z94" s="8"/>
      <c r="AA94" s="8"/>
      <c r="AB94" s="8"/>
      <c r="AD94" s="8"/>
      <c r="AE94" s="8"/>
      <c r="AF94" s="8"/>
      <c r="AG94" s="8"/>
      <c r="AH94" s="8"/>
      <c r="AI94" s="8"/>
      <c r="AJ94" s="8"/>
      <c r="AK94" s="8"/>
      <c r="AL94" s="8"/>
      <c r="AM94" s="8"/>
      <c r="AN94" s="8"/>
      <c r="AO94" s="8"/>
      <c r="AQ94"/>
      <c r="AR94"/>
      <c r="AS94"/>
      <c r="AT94" s="1108"/>
      <c r="AU94" s="1108"/>
      <c r="AV94" s="1108"/>
      <c r="AW94" s="1108"/>
      <c r="AX94" s="1108"/>
      <c r="AY94" s="1108"/>
      <c r="AZ94" s="1108"/>
      <c r="BA94" s="1099"/>
      <c r="BD94"/>
      <c r="BE94"/>
      <c r="BF94"/>
      <c r="BG94" s="1108"/>
      <c r="BH94" s="1108"/>
      <c r="BI94" s="1108"/>
      <c r="BJ94" s="1108"/>
      <c r="BK94" s="1108"/>
      <c r="BL94" s="1108"/>
      <c r="BM94" s="1108"/>
      <c r="BN94" s="1099"/>
      <c r="BP94"/>
      <c r="BQ94"/>
      <c r="BR94"/>
      <c r="BS94" s="1108"/>
      <c r="BT94" s="1108"/>
      <c r="BU94" s="1108"/>
      <c r="BV94" s="1108"/>
      <c r="BW94" s="1108"/>
      <c r="BX94" s="1108"/>
      <c r="BY94" s="1108"/>
      <c r="BZ94" s="1099"/>
      <c r="CB94"/>
      <c r="CC94"/>
      <c r="CD94"/>
      <c r="CE94" s="1108"/>
      <c r="CF94" s="1108"/>
      <c r="CG94" s="1108"/>
      <c r="CH94" s="1108"/>
      <c r="CI94" s="1108"/>
      <c r="CJ94" s="1108"/>
      <c r="CK94" s="1108"/>
      <c r="CL94" s="1099"/>
      <c r="CP94"/>
      <c r="CQ94"/>
      <c r="CR94"/>
      <c r="CS94" s="1108"/>
      <c r="CT94" s="1108"/>
      <c r="CU94" s="1108"/>
      <c r="CV94" s="1108"/>
      <c r="CW94" s="1108"/>
      <c r="CX94" s="1108"/>
      <c r="CY94" s="1108"/>
      <c r="CZ94" s="1099"/>
      <c r="DD94"/>
      <c r="DE94"/>
      <c r="DF94"/>
      <c r="DG94" s="1108"/>
      <c r="DH94" s="1108"/>
      <c r="DI94" s="1108"/>
      <c r="DJ94" s="1108"/>
      <c r="DK94" s="1108"/>
      <c r="DL94" s="1108"/>
      <c r="DM94" s="1108"/>
      <c r="DN94" s="1099"/>
      <c r="DQ94"/>
      <c r="DR94"/>
      <c r="DS94"/>
      <c r="DT94" s="1108"/>
      <c r="DU94" s="1108"/>
      <c r="DV94" s="1108"/>
      <c r="DW94" s="1108"/>
      <c r="DX94" s="1108"/>
      <c r="DY94" s="1108"/>
      <c r="DZ94" s="1108"/>
      <c r="EA94" s="1099"/>
    </row>
    <row r="95" spans="1:131" x14ac:dyDescent="0.2">
      <c r="A95" s="8"/>
      <c r="B95" s="8"/>
      <c r="C95" s="8"/>
      <c r="D95" s="8"/>
      <c r="E95" s="8"/>
      <c r="F95" s="8"/>
      <c r="G95" s="8"/>
      <c r="H95" s="8"/>
      <c r="I95" s="8"/>
      <c r="J95" s="8"/>
      <c r="K95" s="8"/>
      <c r="L95" s="8"/>
      <c r="M95" s="8"/>
      <c r="N95" s="8"/>
      <c r="O95" s="8"/>
      <c r="P95" s="8"/>
      <c r="Q95" s="8"/>
      <c r="R95" s="8"/>
      <c r="S95" s="8"/>
      <c r="T95" s="8"/>
      <c r="U95" s="8"/>
      <c r="V95" s="8"/>
      <c r="W95" s="8"/>
      <c r="X95" s="8"/>
      <c r="Y95" s="8"/>
      <c r="Z95" s="8"/>
      <c r="AA95" s="8"/>
      <c r="AB95" s="8"/>
      <c r="AD95" s="8"/>
      <c r="AE95" s="8"/>
      <c r="AF95" s="8"/>
      <c r="AG95" s="8"/>
      <c r="AH95" s="8"/>
      <c r="AI95" s="8"/>
      <c r="AJ95" s="8"/>
      <c r="AK95" s="8"/>
      <c r="AL95" s="8"/>
      <c r="AM95" s="8"/>
      <c r="AN95" s="8"/>
      <c r="AO95" s="8"/>
      <c r="AQ95"/>
      <c r="AR95"/>
      <c r="AS95"/>
      <c r="AT95" s="1108"/>
      <c r="AU95" s="1108"/>
      <c r="AV95" s="1108"/>
      <c r="AW95" s="1108"/>
      <c r="AX95" s="1108"/>
      <c r="AY95" s="1108"/>
      <c r="AZ95" s="1108"/>
      <c r="BA95" s="1099"/>
      <c r="BD95"/>
      <c r="BE95"/>
      <c r="BF95"/>
      <c r="BG95" s="1108"/>
      <c r="BH95" s="1108"/>
      <c r="BI95" s="1108"/>
      <c r="BJ95" s="1108"/>
      <c r="BK95" s="1108"/>
      <c r="BL95" s="1108"/>
      <c r="BM95" s="1108"/>
      <c r="BN95" s="1099"/>
      <c r="BP95"/>
      <c r="BQ95"/>
      <c r="BR95"/>
      <c r="BS95" s="1108"/>
      <c r="BT95" s="1108"/>
      <c r="BU95" s="1108"/>
      <c r="BV95" s="1108"/>
      <c r="BW95" s="1108"/>
      <c r="BX95" s="1108"/>
      <c r="BY95" s="1108"/>
      <c r="BZ95" s="1099"/>
      <c r="CB95"/>
      <c r="CC95"/>
      <c r="CD95"/>
      <c r="CE95" s="1108"/>
      <c r="CF95" s="1108"/>
      <c r="CG95" s="1108"/>
      <c r="CH95" s="1108"/>
      <c r="CI95" s="1108"/>
      <c r="CJ95" s="1108"/>
      <c r="CK95" s="1108"/>
      <c r="CL95" s="1099"/>
      <c r="CP95"/>
      <c r="CQ95"/>
      <c r="CR95"/>
      <c r="CS95" s="1108"/>
      <c r="CT95" s="1108"/>
      <c r="CU95" s="1108"/>
      <c r="CV95" s="1108"/>
      <c r="CW95" s="1108"/>
      <c r="CX95" s="1108"/>
      <c r="CY95" s="1108"/>
      <c r="CZ95" s="1099"/>
      <c r="DD95"/>
      <c r="DE95"/>
      <c r="DF95"/>
      <c r="DG95" s="1108"/>
      <c r="DH95" s="1108"/>
      <c r="DI95" s="1108"/>
      <c r="DJ95" s="1108"/>
      <c r="DK95" s="1108"/>
      <c r="DL95" s="1108"/>
      <c r="DM95" s="1108"/>
      <c r="DN95" s="1099"/>
      <c r="DQ95"/>
      <c r="DR95"/>
      <c r="DS95"/>
      <c r="DT95" s="1108"/>
      <c r="DU95" s="1108"/>
      <c r="DV95" s="1108"/>
      <c r="DW95" s="1108"/>
      <c r="DX95" s="1108"/>
      <c r="DY95" s="1108"/>
      <c r="DZ95" s="1108"/>
      <c r="EA95" s="1099"/>
    </row>
    <row r="96" spans="1:131" x14ac:dyDescent="0.2">
      <c r="A96" s="8"/>
      <c r="B96" s="8"/>
      <c r="C96" s="8"/>
      <c r="D96" s="8"/>
      <c r="E96" s="8"/>
      <c r="F96" s="8"/>
      <c r="G96" s="8"/>
      <c r="H96" s="8"/>
      <c r="I96" s="8"/>
      <c r="J96" s="8"/>
      <c r="K96" s="8"/>
      <c r="L96" s="8"/>
      <c r="M96" s="8"/>
      <c r="N96" s="8"/>
      <c r="O96" s="8"/>
      <c r="P96" s="8"/>
      <c r="Q96" s="8"/>
      <c r="R96" s="8"/>
      <c r="S96" s="8"/>
      <c r="T96" s="8"/>
      <c r="U96" s="8"/>
      <c r="V96" s="8"/>
      <c r="W96" s="8"/>
      <c r="X96" s="8"/>
      <c r="Y96" s="8"/>
      <c r="Z96" s="8"/>
      <c r="AA96" s="8"/>
      <c r="AB96" s="8"/>
      <c r="AD96" s="8"/>
      <c r="AE96" s="8"/>
      <c r="AF96" s="8"/>
      <c r="AG96" s="8"/>
      <c r="AH96" s="8"/>
      <c r="AI96" s="8"/>
      <c r="AJ96" s="8"/>
      <c r="AK96" s="8"/>
      <c r="AL96" s="8"/>
      <c r="AM96" s="8"/>
      <c r="AN96" s="8"/>
      <c r="AO96" s="8"/>
      <c r="AQ96"/>
      <c r="AR96"/>
      <c r="AS96"/>
      <c r="AT96" s="1108"/>
      <c r="AU96" s="1108"/>
      <c r="AV96" s="1108"/>
      <c r="AW96" s="1108"/>
      <c r="AX96" s="1108"/>
      <c r="AY96" s="1108"/>
      <c r="AZ96" s="1108"/>
      <c r="BA96" s="1099"/>
      <c r="BD96"/>
      <c r="BE96"/>
      <c r="BF96"/>
      <c r="BG96" s="1108"/>
      <c r="BH96" s="1108"/>
      <c r="BI96" s="1108"/>
      <c r="BJ96" s="1108"/>
      <c r="BK96" s="1108"/>
      <c r="BL96" s="1108"/>
      <c r="BM96" s="1108"/>
      <c r="BN96" s="1099"/>
      <c r="BP96"/>
      <c r="BQ96"/>
      <c r="BR96"/>
      <c r="BS96" s="1108"/>
      <c r="BT96" s="1108"/>
      <c r="BU96" s="1108"/>
      <c r="BV96" s="1108"/>
      <c r="BW96" s="1108"/>
      <c r="BX96" s="1108"/>
      <c r="BY96" s="1108"/>
      <c r="BZ96" s="1099"/>
      <c r="CB96"/>
      <c r="CC96"/>
      <c r="CD96"/>
      <c r="CE96" s="1108"/>
      <c r="CF96" s="1108"/>
      <c r="CG96" s="1108"/>
      <c r="CH96" s="1108"/>
      <c r="CI96" s="1108"/>
      <c r="CJ96" s="1108"/>
      <c r="CK96" s="1108"/>
      <c r="CL96" s="1099"/>
      <c r="CP96"/>
      <c r="CQ96"/>
      <c r="CR96"/>
      <c r="CS96" s="1108"/>
      <c r="CT96" s="1108"/>
      <c r="CU96" s="1108"/>
      <c r="CV96" s="1108"/>
      <c r="CW96" s="1108"/>
      <c r="CX96" s="1108"/>
      <c r="CY96" s="1108"/>
      <c r="CZ96" s="1099"/>
      <c r="DD96"/>
      <c r="DE96"/>
      <c r="DF96"/>
      <c r="DG96" s="1108"/>
      <c r="DH96" s="1108"/>
      <c r="DI96" s="1108"/>
      <c r="DJ96" s="1108"/>
      <c r="DK96" s="1108"/>
      <c r="DL96" s="1108"/>
      <c r="DM96" s="1108"/>
      <c r="DN96" s="1099"/>
      <c r="DQ96"/>
      <c r="DR96"/>
      <c r="DS96"/>
      <c r="DT96" s="1108"/>
      <c r="DU96" s="1108"/>
      <c r="DV96" s="1108"/>
      <c r="DW96" s="1108"/>
      <c r="DX96" s="1108"/>
      <c r="DY96" s="1108"/>
      <c r="DZ96" s="1108"/>
      <c r="EA96" s="1099"/>
    </row>
    <row r="97" spans="1:131" x14ac:dyDescent="0.2">
      <c r="A97" s="8"/>
      <c r="B97" s="8"/>
      <c r="C97" s="8"/>
      <c r="D97" s="8"/>
      <c r="E97" s="8"/>
      <c r="F97" s="8"/>
      <c r="G97" s="8"/>
      <c r="H97" s="8"/>
      <c r="I97" s="8"/>
      <c r="J97" s="8"/>
      <c r="K97" s="8"/>
      <c r="L97" s="8"/>
      <c r="M97" s="8"/>
      <c r="N97" s="8"/>
      <c r="O97" s="8"/>
      <c r="P97" s="8"/>
      <c r="Q97" s="8"/>
      <c r="R97" s="8"/>
      <c r="S97" s="8"/>
      <c r="T97" s="8"/>
      <c r="U97" s="8"/>
      <c r="V97" s="8"/>
      <c r="W97" s="8"/>
      <c r="X97" s="8"/>
      <c r="Y97" s="8"/>
      <c r="Z97" s="8"/>
      <c r="AA97" s="8"/>
      <c r="AB97" s="8"/>
      <c r="AD97" s="8"/>
      <c r="AE97" s="8"/>
      <c r="AF97" s="8"/>
      <c r="AG97" s="8"/>
      <c r="AH97" s="8"/>
      <c r="AI97" s="8"/>
      <c r="AJ97" s="8"/>
      <c r="AK97" s="8"/>
      <c r="AL97" s="8"/>
      <c r="AM97" s="8"/>
      <c r="AN97" s="8"/>
      <c r="AO97" s="8"/>
      <c r="AQ97" s="1108"/>
      <c r="AR97"/>
      <c r="AS97"/>
      <c r="AT97" s="1108"/>
      <c r="AU97" s="1108"/>
      <c r="AV97" s="1108"/>
      <c r="AW97" s="1108"/>
      <c r="AX97" s="1108"/>
      <c r="AY97" s="1108"/>
      <c r="AZ97" s="1108"/>
      <c r="BA97" s="1099"/>
      <c r="BD97" s="1108"/>
      <c r="BE97"/>
      <c r="BF97"/>
      <c r="BG97" s="1108"/>
      <c r="BH97" s="1108"/>
      <c r="BI97" s="1108"/>
      <c r="BJ97" s="1108"/>
      <c r="BK97" s="1108"/>
      <c r="BL97" s="1108"/>
      <c r="BM97" s="1108"/>
      <c r="BN97" s="1099"/>
      <c r="BP97" s="1108"/>
      <c r="BQ97"/>
      <c r="BR97"/>
      <c r="BS97" s="1108"/>
      <c r="BT97" s="1108"/>
      <c r="BU97" s="1108"/>
      <c r="BV97" s="1108"/>
      <c r="BW97" s="1108"/>
      <c r="BX97" s="1108"/>
      <c r="BY97" s="1108"/>
      <c r="BZ97" s="1099"/>
      <c r="CB97" s="1108"/>
      <c r="CC97"/>
      <c r="CD97"/>
      <c r="CE97" s="1108"/>
      <c r="CF97" s="1108"/>
      <c r="CG97" s="1108"/>
      <c r="CH97" s="1108"/>
      <c r="CI97" s="1108"/>
      <c r="CJ97" s="1108"/>
      <c r="CK97" s="1108"/>
      <c r="CL97" s="1099"/>
      <c r="CP97" s="1108"/>
      <c r="CQ97"/>
      <c r="CR97"/>
      <c r="CS97" s="1108"/>
      <c r="CT97" s="1108"/>
      <c r="CU97" s="1108"/>
      <c r="CV97" s="1108"/>
      <c r="CW97" s="1108"/>
      <c r="CX97" s="1108"/>
      <c r="CY97" s="1108"/>
      <c r="CZ97" s="1099"/>
      <c r="DD97" s="1108"/>
      <c r="DE97"/>
      <c r="DF97"/>
      <c r="DG97" s="1108"/>
      <c r="DH97" s="1108"/>
      <c r="DI97" s="1108"/>
      <c r="DJ97" s="1108"/>
      <c r="DK97" s="1108"/>
      <c r="DL97" s="1108"/>
      <c r="DM97" s="1108"/>
      <c r="DN97" s="1099"/>
      <c r="DQ97" s="1108"/>
      <c r="DR97"/>
      <c r="DS97"/>
      <c r="DT97" s="1108"/>
      <c r="DU97" s="1108"/>
      <c r="DV97" s="1108"/>
      <c r="DW97" s="1108"/>
      <c r="DX97" s="1108"/>
      <c r="DY97" s="1108"/>
      <c r="DZ97" s="1108"/>
      <c r="EA97" s="1099"/>
    </row>
    <row r="98" spans="1:131" x14ac:dyDescent="0.2">
      <c r="A98" s="8"/>
      <c r="B98" s="8"/>
      <c r="C98" s="8"/>
      <c r="D98" s="8"/>
      <c r="E98" s="8"/>
      <c r="F98" s="8"/>
      <c r="G98" s="8"/>
      <c r="H98" s="8"/>
      <c r="I98" s="8"/>
      <c r="J98" s="8"/>
      <c r="K98" s="8"/>
      <c r="L98" s="8"/>
      <c r="M98" s="8"/>
      <c r="N98" s="8"/>
      <c r="O98" s="8"/>
      <c r="P98" s="8"/>
      <c r="Q98" s="8"/>
      <c r="R98" s="8"/>
      <c r="S98" s="8"/>
      <c r="T98" s="8"/>
      <c r="U98" s="8"/>
      <c r="V98" s="8"/>
      <c r="W98" s="8"/>
      <c r="X98" s="8"/>
      <c r="Y98" s="8"/>
      <c r="Z98" s="8"/>
      <c r="AA98" s="8"/>
      <c r="AB98" s="8"/>
      <c r="AD98" s="8"/>
      <c r="AE98" s="8"/>
      <c r="AF98" s="8"/>
      <c r="AG98" s="8"/>
      <c r="AH98" s="8"/>
      <c r="AI98" s="8"/>
      <c r="AJ98" s="8"/>
      <c r="AK98" s="8"/>
      <c r="AL98" s="8"/>
      <c r="AM98" s="8"/>
      <c r="AN98" s="8"/>
      <c r="AO98" s="8"/>
      <c r="AQ98" s="1108"/>
      <c r="AR98" s="1108"/>
      <c r="AS98" s="1108"/>
      <c r="AT98" s="1108"/>
      <c r="AU98" s="1108"/>
      <c r="AV98" s="1108"/>
      <c r="AW98" s="1108"/>
      <c r="AX98" s="1108"/>
      <c r="AZ98" s="1108"/>
      <c r="BA98" s="1099"/>
      <c r="BD98" s="1108"/>
      <c r="BE98" s="1108"/>
      <c r="BF98" s="1108"/>
      <c r="BG98" s="1108"/>
      <c r="BH98" s="1108"/>
      <c r="BI98" s="1108"/>
      <c r="BJ98" s="1108"/>
      <c r="BK98" s="1108"/>
      <c r="BM98" s="1108"/>
      <c r="BN98" s="1099"/>
      <c r="BP98" s="1108"/>
      <c r="BQ98" s="1108"/>
      <c r="BR98" s="1108"/>
      <c r="BS98" s="1108"/>
      <c r="BT98" s="1108"/>
      <c r="BU98" s="1108"/>
      <c r="BV98" s="1108"/>
      <c r="BW98" s="1108"/>
      <c r="BY98" s="1108"/>
      <c r="BZ98" s="1099"/>
      <c r="CB98" s="1108"/>
      <c r="CC98" s="1108"/>
      <c r="CD98" s="1108"/>
      <c r="CE98" s="1108"/>
      <c r="CF98" s="1108"/>
      <c r="CG98" s="1108"/>
      <c r="CH98" s="1108"/>
      <c r="CI98" s="1108"/>
      <c r="CK98" s="1108"/>
      <c r="CL98" s="1099"/>
      <c r="CP98" s="1108"/>
      <c r="CQ98" s="1108"/>
      <c r="CR98" s="1108"/>
      <c r="CS98" s="1108"/>
      <c r="CT98" s="1108"/>
      <c r="CU98" s="1108"/>
      <c r="CV98" s="1108"/>
      <c r="CW98" s="1108"/>
      <c r="CY98" s="1108"/>
      <c r="CZ98" s="1099"/>
      <c r="DD98" s="1108"/>
      <c r="DE98" s="1108"/>
      <c r="DF98" s="1108"/>
      <c r="DG98" s="1108"/>
      <c r="DH98" s="1108"/>
      <c r="DI98" s="1108"/>
      <c r="DJ98" s="1108"/>
      <c r="DK98" s="1108"/>
      <c r="DM98" s="1108"/>
      <c r="DN98" s="1099"/>
      <c r="DQ98" s="1108"/>
      <c r="DR98" s="1108"/>
      <c r="DS98" s="1108"/>
      <c r="DT98" s="1108"/>
      <c r="DU98" s="1108"/>
      <c r="DV98" s="1108"/>
      <c r="DW98" s="1108"/>
      <c r="DX98" s="1108"/>
      <c r="DZ98" s="1108"/>
      <c r="EA98" s="1099"/>
    </row>
    <row r="99" spans="1:131" x14ac:dyDescent="0.2">
      <c r="A99" s="8"/>
      <c r="B99" s="8"/>
      <c r="C99" s="8"/>
      <c r="D99" s="8"/>
      <c r="E99" s="8"/>
      <c r="F99" s="8"/>
      <c r="G99" s="8"/>
      <c r="H99" s="8"/>
      <c r="I99" s="8"/>
      <c r="J99" s="8"/>
      <c r="K99" s="8"/>
      <c r="L99" s="8"/>
      <c r="M99" s="8"/>
      <c r="N99" s="8"/>
      <c r="O99" s="8"/>
      <c r="P99" s="8"/>
      <c r="Q99" s="8"/>
      <c r="R99" s="8"/>
      <c r="S99" s="8"/>
      <c r="T99" s="8"/>
      <c r="U99" s="8"/>
      <c r="V99" s="8"/>
      <c r="W99" s="8"/>
      <c r="X99" s="8"/>
      <c r="Y99" s="8"/>
      <c r="Z99" s="8"/>
      <c r="AA99" s="8"/>
      <c r="AB99" s="8"/>
      <c r="AD99" s="8"/>
      <c r="AE99" s="8"/>
      <c r="AF99" s="8"/>
      <c r="AG99" s="8"/>
      <c r="AH99" s="8"/>
      <c r="AI99" s="8"/>
      <c r="AJ99" s="8"/>
      <c r="AK99" s="8"/>
      <c r="AL99" s="8"/>
      <c r="AM99" s="8"/>
      <c r="AN99" s="8"/>
      <c r="AO99" s="8"/>
      <c r="AQ99" s="1108"/>
      <c r="AR99" s="1108"/>
      <c r="AS99" s="1108"/>
      <c r="AT99" s="1108"/>
      <c r="AU99" s="1108"/>
      <c r="AV99" s="1108"/>
      <c r="AW99" s="1108"/>
      <c r="AX99" s="1108"/>
      <c r="AZ99" s="1108"/>
      <c r="BA99" s="1099"/>
      <c r="BD99" s="1108"/>
      <c r="BE99" s="1108"/>
      <c r="BF99" s="1108"/>
      <c r="BG99" s="1108"/>
      <c r="BH99" s="1108"/>
      <c r="BI99" s="1108"/>
      <c r="BJ99" s="1108"/>
      <c r="BK99" s="1108"/>
      <c r="BM99" s="1108"/>
      <c r="BN99" s="1099"/>
      <c r="BP99" s="1108"/>
      <c r="BQ99" s="1108"/>
      <c r="BR99" s="1108"/>
      <c r="BS99" s="1108"/>
      <c r="BT99" s="1108"/>
      <c r="BU99" s="1108"/>
      <c r="BV99" s="1108"/>
      <c r="BW99" s="1108"/>
      <c r="BY99" s="1108"/>
      <c r="BZ99" s="1099"/>
      <c r="CB99" s="1108"/>
      <c r="CC99" s="1108"/>
      <c r="CD99" s="1108"/>
      <c r="CE99" s="1108"/>
      <c r="CF99" s="1108"/>
      <c r="CG99" s="1108"/>
      <c r="CH99" s="1108"/>
      <c r="CI99" s="1108"/>
      <c r="CK99" s="1108"/>
      <c r="CL99" s="1099"/>
      <c r="CP99" s="1108"/>
      <c r="CQ99" s="1108"/>
      <c r="CR99" s="1108"/>
      <c r="CS99" s="1108"/>
      <c r="CT99" s="1108"/>
      <c r="CU99" s="1108"/>
      <c r="CV99" s="1108"/>
      <c r="CW99" s="1108"/>
      <c r="CY99" s="1108"/>
      <c r="CZ99" s="1099"/>
      <c r="DD99" s="1108"/>
      <c r="DE99" s="1108"/>
      <c r="DF99" s="1108"/>
      <c r="DG99" s="1108"/>
      <c r="DH99" s="1108"/>
      <c r="DI99" s="1108"/>
      <c r="DJ99" s="1108"/>
      <c r="DK99" s="1108"/>
      <c r="DM99" s="1108"/>
      <c r="DN99" s="1099"/>
      <c r="DQ99" s="1108"/>
      <c r="DR99" s="1108"/>
      <c r="DS99" s="1108"/>
      <c r="DT99" s="1108"/>
      <c r="DU99" s="1108"/>
      <c r="DV99" s="1108"/>
      <c r="DW99" s="1108"/>
      <c r="DX99" s="1108"/>
      <c r="DZ99" s="1108"/>
      <c r="EA99" s="1099"/>
    </row>
    <row r="100" spans="1:131" x14ac:dyDescent="0.2">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D100" s="8"/>
      <c r="AE100" s="8"/>
      <c r="AF100" s="8"/>
      <c r="AG100" s="8"/>
      <c r="AH100" s="8"/>
      <c r="AI100" s="8"/>
      <c r="AJ100" s="8"/>
      <c r="AK100" s="8"/>
      <c r="AL100" s="8"/>
      <c r="AM100" s="8"/>
      <c r="AN100" s="8"/>
      <c r="AO100" s="8"/>
      <c r="AQ100" s="1108"/>
      <c r="AR100" s="1108"/>
      <c r="AS100" s="1108"/>
      <c r="AT100" s="1108"/>
      <c r="AU100" s="1108"/>
      <c r="AV100" s="1108"/>
      <c r="AW100" s="1108"/>
      <c r="AX100" s="1108"/>
      <c r="AZ100" s="506"/>
      <c r="BA100" s="512"/>
      <c r="BD100" s="1108"/>
      <c r="BE100" s="1108"/>
      <c r="BF100" s="1108"/>
      <c r="BG100" s="1108"/>
      <c r="BH100" s="1108"/>
      <c r="BI100" s="1108"/>
      <c r="BJ100" s="1108"/>
      <c r="BK100" s="1108"/>
      <c r="BM100" s="506"/>
      <c r="BN100" s="512"/>
      <c r="BP100" s="1108"/>
      <c r="BQ100" s="1108"/>
      <c r="BR100" s="1108"/>
      <c r="BS100" s="1108"/>
      <c r="BT100" s="1108"/>
      <c r="BU100" s="1108"/>
      <c r="BV100" s="1108"/>
      <c r="BW100" s="1108"/>
      <c r="BY100" s="506"/>
      <c r="BZ100" s="512"/>
      <c r="CB100" s="1108"/>
      <c r="CC100" s="1108"/>
      <c r="CD100" s="1108"/>
      <c r="CE100" s="1108"/>
      <c r="CF100" s="1108"/>
      <c r="CG100" s="1108"/>
      <c r="CH100" s="1108"/>
      <c r="CI100" s="1108"/>
      <c r="CK100" s="506"/>
      <c r="CL100" s="512"/>
      <c r="CP100" s="1108"/>
      <c r="CQ100" s="1108"/>
      <c r="CR100" s="1108"/>
      <c r="CS100" s="1108"/>
      <c r="CT100" s="1108"/>
      <c r="CU100" s="1108"/>
      <c r="CV100" s="1108"/>
      <c r="CW100" s="1108"/>
      <c r="CY100" s="506"/>
      <c r="CZ100" s="512"/>
      <c r="DD100" s="1108"/>
      <c r="DE100" s="1108"/>
      <c r="DF100" s="1108"/>
      <c r="DG100" s="1108"/>
      <c r="DH100" s="1108"/>
      <c r="DI100" s="1108"/>
      <c r="DJ100" s="1108"/>
      <c r="DK100" s="1108"/>
      <c r="DM100" s="506"/>
      <c r="DN100" s="512"/>
      <c r="DQ100" s="1108"/>
      <c r="DR100" s="1108"/>
      <c r="DS100" s="1108"/>
      <c r="DT100" s="1108"/>
      <c r="DU100" s="1108"/>
      <c r="DV100" s="1108"/>
      <c r="DW100" s="1108"/>
      <c r="DX100" s="1108"/>
      <c r="DZ100" s="506"/>
      <c r="EA100" s="512"/>
    </row>
    <row r="101" spans="1:131" x14ac:dyDescent="0.2">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D101" s="8"/>
      <c r="AE101" s="8"/>
      <c r="AF101" s="8"/>
      <c r="AG101" s="8"/>
      <c r="AH101" s="8"/>
      <c r="AI101" s="8"/>
      <c r="AJ101" s="8"/>
      <c r="AK101" s="8"/>
      <c r="AL101" s="8"/>
      <c r="AM101" s="8"/>
      <c r="AN101" s="8"/>
      <c r="AO101" s="8"/>
      <c r="AV101" s="506"/>
      <c r="AW101" s="506"/>
      <c r="AX101" s="506"/>
      <c r="AZ101" s="506"/>
      <c r="BA101" s="512"/>
      <c r="BI101" s="506"/>
      <c r="BJ101" s="506"/>
      <c r="BK101" s="506"/>
      <c r="BM101" s="506"/>
      <c r="BN101" s="512"/>
      <c r="BU101" s="506"/>
      <c r="BV101" s="506"/>
      <c r="BW101" s="506"/>
      <c r="BY101" s="506"/>
      <c r="BZ101" s="512"/>
      <c r="CG101" s="506"/>
      <c r="CH101" s="506"/>
      <c r="CI101" s="506"/>
      <c r="CK101" s="506"/>
      <c r="CL101" s="512"/>
      <c r="CU101" s="506"/>
      <c r="CV101" s="506"/>
      <c r="CW101" s="506"/>
      <c r="CY101" s="506"/>
      <c r="CZ101" s="512"/>
      <c r="DI101" s="506"/>
      <c r="DJ101" s="506"/>
      <c r="DK101" s="506"/>
      <c r="DM101" s="506"/>
      <c r="DN101" s="512"/>
      <c r="DV101" s="506"/>
      <c r="DW101" s="506"/>
      <c r="DX101" s="506"/>
      <c r="DZ101" s="506"/>
      <c r="EA101" s="512"/>
    </row>
    <row r="102" spans="1:131" x14ac:dyDescent="0.2">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D102" s="8"/>
      <c r="AE102" s="8"/>
      <c r="AF102" s="8"/>
      <c r="AG102" s="8"/>
      <c r="AH102" s="8"/>
      <c r="AI102" s="8"/>
      <c r="AJ102" s="8"/>
      <c r="AK102" s="8"/>
      <c r="AL102" s="8"/>
      <c r="AM102" s="8"/>
      <c r="AN102" s="8"/>
      <c r="AO102" s="8"/>
      <c r="AV102" s="506"/>
      <c r="AW102" s="506"/>
      <c r="AX102" s="506"/>
      <c r="AZ102" s="506"/>
      <c r="BA102" s="512"/>
      <c r="BI102" s="506"/>
      <c r="BJ102" s="506"/>
      <c r="BK102" s="506"/>
      <c r="BM102" s="506"/>
      <c r="BN102" s="512"/>
      <c r="BU102" s="506"/>
      <c r="BV102" s="506"/>
      <c r="BW102" s="506"/>
      <c r="BY102" s="506"/>
      <c r="BZ102" s="512"/>
      <c r="CG102" s="506"/>
      <c r="CH102" s="506"/>
      <c r="CI102" s="506"/>
      <c r="CK102" s="506"/>
      <c r="CL102" s="512"/>
      <c r="CU102" s="506"/>
      <c r="CV102" s="506"/>
      <c r="CW102" s="506"/>
      <c r="CY102" s="506"/>
      <c r="CZ102" s="512"/>
      <c r="DI102" s="506"/>
      <c r="DJ102" s="506"/>
      <c r="DK102" s="506"/>
      <c r="DM102" s="506"/>
      <c r="DN102" s="512"/>
      <c r="DV102" s="506"/>
      <c r="DW102" s="506"/>
      <c r="DX102" s="506"/>
      <c r="DZ102" s="506"/>
      <c r="EA102" s="512"/>
    </row>
    <row r="103" spans="1:131" x14ac:dyDescent="0.2">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D103" s="8"/>
      <c r="AE103" s="8"/>
      <c r="AF103" s="8"/>
      <c r="AG103" s="8"/>
      <c r="AH103" s="8"/>
      <c r="AI103" s="8"/>
      <c r="AJ103" s="8"/>
      <c r="AK103" s="8"/>
      <c r="AL103" s="8"/>
      <c r="AM103" s="8"/>
      <c r="AN103" s="8"/>
      <c r="AO103" s="8"/>
      <c r="AV103" s="506"/>
      <c r="AW103" s="506"/>
      <c r="AX103" s="506"/>
      <c r="AZ103" s="506"/>
      <c r="BA103" s="512"/>
      <c r="BI103" s="506"/>
      <c r="BJ103" s="506"/>
      <c r="BK103" s="506"/>
      <c r="BM103" s="506"/>
      <c r="BN103" s="512"/>
      <c r="BU103" s="506"/>
      <c r="BV103" s="506"/>
      <c r="BW103" s="506"/>
      <c r="BY103" s="506"/>
      <c r="BZ103" s="512"/>
      <c r="CG103" s="506"/>
      <c r="CH103" s="506"/>
      <c r="CI103" s="506"/>
      <c r="CK103" s="506"/>
      <c r="CL103" s="512"/>
      <c r="CU103" s="506"/>
      <c r="CV103" s="506"/>
      <c r="CW103" s="506"/>
      <c r="CY103" s="506"/>
      <c r="CZ103" s="512"/>
      <c r="DI103" s="506"/>
      <c r="DJ103" s="506"/>
      <c r="DK103" s="506"/>
      <c r="DM103" s="506"/>
      <c r="DN103" s="512"/>
      <c r="DV103" s="506"/>
      <c r="DW103" s="506"/>
      <c r="DX103" s="506"/>
      <c r="DZ103" s="506"/>
      <c r="EA103" s="512"/>
    </row>
    <row r="104" spans="1:131" x14ac:dyDescent="0.2">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D104" s="8"/>
      <c r="AE104" s="8"/>
      <c r="AF104" s="8"/>
      <c r="AG104" s="8"/>
      <c r="AH104" s="8"/>
      <c r="AI104" s="8"/>
      <c r="AJ104" s="8"/>
      <c r="AK104" s="8"/>
      <c r="AL104" s="8"/>
      <c r="AM104" s="8"/>
      <c r="AN104" s="8"/>
      <c r="AO104" s="8"/>
      <c r="AV104" s="506"/>
      <c r="AW104" s="506"/>
      <c r="AX104" s="506"/>
      <c r="AZ104" s="506"/>
      <c r="BA104" s="512"/>
      <c r="BI104" s="506"/>
      <c r="BJ104" s="506"/>
      <c r="BK104" s="506"/>
      <c r="BM104" s="506"/>
      <c r="BN104" s="512"/>
      <c r="BU104" s="506"/>
      <c r="BV104" s="506"/>
      <c r="BW104" s="506"/>
      <c r="BY104" s="506"/>
      <c r="BZ104" s="512"/>
      <c r="CG104" s="506"/>
      <c r="CH104" s="506"/>
      <c r="CI104" s="506"/>
      <c r="CK104" s="506"/>
      <c r="CL104" s="512"/>
      <c r="CU104" s="506"/>
      <c r="CV104" s="506"/>
      <c r="CW104" s="506"/>
      <c r="CY104" s="506"/>
      <c r="CZ104" s="512"/>
      <c r="DI104" s="506"/>
      <c r="DJ104" s="506"/>
      <c r="DK104" s="506"/>
      <c r="DM104" s="506"/>
      <c r="DN104" s="512"/>
      <c r="DV104" s="506"/>
      <c r="DW104" s="506"/>
      <c r="DX104" s="506"/>
      <c r="DZ104" s="506"/>
      <c r="EA104" s="512"/>
    </row>
    <row r="105" spans="1:131" x14ac:dyDescent="0.2">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c r="AA105" s="8"/>
      <c r="AB105" s="8"/>
      <c r="AD105" s="8"/>
      <c r="AE105" s="8"/>
      <c r="AF105" s="8"/>
      <c r="AG105" s="8"/>
      <c r="AH105" s="8"/>
      <c r="AI105" s="8"/>
      <c r="AJ105" s="8"/>
      <c r="AK105" s="8"/>
      <c r="AL105" s="8"/>
      <c r="AM105" s="8"/>
      <c r="AN105" s="8"/>
      <c r="AO105" s="8"/>
      <c r="AV105" s="506"/>
      <c r="AW105" s="506"/>
      <c r="AX105" s="506"/>
      <c r="AZ105" s="506"/>
      <c r="BA105" s="512"/>
      <c r="BI105" s="506"/>
      <c r="BJ105" s="506"/>
      <c r="BK105" s="506"/>
      <c r="BM105" s="506"/>
      <c r="BN105" s="512"/>
      <c r="BU105" s="506"/>
      <c r="BV105" s="506"/>
      <c r="BW105" s="506"/>
      <c r="BY105" s="506"/>
      <c r="BZ105" s="512"/>
      <c r="CG105" s="506"/>
      <c r="CH105" s="506"/>
      <c r="CI105" s="506"/>
      <c r="CK105" s="506"/>
      <c r="CL105" s="512"/>
      <c r="CU105" s="506"/>
      <c r="CV105" s="506"/>
      <c r="CW105" s="506"/>
      <c r="CY105" s="506"/>
      <c r="CZ105" s="512"/>
      <c r="DI105" s="506"/>
      <c r="DJ105" s="506"/>
      <c r="DK105" s="506"/>
      <c r="DM105" s="506"/>
      <c r="DN105" s="512"/>
      <c r="DV105" s="506"/>
      <c r="DW105" s="506"/>
      <c r="DX105" s="506"/>
      <c r="DZ105" s="506"/>
      <c r="EA105" s="512"/>
    </row>
    <row r="106" spans="1:131" x14ac:dyDescent="0.2">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D106" s="8"/>
      <c r="AE106" s="8"/>
      <c r="AF106" s="8"/>
      <c r="AG106" s="8"/>
      <c r="AH106" s="8"/>
      <c r="AI106" s="8"/>
      <c r="AJ106" s="8"/>
      <c r="AK106" s="8"/>
      <c r="AL106" s="8"/>
      <c r="AM106" s="8"/>
      <c r="AN106" s="8"/>
      <c r="AO106" s="8"/>
      <c r="AV106" s="506"/>
      <c r="AW106" s="506"/>
      <c r="AX106" s="506"/>
      <c r="AZ106" s="506"/>
      <c r="BI106" s="506"/>
      <c r="BJ106" s="506"/>
      <c r="BK106" s="506"/>
      <c r="BM106" s="506"/>
      <c r="BU106" s="506"/>
      <c r="BV106" s="506"/>
      <c r="BW106" s="506"/>
      <c r="BY106" s="506"/>
      <c r="CG106" s="506"/>
      <c r="CH106" s="506"/>
      <c r="CI106" s="506"/>
      <c r="CK106" s="506"/>
      <c r="CU106" s="506"/>
      <c r="CV106" s="506"/>
      <c r="CW106" s="506"/>
      <c r="CY106" s="506"/>
      <c r="DI106" s="506"/>
      <c r="DJ106" s="506"/>
      <c r="DK106" s="506"/>
      <c r="DM106" s="506"/>
      <c r="DV106" s="506"/>
      <c r="DW106" s="506"/>
      <c r="DX106" s="506"/>
      <c r="DZ106" s="506"/>
    </row>
    <row r="107" spans="1:131" x14ac:dyDescent="0.2">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c r="AA107" s="8"/>
      <c r="AB107" s="8"/>
      <c r="AD107" s="8"/>
      <c r="AE107" s="8"/>
      <c r="AF107" s="8"/>
      <c r="AG107" s="8"/>
      <c r="AH107" s="8"/>
      <c r="AI107" s="8"/>
      <c r="AJ107" s="8"/>
      <c r="AK107" s="8"/>
      <c r="AL107" s="8"/>
      <c r="AM107" s="8"/>
      <c r="AN107" s="8"/>
      <c r="AO107" s="8"/>
      <c r="AV107" s="506"/>
      <c r="AW107" s="506"/>
      <c r="AZ107" s="506"/>
      <c r="BI107" s="506"/>
      <c r="BJ107" s="506"/>
      <c r="BM107" s="506"/>
      <c r="BU107" s="506"/>
      <c r="BV107" s="506"/>
      <c r="BY107" s="506"/>
      <c r="CG107" s="506"/>
      <c r="CH107" s="506"/>
      <c r="CK107" s="506"/>
      <c r="CU107" s="506"/>
      <c r="CV107" s="506"/>
      <c r="CY107" s="506"/>
      <c r="DI107" s="506"/>
      <c r="DJ107" s="506"/>
      <c r="DM107" s="506"/>
      <c r="DV107" s="506"/>
      <c r="DW107" s="506"/>
      <c r="DZ107" s="506"/>
    </row>
    <row r="108" spans="1:131" x14ac:dyDescent="0.2">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c r="AA108" s="8"/>
      <c r="AB108" s="8"/>
      <c r="AD108" s="8"/>
      <c r="AE108" s="8"/>
      <c r="AF108" s="8"/>
      <c r="AG108" s="8"/>
      <c r="AH108" s="8"/>
      <c r="AI108" s="8"/>
      <c r="AJ108" s="8"/>
      <c r="AK108" s="8"/>
      <c r="AL108" s="8"/>
      <c r="AM108" s="8"/>
      <c r="AN108" s="8"/>
      <c r="AO108" s="8"/>
      <c r="AV108" s="506"/>
      <c r="AW108" s="506"/>
      <c r="AZ108" s="506"/>
      <c r="BI108" s="506"/>
      <c r="BJ108" s="506"/>
      <c r="BM108" s="506"/>
      <c r="BU108" s="506"/>
      <c r="BV108" s="506"/>
      <c r="BY108" s="506"/>
      <c r="CG108" s="506"/>
      <c r="CH108" s="506"/>
      <c r="CK108" s="506"/>
      <c r="CU108" s="506"/>
      <c r="CV108" s="506"/>
      <c r="CY108" s="506"/>
      <c r="DI108" s="506"/>
      <c r="DJ108" s="506"/>
      <c r="DM108" s="506"/>
      <c r="DV108" s="506"/>
      <c r="DW108" s="506"/>
      <c r="DZ108" s="506"/>
    </row>
    <row r="109" spans="1:131" x14ac:dyDescent="0.2">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c r="AA109" s="8"/>
      <c r="AB109" s="8"/>
      <c r="AD109" s="8"/>
      <c r="AE109" s="8"/>
      <c r="AF109" s="8"/>
      <c r="AG109" s="8"/>
      <c r="AH109" s="8"/>
      <c r="AI109" s="8"/>
      <c r="AJ109" s="8"/>
      <c r="AK109" s="8"/>
      <c r="AL109" s="8"/>
      <c r="AM109" s="8"/>
      <c r="AN109" s="8"/>
      <c r="AO109" s="8"/>
      <c r="AV109" s="506"/>
      <c r="AW109" s="506"/>
      <c r="AZ109" s="506"/>
      <c r="BI109" s="506"/>
      <c r="BJ109" s="506"/>
      <c r="BM109" s="506"/>
      <c r="BU109" s="506"/>
      <c r="BV109" s="506"/>
      <c r="BY109" s="506"/>
      <c r="CG109" s="506"/>
      <c r="CH109" s="506"/>
      <c r="CK109" s="506"/>
      <c r="CU109" s="506"/>
      <c r="CV109" s="506"/>
      <c r="CY109" s="506"/>
      <c r="DI109" s="506"/>
      <c r="DJ109" s="506"/>
      <c r="DM109" s="506"/>
      <c r="DV109" s="506"/>
      <c r="DW109" s="506"/>
      <c r="DZ109" s="506"/>
    </row>
    <row r="110" spans="1:131" x14ac:dyDescent="0.2">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D110" s="8"/>
      <c r="AE110" s="8"/>
      <c r="AF110" s="8"/>
      <c r="AG110" s="8"/>
      <c r="AH110" s="8"/>
      <c r="AI110" s="8"/>
      <c r="AJ110" s="8"/>
      <c r="AK110" s="8"/>
      <c r="AL110" s="8"/>
      <c r="AM110" s="8"/>
      <c r="AN110" s="8"/>
      <c r="AO110" s="8"/>
      <c r="AV110" s="506"/>
      <c r="AW110" s="506"/>
      <c r="AZ110" s="506"/>
      <c r="BI110" s="506"/>
      <c r="BJ110" s="506"/>
      <c r="BM110" s="506"/>
      <c r="BU110" s="506"/>
      <c r="BV110" s="506"/>
      <c r="BY110" s="506"/>
      <c r="CG110" s="506"/>
      <c r="CH110" s="506"/>
      <c r="CK110" s="506"/>
      <c r="CU110" s="506"/>
      <c r="CV110" s="506"/>
      <c r="CY110" s="506"/>
      <c r="DI110" s="506"/>
      <c r="DJ110" s="506"/>
      <c r="DM110" s="506"/>
      <c r="DV110" s="506"/>
      <c r="DW110" s="506"/>
      <c r="DZ110" s="506"/>
    </row>
    <row r="111" spans="1:131" x14ac:dyDescent="0.2">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c r="AA111" s="8"/>
      <c r="AB111" s="8"/>
      <c r="AD111" s="8"/>
      <c r="AE111" s="8"/>
      <c r="AF111" s="8"/>
      <c r="AG111" s="8"/>
      <c r="AH111" s="8"/>
      <c r="AI111" s="8"/>
      <c r="AJ111" s="8"/>
      <c r="AK111" s="8"/>
      <c r="AL111" s="8"/>
      <c r="AM111" s="8"/>
      <c r="AN111" s="8"/>
      <c r="AO111" s="8"/>
      <c r="AV111" s="506"/>
      <c r="AW111" s="506"/>
      <c r="AZ111" s="506"/>
      <c r="BI111" s="506"/>
      <c r="BJ111" s="506"/>
      <c r="BM111" s="506"/>
      <c r="BU111" s="506"/>
      <c r="BV111" s="506"/>
      <c r="BY111" s="506"/>
      <c r="CG111" s="506"/>
      <c r="CH111" s="506"/>
      <c r="CK111" s="506"/>
      <c r="CU111" s="506"/>
      <c r="CV111" s="506"/>
      <c r="CY111" s="506"/>
      <c r="DI111" s="506"/>
      <c r="DJ111" s="506"/>
      <c r="DM111" s="506"/>
      <c r="DV111" s="506"/>
      <c r="DW111" s="506"/>
      <c r="DZ111" s="506"/>
    </row>
    <row r="112" spans="1:131" x14ac:dyDescent="0.2">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c r="AA112" s="8"/>
      <c r="AB112" s="8"/>
      <c r="AD112" s="8"/>
      <c r="AE112" s="8"/>
      <c r="AF112" s="8"/>
      <c r="AG112" s="8"/>
      <c r="AH112" s="8"/>
      <c r="AI112" s="8"/>
      <c r="AJ112" s="8"/>
      <c r="AK112" s="8"/>
      <c r="AL112" s="8"/>
      <c r="AM112" s="8"/>
      <c r="AN112" s="8"/>
      <c r="AO112" s="8"/>
      <c r="AV112" s="506"/>
      <c r="AW112" s="506"/>
      <c r="AZ112" s="506"/>
      <c r="BI112" s="506"/>
      <c r="BJ112" s="506"/>
      <c r="BM112" s="506"/>
      <c r="BU112" s="506"/>
      <c r="BV112" s="506"/>
      <c r="BY112" s="506"/>
      <c r="CG112" s="506"/>
      <c r="CH112" s="506"/>
      <c r="CK112" s="506"/>
      <c r="CU112" s="506"/>
      <c r="CV112" s="506"/>
      <c r="CY112" s="506"/>
      <c r="DI112" s="506"/>
      <c r="DJ112" s="506"/>
      <c r="DM112" s="506"/>
      <c r="DV112" s="506"/>
      <c r="DW112" s="506"/>
      <c r="DZ112" s="506"/>
    </row>
    <row r="113" spans="1:130" x14ac:dyDescent="0.2">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c r="AA113" s="8"/>
      <c r="AB113" s="8"/>
      <c r="AD113" s="8"/>
      <c r="AE113" s="8"/>
      <c r="AF113" s="8"/>
      <c r="AG113" s="8"/>
      <c r="AH113" s="8"/>
      <c r="AI113" s="8"/>
      <c r="AJ113" s="8"/>
      <c r="AK113" s="8"/>
      <c r="AL113" s="8"/>
      <c r="AM113" s="8"/>
      <c r="AN113" s="8"/>
      <c r="AO113" s="8"/>
      <c r="AV113" s="506"/>
      <c r="AW113" s="506"/>
      <c r="AZ113" s="506"/>
      <c r="BI113" s="506"/>
      <c r="BJ113" s="506"/>
      <c r="BM113" s="506"/>
      <c r="BU113" s="506"/>
      <c r="BV113" s="506"/>
      <c r="BY113" s="506"/>
      <c r="CG113" s="506"/>
      <c r="CH113" s="506"/>
      <c r="CK113" s="506"/>
      <c r="CU113" s="506"/>
      <c r="CV113" s="506"/>
      <c r="CY113" s="506"/>
      <c r="DI113" s="506"/>
      <c r="DJ113" s="506"/>
      <c r="DM113" s="506"/>
      <c r="DV113" s="506"/>
      <c r="DW113" s="506"/>
      <c r="DZ113" s="506"/>
    </row>
    <row r="114" spans="1:130" x14ac:dyDescent="0.2">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c r="AA114" s="8"/>
      <c r="AB114" s="8"/>
      <c r="AD114" s="8"/>
      <c r="AE114" s="8"/>
      <c r="AF114" s="8"/>
      <c r="AG114" s="8"/>
      <c r="AH114" s="8"/>
      <c r="AI114" s="8"/>
      <c r="AJ114" s="8"/>
      <c r="AK114" s="8"/>
      <c r="AL114" s="8"/>
      <c r="AM114" s="8"/>
      <c r="AN114" s="8"/>
      <c r="AO114" s="8"/>
      <c r="AV114" s="506"/>
      <c r="AW114" s="506"/>
      <c r="AZ114" s="506"/>
      <c r="BI114" s="506"/>
      <c r="BJ114" s="506"/>
      <c r="BM114" s="506"/>
      <c r="BU114" s="506"/>
      <c r="BV114" s="506"/>
      <c r="BY114" s="506"/>
      <c r="CG114" s="506"/>
      <c r="CH114" s="506"/>
      <c r="CK114" s="506"/>
      <c r="CU114" s="506"/>
      <c r="CV114" s="506"/>
      <c r="CY114" s="506"/>
      <c r="DI114" s="506"/>
      <c r="DJ114" s="506"/>
      <c r="DM114" s="506"/>
      <c r="DV114" s="506"/>
      <c r="DW114" s="506"/>
      <c r="DZ114" s="506"/>
    </row>
    <row r="115" spans="1:130" x14ac:dyDescent="0.2">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c r="AA115" s="8"/>
      <c r="AB115" s="8"/>
      <c r="AD115" s="8"/>
      <c r="AE115" s="8"/>
      <c r="AF115" s="8"/>
      <c r="AG115" s="8"/>
      <c r="AH115" s="8"/>
      <c r="AI115" s="8"/>
      <c r="AJ115" s="8"/>
      <c r="AK115" s="8"/>
      <c r="AL115" s="8"/>
      <c r="AM115" s="8"/>
      <c r="AN115" s="8"/>
      <c r="AO115" s="8"/>
      <c r="AV115" s="506"/>
      <c r="AW115" s="506"/>
      <c r="AZ115" s="506"/>
      <c r="BI115" s="506"/>
      <c r="BJ115" s="506"/>
      <c r="BM115" s="506"/>
      <c r="BU115" s="506"/>
      <c r="BV115" s="506"/>
      <c r="BY115" s="506"/>
      <c r="CG115" s="506"/>
      <c r="CH115" s="506"/>
      <c r="CK115" s="506"/>
      <c r="CU115" s="506"/>
      <c r="CV115" s="506"/>
      <c r="CY115" s="506"/>
      <c r="DI115" s="506"/>
      <c r="DJ115" s="506"/>
      <c r="DM115" s="506"/>
      <c r="DV115" s="506"/>
      <c r="DW115" s="506"/>
      <c r="DZ115" s="506"/>
    </row>
    <row r="116" spans="1:130" x14ac:dyDescent="0.2">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c r="AA116" s="8"/>
      <c r="AB116" s="8"/>
      <c r="AD116" s="8"/>
      <c r="AE116" s="8"/>
      <c r="AF116" s="8"/>
      <c r="AG116" s="8"/>
      <c r="AH116" s="8"/>
      <c r="AI116" s="8"/>
      <c r="AJ116" s="8"/>
      <c r="AK116" s="8"/>
      <c r="AL116" s="8"/>
      <c r="AM116" s="8"/>
      <c r="AN116" s="8"/>
      <c r="AO116" s="8"/>
      <c r="AV116" s="506"/>
      <c r="AW116" s="506"/>
      <c r="AZ116" s="506"/>
      <c r="BI116" s="506"/>
      <c r="BJ116" s="506"/>
      <c r="BM116" s="506"/>
      <c r="BU116" s="506"/>
      <c r="BV116" s="506"/>
      <c r="BY116" s="506"/>
      <c r="CG116" s="506"/>
      <c r="CH116" s="506"/>
      <c r="CK116" s="506"/>
      <c r="CU116" s="506"/>
      <c r="CV116" s="506"/>
      <c r="CY116" s="506"/>
      <c r="DI116" s="506"/>
      <c r="DJ116" s="506"/>
      <c r="DM116" s="506"/>
      <c r="DV116" s="506"/>
      <c r="DW116" s="506"/>
      <c r="DZ116" s="506"/>
    </row>
    <row r="117" spans="1:130" x14ac:dyDescent="0.2">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c r="AA117" s="8"/>
      <c r="AB117" s="8"/>
      <c r="AD117" s="8"/>
      <c r="AE117" s="8"/>
      <c r="AF117" s="8"/>
      <c r="AG117" s="8"/>
      <c r="AH117" s="8"/>
      <c r="AI117" s="8"/>
      <c r="AJ117" s="8"/>
      <c r="AK117" s="8"/>
      <c r="AL117" s="8"/>
      <c r="AM117" s="8"/>
      <c r="AN117" s="8"/>
      <c r="AO117" s="8"/>
      <c r="AV117" s="506"/>
      <c r="AW117" s="506"/>
      <c r="AZ117" s="506"/>
      <c r="BI117" s="506"/>
      <c r="BJ117" s="506"/>
      <c r="BM117" s="506"/>
      <c r="BU117" s="506"/>
      <c r="BV117" s="506"/>
      <c r="BY117" s="506"/>
      <c r="CG117" s="506"/>
      <c r="CH117" s="506"/>
      <c r="CK117" s="506"/>
      <c r="CU117" s="506"/>
      <c r="CV117" s="506"/>
      <c r="CY117" s="506"/>
      <c r="DI117" s="506"/>
      <c r="DJ117" s="506"/>
      <c r="DM117" s="506"/>
      <c r="DV117" s="506"/>
      <c r="DW117" s="506"/>
      <c r="DZ117" s="506"/>
    </row>
    <row r="118" spans="1:130" x14ac:dyDescent="0.2">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c r="AA118" s="8"/>
      <c r="AB118" s="8"/>
      <c r="AD118" s="8"/>
      <c r="AE118" s="8"/>
      <c r="AF118" s="8"/>
      <c r="AG118" s="8"/>
      <c r="AH118" s="8"/>
      <c r="AI118" s="8"/>
      <c r="AJ118" s="8"/>
      <c r="AK118" s="8"/>
      <c r="AL118" s="8"/>
      <c r="AM118" s="8"/>
      <c r="AN118" s="8"/>
      <c r="AO118" s="8"/>
      <c r="AV118" s="506"/>
      <c r="AW118" s="506"/>
      <c r="AZ118" s="506"/>
      <c r="BI118" s="506"/>
      <c r="BJ118" s="506"/>
      <c r="BM118" s="506"/>
      <c r="BU118" s="506"/>
      <c r="BV118" s="506"/>
      <c r="BY118" s="506"/>
      <c r="CG118" s="506"/>
      <c r="CH118" s="506"/>
      <c r="CK118" s="506"/>
      <c r="CU118" s="506"/>
      <c r="CV118" s="506"/>
      <c r="CY118" s="506"/>
      <c r="DI118" s="506"/>
      <c r="DJ118" s="506"/>
      <c r="DM118" s="506"/>
      <c r="DV118" s="506"/>
      <c r="DW118" s="506"/>
      <c r="DZ118" s="506"/>
    </row>
    <row r="119" spans="1:130" x14ac:dyDescent="0.2">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c r="AA119" s="8"/>
      <c r="AB119" s="8"/>
      <c r="AD119" s="8"/>
      <c r="AE119" s="8"/>
      <c r="AF119" s="8"/>
      <c r="AG119" s="8"/>
      <c r="AH119" s="8"/>
      <c r="AI119" s="8"/>
      <c r="AJ119" s="8"/>
      <c r="AK119" s="8"/>
      <c r="AL119" s="8"/>
      <c r="AM119" s="8"/>
      <c r="AN119" s="8"/>
      <c r="AO119" s="8"/>
      <c r="AV119" s="506"/>
      <c r="AW119" s="506"/>
      <c r="AZ119" s="506"/>
      <c r="BI119" s="506"/>
      <c r="BJ119" s="506"/>
      <c r="BM119" s="506"/>
      <c r="BU119" s="506"/>
      <c r="BV119" s="506"/>
      <c r="BY119" s="506"/>
      <c r="CG119" s="506"/>
      <c r="CH119" s="506"/>
      <c r="CK119" s="506"/>
      <c r="CU119" s="506"/>
      <c r="CV119" s="506"/>
      <c r="CY119" s="506"/>
      <c r="DI119" s="506"/>
      <c r="DJ119" s="506"/>
      <c r="DM119" s="506"/>
      <c r="DV119" s="506"/>
      <c r="DW119" s="506"/>
      <c r="DZ119" s="506"/>
    </row>
    <row r="120" spans="1:130" x14ac:dyDescent="0.2">
      <c r="A120" s="8"/>
      <c r="B120" s="8"/>
      <c r="C120" s="8"/>
      <c r="D120" s="8"/>
      <c r="E120" s="8"/>
      <c r="F120" s="8"/>
      <c r="G120" s="8"/>
      <c r="H120" s="8"/>
      <c r="I120" s="8"/>
      <c r="J120" s="8"/>
      <c r="K120" s="8"/>
      <c r="L120" s="8"/>
      <c r="M120" s="8"/>
      <c r="N120" s="8"/>
      <c r="O120" s="8"/>
      <c r="P120" s="8"/>
      <c r="Q120" s="8"/>
      <c r="R120" s="8"/>
      <c r="S120" s="8"/>
      <c r="T120" s="8"/>
      <c r="U120" s="8"/>
      <c r="V120" s="8"/>
      <c r="W120" s="8"/>
      <c r="X120" s="8"/>
      <c r="Y120" s="8"/>
      <c r="Z120" s="8"/>
      <c r="AA120" s="8"/>
      <c r="AB120" s="8"/>
      <c r="AD120" s="8"/>
      <c r="AE120" s="8"/>
      <c r="AF120" s="8"/>
      <c r="AG120" s="8"/>
      <c r="AH120" s="8"/>
      <c r="AI120" s="8"/>
      <c r="AJ120" s="8"/>
      <c r="AK120" s="8"/>
      <c r="AL120" s="8"/>
      <c r="AM120" s="8"/>
      <c r="AN120" s="8"/>
      <c r="AO120" s="8"/>
      <c r="AV120" s="506"/>
      <c r="AW120" s="506"/>
      <c r="AZ120" s="506"/>
      <c r="BI120" s="506"/>
      <c r="BJ120" s="506"/>
      <c r="BM120" s="506"/>
      <c r="BU120" s="506"/>
      <c r="BV120" s="506"/>
      <c r="BY120" s="506"/>
      <c r="CG120" s="506"/>
      <c r="CH120" s="506"/>
      <c r="CK120" s="506"/>
      <c r="CU120" s="506"/>
      <c r="CV120" s="506"/>
      <c r="CY120" s="506"/>
      <c r="DI120" s="506"/>
      <c r="DJ120" s="506"/>
      <c r="DM120" s="506"/>
      <c r="DV120" s="506"/>
      <c r="DW120" s="506"/>
      <c r="DZ120" s="506"/>
    </row>
    <row r="121" spans="1:130" x14ac:dyDescent="0.2">
      <c r="A121" s="8"/>
      <c r="B121" s="8"/>
      <c r="C121" s="8"/>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D121" s="8"/>
      <c r="AE121" s="8"/>
      <c r="AF121" s="8"/>
      <c r="AG121" s="8"/>
      <c r="AH121" s="8"/>
      <c r="AI121" s="8"/>
      <c r="AJ121" s="8"/>
      <c r="AK121" s="8"/>
      <c r="AL121" s="8"/>
      <c r="AM121" s="8"/>
      <c r="AN121" s="8"/>
      <c r="AO121" s="8"/>
      <c r="AV121" s="506"/>
      <c r="AW121" s="506"/>
      <c r="AZ121" s="506"/>
      <c r="BI121" s="506"/>
      <c r="BJ121" s="506"/>
      <c r="BM121" s="506"/>
      <c r="BU121" s="506"/>
      <c r="BV121" s="506"/>
      <c r="BY121" s="506"/>
      <c r="CG121" s="506"/>
      <c r="CH121" s="506"/>
      <c r="CK121" s="506"/>
      <c r="CU121" s="506"/>
      <c r="CV121" s="506"/>
      <c r="CY121" s="506"/>
      <c r="DI121" s="506"/>
      <c r="DJ121" s="506"/>
      <c r="DM121" s="506"/>
      <c r="DV121" s="506"/>
      <c r="DW121" s="506"/>
      <c r="DZ121" s="506"/>
    </row>
    <row r="122" spans="1:130" x14ac:dyDescent="0.2">
      <c r="A122" s="8"/>
      <c r="B122" s="8"/>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D122" s="8"/>
      <c r="AE122" s="8"/>
      <c r="AF122" s="8"/>
      <c r="AG122" s="8"/>
      <c r="AH122" s="8"/>
      <c r="AI122" s="8"/>
      <c r="AJ122" s="8"/>
      <c r="AK122" s="8"/>
      <c r="AL122" s="8"/>
      <c r="AM122" s="8"/>
      <c r="AN122" s="8"/>
      <c r="AO122" s="8"/>
      <c r="AV122" s="506"/>
      <c r="AW122" s="506"/>
      <c r="AZ122" s="506"/>
      <c r="BI122" s="506"/>
      <c r="BJ122" s="506"/>
      <c r="BM122" s="506"/>
      <c r="BU122" s="506"/>
      <c r="BV122" s="506"/>
      <c r="BY122" s="506"/>
      <c r="CG122" s="506"/>
      <c r="CH122" s="506"/>
      <c r="CK122" s="506"/>
      <c r="CU122" s="506"/>
      <c r="CV122" s="506"/>
      <c r="CY122" s="506"/>
      <c r="DI122" s="506"/>
      <c r="DJ122" s="506"/>
      <c r="DM122" s="506"/>
      <c r="DV122" s="506"/>
      <c r="DW122" s="506"/>
      <c r="DZ122" s="506"/>
    </row>
    <row r="123" spans="1:130" x14ac:dyDescent="0.2">
      <c r="A123" s="8"/>
      <c r="B123" s="8"/>
      <c r="C123" s="8"/>
      <c r="D123" s="8"/>
      <c r="E123" s="8"/>
      <c r="F123" s="8"/>
      <c r="G123" s="8"/>
      <c r="H123" s="8"/>
      <c r="I123" s="8"/>
      <c r="J123" s="8"/>
      <c r="K123" s="8"/>
      <c r="L123" s="8"/>
      <c r="M123" s="8"/>
      <c r="N123" s="8"/>
      <c r="O123" s="8"/>
      <c r="P123" s="8"/>
      <c r="Q123" s="8"/>
      <c r="R123" s="8"/>
      <c r="S123" s="8"/>
      <c r="T123" s="8"/>
      <c r="U123" s="8"/>
      <c r="V123" s="8"/>
      <c r="W123" s="8"/>
      <c r="X123" s="8"/>
      <c r="Y123" s="8"/>
      <c r="Z123" s="8"/>
      <c r="AA123" s="8"/>
      <c r="AB123" s="8"/>
      <c r="AD123" s="8"/>
      <c r="AE123" s="8"/>
      <c r="AF123" s="8"/>
      <c r="AG123" s="8"/>
      <c r="AH123" s="8"/>
      <c r="AI123" s="8"/>
      <c r="AJ123" s="8"/>
      <c r="AK123" s="8"/>
      <c r="AL123" s="8"/>
      <c r="AM123" s="8"/>
      <c r="AN123" s="8"/>
      <c r="AO123" s="8"/>
      <c r="AV123" s="506"/>
      <c r="AW123" s="506"/>
      <c r="AZ123" s="506"/>
      <c r="BI123" s="506"/>
      <c r="BJ123" s="506"/>
      <c r="BM123" s="506"/>
      <c r="BU123" s="506"/>
      <c r="BV123" s="506"/>
      <c r="BY123" s="506"/>
      <c r="CG123" s="506"/>
      <c r="CH123" s="506"/>
      <c r="CK123" s="506"/>
      <c r="CU123" s="506"/>
      <c r="CV123" s="506"/>
      <c r="CY123" s="506"/>
      <c r="DI123" s="506"/>
      <c r="DJ123" s="506"/>
      <c r="DM123" s="506"/>
      <c r="DV123" s="506"/>
      <c r="DW123" s="506"/>
      <c r="DZ123" s="506"/>
    </row>
    <row r="124" spans="1:130" x14ac:dyDescent="0.2">
      <c r="A124" s="8"/>
      <c r="B124" s="8"/>
      <c r="C124" s="8"/>
      <c r="D124" s="8"/>
      <c r="E124" s="8"/>
      <c r="F124" s="8"/>
      <c r="G124" s="8"/>
      <c r="H124" s="8"/>
      <c r="I124" s="8"/>
      <c r="J124" s="8"/>
      <c r="K124" s="8"/>
      <c r="L124" s="8"/>
      <c r="M124" s="8"/>
      <c r="N124" s="8"/>
      <c r="O124" s="8"/>
      <c r="P124" s="8"/>
      <c r="Q124" s="8"/>
      <c r="R124" s="8"/>
      <c r="S124" s="8"/>
      <c r="T124" s="8"/>
      <c r="U124" s="8"/>
      <c r="V124" s="8"/>
      <c r="W124" s="8"/>
      <c r="X124" s="8"/>
      <c r="Y124" s="8"/>
      <c r="Z124" s="8"/>
      <c r="AA124" s="8"/>
      <c r="AB124" s="8"/>
      <c r="AD124" s="8"/>
      <c r="AE124" s="8"/>
      <c r="AF124" s="8"/>
      <c r="AG124" s="8"/>
      <c r="AH124" s="8"/>
      <c r="AI124" s="8"/>
      <c r="AJ124" s="8"/>
      <c r="AK124" s="8"/>
      <c r="AL124" s="8"/>
      <c r="AM124" s="8"/>
      <c r="AN124" s="8"/>
      <c r="AO124" s="8"/>
      <c r="AV124" s="506"/>
      <c r="AW124" s="506"/>
      <c r="AZ124" s="506"/>
      <c r="BI124" s="506"/>
      <c r="BJ124" s="506"/>
      <c r="BM124" s="506"/>
      <c r="BU124" s="506"/>
      <c r="BV124" s="506"/>
      <c r="BY124" s="506"/>
      <c r="CG124" s="506"/>
      <c r="CH124" s="506"/>
      <c r="CK124" s="506"/>
      <c r="CU124" s="506"/>
      <c r="CV124" s="506"/>
      <c r="CY124" s="506"/>
      <c r="DI124" s="506"/>
      <c r="DJ124" s="506"/>
      <c r="DM124" s="506"/>
      <c r="DV124" s="506"/>
      <c r="DW124" s="506"/>
      <c r="DZ124" s="506"/>
    </row>
    <row r="125" spans="1:130" x14ac:dyDescent="0.2">
      <c r="A125" s="8"/>
      <c r="B125" s="8"/>
      <c r="C125" s="8"/>
      <c r="D125" s="8"/>
      <c r="E125" s="8"/>
      <c r="F125" s="8"/>
      <c r="G125" s="8"/>
      <c r="H125" s="8"/>
      <c r="I125" s="8"/>
      <c r="J125" s="8"/>
      <c r="K125" s="8"/>
      <c r="L125" s="8"/>
      <c r="M125" s="8"/>
      <c r="N125" s="8"/>
      <c r="O125" s="8"/>
      <c r="P125" s="8"/>
      <c r="Q125" s="8"/>
      <c r="R125" s="8"/>
      <c r="S125" s="8"/>
      <c r="T125" s="8"/>
      <c r="U125" s="8"/>
      <c r="V125" s="8"/>
      <c r="W125" s="8"/>
      <c r="X125" s="8"/>
      <c r="Y125" s="8"/>
      <c r="Z125" s="8"/>
      <c r="AA125" s="8"/>
      <c r="AB125" s="8"/>
      <c r="AD125" s="8"/>
      <c r="AE125" s="8"/>
      <c r="AF125" s="8"/>
      <c r="AG125" s="8"/>
      <c r="AH125" s="8"/>
      <c r="AI125" s="8"/>
      <c r="AJ125" s="8"/>
      <c r="AK125" s="8"/>
      <c r="AL125" s="8"/>
      <c r="AM125" s="8"/>
      <c r="AN125" s="8"/>
      <c r="AO125" s="8"/>
      <c r="AV125" s="506"/>
      <c r="AW125" s="506"/>
      <c r="AZ125" s="506"/>
      <c r="BI125" s="506"/>
      <c r="BJ125" s="506"/>
      <c r="BM125" s="506"/>
      <c r="BU125" s="506"/>
      <c r="BV125" s="506"/>
      <c r="BY125" s="506"/>
      <c r="CG125" s="506"/>
      <c r="CH125" s="506"/>
      <c r="CK125" s="506"/>
      <c r="CU125" s="506"/>
      <c r="CV125" s="506"/>
      <c r="CY125" s="506"/>
      <c r="DI125" s="506"/>
      <c r="DJ125" s="506"/>
      <c r="DM125" s="506"/>
      <c r="DV125" s="506"/>
      <c r="DW125" s="506"/>
      <c r="DZ125" s="506"/>
    </row>
    <row r="126" spans="1:130" x14ac:dyDescent="0.2">
      <c r="A126" s="8"/>
      <c r="B126" s="8"/>
      <c r="C126" s="8"/>
      <c r="D126" s="8"/>
      <c r="E126" s="8"/>
      <c r="F126" s="8"/>
      <c r="G126" s="8"/>
      <c r="H126" s="8"/>
      <c r="I126" s="8"/>
      <c r="J126" s="8"/>
      <c r="K126" s="8"/>
      <c r="L126" s="8"/>
      <c r="M126" s="8"/>
      <c r="N126" s="8"/>
      <c r="O126" s="8"/>
      <c r="P126" s="8"/>
      <c r="Q126" s="8"/>
      <c r="R126" s="8"/>
      <c r="S126" s="8"/>
      <c r="T126" s="8"/>
      <c r="U126" s="8"/>
      <c r="V126" s="8"/>
      <c r="W126" s="8"/>
      <c r="X126" s="8"/>
      <c r="Y126" s="8"/>
      <c r="Z126" s="8"/>
      <c r="AA126" s="8"/>
      <c r="AB126" s="8"/>
      <c r="AD126" s="8"/>
      <c r="AE126" s="8"/>
      <c r="AF126" s="8"/>
      <c r="AG126" s="8"/>
      <c r="AH126" s="8"/>
      <c r="AI126" s="8"/>
      <c r="AJ126" s="8"/>
      <c r="AK126" s="8"/>
      <c r="AL126" s="8"/>
      <c r="AM126" s="8"/>
      <c r="AN126" s="8"/>
      <c r="AO126" s="8"/>
      <c r="AV126" s="506"/>
      <c r="AW126" s="506"/>
      <c r="AZ126" s="506"/>
      <c r="BI126" s="506"/>
      <c r="BJ126" s="506"/>
      <c r="BM126" s="506"/>
      <c r="BU126" s="506"/>
      <c r="BV126" s="506"/>
      <c r="BY126" s="506"/>
      <c r="CG126" s="506"/>
      <c r="CH126" s="506"/>
      <c r="CK126" s="506"/>
      <c r="CU126" s="506"/>
      <c r="CV126" s="506"/>
      <c r="CY126" s="506"/>
      <c r="DI126" s="506"/>
      <c r="DJ126" s="506"/>
      <c r="DM126" s="506"/>
      <c r="DV126" s="506"/>
      <c r="DW126" s="506"/>
      <c r="DZ126" s="506"/>
    </row>
    <row r="127" spans="1:130" x14ac:dyDescent="0.2">
      <c r="A127" s="8"/>
      <c r="B127" s="8"/>
      <c r="C127" s="8"/>
      <c r="D127" s="8"/>
      <c r="E127" s="8"/>
      <c r="F127" s="8"/>
      <c r="G127" s="8"/>
      <c r="H127" s="8"/>
      <c r="I127" s="8"/>
      <c r="J127" s="8"/>
      <c r="K127" s="8"/>
      <c r="L127" s="8"/>
      <c r="M127" s="8"/>
      <c r="N127" s="8"/>
      <c r="O127" s="8"/>
      <c r="P127" s="8"/>
      <c r="Q127" s="8"/>
      <c r="R127" s="8"/>
      <c r="S127" s="8"/>
      <c r="T127" s="8"/>
      <c r="U127" s="8"/>
      <c r="V127" s="8"/>
      <c r="W127" s="8"/>
      <c r="X127" s="8"/>
      <c r="Y127" s="8"/>
      <c r="Z127" s="8"/>
      <c r="AA127" s="8"/>
      <c r="AB127" s="8"/>
      <c r="AD127" s="8"/>
      <c r="AE127" s="8"/>
      <c r="AF127" s="8"/>
      <c r="AG127" s="8"/>
      <c r="AH127" s="8"/>
      <c r="AI127" s="8"/>
      <c r="AJ127" s="8"/>
      <c r="AK127" s="8"/>
      <c r="AL127" s="8"/>
      <c r="AM127" s="8"/>
      <c r="AN127" s="8"/>
      <c r="AO127" s="8"/>
      <c r="AV127" s="506"/>
      <c r="AW127" s="506"/>
      <c r="AZ127" s="506"/>
      <c r="BI127" s="506"/>
      <c r="BJ127" s="506"/>
      <c r="BM127" s="506"/>
      <c r="BU127" s="506"/>
      <c r="BV127" s="506"/>
      <c r="BY127" s="506"/>
      <c r="CG127" s="506"/>
      <c r="CH127" s="506"/>
      <c r="CK127" s="506"/>
      <c r="CU127" s="506"/>
      <c r="CV127" s="506"/>
      <c r="CY127" s="506"/>
      <c r="DI127" s="506"/>
      <c r="DJ127" s="506"/>
      <c r="DM127" s="506"/>
      <c r="DV127" s="506"/>
      <c r="DW127" s="506"/>
      <c r="DZ127" s="506"/>
    </row>
    <row r="128" spans="1:130" x14ac:dyDescent="0.2">
      <c r="A128" s="8"/>
      <c r="B128" s="8"/>
      <c r="C128" s="8"/>
      <c r="D128" s="8"/>
      <c r="E128" s="8"/>
      <c r="F128" s="8"/>
      <c r="G128" s="8"/>
      <c r="H128" s="8"/>
      <c r="I128" s="8"/>
      <c r="J128" s="8"/>
      <c r="K128" s="8"/>
      <c r="L128" s="8"/>
      <c r="M128" s="8"/>
      <c r="N128" s="8"/>
      <c r="O128" s="8"/>
      <c r="P128" s="8"/>
      <c r="Q128" s="8"/>
      <c r="R128" s="8"/>
      <c r="S128" s="8"/>
      <c r="T128" s="8"/>
      <c r="U128" s="8"/>
      <c r="V128" s="8"/>
      <c r="W128" s="8"/>
      <c r="X128" s="8"/>
      <c r="Y128" s="8"/>
      <c r="Z128" s="8"/>
      <c r="AA128" s="8"/>
      <c r="AB128" s="8"/>
      <c r="AD128" s="8"/>
      <c r="AE128" s="8"/>
      <c r="AF128" s="8"/>
      <c r="AG128" s="8"/>
      <c r="AH128" s="8"/>
      <c r="AI128" s="8"/>
      <c r="AJ128" s="8"/>
      <c r="AK128" s="8"/>
      <c r="AL128" s="8"/>
      <c r="AM128" s="8"/>
      <c r="AN128" s="8"/>
      <c r="AO128" s="8"/>
      <c r="AV128" s="506"/>
      <c r="AW128" s="506"/>
      <c r="AZ128" s="506"/>
      <c r="BI128" s="506"/>
      <c r="BJ128" s="506"/>
      <c r="BM128" s="506"/>
      <c r="BU128" s="506"/>
      <c r="BV128" s="506"/>
      <c r="BY128" s="506"/>
      <c r="CG128" s="506"/>
      <c r="CH128" s="506"/>
      <c r="CK128" s="506"/>
      <c r="CU128" s="506"/>
      <c r="CV128" s="506"/>
      <c r="CY128" s="506"/>
      <c r="DI128" s="506"/>
      <c r="DJ128" s="506"/>
      <c r="DM128" s="506"/>
      <c r="DV128" s="506"/>
      <c r="DW128" s="506"/>
      <c r="DZ128" s="506"/>
    </row>
    <row r="129" spans="1:130" x14ac:dyDescent="0.2">
      <c r="A129" s="8"/>
      <c r="B129" s="8"/>
      <c r="C129" s="8"/>
      <c r="D129" s="8"/>
      <c r="E129" s="8"/>
      <c r="F129" s="8"/>
      <c r="G129" s="8"/>
      <c r="H129" s="8"/>
      <c r="I129" s="8"/>
      <c r="J129" s="8"/>
      <c r="K129" s="8"/>
      <c r="L129" s="8"/>
      <c r="M129" s="8"/>
      <c r="N129" s="8"/>
      <c r="O129" s="8"/>
      <c r="P129" s="8"/>
      <c r="Q129" s="8"/>
      <c r="R129" s="8"/>
      <c r="S129" s="8"/>
      <c r="T129" s="8"/>
      <c r="U129" s="8"/>
      <c r="V129" s="8"/>
      <c r="W129" s="8"/>
      <c r="X129" s="8"/>
      <c r="Y129" s="8"/>
      <c r="Z129" s="8"/>
      <c r="AA129" s="8"/>
      <c r="AB129" s="8"/>
      <c r="AD129" s="8"/>
      <c r="AE129" s="8"/>
      <c r="AF129" s="8"/>
      <c r="AG129" s="8"/>
      <c r="AH129" s="8"/>
      <c r="AI129" s="8"/>
      <c r="AJ129" s="8"/>
      <c r="AK129" s="8"/>
      <c r="AL129" s="8"/>
      <c r="AM129" s="8"/>
      <c r="AN129" s="8"/>
      <c r="AO129" s="8"/>
      <c r="AV129" s="506"/>
      <c r="AW129" s="506"/>
      <c r="AZ129" s="506"/>
      <c r="BI129" s="506"/>
      <c r="BJ129" s="506"/>
      <c r="BM129" s="506"/>
      <c r="BU129" s="506"/>
      <c r="BV129" s="506"/>
      <c r="BY129" s="506"/>
      <c r="CG129" s="506"/>
      <c r="CH129" s="506"/>
      <c r="CK129" s="506"/>
      <c r="CU129" s="506"/>
      <c r="CV129" s="506"/>
      <c r="CY129" s="506"/>
      <c r="DI129" s="506"/>
      <c r="DJ129" s="506"/>
      <c r="DM129" s="506"/>
      <c r="DV129" s="506"/>
      <c r="DW129" s="506"/>
      <c r="DZ129" s="506"/>
    </row>
    <row r="130" spans="1:130" x14ac:dyDescent="0.2">
      <c r="A130" s="8"/>
      <c r="B130" s="8"/>
      <c r="C130" s="8"/>
      <c r="D130" s="8"/>
      <c r="E130" s="8"/>
      <c r="F130" s="8"/>
      <c r="G130" s="8"/>
      <c r="H130" s="8"/>
      <c r="I130" s="8"/>
      <c r="J130" s="8"/>
      <c r="K130" s="8"/>
      <c r="L130" s="8"/>
      <c r="M130" s="8"/>
      <c r="N130" s="8"/>
      <c r="O130" s="8"/>
      <c r="P130" s="8"/>
      <c r="Q130" s="8"/>
      <c r="R130" s="8"/>
      <c r="S130" s="8"/>
      <c r="T130" s="8"/>
      <c r="U130" s="8"/>
      <c r="V130" s="8"/>
      <c r="W130" s="8"/>
      <c r="X130" s="8"/>
      <c r="Y130" s="8"/>
      <c r="Z130" s="8"/>
      <c r="AA130" s="8"/>
      <c r="AB130" s="8"/>
      <c r="AD130" s="8"/>
      <c r="AE130" s="8"/>
      <c r="AF130" s="8"/>
      <c r="AG130" s="8"/>
      <c r="AH130" s="8"/>
      <c r="AI130" s="8"/>
      <c r="AJ130" s="8"/>
      <c r="AK130" s="8"/>
      <c r="AL130" s="8"/>
      <c r="AM130" s="8"/>
      <c r="AN130" s="8"/>
      <c r="AO130" s="8"/>
      <c r="AV130" s="506"/>
      <c r="AW130" s="506"/>
      <c r="AZ130" s="506"/>
      <c r="BI130" s="506"/>
      <c r="BJ130" s="506"/>
      <c r="BM130" s="506"/>
      <c r="BU130" s="506"/>
      <c r="BV130" s="506"/>
      <c r="BY130" s="506"/>
      <c r="CG130" s="506"/>
      <c r="CH130" s="506"/>
      <c r="CK130" s="506"/>
      <c r="CU130" s="506"/>
      <c r="CV130" s="506"/>
      <c r="CY130" s="506"/>
      <c r="DI130" s="506"/>
      <c r="DJ130" s="506"/>
      <c r="DM130" s="506"/>
      <c r="DV130" s="506"/>
      <c r="DW130" s="506"/>
      <c r="DZ130" s="506"/>
    </row>
    <row r="131" spans="1:130" x14ac:dyDescent="0.2">
      <c r="A131" s="8"/>
      <c r="B131" s="8"/>
      <c r="C131" s="8"/>
      <c r="D131" s="8"/>
      <c r="E131" s="8"/>
      <c r="F131" s="8"/>
      <c r="G131" s="8"/>
      <c r="H131" s="8"/>
      <c r="I131" s="8"/>
      <c r="J131" s="8"/>
      <c r="K131" s="8"/>
      <c r="L131" s="8"/>
      <c r="M131" s="8"/>
      <c r="N131" s="8"/>
      <c r="O131" s="8"/>
      <c r="P131" s="8"/>
      <c r="Q131" s="8"/>
      <c r="R131" s="8"/>
      <c r="S131" s="8"/>
      <c r="T131" s="8"/>
      <c r="U131" s="8"/>
      <c r="V131" s="8"/>
      <c r="W131" s="8"/>
      <c r="X131" s="8"/>
      <c r="Y131" s="8"/>
      <c r="Z131" s="8"/>
      <c r="AA131" s="8"/>
      <c r="AB131" s="8"/>
      <c r="AD131" s="8"/>
      <c r="AE131" s="8"/>
      <c r="AF131" s="8"/>
      <c r="AG131" s="8"/>
      <c r="AH131" s="8"/>
      <c r="AI131" s="8"/>
      <c r="AJ131" s="8"/>
      <c r="AK131" s="8"/>
      <c r="AL131" s="8"/>
      <c r="AM131" s="8"/>
      <c r="AN131" s="8"/>
      <c r="AO131" s="8"/>
      <c r="AV131" s="506"/>
      <c r="AW131" s="506"/>
      <c r="AZ131" s="506"/>
      <c r="BI131" s="506"/>
      <c r="BJ131" s="506"/>
      <c r="BM131" s="506"/>
      <c r="BU131" s="506"/>
      <c r="BV131" s="506"/>
      <c r="BY131" s="506"/>
      <c r="CG131" s="506"/>
      <c r="CH131" s="506"/>
      <c r="CK131" s="506"/>
      <c r="CU131" s="506"/>
      <c r="CV131" s="506"/>
      <c r="CY131" s="506"/>
      <c r="DI131" s="506"/>
      <c r="DJ131" s="506"/>
      <c r="DM131" s="506"/>
      <c r="DV131" s="506"/>
      <c r="DW131" s="506"/>
      <c r="DZ131" s="506"/>
    </row>
    <row r="132" spans="1:130" x14ac:dyDescent="0.2">
      <c r="A132" s="8"/>
      <c r="B132" s="8"/>
      <c r="C132" s="8"/>
      <c r="D132" s="8"/>
      <c r="E132" s="8"/>
      <c r="F132" s="8"/>
      <c r="G132" s="8"/>
      <c r="H132" s="8"/>
      <c r="I132" s="8"/>
      <c r="J132" s="8"/>
      <c r="K132" s="8"/>
      <c r="L132" s="8"/>
      <c r="M132" s="8"/>
      <c r="N132" s="8"/>
      <c r="O132" s="8"/>
      <c r="P132" s="8"/>
      <c r="Q132" s="8"/>
      <c r="R132" s="8"/>
      <c r="S132" s="8"/>
      <c r="T132" s="8"/>
      <c r="U132" s="8"/>
      <c r="V132" s="8"/>
      <c r="W132" s="8"/>
      <c r="X132" s="8"/>
      <c r="Y132" s="8"/>
      <c r="Z132" s="8"/>
      <c r="AA132" s="8"/>
      <c r="AB132" s="8"/>
      <c r="AD132" s="8"/>
      <c r="AE132" s="8"/>
      <c r="AF132" s="8"/>
      <c r="AG132" s="8"/>
      <c r="AH132" s="8"/>
      <c r="AI132" s="8"/>
      <c r="AJ132" s="8"/>
      <c r="AK132" s="8"/>
      <c r="AL132" s="8"/>
      <c r="AM132" s="8"/>
      <c r="AN132" s="8"/>
      <c r="AO132" s="8"/>
      <c r="AV132" s="506"/>
      <c r="AW132" s="506"/>
      <c r="AZ132" s="506"/>
      <c r="BI132" s="506"/>
      <c r="BJ132" s="506"/>
      <c r="BM132" s="506"/>
      <c r="BU132" s="506"/>
      <c r="BV132" s="506"/>
      <c r="BY132" s="506"/>
      <c r="CG132" s="506"/>
      <c r="CH132" s="506"/>
      <c r="CK132" s="506"/>
      <c r="CU132" s="506"/>
      <c r="CV132" s="506"/>
      <c r="CY132" s="506"/>
      <c r="DI132" s="506"/>
      <c r="DJ132" s="506"/>
      <c r="DM132" s="506"/>
      <c r="DV132" s="506"/>
      <c r="DW132" s="506"/>
      <c r="DZ132" s="506"/>
    </row>
    <row r="133" spans="1:130" x14ac:dyDescent="0.2">
      <c r="A133" s="8"/>
      <c r="B133" s="8"/>
      <c r="C133" s="8"/>
      <c r="D133" s="8"/>
      <c r="E133" s="8"/>
      <c r="F133" s="8"/>
      <c r="G133" s="8"/>
      <c r="H133" s="8"/>
      <c r="I133" s="8"/>
      <c r="J133" s="8"/>
      <c r="K133" s="8"/>
      <c r="L133" s="8"/>
      <c r="M133" s="8"/>
      <c r="N133" s="8"/>
      <c r="O133" s="8"/>
      <c r="P133" s="8"/>
      <c r="Q133" s="8"/>
      <c r="R133" s="8"/>
      <c r="S133" s="8"/>
      <c r="T133" s="8"/>
      <c r="U133" s="8"/>
      <c r="V133" s="8"/>
      <c r="W133" s="8"/>
      <c r="X133" s="8"/>
      <c r="Y133" s="8"/>
      <c r="Z133" s="8"/>
      <c r="AA133" s="8"/>
      <c r="AB133" s="8"/>
      <c r="AD133" s="8"/>
      <c r="AE133" s="8"/>
      <c r="AF133" s="8"/>
      <c r="AG133" s="8"/>
      <c r="AH133" s="8"/>
      <c r="AI133" s="8"/>
      <c r="AJ133" s="8"/>
      <c r="AK133" s="8"/>
      <c r="AL133" s="8"/>
      <c r="AM133" s="8"/>
      <c r="AN133" s="8"/>
      <c r="AO133" s="8"/>
      <c r="AV133" s="506"/>
      <c r="AW133" s="506"/>
      <c r="AZ133" s="506"/>
      <c r="BI133" s="506"/>
      <c r="BJ133" s="506"/>
      <c r="BM133" s="506"/>
      <c r="BU133" s="506"/>
      <c r="BV133" s="506"/>
      <c r="BY133" s="506"/>
      <c r="CG133" s="506"/>
      <c r="CH133" s="506"/>
      <c r="CK133" s="506"/>
      <c r="CU133" s="506"/>
      <c r="CV133" s="506"/>
      <c r="CY133" s="506"/>
      <c r="DI133" s="506"/>
      <c r="DJ133" s="506"/>
      <c r="DM133" s="506"/>
      <c r="DV133" s="506"/>
      <c r="DW133" s="506"/>
      <c r="DZ133" s="506"/>
    </row>
    <row r="134" spans="1:130" x14ac:dyDescent="0.2">
      <c r="A134" s="8"/>
      <c r="B134" s="8"/>
      <c r="C134" s="8"/>
      <c r="D134" s="8"/>
      <c r="E134" s="8"/>
      <c r="F134" s="8"/>
      <c r="G134" s="8"/>
      <c r="H134" s="8"/>
      <c r="I134" s="8"/>
      <c r="J134" s="8"/>
      <c r="K134" s="8"/>
      <c r="L134" s="8"/>
      <c r="M134" s="8"/>
      <c r="N134" s="8"/>
      <c r="O134" s="8"/>
      <c r="P134" s="8"/>
      <c r="Q134" s="8"/>
      <c r="R134" s="8"/>
      <c r="S134" s="8"/>
      <c r="T134" s="8"/>
      <c r="U134" s="8"/>
      <c r="V134" s="8"/>
      <c r="W134" s="8"/>
      <c r="X134" s="8"/>
      <c r="Y134" s="8"/>
      <c r="Z134" s="8"/>
      <c r="AA134" s="8"/>
      <c r="AB134" s="8"/>
      <c r="AD134" s="8"/>
      <c r="AE134" s="8"/>
      <c r="AF134" s="8"/>
      <c r="AG134" s="8"/>
      <c r="AH134" s="8"/>
      <c r="AI134" s="8"/>
      <c r="AJ134" s="8"/>
      <c r="AK134" s="8"/>
      <c r="AL134" s="8"/>
      <c r="AM134" s="8"/>
      <c r="AN134" s="8"/>
      <c r="AO134" s="8"/>
      <c r="AV134" s="506"/>
      <c r="AW134" s="506"/>
      <c r="AZ134" s="506"/>
      <c r="BI134" s="506"/>
      <c r="BJ134" s="506"/>
      <c r="BM134" s="506"/>
      <c r="BU134" s="506"/>
      <c r="BV134" s="506"/>
      <c r="BY134" s="506"/>
      <c r="CG134" s="506"/>
      <c r="CH134" s="506"/>
      <c r="CK134" s="506"/>
      <c r="CU134" s="506"/>
      <c r="CV134" s="506"/>
      <c r="CY134" s="506"/>
      <c r="DI134" s="506"/>
      <c r="DJ134" s="506"/>
      <c r="DM134" s="506"/>
      <c r="DV134" s="506"/>
      <c r="DW134" s="506"/>
      <c r="DZ134" s="506"/>
    </row>
    <row r="135" spans="1:130" x14ac:dyDescent="0.2">
      <c r="A135" s="8"/>
      <c r="B135" s="8"/>
      <c r="C135" s="8"/>
      <c r="D135" s="8"/>
      <c r="E135" s="8"/>
      <c r="F135" s="8"/>
      <c r="G135" s="8"/>
      <c r="H135" s="8"/>
      <c r="I135" s="8"/>
      <c r="J135" s="8"/>
      <c r="K135" s="8"/>
      <c r="L135" s="8"/>
      <c r="M135" s="8"/>
      <c r="N135" s="8"/>
      <c r="O135" s="8"/>
      <c r="P135" s="8"/>
      <c r="Q135" s="8"/>
      <c r="R135" s="8"/>
      <c r="S135" s="8"/>
      <c r="T135" s="8"/>
      <c r="U135" s="8"/>
      <c r="V135" s="8"/>
      <c r="W135" s="8"/>
      <c r="X135" s="8"/>
      <c r="Y135" s="8"/>
      <c r="Z135" s="8"/>
      <c r="AA135" s="8"/>
      <c r="AB135" s="8"/>
      <c r="AD135" s="8"/>
      <c r="AE135" s="8"/>
      <c r="AF135" s="8"/>
      <c r="AG135" s="8"/>
      <c r="AH135" s="8"/>
      <c r="AI135" s="8"/>
      <c r="AJ135" s="8"/>
      <c r="AK135" s="8"/>
      <c r="AL135" s="8"/>
      <c r="AM135" s="8"/>
      <c r="AN135" s="8"/>
      <c r="AO135" s="8"/>
      <c r="AV135" s="506"/>
      <c r="AW135" s="506"/>
      <c r="AZ135" s="506"/>
      <c r="BI135" s="506"/>
      <c r="BJ135" s="506"/>
      <c r="BM135" s="506"/>
      <c r="BU135" s="506"/>
      <c r="BV135" s="506"/>
      <c r="BY135" s="506"/>
      <c r="CG135" s="506"/>
      <c r="CH135" s="506"/>
      <c r="CK135" s="506"/>
      <c r="CU135" s="506"/>
      <c r="CV135" s="506"/>
      <c r="CY135" s="506"/>
      <c r="DI135" s="506"/>
      <c r="DJ135" s="506"/>
      <c r="DM135" s="506"/>
      <c r="DV135" s="506"/>
      <c r="DW135" s="506"/>
      <c r="DZ135" s="506"/>
    </row>
    <row r="136" spans="1:130" x14ac:dyDescent="0.2">
      <c r="A136" s="8"/>
      <c r="B136" s="8"/>
      <c r="C136" s="8"/>
      <c r="D136" s="8"/>
      <c r="E136" s="8"/>
      <c r="F136" s="8"/>
      <c r="G136" s="8"/>
      <c r="H136" s="8"/>
      <c r="I136" s="8"/>
      <c r="J136" s="8"/>
      <c r="K136" s="8"/>
      <c r="L136" s="8"/>
      <c r="M136" s="8"/>
      <c r="N136" s="8"/>
      <c r="O136" s="8"/>
      <c r="P136" s="8"/>
      <c r="Q136" s="8"/>
      <c r="R136" s="8"/>
      <c r="S136" s="8"/>
      <c r="T136" s="8"/>
      <c r="U136" s="8"/>
      <c r="V136" s="8"/>
      <c r="W136" s="8"/>
      <c r="X136" s="8"/>
      <c r="Y136" s="8"/>
      <c r="Z136" s="8"/>
      <c r="AA136" s="8"/>
      <c r="AB136" s="8"/>
      <c r="AD136" s="8"/>
      <c r="AE136" s="8"/>
      <c r="AF136" s="8"/>
      <c r="AG136" s="8"/>
      <c r="AH136" s="8"/>
      <c r="AI136" s="8"/>
      <c r="AJ136" s="8"/>
      <c r="AK136" s="8"/>
      <c r="AL136" s="8"/>
      <c r="AM136" s="8"/>
      <c r="AN136" s="8"/>
      <c r="AO136" s="8"/>
      <c r="AV136" s="506"/>
      <c r="AW136" s="506"/>
      <c r="AZ136" s="506"/>
      <c r="BI136" s="506"/>
      <c r="BJ136" s="506"/>
      <c r="BM136" s="506"/>
      <c r="BU136" s="506"/>
      <c r="BV136" s="506"/>
      <c r="BY136" s="506"/>
      <c r="CG136" s="506"/>
      <c r="CH136" s="506"/>
      <c r="CK136" s="506"/>
      <c r="CU136" s="506"/>
      <c r="CV136" s="506"/>
      <c r="CY136" s="506"/>
      <c r="DI136" s="506"/>
      <c r="DJ136" s="506"/>
      <c r="DM136" s="506"/>
      <c r="DV136" s="506"/>
      <c r="DW136" s="506"/>
      <c r="DZ136" s="506"/>
    </row>
    <row r="137" spans="1:130" x14ac:dyDescent="0.2">
      <c r="A137" s="8"/>
      <c r="B137" s="8"/>
      <c r="C137" s="8"/>
      <c r="D137" s="8"/>
      <c r="E137" s="8"/>
      <c r="F137" s="8"/>
      <c r="G137" s="8"/>
      <c r="H137" s="8"/>
      <c r="I137" s="8"/>
      <c r="J137" s="8"/>
      <c r="K137" s="8"/>
      <c r="L137" s="8"/>
      <c r="M137" s="8"/>
      <c r="N137" s="8"/>
      <c r="O137" s="8"/>
      <c r="P137" s="8"/>
      <c r="Q137" s="8"/>
      <c r="R137" s="8"/>
      <c r="S137" s="8"/>
      <c r="T137" s="8"/>
      <c r="U137" s="8"/>
      <c r="V137" s="8"/>
      <c r="W137" s="8"/>
      <c r="X137" s="8"/>
      <c r="Y137" s="8"/>
      <c r="Z137" s="8"/>
      <c r="AA137" s="8"/>
      <c r="AB137" s="8"/>
      <c r="AD137" s="8"/>
      <c r="AE137" s="8"/>
      <c r="AF137" s="8"/>
      <c r="AG137" s="8"/>
      <c r="AH137" s="8"/>
      <c r="AI137" s="8"/>
      <c r="AJ137" s="8"/>
      <c r="AK137" s="8"/>
      <c r="AL137" s="8"/>
      <c r="AM137" s="8"/>
      <c r="AN137" s="8"/>
      <c r="AO137" s="8"/>
      <c r="AV137" s="506"/>
      <c r="AW137" s="506"/>
      <c r="AZ137" s="506"/>
      <c r="BI137" s="506"/>
      <c r="BJ137" s="506"/>
      <c r="BM137" s="506"/>
      <c r="BU137" s="506"/>
      <c r="BV137" s="506"/>
      <c r="BY137" s="506"/>
      <c r="CG137" s="506"/>
      <c r="CH137" s="506"/>
      <c r="CK137" s="506"/>
      <c r="CU137" s="506"/>
      <c r="CV137" s="506"/>
      <c r="CY137" s="506"/>
      <c r="DI137" s="506"/>
      <c r="DJ137" s="506"/>
      <c r="DM137" s="506"/>
      <c r="DV137" s="506"/>
      <c r="DW137" s="506"/>
      <c r="DZ137" s="506"/>
    </row>
    <row r="138" spans="1:130" x14ac:dyDescent="0.2">
      <c r="A138" s="8"/>
      <c r="B138" s="8"/>
      <c r="C138" s="8"/>
      <c r="D138" s="8"/>
      <c r="E138" s="8"/>
      <c r="F138" s="8"/>
      <c r="G138" s="8"/>
      <c r="H138" s="8"/>
      <c r="I138" s="8"/>
      <c r="J138" s="8"/>
      <c r="K138" s="8"/>
      <c r="L138" s="8"/>
      <c r="M138" s="8"/>
      <c r="N138" s="8"/>
      <c r="O138" s="8"/>
      <c r="P138" s="8"/>
      <c r="Q138" s="8"/>
      <c r="R138" s="8"/>
      <c r="S138" s="8"/>
      <c r="T138" s="8"/>
      <c r="U138" s="8"/>
      <c r="V138" s="8"/>
      <c r="W138" s="8"/>
      <c r="X138" s="8"/>
      <c r="Y138" s="8"/>
      <c r="Z138" s="8"/>
      <c r="AA138" s="8"/>
      <c r="AB138" s="8"/>
      <c r="AD138" s="8"/>
      <c r="AE138" s="8"/>
      <c r="AF138" s="8"/>
      <c r="AG138" s="8"/>
      <c r="AH138" s="8"/>
      <c r="AI138" s="8"/>
      <c r="AJ138" s="8"/>
      <c r="AK138" s="8"/>
      <c r="AL138" s="8"/>
      <c r="AM138" s="8"/>
      <c r="AN138" s="8"/>
      <c r="AO138" s="8"/>
      <c r="AV138" s="506"/>
      <c r="AW138" s="506"/>
      <c r="AZ138" s="506"/>
      <c r="BI138" s="506"/>
      <c r="BJ138" s="506"/>
      <c r="BM138" s="506"/>
      <c r="BU138" s="506"/>
      <c r="BV138" s="506"/>
      <c r="BY138" s="506"/>
      <c r="CG138" s="506"/>
      <c r="CH138" s="506"/>
      <c r="CK138" s="506"/>
      <c r="CU138" s="506"/>
      <c r="CV138" s="506"/>
      <c r="CY138" s="506"/>
      <c r="DI138" s="506"/>
      <c r="DJ138" s="506"/>
      <c r="DM138" s="506"/>
      <c r="DV138" s="506"/>
      <c r="DW138" s="506"/>
      <c r="DZ138" s="506"/>
    </row>
    <row r="139" spans="1:130" x14ac:dyDescent="0.2">
      <c r="A139" s="8"/>
      <c r="B139" s="8"/>
      <c r="C139" s="8"/>
      <c r="D139" s="8"/>
      <c r="E139" s="8"/>
      <c r="F139" s="8"/>
      <c r="G139" s="8"/>
      <c r="H139" s="8"/>
      <c r="I139" s="8"/>
      <c r="J139" s="8"/>
      <c r="K139" s="8"/>
      <c r="L139" s="8"/>
      <c r="M139" s="8"/>
      <c r="N139" s="8"/>
      <c r="O139" s="8"/>
      <c r="P139" s="8"/>
      <c r="Q139" s="8"/>
      <c r="R139" s="8"/>
      <c r="S139" s="8"/>
      <c r="T139" s="8"/>
      <c r="U139" s="8"/>
      <c r="V139" s="8"/>
      <c r="W139" s="8"/>
      <c r="X139" s="8"/>
      <c r="Y139" s="8"/>
      <c r="Z139" s="8"/>
      <c r="AA139" s="8"/>
      <c r="AB139" s="8"/>
      <c r="AD139" s="8"/>
      <c r="AE139" s="8"/>
      <c r="AF139" s="8"/>
      <c r="AG139" s="8"/>
      <c r="AH139" s="8"/>
      <c r="AI139" s="8"/>
      <c r="AJ139" s="8"/>
      <c r="AK139" s="8"/>
      <c r="AL139" s="8"/>
      <c r="AM139" s="8"/>
      <c r="AN139" s="8"/>
      <c r="AO139" s="8"/>
      <c r="AV139" s="506"/>
      <c r="AW139" s="506"/>
      <c r="AZ139" s="506"/>
      <c r="BI139" s="506"/>
      <c r="BJ139" s="506"/>
      <c r="BM139" s="506"/>
      <c r="BU139" s="506"/>
      <c r="BV139" s="506"/>
      <c r="BY139" s="506"/>
      <c r="CG139" s="506"/>
      <c r="CH139" s="506"/>
      <c r="CK139" s="506"/>
      <c r="CU139" s="506"/>
      <c r="CV139" s="506"/>
      <c r="CY139" s="506"/>
      <c r="DI139" s="506"/>
      <c r="DJ139" s="506"/>
      <c r="DM139" s="506"/>
      <c r="DV139" s="506"/>
      <c r="DW139" s="506"/>
      <c r="DZ139" s="506"/>
    </row>
    <row r="140" spans="1:130" x14ac:dyDescent="0.2">
      <c r="A140" s="8"/>
      <c r="B140" s="8"/>
      <c r="C140" s="8"/>
      <c r="D140" s="8"/>
      <c r="E140" s="8"/>
      <c r="F140" s="8"/>
      <c r="G140" s="8"/>
      <c r="H140" s="8"/>
      <c r="I140" s="8"/>
      <c r="J140" s="8"/>
      <c r="K140" s="8"/>
      <c r="L140" s="8"/>
      <c r="M140" s="8"/>
      <c r="N140" s="8"/>
      <c r="O140" s="8"/>
      <c r="P140" s="8"/>
      <c r="Q140" s="8"/>
      <c r="R140" s="8"/>
      <c r="S140" s="8"/>
      <c r="T140" s="8"/>
      <c r="U140" s="8"/>
      <c r="V140" s="8"/>
      <c r="W140" s="8"/>
      <c r="X140" s="8"/>
      <c r="Y140" s="8"/>
      <c r="Z140" s="8"/>
      <c r="AA140" s="8"/>
      <c r="AB140" s="8"/>
      <c r="AD140" s="8"/>
      <c r="AE140" s="8"/>
      <c r="AF140" s="8"/>
      <c r="AG140" s="8"/>
      <c r="AH140" s="8"/>
      <c r="AI140" s="8"/>
      <c r="AJ140" s="8"/>
      <c r="AK140" s="8"/>
      <c r="AL140" s="8"/>
      <c r="AM140" s="8"/>
      <c r="AN140" s="8"/>
      <c r="AO140" s="8"/>
      <c r="AV140" s="506"/>
      <c r="AW140" s="506"/>
      <c r="AZ140" s="506"/>
      <c r="BI140" s="506"/>
      <c r="BJ140" s="506"/>
      <c r="BM140" s="506"/>
      <c r="BU140" s="506"/>
      <c r="BV140" s="506"/>
      <c r="BY140" s="506"/>
      <c r="CG140" s="506"/>
      <c r="CH140" s="506"/>
      <c r="CK140" s="506"/>
      <c r="CU140" s="506"/>
      <c r="CV140" s="506"/>
      <c r="CY140" s="506"/>
      <c r="DI140" s="506"/>
      <c r="DJ140" s="506"/>
      <c r="DM140" s="506"/>
      <c r="DV140" s="506"/>
      <c r="DW140" s="506"/>
      <c r="DZ140" s="506"/>
    </row>
    <row r="141" spans="1:130" x14ac:dyDescent="0.2">
      <c r="A141" s="8"/>
      <c r="B141" s="8"/>
      <c r="C141" s="8"/>
      <c r="D141" s="8"/>
      <c r="E141" s="8"/>
      <c r="F141" s="8"/>
      <c r="G141" s="8"/>
      <c r="H141" s="8"/>
      <c r="I141" s="8"/>
      <c r="J141" s="8"/>
      <c r="K141" s="8"/>
      <c r="L141" s="8"/>
      <c r="M141" s="8"/>
      <c r="N141" s="8"/>
      <c r="O141" s="8"/>
      <c r="P141" s="8"/>
      <c r="Q141" s="8"/>
      <c r="R141" s="8"/>
      <c r="S141" s="8"/>
      <c r="T141" s="8"/>
      <c r="U141" s="8"/>
      <c r="V141" s="8"/>
      <c r="W141" s="8"/>
      <c r="X141" s="8"/>
      <c r="Y141" s="8"/>
      <c r="Z141" s="8"/>
      <c r="AA141" s="8"/>
      <c r="AB141" s="8"/>
      <c r="AD141" s="8"/>
      <c r="AE141" s="8"/>
      <c r="AF141" s="8"/>
      <c r="AG141" s="8"/>
      <c r="AH141" s="8"/>
      <c r="AI141" s="8"/>
      <c r="AJ141" s="8"/>
      <c r="AK141" s="8"/>
      <c r="AL141" s="8"/>
      <c r="AM141" s="8"/>
      <c r="AN141" s="8"/>
      <c r="AO141" s="8"/>
      <c r="AV141" s="506"/>
      <c r="AW141" s="506"/>
      <c r="AZ141" s="506"/>
      <c r="BI141" s="506"/>
      <c r="BJ141" s="506"/>
      <c r="BM141" s="506"/>
      <c r="BU141" s="506"/>
      <c r="BV141" s="506"/>
      <c r="BY141" s="506"/>
      <c r="CG141" s="506"/>
      <c r="CH141" s="506"/>
      <c r="CK141" s="506"/>
      <c r="CU141" s="506"/>
      <c r="CV141" s="506"/>
      <c r="CY141" s="506"/>
      <c r="DI141" s="506"/>
      <c r="DJ141" s="506"/>
      <c r="DM141" s="506"/>
      <c r="DV141" s="506"/>
      <c r="DW141" s="506"/>
      <c r="DZ141" s="506"/>
    </row>
    <row r="142" spans="1:130" x14ac:dyDescent="0.2">
      <c r="A142" s="8"/>
      <c r="B142" s="8"/>
      <c r="C142" s="8"/>
      <c r="D142" s="8"/>
      <c r="E142" s="8"/>
      <c r="F142" s="8"/>
      <c r="G142" s="8"/>
      <c r="H142" s="8"/>
      <c r="I142" s="8"/>
      <c r="J142" s="8"/>
      <c r="K142" s="8"/>
      <c r="L142" s="8"/>
      <c r="M142" s="8"/>
      <c r="N142" s="8"/>
      <c r="O142" s="8"/>
      <c r="P142" s="8"/>
      <c r="Q142" s="8"/>
      <c r="R142" s="8"/>
      <c r="S142" s="8"/>
      <c r="T142" s="8"/>
      <c r="U142" s="8"/>
      <c r="V142" s="8"/>
      <c r="W142" s="8"/>
      <c r="X142" s="8"/>
      <c r="Y142" s="8"/>
      <c r="Z142" s="8"/>
      <c r="AA142" s="8"/>
      <c r="AB142" s="8"/>
      <c r="AD142" s="8"/>
      <c r="AE142" s="8"/>
      <c r="AF142" s="8"/>
      <c r="AG142" s="8"/>
      <c r="AH142" s="8"/>
      <c r="AI142" s="8"/>
      <c r="AJ142" s="8"/>
      <c r="AK142" s="8"/>
      <c r="AL142" s="8"/>
      <c r="AM142" s="8"/>
      <c r="AN142" s="8"/>
      <c r="AO142" s="8"/>
      <c r="AV142" s="506"/>
      <c r="AW142" s="506"/>
      <c r="AZ142" s="506"/>
      <c r="BI142" s="506"/>
      <c r="BJ142" s="506"/>
      <c r="BM142" s="506"/>
      <c r="BU142" s="506"/>
      <c r="BV142" s="506"/>
      <c r="BY142" s="506"/>
      <c r="CG142" s="506"/>
      <c r="CH142" s="506"/>
      <c r="CK142" s="506"/>
      <c r="CU142" s="506"/>
      <c r="CV142" s="506"/>
      <c r="CY142" s="506"/>
      <c r="DI142" s="506"/>
      <c r="DJ142" s="506"/>
      <c r="DM142" s="506"/>
      <c r="DV142" s="506"/>
      <c r="DW142" s="506"/>
      <c r="DZ142" s="506"/>
    </row>
    <row r="143" spans="1:130" x14ac:dyDescent="0.2">
      <c r="A143" s="8"/>
      <c r="B143" s="8"/>
      <c r="C143" s="8"/>
      <c r="D143" s="8"/>
      <c r="E143" s="8"/>
      <c r="F143" s="8"/>
      <c r="G143" s="8"/>
      <c r="H143" s="8"/>
      <c r="I143" s="8"/>
      <c r="J143" s="8"/>
      <c r="K143" s="8"/>
      <c r="L143" s="8"/>
      <c r="M143" s="8"/>
      <c r="N143" s="8"/>
      <c r="O143" s="8"/>
      <c r="P143" s="8"/>
      <c r="Q143" s="8"/>
      <c r="R143" s="8"/>
      <c r="S143" s="8"/>
      <c r="T143" s="8"/>
      <c r="U143" s="8"/>
      <c r="V143" s="8"/>
      <c r="W143" s="8"/>
      <c r="X143" s="8"/>
      <c r="Y143" s="8"/>
      <c r="Z143" s="8"/>
      <c r="AA143" s="8"/>
      <c r="AB143" s="8"/>
      <c r="AD143" s="8"/>
      <c r="AE143" s="8"/>
      <c r="AF143" s="8"/>
      <c r="AG143" s="8"/>
      <c r="AH143" s="8"/>
      <c r="AI143" s="8"/>
      <c r="AJ143" s="8"/>
      <c r="AK143" s="8"/>
      <c r="AL143" s="8"/>
      <c r="AM143" s="8"/>
      <c r="AN143" s="8"/>
      <c r="AO143" s="8"/>
      <c r="AV143" s="506"/>
      <c r="AW143" s="506"/>
      <c r="AZ143" s="506"/>
      <c r="BI143" s="506"/>
      <c r="BJ143" s="506"/>
      <c r="BM143" s="506"/>
      <c r="BU143" s="506"/>
      <c r="BV143" s="506"/>
      <c r="BY143" s="506"/>
      <c r="CG143" s="506"/>
      <c r="CH143" s="506"/>
      <c r="CK143" s="506"/>
      <c r="CU143" s="506"/>
      <c r="CV143" s="506"/>
      <c r="CY143" s="506"/>
      <c r="DI143" s="506"/>
      <c r="DJ143" s="506"/>
      <c r="DM143" s="506"/>
      <c r="DV143" s="506"/>
      <c r="DW143" s="506"/>
      <c r="DZ143" s="506"/>
    </row>
    <row r="144" spans="1:130" x14ac:dyDescent="0.2">
      <c r="A144" s="8"/>
      <c r="B144" s="8"/>
      <c r="C144" s="8"/>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D144" s="8"/>
      <c r="AE144" s="8"/>
      <c r="AF144" s="8"/>
      <c r="AG144" s="8"/>
      <c r="AH144" s="8"/>
      <c r="AI144" s="8"/>
      <c r="AJ144" s="8"/>
      <c r="AK144" s="8"/>
      <c r="AL144" s="8"/>
      <c r="AM144" s="8"/>
      <c r="AN144" s="8"/>
      <c r="AO144" s="8"/>
      <c r="AV144" s="506"/>
      <c r="AW144" s="506"/>
      <c r="AZ144" s="506"/>
      <c r="BI144" s="506"/>
      <c r="BJ144" s="506"/>
      <c r="BM144" s="506"/>
      <c r="BU144" s="506"/>
      <c r="BV144" s="506"/>
      <c r="BY144" s="506"/>
      <c r="CG144" s="506"/>
      <c r="CH144" s="506"/>
      <c r="CK144" s="506"/>
      <c r="CU144" s="506"/>
      <c r="CV144" s="506"/>
      <c r="CY144" s="506"/>
      <c r="DI144" s="506"/>
      <c r="DJ144" s="506"/>
      <c r="DM144" s="506"/>
      <c r="DV144" s="506"/>
      <c r="DW144" s="506"/>
      <c r="DZ144" s="506"/>
    </row>
    <row r="145" spans="1:130" x14ac:dyDescent="0.2">
      <c r="A145" s="8"/>
      <c r="B145" s="8"/>
      <c r="C145" s="8"/>
      <c r="D145" s="8"/>
      <c r="E145" s="8"/>
      <c r="F145" s="8"/>
      <c r="G145" s="8"/>
      <c r="H145" s="8"/>
      <c r="I145" s="8"/>
      <c r="J145" s="8"/>
      <c r="K145" s="8"/>
      <c r="L145" s="8"/>
      <c r="M145" s="8"/>
      <c r="N145" s="8"/>
      <c r="O145" s="8"/>
      <c r="P145" s="8"/>
      <c r="Q145" s="8"/>
      <c r="R145" s="8"/>
      <c r="S145" s="8"/>
      <c r="T145" s="8"/>
      <c r="U145" s="8"/>
      <c r="V145" s="8"/>
      <c r="W145" s="8"/>
      <c r="X145" s="8"/>
      <c r="Y145" s="8"/>
      <c r="Z145" s="8"/>
      <c r="AA145" s="8"/>
      <c r="AB145" s="8"/>
      <c r="AD145" s="8"/>
      <c r="AE145" s="8"/>
      <c r="AF145" s="8"/>
      <c r="AG145" s="8"/>
      <c r="AH145" s="8"/>
      <c r="AI145" s="8"/>
      <c r="AJ145" s="8"/>
      <c r="AK145" s="8"/>
      <c r="AL145" s="8"/>
      <c r="AM145" s="8"/>
      <c r="AN145" s="8"/>
      <c r="AO145" s="8"/>
      <c r="AV145" s="506"/>
      <c r="AW145" s="506"/>
      <c r="AZ145" s="506"/>
      <c r="BI145" s="506"/>
      <c r="BJ145" s="506"/>
      <c r="BM145" s="506"/>
      <c r="BU145" s="506"/>
      <c r="BV145" s="506"/>
      <c r="BY145" s="506"/>
      <c r="CG145" s="506"/>
      <c r="CH145" s="506"/>
      <c r="CK145" s="506"/>
      <c r="CU145" s="506"/>
      <c r="CV145" s="506"/>
      <c r="CY145" s="506"/>
      <c r="DI145" s="506"/>
      <c r="DJ145" s="506"/>
      <c r="DM145" s="506"/>
      <c r="DV145" s="506"/>
      <c r="DW145" s="506"/>
      <c r="DZ145" s="506"/>
    </row>
    <row r="146" spans="1:130" x14ac:dyDescent="0.2">
      <c r="A146" s="8"/>
      <c r="B146" s="8"/>
      <c r="C146" s="8"/>
      <c r="D146" s="8"/>
      <c r="E146" s="8"/>
      <c r="F146" s="8"/>
      <c r="G146" s="8"/>
      <c r="H146" s="8"/>
      <c r="I146" s="8"/>
      <c r="J146" s="8"/>
      <c r="K146" s="8"/>
      <c r="L146" s="8"/>
      <c r="M146" s="8"/>
      <c r="N146" s="8"/>
      <c r="O146" s="8"/>
      <c r="P146" s="8"/>
      <c r="Q146" s="8"/>
      <c r="R146" s="8"/>
      <c r="S146" s="8"/>
      <c r="T146" s="8"/>
      <c r="U146" s="8"/>
      <c r="V146" s="8"/>
      <c r="W146" s="8"/>
      <c r="X146" s="8"/>
      <c r="Y146" s="8"/>
      <c r="Z146" s="8"/>
      <c r="AA146" s="8"/>
      <c r="AB146" s="8"/>
      <c r="AD146" s="8"/>
      <c r="AE146" s="8"/>
      <c r="AF146" s="8"/>
      <c r="AG146" s="8"/>
      <c r="AH146" s="8"/>
      <c r="AI146" s="8"/>
      <c r="AJ146" s="8"/>
      <c r="AK146" s="8"/>
      <c r="AL146" s="8"/>
      <c r="AM146" s="8"/>
      <c r="AN146" s="8"/>
      <c r="AO146" s="8"/>
      <c r="AV146" s="506"/>
      <c r="AW146" s="506"/>
      <c r="AZ146" s="506"/>
      <c r="BI146" s="506"/>
      <c r="BJ146" s="506"/>
      <c r="BM146" s="506"/>
      <c r="BU146" s="506"/>
      <c r="BV146" s="506"/>
      <c r="BY146" s="506"/>
      <c r="CG146" s="506"/>
      <c r="CH146" s="506"/>
      <c r="CK146" s="506"/>
      <c r="CU146" s="506"/>
      <c r="CV146" s="506"/>
      <c r="CY146" s="506"/>
      <c r="DI146" s="506"/>
      <c r="DJ146" s="506"/>
      <c r="DM146" s="506"/>
      <c r="DV146" s="506"/>
      <c r="DW146" s="506"/>
      <c r="DZ146" s="506"/>
    </row>
    <row r="147" spans="1:130" x14ac:dyDescent="0.2">
      <c r="A147" s="8"/>
      <c r="B147" s="8"/>
      <c r="C147" s="8"/>
      <c r="D147" s="8"/>
      <c r="E147" s="8"/>
      <c r="F147" s="8"/>
      <c r="G147" s="8"/>
      <c r="H147" s="8"/>
      <c r="I147" s="8"/>
      <c r="J147" s="8"/>
      <c r="K147" s="8"/>
      <c r="L147" s="8"/>
      <c r="M147" s="8"/>
      <c r="N147" s="8"/>
      <c r="O147" s="8"/>
      <c r="P147" s="8"/>
      <c r="Q147" s="8"/>
      <c r="R147" s="8"/>
      <c r="S147" s="8"/>
      <c r="T147" s="8"/>
      <c r="U147" s="8"/>
      <c r="V147" s="8"/>
      <c r="W147" s="8"/>
      <c r="X147" s="8"/>
      <c r="Y147" s="8"/>
      <c r="Z147" s="8"/>
      <c r="AA147" s="8"/>
      <c r="AB147" s="8"/>
      <c r="AD147" s="8"/>
      <c r="AE147" s="8"/>
      <c r="AF147" s="8"/>
      <c r="AG147" s="8"/>
      <c r="AH147" s="8"/>
      <c r="AI147" s="8"/>
      <c r="AJ147" s="8"/>
      <c r="AK147" s="8"/>
      <c r="AL147" s="8"/>
      <c r="AM147" s="8"/>
      <c r="AN147" s="8"/>
      <c r="AO147" s="8"/>
      <c r="AV147" s="506"/>
      <c r="AW147" s="506"/>
      <c r="AZ147" s="506"/>
      <c r="BI147" s="506"/>
      <c r="BJ147" s="506"/>
      <c r="BM147" s="506"/>
      <c r="BU147" s="506"/>
      <c r="BV147" s="506"/>
      <c r="BY147" s="506"/>
      <c r="CG147" s="506"/>
      <c r="CH147" s="506"/>
      <c r="CK147" s="506"/>
      <c r="CU147" s="506"/>
      <c r="CV147" s="506"/>
      <c r="CY147" s="506"/>
      <c r="DI147" s="506"/>
      <c r="DJ147" s="506"/>
      <c r="DM147" s="506"/>
      <c r="DV147" s="506"/>
      <c r="DW147" s="506"/>
      <c r="DZ147" s="506"/>
    </row>
    <row r="148" spans="1:130" x14ac:dyDescent="0.2">
      <c r="A148" s="8"/>
      <c r="B148" s="8"/>
      <c r="C148" s="8"/>
      <c r="D148" s="8"/>
      <c r="E148" s="8"/>
      <c r="F148" s="8"/>
      <c r="G148" s="8"/>
      <c r="H148" s="8"/>
      <c r="I148" s="8"/>
      <c r="J148" s="8"/>
      <c r="K148" s="8"/>
      <c r="L148" s="8"/>
      <c r="M148" s="8"/>
      <c r="N148" s="8"/>
      <c r="O148" s="8"/>
      <c r="P148" s="8"/>
      <c r="Q148" s="8"/>
      <c r="R148" s="8"/>
      <c r="S148" s="8"/>
      <c r="T148" s="8"/>
      <c r="U148" s="8"/>
      <c r="V148" s="8"/>
      <c r="W148" s="8"/>
      <c r="X148" s="8"/>
      <c r="Y148" s="8"/>
      <c r="Z148" s="8"/>
      <c r="AA148" s="8"/>
      <c r="AB148" s="8"/>
      <c r="AD148" s="8"/>
      <c r="AE148" s="8"/>
      <c r="AF148" s="8"/>
      <c r="AG148" s="8"/>
      <c r="AH148" s="8"/>
      <c r="AI148" s="8"/>
      <c r="AJ148" s="8"/>
      <c r="AK148" s="8"/>
      <c r="AL148" s="8"/>
      <c r="AM148" s="8"/>
      <c r="AN148" s="8"/>
      <c r="AO148" s="8"/>
      <c r="AV148" s="506"/>
      <c r="AW148" s="506"/>
      <c r="AZ148" s="506"/>
      <c r="BI148" s="506"/>
      <c r="BJ148" s="506"/>
      <c r="BM148" s="506"/>
      <c r="BU148" s="506"/>
      <c r="BV148" s="506"/>
      <c r="BY148" s="506"/>
      <c r="CG148" s="506"/>
      <c r="CH148" s="506"/>
      <c r="CK148" s="506"/>
      <c r="CU148" s="506"/>
      <c r="CV148" s="506"/>
      <c r="CY148" s="506"/>
      <c r="DI148" s="506"/>
      <c r="DJ148" s="506"/>
      <c r="DM148" s="506"/>
      <c r="DV148" s="506"/>
      <c r="DW148" s="506"/>
      <c r="DZ148" s="506"/>
    </row>
    <row r="149" spans="1:130" x14ac:dyDescent="0.2">
      <c r="A149" s="8"/>
      <c r="B149" s="8"/>
      <c r="C149" s="8"/>
      <c r="D149" s="8"/>
      <c r="E149" s="8"/>
      <c r="F149" s="8"/>
      <c r="G149" s="8"/>
      <c r="H149" s="8"/>
      <c r="I149" s="8"/>
      <c r="J149" s="8"/>
      <c r="K149" s="8"/>
      <c r="L149" s="8"/>
      <c r="M149" s="8"/>
      <c r="N149" s="8"/>
      <c r="O149" s="8"/>
      <c r="P149" s="8"/>
      <c r="Q149" s="8"/>
      <c r="R149" s="8"/>
      <c r="S149" s="8"/>
      <c r="T149" s="8"/>
      <c r="U149" s="8"/>
      <c r="V149" s="8"/>
      <c r="W149" s="8"/>
      <c r="X149" s="8"/>
      <c r="Y149" s="8"/>
      <c r="Z149" s="8"/>
      <c r="AA149" s="8"/>
      <c r="AB149" s="8"/>
      <c r="AD149" s="8"/>
      <c r="AE149" s="8"/>
      <c r="AF149" s="8"/>
      <c r="AG149" s="8"/>
      <c r="AH149" s="8"/>
      <c r="AI149" s="8"/>
      <c r="AJ149" s="8"/>
      <c r="AK149" s="8"/>
      <c r="AL149" s="8"/>
      <c r="AM149" s="8"/>
      <c r="AN149" s="8"/>
      <c r="AO149" s="8"/>
      <c r="AV149" s="506"/>
      <c r="AW149" s="506"/>
      <c r="AZ149" s="506"/>
      <c r="BI149" s="506"/>
      <c r="BJ149" s="506"/>
      <c r="BM149" s="506"/>
      <c r="BU149" s="506"/>
      <c r="BV149" s="506"/>
      <c r="BY149" s="506"/>
      <c r="CG149" s="506"/>
      <c r="CH149" s="506"/>
      <c r="CK149" s="506"/>
      <c r="CU149" s="506"/>
      <c r="CV149" s="506"/>
      <c r="CY149" s="506"/>
      <c r="DI149" s="506"/>
      <c r="DJ149" s="506"/>
      <c r="DM149" s="506"/>
      <c r="DV149" s="506"/>
      <c r="DW149" s="506"/>
      <c r="DZ149" s="506"/>
    </row>
    <row r="150" spans="1:130" x14ac:dyDescent="0.2">
      <c r="A150" s="8"/>
      <c r="B150" s="8"/>
      <c r="C150" s="8"/>
      <c r="D150" s="8"/>
      <c r="E150" s="8"/>
      <c r="F150" s="8"/>
      <c r="G150" s="8"/>
      <c r="H150" s="8"/>
      <c r="I150" s="8"/>
      <c r="J150" s="8"/>
      <c r="K150" s="8"/>
      <c r="L150" s="8"/>
      <c r="M150" s="8"/>
      <c r="N150" s="8"/>
      <c r="O150" s="8"/>
      <c r="P150" s="8"/>
      <c r="Q150" s="8"/>
      <c r="R150" s="8"/>
      <c r="S150" s="8"/>
      <c r="T150" s="8"/>
      <c r="U150" s="8"/>
      <c r="V150" s="8"/>
      <c r="W150" s="8"/>
      <c r="X150" s="8"/>
      <c r="Y150" s="8"/>
      <c r="Z150" s="8"/>
      <c r="AA150" s="8"/>
      <c r="AB150" s="8"/>
      <c r="AD150" s="8"/>
      <c r="AE150" s="8"/>
      <c r="AF150" s="8"/>
      <c r="AG150" s="8"/>
      <c r="AH150" s="8"/>
      <c r="AI150" s="8"/>
      <c r="AJ150" s="8"/>
      <c r="AK150" s="8"/>
      <c r="AL150" s="8"/>
      <c r="AM150" s="8"/>
      <c r="AN150" s="8"/>
      <c r="AO150" s="8"/>
      <c r="AV150" s="506"/>
      <c r="AW150" s="506"/>
      <c r="AZ150" s="506"/>
      <c r="BI150" s="506"/>
      <c r="BJ150" s="506"/>
      <c r="BM150" s="506"/>
      <c r="BU150" s="506"/>
      <c r="BV150" s="506"/>
      <c r="BY150" s="506"/>
      <c r="CG150" s="506"/>
      <c r="CH150" s="506"/>
      <c r="CK150" s="506"/>
      <c r="CU150" s="506"/>
      <c r="CV150" s="506"/>
      <c r="CY150" s="506"/>
      <c r="DI150" s="506"/>
      <c r="DJ150" s="506"/>
      <c r="DM150" s="506"/>
      <c r="DV150" s="506"/>
      <c r="DW150" s="506"/>
      <c r="DZ150" s="506"/>
    </row>
    <row r="151" spans="1:130" x14ac:dyDescent="0.2">
      <c r="A151" s="8"/>
      <c r="B151" s="8"/>
      <c r="C151" s="8"/>
      <c r="D151" s="8"/>
      <c r="E151" s="8"/>
      <c r="F151" s="8"/>
      <c r="G151" s="8"/>
      <c r="H151" s="8"/>
      <c r="I151" s="8"/>
      <c r="J151" s="8"/>
      <c r="K151" s="8"/>
      <c r="L151" s="8"/>
      <c r="M151" s="8"/>
      <c r="N151" s="8"/>
      <c r="O151" s="8"/>
      <c r="P151" s="8"/>
      <c r="Q151" s="8"/>
      <c r="R151" s="8"/>
      <c r="S151" s="8"/>
      <c r="T151" s="8"/>
      <c r="U151" s="8"/>
      <c r="V151" s="8"/>
      <c r="W151" s="8"/>
      <c r="X151" s="8"/>
      <c r="Y151" s="8"/>
      <c r="Z151" s="8"/>
      <c r="AA151" s="8"/>
      <c r="AB151" s="8"/>
      <c r="AD151" s="8"/>
      <c r="AE151" s="8"/>
      <c r="AF151" s="8"/>
      <c r="AG151" s="8"/>
      <c r="AH151" s="8"/>
      <c r="AI151" s="8"/>
      <c r="AJ151" s="8"/>
      <c r="AK151" s="8"/>
      <c r="AL151" s="8"/>
      <c r="AM151" s="8"/>
      <c r="AN151" s="8"/>
      <c r="AO151" s="8"/>
      <c r="AV151" s="506"/>
      <c r="AW151" s="506"/>
      <c r="AZ151" s="506"/>
      <c r="BI151" s="506"/>
      <c r="BJ151" s="506"/>
      <c r="BM151" s="506"/>
      <c r="BU151" s="506"/>
      <c r="BV151" s="506"/>
      <c r="BY151" s="506"/>
      <c r="CG151" s="506"/>
      <c r="CH151" s="506"/>
      <c r="CK151" s="506"/>
      <c r="CU151" s="506"/>
      <c r="CV151" s="506"/>
      <c r="CY151" s="506"/>
      <c r="DI151" s="506"/>
      <c r="DJ151" s="506"/>
      <c r="DM151" s="506"/>
      <c r="DV151" s="506"/>
      <c r="DW151" s="506"/>
      <c r="DZ151" s="506"/>
    </row>
    <row r="152" spans="1:130" x14ac:dyDescent="0.2">
      <c r="A152" s="8"/>
      <c r="B152" s="8"/>
      <c r="C152" s="8"/>
      <c r="D152" s="8"/>
      <c r="E152" s="8"/>
      <c r="F152" s="8"/>
      <c r="G152" s="8"/>
      <c r="H152" s="8"/>
      <c r="I152" s="8"/>
      <c r="J152" s="8"/>
      <c r="K152" s="8"/>
      <c r="L152" s="8"/>
      <c r="M152" s="8"/>
      <c r="N152" s="8"/>
      <c r="O152" s="8"/>
      <c r="P152" s="8"/>
      <c r="Q152" s="8"/>
      <c r="R152" s="8"/>
      <c r="S152" s="8"/>
      <c r="T152" s="8"/>
      <c r="U152" s="8"/>
      <c r="V152" s="8"/>
      <c r="W152" s="8"/>
      <c r="X152" s="8"/>
      <c r="Y152" s="8"/>
      <c r="Z152" s="8"/>
      <c r="AA152" s="8"/>
      <c r="AB152" s="8"/>
      <c r="AD152" s="8"/>
      <c r="AE152" s="8"/>
      <c r="AF152" s="8"/>
      <c r="AG152" s="8"/>
      <c r="AH152" s="8"/>
      <c r="AI152" s="8"/>
      <c r="AJ152" s="8"/>
      <c r="AK152" s="8"/>
      <c r="AL152" s="8"/>
      <c r="AM152" s="8"/>
      <c r="AN152" s="8"/>
      <c r="AO152" s="8"/>
      <c r="AV152" s="506"/>
      <c r="AW152" s="506"/>
      <c r="AZ152" s="506"/>
      <c r="BI152" s="506"/>
      <c r="BJ152" s="506"/>
      <c r="BM152" s="506"/>
      <c r="BU152" s="506"/>
      <c r="BV152" s="506"/>
      <c r="BY152" s="506"/>
      <c r="CG152" s="506"/>
      <c r="CH152" s="506"/>
      <c r="CK152" s="506"/>
      <c r="CU152" s="506"/>
      <c r="CV152" s="506"/>
      <c r="CY152" s="506"/>
      <c r="DI152" s="506"/>
      <c r="DJ152" s="506"/>
      <c r="DM152" s="506"/>
      <c r="DV152" s="506"/>
      <c r="DW152" s="506"/>
      <c r="DZ152" s="506"/>
    </row>
    <row r="153" spans="1:130" x14ac:dyDescent="0.2">
      <c r="A153" s="8"/>
      <c r="B153" s="8"/>
      <c r="C153" s="8"/>
      <c r="D153" s="8"/>
      <c r="E153" s="8"/>
      <c r="F153" s="8"/>
      <c r="G153" s="8"/>
      <c r="H153" s="8"/>
      <c r="I153" s="8"/>
      <c r="J153" s="8"/>
      <c r="K153" s="8"/>
      <c r="L153" s="8"/>
      <c r="M153" s="8"/>
      <c r="N153" s="8"/>
      <c r="O153" s="8"/>
      <c r="P153" s="8"/>
      <c r="Q153" s="8"/>
      <c r="R153" s="8"/>
      <c r="S153" s="8"/>
      <c r="T153" s="8"/>
      <c r="U153" s="8"/>
      <c r="V153" s="8"/>
      <c r="W153" s="8"/>
      <c r="X153" s="8"/>
      <c r="Y153" s="8"/>
      <c r="Z153" s="8"/>
      <c r="AA153" s="8"/>
      <c r="AB153" s="8"/>
      <c r="AD153" s="8"/>
      <c r="AE153" s="8"/>
      <c r="AF153" s="8"/>
      <c r="AG153" s="8"/>
      <c r="AH153" s="8"/>
      <c r="AI153" s="8"/>
      <c r="AJ153" s="8"/>
      <c r="AK153" s="8"/>
      <c r="AL153" s="8"/>
      <c r="AM153" s="8"/>
      <c r="AN153" s="8"/>
      <c r="AO153" s="8"/>
      <c r="AV153" s="506"/>
      <c r="AW153" s="506"/>
      <c r="AZ153" s="506"/>
      <c r="BI153" s="506"/>
      <c r="BJ153" s="506"/>
      <c r="BM153" s="506"/>
      <c r="BU153" s="506"/>
      <c r="BV153" s="506"/>
      <c r="BY153" s="506"/>
      <c r="CG153" s="506"/>
      <c r="CH153" s="506"/>
      <c r="CK153" s="506"/>
      <c r="CU153" s="506"/>
      <c r="CV153" s="506"/>
      <c r="CY153" s="506"/>
      <c r="DI153" s="506"/>
      <c r="DJ153" s="506"/>
      <c r="DM153" s="506"/>
      <c r="DV153" s="506"/>
      <c r="DW153" s="506"/>
      <c r="DZ153" s="506"/>
    </row>
    <row r="154" spans="1:130" x14ac:dyDescent="0.2">
      <c r="A154" s="8"/>
      <c r="B154" s="8"/>
      <c r="C154" s="8"/>
      <c r="D154" s="8"/>
      <c r="E154" s="8"/>
      <c r="F154" s="8"/>
      <c r="G154" s="8"/>
      <c r="H154" s="8"/>
      <c r="I154" s="8"/>
      <c r="J154" s="8"/>
      <c r="K154" s="8"/>
      <c r="L154" s="8"/>
      <c r="M154" s="8"/>
      <c r="N154" s="8"/>
      <c r="O154" s="8"/>
      <c r="P154" s="8"/>
      <c r="Q154" s="8"/>
      <c r="R154" s="8"/>
      <c r="S154" s="8"/>
      <c r="T154" s="8"/>
      <c r="U154" s="8"/>
      <c r="V154" s="8"/>
      <c r="W154" s="8"/>
      <c r="X154" s="8"/>
      <c r="Y154" s="8"/>
      <c r="Z154" s="8"/>
      <c r="AA154" s="8"/>
      <c r="AB154" s="8"/>
      <c r="AD154" s="8"/>
      <c r="AE154" s="8"/>
      <c r="AF154" s="8"/>
      <c r="AG154" s="8"/>
      <c r="AH154" s="8"/>
      <c r="AI154" s="8"/>
      <c r="AJ154" s="8"/>
      <c r="AK154" s="8"/>
      <c r="AL154" s="8"/>
      <c r="AM154" s="8"/>
      <c r="AN154" s="8"/>
      <c r="AO154" s="8"/>
      <c r="AV154" s="506"/>
      <c r="AW154" s="506"/>
      <c r="AZ154" s="506"/>
      <c r="BI154" s="506"/>
      <c r="BJ154" s="506"/>
      <c r="BM154" s="506"/>
      <c r="BU154" s="506"/>
      <c r="BV154" s="506"/>
      <c r="BY154" s="506"/>
      <c r="CG154" s="506"/>
      <c r="CH154" s="506"/>
      <c r="CK154" s="506"/>
      <c r="CU154" s="506"/>
      <c r="CV154" s="506"/>
      <c r="CY154" s="506"/>
      <c r="DI154" s="506"/>
      <c r="DJ154" s="506"/>
      <c r="DM154" s="506"/>
      <c r="DV154" s="506"/>
      <c r="DW154" s="506"/>
      <c r="DZ154" s="506"/>
    </row>
    <row r="155" spans="1:130" x14ac:dyDescent="0.2">
      <c r="A155" s="8"/>
      <c r="B155" s="8"/>
      <c r="C155" s="8"/>
      <c r="D155" s="8"/>
      <c r="E155" s="8"/>
      <c r="F155" s="8"/>
      <c r="G155" s="8"/>
      <c r="H155" s="8"/>
      <c r="I155" s="8"/>
      <c r="J155" s="8"/>
      <c r="K155" s="8"/>
      <c r="L155" s="8"/>
      <c r="M155" s="8"/>
      <c r="N155" s="8"/>
      <c r="O155" s="8"/>
      <c r="P155" s="8"/>
      <c r="Q155" s="8"/>
      <c r="R155" s="8"/>
      <c r="S155" s="8"/>
      <c r="T155" s="8"/>
      <c r="U155" s="8"/>
      <c r="V155" s="8"/>
      <c r="W155" s="8"/>
      <c r="X155" s="8"/>
      <c r="Y155" s="8"/>
      <c r="Z155" s="8"/>
      <c r="AA155" s="8"/>
      <c r="AB155" s="8"/>
      <c r="AD155" s="8"/>
      <c r="AE155" s="8"/>
      <c r="AF155" s="8"/>
      <c r="AG155" s="8"/>
      <c r="AH155" s="8"/>
      <c r="AI155" s="8"/>
      <c r="AJ155" s="8"/>
      <c r="AK155" s="8"/>
      <c r="AL155" s="8"/>
      <c r="AM155" s="8"/>
      <c r="AN155" s="8"/>
      <c r="AO155" s="8"/>
      <c r="AV155" s="506"/>
      <c r="AW155" s="506"/>
      <c r="AZ155" s="506"/>
      <c r="BI155" s="506"/>
      <c r="BJ155" s="506"/>
      <c r="BM155" s="506"/>
      <c r="BU155" s="506"/>
      <c r="BV155" s="506"/>
      <c r="BY155" s="506"/>
      <c r="CG155" s="506"/>
      <c r="CH155" s="506"/>
      <c r="CK155" s="506"/>
      <c r="CU155" s="506"/>
      <c r="CV155" s="506"/>
      <c r="CY155" s="506"/>
      <c r="DI155" s="506"/>
      <c r="DJ155" s="506"/>
      <c r="DM155" s="506"/>
      <c r="DV155" s="506"/>
      <c r="DW155" s="506"/>
      <c r="DZ155" s="506"/>
    </row>
    <row r="156" spans="1:130" x14ac:dyDescent="0.2">
      <c r="A156" s="8"/>
      <c r="B156" s="8"/>
      <c r="C156" s="8"/>
      <c r="D156" s="8"/>
      <c r="E156" s="8"/>
      <c r="F156" s="8"/>
      <c r="G156" s="8"/>
      <c r="H156" s="8"/>
      <c r="I156" s="8"/>
      <c r="J156" s="8"/>
      <c r="K156" s="8"/>
      <c r="L156" s="8"/>
      <c r="M156" s="8"/>
      <c r="N156" s="8"/>
      <c r="O156" s="8"/>
      <c r="P156" s="8"/>
      <c r="Q156" s="8"/>
      <c r="R156" s="8"/>
      <c r="S156" s="8"/>
      <c r="T156" s="8"/>
      <c r="U156" s="8"/>
      <c r="V156" s="8"/>
      <c r="W156" s="8"/>
      <c r="X156" s="8"/>
      <c r="Y156" s="8"/>
      <c r="Z156" s="8"/>
      <c r="AA156" s="8"/>
      <c r="AB156" s="8"/>
      <c r="AD156" s="8"/>
      <c r="AE156" s="8"/>
      <c r="AF156" s="8"/>
      <c r="AG156" s="8"/>
      <c r="AH156" s="8"/>
      <c r="AI156" s="8"/>
      <c r="AJ156" s="8"/>
      <c r="AK156" s="8"/>
      <c r="AL156" s="8"/>
      <c r="AM156" s="8"/>
      <c r="AN156" s="8"/>
      <c r="AO156" s="8"/>
      <c r="AV156" s="506"/>
      <c r="AW156" s="506"/>
      <c r="AZ156" s="506"/>
      <c r="BI156" s="506"/>
      <c r="BJ156" s="506"/>
      <c r="BM156" s="506"/>
      <c r="BU156" s="506"/>
      <c r="BV156" s="506"/>
      <c r="BY156" s="506"/>
      <c r="CG156" s="506"/>
      <c r="CH156" s="506"/>
      <c r="CK156" s="506"/>
      <c r="CU156" s="506"/>
      <c r="CV156" s="506"/>
      <c r="CY156" s="506"/>
      <c r="DI156" s="506"/>
      <c r="DJ156" s="506"/>
      <c r="DM156" s="506"/>
      <c r="DV156" s="506"/>
      <c r="DW156" s="506"/>
      <c r="DZ156" s="506"/>
    </row>
    <row r="157" spans="1:130" x14ac:dyDescent="0.2">
      <c r="A157" s="8"/>
      <c r="B157" s="8"/>
      <c r="C157" s="8"/>
      <c r="D157" s="8"/>
      <c r="E157" s="8"/>
      <c r="F157" s="8"/>
      <c r="G157" s="8"/>
      <c r="H157" s="8"/>
      <c r="I157" s="8"/>
      <c r="J157" s="8"/>
      <c r="K157" s="8"/>
      <c r="L157" s="8"/>
      <c r="M157" s="8"/>
      <c r="N157" s="8"/>
      <c r="O157" s="8"/>
      <c r="P157" s="8"/>
      <c r="Q157" s="8"/>
      <c r="R157" s="8"/>
      <c r="S157" s="8"/>
      <c r="T157" s="8"/>
      <c r="U157" s="8"/>
      <c r="V157" s="8"/>
      <c r="W157" s="8"/>
      <c r="X157" s="8"/>
      <c r="Y157" s="8"/>
      <c r="Z157" s="8"/>
      <c r="AA157" s="8"/>
      <c r="AB157" s="8"/>
      <c r="AD157" s="8"/>
      <c r="AE157" s="8"/>
      <c r="AF157" s="8"/>
      <c r="AG157" s="8"/>
      <c r="AH157" s="8"/>
      <c r="AI157" s="8"/>
      <c r="AJ157" s="8"/>
      <c r="AK157" s="8"/>
      <c r="AL157" s="8"/>
      <c r="AM157" s="8"/>
      <c r="AN157" s="8"/>
      <c r="AO157" s="8"/>
      <c r="AV157" s="506"/>
      <c r="AW157" s="506"/>
      <c r="AZ157" s="506"/>
      <c r="BI157" s="506"/>
      <c r="BJ157" s="506"/>
      <c r="BM157" s="506"/>
      <c r="BU157" s="506"/>
      <c r="BV157" s="506"/>
      <c r="BY157" s="506"/>
      <c r="CG157" s="506"/>
      <c r="CH157" s="506"/>
      <c r="CK157" s="506"/>
      <c r="CU157" s="506"/>
      <c r="CV157" s="506"/>
      <c r="CY157" s="506"/>
      <c r="DI157" s="506"/>
      <c r="DJ157" s="506"/>
      <c r="DM157" s="506"/>
      <c r="DV157" s="506"/>
      <c r="DW157" s="506"/>
      <c r="DZ157" s="506"/>
    </row>
    <row r="158" spans="1:130" x14ac:dyDescent="0.2">
      <c r="A158" s="8"/>
      <c r="B158" s="8"/>
      <c r="C158" s="8"/>
      <c r="D158" s="8"/>
      <c r="E158" s="8"/>
      <c r="F158" s="8"/>
      <c r="G158" s="8"/>
      <c r="H158" s="8"/>
      <c r="I158" s="8"/>
      <c r="J158" s="8"/>
      <c r="K158" s="8"/>
      <c r="L158" s="8"/>
      <c r="M158" s="8"/>
      <c r="N158" s="8"/>
      <c r="O158" s="8"/>
      <c r="P158" s="8"/>
      <c r="Q158" s="8"/>
      <c r="R158" s="8"/>
      <c r="S158" s="8"/>
      <c r="T158" s="8"/>
      <c r="U158" s="8"/>
      <c r="V158" s="8"/>
      <c r="W158" s="8"/>
      <c r="X158" s="8"/>
      <c r="Y158" s="8"/>
      <c r="Z158" s="8"/>
      <c r="AA158" s="8"/>
      <c r="AB158" s="8"/>
      <c r="AD158" s="8"/>
      <c r="AE158" s="8"/>
      <c r="AF158" s="8"/>
      <c r="AG158" s="8"/>
      <c r="AH158" s="8"/>
      <c r="AI158" s="8"/>
      <c r="AJ158" s="8"/>
      <c r="AK158" s="8"/>
      <c r="AL158" s="8"/>
      <c r="AM158" s="8"/>
      <c r="AN158" s="8"/>
      <c r="AO158" s="8"/>
      <c r="AV158" s="506"/>
      <c r="AW158" s="506"/>
      <c r="AZ158" s="506"/>
      <c r="BI158" s="506"/>
      <c r="BJ158" s="506"/>
      <c r="BM158" s="506"/>
      <c r="BU158" s="506"/>
      <c r="BV158" s="506"/>
      <c r="BY158" s="506"/>
      <c r="CG158" s="506"/>
      <c r="CH158" s="506"/>
      <c r="CK158" s="506"/>
      <c r="CU158" s="506"/>
      <c r="CV158" s="506"/>
      <c r="CY158" s="506"/>
      <c r="DI158" s="506"/>
      <c r="DJ158" s="506"/>
      <c r="DM158" s="506"/>
      <c r="DV158" s="506"/>
      <c r="DW158" s="506"/>
      <c r="DZ158" s="506"/>
    </row>
    <row r="159" spans="1:130" x14ac:dyDescent="0.2">
      <c r="A159" s="8"/>
      <c r="B159" s="8"/>
      <c r="C159" s="8"/>
      <c r="D159" s="8"/>
      <c r="E159" s="8"/>
      <c r="F159" s="8"/>
      <c r="G159" s="8"/>
      <c r="H159" s="8"/>
      <c r="I159" s="8"/>
      <c r="J159" s="8"/>
      <c r="K159" s="8"/>
      <c r="L159" s="8"/>
      <c r="M159" s="8"/>
      <c r="N159" s="8"/>
      <c r="O159" s="8"/>
      <c r="P159" s="8"/>
      <c r="Q159" s="8"/>
      <c r="R159" s="8"/>
      <c r="S159" s="8"/>
      <c r="T159" s="8"/>
      <c r="U159" s="8"/>
      <c r="V159" s="8"/>
      <c r="W159" s="8"/>
      <c r="X159" s="8"/>
      <c r="Y159" s="8"/>
      <c r="Z159" s="8"/>
      <c r="AA159" s="8"/>
      <c r="AB159" s="8"/>
      <c r="AD159" s="8"/>
      <c r="AE159" s="8"/>
      <c r="AF159" s="8"/>
      <c r="AG159" s="8"/>
      <c r="AH159" s="8"/>
      <c r="AI159" s="8"/>
      <c r="AJ159" s="8"/>
      <c r="AK159" s="8"/>
      <c r="AL159" s="8"/>
      <c r="AM159" s="8"/>
      <c r="AN159" s="8"/>
      <c r="AO159" s="8"/>
      <c r="AV159" s="506"/>
      <c r="AW159" s="506"/>
      <c r="AZ159" s="506"/>
      <c r="BI159" s="506"/>
      <c r="BJ159" s="506"/>
      <c r="BM159" s="506"/>
      <c r="BU159" s="506"/>
      <c r="BV159" s="506"/>
      <c r="BY159" s="506"/>
      <c r="CG159" s="506"/>
      <c r="CH159" s="506"/>
      <c r="CK159" s="506"/>
      <c r="CU159" s="506"/>
      <c r="CV159" s="506"/>
      <c r="CY159" s="506"/>
      <c r="DI159" s="506"/>
      <c r="DJ159" s="506"/>
      <c r="DM159" s="506"/>
      <c r="DV159" s="506"/>
      <c r="DW159" s="506"/>
      <c r="DZ159" s="506"/>
    </row>
    <row r="160" spans="1:130" x14ac:dyDescent="0.2">
      <c r="A160" s="8"/>
      <c r="B160" s="8"/>
      <c r="C160" s="8"/>
      <c r="D160" s="8"/>
      <c r="E160" s="8"/>
      <c r="F160" s="8"/>
      <c r="G160" s="8"/>
      <c r="H160" s="8"/>
      <c r="I160" s="8"/>
      <c r="J160" s="8"/>
      <c r="K160" s="8"/>
      <c r="L160" s="8"/>
      <c r="M160" s="8"/>
      <c r="N160" s="8"/>
      <c r="O160" s="8"/>
      <c r="P160" s="8"/>
      <c r="Q160" s="8"/>
      <c r="R160" s="8"/>
      <c r="S160" s="8"/>
      <c r="T160" s="8"/>
      <c r="U160" s="8"/>
      <c r="V160" s="8"/>
      <c r="W160" s="8"/>
      <c r="X160" s="8"/>
      <c r="Y160" s="8"/>
      <c r="Z160" s="8"/>
      <c r="AA160" s="8"/>
      <c r="AB160" s="8"/>
      <c r="AD160" s="8"/>
      <c r="AE160" s="8"/>
      <c r="AF160" s="8"/>
      <c r="AG160" s="8"/>
      <c r="AH160" s="8"/>
      <c r="AI160" s="8"/>
      <c r="AJ160" s="8"/>
      <c r="AK160" s="8"/>
      <c r="AL160" s="8"/>
      <c r="AM160" s="8"/>
      <c r="AN160" s="8"/>
      <c r="AO160" s="8"/>
      <c r="AV160" s="506"/>
      <c r="AW160" s="506"/>
      <c r="AZ160" s="506"/>
      <c r="BI160" s="506"/>
      <c r="BJ160" s="506"/>
      <c r="BM160" s="506"/>
      <c r="BU160" s="506"/>
      <c r="BV160" s="506"/>
      <c r="BY160" s="506"/>
      <c r="CG160" s="506"/>
      <c r="CH160" s="506"/>
      <c r="CK160" s="506"/>
      <c r="CU160" s="506"/>
      <c r="CV160" s="506"/>
      <c r="CY160" s="506"/>
      <c r="DI160" s="506"/>
      <c r="DJ160" s="506"/>
      <c r="DM160" s="506"/>
      <c r="DV160" s="506"/>
      <c r="DW160" s="506"/>
      <c r="DZ160" s="506"/>
    </row>
    <row r="161" spans="1:130" x14ac:dyDescent="0.2">
      <c r="A161" s="8"/>
      <c r="B161" s="8"/>
      <c r="C161" s="8"/>
      <c r="D161" s="8"/>
      <c r="E161" s="8"/>
      <c r="F161" s="8"/>
      <c r="G161" s="8"/>
      <c r="H161" s="8"/>
      <c r="I161" s="8"/>
      <c r="J161" s="8"/>
      <c r="K161" s="8"/>
      <c r="L161" s="8"/>
      <c r="M161" s="8"/>
      <c r="N161" s="8"/>
      <c r="O161" s="8"/>
      <c r="P161" s="8"/>
      <c r="Q161" s="8"/>
      <c r="R161" s="8"/>
      <c r="S161" s="8"/>
      <c r="T161" s="8"/>
      <c r="U161" s="8"/>
      <c r="V161" s="8"/>
      <c r="W161" s="8"/>
      <c r="X161" s="8"/>
      <c r="Y161" s="8"/>
      <c r="Z161" s="8"/>
      <c r="AA161" s="8"/>
      <c r="AB161" s="8"/>
      <c r="AD161" s="8"/>
      <c r="AE161" s="8"/>
      <c r="AF161" s="8"/>
      <c r="AG161" s="8"/>
      <c r="AH161" s="8"/>
      <c r="AI161" s="8"/>
      <c r="AJ161" s="8"/>
      <c r="AK161" s="8"/>
      <c r="AL161" s="8"/>
      <c r="AM161" s="8"/>
      <c r="AN161" s="8"/>
      <c r="AO161" s="8"/>
      <c r="AV161" s="506"/>
      <c r="AW161" s="506"/>
      <c r="AZ161" s="506"/>
      <c r="BI161" s="506"/>
      <c r="BJ161" s="506"/>
      <c r="BM161" s="506"/>
      <c r="BU161" s="506"/>
      <c r="BV161" s="506"/>
      <c r="BY161" s="506"/>
      <c r="CG161" s="506"/>
      <c r="CH161" s="506"/>
      <c r="CK161" s="506"/>
      <c r="CU161" s="506"/>
      <c r="CV161" s="506"/>
      <c r="CY161" s="506"/>
      <c r="DI161" s="506"/>
      <c r="DJ161" s="506"/>
      <c r="DM161" s="506"/>
      <c r="DV161" s="506"/>
      <c r="DW161" s="506"/>
      <c r="DZ161" s="506"/>
    </row>
    <row r="162" spans="1:130" x14ac:dyDescent="0.2">
      <c r="A162" s="8"/>
      <c r="B162" s="8"/>
      <c r="C162" s="8"/>
      <c r="D162" s="8"/>
      <c r="E162" s="8"/>
      <c r="F162" s="8"/>
      <c r="G162" s="8"/>
      <c r="H162" s="8"/>
      <c r="I162" s="8"/>
      <c r="J162" s="8"/>
      <c r="K162" s="8"/>
      <c r="L162" s="8"/>
      <c r="M162" s="8"/>
      <c r="N162" s="8"/>
      <c r="O162" s="8"/>
      <c r="P162" s="8"/>
      <c r="Q162" s="8"/>
      <c r="R162" s="8"/>
      <c r="S162" s="8"/>
      <c r="T162" s="8"/>
      <c r="U162" s="8"/>
      <c r="V162" s="8"/>
      <c r="W162" s="8"/>
      <c r="X162" s="8"/>
      <c r="Y162" s="8"/>
      <c r="Z162" s="8"/>
      <c r="AA162" s="8"/>
      <c r="AB162" s="8"/>
      <c r="AD162" s="8"/>
      <c r="AE162" s="8"/>
      <c r="AF162" s="8"/>
      <c r="AG162" s="8"/>
      <c r="AH162" s="8"/>
      <c r="AI162" s="8"/>
      <c r="AJ162" s="8"/>
      <c r="AK162" s="8"/>
      <c r="AL162" s="8"/>
      <c r="AM162" s="8"/>
      <c r="AN162" s="8"/>
      <c r="AO162" s="8"/>
      <c r="AV162" s="506"/>
      <c r="AW162" s="506"/>
      <c r="AZ162" s="506"/>
      <c r="BI162" s="506"/>
      <c r="BJ162" s="506"/>
      <c r="BM162" s="506"/>
      <c r="BU162" s="506"/>
      <c r="BV162" s="506"/>
      <c r="BY162" s="506"/>
      <c r="CG162" s="506"/>
      <c r="CH162" s="506"/>
      <c r="CK162" s="506"/>
      <c r="CU162" s="506"/>
      <c r="CV162" s="506"/>
      <c r="CY162" s="506"/>
      <c r="DI162" s="506"/>
      <c r="DJ162" s="506"/>
      <c r="DM162" s="506"/>
      <c r="DV162" s="506"/>
      <c r="DW162" s="506"/>
      <c r="DZ162" s="506"/>
    </row>
    <row r="163" spans="1:130" x14ac:dyDescent="0.2">
      <c r="A163" s="8"/>
      <c r="B163" s="8"/>
      <c r="C163" s="8"/>
      <c r="D163" s="8"/>
      <c r="E163" s="8"/>
      <c r="F163" s="8"/>
      <c r="G163" s="8"/>
      <c r="H163" s="8"/>
      <c r="I163" s="8"/>
      <c r="J163" s="8"/>
      <c r="K163" s="8"/>
      <c r="L163" s="8"/>
      <c r="M163" s="8"/>
      <c r="N163" s="8"/>
      <c r="O163" s="8"/>
      <c r="P163" s="8"/>
      <c r="Q163" s="8"/>
      <c r="R163" s="8"/>
      <c r="S163" s="8"/>
      <c r="T163" s="8"/>
      <c r="U163" s="8"/>
      <c r="V163" s="8"/>
      <c r="W163" s="8"/>
      <c r="X163" s="8"/>
      <c r="Y163" s="8"/>
      <c r="Z163" s="8"/>
      <c r="AA163" s="8"/>
      <c r="AB163" s="8"/>
      <c r="AD163" s="8"/>
      <c r="AE163" s="8"/>
      <c r="AF163" s="8"/>
      <c r="AG163" s="8"/>
      <c r="AH163" s="8"/>
      <c r="AI163" s="8"/>
      <c r="AJ163" s="8"/>
      <c r="AK163" s="8"/>
      <c r="AL163" s="8"/>
      <c r="AM163" s="8"/>
      <c r="AN163" s="8"/>
      <c r="AO163" s="8"/>
      <c r="AV163" s="506"/>
      <c r="AW163" s="506"/>
      <c r="AZ163" s="506"/>
      <c r="BI163" s="506"/>
      <c r="BJ163" s="506"/>
      <c r="BM163" s="506"/>
      <c r="BU163" s="506"/>
      <c r="BV163" s="506"/>
      <c r="BY163" s="506"/>
      <c r="CG163" s="506"/>
      <c r="CH163" s="506"/>
      <c r="CK163" s="506"/>
      <c r="CU163" s="506"/>
      <c r="CV163" s="506"/>
      <c r="CY163" s="506"/>
      <c r="DI163" s="506"/>
      <c r="DJ163" s="506"/>
      <c r="DM163" s="506"/>
      <c r="DV163" s="506"/>
      <c r="DW163" s="506"/>
      <c r="DZ163" s="506"/>
    </row>
    <row r="164" spans="1:130" x14ac:dyDescent="0.2">
      <c r="A164" s="8"/>
      <c r="B164" s="8"/>
      <c r="C164" s="8"/>
      <c r="D164" s="8"/>
      <c r="E164" s="8"/>
      <c r="F164" s="8"/>
      <c r="G164" s="8"/>
      <c r="H164" s="8"/>
      <c r="I164" s="8"/>
      <c r="J164" s="8"/>
      <c r="K164" s="8"/>
      <c r="L164" s="8"/>
      <c r="M164" s="8"/>
      <c r="N164" s="8"/>
      <c r="O164" s="8"/>
      <c r="P164" s="8"/>
      <c r="Q164" s="8"/>
      <c r="R164" s="8"/>
      <c r="S164" s="8"/>
      <c r="T164" s="8"/>
      <c r="U164" s="8"/>
      <c r="V164" s="8"/>
      <c r="W164" s="8"/>
      <c r="X164" s="8"/>
      <c r="Y164" s="8"/>
      <c r="Z164" s="8"/>
      <c r="AA164" s="8"/>
      <c r="AB164" s="8"/>
      <c r="AD164" s="8"/>
      <c r="AE164" s="8"/>
      <c r="AF164" s="8"/>
      <c r="AG164" s="8"/>
      <c r="AH164" s="8"/>
      <c r="AI164" s="8"/>
      <c r="AJ164" s="8"/>
      <c r="AK164" s="8"/>
      <c r="AL164" s="8"/>
      <c r="AM164" s="8"/>
      <c r="AN164" s="8"/>
      <c r="AO164" s="8"/>
      <c r="AV164" s="506"/>
      <c r="AW164" s="506"/>
      <c r="AZ164" s="506"/>
      <c r="BI164" s="506"/>
      <c r="BJ164" s="506"/>
      <c r="BM164" s="506"/>
      <c r="BU164" s="506"/>
      <c r="BV164" s="506"/>
      <c r="BY164" s="506"/>
      <c r="CG164" s="506"/>
      <c r="CH164" s="506"/>
      <c r="CK164" s="506"/>
      <c r="CU164" s="506"/>
      <c r="CV164" s="506"/>
      <c r="CY164" s="506"/>
      <c r="DI164" s="506"/>
      <c r="DJ164" s="506"/>
      <c r="DM164" s="506"/>
      <c r="DV164" s="506"/>
      <c r="DW164" s="506"/>
      <c r="DZ164" s="506"/>
    </row>
    <row r="165" spans="1:130" x14ac:dyDescent="0.2">
      <c r="A165" s="8"/>
      <c r="B165" s="8"/>
      <c r="C165" s="8"/>
      <c r="D165" s="8"/>
      <c r="E165" s="8"/>
      <c r="F165" s="8"/>
      <c r="G165" s="8"/>
      <c r="H165" s="8"/>
      <c r="I165" s="8"/>
      <c r="J165" s="8"/>
      <c r="K165" s="8"/>
      <c r="L165" s="8"/>
      <c r="M165" s="8"/>
      <c r="N165" s="8"/>
      <c r="O165" s="8"/>
      <c r="P165" s="8"/>
      <c r="Q165" s="8"/>
      <c r="R165" s="8"/>
      <c r="S165" s="8"/>
      <c r="T165" s="8"/>
      <c r="U165" s="8"/>
      <c r="V165" s="8"/>
      <c r="W165" s="8"/>
      <c r="X165" s="8"/>
      <c r="Y165" s="8"/>
      <c r="Z165" s="8"/>
      <c r="AA165" s="8"/>
      <c r="AB165" s="8"/>
      <c r="AD165" s="8"/>
      <c r="AE165" s="8"/>
      <c r="AF165" s="8"/>
      <c r="AG165" s="8"/>
      <c r="AH165" s="8"/>
      <c r="AI165" s="8"/>
      <c r="AJ165" s="8"/>
      <c r="AK165" s="8"/>
      <c r="AL165" s="8"/>
      <c r="AM165" s="8"/>
      <c r="AN165" s="8"/>
      <c r="AO165" s="8"/>
      <c r="AV165" s="506"/>
      <c r="AW165" s="506"/>
      <c r="AZ165" s="506"/>
      <c r="BI165" s="506"/>
      <c r="BJ165" s="506"/>
      <c r="BM165" s="506"/>
      <c r="BU165" s="506"/>
      <c r="BV165" s="506"/>
      <c r="BY165" s="506"/>
      <c r="CG165" s="506"/>
      <c r="CH165" s="506"/>
      <c r="CK165" s="506"/>
      <c r="CU165" s="506"/>
      <c r="CV165" s="506"/>
      <c r="CY165" s="506"/>
      <c r="DI165" s="506"/>
      <c r="DJ165" s="506"/>
      <c r="DM165" s="506"/>
      <c r="DV165" s="506"/>
      <c r="DW165" s="506"/>
      <c r="DZ165" s="506"/>
    </row>
    <row r="166" spans="1:130" x14ac:dyDescent="0.2">
      <c r="A166" s="8"/>
      <c r="B166" s="8"/>
      <c r="C166" s="8"/>
      <c r="D166" s="8"/>
      <c r="E166" s="8"/>
      <c r="F166" s="8"/>
      <c r="G166" s="8"/>
      <c r="H166" s="8"/>
      <c r="I166" s="8"/>
      <c r="J166" s="8"/>
      <c r="K166" s="8"/>
      <c r="L166" s="8"/>
      <c r="M166" s="8"/>
      <c r="N166" s="8"/>
      <c r="O166" s="8"/>
      <c r="P166" s="8"/>
      <c r="Q166" s="8"/>
      <c r="R166" s="8"/>
      <c r="S166" s="8"/>
      <c r="T166" s="8"/>
      <c r="U166" s="8"/>
      <c r="V166" s="8"/>
      <c r="W166" s="8"/>
      <c r="X166" s="8"/>
      <c r="Y166" s="8"/>
      <c r="Z166" s="8"/>
      <c r="AA166" s="8"/>
      <c r="AB166" s="8"/>
      <c r="AD166" s="8"/>
      <c r="AE166" s="8"/>
      <c r="AF166" s="8"/>
      <c r="AG166" s="8"/>
      <c r="AH166" s="8"/>
      <c r="AI166" s="8"/>
      <c r="AJ166" s="8"/>
      <c r="AK166" s="8"/>
      <c r="AL166" s="8"/>
      <c r="AM166" s="8"/>
      <c r="AN166" s="8"/>
      <c r="AO166" s="8"/>
      <c r="AV166" s="506"/>
      <c r="AW166" s="506"/>
      <c r="AZ166" s="506"/>
      <c r="BI166" s="506"/>
      <c r="BJ166" s="506"/>
      <c r="BM166" s="506"/>
      <c r="BU166" s="506"/>
      <c r="BV166" s="506"/>
      <c r="BY166" s="506"/>
      <c r="CG166" s="506"/>
      <c r="CH166" s="506"/>
      <c r="CK166" s="506"/>
      <c r="CU166" s="506"/>
      <c r="CV166" s="506"/>
      <c r="CY166" s="506"/>
      <c r="DI166" s="506"/>
      <c r="DJ166" s="506"/>
      <c r="DM166" s="506"/>
      <c r="DV166" s="506"/>
      <c r="DW166" s="506"/>
      <c r="DZ166" s="506"/>
    </row>
    <row r="167" spans="1:130" x14ac:dyDescent="0.2">
      <c r="A167" s="8"/>
      <c r="B167" s="8"/>
      <c r="C167" s="8"/>
      <c r="D167" s="8"/>
      <c r="E167" s="8"/>
      <c r="F167" s="8"/>
      <c r="G167" s="8"/>
      <c r="H167" s="8"/>
      <c r="I167" s="8"/>
      <c r="J167" s="8"/>
      <c r="K167" s="8"/>
      <c r="L167" s="8"/>
      <c r="M167" s="8"/>
      <c r="N167" s="8"/>
      <c r="O167" s="8"/>
      <c r="P167" s="8"/>
      <c r="Q167" s="8"/>
      <c r="R167" s="8"/>
      <c r="S167" s="8"/>
      <c r="T167" s="8"/>
      <c r="U167" s="8"/>
      <c r="V167" s="8"/>
      <c r="W167" s="8"/>
      <c r="X167" s="8"/>
      <c r="Y167" s="8"/>
      <c r="Z167" s="8"/>
      <c r="AA167" s="8"/>
      <c r="AB167" s="8"/>
      <c r="AD167" s="8"/>
      <c r="AE167" s="8"/>
      <c r="AF167" s="8"/>
      <c r="AG167" s="8"/>
      <c r="AH167" s="8"/>
      <c r="AI167" s="8"/>
      <c r="AJ167" s="8"/>
      <c r="AK167" s="8"/>
      <c r="AL167" s="8"/>
      <c r="AM167" s="8"/>
      <c r="AN167" s="8"/>
      <c r="AO167" s="8"/>
      <c r="AV167" s="506"/>
      <c r="AW167" s="506"/>
      <c r="AZ167" s="506"/>
      <c r="BI167" s="506"/>
      <c r="BJ167" s="506"/>
      <c r="BM167" s="506"/>
      <c r="BU167" s="506"/>
      <c r="BV167" s="506"/>
      <c r="BY167" s="506"/>
      <c r="CG167" s="506"/>
      <c r="CH167" s="506"/>
      <c r="CK167" s="506"/>
      <c r="CU167" s="506"/>
      <c r="CV167" s="506"/>
      <c r="CY167" s="506"/>
      <c r="DI167" s="506"/>
      <c r="DJ167" s="506"/>
      <c r="DM167" s="506"/>
      <c r="DV167" s="506"/>
      <c r="DW167" s="506"/>
      <c r="DZ167" s="506"/>
    </row>
    <row r="168" spans="1:130" x14ac:dyDescent="0.2">
      <c r="A168" s="8"/>
      <c r="B168" s="8"/>
      <c r="C168" s="8"/>
      <c r="D168" s="8"/>
      <c r="E168" s="8"/>
      <c r="F168" s="8"/>
      <c r="G168" s="8"/>
      <c r="H168" s="8"/>
      <c r="I168" s="8"/>
      <c r="J168" s="8"/>
      <c r="K168" s="8"/>
      <c r="L168" s="8"/>
      <c r="M168" s="8"/>
      <c r="N168" s="8"/>
      <c r="O168" s="8"/>
      <c r="P168" s="8"/>
      <c r="Q168" s="8"/>
      <c r="R168" s="8"/>
      <c r="S168" s="8"/>
      <c r="T168" s="8"/>
      <c r="U168" s="8"/>
      <c r="V168" s="8"/>
      <c r="W168" s="8"/>
      <c r="X168" s="8"/>
      <c r="Y168" s="8"/>
      <c r="Z168" s="8"/>
      <c r="AA168" s="8"/>
      <c r="AB168" s="8"/>
      <c r="AD168" s="8"/>
      <c r="AE168" s="8"/>
      <c r="AF168" s="8"/>
      <c r="AG168" s="8"/>
      <c r="AH168" s="8"/>
      <c r="AI168" s="8"/>
      <c r="AJ168" s="8"/>
      <c r="AK168" s="8"/>
      <c r="AL168" s="8"/>
      <c r="AM168" s="8"/>
      <c r="AN168" s="8"/>
      <c r="AO168" s="8"/>
      <c r="AV168" s="506"/>
      <c r="AW168" s="506"/>
      <c r="AZ168" s="506"/>
      <c r="BI168" s="506"/>
      <c r="BJ168" s="506"/>
      <c r="BM168" s="506"/>
      <c r="BU168" s="506"/>
      <c r="BV168" s="506"/>
      <c r="BY168" s="506"/>
      <c r="CG168" s="506"/>
      <c r="CH168" s="506"/>
      <c r="CK168" s="506"/>
      <c r="CU168" s="506"/>
      <c r="CV168" s="506"/>
      <c r="CY168" s="506"/>
      <c r="DI168" s="506"/>
      <c r="DJ168" s="506"/>
      <c r="DM168" s="506"/>
      <c r="DV168" s="506"/>
      <c r="DW168" s="506"/>
      <c r="DZ168" s="506"/>
    </row>
    <row r="169" spans="1:130" x14ac:dyDescent="0.2">
      <c r="A169" s="8"/>
      <c r="B169" s="8"/>
      <c r="C169" s="8"/>
      <c r="D169" s="8"/>
      <c r="E169" s="8"/>
      <c r="F169" s="8"/>
      <c r="G169" s="8"/>
      <c r="H169" s="8"/>
      <c r="I169" s="8"/>
      <c r="J169" s="8"/>
      <c r="K169" s="8"/>
      <c r="L169" s="8"/>
      <c r="M169" s="8"/>
      <c r="N169" s="8"/>
      <c r="O169" s="8"/>
      <c r="P169" s="8"/>
      <c r="Q169" s="8"/>
      <c r="R169" s="8"/>
      <c r="S169" s="8"/>
      <c r="T169" s="8"/>
      <c r="U169" s="8"/>
      <c r="V169" s="8"/>
      <c r="W169" s="8"/>
      <c r="X169" s="8"/>
      <c r="Y169" s="8"/>
      <c r="Z169" s="8"/>
      <c r="AA169" s="8"/>
      <c r="AB169" s="8"/>
      <c r="AD169" s="8"/>
      <c r="AE169" s="8"/>
      <c r="AF169" s="8"/>
      <c r="AG169" s="8"/>
      <c r="AH169" s="8"/>
      <c r="AI169" s="8"/>
      <c r="AJ169" s="8"/>
      <c r="AK169" s="8"/>
      <c r="AL169" s="8"/>
      <c r="AM169" s="8"/>
      <c r="AN169" s="8"/>
      <c r="AO169" s="8"/>
      <c r="AV169" s="506"/>
      <c r="AW169" s="506"/>
      <c r="AZ169" s="506"/>
      <c r="BI169" s="506"/>
      <c r="BJ169" s="506"/>
      <c r="BM169" s="506"/>
      <c r="BU169" s="506"/>
      <c r="BV169" s="506"/>
      <c r="BY169" s="506"/>
      <c r="CG169" s="506"/>
      <c r="CH169" s="506"/>
      <c r="CK169" s="506"/>
      <c r="CU169" s="506"/>
      <c r="CV169" s="506"/>
      <c r="CY169" s="506"/>
      <c r="DI169" s="506"/>
      <c r="DJ169" s="506"/>
      <c r="DM169" s="506"/>
      <c r="DV169" s="506"/>
      <c r="DW169" s="506"/>
      <c r="DZ169" s="506"/>
    </row>
    <row r="170" spans="1:130" x14ac:dyDescent="0.2">
      <c r="A170" s="8"/>
      <c r="B170" s="8"/>
      <c r="C170" s="8"/>
      <c r="D170" s="8"/>
      <c r="E170" s="8"/>
      <c r="F170" s="8"/>
      <c r="G170" s="8"/>
      <c r="H170" s="8"/>
      <c r="I170" s="8"/>
      <c r="J170" s="8"/>
      <c r="K170" s="8"/>
      <c r="L170" s="8"/>
      <c r="M170" s="8"/>
      <c r="N170" s="8"/>
      <c r="O170" s="8"/>
      <c r="P170" s="8"/>
      <c r="Q170" s="8"/>
      <c r="R170" s="8"/>
      <c r="S170" s="8"/>
      <c r="T170" s="8"/>
      <c r="U170" s="8"/>
      <c r="V170" s="8"/>
      <c r="W170" s="8"/>
      <c r="X170" s="8"/>
      <c r="Y170" s="8"/>
      <c r="Z170" s="8"/>
      <c r="AA170" s="8"/>
      <c r="AB170" s="8"/>
      <c r="AD170" s="8"/>
      <c r="AE170" s="8"/>
      <c r="AF170" s="8"/>
      <c r="AG170" s="8"/>
      <c r="AH170" s="8"/>
      <c r="AI170" s="8"/>
      <c r="AJ170" s="8"/>
      <c r="AK170" s="8"/>
      <c r="AL170" s="8"/>
      <c r="AM170" s="8"/>
      <c r="AN170" s="8"/>
      <c r="AO170" s="8"/>
      <c r="AV170" s="506"/>
      <c r="AW170" s="506"/>
      <c r="AZ170" s="506"/>
      <c r="BI170" s="506"/>
      <c r="BJ170" s="506"/>
      <c r="BM170" s="506"/>
      <c r="BU170" s="506"/>
      <c r="BV170" s="506"/>
      <c r="BY170" s="506"/>
      <c r="CG170" s="506"/>
      <c r="CH170" s="506"/>
      <c r="CK170" s="506"/>
      <c r="CU170" s="506"/>
      <c r="CV170" s="506"/>
      <c r="CY170" s="506"/>
      <c r="DI170" s="506"/>
      <c r="DJ170" s="506"/>
      <c r="DM170" s="506"/>
      <c r="DV170" s="506"/>
      <c r="DW170" s="506"/>
      <c r="DZ170" s="506"/>
    </row>
    <row r="171" spans="1:130" x14ac:dyDescent="0.2">
      <c r="A171" s="8"/>
      <c r="B171" s="8"/>
      <c r="C171" s="8"/>
      <c r="D171" s="8"/>
      <c r="E171" s="8"/>
      <c r="F171" s="8"/>
      <c r="G171" s="8"/>
      <c r="H171" s="8"/>
      <c r="I171" s="8"/>
      <c r="J171" s="8"/>
      <c r="K171" s="8"/>
      <c r="L171" s="8"/>
      <c r="M171" s="8"/>
      <c r="N171" s="8"/>
      <c r="O171" s="8"/>
      <c r="P171" s="8"/>
      <c r="Q171" s="8"/>
      <c r="R171" s="8"/>
      <c r="S171" s="8"/>
      <c r="T171" s="8"/>
      <c r="U171" s="8"/>
      <c r="V171" s="8"/>
      <c r="W171" s="8"/>
      <c r="X171" s="8"/>
      <c r="Y171" s="8"/>
      <c r="Z171" s="8"/>
      <c r="AA171" s="8"/>
      <c r="AB171" s="8"/>
      <c r="AD171" s="8"/>
      <c r="AE171" s="8"/>
      <c r="AF171" s="8"/>
      <c r="AG171" s="8"/>
      <c r="AH171" s="8"/>
      <c r="AI171" s="8"/>
      <c r="AJ171" s="8"/>
      <c r="AK171" s="8"/>
      <c r="AL171" s="8"/>
      <c r="AM171" s="8"/>
      <c r="AN171" s="8"/>
      <c r="AO171" s="8"/>
      <c r="AV171" s="506"/>
      <c r="AW171" s="506"/>
      <c r="AZ171" s="506"/>
      <c r="BI171" s="506"/>
      <c r="BJ171" s="506"/>
      <c r="BM171" s="506"/>
      <c r="BU171" s="506"/>
      <c r="BV171" s="506"/>
      <c r="BY171" s="506"/>
      <c r="CG171" s="506"/>
      <c r="CH171" s="506"/>
      <c r="CK171" s="506"/>
      <c r="CU171" s="506"/>
      <c r="CV171" s="506"/>
      <c r="CY171" s="506"/>
      <c r="DI171" s="506"/>
      <c r="DJ171" s="506"/>
      <c r="DM171" s="506"/>
      <c r="DV171" s="506"/>
      <c r="DW171" s="506"/>
      <c r="DZ171" s="506"/>
    </row>
    <row r="172" spans="1:130" x14ac:dyDescent="0.2">
      <c r="A172" s="8"/>
      <c r="B172" s="8"/>
      <c r="C172" s="8"/>
      <c r="D172" s="8"/>
      <c r="E172" s="8"/>
      <c r="F172" s="8"/>
      <c r="G172" s="8"/>
      <c r="H172" s="8"/>
      <c r="I172" s="8"/>
      <c r="J172" s="8"/>
      <c r="K172" s="8"/>
      <c r="L172" s="8"/>
      <c r="M172" s="8"/>
      <c r="N172" s="8"/>
      <c r="O172" s="8"/>
      <c r="P172" s="8"/>
      <c r="Q172" s="8"/>
      <c r="R172" s="8"/>
      <c r="S172" s="8"/>
      <c r="T172" s="8"/>
      <c r="U172" s="8"/>
      <c r="V172" s="8"/>
      <c r="W172" s="8"/>
      <c r="X172" s="8"/>
      <c r="Y172" s="8"/>
      <c r="Z172" s="8"/>
      <c r="AA172" s="8"/>
      <c r="AB172" s="8"/>
      <c r="AD172" s="8"/>
      <c r="AE172" s="8"/>
      <c r="AF172" s="8"/>
      <c r="AG172" s="8"/>
      <c r="AH172" s="8"/>
      <c r="AI172" s="8"/>
      <c r="AJ172" s="8"/>
      <c r="AK172" s="8"/>
      <c r="AL172" s="8"/>
      <c r="AM172" s="8"/>
      <c r="AN172" s="8"/>
      <c r="AO172" s="8"/>
      <c r="AV172" s="506"/>
      <c r="AW172" s="506"/>
      <c r="AZ172" s="506"/>
      <c r="BI172" s="506"/>
      <c r="BJ172" s="506"/>
      <c r="BM172" s="506"/>
      <c r="BU172" s="506"/>
      <c r="BV172" s="506"/>
      <c r="BY172" s="506"/>
      <c r="CG172" s="506"/>
      <c r="CH172" s="506"/>
      <c r="CK172" s="506"/>
      <c r="CU172" s="506"/>
      <c r="CV172" s="506"/>
      <c r="CY172" s="506"/>
      <c r="DI172" s="506"/>
      <c r="DJ172" s="506"/>
      <c r="DM172" s="506"/>
      <c r="DV172" s="506"/>
      <c r="DW172" s="506"/>
      <c r="DZ172" s="506"/>
    </row>
    <row r="173" spans="1:130" x14ac:dyDescent="0.2">
      <c r="A173" s="8"/>
      <c r="B173" s="8"/>
      <c r="C173" s="8"/>
      <c r="D173" s="8"/>
      <c r="E173" s="8"/>
      <c r="F173" s="8"/>
      <c r="G173" s="8"/>
      <c r="H173" s="8"/>
      <c r="I173" s="8"/>
      <c r="J173" s="8"/>
      <c r="K173" s="8"/>
      <c r="L173" s="8"/>
      <c r="M173" s="8"/>
      <c r="N173" s="8"/>
      <c r="O173" s="8"/>
      <c r="P173" s="8"/>
      <c r="Q173" s="8"/>
      <c r="R173" s="8"/>
      <c r="S173" s="8"/>
      <c r="T173" s="8"/>
      <c r="U173" s="8"/>
      <c r="V173" s="8"/>
      <c r="W173" s="8"/>
      <c r="X173" s="8"/>
      <c r="Y173" s="8"/>
      <c r="Z173" s="8"/>
      <c r="AA173" s="8"/>
      <c r="AB173" s="8"/>
      <c r="AD173" s="8"/>
      <c r="AE173" s="8"/>
      <c r="AF173" s="8"/>
      <c r="AG173" s="8"/>
      <c r="AH173" s="8"/>
      <c r="AI173" s="8"/>
      <c r="AJ173" s="8"/>
      <c r="AK173" s="8"/>
      <c r="AL173" s="8"/>
      <c r="AM173" s="8"/>
      <c r="AN173" s="8"/>
      <c r="AO173" s="8"/>
      <c r="AV173" s="506"/>
      <c r="AW173" s="506"/>
      <c r="AZ173" s="506"/>
      <c r="BI173" s="506"/>
      <c r="BJ173" s="506"/>
      <c r="BM173" s="506"/>
      <c r="BU173" s="506"/>
      <c r="BV173" s="506"/>
      <c r="BY173" s="506"/>
      <c r="CG173" s="506"/>
      <c r="CH173" s="506"/>
      <c r="CK173" s="506"/>
      <c r="CU173" s="506"/>
      <c r="CV173" s="506"/>
      <c r="CY173" s="506"/>
      <c r="DI173" s="506"/>
      <c r="DJ173" s="506"/>
      <c r="DM173" s="506"/>
      <c r="DV173" s="506"/>
      <c r="DW173" s="506"/>
      <c r="DZ173" s="506"/>
    </row>
    <row r="174" spans="1:130" x14ac:dyDescent="0.2">
      <c r="A174" s="8"/>
      <c r="B174" s="8"/>
      <c r="C174" s="8"/>
      <c r="D174" s="8"/>
      <c r="E174" s="8"/>
      <c r="F174" s="8"/>
      <c r="G174" s="8"/>
      <c r="H174" s="8"/>
      <c r="I174" s="8"/>
      <c r="J174" s="8"/>
      <c r="K174" s="8"/>
      <c r="L174" s="8"/>
      <c r="M174" s="8"/>
      <c r="N174" s="8"/>
      <c r="O174" s="8"/>
      <c r="P174" s="8"/>
      <c r="Q174" s="8"/>
      <c r="R174" s="8"/>
      <c r="S174" s="8"/>
      <c r="T174" s="8"/>
      <c r="U174" s="8"/>
      <c r="V174" s="8"/>
      <c r="W174" s="8"/>
      <c r="X174" s="8"/>
      <c r="Y174" s="8"/>
      <c r="Z174" s="8"/>
      <c r="AA174" s="8"/>
      <c r="AB174" s="8"/>
      <c r="AD174" s="8"/>
      <c r="AE174" s="8"/>
      <c r="AF174" s="8"/>
      <c r="AG174" s="8"/>
      <c r="AH174" s="8"/>
      <c r="AI174" s="8"/>
      <c r="AJ174" s="8"/>
      <c r="AK174" s="8"/>
      <c r="AL174" s="8"/>
      <c r="AM174" s="8"/>
      <c r="AN174" s="8"/>
      <c r="AO174" s="8"/>
      <c r="AV174" s="506"/>
      <c r="AW174" s="506"/>
      <c r="AZ174" s="506"/>
      <c r="BI174" s="506"/>
      <c r="BJ174" s="506"/>
      <c r="BM174" s="506"/>
      <c r="BU174" s="506"/>
      <c r="BV174" s="506"/>
      <c r="BY174" s="506"/>
      <c r="CG174" s="506"/>
      <c r="CH174" s="506"/>
      <c r="CK174" s="506"/>
      <c r="CU174" s="506"/>
      <c r="CV174" s="506"/>
      <c r="CY174" s="506"/>
      <c r="DI174" s="506"/>
      <c r="DJ174" s="506"/>
      <c r="DM174" s="506"/>
      <c r="DV174" s="506"/>
      <c r="DW174" s="506"/>
      <c r="DZ174" s="506"/>
    </row>
    <row r="175" spans="1:130" x14ac:dyDescent="0.2">
      <c r="A175" s="8"/>
      <c r="B175" s="8"/>
      <c r="C175" s="8"/>
      <c r="D175" s="8"/>
      <c r="E175" s="8"/>
      <c r="F175" s="8"/>
      <c r="G175" s="8"/>
      <c r="H175" s="8"/>
      <c r="I175" s="8"/>
      <c r="J175" s="8"/>
      <c r="K175" s="8"/>
      <c r="L175" s="8"/>
      <c r="M175" s="8"/>
      <c r="N175" s="8"/>
      <c r="O175" s="8"/>
      <c r="P175" s="8"/>
      <c r="Q175" s="8"/>
      <c r="R175" s="8"/>
      <c r="S175" s="8"/>
      <c r="T175" s="8"/>
      <c r="U175" s="8"/>
      <c r="V175" s="8"/>
      <c r="W175" s="8"/>
      <c r="X175" s="8"/>
      <c r="Y175" s="8"/>
      <c r="Z175" s="8"/>
      <c r="AA175" s="8"/>
      <c r="AB175" s="8"/>
      <c r="AD175" s="8"/>
      <c r="AE175" s="8"/>
      <c r="AF175" s="8"/>
      <c r="AG175" s="8"/>
      <c r="AH175" s="8"/>
      <c r="AI175" s="8"/>
      <c r="AJ175" s="8"/>
      <c r="AK175" s="8"/>
      <c r="AL175" s="8"/>
      <c r="AM175" s="8"/>
      <c r="AN175" s="8"/>
      <c r="AO175" s="8"/>
      <c r="AV175" s="506"/>
      <c r="AW175" s="506"/>
      <c r="AZ175" s="506"/>
      <c r="BI175" s="506"/>
      <c r="BJ175" s="506"/>
      <c r="BM175" s="506"/>
      <c r="BU175" s="506"/>
      <c r="BV175" s="506"/>
      <c r="BY175" s="506"/>
      <c r="CG175" s="506"/>
      <c r="CH175" s="506"/>
      <c r="CK175" s="506"/>
      <c r="CU175" s="506"/>
      <c r="CV175" s="506"/>
      <c r="CY175" s="506"/>
      <c r="DI175" s="506"/>
      <c r="DJ175" s="506"/>
      <c r="DM175" s="506"/>
      <c r="DV175" s="506"/>
      <c r="DW175" s="506"/>
      <c r="DZ175" s="506"/>
    </row>
    <row r="176" spans="1:130" x14ac:dyDescent="0.2">
      <c r="A176" s="8"/>
      <c r="B176" s="8"/>
      <c r="C176" s="8"/>
      <c r="D176" s="8"/>
      <c r="E176" s="8"/>
      <c r="F176" s="8"/>
      <c r="G176" s="8"/>
      <c r="H176" s="8"/>
      <c r="I176" s="8"/>
      <c r="J176" s="8"/>
      <c r="K176" s="8"/>
      <c r="L176" s="8"/>
      <c r="M176" s="8"/>
      <c r="N176" s="8"/>
      <c r="O176" s="8"/>
      <c r="P176" s="8"/>
      <c r="Q176" s="8"/>
      <c r="R176" s="8"/>
      <c r="S176" s="8"/>
      <c r="T176" s="8"/>
      <c r="U176" s="8"/>
      <c r="V176" s="8"/>
      <c r="W176" s="8"/>
      <c r="X176" s="8"/>
      <c r="Y176" s="8"/>
      <c r="Z176" s="8"/>
      <c r="AA176" s="8"/>
      <c r="AB176" s="8"/>
      <c r="AD176" s="8"/>
      <c r="AE176" s="8"/>
      <c r="AF176" s="8"/>
      <c r="AG176" s="8"/>
      <c r="AH176" s="8"/>
      <c r="AI176" s="8"/>
      <c r="AJ176" s="8"/>
      <c r="AK176" s="8"/>
      <c r="AL176" s="8"/>
      <c r="AM176" s="8"/>
      <c r="AN176" s="8"/>
      <c r="AO176" s="8"/>
      <c r="AV176" s="506"/>
      <c r="AW176" s="506"/>
      <c r="AZ176" s="506"/>
      <c r="BI176" s="506"/>
      <c r="BJ176" s="506"/>
      <c r="BM176" s="506"/>
      <c r="BU176" s="506"/>
      <c r="BV176" s="506"/>
      <c r="BY176" s="506"/>
      <c r="CG176" s="506"/>
      <c r="CH176" s="506"/>
      <c r="CK176" s="506"/>
      <c r="CU176" s="506"/>
      <c r="CV176" s="506"/>
      <c r="CY176" s="506"/>
      <c r="DI176" s="506"/>
      <c r="DJ176" s="506"/>
      <c r="DM176" s="506"/>
      <c r="DV176" s="506"/>
      <c r="DW176" s="506"/>
      <c r="DZ176" s="506"/>
    </row>
    <row r="177" spans="1:130" x14ac:dyDescent="0.2">
      <c r="A177" s="8"/>
      <c r="B177" s="8"/>
      <c r="C177" s="8"/>
      <c r="D177" s="8"/>
      <c r="E177" s="8"/>
      <c r="F177" s="8"/>
      <c r="G177" s="8"/>
      <c r="H177" s="8"/>
      <c r="I177" s="8"/>
      <c r="J177" s="8"/>
      <c r="K177" s="8"/>
      <c r="L177" s="8"/>
      <c r="M177" s="8"/>
      <c r="N177" s="8"/>
      <c r="O177" s="8"/>
      <c r="P177" s="8"/>
      <c r="Q177" s="8"/>
      <c r="R177" s="8"/>
      <c r="S177" s="8"/>
      <c r="T177" s="8"/>
      <c r="U177" s="8"/>
      <c r="V177" s="8"/>
      <c r="W177" s="8"/>
      <c r="X177" s="8"/>
      <c r="Y177" s="8"/>
      <c r="Z177" s="8"/>
      <c r="AA177" s="8"/>
      <c r="AB177" s="8"/>
      <c r="AD177" s="8"/>
      <c r="AE177" s="8"/>
      <c r="AF177" s="8"/>
      <c r="AG177" s="8"/>
      <c r="AH177" s="8"/>
      <c r="AI177" s="8"/>
      <c r="AJ177" s="8"/>
      <c r="AK177" s="8"/>
      <c r="AL177" s="8"/>
      <c r="AM177" s="8"/>
      <c r="AN177" s="8"/>
      <c r="AO177" s="8"/>
      <c r="AV177" s="506"/>
      <c r="AW177" s="506"/>
      <c r="AZ177" s="506"/>
      <c r="BI177" s="506"/>
      <c r="BJ177" s="506"/>
      <c r="BM177" s="506"/>
      <c r="BU177" s="506"/>
      <c r="BV177" s="506"/>
      <c r="BY177" s="506"/>
      <c r="CG177" s="506"/>
      <c r="CH177" s="506"/>
      <c r="CK177" s="506"/>
      <c r="CU177" s="506"/>
      <c r="CV177" s="506"/>
      <c r="CY177" s="506"/>
      <c r="DI177" s="506"/>
      <c r="DJ177" s="506"/>
      <c r="DM177" s="506"/>
      <c r="DV177" s="506"/>
      <c r="DW177" s="506"/>
      <c r="DZ177" s="506"/>
    </row>
    <row r="178" spans="1:130" x14ac:dyDescent="0.2">
      <c r="A178" s="8"/>
      <c r="B178" s="8"/>
      <c r="C178" s="8"/>
      <c r="D178" s="8"/>
      <c r="E178" s="8"/>
      <c r="F178" s="8"/>
      <c r="G178" s="8"/>
      <c r="H178" s="8"/>
      <c r="I178" s="8"/>
      <c r="J178" s="8"/>
      <c r="K178" s="8"/>
      <c r="L178" s="8"/>
      <c r="M178" s="8"/>
      <c r="N178" s="8"/>
      <c r="O178" s="8"/>
      <c r="P178" s="8"/>
      <c r="Q178" s="8"/>
      <c r="R178" s="8"/>
      <c r="S178" s="8"/>
      <c r="T178" s="8"/>
      <c r="U178" s="8"/>
      <c r="V178" s="8"/>
      <c r="W178" s="8"/>
      <c r="X178" s="8"/>
      <c r="Y178" s="8"/>
      <c r="Z178" s="8"/>
      <c r="AA178" s="8"/>
      <c r="AB178" s="8"/>
      <c r="AD178" s="8"/>
      <c r="AE178" s="8"/>
      <c r="AF178" s="8"/>
      <c r="AG178" s="8"/>
      <c r="AH178" s="8"/>
      <c r="AI178" s="8"/>
      <c r="AJ178" s="8"/>
      <c r="AK178" s="8"/>
      <c r="AL178" s="8"/>
      <c r="AM178" s="8"/>
      <c r="AN178" s="8"/>
      <c r="AO178" s="8"/>
      <c r="AV178" s="506"/>
      <c r="AW178" s="506"/>
      <c r="AZ178" s="506"/>
      <c r="BI178" s="506"/>
      <c r="BJ178" s="506"/>
      <c r="BM178" s="506"/>
      <c r="BU178" s="506"/>
      <c r="BV178" s="506"/>
      <c r="BY178" s="506"/>
      <c r="CG178" s="506"/>
      <c r="CH178" s="506"/>
      <c r="CK178" s="506"/>
      <c r="CU178" s="506"/>
      <c r="CV178" s="506"/>
      <c r="CY178" s="506"/>
      <c r="DI178" s="506"/>
      <c r="DJ178" s="506"/>
      <c r="DM178" s="506"/>
      <c r="DV178" s="506"/>
      <c r="DW178" s="506"/>
      <c r="DZ178" s="506"/>
    </row>
    <row r="179" spans="1:130" x14ac:dyDescent="0.2">
      <c r="A179" s="8"/>
      <c r="B179" s="8"/>
      <c r="C179" s="8"/>
      <c r="D179" s="8"/>
      <c r="E179" s="8"/>
      <c r="F179" s="8"/>
      <c r="G179" s="8"/>
      <c r="H179" s="8"/>
      <c r="I179" s="8"/>
      <c r="J179" s="8"/>
      <c r="K179" s="8"/>
      <c r="L179" s="8"/>
      <c r="M179" s="8"/>
      <c r="N179" s="8"/>
      <c r="O179" s="8"/>
      <c r="P179" s="8"/>
      <c r="Q179" s="8"/>
      <c r="R179" s="8"/>
      <c r="S179" s="8"/>
      <c r="T179" s="8"/>
      <c r="U179" s="8"/>
      <c r="V179" s="8"/>
      <c r="W179" s="8"/>
      <c r="X179" s="8"/>
      <c r="Y179" s="8"/>
      <c r="Z179" s="8"/>
      <c r="AA179" s="8"/>
      <c r="AB179" s="8"/>
      <c r="AD179" s="8"/>
      <c r="AE179" s="8"/>
      <c r="AF179" s="8"/>
      <c r="AG179" s="8"/>
      <c r="AH179" s="8"/>
      <c r="AI179" s="8"/>
      <c r="AJ179" s="8"/>
      <c r="AK179" s="8"/>
      <c r="AL179" s="8"/>
      <c r="AM179" s="8"/>
      <c r="AN179" s="8"/>
      <c r="AO179" s="8"/>
      <c r="AV179" s="506"/>
      <c r="AW179" s="506"/>
      <c r="AZ179" s="506"/>
      <c r="BI179" s="506"/>
      <c r="BJ179" s="506"/>
      <c r="BM179" s="506"/>
      <c r="BU179" s="506"/>
      <c r="BV179" s="506"/>
      <c r="BY179" s="506"/>
      <c r="CG179" s="506"/>
      <c r="CH179" s="506"/>
      <c r="CK179" s="506"/>
      <c r="CU179" s="506"/>
      <c r="CV179" s="506"/>
      <c r="CY179" s="506"/>
      <c r="DI179" s="506"/>
      <c r="DJ179" s="506"/>
      <c r="DM179" s="506"/>
      <c r="DV179" s="506"/>
      <c r="DW179" s="506"/>
      <c r="DZ179" s="506"/>
    </row>
    <row r="180" spans="1:130" x14ac:dyDescent="0.2">
      <c r="A180" s="8"/>
      <c r="B180" s="8"/>
      <c r="C180" s="8"/>
      <c r="D180" s="8"/>
      <c r="E180" s="8"/>
      <c r="F180" s="8"/>
      <c r="G180" s="8"/>
      <c r="H180" s="8"/>
      <c r="I180" s="8"/>
      <c r="J180" s="8"/>
      <c r="K180" s="8"/>
      <c r="L180" s="8"/>
      <c r="M180" s="8"/>
      <c r="N180" s="8"/>
      <c r="O180" s="8"/>
      <c r="P180" s="8"/>
      <c r="Q180" s="8"/>
      <c r="R180" s="8"/>
      <c r="S180" s="8"/>
      <c r="T180" s="8"/>
      <c r="U180" s="8"/>
      <c r="V180" s="8"/>
      <c r="W180" s="8"/>
      <c r="X180" s="8"/>
      <c r="Y180" s="8"/>
      <c r="Z180" s="8"/>
      <c r="AA180" s="8"/>
      <c r="AB180" s="8"/>
      <c r="AD180" s="8"/>
      <c r="AE180" s="8"/>
      <c r="AF180" s="8"/>
      <c r="AG180" s="8"/>
      <c r="AH180" s="8"/>
      <c r="AI180" s="8"/>
      <c r="AJ180" s="8"/>
      <c r="AK180" s="8"/>
      <c r="AL180" s="8"/>
      <c r="AM180" s="8"/>
      <c r="AN180" s="8"/>
      <c r="AO180" s="8"/>
      <c r="AV180" s="506"/>
      <c r="AW180" s="506"/>
      <c r="AZ180" s="506"/>
      <c r="BI180" s="506"/>
      <c r="BJ180" s="506"/>
      <c r="BM180" s="506"/>
      <c r="BU180" s="506"/>
      <c r="BV180" s="506"/>
      <c r="BY180" s="506"/>
      <c r="CG180" s="506"/>
      <c r="CH180" s="506"/>
      <c r="CK180" s="506"/>
      <c r="CU180" s="506"/>
      <c r="CV180" s="506"/>
      <c r="CY180" s="506"/>
      <c r="DI180" s="506"/>
      <c r="DJ180" s="506"/>
      <c r="DM180" s="506"/>
      <c r="DV180" s="506"/>
      <c r="DW180" s="506"/>
      <c r="DZ180" s="506"/>
    </row>
    <row r="181" spans="1:130" x14ac:dyDescent="0.2">
      <c r="A181" s="8"/>
      <c r="B181" s="8"/>
      <c r="C181" s="8"/>
      <c r="D181" s="8"/>
      <c r="E181" s="8"/>
      <c r="F181" s="8"/>
      <c r="G181" s="8"/>
      <c r="H181" s="8"/>
      <c r="I181" s="8"/>
      <c r="J181" s="8"/>
      <c r="K181" s="8"/>
      <c r="L181" s="8"/>
      <c r="M181" s="8"/>
      <c r="N181" s="8"/>
      <c r="O181" s="8"/>
      <c r="P181" s="8"/>
      <c r="Q181" s="8"/>
      <c r="R181" s="8"/>
      <c r="S181" s="8"/>
      <c r="T181" s="8"/>
      <c r="U181" s="8"/>
      <c r="V181" s="8"/>
      <c r="W181" s="8"/>
      <c r="X181" s="8"/>
      <c r="Y181" s="8"/>
      <c r="Z181" s="8"/>
      <c r="AA181" s="8"/>
      <c r="AB181" s="8"/>
      <c r="AD181" s="8"/>
      <c r="AE181" s="8"/>
      <c r="AF181" s="8"/>
      <c r="AG181" s="8"/>
      <c r="AH181" s="8"/>
      <c r="AI181" s="8"/>
      <c r="AJ181" s="8"/>
      <c r="AK181" s="8"/>
      <c r="AL181" s="8"/>
      <c r="AM181" s="8"/>
      <c r="AN181" s="8"/>
      <c r="AO181" s="8"/>
      <c r="AV181" s="506"/>
      <c r="AW181" s="506"/>
      <c r="AZ181" s="506"/>
      <c r="BI181" s="506"/>
      <c r="BJ181" s="506"/>
      <c r="BM181" s="506"/>
      <c r="BU181" s="506"/>
      <c r="BV181" s="506"/>
      <c r="BY181" s="506"/>
      <c r="CG181" s="506"/>
      <c r="CH181" s="506"/>
      <c r="CK181" s="506"/>
      <c r="CU181" s="506"/>
      <c r="CV181" s="506"/>
      <c r="CY181" s="506"/>
      <c r="DI181" s="506"/>
      <c r="DJ181" s="506"/>
      <c r="DM181" s="506"/>
      <c r="DV181" s="506"/>
      <c r="DW181" s="506"/>
      <c r="DZ181" s="506"/>
    </row>
    <row r="182" spans="1:130" x14ac:dyDescent="0.2">
      <c r="A182" s="8"/>
      <c r="B182" s="8"/>
      <c r="C182" s="8"/>
      <c r="D182" s="8"/>
      <c r="E182" s="8"/>
      <c r="F182" s="8"/>
      <c r="G182" s="8"/>
      <c r="H182" s="8"/>
      <c r="I182" s="8"/>
      <c r="J182" s="8"/>
      <c r="K182" s="8"/>
      <c r="L182" s="8"/>
      <c r="M182" s="8"/>
      <c r="N182" s="8"/>
      <c r="O182" s="8"/>
      <c r="P182" s="8"/>
      <c r="Q182" s="8"/>
      <c r="R182" s="8"/>
      <c r="S182" s="8"/>
      <c r="T182" s="8"/>
      <c r="U182" s="8"/>
      <c r="V182" s="8"/>
      <c r="W182" s="8"/>
      <c r="X182" s="8"/>
      <c r="Y182" s="8"/>
      <c r="Z182" s="8"/>
      <c r="AA182" s="8"/>
      <c r="AB182" s="8"/>
      <c r="AD182" s="8"/>
      <c r="AE182" s="8"/>
      <c r="AF182" s="8"/>
      <c r="AG182" s="8"/>
      <c r="AH182" s="8"/>
      <c r="AI182" s="8"/>
      <c r="AJ182" s="8"/>
      <c r="AK182" s="8"/>
      <c r="AL182" s="8"/>
      <c r="AM182" s="8"/>
      <c r="AN182" s="8"/>
      <c r="AO182" s="8"/>
      <c r="AV182" s="506"/>
      <c r="AW182" s="506"/>
      <c r="AZ182" s="506"/>
      <c r="BI182" s="506"/>
      <c r="BJ182" s="506"/>
      <c r="BM182" s="506"/>
      <c r="BU182" s="506"/>
      <c r="BV182" s="506"/>
      <c r="BY182" s="506"/>
      <c r="CG182" s="506"/>
      <c r="CH182" s="506"/>
      <c r="CK182" s="506"/>
      <c r="CU182" s="506"/>
      <c r="CV182" s="506"/>
      <c r="CY182" s="506"/>
      <c r="DI182" s="506"/>
      <c r="DJ182" s="506"/>
      <c r="DM182" s="506"/>
      <c r="DV182" s="506"/>
      <c r="DW182" s="506"/>
      <c r="DZ182" s="506"/>
    </row>
    <row r="183" spans="1:130" x14ac:dyDescent="0.2">
      <c r="A183" s="8"/>
      <c r="B183" s="8"/>
      <c r="C183" s="8"/>
      <c r="D183" s="8"/>
      <c r="E183" s="8"/>
      <c r="F183" s="8"/>
      <c r="G183" s="8"/>
      <c r="H183" s="8"/>
      <c r="I183" s="8"/>
      <c r="J183" s="8"/>
      <c r="K183" s="8"/>
      <c r="L183" s="8"/>
      <c r="M183" s="8"/>
      <c r="N183" s="8"/>
      <c r="O183" s="8"/>
      <c r="P183" s="8"/>
      <c r="Q183" s="8"/>
      <c r="R183" s="8"/>
      <c r="S183" s="8"/>
      <c r="T183" s="8"/>
      <c r="U183" s="8"/>
      <c r="V183" s="8"/>
      <c r="W183" s="8"/>
      <c r="X183" s="8"/>
      <c r="Y183" s="8"/>
      <c r="Z183" s="8"/>
      <c r="AA183" s="8"/>
      <c r="AB183" s="8"/>
      <c r="AD183" s="8"/>
      <c r="AE183" s="8"/>
      <c r="AF183" s="8"/>
      <c r="AG183" s="8"/>
      <c r="AH183" s="8"/>
      <c r="AI183" s="8"/>
      <c r="AJ183" s="8"/>
      <c r="AK183" s="8"/>
      <c r="AL183" s="8"/>
      <c r="AM183" s="8"/>
      <c r="AN183" s="8"/>
      <c r="AO183" s="8"/>
      <c r="AV183" s="506"/>
      <c r="AW183" s="506"/>
      <c r="AZ183" s="506"/>
      <c r="BI183" s="506"/>
      <c r="BJ183" s="506"/>
      <c r="BM183" s="506"/>
      <c r="BU183" s="506"/>
      <c r="BV183" s="506"/>
      <c r="BY183" s="506"/>
      <c r="CG183" s="506"/>
      <c r="CH183" s="506"/>
      <c r="CK183" s="506"/>
      <c r="CU183" s="506"/>
      <c r="CV183" s="506"/>
      <c r="CY183" s="506"/>
      <c r="DI183" s="506"/>
      <c r="DJ183" s="506"/>
      <c r="DM183" s="506"/>
      <c r="DV183" s="506"/>
      <c r="DW183" s="506"/>
      <c r="DZ183" s="506"/>
    </row>
    <row r="184" spans="1:130" x14ac:dyDescent="0.2">
      <c r="A184" s="8"/>
      <c r="B184" s="8"/>
      <c r="C184" s="8"/>
      <c r="D184" s="8"/>
      <c r="E184" s="8"/>
      <c r="F184" s="8"/>
      <c r="G184" s="8"/>
      <c r="H184" s="8"/>
      <c r="I184" s="8"/>
      <c r="J184" s="8"/>
      <c r="K184" s="8"/>
      <c r="L184" s="8"/>
      <c r="M184" s="8"/>
      <c r="N184" s="8"/>
      <c r="O184" s="8"/>
      <c r="P184" s="8"/>
      <c r="Q184" s="8"/>
      <c r="R184" s="8"/>
      <c r="S184" s="8"/>
      <c r="T184" s="8"/>
      <c r="U184" s="8"/>
      <c r="V184" s="8"/>
      <c r="W184" s="8"/>
      <c r="X184" s="8"/>
      <c r="Y184" s="8"/>
      <c r="Z184" s="8"/>
      <c r="AA184" s="8"/>
      <c r="AB184" s="8"/>
      <c r="AD184" s="8"/>
      <c r="AE184" s="8"/>
      <c r="AF184" s="8"/>
      <c r="AG184" s="8"/>
      <c r="AH184" s="8"/>
      <c r="AI184" s="8"/>
      <c r="AJ184" s="8"/>
      <c r="AK184" s="8"/>
      <c r="AL184" s="8"/>
      <c r="AM184" s="8"/>
      <c r="AN184" s="8"/>
      <c r="AO184" s="8"/>
      <c r="AV184" s="506"/>
      <c r="AW184" s="506"/>
      <c r="AZ184" s="506"/>
      <c r="BI184" s="506"/>
      <c r="BJ184" s="506"/>
      <c r="BM184" s="506"/>
      <c r="BU184" s="506"/>
      <c r="BV184" s="506"/>
      <c r="BY184" s="506"/>
      <c r="CG184" s="506"/>
      <c r="CH184" s="506"/>
      <c r="CK184" s="506"/>
      <c r="CU184" s="506"/>
      <c r="CV184" s="506"/>
      <c r="CY184" s="506"/>
      <c r="DI184" s="506"/>
      <c r="DJ184" s="506"/>
      <c r="DM184" s="506"/>
      <c r="DV184" s="506"/>
      <c r="DW184" s="506"/>
      <c r="DZ184" s="506"/>
    </row>
    <row r="185" spans="1:130" x14ac:dyDescent="0.2">
      <c r="A185" s="8"/>
      <c r="B185" s="8"/>
      <c r="C185" s="8"/>
      <c r="D185" s="8"/>
      <c r="E185" s="8"/>
      <c r="F185" s="8"/>
      <c r="G185" s="8"/>
      <c r="H185" s="8"/>
      <c r="I185" s="8"/>
      <c r="J185" s="8"/>
      <c r="K185" s="8"/>
      <c r="L185" s="8"/>
      <c r="M185" s="8"/>
      <c r="N185" s="8"/>
      <c r="O185" s="8"/>
      <c r="P185" s="8"/>
      <c r="Q185" s="8"/>
      <c r="R185" s="8"/>
      <c r="S185" s="8"/>
      <c r="T185" s="8"/>
      <c r="U185" s="8"/>
      <c r="V185" s="8"/>
      <c r="W185" s="8"/>
      <c r="X185" s="8"/>
      <c r="Y185" s="8"/>
      <c r="Z185" s="8"/>
      <c r="AA185" s="8"/>
      <c r="AB185" s="8"/>
      <c r="AD185" s="8"/>
      <c r="AE185" s="8"/>
      <c r="AF185" s="8"/>
      <c r="AG185" s="8"/>
      <c r="AH185" s="8"/>
      <c r="AI185" s="8"/>
      <c r="AJ185" s="8"/>
      <c r="AK185" s="8"/>
      <c r="AL185" s="8"/>
      <c r="AM185" s="8"/>
      <c r="AN185" s="8"/>
      <c r="AO185" s="8"/>
      <c r="AV185" s="506"/>
      <c r="AW185" s="506"/>
      <c r="AZ185" s="506"/>
      <c r="BI185" s="506"/>
      <c r="BJ185" s="506"/>
      <c r="BM185" s="506"/>
      <c r="BU185" s="506"/>
      <c r="BV185" s="506"/>
      <c r="BY185" s="506"/>
      <c r="CG185" s="506"/>
      <c r="CH185" s="506"/>
      <c r="CK185" s="506"/>
      <c r="CU185" s="506"/>
      <c r="CV185" s="506"/>
      <c r="CY185" s="506"/>
      <c r="DI185" s="506"/>
      <c r="DJ185" s="506"/>
      <c r="DM185" s="506"/>
      <c r="DV185" s="506"/>
      <c r="DW185" s="506"/>
      <c r="DZ185" s="506"/>
    </row>
    <row r="186" spans="1:130" x14ac:dyDescent="0.2">
      <c r="A186" s="8"/>
      <c r="B186" s="8"/>
      <c r="C186" s="8"/>
      <c r="D186" s="8"/>
      <c r="E186" s="8"/>
      <c r="F186" s="8"/>
      <c r="G186" s="8"/>
      <c r="H186" s="8"/>
      <c r="I186" s="8"/>
      <c r="J186" s="8"/>
      <c r="K186" s="8"/>
      <c r="L186" s="8"/>
      <c r="M186" s="8"/>
      <c r="N186" s="8"/>
      <c r="O186" s="8"/>
      <c r="P186" s="8"/>
      <c r="Q186" s="8"/>
      <c r="R186" s="8"/>
      <c r="S186" s="8"/>
      <c r="T186" s="8"/>
      <c r="U186" s="8"/>
      <c r="V186" s="8"/>
      <c r="W186" s="8"/>
      <c r="X186" s="8"/>
      <c r="Y186" s="8"/>
      <c r="Z186" s="8"/>
      <c r="AA186" s="8"/>
      <c r="AB186" s="8"/>
      <c r="AD186" s="8"/>
      <c r="AE186" s="8"/>
      <c r="AF186" s="8"/>
      <c r="AG186" s="8"/>
      <c r="AH186" s="8"/>
      <c r="AI186" s="8"/>
      <c r="AJ186" s="8"/>
      <c r="AK186" s="8"/>
      <c r="AL186" s="8"/>
      <c r="AM186" s="8"/>
      <c r="AN186" s="8"/>
      <c r="AO186" s="8"/>
      <c r="AV186" s="506"/>
      <c r="AW186" s="506"/>
      <c r="AZ186" s="506"/>
      <c r="BI186" s="506"/>
      <c r="BJ186" s="506"/>
      <c r="BM186" s="506"/>
      <c r="BU186" s="506"/>
      <c r="BV186" s="506"/>
      <c r="BY186" s="506"/>
      <c r="CG186" s="506"/>
      <c r="CH186" s="506"/>
      <c r="CK186" s="506"/>
      <c r="CU186" s="506"/>
      <c r="CV186" s="506"/>
      <c r="CY186" s="506"/>
      <c r="DI186" s="506"/>
      <c r="DJ186" s="506"/>
      <c r="DM186" s="506"/>
      <c r="DV186" s="506"/>
      <c r="DW186" s="506"/>
      <c r="DZ186" s="506"/>
    </row>
    <row r="187" spans="1:130" x14ac:dyDescent="0.2">
      <c r="A187" s="8"/>
      <c r="B187" s="8"/>
      <c r="C187" s="8"/>
      <c r="D187" s="8"/>
      <c r="E187" s="8"/>
      <c r="F187" s="8"/>
      <c r="G187" s="8"/>
      <c r="H187" s="8"/>
      <c r="I187" s="8"/>
      <c r="J187" s="8"/>
      <c r="K187" s="8"/>
      <c r="L187" s="8"/>
      <c r="M187" s="8"/>
      <c r="N187" s="8"/>
      <c r="O187" s="8"/>
      <c r="P187" s="8"/>
      <c r="Q187" s="8"/>
      <c r="R187" s="8"/>
      <c r="S187" s="8"/>
      <c r="T187" s="8"/>
      <c r="U187" s="8"/>
      <c r="V187" s="8"/>
      <c r="W187" s="8"/>
      <c r="X187" s="8"/>
      <c r="Y187" s="8"/>
      <c r="Z187" s="8"/>
      <c r="AA187" s="8"/>
      <c r="AB187" s="8"/>
      <c r="AD187" s="8"/>
      <c r="AE187" s="8"/>
      <c r="AF187" s="8"/>
      <c r="AG187" s="8"/>
      <c r="AH187" s="8"/>
      <c r="AI187" s="8"/>
      <c r="AJ187" s="8"/>
      <c r="AK187" s="8"/>
      <c r="AL187" s="8"/>
      <c r="AM187" s="8"/>
      <c r="AN187" s="8"/>
      <c r="AO187" s="8"/>
      <c r="AV187" s="506"/>
      <c r="AW187" s="506"/>
      <c r="AZ187" s="506"/>
      <c r="BI187" s="506"/>
      <c r="BJ187" s="506"/>
      <c r="BM187" s="506"/>
      <c r="BU187" s="506"/>
      <c r="BV187" s="506"/>
      <c r="BY187" s="506"/>
      <c r="CG187" s="506"/>
      <c r="CH187" s="506"/>
      <c r="CK187" s="506"/>
      <c r="CU187" s="506"/>
      <c r="CV187" s="506"/>
      <c r="CY187" s="506"/>
      <c r="DI187" s="506"/>
      <c r="DJ187" s="506"/>
      <c r="DM187" s="506"/>
      <c r="DV187" s="506"/>
      <c r="DW187" s="506"/>
      <c r="DZ187" s="506"/>
    </row>
    <row r="188" spans="1:130" x14ac:dyDescent="0.2">
      <c r="A188" s="8"/>
      <c r="B188" s="8"/>
      <c r="C188" s="8"/>
      <c r="D188" s="8"/>
      <c r="E188" s="8"/>
      <c r="F188" s="8"/>
      <c r="G188" s="8"/>
      <c r="H188" s="8"/>
      <c r="I188" s="8"/>
      <c r="J188" s="8"/>
      <c r="K188" s="8"/>
      <c r="L188" s="8"/>
      <c r="M188" s="8"/>
      <c r="N188" s="8"/>
      <c r="O188" s="8"/>
      <c r="P188" s="8"/>
      <c r="Q188" s="8"/>
      <c r="R188" s="8"/>
      <c r="S188" s="8"/>
      <c r="T188" s="8"/>
      <c r="U188" s="8"/>
      <c r="V188" s="8"/>
      <c r="W188" s="8"/>
      <c r="X188" s="8"/>
      <c r="Y188" s="8"/>
      <c r="Z188" s="8"/>
      <c r="AA188" s="8"/>
      <c r="AB188" s="8"/>
      <c r="AD188" s="8"/>
      <c r="AE188" s="8"/>
      <c r="AF188" s="8"/>
      <c r="AG188" s="8"/>
      <c r="AH188" s="8"/>
      <c r="AI188" s="8"/>
      <c r="AJ188" s="8"/>
      <c r="AK188" s="8"/>
      <c r="AL188" s="8"/>
      <c r="AM188" s="8"/>
      <c r="AN188" s="8"/>
      <c r="AO188" s="8"/>
      <c r="AV188" s="506"/>
      <c r="AW188" s="506"/>
      <c r="AZ188" s="506"/>
      <c r="BI188" s="506"/>
      <c r="BJ188" s="506"/>
      <c r="BM188" s="506"/>
      <c r="BU188" s="506"/>
      <c r="BV188" s="506"/>
      <c r="BY188" s="506"/>
      <c r="CG188" s="506"/>
      <c r="CH188" s="506"/>
      <c r="CK188" s="506"/>
      <c r="CU188" s="506"/>
      <c r="CV188" s="506"/>
      <c r="CY188" s="506"/>
      <c r="DI188" s="506"/>
      <c r="DJ188" s="506"/>
      <c r="DM188" s="506"/>
      <c r="DV188" s="506"/>
      <c r="DW188" s="506"/>
      <c r="DZ188" s="506"/>
    </row>
    <row r="189" spans="1:130" x14ac:dyDescent="0.2">
      <c r="A189" s="8"/>
      <c r="B189" s="8"/>
      <c r="C189" s="8"/>
      <c r="D189" s="8"/>
      <c r="E189" s="8"/>
      <c r="F189" s="8"/>
      <c r="G189" s="8"/>
      <c r="H189" s="8"/>
      <c r="I189" s="8"/>
      <c r="J189" s="8"/>
      <c r="K189" s="8"/>
      <c r="L189" s="8"/>
      <c r="M189" s="8"/>
      <c r="N189" s="8"/>
      <c r="O189" s="8"/>
      <c r="P189" s="8"/>
      <c r="Q189" s="8"/>
      <c r="R189" s="8"/>
      <c r="S189" s="8"/>
      <c r="T189" s="8"/>
      <c r="U189" s="8"/>
      <c r="V189" s="8"/>
      <c r="W189" s="8"/>
      <c r="X189" s="8"/>
      <c r="Y189" s="8"/>
      <c r="Z189" s="8"/>
      <c r="AA189" s="8"/>
      <c r="AB189" s="8"/>
      <c r="AD189" s="8"/>
      <c r="AE189" s="8"/>
      <c r="AF189" s="8"/>
      <c r="AG189" s="8"/>
      <c r="AH189" s="8"/>
      <c r="AI189" s="8"/>
      <c r="AJ189" s="8"/>
      <c r="AK189" s="8"/>
      <c r="AL189" s="8"/>
      <c r="AM189" s="8"/>
      <c r="AN189" s="8"/>
      <c r="AO189" s="8"/>
      <c r="AV189" s="506"/>
      <c r="AW189" s="506"/>
      <c r="AZ189" s="506"/>
      <c r="BI189" s="506"/>
      <c r="BJ189" s="506"/>
      <c r="BM189" s="506"/>
      <c r="BU189" s="506"/>
      <c r="BV189" s="506"/>
      <c r="BY189" s="506"/>
      <c r="CG189" s="506"/>
      <c r="CH189" s="506"/>
      <c r="CK189" s="506"/>
      <c r="CU189" s="506"/>
      <c r="CV189" s="506"/>
      <c r="CY189" s="506"/>
      <c r="DI189" s="506"/>
      <c r="DJ189" s="506"/>
      <c r="DM189" s="506"/>
      <c r="DV189" s="506"/>
      <c r="DW189" s="506"/>
      <c r="DZ189" s="506"/>
    </row>
    <row r="190" spans="1:130" x14ac:dyDescent="0.2">
      <c r="A190" s="8"/>
      <c r="B190" s="8"/>
      <c r="C190" s="8"/>
      <c r="D190" s="8"/>
      <c r="E190" s="8"/>
      <c r="F190" s="8"/>
      <c r="G190" s="8"/>
      <c r="H190" s="8"/>
      <c r="I190" s="8"/>
      <c r="J190" s="8"/>
      <c r="K190" s="8"/>
      <c r="L190" s="8"/>
      <c r="M190" s="8"/>
      <c r="N190" s="8"/>
      <c r="O190" s="8"/>
      <c r="P190" s="8"/>
      <c r="Q190" s="8"/>
      <c r="R190" s="8"/>
      <c r="S190" s="8"/>
      <c r="T190" s="8"/>
      <c r="U190" s="8"/>
      <c r="V190" s="8"/>
      <c r="W190" s="8"/>
      <c r="X190" s="8"/>
      <c r="Y190" s="8"/>
      <c r="Z190" s="8"/>
      <c r="AA190" s="8"/>
      <c r="AB190" s="8"/>
      <c r="AD190" s="8"/>
      <c r="AE190" s="8"/>
      <c r="AF190" s="8"/>
      <c r="AG190" s="8"/>
      <c r="AH190" s="8"/>
      <c r="AI190" s="8"/>
      <c r="AJ190" s="8"/>
      <c r="AK190" s="8"/>
      <c r="AL190" s="8"/>
      <c r="AM190" s="8"/>
      <c r="AN190" s="8"/>
      <c r="AO190" s="8"/>
      <c r="AV190" s="506"/>
      <c r="AW190" s="506"/>
      <c r="AZ190" s="506"/>
      <c r="BI190" s="506"/>
      <c r="BJ190" s="506"/>
      <c r="BM190" s="506"/>
      <c r="BU190" s="506"/>
      <c r="BV190" s="506"/>
      <c r="BY190" s="506"/>
      <c r="CG190" s="506"/>
      <c r="CH190" s="506"/>
      <c r="CK190" s="506"/>
      <c r="CU190" s="506"/>
      <c r="CV190" s="506"/>
      <c r="CY190" s="506"/>
      <c r="DI190" s="506"/>
      <c r="DJ190" s="506"/>
      <c r="DM190" s="506"/>
      <c r="DV190" s="506"/>
      <c r="DW190" s="506"/>
      <c r="DZ190" s="506"/>
    </row>
    <row r="191" spans="1:130" x14ac:dyDescent="0.2">
      <c r="A191" s="8"/>
      <c r="B191" s="8"/>
      <c r="C191" s="8"/>
      <c r="D191" s="8"/>
      <c r="E191" s="8"/>
      <c r="F191" s="8"/>
      <c r="G191" s="8"/>
      <c r="H191" s="8"/>
      <c r="I191" s="8"/>
      <c r="J191" s="8"/>
      <c r="K191" s="8"/>
      <c r="L191" s="8"/>
      <c r="M191" s="8"/>
      <c r="N191" s="8"/>
      <c r="O191" s="8"/>
      <c r="P191" s="8"/>
      <c r="Q191" s="8"/>
      <c r="R191" s="8"/>
      <c r="S191" s="8"/>
      <c r="T191" s="8"/>
      <c r="U191" s="8"/>
      <c r="V191" s="8"/>
      <c r="W191" s="8"/>
      <c r="X191" s="8"/>
      <c r="Y191" s="8"/>
      <c r="Z191" s="8"/>
      <c r="AA191" s="8"/>
      <c r="AB191" s="8"/>
      <c r="AD191" s="8"/>
      <c r="AE191" s="8"/>
      <c r="AF191" s="8"/>
      <c r="AG191" s="8"/>
      <c r="AH191" s="8"/>
      <c r="AI191" s="8"/>
      <c r="AJ191" s="8"/>
      <c r="AK191" s="8"/>
      <c r="AL191" s="8"/>
      <c r="AM191" s="8"/>
      <c r="AN191" s="8"/>
      <c r="AO191" s="8"/>
      <c r="AV191" s="506"/>
      <c r="AW191" s="506"/>
      <c r="AZ191" s="506"/>
      <c r="BI191" s="506"/>
      <c r="BJ191" s="506"/>
      <c r="BM191" s="506"/>
      <c r="BU191" s="506"/>
      <c r="BV191" s="506"/>
      <c r="BY191" s="506"/>
      <c r="CG191" s="506"/>
      <c r="CH191" s="506"/>
      <c r="CK191" s="506"/>
      <c r="CU191" s="506"/>
      <c r="CV191" s="506"/>
      <c r="CY191" s="506"/>
      <c r="DI191" s="506"/>
      <c r="DJ191" s="506"/>
      <c r="DM191" s="506"/>
      <c r="DV191" s="506"/>
      <c r="DW191" s="506"/>
      <c r="DZ191" s="506"/>
    </row>
    <row r="192" spans="1:130" x14ac:dyDescent="0.2">
      <c r="A192" s="8"/>
      <c r="B192" s="8"/>
      <c r="C192" s="8"/>
      <c r="D192" s="8"/>
      <c r="E192" s="8"/>
      <c r="F192" s="8"/>
      <c r="G192" s="8"/>
      <c r="H192" s="8"/>
      <c r="I192" s="8"/>
      <c r="J192" s="8"/>
      <c r="K192" s="8"/>
      <c r="L192" s="8"/>
      <c r="M192" s="8"/>
      <c r="N192" s="8"/>
      <c r="O192" s="8"/>
      <c r="P192" s="8"/>
      <c r="Q192" s="8"/>
      <c r="R192" s="8"/>
      <c r="S192" s="8"/>
      <c r="T192" s="8"/>
      <c r="U192" s="8"/>
      <c r="V192" s="8"/>
      <c r="W192" s="8"/>
      <c r="X192" s="8"/>
      <c r="Y192" s="8"/>
      <c r="Z192" s="8"/>
      <c r="AA192" s="8"/>
      <c r="AB192" s="8"/>
      <c r="AD192" s="8"/>
      <c r="AE192" s="8"/>
      <c r="AF192" s="8"/>
      <c r="AG192" s="8"/>
      <c r="AH192" s="8"/>
      <c r="AI192" s="8"/>
      <c r="AJ192" s="8"/>
      <c r="AK192" s="8"/>
      <c r="AL192" s="8"/>
      <c r="AM192" s="8"/>
      <c r="AN192" s="8"/>
      <c r="AO192" s="8"/>
      <c r="AV192" s="506"/>
      <c r="AW192" s="506"/>
      <c r="AZ192" s="506"/>
      <c r="BI192" s="506"/>
      <c r="BJ192" s="506"/>
      <c r="BM192" s="506"/>
      <c r="BU192" s="506"/>
      <c r="BV192" s="506"/>
      <c r="BY192" s="506"/>
      <c r="CG192" s="506"/>
      <c r="CH192" s="506"/>
      <c r="CK192" s="506"/>
      <c r="CU192" s="506"/>
      <c r="CV192" s="506"/>
      <c r="CY192" s="506"/>
      <c r="DI192" s="506"/>
      <c r="DJ192" s="506"/>
      <c r="DM192" s="506"/>
      <c r="DV192" s="506"/>
      <c r="DW192" s="506"/>
      <c r="DZ192" s="506"/>
    </row>
    <row r="193" spans="1:130" x14ac:dyDescent="0.2">
      <c r="A193" s="8"/>
      <c r="B193" s="8"/>
      <c r="C193" s="8"/>
      <c r="D193" s="8"/>
      <c r="E193" s="8"/>
      <c r="F193" s="8"/>
      <c r="G193" s="8"/>
      <c r="H193" s="8"/>
      <c r="I193" s="8"/>
      <c r="J193" s="8"/>
      <c r="K193" s="8"/>
      <c r="L193" s="8"/>
      <c r="M193" s="8"/>
      <c r="N193" s="8"/>
      <c r="O193" s="8"/>
      <c r="P193" s="8"/>
      <c r="Q193" s="8"/>
      <c r="R193" s="8"/>
      <c r="S193" s="8"/>
      <c r="T193" s="8"/>
      <c r="U193" s="8"/>
      <c r="V193" s="8"/>
      <c r="W193" s="8"/>
      <c r="X193" s="8"/>
      <c r="Y193" s="8"/>
      <c r="Z193" s="8"/>
      <c r="AA193" s="8"/>
      <c r="AB193" s="8"/>
      <c r="AD193" s="8"/>
      <c r="AE193" s="8"/>
      <c r="AF193" s="8"/>
      <c r="AG193" s="8"/>
      <c r="AH193" s="8"/>
      <c r="AI193" s="8"/>
      <c r="AJ193" s="8"/>
      <c r="AK193" s="8"/>
      <c r="AL193" s="8"/>
      <c r="AM193" s="8"/>
      <c r="AN193" s="8"/>
      <c r="AO193" s="8"/>
      <c r="AV193" s="506"/>
      <c r="AW193" s="506"/>
      <c r="AZ193" s="506"/>
      <c r="BI193" s="506"/>
      <c r="BJ193" s="506"/>
      <c r="BM193" s="506"/>
      <c r="BU193" s="506"/>
      <c r="BV193" s="506"/>
      <c r="BY193" s="506"/>
      <c r="CG193" s="506"/>
      <c r="CH193" s="506"/>
      <c r="CK193" s="506"/>
      <c r="CU193" s="506"/>
      <c r="CV193" s="506"/>
      <c r="CY193" s="506"/>
      <c r="DI193" s="506"/>
      <c r="DJ193" s="506"/>
      <c r="DM193" s="506"/>
      <c r="DV193" s="506"/>
      <c r="DW193" s="506"/>
      <c r="DZ193" s="506"/>
    </row>
    <row r="194" spans="1:130" x14ac:dyDescent="0.2">
      <c r="A194" s="8"/>
      <c r="B194" s="8"/>
      <c r="C194" s="8"/>
      <c r="D194" s="8"/>
      <c r="E194" s="8"/>
      <c r="F194" s="8"/>
      <c r="G194" s="8"/>
      <c r="H194" s="8"/>
      <c r="I194" s="8"/>
      <c r="J194" s="8"/>
      <c r="K194" s="8"/>
      <c r="L194" s="8"/>
      <c r="M194" s="8"/>
      <c r="N194" s="8"/>
      <c r="O194" s="8"/>
      <c r="P194" s="8"/>
      <c r="Q194" s="8"/>
      <c r="R194" s="8"/>
      <c r="S194" s="8"/>
      <c r="T194" s="8"/>
      <c r="U194" s="8"/>
      <c r="V194" s="8"/>
      <c r="W194" s="8"/>
      <c r="X194" s="8"/>
      <c r="Y194" s="8"/>
      <c r="Z194" s="8"/>
      <c r="AA194" s="8"/>
      <c r="AB194" s="8"/>
      <c r="AD194" s="8"/>
      <c r="AE194" s="8"/>
      <c r="AF194" s="8"/>
      <c r="AG194" s="8"/>
      <c r="AH194" s="8"/>
      <c r="AI194" s="8"/>
      <c r="AJ194" s="8"/>
      <c r="AK194" s="8"/>
      <c r="AL194" s="8"/>
      <c r="AM194" s="8"/>
      <c r="AN194" s="8"/>
      <c r="AO194" s="8"/>
      <c r="AV194" s="506"/>
      <c r="AW194" s="506"/>
      <c r="AZ194" s="506"/>
      <c r="BI194" s="506"/>
      <c r="BJ194" s="506"/>
      <c r="BM194" s="506"/>
      <c r="BU194" s="506"/>
      <c r="BV194" s="506"/>
      <c r="BY194" s="506"/>
      <c r="CG194" s="506"/>
      <c r="CH194" s="506"/>
      <c r="CK194" s="506"/>
      <c r="CU194" s="506"/>
      <c r="CV194" s="506"/>
      <c r="CY194" s="506"/>
      <c r="DI194" s="506"/>
      <c r="DJ194" s="506"/>
      <c r="DM194" s="506"/>
      <c r="DV194" s="506"/>
      <c r="DW194" s="506"/>
      <c r="DZ194" s="506"/>
    </row>
    <row r="195" spans="1:130" x14ac:dyDescent="0.2">
      <c r="A195" s="8"/>
      <c r="B195" s="8"/>
      <c r="C195" s="8"/>
      <c r="D195" s="8"/>
      <c r="E195" s="8"/>
      <c r="F195" s="8"/>
      <c r="G195" s="8"/>
      <c r="H195" s="8"/>
      <c r="I195" s="8"/>
      <c r="J195" s="8"/>
      <c r="K195" s="8"/>
      <c r="L195" s="8"/>
      <c r="M195" s="8"/>
      <c r="N195" s="8"/>
      <c r="O195" s="8"/>
      <c r="P195" s="8"/>
      <c r="Q195" s="8"/>
      <c r="R195" s="8"/>
      <c r="S195" s="8"/>
      <c r="T195" s="8"/>
      <c r="U195" s="8"/>
      <c r="V195" s="8"/>
      <c r="W195" s="8"/>
      <c r="X195" s="8"/>
      <c r="Y195" s="8"/>
      <c r="Z195" s="8"/>
      <c r="AA195" s="8"/>
      <c r="AB195" s="8"/>
      <c r="AD195" s="8"/>
      <c r="AE195" s="8"/>
      <c r="AF195" s="8"/>
      <c r="AG195" s="8"/>
      <c r="AH195" s="8"/>
      <c r="AI195" s="8"/>
      <c r="AJ195" s="8"/>
      <c r="AK195" s="8"/>
      <c r="AL195" s="8"/>
      <c r="AM195" s="8"/>
      <c r="AN195" s="8"/>
      <c r="AO195" s="8"/>
      <c r="AV195" s="506"/>
      <c r="AW195" s="506"/>
      <c r="AZ195" s="506"/>
      <c r="BI195" s="506"/>
      <c r="BJ195" s="506"/>
      <c r="BM195" s="506"/>
      <c r="BU195" s="506"/>
      <c r="BV195" s="506"/>
      <c r="BY195" s="506"/>
      <c r="CG195" s="506"/>
      <c r="CH195" s="506"/>
      <c r="CK195" s="506"/>
      <c r="CU195" s="506"/>
      <c r="CV195" s="506"/>
      <c r="CY195" s="506"/>
      <c r="DI195" s="506"/>
      <c r="DJ195" s="506"/>
      <c r="DM195" s="506"/>
      <c r="DV195" s="506"/>
      <c r="DW195" s="506"/>
      <c r="DZ195" s="506"/>
    </row>
    <row r="196" spans="1:130" x14ac:dyDescent="0.2">
      <c r="A196" s="8"/>
      <c r="B196" s="8"/>
      <c r="C196" s="8"/>
      <c r="D196" s="8"/>
      <c r="E196" s="8"/>
      <c r="F196" s="8"/>
      <c r="G196" s="8"/>
      <c r="H196" s="8"/>
      <c r="I196" s="8"/>
      <c r="J196" s="8"/>
      <c r="K196" s="8"/>
      <c r="L196" s="8"/>
      <c r="M196" s="8"/>
      <c r="N196" s="8"/>
      <c r="O196" s="8"/>
      <c r="P196" s="8"/>
      <c r="Q196" s="8"/>
      <c r="R196" s="8"/>
      <c r="S196" s="8"/>
      <c r="T196" s="8"/>
      <c r="U196" s="8"/>
      <c r="V196" s="8"/>
      <c r="W196" s="8"/>
      <c r="X196" s="8"/>
      <c r="Y196" s="8"/>
      <c r="Z196" s="8"/>
      <c r="AA196" s="8"/>
      <c r="AB196" s="8"/>
      <c r="AD196" s="8"/>
      <c r="AE196" s="8"/>
      <c r="AF196" s="8"/>
      <c r="AG196" s="8"/>
      <c r="AH196" s="8"/>
      <c r="AI196" s="8"/>
      <c r="AJ196" s="8"/>
      <c r="AK196" s="8"/>
      <c r="AL196" s="8"/>
      <c r="AM196" s="8"/>
      <c r="AN196" s="8"/>
      <c r="AO196" s="8"/>
      <c r="AV196" s="506"/>
      <c r="AW196" s="506"/>
      <c r="AZ196" s="506"/>
      <c r="BI196" s="506"/>
      <c r="BJ196" s="506"/>
      <c r="BM196" s="506"/>
      <c r="BU196" s="506"/>
      <c r="BV196" s="506"/>
      <c r="BY196" s="506"/>
      <c r="CG196" s="506"/>
      <c r="CH196" s="506"/>
      <c r="CK196" s="506"/>
      <c r="CU196" s="506"/>
      <c r="CV196" s="506"/>
      <c r="CY196" s="506"/>
      <c r="DI196" s="506"/>
      <c r="DJ196" s="506"/>
      <c r="DM196" s="506"/>
      <c r="DV196" s="506"/>
      <c r="DW196" s="506"/>
      <c r="DZ196" s="506"/>
    </row>
    <row r="197" spans="1:130" x14ac:dyDescent="0.2">
      <c r="A197" s="8"/>
      <c r="B197" s="8"/>
      <c r="C197" s="8"/>
      <c r="D197" s="8"/>
      <c r="E197" s="8"/>
      <c r="F197" s="8"/>
      <c r="G197" s="8"/>
      <c r="H197" s="8"/>
      <c r="I197" s="8"/>
      <c r="J197" s="8"/>
      <c r="K197" s="8"/>
      <c r="L197" s="8"/>
      <c r="M197" s="8"/>
      <c r="N197" s="8"/>
      <c r="O197" s="8"/>
      <c r="P197" s="8"/>
      <c r="Q197" s="8"/>
      <c r="R197" s="8"/>
      <c r="S197" s="8"/>
      <c r="T197" s="8"/>
      <c r="U197" s="8"/>
      <c r="V197" s="8"/>
      <c r="W197" s="8"/>
      <c r="X197" s="8"/>
      <c r="Y197" s="8"/>
      <c r="Z197" s="8"/>
      <c r="AA197" s="8"/>
      <c r="AB197" s="8"/>
      <c r="AD197" s="8"/>
      <c r="AE197" s="8"/>
      <c r="AF197" s="8"/>
      <c r="AG197" s="8"/>
      <c r="AH197" s="8"/>
      <c r="AI197" s="8"/>
      <c r="AJ197" s="8"/>
      <c r="AK197" s="8"/>
      <c r="AL197" s="8"/>
      <c r="AM197" s="8"/>
      <c r="AN197" s="8"/>
      <c r="AO197" s="8"/>
      <c r="AV197" s="506"/>
      <c r="AW197" s="506"/>
      <c r="AZ197" s="506"/>
      <c r="BI197" s="506"/>
      <c r="BJ197" s="506"/>
      <c r="BM197" s="506"/>
      <c r="BU197" s="506"/>
      <c r="BV197" s="506"/>
      <c r="BY197" s="506"/>
      <c r="CG197" s="506"/>
      <c r="CH197" s="506"/>
      <c r="CK197" s="506"/>
      <c r="CU197" s="506"/>
      <c r="CV197" s="506"/>
      <c r="CY197" s="506"/>
      <c r="DI197" s="506"/>
      <c r="DJ197" s="506"/>
      <c r="DM197" s="506"/>
      <c r="DV197" s="506"/>
      <c r="DW197" s="506"/>
      <c r="DZ197" s="506"/>
    </row>
    <row r="198" spans="1:130" x14ac:dyDescent="0.2">
      <c r="A198" s="8"/>
      <c r="B198" s="8"/>
      <c r="C198" s="8"/>
      <c r="D198" s="8"/>
      <c r="E198" s="8"/>
      <c r="F198" s="8"/>
      <c r="G198" s="8"/>
      <c r="H198" s="8"/>
      <c r="I198" s="8"/>
      <c r="J198" s="8"/>
      <c r="K198" s="8"/>
      <c r="L198" s="8"/>
      <c r="M198" s="8"/>
      <c r="N198" s="8"/>
      <c r="O198" s="8"/>
      <c r="P198" s="8"/>
      <c r="Q198" s="8"/>
      <c r="R198" s="8"/>
      <c r="S198" s="8"/>
      <c r="T198" s="8"/>
      <c r="U198" s="8"/>
      <c r="V198" s="8"/>
      <c r="W198" s="8"/>
      <c r="X198" s="8"/>
      <c r="Y198" s="8"/>
      <c r="Z198" s="8"/>
      <c r="AA198" s="8"/>
      <c r="AB198" s="8"/>
      <c r="AD198" s="8"/>
      <c r="AE198" s="8"/>
      <c r="AF198" s="8"/>
      <c r="AG198" s="8"/>
      <c r="AH198" s="8"/>
      <c r="AI198" s="8"/>
      <c r="AJ198" s="8"/>
      <c r="AK198" s="8"/>
      <c r="AL198" s="8"/>
      <c r="AM198" s="8"/>
      <c r="AN198" s="8"/>
      <c r="AO198" s="8"/>
      <c r="AV198" s="506"/>
      <c r="AW198" s="506"/>
      <c r="AZ198" s="506"/>
      <c r="BI198" s="506"/>
      <c r="BJ198" s="506"/>
      <c r="BM198" s="506"/>
      <c r="BU198" s="506"/>
      <c r="BV198" s="506"/>
      <c r="BY198" s="506"/>
      <c r="CG198" s="506"/>
      <c r="CH198" s="506"/>
      <c r="CK198" s="506"/>
      <c r="CU198" s="506"/>
      <c r="CV198" s="506"/>
      <c r="CY198" s="506"/>
      <c r="DI198" s="506"/>
      <c r="DJ198" s="506"/>
      <c r="DM198" s="506"/>
      <c r="DV198" s="506"/>
      <c r="DW198" s="506"/>
      <c r="DZ198" s="506"/>
    </row>
    <row r="199" spans="1:130" x14ac:dyDescent="0.2">
      <c r="A199" s="8"/>
      <c r="B199" s="8"/>
      <c r="C199" s="8"/>
      <c r="D199" s="8"/>
      <c r="E199" s="8"/>
      <c r="F199" s="8"/>
      <c r="G199" s="8"/>
      <c r="H199" s="8"/>
      <c r="I199" s="8"/>
      <c r="J199" s="8"/>
      <c r="K199" s="8"/>
      <c r="L199" s="8"/>
      <c r="M199" s="8"/>
      <c r="N199" s="8"/>
      <c r="O199" s="8"/>
      <c r="P199" s="8"/>
      <c r="Q199" s="8"/>
      <c r="R199" s="8"/>
      <c r="S199" s="8"/>
      <c r="T199" s="8"/>
      <c r="U199" s="8"/>
      <c r="V199" s="8"/>
      <c r="W199" s="8"/>
      <c r="X199" s="8"/>
      <c r="Y199" s="8"/>
      <c r="Z199" s="8"/>
      <c r="AA199" s="8"/>
      <c r="AB199" s="8"/>
      <c r="AD199" s="8"/>
      <c r="AE199" s="8"/>
      <c r="AF199" s="8"/>
      <c r="AG199" s="8"/>
      <c r="AH199" s="8"/>
      <c r="AI199" s="8"/>
      <c r="AJ199" s="8"/>
      <c r="AK199" s="8"/>
      <c r="AL199" s="8"/>
      <c r="AM199" s="8"/>
      <c r="AN199" s="8"/>
      <c r="AO199" s="8"/>
      <c r="AV199" s="506"/>
      <c r="AW199" s="506"/>
      <c r="AZ199" s="506"/>
      <c r="BI199" s="506"/>
      <c r="BJ199" s="506"/>
      <c r="BM199" s="506"/>
      <c r="BU199" s="506"/>
      <c r="BV199" s="506"/>
      <c r="BY199" s="506"/>
      <c r="CG199" s="506"/>
      <c r="CH199" s="506"/>
      <c r="CK199" s="506"/>
      <c r="CU199" s="506"/>
      <c r="CV199" s="506"/>
      <c r="CY199" s="506"/>
      <c r="DI199" s="506"/>
      <c r="DJ199" s="506"/>
      <c r="DM199" s="506"/>
      <c r="DV199" s="506"/>
      <c r="DW199" s="506"/>
      <c r="DZ199" s="506"/>
    </row>
    <row r="200" spans="1:130" x14ac:dyDescent="0.2">
      <c r="A200" s="8"/>
      <c r="B200" s="8"/>
      <c r="C200" s="8"/>
      <c r="D200" s="8"/>
      <c r="E200" s="8"/>
      <c r="F200" s="8"/>
      <c r="G200" s="8"/>
      <c r="H200" s="8"/>
      <c r="I200" s="8"/>
      <c r="J200" s="8"/>
      <c r="K200" s="8"/>
      <c r="L200" s="8"/>
      <c r="M200" s="8"/>
      <c r="N200" s="8"/>
      <c r="O200" s="8"/>
      <c r="P200" s="8"/>
      <c r="Q200" s="8"/>
      <c r="R200" s="8"/>
      <c r="S200" s="8"/>
      <c r="T200" s="8"/>
      <c r="U200" s="8"/>
      <c r="V200" s="8"/>
      <c r="W200" s="8"/>
      <c r="X200" s="8"/>
      <c r="Y200" s="8"/>
      <c r="Z200" s="8"/>
      <c r="AA200" s="8"/>
      <c r="AB200" s="8"/>
      <c r="AD200" s="8"/>
      <c r="AE200" s="8"/>
      <c r="AF200" s="8"/>
      <c r="AG200" s="8"/>
      <c r="AH200" s="8"/>
      <c r="AI200" s="8"/>
      <c r="AJ200" s="8"/>
      <c r="AK200" s="8"/>
      <c r="AL200" s="8"/>
      <c r="AM200" s="8"/>
      <c r="AN200" s="8"/>
      <c r="AO200" s="8"/>
      <c r="AV200" s="506"/>
      <c r="AW200" s="506"/>
      <c r="AZ200" s="506"/>
      <c r="BI200" s="506"/>
      <c r="BJ200" s="506"/>
      <c r="BM200" s="506"/>
      <c r="BU200" s="506"/>
      <c r="BV200" s="506"/>
      <c r="BY200" s="506"/>
      <c r="CG200" s="506"/>
      <c r="CH200" s="506"/>
      <c r="CK200" s="506"/>
      <c r="CU200" s="506"/>
      <c r="CV200" s="506"/>
      <c r="CY200" s="506"/>
      <c r="DI200" s="506"/>
      <c r="DJ200" s="506"/>
      <c r="DM200" s="506"/>
      <c r="DV200" s="506"/>
      <c r="DW200" s="506"/>
      <c r="DZ200" s="506"/>
    </row>
    <row r="201" spans="1:130" x14ac:dyDescent="0.2">
      <c r="A201" s="8"/>
      <c r="B201" s="8"/>
      <c r="C201" s="8"/>
      <c r="D201" s="8"/>
      <c r="E201" s="8"/>
      <c r="F201" s="8"/>
      <c r="G201" s="8"/>
      <c r="H201" s="8"/>
      <c r="I201" s="8"/>
      <c r="J201" s="8"/>
      <c r="K201" s="8"/>
      <c r="L201" s="8"/>
      <c r="M201" s="8"/>
      <c r="N201" s="8"/>
      <c r="O201" s="8"/>
      <c r="P201" s="8"/>
      <c r="Q201" s="8"/>
      <c r="R201" s="8"/>
      <c r="S201" s="8"/>
      <c r="T201" s="8"/>
      <c r="U201" s="8"/>
      <c r="V201" s="8"/>
      <c r="W201" s="8"/>
      <c r="X201" s="8"/>
      <c r="Y201" s="8"/>
      <c r="Z201" s="8"/>
      <c r="AA201" s="8"/>
      <c r="AB201" s="8"/>
      <c r="AD201" s="8"/>
      <c r="AE201" s="8"/>
      <c r="AF201" s="8"/>
      <c r="AG201" s="8"/>
      <c r="AH201" s="8"/>
      <c r="AI201" s="8"/>
      <c r="AJ201" s="8"/>
      <c r="AK201" s="8"/>
      <c r="AL201" s="8"/>
      <c r="AM201" s="8"/>
      <c r="AN201" s="8"/>
      <c r="AO201" s="8"/>
      <c r="AV201" s="506"/>
      <c r="AW201" s="506"/>
      <c r="AZ201" s="506"/>
      <c r="BI201" s="506"/>
      <c r="BJ201" s="506"/>
      <c r="BM201" s="506"/>
      <c r="BU201" s="506"/>
      <c r="BV201" s="506"/>
      <c r="BY201" s="506"/>
      <c r="CG201" s="506"/>
      <c r="CH201" s="506"/>
      <c r="CK201" s="506"/>
      <c r="CU201" s="506"/>
      <c r="CV201" s="506"/>
      <c r="CY201" s="506"/>
      <c r="DI201" s="506"/>
      <c r="DJ201" s="506"/>
      <c r="DM201" s="506"/>
      <c r="DV201" s="506"/>
      <c r="DW201" s="506"/>
      <c r="DZ201" s="506"/>
    </row>
    <row r="202" spans="1:130" x14ac:dyDescent="0.2">
      <c r="A202" s="8"/>
      <c r="B202" s="8"/>
      <c r="C202" s="8"/>
      <c r="D202" s="8"/>
      <c r="E202" s="8"/>
      <c r="F202" s="8"/>
      <c r="G202" s="8"/>
      <c r="H202" s="8"/>
      <c r="I202" s="8"/>
      <c r="J202" s="8"/>
      <c r="K202" s="8"/>
      <c r="L202" s="8"/>
      <c r="M202" s="8"/>
      <c r="N202" s="8"/>
      <c r="O202" s="8"/>
      <c r="P202" s="8"/>
      <c r="Q202" s="8"/>
      <c r="R202" s="8"/>
      <c r="S202" s="8"/>
      <c r="T202" s="8"/>
      <c r="U202" s="8"/>
      <c r="V202" s="8"/>
      <c r="W202" s="8"/>
      <c r="X202" s="8"/>
      <c r="Y202" s="8"/>
      <c r="Z202" s="8"/>
      <c r="AA202" s="8"/>
      <c r="AB202" s="8"/>
      <c r="AD202" s="8"/>
      <c r="AE202" s="8"/>
      <c r="AF202" s="8"/>
      <c r="AG202" s="8"/>
      <c r="AH202" s="8"/>
      <c r="AI202" s="8"/>
      <c r="AJ202" s="8"/>
      <c r="AK202" s="8"/>
      <c r="AL202" s="8"/>
      <c r="AM202" s="8"/>
      <c r="AN202" s="8"/>
      <c r="AO202" s="8"/>
      <c r="AV202" s="506"/>
      <c r="AW202" s="506"/>
      <c r="AZ202" s="506"/>
      <c r="BI202" s="506"/>
      <c r="BJ202" s="506"/>
      <c r="BM202" s="506"/>
      <c r="BU202" s="506"/>
      <c r="BV202" s="506"/>
      <c r="BY202" s="506"/>
      <c r="CG202" s="506"/>
      <c r="CH202" s="506"/>
      <c r="CK202" s="506"/>
      <c r="CU202" s="506"/>
      <c r="CV202" s="506"/>
      <c r="CY202" s="506"/>
      <c r="DI202" s="506"/>
      <c r="DJ202" s="506"/>
      <c r="DM202" s="506"/>
      <c r="DV202" s="506"/>
      <c r="DW202" s="506"/>
      <c r="DZ202" s="506"/>
    </row>
    <row r="203" spans="1:130" x14ac:dyDescent="0.2">
      <c r="A203" s="8"/>
      <c r="B203" s="8"/>
      <c r="C203" s="8"/>
      <c r="D203" s="8"/>
      <c r="E203" s="8"/>
      <c r="F203" s="8"/>
      <c r="G203" s="8"/>
      <c r="H203" s="8"/>
      <c r="I203" s="8"/>
      <c r="J203" s="8"/>
      <c r="K203" s="8"/>
      <c r="L203" s="8"/>
      <c r="M203" s="8"/>
      <c r="N203" s="8"/>
      <c r="O203" s="8"/>
      <c r="P203" s="8"/>
      <c r="Q203" s="8"/>
      <c r="R203" s="8"/>
      <c r="S203" s="8"/>
      <c r="T203" s="8"/>
      <c r="U203" s="8"/>
      <c r="V203" s="8"/>
      <c r="W203" s="8"/>
      <c r="X203" s="8"/>
      <c r="Y203" s="8"/>
      <c r="Z203" s="8"/>
      <c r="AA203" s="8"/>
      <c r="AB203" s="8"/>
      <c r="AD203" s="8"/>
      <c r="AE203" s="8"/>
      <c r="AF203" s="8"/>
      <c r="AG203" s="8"/>
      <c r="AH203" s="8"/>
      <c r="AI203" s="8"/>
      <c r="AJ203" s="8"/>
      <c r="AK203" s="8"/>
      <c r="AL203" s="8"/>
      <c r="AM203" s="8"/>
      <c r="AN203" s="8"/>
      <c r="AO203" s="8"/>
      <c r="AV203" s="506"/>
      <c r="AW203" s="506"/>
      <c r="AZ203" s="506"/>
      <c r="BI203" s="506"/>
      <c r="BJ203" s="506"/>
      <c r="BM203" s="506"/>
      <c r="BU203" s="506"/>
      <c r="BV203" s="506"/>
      <c r="BY203" s="506"/>
      <c r="CG203" s="506"/>
      <c r="CH203" s="506"/>
      <c r="CK203" s="506"/>
      <c r="CU203" s="506"/>
      <c r="CV203" s="506"/>
      <c r="CY203" s="506"/>
      <c r="DI203" s="506"/>
      <c r="DJ203" s="506"/>
      <c r="DM203" s="506"/>
      <c r="DV203" s="506"/>
      <c r="DW203" s="506"/>
      <c r="DZ203" s="506"/>
    </row>
    <row r="204" spans="1:130" x14ac:dyDescent="0.2">
      <c r="A204" s="8"/>
      <c r="B204" s="8"/>
      <c r="C204" s="8"/>
      <c r="D204" s="8"/>
      <c r="E204" s="8"/>
      <c r="F204" s="8"/>
      <c r="G204" s="8"/>
      <c r="H204" s="8"/>
      <c r="I204" s="8"/>
      <c r="J204" s="8"/>
      <c r="K204" s="8"/>
      <c r="L204" s="8"/>
      <c r="M204" s="8"/>
      <c r="N204" s="8"/>
      <c r="O204" s="8"/>
      <c r="P204" s="8"/>
      <c r="Q204" s="8"/>
      <c r="R204" s="8"/>
      <c r="S204" s="8"/>
      <c r="T204" s="8"/>
      <c r="U204" s="8"/>
      <c r="V204" s="8"/>
      <c r="W204" s="8"/>
      <c r="X204" s="8"/>
      <c r="Y204" s="8"/>
      <c r="Z204" s="8"/>
      <c r="AA204" s="8"/>
      <c r="AB204" s="8"/>
      <c r="AD204" s="8"/>
      <c r="AE204" s="8"/>
      <c r="AF204" s="8"/>
      <c r="AG204" s="8"/>
      <c r="AH204" s="8"/>
      <c r="AI204" s="8"/>
      <c r="AJ204" s="8"/>
      <c r="AK204" s="8"/>
      <c r="AL204" s="8"/>
      <c r="AM204" s="8"/>
      <c r="AN204" s="8"/>
      <c r="AO204" s="8"/>
      <c r="AV204" s="506"/>
      <c r="AW204" s="506"/>
      <c r="AZ204" s="506"/>
      <c r="BI204" s="506"/>
      <c r="BJ204" s="506"/>
      <c r="BM204" s="506"/>
      <c r="BU204" s="506"/>
      <c r="BV204" s="506"/>
      <c r="BY204" s="506"/>
      <c r="CG204" s="506"/>
      <c r="CH204" s="506"/>
      <c r="CK204" s="506"/>
      <c r="CU204" s="506"/>
      <c r="CV204" s="506"/>
      <c r="CY204" s="506"/>
      <c r="DI204" s="506"/>
      <c r="DJ204" s="506"/>
      <c r="DM204" s="506"/>
      <c r="DV204" s="506"/>
      <c r="DW204" s="506"/>
      <c r="DZ204" s="506"/>
    </row>
    <row r="205" spans="1:130" x14ac:dyDescent="0.2">
      <c r="A205" s="8"/>
      <c r="B205" s="8"/>
      <c r="C205" s="8"/>
      <c r="D205" s="8"/>
      <c r="E205" s="8"/>
      <c r="F205" s="8"/>
      <c r="G205" s="8"/>
      <c r="H205" s="8"/>
      <c r="I205" s="8"/>
      <c r="J205" s="8"/>
      <c r="K205" s="8"/>
      <c r="L205" s="8"/>
      <c r="M205" s="8"/>
      <c r="N205" s="8"/>
      <c r="O205" s="8"/>
      <c r="P205" s="8"/>
      <c r="Q205" s="8"/>
      <c r="R205" s="8"/>
      <c r="S205" s="8"/>
      <c r="T205" s="8"/>
      <c r="U205" s="8"/>
      <c r="V205" s="8"/>
      <c r="W205" s="8"/>
      <c r="X205" s="8"/>
      <c r="Y205" s="8"/>
      <c r="Z205" s="8"/>
      <c r="AA205" s="8"/>
      <c r="AB205" s="8"/>
      <c r="AD205" s="8"/>
      <c r="AE205" s="8"/>
      <c r="AF205" s="8"/>
      <c r="AG205" s="8"/>
      <c r="AH205" s="8"/>
      <c r="AI205" s="8"/>
      <c r="AJ205" s="8"/>
      <c r="AK205" s="8"/>
      <c r="AL205" s="8"/>
      <c r="AM205" s="8"/>
      <c r="AN205" s="8"/>
      <c r="AO205" s="8"/>
      <c r="AV205" s="506"/>
      <c r="AW205" s="506"/>
      <c r="AZ205" s="506"/>
      <c r="BI205" s="506"/>
      <c r="BJ205" s="506"/>
      <c r="BM205" s="506"/>
      <c r="BU205" s="506"/>
      <c r="BV205" s="506"/>
      <c r="BY205" s="506"/>
      <c r="CG205" s="506"/>
      <c r="CH205" s="506"/>
      <c r="CK205" s="506"/>
      <c r="CU205" s="506"/>
      <c r="CV205" s="506"/>
      <c r="CY205" s="506"/>
      <c r="DI205" s="506"/>
      <c r="DJ205" s="506"/>
      <c r="DM205" s="506"/>
      <c r="DV205" s="506"/>
      <c r="DW205" s="506"/>
      <c r="DZ205" s="506"/>
    </row>
    <row r="206" spans="1:130" x14ac:dyDescent="0.2">
      <c r="A206" s="8"/>
      <c r="B206" s="8"/>
      <c r="C206" s="8"/>
      <c r="D206" s="8"/>
      <c r="E206" s="8"/>
      <c r="F206" s="8"/>
      <c r="G206" s="8"/>
      <c r="H206" s="8"/>
      <c r="I206" s="8"/>
      <c r="J206" s="8"/>
      <c r="K206" s="8"/>
      <c r="L206" s="8"/>
      <c r="M206" s="8"/>
      <c r="N206" s="8"/>
      <c r="O206" s="8"/>
      <c r="P206" s="8"/>
      <c r="Q206" s="8"/>
      <c r="R206" s="8"/>
      <c r="S206" s="8"/>
      <c r="T206" s="8"/>
      <c r="U206" s="8"/>
      <c r="V206" s="8"/>
      <c r="W206" s="8"/>
      <c r="X206" s="8"/>
      <c r="Y206" s="8"/>
      <c r="Z206" s="8"/>
      <c r="AA206" s="8"/>
      <c r="AB206" s="8"/>
      <c r="AD206" s="8"/>
      <c r="AE206" s="8"/>
      <c r="AF206" s="8"/>
      <c r="AG206" s="8"/>
      <c r="AH206" s="8"/>
      <c r="AI206" s="8"/>
      <c r="AJ206" s="8"/>
      <c r="AK206" s="8"/>
      <c r="AL206" s="8"/>
      <c r="AM206" s="8"/>
      <c r="AN206" s="8"/>
      <c r="AO206" s="8"/>
      <c r="AV206" s="506"/>
      <c r="AW206" s="506"/>
      <c r="AZ206" s="506"/>
      <c r="BI206" s="506"/>
      <c r="BJ206" s="506"/>
      <c r="BM206" s="506"/>
      <c r="BU206" s="506"/>
      <c r="BV206" s="506"/>
      <c r="BY206" s="506"/>
      <c r="CG206" s="506"/>
      <c r="CH206" s="506"/>
      <c r="CK206" s="506"/>
      <c r="CU206" s="506"/>
      <c r="CV206" s="506"/>
      <c r="CY206" s="506"/>
      <c r="DI206" s="506"/>
      <c r="DJ206" s="506"/>
      <c r="DM206" s="506"/>
      <c r="DV206" s="506"/>
      <c r="DW206" s="506"/>
      <c r="DZ206" s="506"/>
    </row>
    <row r="207" spans="1:130" x14ac:dyDescent="0.2">
      <c r="A207" s="8"/>
      <c r="B207" s="8"/>
      <c r="C207" s="8"/>
      <c r="D207" s="8"/>
      <c r="E207" s="8"/>
      <c r="F207" s="8"/>
      <c r="G207" s="8"/>
      <c r="H207" s="8"/>
      <c r="I207" s="8"/>
      <c r="J207" s="8"/>
      <c r="K207" s="8"/>
      <c r="L207" s="8"/>
      <c r="M207" s="8"/>
      <c r="N207" s="8"/>
      <c r="O207" s="8"/>
      <c r="P207" s="8"/>
      <c r="Q207" s="8"/>
      <c r="R207" s="8"/>
      <c r="S207" s="8"/>
      <c r="T207" s="8"/>
      <c r="U207" s="8"/>
      <c r="V207" s="8"/>
      <c r="W207" s="8"/>
      <c r="X207" s="8"/>
      <c r="Y207" s="8"/>
      <c r="Z207" s="8"/>
      <c r="AA207" s="8"/>
      <c r="AB207" s="8"/>
      <c r="AD207" s="8"/>
      <c r="AE207" s="8"/>
      <c r="AF207" s="8"/>
      <c r="AG207" s="8"/>
      <c r="AH207" s="8"/>
      <c r="AI207" s="8"/>
      <c r="AJ207" s="8"/>
      <c r="AK207" s="8"/>
      <c r="AL207" s="8"/>
      <c r="AM207" s="8"/>
      <c r="AN207" s="8"/>
      <c r="AO207" s="8"/>
      <c r="AV207" s="506"/>
      <c r="AW207" s="506"/>
      <c r="AZ207" s="506"/>
      <c r="BI207" s="506"/>
      <c r="BJ207" s="506"/>
      <c r="BM207" s="506"/>
      <c r="BU207" s="506"/>
      <c r="BV207" s="506"/>
      <c r="BY207" s="506"/>
      <c r="CG207" s="506"/>
      <c r="CH207" s="506"/>
      <c r="CK207" s="506"/>
      <c r="CU207" s="506"/>
      <c r="CV207" s="506"/>
      <c r="CY207" s="506"/>
      <c r="DI207" s="506"/>
      <c r="DJ207" s="506"/>
      <c r="DM207" s="506"/>
      <c r="DV207" s="506"/>
      <c r="DW207" s="506"/>
      <c r="DZ207" s="506"/>
    </row>
    <row r="208" spans="1:130" x14ac:dyDescent="0.2">
      <c r="A208" s="8"/>
      <c r="B208" s="8"/>
      <c r="C208" s="8"/>
      <c r="D208" s="8"/>
      <c r="E208" s="8"/>
      <c r="F208" s="8"/>
      <c r="G208" s="8"/>
      <c r="H208" s="8"/>
      <c r="I208" s="8"/>
      <c r="J208" s="8"/>
      <c r="K208" s="8"/>
      <c r="L208" s="8"/>
      <c r="M208" s="8"/>
      <c r="N208" s="8"/>
      <c r="O208" s="8"/>
      <c r="P208" s="8"/>
      <c r="Q208" s="8"/>
      <c r="R208" s="8"/>
      <c r="S208" s="8"/>
      <c r="T208" s="8"/>
      <c r="U208" s="8"/>
      <c r="V208" s="8"/>
      <c r="W208" s="8"/>
      <c r="X208" s="8"/>
      <c r="Y208" s="8"/>
      <c r="Z208" s="8"/>
      <c r="AA208" s="8"/>
      <c r="AB208" s="8"/>
      <c r="AD208" s="8"/>
      <c r="AE208" s="8"/>
      <c r="AF208" s="8"/>
      <c r="AG208" s="8"/>
      <c r="AH208" s="8"/>
      <c r="AI208" s="8"/>
      <c r="AJ208" s="8"/>
      <c r="AK208" s="8"/>
      <c r="AL208" s="8"/>
      <c r="AM208" s="8"/>
      <c r="AN208" s="8"/>
      <c r="AO208" s="8"/>
      <c r="AV208" s="506"/>
      <c r="AW208" s="506"/>
      <c r="AZ208" s="506"/>
      <c r="BI208" s="506"/>
      <c r="BJ208" s="506"/>
      <c r="BM208" s="506"/>
      <c r="BU208" s="506"/>
      <c r="BV208" s="506"/>
      <c r="BY208" s="506"/>
      <c r="CG208" s="506"/>
      <c r="CH208" s="506"/>
      <c r="CK208" s="506"/>
      <c r="CU208" s="506"/>
      <c r="CV208" s="506"/>
      <c r="CY208" s="506"/>
      <c r="DI208" s="506"/>
      <c r="DJ208" s="506"/>
      <c r="DM208" s="506"/>
      <c r="DV208" s="506"/>
      <c r="DW208" s="506"/>
      <c r="DZ208" s="506"/>
    </row>
    <row r="209" spans="1:130" x14ac:dyDescent="0.2">
      <c r="A209" s="8"/>
      <c r="B209" s="8"/>
      <c r="C209" s="8"/>
      <c r="D209" s="8"/>
      <c r="E209" s="8"/>
      <c r="F209" s="8"/>
      <c r="G209" s="8"/>
      <c r="H209" s="8"/>
      <c r="I209" s="8"/>
      <c r="J209" s="8"/>
      <c r="K209" s="8"/>
      <c r="L209" s="8"/>
      <c r="M209" s="8"/>
      <c r="N209" s="8"/>
      <c r="O209" s="8"/>
      <c r="P209" s="8"/>
      <c r="Q209" s="8"/>
      <c r="R209" s="8"/>
      <c r="S209" s="8"/>
      <c r="T209" s="8"/>
      <c r="U209" s="8"/>
      <c r="V209" s="8"/>
      <c r="W209" s="8"/>
      <c r="X209" s="8"/>
      <c r="Y209" s="8"/>
      <c r="Z209" s="8"/>
      <c r="AA209" s="8"/>
      <c r="AB209" s="8"/>
      <c r="AD209" s="8"/>
      <c r="AE209" s="8"/>
      <c r="AF209" s="8"/>
      <c r="AG209" s="8"/>
      <c r="AH209" s="8"/>
      <c r="AI209" s="8"/>
      <c r="AJ209" s="8"/>
      <c r="AK209" s="8"/>
      <c r="AL209" s="8"/>
      <c r="AM209" s="8"/>
      <c r="AN209" s="8"/>
      <c r="AO209" s="8"/>
      <c r="AV209" s="506"/>
      <c r="AW209" s="506"/>
      <c r="AZ209" s="506"/>
      <c r="BI209" s="506"/>
      <c r="BJ209" s="506"/>
      <c r="BM209" s="506"/>
      <c r="BU209" s="506"/>
      <c r="BV209" s="506"/>
      <c r="BY209" s="506"/>
      <c r="CG209" s="506"/>
      <c r="CH209" s="506"/>
      <c r="CK209" s="506"/>
      <c r="CU209" s="506"/>
      <c r="CV209" s="506"/>
      <c r="CY209" s="506"/>
      <c r="DI209" s="506"/>
      <c r="DJ209" s="506"/>
      <c r="DM209" s="506"/>
      <c r="DV209" s="506"/>
      <c r="DW209" s="506"/>
      <c r="DZ209" s="506"/>
    </row>
    <row r="210" spans="1:130" x14ac:dyDescent="0.2">
      <c r="A210" s="8"/>
      <c r="B210" s="8"/>
      <c r="C210" s="8"/>
      <c r="D210" s="8"/>
      <c r="E210" s="8"/>
      <c r="F210" s="8"/>
      <c r="G210" s="8"/>
      <c r="H210" s="8"/>
      <c r="I210" s="8"/>
      <c r="J210" s="8"/>
      <c r="K210" s="8"/>
      <c r="L210" s="8"/>
      <c r="M210" s="8"/>
      <c r="N210" s="8"/>
      <c r="O210" s="8"/>
      <c r="P210" s="8"/>
      <c r="Q210" s="8"/>
      <c r="R210" s="8"/>
      <c r="S210" s="8"/>
      <c r="T210" s="8"/>
      <c r="U210" s="8"/>
      <c r="V210" s="8"/>
      <c r="W210" s="8"/>
      <c r="X210" s="8"/>
      <c r="Y210" s="8"/>
      <c r="Z210" s="8"/>
      <c r="AA210" s="8"/>
      <c r="AB210" s="8"/>
      <c r="AD210" s="8"/>
      <c r="AE210" s="8"/>
      <c r="AF210" s="8"/>
      <c r="AG210" s="8"/>
      <c r="AH210" s="8"/>
      <c r="AI210" s="8"/>
      <c r="AJ210" s="8"/>
      <c r="AK210" s="8"/>
      <c r="AL210" s="8"/>
      <c r="AM210" s="8"/>
      <c r="AN210" s="8"/>
      <c r="AO210" s="8"/>
      <c r="AV210" s="506"/>
      <c r="AW210" s="506"/>
      <c r="AZ210" s="506"/>
      <c r="BI210" s="506"/>
      <c r="BJ210" s="506"/>
      <c r="BM210" s="506"/>
      <c r="BU210" s="506"/>
      <c r="BV210" s="506"/>
      <c r="BY210" s="506"/>
      <c r="CG210" s="506"/>
      <c r="CH210" s="506"/>
      <c r="CK210" s="506"/>
      <c r="CU210" s="506"/>
      <c r="CV210" s="506"/>
      <c r="CY210" s="506"/>
      <c r="DI210" s="506"/>
      <c r="DJ210" s="506"/>
      <c r="DM210" s="506"/>
      <c r="DV210" s="506"/>
      <c r="DW210" s="506"/>
      <c r="DZ210" s="506"/>
    </row>
    <row r="211" spans="1:130" x14ac:dyDescent="0.2">
      <c r="A211" s="8"/>
      <c r="B211" s="8"/>
      <c r="C211" s="8"/>
      <c r="D211" s="8"/>
      <c r="E211" s="8"/>
      <c r="F211" s="8"/>
      <c r="G211" s="8"/>
      <c r="H211" s="8"/>
      <c r="I211" s="8"/>
      <c r="J211" s="8"/>
      <c r="K211" s="8"/>
      <c r="L211" s="8"/>
      <c r="M211" s="8"/>
      <c r="N211" s="8"/>
      <c r="O211" s="8"/>
      <c r="P211" s="8"/>
      <c r="Q211" s="8"/>
      <c r="R211" s="8"/>
      <c r="S211" s="8"/>
      <c r="T211" s="8"/>
      <c r="U211" s="8"/>
      <c r="V211" s="8"/>
      <c r="W211" s="8"/>
      <c r="X211" s="8"/>
      <c r="Y211" s="8"/>
      <c r="Z211" s="8"/>
      <c r="AA211" s="8"/>
      <c r="AB211" s="8"/>
      <c r="AD211" s="8"/>
      <c r="AE211" s="8"/>
      <c r="AF211" s="8"/>
      <c r="AG211" s="8"/>
      <c r="AH211" s="8"/>
      <c r="AI211" s="8"/>
      <c r="AJ211" s="8"/>
      <c r="AK211" s="8"/>
      <c r="AL211" s="8"/>
      <c r="AM211" s="8"/>
      <c r="AN211" s="8"/>
      <c r="AO211" s="8"/>
      <c r="AV211" s="506"/>
      <c r="AW211" s="506"/>
      <c r="AZ211" s="506"/>
      <c r="BI211" s="506"/>
      <c r="BJ211" s="506"/>
      <c r="BM211" s="506"/>
      <c r="BU211" s="506"/>
      <c r="BV211" s="506"/>
      <c r="BY211" s="506"/>
      <c r="CG211" s="506"/>
      <c r="CH211" s="506"/>
      <c r="CK211" s="506"/>
      <c r="CU211" s="506"/>
      <c r="CV211" s="506"/>
      <c r="CY211" s="506"/>
      <c r="DI211" s="506"/>
      <c r="DJ211" s="506"/>
      <c r="DM211" s="506"/>
      <c r="DV211" s="506"/>
      <c r="DW211" s="506"/>
      <c r="DZ211" s="506"/>
    </row>
    <row r="212" spans="1:130" x14ac:dyDescent="0.2">
      <c r="A212" s="8"/>
      <c r="B212" s="8"/>
      <c r="C212" s="8"/>
      <c r="D212" s="8"/>
      <c r="E212" s="8"/>
      <c r="F212" s="8"/>
      <c r="G212" s="8"/>
      <c r="H212" s="8"/>
      <c r="I212" s="8"/>
      <c r="J212" s="8"/>
      <c r="K212" s="8"/>
      <c r="L212" s="8"/>
      <c r="M212" s="8"/>
      <c r="N212" s="8"/>
      <c r="O212" s="8"/>
      <c r="P212" s="8"/>
      <c r="Q212" s="8"/>
      <c r="R212" s="8"/>
      <c r="S212" s="8"/>
      <c r="T212" s="8"/>
      <c r="U212" s="8"/>
      <c r="V212" s="8"/>
      <c r="W212" s="8"/>
      <c r="X212" s="8"/>
      <c r="Y212" s="8"/>
      <c r="Z212" s="8"/>
      <c r="AA212" s="8"/>
      <c r="AB212" s="8"/>
      <c r="AD212" s="8"/>
      <c r="AE212" s="8"/>
      <c r="AF212" s="8"/>
      <c r="AG212" s="8"/>
      <c r="AH212" s="8"/>
      <c r="AI212" s="8"/>
      <c r="AJ212" s="8"/>
      <c r="AK212" s="8"/>
      <c r="AL212" s="8"/>
      <c r="AM212" s="8"/>
      <c r="AN212" s="8"/>
      <c r="AO212" s="8"/>
      <c r="AV212" s="506"/>
      <c r="AW212" s="506"/>
      <c r="AZ212" s="506"/>
      <c r="BI212" s="506"/>
      <c r="BJ212" s="506"/>
      <c r="BM212" s="506"/>
      <c r="BU212" s="506"/>
      <c r="BV212" s="506"/>
      <c r="BY212" s="506"/>
      <c r="CG212" s="506"/>
      <c r="CH212" s="506"/>
      <c r="CK212" s="506"/>
      <c r="CU212" s="506"/>
      <c r="CV212" s="506"/>
      <c r="CY212" s="506"/>
      <c r="DI212" s="506"/>
      <c r="DJ212" s="506"/>
      <c r="DM212" s="506"/>
      <c r="DV212" s="506"/>
      <c r="DW212" s="506"/>
      <c r="DZ212" s="506"/>
    </row>
    <row r="213" spans="1:130" x14ac:dyDescent="0.2">
      <c r="A213" s="8"/>
      <c r="B213" s="8"/>
      <c r="C213" s="8"/>
      <c r="D213" s="8"/>
      <c r="E213" s="8"/>
      <c r="F213" s="8"/>
      <c r="G213" s="8"/>
      <c r="H213" s="8"/>
      <c r="I213" s="8"/>
      <c r="J213" s="8"/>
      <c r="K213" s="8"/>
      <c r="L213" s="8"/>
      <c r="M213" s="8"/>
      <c r="N213" s="8"/>
      <c r="O213" s="8"/>
      <c r="P213" s="8"/>
      <c r="Q213" s="8"/>
      <c r="R213" s="8"/>
      <c r="S213" s="8"/>
      <c r="T213" s="8"/>
      <c r="U213" s="8"/>
      <c r="V213" s="8"/>
      <c r="W213" s="8"/>
      <c r="X213" s="8"/>
      <c r="Y213" s="8"/>
      <c r="Z213" s="8"/>
      <c r="AA213" s="8"/>
      <c r="AB213" s="8"/>
      <c r="AD213" s="8"/>
      <c r="AE213" s="8"/>
      <c r="AF213" s="8"/>
      <c r="AG213" s="8"/>
      <c r="AH213" s="8"/>
      <c r="AI213" s="8"/>
      <c r="AJ213" s="8"/>
      <c r="AK213" s="8"/>
      <c r="AL213" s="8"/>
      <c r="AM213" s="8"/>
      <c r="AN213" s="8"/>
      <c r="AO213" s="8"/>
      <c r="AV213" s="506"/>
      <c r="AW213" s="506"/>
      <c r="AZ213" s="506"/>
      <c r="BI213" s="506"/>
      <c r="BJ213" s="506"/>
      <c r="BM213" s="506"/>
      <c r="BU213" s="506"/>
      <c r="BV213" s="506"/>
      <c r="BY213" s="506"/>
      <c r="CG213" s="506"/>
      <c r="CH213" s="506"/>
      <c r="CK213" s="506"/>
      <c r="CU213" s="506"/>
      <c r="CV213" s="506"/>
      <c r="CY213" s="506"/>
      <c r="DI213" s="506"/>
      <c r="DJ213" s="506"/>
      <c r="DM213" s="506"/>
      <c r="DV213" s="506"/>
      <c r="DW213" s="506"/>
      <c r="DZ213" s="506"/>
    </row>
    <row r="214" spans="1:130" x14ac:dyDescent="0.2">
      <c r="A214" s="8"/>
      <c r="B214" s="8"/>
      <c r="C214" s="8"/>
      <c r="D214" s="8"/>
      <c r="E214" s="8"/>
      <c r="F214" s="8"/>
      <c r="G214" s="8"/>
      <c r="H214" s="8"/>
      <c r="I214" s="8"/>
      <c r="J214" s="8"/>
      <c r="K214" s="8"/>
      <c r="L214" s="8"/>
      <c r="M214" s="8"/>
      <c r="N214" s="8"/>
      <c r="O214" s="8"/>
      <c r="P214" s="8"/>
      <c r="Q214" s="8"/>
      <c r="R214" s="8"/>
      <c r="S214" s="8"/>
      <c r="T214" s="8"/>
      <c r="U214" s="8"/>
      <c r="V214" s="8"/>
      <c r="W214" s="8"/>
      <c r="X214" s="8"/>
      <c r="Y214" s="8"/>
      <c r="Z214" s="8"/>
      <c r="AA214" s="8"/>
      <c r="AB214" s="8"/>
      <c r="AD214" s="8"/>
      <c r="AE214" s="8"/>
      <c r="AF214" s="8"/>
      <c r="AG214" s="8"/>
      <c r="AH214" s="8"/>
      <c r="AI214" s="8"/>
      <c r="AJ214" s="8"/>
      <c r="AK214" s="8"/>
      <c r="AL214" s="8"/>
      <c r="AM214" s="8"/>
      <c r="AN214" s="8"/>
      <c r="AO214" s="8"/>
      <c r="AV214" s="506"/>
      <c r="AW214" s="506"/>
      <c r="AZ214" s="506"/>
      <c r="BI214" s="506"/>
      <c r="BJ214" s="506"/>
      <c r="BM214" s="506"/>
      <c r="BU214" s="506"/>
      <c r="BV214" s="506"/>
      <c r="BY214" s="506"/>
      <c r="CG214" s="506"/>
      <c r="CH214" s="506"/>
      <c r="CK214" s="506"/>
      <c r="CU214" s="506"/>
      <c r="CV214" s="506"/>
      <c r="CY214" s="506"/>
      <c r="DI214" s="506"/>
      <c r="DJ214" s="506"/>
      <c r="DM214" s="506"/>
      <c r="DV214" s="506"/>
      <c r="DW214" s="506"/>
      <c r="DZ214" s="506"/>
    </row>
    <row r="215" spans="1:130" x14ac:dyDescent="0.2">
      <c r="A215" s="8"/>
      <c r="B215" s="8"/>
      <c r="C215" s="8"/>
      <c r="D215" s="8"/>
      <c r="E215" s="8"/>
      <c r="F215" s="8"/>
      <c r="G215" s="8"/>
      <c r="H215" s="8"/>
      <c r="I215" s="8"/>
      <c r="J215" s="8"/>
      <c r="K215" s="8"/>
      <c r="L215" s="8"/>
      <c r="M215" s="8"/>
      <c r="N215" s="8"/>
      <c r="O215" s="8"/>
      <c r="P215" s="8"/>
      <c r="Q215" s="8"/>
      <c r="R215" s="8"/>
      <c r="S215" s="8"/>
      <c r="T215" s="8"/>
      <c r="U215" s="8"/>
      <c r="V215" s="8"/>
      <c r="W215" s="8"/>
      <c r="X215" s="8"/>
      <c r="Y215" s="8"/>
      <c r="Z215" s="8"/>
      <c r="AA215" s="8"/>
      <c r="AB215" s="8"/>
      <c r="AD215" s="8"/>
      <c r="AE215" s="8"/>
      <c r="AF215" s="8"/>
      <c r="AG215" s="8"/>
      <c r="AH215" s="8"/>
      <c r="AI215" s="8"/>
      <c r="AJ215" s="8"/>
      <c r="AK215" s="8"/>
      <c r="AL215" s="8"/>
      <c r="AM215" s="8"/>
      <c r="AN215" s="8"/>
      <c r="AO215" s="8"/>
      <c r="AV215" s="506"/>
      <c r="AW215" s="506"/>
      <c r="AZ215" s="506"/>
      <c r="BI215" s="506"/>
      <c r="BJ215" s="506"/>
      <c r="BM215" s="506"/>
      <c r="BU215" s="506"/>
      <c r="BV215" s="506"/>
      <c r="BY215" s="506"/>
      <c r="CG215" s="506"/>
      <c r="CH215" s="506"/>
      <c r="CK215" s="506"/>
      <c r="CU215" s="506"/>
      <c r="CV215" s="506"/>
      <c r="CY215" s="506"/>
      <c r="DI215" s="506"/>
      <c r="DJ215" s="506"/>
      <c r="DM215" s="506"/>
      <c r="DV215" s="506"/>
      <c r="DW215" s="506"/>
      <c r="DZ215" s="506"/>
    </row>
    <row r="216" spans="1:130" x14ac:dyDescent="0.2">
      <c r="A216" s="8"/>
      <c r="B216" s="8"/>
      <c r="C216" s="8"/>
      <c r="D216" s="8"/>
      <c r="E216" s="8"/>
      <c r="F216" s="8"/>
      <c r="G216" s="8"/>
      <c r="H216" s="8"/>
      <c r="I216" s="8"/>
      <c r="J216" s="8"/>
      <c r="K216" s="8"/>
      <c r="L216" s="8"/>
      <c r="M216" s="8"/>
      <c r="N216" s="8"/>
      <c r="O216" s="8"/>
      <c r="P216" s="8"/>
      <c r="Q216" s="8"/>
      <c r="R216" s="8"/>
      <c r="S216" s="8"/>
      <c r="T216" s="8"/>
      <c r="U216" s="8"/>
      <c r="V216" s="8"/>
      <c r="W216" s="8"/>
      <c r="X216" s="8"/>
      <c r="Y216" s="8"/>
      <c r="Z216" s="8"/>
      <c r="AA216" s="8"/>
      <c r="AB216" s="8"/>
      <c r="AD216" s="8"/>
      <c r="AE216" s="8"/>
      <c r="AF216" s="8"/>
      <c r="AG216" s="8"/>
      <c r="AH216" s="8"/>
      <c r="AI216" s="8"/>
      <c r="AJ216" s="8"/>
      <c r="AK216" s="8"/>
      <c r="AL216" s="8"/>
      <c r="AM216" s="8"/>
      <c r="AN216" s="8"/>
      <c r="AO216" s="8"/>
      <c r="AV216" s="506"/>
      <c r="AW216" s="506"/>
      <c r="AZ216" s="506"/>
      <c r="BI216" s="506"/>
      <c r="BJ216" s="506"/>
      <c r="BM216" s="506"/>
      <c r="BU216" s="506"/>
      <c r="BV216" s="506"/>
      <c r="BY216" s="506"/>
      <c r="CG216" s="506"/>
      <c r="CH216" s="506"/>
      <c r="CK216" s="506"/>
      <c r="CU216" s="506"/>
      <c r="CV216" s="506"/>
      <c r="CY216" s="506"/>
      <c r="DI216" s="506"/>
      <c r="DJ216" s="506"/>
      <c r="DM216" s="506"/>
      <c r="DV216" s="506"/>
      <c r="DW216" s="506"/>
      <c r="DZ216" s="506"/>
    </row>
    <row r="217" spans="1:130" x14ac:dyDescent="0.2">
      <c r="A217" s="8"/>
      <c r="B217" s="8"/>
      <c r="C217" s="8"/>
      <c r="D217" s="8"/>
      <c r="E217" s="8"/>
      <c r="F217" s="8"/>
      <c r="G217" s="8"/>
      <c r="H217" s="8"/>
      <c r="I217" s="8"/>
      <c r="J217" s="8"/>
      <c r="K217" s="8"/>
      <c r="L217" s="8"/>
      <c r="M217" s="8"/>
      <c r="N217" s="8"/>
      <c r="O217" s="8"/>
      <c r="P217" s="8"/>
      <c r="Q217" s="8"/>
      <c r="R217" s="8"/>
      <c r="S217" s="8"/>
      <c r="T217" s="8"/>
      <c r="U217" s="8"/>
      <c r="V217" s="8"/>
      <c r="W217" s="8"/>
      <c r="X217" s="8"/>
      <c r="Y217" s="8"/>
      <c r="Z217" s="8"/>
      <c r="AA217" s="8"/>
      <c r="AB217" s="8"/>
      <c r="AD217" s="8"/>
      <c r="AE217" s="8"/>
      <c r="AF217" s="8"/>
      <c r="AG217" s="8"/>
      <c r="AH217" s="8"/>
      <c r="AI217" s="8"/>
      <c r="AJ217" s="8"/>
      <c r="AK217" s="8"/>
      <c r="AL217" s="8"/>
      <c r="AM217" s="8"/>
      <c r="AN217" s="8"/>
      <c r="AO217" s="8"/>
      <c r="AV217" s="506"/>
      <c r="AW217" s="506"/>
      <c r="AZ217" s="506"/>
      <c r="BI217" s="506"/>
      <c r="BJ217" s="506"/>
      <c r="BM217" s="506"/>
      <c r="BU217" s="506"/>
      <c r="BV217" s="506"/>
      <c r="BY217" s="506"/>
      <c r="CG217" s="506"/>
      <c r="CH217" s="506"/>
      <c r="CK217" s="506"/>
      <c r="CU217" s="506"/>
      <c r="CV217" s="506"/>
      <c r="CY217" s="506"/>
      <c r="DI217" s="506"/>
      <c r="DJ217" s="506"/>
      <c r="DM217" s="506"/>
      <c r="DV217" s="506"/>
      <c r="DW217" s="506"/>
      <c r="DZ217" s="506"/>
    </row>
    <row r="218" spans="1:130" x14ac:dyDescent="0.2">
      <c r="A218" s="8"/>
      <c r="B218" s="8"/>
      <c r="C218" s="8"/>
      <c r="D218" s="8"/>
      <c r="E218" s="8"/>
      <c r="F218" s="8"/>
      <c r="G218" s="8"/>
      <c r="H218" s="8"/>
      <c r="I218" s="8"/>
      <c r="J218" s="8"/>
      <c r="K218" s="8"/>
      <c r="L218" s="8"/>
      <c r="M218" s="8"/>
      <c r="N218" s="8"/>
      <c r="O218" s="8"/>
      <c r="P218" s="8"/>
      <c r="Q218" s="8"/>
      <c r="R218" s="8"/>
      <c r="S218" s="8"/>
      <c r="T218" s="8"/>
      <c r="U218" s="8"/>
      <c r="V218" s="8"/>
      <c r="W218" s="8"/>
      <c r="X218" s="8"/>
      <c r="Y218" s="8"/>
      <c r="Z218" s="8"/>
      <c r="AA218" s="8"/>
      <c r="AB218" s="8"/>
      <c r="AD218" s="8"/>
      <c r="AE218" s="8"/>
      <c r="AF218" s="8"/>
      <c r="AG218" s="8"/>
      <c r="AH218" s="8"/>
      <c r="AI218" s="8"/>
      <c r="AJ218" s="8"/>
      <c r="AK218" s="8"/>
      <c r="AL218" s="8"/>
      <c r="AM218" s="8"/>
      <c r="AN218" s="8"/>
      <c r="AO218" s="8"/>
      <c r="AV218" s="506"/>
      <c r="AW218" s="506"/>
      <c r="AZ218" s="506"/>
      <c r="BI218" s="506"/>
      <c r="BJ218" s="506"/>
      <c r="BM218" s="506"/>
      <c r="BU218" s="506"/>
      <c r="BV218" s="506"/>
      <c r="BY218" s="506"/>
      <c r="CG218" s="506"/>
      <c r="CH218" s="506"/>
      <c r="CK218" s="506"/>
      <c r="CU218" s="506"/>
      <c r="CV218" s="506"/>
      <c r="CY218" s="506"/>
      <c r="DI218" s="506"/>
      <c r="DJ218" s="506"/>
      <c r="DM218" s="506"/>
      <c r="DV218" s="506"/>
      <c r="DW218" s="506"/>
      <c r="DZ218" s="506"/>
    </row>
    <row r="219" spans="1:130" x14ac:dyDescent="0.2">
      <c r="A219" s="8"/>
      <c r="B219" s="8"/>
      <c r="C219" s="8"/>
      <c r="D219" s="8"/>
      <c r="E219" s="8"/>
      <c r="F219" s="8"/>
      <c r="G219" s="8"/>
      <c r="H219" s="8"/>
      <c r="I219" s="8"/>
      <c r="J219" s="8"/>
      <c r="K219" s="8"/>
      <c r="L219" s="8"/>
      <c r="M219" s="8"/>
      <c r="N219" s="8"/>
      <c r="O219" s="8"/>
      <c r="P219" s="8"/>
      <c r="Q219" s="8"/>
      <c r="R219" s="8"/>
      <c r="S219" s="8"/>
      <c r="T219" s="8"/>
      <c r="U219" s="8"/>
      <c r="V219" s="8"/>
      <c r="W219" s="8"/>
      <c r="X219" s="8"/>
      <c r="Y219" s="8"/>
      <c r="Z219" s="8"/>
      <c r="AA219" s="8"/>
      <c r="AB219" s="8"/>
      <c r="AD219" s="8"/>
      <c r="AE219" s="8"/>
      <c r="AF219" s="8"/>
      <c r="AG219" s="8"/>
      <c r="AH219" s="8"/>
      <c r="AI219" s="8"/>
      <c r="AJ219" s="8"/>
      <c r="AK219" s="8"/>
      <c r="AL219" s="8"/>
      <c r="AM219" s="8"/>
      <c r="AN219" s="8"/>
      <c r="AO219" s="8"/>
      <c r="AV219" s="506"/>
      <c r="AW219" s="506"/>
      <c r="AZ219" s="506"/>
      <c r="BI219" s="506"/>
      <c r="BJ219" s="506"/>
      <c r="BM219" s="506"/>
      <c r="BU219" s="506"/>
      <c r="BV219" s="506"/>
      <c r="BY219" s="506"/>
      <c r="CG219" s="506"/>
      <c r="CH219" s="506"/>
      <c r="CK219" s="506"/>
      <c r="CU219" s="506"/>
      <c r="CV219" s="506"/>
      <c r="CY219" s="506"/>
      <c r="DI219" s="506"/>
      <c r="DJ219" s="506"/>
      <c r="DM219" s="506"/>
      <c r="DV219" s="506"/>
      <c r="DW219" s="506"/>
      <c r="DZ219" s="506"/>
    </row>
    <row r="220" spans="1:130" x14ac:dyDescent="0.2">
      <c r="A220" s="8"/>
      <c r="B220" s="8"/>
      <c r="C220" s="8"/>
      <c r="D220" s="8"/>
      <c r="E220" s="8"/>
      <c r="F220" s="8"/>
      <c r="G220" s="8"/>
      <c r="H220" s="8"/>
      <c r="I220" s="8"/>
      <c r="J220" s="8"/>
      <c r="K220" s="8"/>
      <c r="L220" s="8"/>
      <c r="M220" s="8"/>
      <c r="N220" s="8"/>
      <c r="O220" s="8"/>
      <c r="P220" s="8"/>
      <c r="Q220" s="8"/>
      <c r="R220" s="8"/>
      <c r="S220" s="8"/>
      <c r="T220" s="8"/>
      <c r="U220" s="8"/>
      <c r="V220" s="8"/>
      <c r="W220" s="8"/>
      <c r="X220" s="8"/>
      <c r="Y220" s="8"/>
      <c r="Z220" s="8"/>
      <c r="AA220" s="8"/>
      <c r="AB220" s="8"/>
      <c r="AD220" s="8"/>
      <c r="AE220" s="8"/>
      <c r="AF220" s="8"/>
      <c r="AG220" s="8"/>
      <c r="AH220" s="8"/>
      <c r="AI220" s="8"/>
      <c r="AJ220" s="8"/>
      <c r="AK220" s="8"/>
      <c r="AL220" s="8"/>
      <c r="AM220" s="8"/>
      <c r="AN220" s="8"/>
      <c r="AO220" s="8"/>
      <c r="AV220" s="506"/>
      <c r="AW220" s="506"/>
      <c r="AZ220" s="506"/>
      <c r="BI220" s="506"/>
      <c r="BJ220" s="506"/>
      <c r="BM220" s="506"/>
      <c r="BU220" s="506"/>
      <c r="BV220" s="506"/>
      <c r="BY220" s="506"/>
      <c r="CG220" s="506"/>
      <c r="CH220" s="506"/>
      <c r="CK220" s="506"/>
      <c r="CU220" s="506"/>
      <c r="CV220" s="506"/>
      <c r="CY220" s="506"/>
      <c r="DI220" s="506"/>
      <c r="DJ220" s="506"/>
      <c r="DM220" s="506"/>
      <c r="DV220" s="506"/>
      <c r="DW220" s="506"/>
      <c r="DZ220" s="506"/>
    </row>
    <row r="221" spans="1:130" x14ac:dyDescent="0.2">
      <c r="A221" s="8"/>
      <c r="B221" s="8"/>
      <c r="C221" s="8"/>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D221" s="8"/>
      <c r="AE221" s="8"/>
      <c r="AF221" s="8"/>
      <c r="AG221" s="8"/>
      <c r="AH221" s="8"/>
      <c r="AI221" s="8"/>
      <c r="AJ221" s="8"/>
      <c r="AK221" s="8"/>
      <c r="AL221" s="8"/>
      <c r="AM221" s="8"/>
      <c r="AN221" s="8"/>
      <c r="AO221" s="8"/>
      <c r="AV221" s="506"/>
      <c r="AW221" s="506"/>
      <c r="AZ221" s="506"/>
      <c r="BI221" s="506"/>
      <c r="BJ221" s="506"/>
      <c r="BM221" s="506"/>
      <c r="BU221" s="506"/>
      <c r="BV221" s="506"/>
      <c r="BY221" s="506"/>
      <c r="CG221" s="506"/>
      <c r="CH221" s="506"/>
      <c r="CK221" s="506"/>
      <c r="CU221" s="506"/>
      <c r="CV221" s="506"/>
      <c r="CY221" s="506"/>
      <c r="DI221" s="506"/>
      <c r="DJ221" s="506"/>
      <c r="DM221" s="506"/>
      <c r="DV221" s="506"/>
      <c r="DW221" s="506"/>
      <c r="DZ221" s="506"/>
    </row>
    <row r="222" spans="1:130" x14ac:dyDescent="0.2">
      <c r="A222" s="8"/>
      <c r="B222" s="8"/>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D222" s="8"/>
      <c r="AE222" s="8"/>
      <c r="AF222" s="8"/>
      <c r="AG222" s="8"/>
      <c r="AH222" s="8"/>
      <c r="AI222" s="8"/>
      <c r="AJ222" s="8"/>
      <c r="AK222" s="8"/>
      <c r="AL222" s="8"/>
      <c r="AM222" s="8"/>
      <c r="AN222" s="8"/>
      <c r="AO222" s="8"/>
      <c r="AV222" s="506"/>
      <c r="AW222" s="506"/>
      <c r="AZ222" s="506"/>
      <c r="BI222" s="506"/>
      <c r="BJ222" s="506"/>
      <c r="BM222" s="506"/>
      <c r="BU222" s="506"/>
      <c r="BV222" s="506"/>
      <c r="BY222" s="506"/>
      <c r="CG222" s="506"/>
      <c r="CH222" s="506"/>
      <c r="CK222" s="506"/>
      <c r="CU222" s="506"/>
      <c r="CV222" s="506"/>
      <c r="CY222" s="506"/>
      <c r="DI222" s="506"/>
      <c r="DJ222" s="506"/>
      <c r="DM222" s="506"/>
      <c r="DV222" s="506"/>
      <c r="DW222" s="506"/>
      <c r="DZ222" s="506"/>
    </row>
    <row r="223" spans="1:130" x14ac:dyDescent="0.2">
      <c r="A223" s="8"/>
      <c r="B223" s="8"/>
      <c r="C223" s="8"/>
      <c r="D223" s="8"/>
      <c r="E223" s="8"/>
      <c r="F223" s="8"/>
      <c r="G223" s="8"/>
      <c r="H223" s="8"/>
      <c r="I223" s="8"/>
      <c r="J223" s="8"/>
      <c r="K223" s="8"/>
      <c r="L223" s="8"/>
      <c r="M223" s="8"/>
      <c r="N223" s="8"/>
      <c r="O223" s="8"/>
      <c r="P223" s="8"/>
      <c r="Q223" s="8"/>
      <c r="R223" s="8"/>
      <c r="S223" s="8"/>
      <c r="T223" s="8"/>
      <c r="U223" s="8"/>
      <c r="V223" s="8"/>
      <c r="W223" s="8"/>
      <c r="X223" s="8"/>
      <c r="Y223" s="8"/>
      <c r="Z223" s="8"/>
      <c r="AA223" s="8"/>
      <c r="AB223" s="8"/>
      <c r="AD223" s="8"/>
      <c r="AE223" s="8"/>
      <c r="AF223" s="8"/>
      <c r="AG223" s="8"/>
      <c r="AH223" s="8"/>
      <c r="AI223" s="8"/>
      <c r="AJ223" s="8"/>
      <c r="AK223" s="8"/>
      <c r="AL223" s="8"/>
      <c r="AM223" s="8"/>
      <c r="AN223" s="8"/>
      <c r="AO223" s="8"/>
      <c r="AV223" s="506"/>
      <c r="AW223" s="506"/>
      <c r="AZ223" s="506"/>
      <c r="BI223" s="506"/>
      <c r="BJ223" s="506"/>
      <c r="BM223" s="506"/>
      <c r="BU223" s="506"/>
      <c r="BV223" s="506"/>
      <c r="BY223" s="506"/>
      <c r="CG223" s="506"/>
      <c r="CH223" s="506"/>
      <c r="CK223" s="506"/>
      <c r="CU223" s="506"/>
      <c r="CV223" s="506"/>
      <c r="CY223" s="506"/>
      <c r="DI223" s="506"/>
      <c r="DJ223" s="506"/>
      <c r="DM223" s="506"/>
      <c r="DV223" s="506"/>
      <c r="DW223" s="506"/>
      <c r="DZ223" s="506"/>
    </row>
    <row r="224" spans="1:130" x14ac:dyDescent="0.2">
      <c r="A224" s="8"/>
      <c r="B224" s="8"/>
      <c r="C224" s="8"/>
      <c r="D224" s="8"/>
      <c r="E224" s="8"/>
      <c r="F224" s="8"/>
      <c r="G224" s="8"/>
      <c r="H224" s="8"/>
      <c r="I224" s="8"/>
      <c r="J224" s="8"/>
      <c r="K224" s="8"/>
      <c r="L224" s="8"/>
      <c r="M224" s="8"/>
      <c r="N224" s="8"/>
      <c r="O224" s="8"/>
      <c r="P224" s="8"/>
      <c r="Q224" s="8"/>
      <c r="R224" s="8"/>
      <c r="S224" s="8"/>
      <c r="T224" s="8"/>
      <c r="U224" s="8"/>
      <c r="V224" s="8"/>
      <c r="W224" s="8"/>
      <c r="X224" s="8"/>
      <c r="Y224" s="8"/>
      <c r="Z224" s="8"/>
      <c r="AA224" s="8"/>
      <c r="AB224" s="8"/>
      <c r="AD224" s="8"/>
      <c r="AE224" s="8"/>
      <c r="AF224" s="8"/>
      <c r="AG224" s="8"/>
      <c r="AH224" s="8"/>
      <c r="AI224" s="8"/>
      <c r="AJ224" s="8"/>
      <c r="AK224" s="8"/>
      <c r="AL224" s="8"/>
      <c r="AM224" s="8"/>
      <c r="AN224" s="8"/>
      <c r="AO224" s="8"/>
      <c r="AV224" s="506"/>
      <c r="AW224" s="506"/>
      <c r="AZ224" s="506"/>
      <c r="BI224" s="506"/>
      <c r="BJ224" s="506"/>
      <c r="BM224" s="506"/>
      <c r="BU224" s="506"/>
      <c r="BV224" s="506"/>
      <c r="BY224" s="506"/>
      <c r="CG224" s="506"/>
      <c r="CH224" s="506"/>
      <c r="CK224" s="506"/>
      <c r="CU224" s="506"/>
      <c r="CV224" s="506"/>
      <c r="CY224" s="506"/>
      <c r="DI224" s="506"/>
      <c r="DJ224" s="506"/>
      <c r="DM224" s="506"/>
      <c r="DV224" s="506"/>
      <c r="DW224" s="506"/>
      <c r="DZ224" s="506"/>
    </row>
    <row r="225" spans="1:131" x14ac:dyDescent="0.2">
      <c r="A225" s="8"/>
      <c r="B225" s="8"/>
      <c r="C225" s="8"/>
      <c r="D225" s="8"/>
      <c r="E225" s="8"/>
      <c r="F225" s="8"/>
      <c r="G225" s="8"/>
      <c r="H225" s="8"/>
      <c r="I225" s="8"/>
      <c r="J225" s="8"/>
      <c r="K225" s="8"/>
      <c r="L225" s="8"/>
      <c r="M225" s="8"/>
      <c r="N225" s="8"/>
      <c r="O225" s="8"/>
      <c r="P225" s="8"/>
      <c r="Q225" s="8"/>
      <c r="R225" s="8"/>
      <c r="S225" s="8"/>
      <c r="T225" s="8"/>
      <c r="U225" s="8"/>
      <c r="V225" s="8"/>
      <c r="W225" s="8"/>
      <c r="X225" s="8"/>
      <c r="Y225" s="8"/>
      <c r="Z225" s="8"/>
      <c r="AA225" s="8"/>
      <c r="AB225" s="8"/>
      <c r="AD225" s="8"/>
      <c r="AE225" s="8"/>
      <c r="AF225" s="8"/>
      <c r="AG225" s="8"/>
      <c r="AH225" s="8"/>
      <c r="AI225" s="8"/>
      <c r="AJ225" s="8"/>
      <c r="AK225" s="8"/>
      <c r="AL225" s="8"/>
      <c r="AM225" s="8"/>
      <c r="AN225" s="8"/>
      <c r="AO225" s="8"/>
      <c r="AV225" s="506"/>
      <c r="AW225" s="506"/>
      <c r="AZ225" s="506"/>
      <c r="BI225" s="506"/>
      <c r="BJ225" s="506"/>
      <c r="BM225" s="506"/>
      <c r="BU225" s="506"/>
      <c r="BV225" s="506"/>
      <c r="BY225" s="506"/>
      <c r="CG225" s="506"/>
      <c r="CH225" s="506"/>
      <c r="CK225" s="506"/>
      <c r="CU225" s="506"/>
      <c r="CV225" s="506"/>
      <c r="CY225" s="506"/>
      <c r="DI225" s="506"/>
      <c r="DJ225" s="506"/>
      <c r="DM225" s="506"/>
      <c r="DV225" s="506"/>
      <c r="DW225" s="506"/>
      <c r="DZ225" s="506"/>
    </row>
    <row r="226" spans="1:131" x14ac:dyDescent="0.2">
      <c r="A226" s="8"/>
      <c r="B226" s="8"/>
      <c r="C226" s="8"/>
      <c r="D226" s="8"/>
      <c r="E226" s="8"/>
      <c r="F226" s="8"/>
      <c r="G226" s="8"/>
      <c r="H226" s="8"/>
      <c r="I226" s="8"/>
      <c r="J226" s="8"/>
      <c r="K226" s="8"/>
      <c r="L226" s="8"/>
      <c r="M226" s="8"/>
      <c r="N226" s="8"/>
      <c r="O226" s="8"/>
      <c r="P226" s="8"/>
      <c r="Q226" s="8"/>
      <c r="R226" s="8"/>
      <c r="S226" s="8"/>
      <c r="T226" s="8"/>
      <c r="U226" s="8"/>
      <c r="V226" s="8"/>
      <c r="W226" s="8"/>
      <c r="X226" s="8"/>
      <c r="Y226" s="8"/>
      <c r="Z226" s="8"/>
      <c r="AA226" s="8"/>
      <c r="AB226" s="8"/>
      <c r="AD226" s="8"/>
      <c r="AE226" s="8"/>
      <c r="AF226" s="8"/>
      <c r="AG226" s="8"/>
      <c r="AH226" s="8"/>
      <c r="AI226" s="8"/>
      <c r="AJ226" s="8"/>
      <c r="AK226" s="8"/>
      <c r="AL226" s="8"/>
      <c r="AM226" s="8"/>
      <c r="AN226" s="8"/>
      <c r="AO226" s="8"/>
      <c r="AV226" s="506"/>
      <c r="AW226" s="506"/>
      <c r="AZ226" s="506"/>
      <c r="BI226" s="506"/>
      <c r="BJ226" s="506"/>
      <c r="BM226" s="506"/>
      <c r="BU226" s="506"/>
      <c r="BV226" s="506"/>
      <c r="BY226" s="506"/>
      <c r="CG226" s="506"/>
      <c r="CH226" s="506"/>
      <c r="CK226" s="506"/>
      <c r="CU226" s="506"/>
      <c r="CV226" s="506"/>
      <c r="CY226" s="506"/>
      <c r="DI226" s="506"/>
      <c r="DJ226" s="506"/>
      <c r="DM226" s="506"/>
      <c r="DV226" s="506"/>
      <c r="DW226" s="506"/>
      <c r="DZ226" s="506"/>
    </row>
    <row r="227" spans="1:131" x14ac:dyDescent="0.2">
      <c r="A227" s="8"/>
      <c r="B227" s="8"/>
      <c r="C227" s="8"/>
      <c r="D227" s="8"/>
      <c r="E227" s="8"/>
      <c r="F227" s="8"/>
      <c r="G227" s="8"/>
      <c r="H227" s="8"/>
      <c r="I227" s="8"/>
      <c r="J227" s="8"/>
      <c r="K227" s="8"/>
      <c r="L227" s="8"/>
      <c r="M227" s="8"/>
      <c r="N227" s="8"/>
      <c r="O227" s="8"/>
      <c r="P227" s="8"/>
      <c r="Q227" s="8"/>
      <c r="R227" s="8"/>
      <c r="S227" s="8"/>
      <c r="T227" s="8"/>
      <c r="U227" s="8"/>
      <c r="V227" s="8"/>
      <c r="W227" s="8"/>
      <c r="X227" s="8"/>
      <c r="Y227" s="8"/>
      <c r="Z227" s="8"/>
      <c r="AA227" s="8"/>
      <c r="AB227" s="8"/>
      <c r="AD227" s="8"/>
      <c r="AE227" s="8"/>
      <c r="AF227" s="8"/>
      <c r="AG227" s="8"/>
      <c r="AH227" s="8"/>
      <c r="AI227" s="8"/>
      <c r="AJ227" s="8"/>
      <c r="AK227" s="8"/>
      <c r="AL227" s="8"/>
      <c r="AM227" s="8"/>
      <c r="AN227" s="8"/>
      <c r="AO227" s="8"/>
      <c r="AV227" s="506"/>
      <c r="AW227" s="506"/>
      <c r="AZ227" s="506"/>
      <c r="BI227" s="506"/>
      <c r="BJ227" s="506"/>
      <c r="BM227" s="506"/>
      <c r="BU227" s="506"/>
      <c r="BV227" s="506"/>
      <c r="BY227" s="506"/>
      <c r="CG227" s="506"/>
      <c r="CH227" s="506"/>
      <c r="CK227" s="506"/>
      <c r="CU227" s="506"/>
      <c r="CV227" s="506"/>
      <c r="CY227" s="506"/>
      <c r="DI227" s="506"/>
      <c r="DJ227" s="506"/>
      <c r="DM227" s="506"/>
      <c r="DV227" s="506"/>
      <c r="DW227" s="506"/>
      <c r="DZ227" s="506"/>
    </row>
    <row r="228" spans="1:131" x14ac:dyDescent="0.2">
      <c r="A228" s="8"/>
      <c r="B228" s="8"/>
      <c r="C228" s="8"/>
      <c r="D228" s="8"/>
      <c r="E228" s="8"/>
      <c r="F228" s="8"/>
      <c r="G228" s="8"/>
      <c r="H228" s="8"/>
      <c r="I228" s="8"/>
      <c r="J228" s="8"/>
      <c r="K228" s="8"/>
      <c r="L228" s="8"/>
      <c r="M228" s="8"/>
      <c r="N228" s="8"/>
      <c r="O228" s="8"/>
      <c r="P228" s="8"/>
      <c r="Q228" s="8"/>
      <c r="R228" s="8"/>
      <c r="S228" s="8"/>
      <c r="T228" s="8"/>
      <c r="U228" s="8"/>
      <c r="V228" s="8"/>
      <c r="W228" s="8"/>
      <c r="X228" s="8"/>
      <c r="Y228" s="8"/>
      <c r="Z228" s="8"/>
      <c r="AA228" s="8"/>
      <c r="AB228" s="8"/>
      <c r="AD228" s="8"/>
      <c r="AE228" s="8"/>
      <c r="AF228" s="8"/>
      <c r="AG228" s="8"/>
      <c r="AH228" s="8"/>
      <c r="AI228" s="8"/>
      <c r="AJ228" s="8"/>
      <c r="AK228" s="8"/>
      <c r="AL228" s="8"/>
      <c r="AM228" s="8"/>
      <c r="AN228" s="8"/>
      <c r="AO228" s="8"/>
      <c r="AV228" s="506"/>
      <c r="AW228" s="506"/>
      <c r="AZ228" s="506"/>
      <c r="BI228" s="506"/>
      <c r="BJ228" s="506"/>
      <c r="BM228" s="506"/>
      <c r="BU228" s="506"/>
      <c r="BV228" s="506"/>
      <c r="BY228" s="506"/>
      <c r="CG228" s="506"/>
      <c r="CH228" s="506"/>
      <c r="CK228" s="506"/>
      <c r="CU228" s="506"/>
      <c r="CV228" s="506"/>
      <c r="CY228" s="506"/>
      <c r="DI228" s="506"/>
      <c r="DJ228" s="506"/>
      <c r="DM228" s="506"/>
      <c r="DV228" s="506"/>
      <c r="DW228" s="506"/>
      <c r="DZ228" s="506"/>
    </row>
    <row r="229" spans="1:131" x14ac:dyDescent="0.2">
      <c r="A229" s="8"/>
      <c r="B229" s="8"/>
      <c r="C229" s="8"/>
      <c r="D229" s="8"/>
      <c r="E229" s="8"/>
      <c r="F229" s="8"/>
      <c r="G229" s="8"/>
      <c r="H229" s="8"/>
      <c r="I229" s="8"/>
      <c r="J229" s="8"/>
      <c r="K229" s="8"/>
      <c r="L229" s="8"/>
      <c r="M229" s="8"/>
      <c r="N229" s="8"/>
      <c r="O229" s="8"/>
      <c r="P229" s="8"/>
      <c r="Q229" s="8"/>
      <c r="R229" s="8"/>
      <c r="S229" s="8"/>
      <c r="T229" s="8"/>
      <c r="U229" s="8"/>
      <c r="V229" s="8"/>
      <c r="W229" s="8"/>
      <c r="X229" s="8"/>
      <c r="Y229" s="8"/>
      <c r="Z229" s="8"/>
      <c r="AA229" s="8"/>
      <c r="AB229" s="8"/>
      <c r="AD229" s="8"/>
      <c r="AE229" s="8"/>
      <c r="AF229" s="8"/>
      <c r="AG229" s="8"/>
      <c r="AH229" s="8"/>
      <c r="AI229" s="8"/>
      <c r="AJ229" s="8"/>
      <c r="AK229" s="8"/>
      <c r="AL229" s="8"/>
      <c r="AM229" s="8"/>
      <c r="AN229" s="8"/>
      <c r="AO229" s="8"/>
      <c r="AV229" s="506"/>
      <c r="AW229" s="506"/>
      <c r="AZ229" s="506"/>
      <c r="BI229" s="506"/>
      <c r="BJ229" s="506"/>
      <c r="BM229" s="506"/>
      <c r="BU229" s="506"/>
      <c r="BV229" s="506"/>
      <c r="BY229" s="506"/>
      <c r="CG229" s="506"/>
      <c r="CH229" s="506"/>
      <c r="CK229" s="506"/>
      <c r="CU229" s="506"/>
      <c r="CV229" s="506"/>
      <c r="CY229" s="506"/>
      <c r="DI229" s="506"/>
      <c r="DJ229" s="506"/>
      <c r="DM229" s="506"/>
      <c r="DV229" s="506"/>
      <c r="DW229" s="506"/>
      <c r="DZ229" s="506"/>
    </row>
    <row r="230" spans="1:131" x14ac:dyDescent="0.2">
      <c r="A230" s="8"/>
      <c r="B230" s="8"/>
      <c r="C230" s="8"/>
      <c r="D230" s="8"/>
      <c r="E230" s="8"/>
      <c r="F230" s="8"/>
      <c r="G230" s="8"/>
      <c r="H230" s="8"/>
      <c r="I230" s="8"/>
      <c r="J230" s="8"/>
      <c r="K230" s="8"/>
      <c r="L230" s="8"/>
      <c r="M230" s="8"/>
      <c r="N230" s="8"/>
      <c r="O230" s="8"/>
      <c r="P230" s="8"/>
      <c r="Q230" s="8"/>
      <c r="R230" s="8"/>
      <c r="S230" s="8"/>
      <c r="T230" s="8"/>
      <c r="U230" s="8"/>
      <c r="V230" s="8"/>
      <c r="W230" s="8"/>
      <c r="X230" s="8"/>
      <c r="Y230" s="8"/>
      <c r="Z230" s="8"/>
      <c r="AA230" s="8"/>
      <c r="AB230" s="8"/>
      <c r="AD230" s="8"/>
      <c r="AE230" s="8"/>
      <c r="AF230" s="8"/>
      <c r="AG230" s="8"/>
      <c r="AH230" s="8"/>
      <c r="AI230" s="8"/>
      <c r="AJ230" s="8"/>
      <c r="AK230" s="8"/>
      <c r="AL230" s="8"/>
      <c r="AM230" s="8"/>
      <c r="AN230" s="8"/>
      <c r="AO230" s="8"/>
      <c r="AV230" s="506"/>
      <c r="AW230" s="506"/>
      <c r="AZ230" s="506"/>
      <c r="BI230" s="506"/>
      <c r="BJ230" s="506"/>
      <c r="BM230" s="506"/>
      <c r="BU230" s="506"/>
      <c r="BV230" s="506"/>
      <c r="BY230" s="506"/>
      <c r="CG230" s="506"/>
      <c r="CH230" s="506"/>
      <c r="CK230" s="506"/>
      <c r="CU230" s="506"/>
      <c r="CV230" s="506"/>
      <c r="CY230" s="506"/>
      <c r="DI230" s="506"/>
      <c r="DJ230" s="506"/>
      <c r="DM230" s="506"/>
      <c r="DV230" s="506"/>
      <c r="DW230" s="506"/>
      <c r="DZ230" s="506"/>
    </row>
    <row r="231" spans="1:131" x14ac:dyDescent="0.2">
      <c r="A231" s="8"/>
      <c r="B231" s="8"/>
      <c r="C231" s="8"/>
      <c r="D231" s="8"/>
      <c r="E231" s="8"/>
      <c r="F231" s="8"/>
      <c r="G231" s="8"/>
      <c r="H231" s="8"/>
      <c r="I231" s="8"/>
      <c r="J231" s="8"/>
      <c r="K231" s="8"/>
      <c r="L231" s="8"/>
      <c r="M231" s="8"/>
      <c r="N231" s="8"/>
      <c r="O231" s="8"/>
      <c r="P231" s="8"/>
      <c r="Q231" s="8"/>
      <c r="R231" s="8"/>
      <c r="S231" s="8"/>
      <c r="T231" s="8"/>
      <c r="U231" s="8"/>
      <c r="V231" s="8"/>
      <c r="W231" s="8"/>
      <c r="X231" s="8"/>
      <c r="Y231" s="8"/>
      <c r="Z231" s="8"/>
      <c r="AA231" s="8"/>
      <c r="AB231" s="8"/>
      <c r="AD231" s="8"/>
      <c r="AE231" s="8"/>
      <c r="AF231" s="8"/>
      <c r="AG231" s="8"/>
      <c r="AH231" s="8"/>
      <c r="AI231" s="8"/>
      <c r="AJ231" s="8"/>
      <c r="AK231" s="8"/>
      <c r="AL231" s="8"/>
      <c r="AM231" s="8"/>
      <c r="AN231" s="8"/>
      <c r="AO231" s="8"/>
      <c r="AV231" s="506"/>
      <c r="AW231" s="506"/>
      <c r="AZ231" s="506"/>
      <c r="BI231" s="506"/>
      <c r="BJ231" s="506"/>
      <c r="BM231" s="506"/>
      <c r="BU231" s="506"/>
      <c r="BV231" s="506"/>
      <c r="BY231" s="506"/>
      <c r="CG231" s="506"/>
      <c r="CH231" s="506"/>
      <c r="CK231" s="506"/>
      <c r="CU231" s="506"/>
      <c r="CV231" s="506"/>
      <c r="CY231" s="506"/>
      <c r="DI231" s="506"/>
      <c r="DJ231" s="506"/>
      <c r="DM231" s="506"/>
      <c r="DV231" s="506"/>
      <c r="DW231" s="506"/>
      <c r="DZ231" s="506"/>
    </row>
    <row r="232" spans="1:131" x14ac:dyDescent="0.2">
      <c r="A232" s="8"/>
      <c r="B232" s="8"/>
      <c r="C232" s="8"/>
      <c r="D232" s="8"/>
      <c r="E232" s="8"/>
      <c r="F232" s="8"/>
      <c r="G232" s="8"/>
      <c r="H232" s="8"/>
      <c r="I232" s="8"/>
      <c r="J232" s="8"/>
      <c r="K232" s="8"/>
      <c r="L232" s="8"/>
      <c r="M232" s="8"/>
      <c r="N232" s="8"/>
      <c r="O232" s="8"/>
      <c r="P232" s="8"/>
      <c r="Q232" s="8"/>
      <c r="R232" s="8"/>
      <c r="S232" s="8"/>
      <c r="T232" s="8"/>
      <c r="U232" s="8"/>
      <c r="V232" s="8"/>
      <c r="W232" s="8"/>
      <c r="X232" s="8"/>
      <c r="Y232" s="8"/>
      <c r="Z232" s="8"/>
      <c r="AA232" s="8"/>
      <c r="AB232" s="8"/>
      <c r="AD232" s="8"/>
      <c r="AE232" s="8"/>
      <c r="AF232" s="8"/>
      <c r="AG232" s="8"/>
      <c r="AH232" s="8"/>
      <c r="AI232" s="8"/>
      <c r="AJ232" s="8"/>
      <c r="AK232" s="8"/>
      <c r="AL232" s="8"/>
      <c r="AM232" s="8"/>
      <c r="AN232" s="8"/>
      <c r="AO232" s="8"/>
      <c r="AV232" s="506"/>
      <c r="AW232" s="506"/>
      <c r="AZ232" s="506"/>
      <c r="BI232" s="506"/>
      <c r="BJ232" s="506"/>
      <c r="BM232" s="506"/>
      <c r="BU232" s="506"/>
      <c r="BV232" s="506"/>
      <c r="BY232" s="506"/>
      <c r="CG232" s="506"/>
      <c r="CH232" s="506"/>
      <c r="CK232" s="506"/>
      <c r="CU232" s="506"/>
      <c r="CV232" s="506"/>
      <c r="CY232" s="506"/>
      <c r="DI232" s="506"/>
      <c r="DJ232" s="506"/>
      <c r="DM232" s="506"/>
      <c r="DV232" s="506"/>
      <c r="DW232" s="506"/>
      <c r="DZ232" s="506"/>
    </row>
    <row r="233" spans="1:131" x14ac:dyDescent="0.2">
      <c r="A233" s="8"/>
      <c r="B233" s="8"/>
      <c r="C233" s="8"/>
      <c r="D233" s="8"/>
      <c r="E233" s="8"/>
      <c r="F233" s="8"/>
      <c r="G233" s="8"/>
      <c r="H233" s="8"/>
      <c r="I233" s="8"/>
      <c r="J233" s="8"/>
      <c r="K233" s="8"/>
      <c r="L233" s="8"/>
      <c r="M233" s="8"/>
      <c r="N233" s="8"/>
      <c r="O233" s="8"/>
      <c r="P233" s="8"/>
      <c r="Q233" s="8"/>
      <c r="R233" s="8"/>
      <c r="S233" s="8"/>
      <c r="T233" s="8"/>
      <c r="U233" s="8"/>
      <c r="V233" s="8"/>
      <c r="W233" s="8"/>
      <c r="X233" s="8"/>
      <c r="Y233" s="8"/>
      <c r="Z233" s="8"/>
      <c r="AA233" s="8"/>
      <c r="AB233" s="8"/>
      <c r="AD233" s="8"/>
      <c r="AE233" s="8"/>
      <c r="AF233" s="8"/>
      <c r="AG233" s="8"/>
      <c r="AH233" s="8"/>
      <c r="AI233" s="8"/>
      <c r="AJ233" s="8"/>
      <c r="AK233" s="8"/>
      <c r="AL233" s="8"/>
      <c r="AM233" s="8"/>
      <c r="AN233" s="8"/>
      <c r="AO233" s="8"/>
      <c r="AV233" s="506"/>
      <c r="AW233" s="506"/>
      <c r="AZ233" s="506"/>
      <c r="BI233" s="506"/>
      <c r="BJ233" s="506"/>
      <c r="BM233" s="506"/>
      <c r="BU233" s="506"/>
      <c r="BV233" s="506"/>
      <c r="BY233" s="506"/>
      <c r="CG233" s="506"/>
      <c r="CH233" s="506"/>
      <c r="CK233" s="506"/>
      <c r="CU233" s="506"/>
      <c r="CV233" s="506"/>
      <c r="CY233" s="506"/>
      <c r="DI233" s="506"/>
      <c r="DJ233" s="506"/>
      <c r="DM233" s="506"/>
      <c r="DV233" s="506"/>
      <c r="DW233" s="506"/>
      <c r="DZ233" s="506"/>
    </row>
    <row r="234" spans="1:131" x14ac:dyDescent="0.2">
      <c r="A234" s="8"/>
      <c r="B234" s="8"/>
      <c r="C234" s="8"/>
      <c r="D234" s="8"/>
      <c r="E234" s="8"/>
      <c r="F234" s="8"/>
      <c r="G234" s="8"/>
      <c r="H234" s="8"/>
      <c r="I234" s="8"/>
      <c r="J234" s="8"/>
      <c r="K234" s="8"/>
      <c r="L234" s="8"/>
      <c r="M234" s="8"/>
      <c r="N234" s="8"/>
      <c r="O234" s="8"/>
      <c r="P234" s="8"/>
      <c r="Q234" s="8"/>
      <c r="R234" s="8"/>
      <c r="S234" s="8"/>
      <c r="T234" s="8"/>
      <c r="U234" s="8"/>
      <c r="V234" s="8"/>
      <c r="W234" s="8"/>
      <c r="X234" s="8"/>
      <c r="Y234" s="8"/>
      <c r="Z234" s="8"/>
      <c r="AA234" s="8"/>
      <c r="AB234" s="8"/>
      <c r="AD234" s="8"/>
      <c r="AE234" s="8"/>
      <c r="AF234" s="8"/>
      <c r="AG234" s="8"/>
      <c r="AH234" s="8"/>
      <c r="AI234" s="8"/>
      <c r="AJ234" s="8"/>
      <c r="AK234" s="8"/>
      <c r="AL234" s="8"/>
      <c r="AM234" s="8"/>
      <c r="AN234" s="8"/>
      <c r="AO234" s="8"/>
      <c r="AV234" s="506"/>
      <c r="AW234" s="506"/>
      <c r="AZ234" s="506"/>
      <c r="BI234" s="506"/>
      <c r="BJ234" s="506"/>
      <c r="BM234" s="506"/>
      <c r="BU234" s="506"/>
      <c r="BV234" s="506"/>
      <c r="BY234" s="506"/>
      <c r="CG234" s="506"/>
      <c r="CH234" s="506"/>
      <c r="CK234" s="506"/>
      <c r="CU234" s="506"/>
      <c r="CV234" s="506"/>
      <c r="CY234" s="506"/>
      <c r="DI234" s="506"/>
      <c r="DJ234" s="506"/>
      <c r="DM234" s="506"/>
      <c r="DV234" s="506"/>
      <c r="DW234" s="506"/>
      <c r="DZ234" s="506"/>
    </row>
    <row r="235" spans="1:131" x14ac:dyDescent="0.2">
      <c r="A235" s="8"/>
      <c r="B235" s="8"/>
      <c r="C235" s="8"/>
      <c r="D235" s="8"/>
      <c r="E235" s="8"/>
      <c r="F235" s="8"/>
      <c r="G235" s="8"/>
      <c r="H235" s="8"/>
      <c r="I235" s="8"/>
      <c r="J235" s="8"/>
      <c r="K235" s="8"/>
      <c r="L235" s="8"/>
      <c r="M235" s="8"/>
      <c r="N235" s="8"/>
      <c r="O235" s="8"/>
      <c r="P235" s="8"/>
      <c r="Q235" s="8"/>
      <c r="R235" s="8"/>
      <c r="S235" s="8"/>
      <c r="T235" s="8"/>
      <c r="U235" s="8"/>
      <c r="V235" s="8"/>
      <c r="W235" s="8"/>
      <c r="X235" s="8"/>
      <c r="Y235" s="8"/>
      <c r="Z235" s="8"/>
      <c r="AA235" s="8"/>
      <c r="AB235" s="8"/>
      <c r="AD235" s="8"/>
      <c r="AE235" s="8"/>
      <c r="AF235" s="8"/>
      <c r="AG235" s="8"/>
      <c r="AH235" s="8"/>
      <c r="AI235" s="8"/>
      <c r="AJ235" s="8"/>
      <c r="AK235" s="8"/>
      <c r="AL235" s="8"/>
      <c r="AM235" s="8"/>
      <c r="AN235" s="8"/>
      <c r="AO235" s="8"/>
      <c r="AV235" s="506"/>
      <c r="AW235" s="506"/>
      <c r="AZ235" s="506"/>
      <c r="BI235" s="506"/>
      <c r="BJ235" s="506"/>
      <c r="BM235" s="506"/>
      <c r="BU235" s="506"/>
      <c r="BV235" s="506"/>
      <c r="BY235" s="506"/>
      <c r="CG235" s="506"/>
      <c r="CH235" s="506"/>
      <c r="CK235" s="506"/>
      <c r="CU235" s="506"/>
      <c r="CV235" s="506"/>
      <c r="CY235" s="506"/>
      <c r="DI235" s="506"/>
      <c r="DJ235" s="506"/>
      <c r="DM235" s="506"/>
      <c r="DV235" s="506"/>
      <c r="DW235" s="506"/>
      <c r="DZ235" s="506"/>
    </row>
    <row r="236" spans="1:131" x14ac:dyDescent="0.2">
      <c r="A236" s="8"/>
      <c r="B236" s="8"/>
      <c r="C236" s="8"/>
      <c r="D236" s="8"/>
      <c r="E236" s="8"/>
      <c r="F236" s="8"/>
      <c r="G236" s="8"/>
      <c r="H236" s="8"/>
      <c r="I236" s="8"/>
      <c r="J236" s="8"/>
      <c r="K236" s="8"/>
      <c r="L236" s="8"/>
      <c r="M236" s="8"/>
      <c r="N236" s="8"/>
      <c r="O236" s="8"/>
      <c r="P236" s="8"/>
      <c r="Q236" s="8"/>
      <c r="R236" s="8"/>
      <c r="S236" s="8"/>
      <c r="T236" s="8"/>
      <c r="U236" s="8"/>
      <c r="V236" s="8"/>
      <c r="W236" s="8"/>
      <c r="X236" s="8"/>
      <c r="Y236" s="8"/>
      <c r="Z236" s="8"/>
      <c r="AA236" s="8"/>
      <c r="AB236" s="8"/>
      <c r="AD236" s="8"/>
      <c r="AE236" s="8"/>
      <c r="AF236" s="8"/>
      <c r="AG236" s="8"/>
      <c r="AH236" s="8"/>
      <c r="AI236" s="8"/>
      <c r="AJ236" s="8"/>
      <c r="AK236" s="8"/>
      <c r="AL236" s="8"/>
      <c r="AM236" s="8"/>
      <c r="AN236" s="8"/>
      <c r="AO236" s="8"/>
      <c r="AV236" s="506"/>
      <c r="AW236" s="506"/>
      <c r="AZ236" s="506"/>
      <c r="BI236" s="506"/>
      <c r="BJ236" s="506"/>
      <c r="BM236" s="506"/>
      <c r="BU236" s="506"/>
      <c r="BV236" s="506"/>
      <c r="BY236" s="506"/>
      <c r="CG236" s="506"/>
      <c r="CH236" s="506"/>
      <c r="CK236" s="506"/>
      <c r="CU236" s="506"/>
      <c r="CV236" s="506"/>
      <c r="CY236" s="506"/>
      <c r="DI236" s="506"/>
      <c r="DJ236" s="506"/>
      <c r="DM236" s="506"/>
      <c r="DV236" s="506"/>
      <c r="DW236" s="506"/>
      <c r="DZ236" s="506"/>
    </row>
    <row r="237" spans="1:131" x14ac:dyDescent="0.2">
      <c r="A237" s="8"/>
      <c r="B237" s="8"/>
      <c r="C237" s="8"/>
      <c r="D237" s="8"/>
      <c r="E237" s="8"/>
      <c r="F237" s="8"/>
      <c r="G237" s="8"/>
      <c r="H237" s="8"/>
      <c r="I237" s="8"/>
      <c r="J237" s="8"/>
      <c r="K237" s="8"/>
      <c r="L237" s="8"/>
      <c r="M237" s="8"/>
      <c r="N237" s="8"/>
      <c r="O237" s="8"/>
      <c r="P237" s="8"/>
      <c r="Q237" s="8"/>
      <c r="R237" s="8"/>
      <c r="S237" s="8"/>
      <c r="T237" s="8"/>
      <c r="U237" s="8"/>
      <c r="V237" s="8"/>
      <c r="W237" s="8"/>
      <c r="X237" s="8"/>
      <c r="Y237" s="8"/>
      <c r="Z237" s="8"/>
      <c r="AA237" s="8"/>
      <c r="AB237" s="8"/>
      <c r="AD237" s="8"/>
      <c r="AE237" s="8"/>
      <c r="AF237" s="8"/>
      <c r="AG237" s="8"/>
      <c r="AH237" s="8"/>
      <c r="AI237" s="8"/>
      <c r="AJ237" s="8"/>
      <c r="AK237" s="8"/>
      <c r="AL237" s="8"/>
      <c r="AM237" s="8"/>
      <c r="AN237" s="8"/>
      <c r="AO237" s="8"/>
      <c r="AV237" s="506"/>
      <c r="AW237" s="506"/>
      <c r="AZ237" s="506"/>
      <c r="BI237" s="506"/>
      <c r="BJ237" s="506"/>
      <c r="BM237" s="506"/>
      <c r="BU237" s="506"/>
      <c r="BV237" s="506"/>
      <c r="BY237" s="506"/>
      <c r="CG237" s="506"/>
      <c r="CH237" s="506"/>
      <c r="CK237" s="506"/>
      <c r="CU237" s="506"/>
      <c r="CV237" s="506"/>
      <c r="CY237" s="506"/>
      <c r="DI237" s="506"/>
      <c r="DJ237" s="506"/>
      <c r="DM237" s="506"/>
      <c r="DV237" s="506"/>
      <c r="DW237" s="506"/>
      <c r="DZ237" s="506"/>
    </row>
    <row r="238" spans="1:131" x14ac:dyDescent="0.2">
      <c r="A238" s="8"/>
      <c r="B238" s="8"/>
      <c r="C238" s="8"/>
      <c r="D238" s="8"/>
      <c r="E238" s="8"/>
      <c r="F238" s="8"/>
      <c r="G238" s="8"/>
      <c r="H238" s="8"/>
      <c r="I238" s="8"/>
      <c r="J238" s="8"/>
      <c r="K238" s="8"/>
      <c r="L238" s="8"/>
      <c r="M238" s="8"/>
      <c r="N238" s="8"/>
      <c r="O238" s="8"/>
      <c r="P238" s="8"/>
      <c r="Q238" s="8"/>
      <c r="R238" s="8"/>
      <c r="S238" s="8"/>
      <c r="T238" s="8"/>
      <c r="U238" s="8"/>
      <c r="V238" s="8"/>
      <c r="W238" s="8"/>
      <c r="X238" s="8"/>
      <c r="Y238" s="8"/>
      <c r="Z238" s="8"/>
      <c r="AA238" s="8"/>
      <c r="AB238" s="8"/>
      <c r="AD238" s="8"/>
      <c r="AE238" s="8"/>
      <c r="AF238" s="8"/>
      <c r="AG238" s="8"/>
      <c r="AH238" s="8"/>
      <c r="AI238" s="8"/>
      <c r="AJ238" s="8"/>
      <c r="AK238" s="8"/>
      <c r="AL238" s="8"/>
      <c r="AM238" s="8"/>
      <c r="AN238" s="8"/>
      <c r="AO238" s="8"/>
      <c r="AV238" s="506"/>
      <c r="AW238" s="506"/>
      <c r="AZ238" s="1108"/>
      <c r="BA238" s="1099"/>
      <c r="BI238" s="506"/>
      <c r="BJ238" s="506"/>
      <c r="BM238" s="1108"/>
      <c r="BN238" s="1099"/>
      <c r="BU238" s="506"/>
      <c r="BV238" s="506"/>
      <c r="BY238" s="1108"/>
      <c r="BZ238" s="1099"/>
      <c r="CG238" s="506"/>
      <c r="CH238" s="506"/>
      <c r="CK238" s="1108"/>
      <c r="CL238" s="1099"/>
      <c r="CU238" s="506"/>
      <c r="CV238" s="506"/>
      <c r="CY238" s="1108"/>
      <c r="CZ238" s="1099"/>
      <c r="DI238" s="506"/>
      <c r="DJ238" s="506"/>
      <c r="DM238" s="1108"/>
      <c r="DN238" s="1099"/>
      <c r="DV238" s="506"/>
      <c r="DW238" s="506"/>
      <c r="DZ238" s="1108"/>
      <c r="EA238" s="1099"/>
    </row>
    <row r="239" spans="1:131" x14ac:dyDescent="0.2">
      <c r="A239" s="8"/>
      <c r="B239" s="8"/>
      <c r="C239" s="8"/>
      <c r="D239" s="8"/>
      <c r="E239" s="8"/>
      <c r="F239" s="8"/>
      <c r="G239" s="8"/>
      <c r="H239" s="8"/>
      <c r="I239" s="8"/>
      <c r="J239" s="8"/>
      <c r="K239" s="8"/>
      <c r="L239" s="8"/>
      <c r="M239" s="8"/>
      <c r="N239" s="8"/>
      <c r="O239" s="8"/>
      <c r="P239" s="8"/>
      <c r="Q239" s="8"/>
      <c r="R239" s="8"/>
      <c r="S239" s="8"/>
      <c r="T239" s="8"/>
      <c r="U239" s="8"/>
      <c r="V239" s="8"/>
      <c r="W239" s="8"/>
      <c r="X239" s="8"/>
      <c r="Y239" s="8"/>
      <c r="Z239" s="8"/>
      <c r="AA239" s="8"/>
      <c r="AB239" s="8"/>
      <c r="AD239" s="8"/>
      <c r="AE239" s="8"/>
      <c r="AF239" s="8"/>
      <c r="AG239" s="8"/>
      <c r="AH239" s="8"/>
      <c r="AI239" s="8"/>
      <c r="AJ239" s="8"/>
      <c r="AK239" s="8"/>
      <c r="AL239" s="8"/>
      <c r="AM239" s="8"/>
      <c r="AN239" s="8"/>
      <c r="AO239" s="8"/>
      <c r="AV239" s="506"/>
      <c r="AW239" s="506"/>
      <c r="AZ239" s="1108"/>
      <c r="BA239" s="1099"/>
      <c r="BI239" s="506"/>
      <c r="BJ239" s="506"/>
      <c r="BM239" s="1108"/>
      <c r="BN239" s="1099"/>
      <c r="BU239" s="506"/>
      <c r="BV239" s="506"/>
      <c r="BY239" s="1108"/>
      <c r="BZ239" s="1099"/>
      <c r="CG239" s="506"/>
      <c r="CH239" s="506"/>
      <c r="CK239" s="1108"/>
      <c r="CL239" s="1099"/>
      <c r="CU239" s="506"/>
      <c r="CV239" s="506"/>
      <c r="CY239" s="1108"/>
      <c r="CZ239" s="1099"/>
      <c r="DI239" s="506"/>
      <c r="DJ239" s="506"/>
      <c r="DM239" s="1108"/>
      <c r="DN239" s="1099"/>
      <c r="DV239" s="506"/>
      <c r="DW239" s="506"/>
      <c r="DZ239" s="1108"/>
      <c r="EA239" s="1099"/>
    </row>
    <row r="240" spans="1:131" x14ac:dyDescent="0.2">
      <c r="A240" s="8"/>
      <c r="B240" s="8"/>
      <c r="C240" s="8"/>
      <c r="D240" s="8"/>
      <c r="E240" s="8"/>
      <c r="F240" s="8"/>
      <c r="G240" s="8"/>
      <c r="H240" s="8"/>
      <c r="I240" s="8"/>
      <c r="J240" s="8"/>
      <c r="K240" s="8"/>
      <c r="L240" s="8"/>
      <c r="M240" s="8"/>
      <c r="N240" s="8"/>
      <c r="O240" s="8"/>
      <c r="P240" s="8"/>
      <c r="Q240" s="8"/>
      <c r="R240" s="8"/>
      <c r="S240" s="8"/>
      <c r="T240" s="8"/>
      <c r="U240" s="8"/>
      <c r="V240" s="8"/>
      <c r="W240" s="8"/>
      <c r="X240" s="8"/>
      <c r="Y240" s="8"/>
      <c r="Z240" s="8"/>
      <c r="AA240" s="8"/>
      <c r="AB240" s="8"/>
      <c r="AD240" s="8"/>
      <c r="AE240" s="8"/>
      <c r="AF240" s="8"/>
      <c r="AG240" s="8"/>
      <c r="AH240" s="8"/>
      <c r="AI240" s="8"/>
      <c r="AJ240" s="8"/>
      <c r="AK240" s="8"/>
      <c r="AL240" s="8"/>
      <c r="AM240" s="8"/>
      <c r="AN240" s="8"/>
      <c r="AO240" s="8"/>
      <c r="AV240" s="506"/>
      <c r="AW240" s="506"/>
      <c r="AZ240" s="1108"/>
      <c r="BA240" s="1099"/>
      <c r="BI240" s="506"/>
      <c r="BJ240" s="506"/>
      <c r="BM240" s="1108"/>
      <c r="BN240" s="1099"/>
      <c r="BU240" s="506"/>
      <c r="BV240" s="506"/>
      <c r="BY240" s="1108"/>
      <c r="BZ240" s="1099"/>
      <c r="CG240" s="506"/>
      <c r="CH240" s="506"/>
      <c r="CK240" s="1108"/>
      <c r="CL240" s="1099"/>
      <c r="CU240" s="506"/>
      <c r="CV240" s="506"/>
      <c r="CY240" s="1108"/>
      <c r="CZ240" s="1099"/>
      <c r="DI240" s="506"/>
      <c r="DJ240" s="506"/>
      <c r="DM240" s="1108"/>
      <c r="DN240" s="1099"/>
      <c r="DV240" s="506"/>
      <c r="DW240" s="506"/>
      <c r="DZ240" s="1108"/>
      <c r="EA240" s="1099"/>
    </row>
    <row r="241" spans="1:131" x14ac:dyDescent="0.2">
      <c r="A241" s="8"/>
      <c r="B241" s="8"/>
      <c r="C241" s="8"/>
      <c r="D241" s="8"/>
      <c r="E241" s="8"/>
      <c r="F241" s="8"/>
      <c r="G241" s="8"/>
      <c r="H241" s="8"/>
      <c r="I241" s="8"/>
      <c r="J241" s="8"/>
      <c r="K241" s="8"/>
      <c r="L241" s="8"/>
      <c r="M241" s="8"/>
      <c r="N241" s="8"/>
      <c r="O241" s="8"/>
      <c r="P241" s="8"/>
      <c r="Q241" s="8"/>
      <c r="R241" s="8"/>
      <c r="S241" s="8"/>
      <c r="T241" s="8"/>
      <c r="U241" s="8"/>
      <c r="V241" s="8"/>
      <c r="W241" s="8"/>
      <c r="X241" s="8"/>
      <c r="Y241" s="8"/>
      <c r="Z241" s="8"/>
      <c r="AA241" s="8"/>
      <c r="AB241" s="8"/>
      <c r="AD241" s="8"/>
      <c r="AE241" s="8"/>
      <c r="AF241" s="8"/>
      <c r="AG241" s="8"/>
      <c r="AH241" s="8"/>
      <c r="AI241" s="8"/>
      <c r="AJ241" s="8"/>
      <c r="AK241" s="8"/>
      <c r="AL241" s="8"/>
      <c r="AM241" s="8"/>
      <c r="AN241" s="8"/>
      <c r="AO241" s="8"/>
      <c r="AV241" s="506"/>
      <c r="AW241" s="506"/>
      <c r="AZ241" s="1108"/>
      <c r="BA241" s="1099"/>
      <c r="BI241" s="506"/>
      <c r="BJ241" s="506"/>
      <c r="BM241" s="1108"/>
      <c r="BN241" s="1099"/>
      <c r="BU241" s="506"/>
      <c r="BV241" s="506"/>
      <c r="BY241" s="1108"/>
      <c r="BZ241" s="1099"/>
      <c r="CG241" s="506"/>
      <c r="CH241" s="506"/>
      <c r="CK241" s="1108"/>
      <c r="CL241" s="1099"/>
      <c r="CU241" s="506"/>
      <c r="CV241" s="506"/>
      <c r="CY241" s="1108"/>
      <c r="CZ241" s="1099"/>
      <c r="DI241" s="506"/>
      <c r="DJ241" s="506"/>
      <c r="DM241" s="1108"/>
      <c r="DN241" s="1099"/>
      <c r="DV241" s="506"/>
      <c r="DW241" s="506"/>
      <c r="DZ241" s="1108"/>
      <c r="EA241" s="1099"/>
    </row>
    <row r="242" spans="1:131" x14ac:dyDescent="0.2">
      <c r="A242" s="8"/>
      <c r="B242" s="8"/>
      <c r="C242" s="8"/>
      <c r="D242" s="8"/>
      <c r="E242" s="8"/>
      <c r="F242" s="8"/>
      <c r="G242" s="8"/>
      <c r="H242" s="8"/>
      <c r="I242" s="8"/>
      <c r="J242" s="8"/>
      <c r="K242" s="8"/>
      <c r="L242" s="8"/>
      <c r="M242" s="8"/>
      <c r="N242" s="8"/>
      <c r="O242" s="8"/>
      <c r="P242" s="8"/>
      <c r="Q242" s="8"/>
      <c r="R242" s="8"/>
      <c r="S242" s="8"/>
      <c r="T242" s="8"/>
      <c r="U242" s="8"/>
      <c r="V242" s="8"/>
      <c r="W242" s="8"/>
      <c r="X242" s="8"/>
      <c r="Y242" s="8"/>
      <c r="Z242" s="8"/>
      <c r="AA242" s="8"/>
      <c r="AB242" s="8"/>
      <c r="AD242" s="8"/>
      <c r="AE242" s="8"/>
      <c r="AF242" s="8"/>
      <c r="AG242" s="8"/>
      <c r="AH242" s="8"/>
      <c r="AI242" s="8"/>
      <c r="AJ242" s="8"/>
      <c r="AK242" s="8"/>
      <c r="AL242" s="8"/>
      <c r="AM242" s="8"/>
      <c r="AN242" s="8"/>
      <c r="AO242" s="8"/>
      <c r="AV242" s="506"/>
      <c r="AW242" s="506"/>
      <c r="AZ242" s="1108"/>
      <c r="BA242" s="1099"/>
      <c r="BI242" s="506"/>
      <c r="BJ242" s="506"/>
      <c r="BM242" s="1108"/>
      <c r="BN242" s="1099"/>
      <c r="BU242" s="506"/>
      <c r="BV242" s="506"/>
      <c r="BY242" s="1108"/>
      <c r="BZ242" s="1099"/>
      <c r="CG242" s="506"/>
      <c r="CH242" s="506"/>
      <c r="CK242" s="1108"/>
      <c r="CL242" s="1099"/>
      <c r="CU242" s="506"/>
      <c r="CV242" s="506"/>
      <c r="CY242" s="1108"/>
      <c r="CZ242" s="1099"/>
      <c r="DI242" s="506"/>
      <c r="DJ242" s="506"/>
      <c r="DM242" s="1108"/>
      <c r="DN242" s="1099"/>
      <c r="DV242" s="506"/>
      <c r="DW242" s="506"/>
      <c r="DZ242" s="1108"/>
      <c r="EA242" s="1099"/>
    </row>
    <row r="243" spans="1:131" x14ac:dyDescent="0.2">
      <c r="A243" s="8"/>
      <c r="B243" s="8"/>
      <c r="C243" s="8"/>
      <c r="D243" s="8"/>
      <c r="E243" s="8"/>
      <c r="F243" s="8"/>
      <c r="G243" s="8"/>
      <c r="H243" s="8"/>
      <c r="I243" s="8"/>
      <c r="J243" s="8"/>
      <c r="K243" s="8"/>
      <c r="L243" s="8"/>
      <c r="M243" s="8"/>
      <c r="N243" s="8"/>
      <c r="O243" s="8"/>
      <c r="P243" s="8"/>
      <c r="Q243" s="8"/>
      <c r="R243" s="8"/>
      <c r="S243" s="8"/>
      <c r="T243" s="8"/>
      <c r="U243" s="8"/>
      <c r="V243" s="8"/>
      <c r="W243" s="8"/>
      <c r="X243" s="8"/>
      <c r="Y243" s="8"/>
      <c r="Z243" s="8"/>
      <c r="AA243" s="8"/>
      <c r="AB243" s="8"/>
      <c r="AD243" s="8"/>
      <c r="AE243" s="8"/>
      <c r="AF243" s="8"/>
      <c r="AG243" s="8"/>
      <c r="AH243" s="8"/>
      <c r="AI243" s="8"/>
      <c r="AJ243" s="8"/>
      <c r="AK243" s="8"/>
      <c r="AL243" s="8"/>
      <c r="AM243" s="8"/>
      <c r="AN243" s="8"/>
      <c r="AO243" s="8"/>
      <c r="AV243" s="506"/>
      <c r="AW243" s="506"/>
      <c r="AZ243" s="1108"/>
      <c r="BA243" s="1099"/>
      <c r="BI243" s="506"/>
      <c r="BJ243" s="506"/>
      <c r="BM243" s="1108"/>
      <c r="BN243" s="1099"/>
      <c r="BU243" s="506"/>
      <c r="BV243" s="506"/>
      <c r="BY243" s="1108"/>
      <c r="BZ243" s="1099"/>
      <c r="CG243" s="506"/>
      <c r="CH243" s="506"/>
      <c r="CK243" s="1108"/>
      <c r="CL243" s="1099"/>
      <c r="CU243" s="506"/>
      <c r="CV243" s="506"/>
      <c r="CY243" s="1108"/>
      <c r="CZ243" s="1099"/>
      <c r="DI243" s="506"/>
      <c r="DJ243" s="506"/>
      <c r="DM243" s="1108"/>
      <c r="DN243" s="1099"/>
      <c r="DV243" s="506"/>
      <c r="DW243" s="506"/>
      <c r="DZ243" s="1108"/>
      <c r="EA243" s="1099"/>
    </row>
    <row r="244" spans="1:131" x14ac:dyDescent="0.2">
      <c r="A244" s="8"/>
      <c r="B244" s="8"/>
      <c r="C244" s="8"/>
      <c r="D244" s="8"/>
      <c r="E244" s="8"/>
      <c r="F244" s="8"/>
      <c r="G244" s="8"/>
      <c r="H244" s="8"/>
      <c r="I244" s="8"/>
      <c r="J244" s="8"/>
      <c r="K244" s="8"/>
      <c r="L244" s="8"/>
      <c r="M244" s="8"/>
      <c r="N244" s="8"/>
      <c r="O244" s="8"/>
      <c r="P244" s="8"/>
      <c r="Q244" s="8"/>
      <c r="R244" s="8"/>
      <c r="S244" s="8"/>
      <c r="T244" s="8"/>
      <c r="U244" s="8"/>
      <c r="V244" s="8"/>
      <c r="W244" s="8"/>
      <c r="X244" s="8"/>
      <c r="Y244" s="8"/>
      <c r="Z244" s="8"/>
      <c r="AA244" s="8"/>
      <c r="AB244" s="8"/>
      <c r="AD244" s="8"/>
      <c r="AE244" s="8"/>
      <c r="AF244" s="8"/>
      <c r="AG244" s="8"/>
      <c r="AH244" s="8"/>
      <c r="AI244" s="8"/>
      <c r="AJ244" s="8"/>
      <c r="AK244" s="8"/>
      <c r="AL244" s="8"/>
      <c r="AM244" s="8"/>
      <c r="AN244" s="8"/>
      <c r="AO244" s="8"/>
      <c r="AV244" s="506"/>
      <c r="AW244" s="506"/>
      <c r="AZ244" s="1108"/>
      <c r="BA244" s="1099"/>
      <c r="BI244" s="506"/>
      <c r="BJ244" s="506"/>
      <c r="BM244" s="1108"/>
      <c r="BN244" s="1099"/>
      <c r="BU244" s="506"/>
      <c r="BV244" s="506"/>
      <c r="BY244" s="1108"/>
      <c r="BZ244" s="1099"/>
      <c r="CG244" s="506"/>
      <c r="CH244" s="506"/>
      <c r="CK244" s="1108"/>
      <c r="CL244" s="1099"/>
      <c r="CU244" s="506"/>
      <c r="CV244" s="506"/>
      <c r="CY244" s="1108"/>
      <c r="CZ244" s="1099"/>
      <c r="DI244" s="506"/>
      <c r="DJ244" s="506"/>
      <c r="DM244" s="1108"/>
      <c r="DN244" s="1099"/>
      <c r="DV244" s="506"/>
      <c r="DW244" s="506"/>
      <c r="DZ244" s="1108"/>
      <c r="EA244" s="1099"/>
    </row>
    <row r="245" spans="1:131" x14ac:dyDescent="0.2">
      <c r="A245" s="8"/>
      <c r="B245" s="8"/>
      <c r="C245" s="8"/>
      <c r="D245" s="8"/>
      <c r="E245" s="8"/>
      <c r="F245" s="8"/>
      <c r="G245" s="8"/>
      <c r="H245" s="8"/>
      <c r="I245" s="8"/>
      <c r="J245" s="8"/>
      <c r="K245" s="8"/>
      <c r="L245" s="8"/>
      <c r="M245" s="8"/>
      <c r="N245" s="8"/>
      <c r="O245" s="8"/>
      <c r="P245" s="8"/>
      <c r="Q245" s="8"/>
      <c r="R245" s="8"/>
      <c r="S245" s="8"/>
      <c r="T245" s="8"/>
      <c r="U245" s="8"/>
      <c r="V245" s="8"/>
      <c r="W245" s="8"/>
      <c r="X245" s="8"/>
      <c r="Y245" s="8"/>
      <c r="Z245" s="8"/>
      <c r="AA245" s="8"/>
      <c r="AB245" s="8"/>
      <c r="AD245" s="8"/>
      <c r="AE245" s="8"/>
      <c r="AF245" s="8"/>
      <c r="AG245" s="8"/>
      <c r="AH245" s="8"/>
      <c r="AI245" s="8"/>
      <c r="AJ245" s="8"/>
      <c r="AK245" s="8"/>
      <c r="AL245" s="8"/>
      <c r="AM245" s="8"/>
      <c r="AN245" s="8"/>
      <c r="AO245" s="8"/>
      <c r="AV245" s="506"/>
      <c r="AW245" s="506"/>
      <c r="AZ245" s="1108"/>
      <c r="BA245" s="1099"/>
      <c r="BI245" s="506"/>
      <c r="BJ245" s="506"/>
      <c r="BM245" s="1108"/>
      <c r="BN245" s="1099"/>
      <c r="BU245" s="506"/>
      <c r="BV245" s="506"/>
      <c r="BY245" s="1108"/>
      <c r="BZ245" s="1099"/>
      <c r="CG245" s="506"/>
      <c r="CH245" s="506"/>
      <c r="CK245" s="1108"/>
      <c r="CL245" s="1099"/>
      <c r="CU245" s="506"/>
      <c r="CV245" s="506"/>
      <c r="CY245" s="1108"/>
      <c r="CZ245" s="1099"/>
      <c r="DI245" s="506"/>
      <c r="DJ245" s="506"/>
      <c r="DM245" s="1108"/>
      <c r="DN245" s="1099"/>
      <c r="DV245" s="506"/>
      <c r="DW245" s="506"/>
      <c r="DZ245" s="1108"/>
      <c r="EA245" s="1099"/>
    </row>
    <row r="246" spans="1:131" x14ac:dyDescent="0.2">
      <c r="A246" s="8"/>
      <c r="B246" s="8"/>
      <c r="C246" s="8"/>
      <c r="D246" s="8"/>
      <c r="E246" s="8"/>
      <c r="F246" s="8"/>
      <c r="G246" s="8"/>
      <c r="H246" s="8"/>
      <c r="I246" s="8"/>
      <c r="J246" s="8"/>
      <c r="K246" s="8"/>
      <c r="L246" s="8"/>
      <c r="M246" s="8"/>
      <c r="N246" s="8"/>
      <c r="O246" s="8"/>
      <c r="P246" s="8"/>
      <c r="Q246" s="8"/>
      <c r="R246" s="8"/>
      <c r="S246" s="8"/>
      <c r="T246" s="8"/>
      <c r="U246" s="8"/>
      <c r="V246" s="8"/>
      <c r="W246" s="8"/>
      <c r="X246" s="8"/>
      <c r="Y246" s="8"/>
      <c r="Z246" s="8"/>
      <c r="AA246" s="8"/>
      <c r="AB246" s="8"/>
      <c r="AD246" s="8"/>
      <c r="AE246" s="8"/>
      <c r="AF246" s="8"/>
      <c r="AG246" s="8"/>
      <c r="AH246" s="8"/>
      <c r="AI246" s="8"/>
      <c r="AJ246" s="8"/>
      <c r="AK246" s="8"/>
      <c r="AL246" s="8"/>
      <c r="AM246" s="8"/>
      <c r="AN246" s="8"/>
      <c r="AO246" s="8"/>
      <c r="AV246" s="506"/>
      <c r="AW246" s="506"/>
      <c r="AZ246" s="1108"/>
      <c r="BA246" s="1099"/>
      <c r="BI246" s="506"/>
      <c r="BJ246" s="506"/>
      <c r="BM246" s="1108"/>
      <c r="BN246" s="1099"/>
      <c r="BU246" s="506"/>
      <c r="BV246" s="506"/>
      <c r="BY246" s="1108"/>
      <c r="BZ246" s="1099"/>
      <c r="CG246" s="506"/>
      <c r="CH246" s="506"/>
      <c r="CK246" s="1108"/>
      <c r="CL246" s="1099"/>
      <c r="CU246" s="506"/>
      <c r="CV246" s="506"/>
      <c r="CY246" s="1108"/>
      <c r="CZ246" s="1099"/>
      <c r="DI246" s="506"/>
      <c r="DJ246" s="506"/>
      <c r="DM246" s="1108"/>
      <c r="DN246" s="1099"/>
      <c r="DV246" s="506"/>
      <c r="DW246" s="506"/>
      <c r="DZ246" s="1108"/>
      <c r="EA246" s="1099"/>
    </row>
    <row r="247" spans="1:131" x14ac:dyDescent="0.2">
      <c r="A247" s="8"/>
      <c r="B247" s="8"/>
      <c r="C247" s="8"/>
      <c r="D247" s="8"/>
      <c r="E247" s="8"/>
      <c r="F247" s="8"/>
      <c r="G247" s="8"/>
      <c r="H247" s="8"/>
      <c r="I247" s="8"/>
      <c r="J247" s="8"/>
      <c r="K247" s="8"/>
      <c r="L247" s="8"/>
      <c r="M247" s="8"/>
      <c r="N247" s="8"/>
      <c r="O247" s="8"/>
      <c r="P247" s="8"/>
      <c r="Q247" s="8"/>
      <c r="R247" s="8"/>
      <c r="S247" s="8"/>
      <c r="T247" s="8"/>
      <c r="U247" s="8"/>
      <c r="V247" s="8"/>
      <c r="W247" s="8"/>
      <c r="X247" s="8"/>
      <c r="Y247" s="8"/>
      <c r="Z247" s="8"/>
      <c r="AA247" s="8"/>
      <c r="AB247" s="8"/>
      <c r="AD247" s="8"/>
      <c r="AE247" s="8"/>
      <c r="AF247" s="8"/>
      <c r="AG247" s="8"/>
      <c r="AH247" s="8"/>
      <c r="AI247" s="8"/>
      <c r="AJ247" s="8"/>
      <c r="AK247" s="8"/>
      <c r="AL247" s="8"/>
      <c r="AM247" s="8"/>
      <c r="AN247" s="8"/>
      <c r="AO247" s="8"/>
      <c r="AV247" s="506"/>
      <c r="AW247" s="506"/>
      <c r="AZ247" s="1108"/>
      <c r="BA247" s="1099"/>
      <c r="BI247" s="506"/>
      <c r="BJ247" s="506"/>
      <c r="BM247" s="1108"/>
      <c r="BN247" s="1099"/>
      <c r="BU247" s="506"/>
      <c r="BV247" s="506"/>
      <c r="BY247" s="1108"/>
      <c r="BZ247" s="1099"/>
      <c r="CG247" s="506"/>
      <c r="CH247" s="506"/>
      <c r="CK247" s="1108"/>
      <c r="CL247" s="1099"/>
      <c r="CU247" s="506"/>
      <c r="CV247" s="506"/>
      <c r="CY247" s="1108"/>
      <c r="CZ247" s="1099"/>
      <c r="DI247" s="506"/>
      <c r="DJ247" s="506"/>
      <c r="DM247" s="1108"/>
      <c r="DN247" s="1099"/>
      <c r="DV247" s="506"/>
      <c r="DW247" s="506"/>
      <c r="DZ247" s="1108"/>
      <c r="EA247" s="1099"/>
    </row>
    <row r="248" spans="1:131" x14ac:dyDescent="0.2">
      <c r="A248" s="8"/>
      <c r="B248" s="8"/>
      <c r="C248" s="8"/>
      <c r="D248" s="8"/>
      <c r="E248" s="8"/>
      <c r="F248" s="8"/>
      <c r="G248" s="8"/>
      <c r="H248" s="8"/>
      <c r="I248" s="8"/>
      <c r="J248" s="8"/>
      <c r="K248" s="8"/>
      <c r="L248" s="8"/>
      <c r="M248" s="8"/>
      <c r="N248" s="8"/>
      <c r="O248" s="8"/>
      <c r="P248" s="8"/>
      <c r="Q248" s="8"/>
      <c r="R248" s="8"/>
      <c r="S248" s="8"/>
      <c r="T248" s="8"/>
      <c r="U248" s="8"/>
      <c r="V248" s="8"/>
      <c r="W248" s="8"/>
      <c r="X248" s="8"/>
      <c r="Y248" s="8"/>
      <c r="Z248" s="8"/>
      <c r="AA248" s="8"/>
      <c r="AB248" s="8"/>
      <c r="AD248" s="8"/>
      <c r="AE248" s="8"/>
      <c r="AF248" s="8"/>
      <c r="AG248" s="8"/>
      <c r="AH248" s="8"/>
      <c r="AI248" s="8"/>
      <c r="AJ248" s="8"/>
      <c r="AK248" s="8"/>
      <c r="AL248" s="8"/>
      <c r="AM248" s="8"/>
      <c r="AN248" s="8"/>
      <c r="AO248" s="8"/>
      <c r="AV248" s="506"/>
      <c r="AW248" s="506"/>
      <c r="AZ248" s="1108"/>
      <c r="BA248" s="1099"/>
      <c r="BI248" s="506"/>
      <c r="BJ248" s="506"/>
      <c r="BM248" s="1108"/>
      <c r="BN248" s="1099"/>
      <c r="BU248" s="506"/>
      <c r="BV248" s="506"/>
      <c r="BY248" s="1108"/>
      <c r="BZ248" s="1099"/>
      <c r="CG248" s="506"/>
      <c r="CH248" s="506"/>
      <c r="CK248" s="1108"/>
      <c r="CL248" s="1099"/>
      <c r="CU248" s="506"/>
      <c r="CV248" s="506"/>
      <c r="CY248" s="1108"/>
      <c r="CZ248" s="1099"/>
      <c r="DI248" s="506"/>
      <c r="DJ248" s="506"/>
      <c r="DM248" s="1108"/>
      <c r="DN248" s="1099"/>
      <c r="DV248" s="506"/>
      <c r="DW248" s="506"/>
      <c r="DZ248" s="1108"/>
      <c r="EA248" s="1099"/>
    </row>
    <row r="249" spans="1:131" x14ac:dyDescent="0.2">
      <c r="A249" s="8"/>
      <c r="B249" s="8"/>
      <c r="C249" s="8"/>
      <c r="D249" s="8"/>
      <c r="E249" s="8"/>
      <c r="F249" s="8"/>
      <c r="G249" s="8"/>
      <c r="H249" s="8"/>
      <c r="I249" s="8"/>
      <c r="J249" s="8"/>
      <c r="K249" s="8"/>
      <c r="L249" s="8"/>
      <c r="M249" s="8"/>
      <c r="N249" s="8"/>
      <c r="O249" s="8"/>
      <c r="P249" s="8"/>
      <c r="Q249" s="8"/>
      <c r="R249" s="8"/>
      <c r="S249" s="8"/>
      <c r="T249" s="8"/>
      <c r="U249" s="8"/>
      <c r="V249" s="8"/>
      <c r="W249" s="8"/>
      <c r="X249" s="8"/>
      <c r="Y249" s="8"/>
      <c r="Z249" s="8"/>
      <c r="AA249" s="8"/>
      <c r="AB249" s="8"/>
      <c r="AD249" s="8"/>
      <c r="AE249" s="8"/>
      <c r="AF249" s="8"/>
      <c r="AG249" s="8"/>
      <c r="AH249" s="8"/>
      <c r="AI249" s="8"/>
      <c r="AJ249" s="8"/>
      <c r="AK249" s="8"/>
      <c r="AL249" s="8"/>
      <c r="AM249" s="8"/>
      <c r="AN249" s="8"/>
      <c r="AO249" s="8"/>
      <c r="AV249" s="506"/>
      <c r="AW249" s="506"/>
      <c r="AZ249" s="506"/>
      <c r="BA249" s="512"/>
      <c r="BI249" s="506"/>
      <c r="BJ249" s="506"/>
      <c r="BM249" s="506"/>
      <c r="BN249" s="512"/>
      <c r="BU249" s="506"/>
      <c r="BV249" s="506"/>
      <c r="BY249" s="506"/>
      <c r="BZ249" s="512"/>
      <c r="CG249" s="506"/>
      <c r="CH249" s="506"/>
      <c r="CK249" s="506"/>
      <c r="CL249" s="512"/>
      <c r="CU249" s="506"/>
      <c r="CV249" s="506"/>
      <c r="CY249" s="506"/>
      <c r="CZ249" s="512"/>
      <c r="DI249" s="506"/>
      <c r="DJ249" s="506"/>
      <c r="DM249" s="506"/>
      <c r="DN249" s="512"/>
      <c r="DV249" s="506"/>
      <c r="DW249" s="506"/>
      <c r="DZ249" s="506"/>
      <c r="EA249" s="512"/>
    </row>
    <row r="250" spans="1:131" x14ac:dyDescent="0.2">
      <c r="A250" s="8"/>
      <c r="B250" s="8"/>
      <c r="C250" s="8"/>
      <c r="D250" s="8"/>
      <c r="E250" s="8"/>
      <c r="F250" s="8"/>
      <c r="G250" s="8"/>
      <c r="H250" s="8"/>
      <c r="I250" s="8"/>
      <c r="J250" s="8"/>
      <c r="K250" s="8"/>
      <c r="L250" s="8"/>
      <c r="M250" s="8"/>
      <c r="N250" s="8"/>
      <c r="O250" s="8"/>
      <c r="P250" s="8"/>
      <c r="Q250" s="8"/>
      <c r="R250" s="8"/>
      <c r="S250" s="8"/>
      <c r="T250" s="8"/>
      <c r="U250" s="8"/>
      <c r="V250" s="8"/>
      <c r="W250" s="8"/>
      <c r="X250" s="8"/>
      <c r="Y250" s="8"/>
      <c r="Z250" s="8"/>
      <c r="AA250" s="8"/>
      <c r="AB250" s="8"/>
      <c r="AD250" s="8"/>
      <c r="AE250" s="8"/>
      <c r="AF250" s="8"/>
      <c r="AG250" s="8"/>
      <c r="AH250" s="8"/>
      <c r="AI250" s="8"/>
      <c r="AJ250" s="8"/>
      <c r="AK250" s="8"/>
      <c r="AL250" s="8"/>
      <c r="AM250" s="8"/>
      <c r="AN250" s="8"/>
      <c r="AO250" s="8"/>
      <c r="AV250" s="506"/>
      <c r="AW250" s="506"/>
      <c r="AZ250" s="506"/>
      <c r="BA250" s="512"/>
      <c r="BI250" s="506"/>
      <c r="BJ250" s="506"/>
      <c r="BM250" s="506"/>
      <c r="BN250" s="512"/>
      <c r="BU250" s="506"/>
      <c r="BV250" s="506"/>
      <c r="BY250" s="506"/>
      <c r="BZ250" s="512"/>
      <c r="CG250" s="506"/>
      <c r="CH250" s="506"/>
      <c r="CK250" s="506"/>
      <c r="CL250" s="512"/>
      <c r="CU250" s="506"/>
      <c r="CV250" s="506"/>
      <c r="CY250" s="506"/>
      <c r="CZ250" s="512"/>
      <c r="DI250" s="506"/>
      <c r="DJ250" s="506"/>
      <c r="DM250" s="506"/>
      <c r="DN250" s="512"/>
      <c r="DV250" s="506"/>
      <c r="DW250" s="506"/>
      <c r="DZ250" s="506"/>
      <c r="EA250" s="512"/>
    </row>
    <row r="251" spans="1:131" x14ac:dyDescent="0.2">
      <c r="A251" s="8"/>
      <c r="B251" s="8"/>
      <c r="C251" s="8"/>
      <c r="D251" s="8"/>
      <c r="E251" s="8"/>
      <c r="F251" s="8"/>
      <c r="G251" s="8"/>
      <c r="H251" s="8"/>
      <c r="I251" s="8"/>
      <c r="J251" s="8"/>
      <c r="K251" s="8"/>
      <c r="L251" s="8"/>
      <c r="M251" s="8"/>
      <c r="N251" s="8"/>
      <c r="O251" s="8"/>
      <c r="P251" s="8"/>
      <c r="Q251" s="8"/>
      <c r="R251" s="8"/>
      <c r="S251" s="8"/>
      <c r="T251" s="8"/>
      <c r="U251" s="8"/>
      <c r="V251" s="8"/>
      <c r="W251" s="8"/>
      <c r="X251" s="8"/>
      <c r="Y251" s="8"/>
      <c r="Z251" s="8"/>
      <c r="AA251" s="8"/>
      <c r="AB251" s="8"/>
      <c r="AD251" s="8"/>
      <c r="AE251" s="8"/>
      <c r="AF251" s="8"/>
      <c r="AG251" s="8"/>
      <c r="AH251" s="8"/>
      <c r="AI251" s="8"/>
      <c r="AJ251" s="8"/>
      <c r="AK251" s="8"/>
      <c r="AL251" s="8"/>
      <c r="AM251" s="8"/>
      <c r="AN251" s="8"/>
      <c r="AO251" s="8"/>
      <c r="AV251" s="506"/>
      <c r="AW251" s="506"/>
      <c r="AZ251" s="506"/>
      <c r="BA251" s="512"/>
      <c r="BI251" s="506"/>
      <c r="BJ251" s="506"/>
      <c r="BM251" s="506"/>
      <c r="BN251" s="512"/>
      <c r="BU251" s="506"/>
      <c r="BV251" s="506"/>
      <c r="BY251" s="506"/>
      <c r="BZ251" s="512"/>
      <c r="CG251" s="506"/>
      <c r="CH251" s="506"/>
      <c r="CK251" s="506"/>
      <c r="CL251" s="512"/>
      <c r="CU251" s="506"/>
      <c r="CV251" s="506"/>
      <c r="CY251" s="506"/>
      <c r="CZ251" s="512"/>
      <c r="DI251" s="506"/>
      <c r="DJ251" s="506"/>
      <c r="DM251" s="506"/>
      <c r="DN251" s="512"/>
      <c r="DV251" s="506"/>
      <c r="DW251" s="506"/>
      <c r="DZ251" s="506"/>
      <c r="EA251" s="512"/>
    </row>
    <row r="252" spans="1:131" x14ac:dyDescent="0.2">
      <c r="A252" s="8"/>
      <c r="B252" s="8"/>
      <c r="C252" s="8"/>
      <c r="D252" s="8"/>
      <c r="E252" s="8"/>
      <c r="F252" s="8"/>
      <c r="G252" s="8"/>
      <c r="H252" s="8"/>
      <c r="I252" s="8"/>
      <c r="J252" s="8"/>
      <c r="K252" s="8"/>
      <c r="L252" s="8"/>
      <c r="M252" s="8"/>
      <c r="N252" s="8"/>
      <c r="O252" s="8"/>
      <c r="P252" s="8"/>
      <c r="Q252" s="8"/>
      <c r="R252" s="8"/>
      <c r="S252" s="8"/>
      <c r="T252" s="8"/>
      <c r="U252" s="8"/>
      <c r="V252" s="8"/>
      <c r="W252" s="8"/>
      <c r="X252" s="8"/>
      <c r="Y252" s="8"/>
      <c r="Z252" s="8"/>
      <c r="AA252" s="8"/>
      <c r="AB252" s="8"/>
      <c r="AD252" s="8"/>
      <c r="AE252" s="8"/>
      <c r="AF252" s="8"/>
      <c r="AG252" s="8"/>
      <c r="AH252" s="8"/>
      <c r="AI252" s="8"/>
      <c r="AJ252" s="8"/>
      <c r="AK252" s="8"/>
      <c r="AL252" s="8"/>
      <c r="AM252" s="8"/>
      <c r="AN252" s="8"/>
      <c r="AO252" s="8"/>
      <c r="AV252" s="506"/>
      <c r="AW252" s="506"/>
      <c r="AZ252" s="506"/>
      <c r="BA252" s="512"/>
      <c r="BI252" s="506"/>
      <c r="BJ252" s="506"/>
      <c r="BM252" s="506"/>
      <c r="BN252" s="512"/>
      <c r="BU252" s="506"/>
      <c r="BV252" s="506"/>
      <c r="BY252" s="506"/>
      <c r="BZ252" s="512"/>
      <c r="CG252" s="506"/>
      <c r="CH252" s="506"/>
      <c r="CK252" s="506"/>
      <c r="CL252" s="512"/>
      <c r="CU252" s="506"/>
      <c r="CV252" s="506"/>
      <c r="CY252" s="506"/>
      <c r="CZ252" s="512"/>
      <c r="DI252" s="506"/>
      <c r="DJ252" s="506"/>
      <c r="DM252" s="506"/>
      <c r="DN252" s="512"/>
      <c r="DV252" s="506"/>
      <c r="DW252" s="506"/>
      <c r="DZ252" s="506"/>
      <c r="EA252" s="512"/>
    </row>
    <row r="253" spans="1:131" x14ac:dyDescent="0.2">
      <c r="A253" s="8"/>
      <c r="B253" s="8"/>
      <c r="C253" s="8"/>
      <c r="D253" s="8"/>
      <c r="E253" s="8"/>
      <c r="F253" s="8"/>
      <c r="G253" s="8"/>
      <c r="H253" s="8"/>
      <c r="I253" s="8"/>
      <c r="J253" s="8"/>
      <c r="K253" s="8"/>
      <c r="L253" s="8"/>
      <c r="M253" s="8"/>
      <c r="N253" s="8"/>
      <c r="O253" s="8"/>
      <c r="P253" s="8"/>
      <c r="Q253" s="8"/>
      <c r="R253" s="8"/>
      <c r="S253" s="8"/>
      <c r="T253" s="8"/>
      <c r="U253" s="8"/>
      <c r="V253" s="8"/>
      <c r="W253" s="8"/>
      <c r="X253" s="8"/>
      <c r="Y253" s="8"/>
      <c r="Z253" s="8"/>
      <c r="AA253" s="8"/>
      <c r="AB253" s="8"/>
      <c r="AD253" s="8"/>
      <c r="AE253" s="8"/>
      <c r="AF253" s="8"/>
      <c r="AG253" s="8"/>
      <c r="AH253" s="8"/>
      <c r="AI253" s="8"/>
      <c r="AJ253" s="8"/>
      <c r="AK253" s="8"/>
      <c r="AL253" s="8"/>
      <c r="AM253" s="8"/>
      <c r="AN253" s="8"/>
      <c r="AO253" s="8"/>
      <c r="AV253" s="506"/>
      <c r="AW253" s="506"/>
      <c r="AZ253" s="506"/>
      <c r="BA253" s="512"/>
      <c r="BI253" s="506"/>
      <c r="BJ253" s="506"/>
      <c r="BM253" s="506"/>
      <c r="BN253" s="512"/>
      <c r="BU253" s="506"/>
      <c r="BV253" s="506"/>
      <c r="BY253" s="506"/>
      <c r="BZ253" s="512"/>
      <c r="CG253" s="506"/>
      <c r="CH253" s="506"/>
      <c r="CK253" s="506"/>
      <c r="CL253" s="512"/>
      <c r="CU253" s="506"/>
      <c r="CV253" s="506"/>
      <c r="CY253" s="506"/>
      <c r="CZ253" s="512"/>
      <c r="DI253" s="506"/>
      <c r="DJ253" s="506"/>
      <c r="DM253" s="506"/>
      <c r="DN253" s="512"/>
      <c r="DV253" s="506"/>
      <c r="DW253" s="506"/>
      <c r="DZ253" s="506"/>
      <c r="EA253" s="512"/>
    </row>
    <row r="254" spans="1:131" x14ac:dyDescent="0.2">
      <c r="A254" s="8"/>
      <c r="B254" s="8"/>
      <c r="C254" s="8"/>
      <c r="D254" s="8"/>
      <c r="E254" s="8"/>
      <c r="F254" s="8"/>
      <c r="G254" s="8"/>
      <c r="H254" s="8"/>
      <c r="I254" s="8"/>
      <c r="J254" s="8"/>
      <c r="K254" s="8"/>
      <c r="L254" s="8"/>
      <c r="M254" s="8"/>
      <c r="N254" s="8"/>
      <c r="O254" s="8"/>
      <c r="P254" s="8"/>
      <c r="Q254" s="8"/>
      <c r="R254" s="8"/>
      <c r="S254" s="8"/>
      <c r="T254" s="8"/>
      <c r="U254" s="8"/>
      <c r="V254" s="8"/>
      <c r="W254" s="8"/>
      <c r="X254" s="8"/>
      <c r="Y254" s="8"/>
      <c r="Z254" s="8"/>
      <c r="AA254" s="8"/>
      <c r="AB254" s="8"/>
      <c r="AD254" s="8"/>
      <c r="AE254" s="8"/>
      <c r="AF254" s="8"/>
      <c r="AG254" s="8"/>
      <c r="AH254" s="8"/>
      <c r="AI254" s="8"/>
      <c r="AJ254" s="8"/>
      <c r="AK254" s="8"/>
      <c r="AL254" s="8"/>
      <c r="AM254" s="8"/>
      <c r="AN254" s="8"/>
      <c r="AO254" s="8"/>
      <c r="AV254" s="506"/>
      <c r="AW254" s="506"/>
      <c r="AZ254" s="506"/>
      <c r="BA254" s="512"/>
      <c r="BI254" s="506"/>
      <c r="BJ254" s="506"/>
      <c r="BM254" s="506"/>
      <c r="BN254" s="512"/>
      <c r="BU254" s="506"/>
      <c r="BV254" s="506"/>
      <c r="BY254" s="506"/>
      <c r="BZ254" s="512"/>
      <c r="CG254" s="506"/>
      <c r="CH254" s="506"/>
      <c r="CK254" s="506"/>
      <c r="CL254" s="512"/>
      <c r="CU254" s="506"/>
      <c r="CV254" s="506"/>
      <c r="CY254" s="506"/>
      <c r="CZ254" s="512"/>
      <c r="DI254" s="506"/>
      <c r="DJ254" s="506"/>
      <c r="DM254" s="506"/>
      <c r="DN254" s="512"/>
      <c r="DV254" s="506"/>
      <c r="DW254" s="506"/>
      <c r="DZ254" s="506"/>
      <c r="EA254" s="512"/>
    </row>
    <row r="255" spans="1:131" x14ac:dyDescent="0.2">
      <c r="A255" s="8"/>
      <c r="B255" s="8"/>
      <c r="C255" s="8"/>
      <c r="D255" s="8"/>
      <c r="E255" s="8"/>
      <c r="F255" s="8"/>
      <c r="G255" s="8"/>
      <c r="H255" s="8"/>
      <c r="I255" s="8"/>
      <c r="J255" s="8"/>
      <c r="K255" s="8"/>
      <c r="L255" s="8"/>
      <c r="M255" s="8"/>
      <c r="N255" s="8"/>
      <c r="O255" s="8"/>
      <c r="P255" s="8"/>
      <c r="Q255" s="8"/>
      <c r="R255" s="8"/>
      <c r="S255" s="8"/>
      <c r="T255" s="8"/>
      <c r="U255" s="8"/>
      <c r="V255" s="8"/>
      <c r="W255" s="8"/>
      <c r="X255" s="8"/>
      <c r="Y255" s="8"/>
      <c r="Z255" s="8"/>
      <c r="AA255" s="8"/>
      <c r="AB255" s="8"/>
      <c r="AD255" s="8"/>
      <c r="AE255" s="8"/>
      <c r="AF255" s="8"/>
      <c r="AG255" s="8"/>
      <c r="AH255" s="8"/>
      <c r="AI255" s="8"/>
      <c r="AJ255" s="8"/>
      <c r="AK255" s="8"/>
      <c r="AL255" s="8"/>
      <c r="AM255" s="8"/>
      <c r="AN255" s="8"/>
      <c r="AO255" s="8"/>
      <c r="AV255" s="506"/>
      <c r="AW255" s="506"/>
      <c r="AZ255" s="506"/>
      <c r="BI255" s="506"/>
      <c r="BJ255" s="506"/>
      <c r="BM255" s="506"/>
      <c r="BU255" s="506"/>
      <c r="BV255" s="506"/>
      <c r="BY255" s="506"/>
      <c r="CG255" s="506"/>
      <c r="CH255" s="506"/>
      <c r="CK255" s="506"/>
      <c r="CU255" s="506"/>
      <c r="CV255" s="506"/>
      <c r="CY255" s="506"/>
      <c r="DI255" s="506"/>
      <c r="DJ255" s="506"/>
      <c r="DM255" s="506"/>
      <c r="DV255" s="506"/>
      <c r="DW255" s="506"/>
      <c r="DZ255" s="506"/>
    </row>
    <row r="256" spans="1:131" x14ac:dyDescent="0.2">
      <c r="A256" s="8"/>
      <c r="B256" s="8"/>
      <c r="C256" s="8"/>
      <c r="D256" s="8"/>
      <c r="E256" s="8"/>
      <c r="F256" s="8"/>
      <c r="G256" s="8"/>
      <c r="H256" s="8"/>
      <c r="I256" s="8"/>
      <c r="J256" s="8"/>
      <c r="K256" s="8"/>
      <c r="L256" s="8"/>
      <c r="M256" s="8"/>
      <c r="N256" s="8"/>
      <c r="O256" s="8"/>
      <c r="P256" s="8"/>
      <c r="Q256" s="8"/>
      <c r="R256" s="8"/>
      <c r="S256" s="8"/>
      <c r="T256" s="8"/>
      <c r="U256" s="8"/>
      <c r="V256" s="8"/>
      <c r="W256" s="8"/>
      <c r="X256" s="8"/>
      <c r="Y256" s="8"/>
      <c r="Z256" s="8"/>
      <c r="AA256" s="8"/>
      <c r="AB256" s="8"/>
      <c r="AD256" s="8"/>
      <c r="AE256" s="8"/>
      <c r="AF256" s="8"/>
      <c r="AG256" s="8"/>
      <c r="AH256" s="8"/>
      <c r="AI256" s="8"/>
      <c r="AJ256" s="8"/>
      <c r="AK256" s="8"/>
      <c r="AL256" s="8"/>
      <c r="AM256" s="8"/>
      <c r="AN256" s="8"/>
      <c r="AO256" s="8"/>
      <c r="AV256" s="506"/>
      <c r="AW256" s="506"/>
      <c r="AZ256" s="506"/>
      <c r="BI256" s="506"/>
      <c r="BJ256" s="506"/>
      <c r="BM256" s="506"/>
      <c r="BU256" s="506"/>
      <c r="BV256" s="506"/>
      <c r="BY256" s="506"/>
      <c r="CG256" s="506"/>
      <c r="CH256" s="506"/>
      <c r="CK256" s="506"/>
      <c r="CU256" s="506"/>
      <c r="CV256" s="506"/>
      <c r="CY256" s="506"/>
      <c r="DI256" s="506"/>
      <c r="DJ256" s="506"/>
      <c r="DM256" s="506"/>
      <c r="DV256" s="506"/>
      <c r="DW256" s="506"/>
      <c r="DZ256" s="506"/>
    </row>
    <row r="257" spans="1:130" x14ac:dyDescent="0.2">
      <c r="A257" s="8"/>
      <c r="B257" s="8"/>
      <c r="C257" s="8"/>
      <c r="D257" s="8"/>
      <c r="E257" s="8"/>
      <c r="F257" s="8"/>
      <c r="G257" s="8"/>
      <c r="H257" s="8"/>
      <c r="I257" s="8"/>
      <c r="J257" s="8"/>
      <c r="K257" s="8"/>
      <c r="L257" s="8"/>
      <c r="M257" s="8"/>
      <c r="N257" s="8"/>
      <c r="O257" s="8"/>
      <c r="P257" s="8"/>
      <c r="Q257" s="8"/>
      <c r="R257" s="8"/>
      <c r="S257" s="8"/>
      <c r="T257" s="8"/>
      <c r="U257" s="8"/>
      <c r="V257" s="8"/>
      <c r="W257" s="8"/>
      <c r="X257" s="8"/>
      <c r="Y257" s="8"/>
      <c r="Z257" s="8"/>
      <c r="AA257" s="8"/>
      <c r="AB257" s="8"/>
      <c r="AD257" s="8"/>
      <c r="AE257" s="8"/>
      <c r="AF257" s="8"/>
      <c r="AG257" s="8"/>
      <c r="AH257" s="8"/>
      <c r="AI257" s="8"/>
      <c r="AJ257" s="8"/>
      <c r="AK257" s="8"/>
      <c r="AL257" s="8"/>
      <c r="AM257" s="8"/>
      <c r="AN257" s="8"/>
      <c r="AO257" s="8"/>
      <c r="AV257" s="506"/>
      <c r="AW257" s="506"/>
      <c r="AZ257" s="506"/>
      <c r="BI257" s="506"/>
      <c r="BJ257" s="506"/>
      <c r="BM257" s="506"/>
      <c r="BU257" s="506"/>
      <c r="BV257" s="506"/>
      <c r="BY257" s="506"/>
      <c r="CG257" s="506"/>
      <c r="CH257" s="506"/>
      <c r="CK257" s="506"/>
      <c r="CU257" s="506"/>
      <c r="CV257" s="506"/>
      <c r="CY257" s="506"/>
      <c r="DI257" s="506"/>
      <c r="DJ257" s="506"/>
      <c r="DM257" s="506"/>
      <c r="DV257" s="506"/>
      <c r="DW257" s="506"/>
      <c r="DZ257" s="506"/>
    </row>
    <row r="258" spans="1:130" x14ac:dyDescent="0.2">
      <c r="A258" s="8"/>
      <c r="B258" s="8"/>
      <c r="C258" s="8"/>
      <c r="D258" s="8"/>
      <c r="E258" s="8"/>
      <c r="F258" s="8"/>
      <c r="G258" s="8"/>
      <c r="H258" s="8"/>
      <c r="I258" s="8"/>
      <c r="J258" s="8"/>
      <c r="K258" s="8"/>
      <c r="L258" s="8"/>
      <c r="M258" s="8"/>
      <c r="N258" s="8"/>
      <c r="O258" s="8"/>
      <c r="P258" s="8"/>
      <c r="Q258" s="8"/>
      <c r="R258" s="8"/>
      <c r="S258" s="8"/>
      <c r="T258" s="8"/>
      <c r="U258" s="8"/>
      <c r="V258" s="8"/>
      <c r="W258" s="8"/>
      <c r="X258" s="8"/>
      <c r="Y258" s="8"/>
      <c r="Z258" s="8"/>
      <c r="AA258" s="8"/>
      <c r="AB258" s="8"/>
      <c r="AD258" s="8"/>
      <c r="AE258" s="8"/>
      <c r="AF258" s="8"/>
      <c r="AG258" s="8"/>
      <c r="AH258" s="8"/>
      <c r="AI258" s="8"/>
      <c r="AJ258" s="8"/>
      <c r="AK258" s="8"/>
      <c r="AL258" s="8"/>
      <c r="AM258" s="8"/>
      <c r="AN258" s="8"/>
      <c r="AO258" s="8"/>
      <c r="AV258" s="506"/>
      <c r="AW258" s="506"/>
      <c r="AZ258" s="506"/>
      <c r="BI258" s="506"/>
      <c r="BJ258" s="506"/>
      <c r="BM258" s="506"/>
      <c r="BU258" s="506"/>
      <c r="BV258" s="506"/>
      <c r="BY258" s="506"/>
      <c r="CG258" s="506"/>
      <c r="CH258" s="506"/>
      <c r="CK258" s="506"/>
      <c r="CU258" s="506"/>
      <c r="CV258" s="506"/>
      <c r="CY258" s="506"/>
      <c r="DI258" s="506"/>
      <c r="DJ258" s="506"/>
      <c r="DM258" s="506"/>
      <c r="DV258" s="506"/>
      <c r="DW258" s="506"/>
      <c r="DZ258" s="506"/>
    </row>
    <row r="259" spans="1:130" x14ac:dyDescent="0.2">
      <c r="A259" s="8"/>
      <c r="B259" s="8"/>
      <c r="C259" s="8"/>
      <c r="D259" s="8"/>
      <c r="E259" s="8"/>
      <c r="F259" s="8"/>
      <c r="G259" s="8"/>
      <c r="H259" s="8"/>
      <c r="I259" s="8"/>
      <c r="J259" s="8"/>
      <c r="K259" s="8"/>
      <c r="L259" s="8"/>
      <c r="M259" s="8"/>
      <c r="N259" s="8"/>
      <c r="O259" s="8"/>
      <c r="P259" s="8"/>
      <c r="Q259" s="8"/>
      <c r="R259" s="8"/>
      <c r="S259" s="8"/>
      <c r="T259" s="8"/>
      <c r="U259" s="8"/>
      <c r="V259" s="8"/>
      <c r="W259" s="8"/>
      <c r="X259" s="8"/>
      <c r="Y259" s="8"/>
      <c r="Z259" s="8"/>
      <c r="AA259" s="8"/>
      <c r="AB259" s="8"/>
      <c r="AD259" s="8"/>
      <c r="AE259" s="8"/>
      <c r="AF259" s="8"/>
      <c r="AG259" s="8"/>
      <c r="AH259" s="8"/>
      <c r="AI259" s="8"/>
      <c r="AJ259" s="8"/>
      <c r="AK259" s="8"/>
      <c r="AL259" s="8"/>
      <c r="AM259" s="8"/>
      <c r="AN259" s="8"/>
      <c r="AO259" s="8"/>
      <c r="AV259" s="506"/>
      <c r="AW259" s="506"/>
      <c r="AZ259" s="506"/>
      <c r="BI259" s="506"/>
      <c r="BJ259" s="506"/>
      <c r="BM259" s="506"/>
      <c r="BU259" s="506"/>
      <c r="BV259" s="506"/>
      <c r="BY259" s="506"/>
      <c r="CG259" s="506"/>
      <c r="CH259" s="506"/>
      <c r="CK259" s="506"/>
      <c r="CU259" s="506"/>
      <c r="CV259" s="506"/>
      <c r="CY259" s="506"/>
      <c r="DI259" s="506"/>
      <c r="DJ259" s="506"/>
      <c r="DM259" s="506"/>
      <c r="DV259" s="506"/>
      <c r="DW259" s="506"/>
      <c r="DZ259" s="506"/>
    </row>
    <row r="260" spans="1:130" x14ac:dyDescent="0.2">
      <c r="A260" s="8"/>
      <c r="B260" s="8"/>
      <c r="C260" s="8"/>
      <c r="D260" s="8"/>
      <c r="E260" s="8"/>
      <c r="F260" s="8"/>
      <c r="G260" s="8"/>
      <c r="H260" s="8"/>
      <c r="I260" s="8"/>
      <c r="J260" s="8"/>
      <c r="K260" s="8"/>
      <c r="L260" s="8"/>
      <c r="M260" s="8"/>
      <c r="N260" s="8"/>
      <c r="O260" s="8"/>
      <c r="P260" s="8"/>
      <c r="Q260" s="8"/>
      <c r="R260" s="8"/>
      <c r="S260" s="8"/>
      <c r="T260" s="8"/>
      <c r="U260" s="8"/>
      <c r="V260" s="8"/>
      <c r="W260" s="8"/>
      <c r="X260" s="8"/>
      <c r="Y260" s="8"/>
      <c r="Z260" s="8"/>
      <c r="AA260" s="8"/>
      <c r="AB260" s="8"/>
      <c r="AD260" s="8"/>
      <c r="AE260" s="8"/>
      <c r="AF260" s="8"/>
      <c r="AG260" s="8"/>
      <c r="AH260" s="8"/>
      <c r="AI260" s="8"/>
      <c r="AJ260" s="8"/>
      <c r="AK260" s="8"/>
      <c r="AL260" s="8"/>
      <c r="AM260" s="8"/>
      <c r="AN260" s="8"/>
      <c r="AO260" s="8"/>
      <c r="AV260" s="506"/>
      <c r="AW260" s="506"/>
      <c r="AZ260" s="506"/>
      <c r="BI260" s="506"/>
      <c r="BJ260" s="506"/>
      <c r="BM260" s="506"/>
      <c r="BU260" s="506"/>
      <c r="BV260" s="506"/>
      <c r="BY260" s="506"/>
      <c r="CG260" s="506"/>
      <c r="CH260" s="506"/>
      <c r="CK260" s="506"/>
      <c r="CU260" s="506"/>
      <c r="CV260" s="506"/>
      <c r="CY260" s="506"/>
      <c r="DI260" s="506"/>
      <c r="DJ260" s="506"/>
      <c r="DM260" s="506"/>
      <c r="DV260" s="506"/>
      <c r="DW260" s="506"/>
      <c r="DZ260" s="506"/>
    </row>
    <row r="261" spans="1:130" x14ac:dyDescent="0.2">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D261" s="8"/>
      <c r="AE261" s="8"/>
      <c r="AF261" s="8"/>
      <c r="AG261" s="8"/>
      <c r="AH261" s="8"/>
      <c r="AI261" s="8"/>
      <c r="AJ261" s="8"/>
      <c r="AK261" s="8"/>
      <c r="AL261" s="8"/>
      <c r="AM261" s="8"/>
      <c r="AN261" s="8"/>
      <c r="AO261" s="8"/>
      <c r="AV261" s="506"/>
      <c r="AW261" s="506"/>
      <c r="AZ261" s="506"/>
      <c r="BI261" s="506"/>
      <c r="BJ261" s="506"/>
      <c r="BM261" s="506"/>
      <c r="BU261" s="506"/>
      <c r="BV261" s="506"/>
      <c r="BY261" s="506"/>
      <c r="CG261" s="506"/>
      <c r="CH261" s="506"/>
      <c r="CK261" s="506"/>
      <c r="CU261" s="506"/>
      <c r="CV261" s="506"/>
      <c r="CY261" s="506"/>
      <c r="DI261" s="506"/>
      <c r="DJ261" s="506"/>
      <c r="DM261" s="506"/>
      <c r="DV261" s="506"/>
      <c r="DW261" s="506"/>
      <c r="DZ261" s="506"/>
    </row>
    <row r="262" spans="1:130" x14ac:dyDescent="0.2">
      <c r="A262" s="8"/>
      <c r="B262" s="8"/>
      <c r="C262" s="8"/>
      <c r="D262" s="8"/>
      <c r="E262" s="8"/>
      <c r="F262" s="8"/>
      <c r="G262" s="8"/>
      <c r="H262" s="8"/>
      <c r="I262" s="8"/>
      <c r="J262" s="8"/>
      <c r="K262" s="8"/>
      <c r="L262" s="8"/>
      <c r="M262" s="8"/>
      <c r="N262" s="8"/>
      <c r="O262" s="8"/>
      <c r="P262" s="8"/>
      <c r="Q262" s="8"/>
      <c r="R262" s="8"/>
      <c r="S262" s="8"/>
      <c r="T262" s="8"/>
      <c r="U262" s="8"/>
      <c r="V262" s="8"/>
      <c r="W262" s="8"/>
      <c r="X262" s="8"/>
      <c r="Y262" s="8"/>
      <c r="Z262" s="8"/>
      <c r="AA262" s="8"/>
      <c r="AB262" s="8"/>
      <c r="AD262" s="8"/>
      <c r="AE262" s="8"/>
      <c r="AF262" s="8"/>
      <c r="AG262" s="8"/>
      <c r="AH262" s="8"/>
      <c r="AI262" s="8"/>
      <c r="AJ262" s="8"/>
      <c r="AK262" s="8"/>
      <c r="AL262" s="8"/>
      <c r="AM262" s="8"/>
      <c r="AN262" s="8"/>
      <c r="AO262" s="8"/>
      <c r="AV262" s="506"/>
      <c r="AW262" s="506"/>
      <c r="AZ262" s="506"/>
      <c r="BI262" s="506"/>
      <c r="BJ262" s="506"/>
      <c r="BM262" s="506"/>
      <c r="BU262" s="506"/>
      <c r="BV262" s="506"/>
      <c r="BY262" s="506"/>
      <c r="CG262" s="506"/>
      <c r="CH262" s="506"/>
      <c r="CK262" s="506"/>
      <c r="CU262" s="506"/>
      <c r="CV262" s="506"/>
      <c r="CY262" s="506"/>
      <c r="DI262" s="506"/>
      <c r="DJ262" s="506"/>
      <c r="DM262" s="506"/>
      <c r="DV262" s="506"/>
      <c r="DW262" s="506"/>
      <c r="DZ262" s="506"/>
    </row>
    <row r="263" spans="1:130" x14ac:dyDescent="0.2">
      <c r="A263" s="8"/>
      <c r="B263" s="8"/>
      <c r="C263" s="8"/>
      <c r="D263" s="8"/>
      <c r="E263" s="8"/>
      <c r="F263" s="8"/>
      <c r="G263" s="8"/>
      <c r="H263" s="8"/>
      <c r="I263" s="8"/>
      <c r="J263" s="8"/>
      <c r="K263" s="8"/>
      <c r="L263" s="8"/>
      <c r="M263" s="8"/>
      <c r="N263" s="8"/>
      <c r="O263" s="8"/>
      <c r="P263" s="8"/>
      <c r="Q263" s="8"/>
      <c r="R263" s="8"/>
      <c r="S263" s="8"/>
      <c r="T263" s="8"/>
      <c r="U263" s="8"/>
      <c r="V263" s="8"/>
      <c r="W263" s="8"/>
      <c r="X263" s="8"/>
      <c r="Y263" s="8"/>
      <c r="Z263" s="8"/>
      <c r="AA263" s="8"/>
      <c r="AB263" s="8"/>
      <c r="AD263" s="8"/>
      <c r="AE263" s="8"/>
      <c r="AF263" s="8"/>
      <c r="AG263" s="8"/>
      <c r="AH263" s="8"/>
      <c r="AI263" s="8"/>
      <c r="AJ263" s="8"/>
      <c r="AK263" s="8"/>
      <c r="AL263" s="8"/>
      <c r="AM263" s="8"/>
      <c r="AN263" s="8"/>
      <c r="AO263" s="8"/>
      <c r="AV263" s="506"/>
      <c r="AW263" s="506"/>
      <c r="AZ263" s="506"/>
      <c r="BI263" s="506"/>
      <c r="BJ263" s="506"/>
      <c r="BM263" s="506"/>
      <c r="BU263" s="506"/>
      <c r="BV263" s="506"/>
      <c r="BY263" s="506"/>
      <c r="CG263" s="506"/>
      <c r="CH263" s="506"/>
      <c r="CK263" s="506"/>
      <c r="CU263" s="506"/>
      <c r="CV263" s="506"/>
      <c r="CY263" s="506"/>
      <c r="DI263" s="506"/>
      <c r="DJ263" s="506"/>
      <c r="DM263" s="506"/>
      <c r="DV263" s="506"/>
      <c r="DW263" s="506"/>
      <c r="DZ263" s="506"/>
    </row>
    <row r="264" spans="1:130" x14ac:dyDescent="0.2">
      <c r="A264" s="8"/>
      <c r="B264" s="8"/>
      <c r="C264" s="8"/>
      <c r="D264" s="8"/>
      <c r="E264" s="8"/>
      <c r="F264" s="8"/>
      <c r="G264" s="8"/>
      <c r="H264" s="8"/>
      <c r="I264" s="8"/>
      <c r="J264" s="8"/>
      <c r="K264" s="8"/>
      <c r="L264" s="8"/>
      <c r="M264" s="8"/>
      <c r="N264" s="8"/>
      <c r="O264" s="8"/>
      <c r="P264" s="8"/>
      <c r="Q264" s="8"/>
      <c r="R264" s="8"/>
      <c r="S264" s="8"/>
      <c r="T264" s="8"/>
      <c r="U264" s="8"/>
      <c r="V264" s="8"/>
      <c r="W264" s="8"/>
      <c r="X264" s="8"/>
      <c r="Y264" s="8"/>
      <c r="Z264" s="8"/>
      <c r="AA264" s="8"/>
      <c r="AB264" s="8"/>
      <c r="AD264" s="8"/>
      <c r="AE264" s="8"/>
      <c r="AF264" s="8"/>
      <c r="AG264" s="8"/>
      <c r="AH264" s="8"/>
      <c r="AI264" s="8"/>
      <c r="AJ264" s="8"/>
      <c r="AK264" s="8"/>
      <c r="AL264" s="8"/>
      <c r="AM264" s="8"/>
      <c r="AN264" s="8"/>
      <c r="AO264" s="8"/>
      <c r="AV264" s="506"/>
      <c r="AW264" s="506"/>
      <c r="AZ264" s="506"/>
      <c r="BI264" s="506"/>
      <c r="BJ264" s="506"/>
      <c r="BM264" s="506"/>
      <c r="BU264" s="506"/>
      <c r="BV264" s="506"/>
      <c r="BY264" s="506"/>
      <c r="CG264" s="506"/>
      <c r="CH264" s="506"/>
      <c r="CK264" s="506"/>
      <c r="CU264" s="506"/>
      <c r="CV264" s="506"/>
      <c r="CY264" s="506"/>
      <c r="DI264" s="506"/>
      <c r="DJ264" s="506"/>
      <c r="DM264" s="506"/>
      <c r="DV264" s="506"/>
      <c r="DW264" s="506"/>
      <c r="DZ264" s="506"/>
    </row>
    <row r="265" spans="1:130" x14ac:dyDescent="0.2">
      <c r="A265" s="8"/>
      <c r="B265" s="8"/>
      <c r="C265" s="8"/>
      <c r="D265" s="8"/>
      <c r="E265" s="8"/>
      <c r="F265" s="8"/>
      <c r="G265" s="8"/>
      <c r="H265" s="8"/>
      <c r="I265" s="8"/>
      <c r="J265" s="8"/>
      <c r="K265" s="8"/>
      <c r="L265" s="8"/>
      <c r="M265" s="8"/>
      <c r="N265" s="8"/>
      <c r="O265" s="8"/>
      <c r="P265" s="8"/>
      <c r="Q265" s="8"/>
      <c r="R265" s="8"/>
      <c r="S265" s="8"/>
      <c r="T265" s="8"/>
      <c r="U265" s="8"/>
      <c r="V265" s="8"/>
      <c r="W265" s="8"/>
      <c r="X265" s="8"/>
      <c r="Y265" s="8"/>
      <c r="Z265" s="8"/>
      <c r="AA265" s="8"/>
      <c r="AB265" s="8"/>
      <c r="AD265" s="8"/>
      <c r="AE265" s="8"/>
      <c r="AF265" s="8"/>
      <c r="AG265" s="8"/>
      <c r="AH265" s="8"/>
      <c r="AI265" s="8"/>
      <c r="AJ265" s="8"/>
      <c r="AK265" s="8"/>
      <c r="AL265" s="8"/>
      <c r="AM265" s="8"/>
      <c r="AN265" s="8"/>
      <c r="AO265" s="8"/>
      <c r="AV265" s="506"/>
      <c r="AW265" s="506"/>
      <c r="AZ265" s="506"/>
      <c r="BI265" s="506"/>
      <c r="BJ265" s="506"/>
      <c r="BM265" s="506"/>
      <c r="BU265" s="506"/>
      <c r="BV265" s="506"/>
      <c r="BY265" s="506"/>
      <c r="CG265" s="506"/>
      <c r="CH265" s="506"/>
      <c r="CK265" s="506"/>
      <c r="CU265" s="506"/>
      <c r="CV265" s="506"/>
      <c r="CY265" s="506"/>
      <c r="DI265" s="506"/>
      <c r="DJ265" s="506"/>
      <c r="DM265" s="506"/>
      <c r="DV265" s="506"/>
      <c r="DW265" s="506"/>
      <c r="DZ265" s="506"/>
    </row>
    <row r="266" spans="1:130" x14ac:dyDescent="0.2">
      <c r="A266" s="8"/>
      <c r="B266" s="8"/>
      <c r="C266" s="8"/>
      <c r="D266" s="8"/>
      <c r="E266" s="8"/>
      <c r="F266" s="8"/>
      <c r="G266" s="8"/>
      <c r="H266" s="8"/>
      <c r="I266" s="8"/>
      <c r="J266" s="8"/>
      <c r="K266" s="8"/>
      <c r="L266" s="8"/>
      <c r="M266" s="8"/>
      <c r="N266" s="8"/>
      <c r="O266" s="8"/>
      <c r="P266" s="8"/>
      <c r="Q266" s="8"/>
      <c r="R266" s="8"/>
      <c r="S266" s="8"/>
      <c r="T266" s="8"/>
      <c r="U266" s="8"/>
      <c r="V266" s="8"/>
      <c r="W266" s="8"/>
      <c r="X266" s="8"/>
      <c r="Y266" s="8"/>
      <c r="Z266" s="8"/>
      <c r="AA266" s="8"/>
      <c r="AB266" s="8"/>
      <c r="AD266" s="8"/>
      <c r="AE266" s="8"/>
      <c r="AF266" s="8"/>
      <c r="AG266" s="8"/>
      <c r="AH266" s="8"/>
      <c r="AI266" s="8"/>
      <c r="AJ266" s="8"/>
      <c r="AK266" s="8"/>
      <c r="AL266" s="8"/>
      <c r="AM266" s="8"/>
      <c r="AN266" s="8"/>
      <c r="AO266" s="8"/>
      <c r="AV266" s="506"/>
      <c r="AW266" s="506"/>
      <c r="AZ266" s="506"/>
      <c r="BI266" s="506"/>
      <c r="BJ266" s="506"/>
      <c r="BM266" s="506"/>
      <c r="BU266" s="506"/>
      <c r="BV266" s="506"/>
      <c r="BY266" s="506"/>
      <c r="CG266" s="506"/>
      <c r="CH266" s="506"/>
      <c r="CK266" s="506"/>
      <c r="CU266" s="506"/>
      <c r="CV266" s="506"/>
      <c r="CY266" s="506"/>
      <c r="DI266" s="506"/>
      <c r="DJ266" s="506"/>
      <c r="DM266" s="506"/>
      <c r="DV266" s="506"/>
      <c r="DW266" s="506"/>
      <c r="DZ266" s="506"/>
    </row>
    <row r="267" spans="1:130" x14ac:dyDescent="0.2">
      <c r="A267" s="8"/>
      <c r="B267" s="8"/>
      <c r="C267" s="8"/>
      <c r="D267" s="8"/>
      <c r="E267" s="8"/>
      <c r="F267" s="8"/>
      <c r="G267" s="8"/>
      <c r="H267" s="8"/>
      <c r="I267" s="8"/>
      <c r="J267" s="8"/>
      <c r="K267" s="8"/>
      <c r="L267" s="8"/>
      <c r="M267" s="8"/>
      <c r="N267" s="8"/>
      <c r="O267" s="8"/>
      <c r="P267" s="8"/>
      <c r="Q267" s="8"/>
      <c r="R267" s="8"/>
      <c r="S267" s="8"/>
      <c r="T267" s="8"/>
      <c r="U267" s="8"/>
      <c r="V267" s="8"/>
      <c r="W267" s="8"/>
      <c r="X267" s="8"/>
      <c r="Y267" s="8"/>
      <c r="Z267" s="8"/>
      <c r="AA267" s="8"/>
      <c r="AB267" s="8"/>
      <c r="AD267" s="8"/>
      <c r="AE267" s="8"/>
      <c r="AF267" s="8"/>
      <c r="AG267" s="8"/>
      <c r="AH267" s="8"/>
      <c r="AI267" s="8"/>
      <c r="AJ267" s="8"/>
      <c r="AK267" s="8"/>
      <c r="AL267" s="8"/>
      <c r="AM267" s="8"/>
      <c r="AN267" s="8"/>
      <c r="AO267" s="8"/>
      <c r="AV267" s="506"/>
      <c r="AW267" s="506"/>
      <c r="AZ267" s="506"/>
      <c r="BI267" s="506"/>
      <c r="BJ267" s="506"/>
      <c r="BM267" s="506"/>
      <c r="BU267" s="506"/>
      <c r="BV267" s="506"/>
      <c r="BY267" s="506"/>
      <c r="CG267" s="506"/>
      <c r="CH267" s="506"/>
      <c r="CK267" s="506"/>
      <c r="CU267" s="506"/>
      <c r="CV267" s="506"/>
      <c r="CY267" s="506"/>
      <c r="DI267" s="506"/>
      <c r="DJ267" s="506"/>
      <c r="DM267" s="506"/>
      <c r="DV267" s="506"/>
      <c r="DW267" s="506"/>
      <c r="DZ267" s="506"/>
    </row>
    <row r="268" spans="1:130" x14ac:dyDescent="0.2">
      <c r="A268" s="8"/>
      <c r="B268" s="8"/>
      <c r="C268" s="8"/>
      <c r="D268" s="8"/>
      <c r="E268" s="8"/>
      <c r="F268" s="8"/>
      <c r="G268" s="8"/>
      <c r="H268" s="8"/>
      <c r="I268" s="8"/>
      <c r="J268" s="8"/>
      <c r="K268" s="8"/>
      <c r="L268" s="8"/>
      <c r="M268" s="8"/>
      <c r="N268" s="8"/>
      <c r="O268" s="8"/>
      <c r="P268" s="8"/>
      <c r="Q268" s="8"/>
      <c r="R268" s="8"/>
      <c r="S268" s="8"/>
      <c r="T268" s="8"/>
      <c r="U268" s="8"/>
      <c r="V268" s="8"/>
      <c r="W268" s="8"/>
      <c r="X268" s="8"/>
      <c r="Y268" s="8"/>
      <c r="Z268" s="8"/>
      <c r="AA268" s="8"/>
      <c r="AB268" s="8"/>
      <c r="AD268" s="8"/>
      <c r="AE268" s="8"/>
      <c r="AF268" s="8"/>
      <c r="AG268" s="8"/>
      <c r="AH268" s="8"/>
      <c r="AI268" s="8"/>
      <c r="AJ268" s="8"/>
      <c r="AK268" s="8"/>
      <c r="AL268" s="8"/>
      <c r="AM268" s="8"/>
      <c r="AN268" s="8"/>
      <c r="AO268" s="8"/>
      <c r="AV268" s="506"/>
      <c r="AW268" s="506"/>
      <c r="AZ268" s="506"/>
      <c r="BI268" s="506"/>
      <c r="BJ268" s="506"/>
      <c r="BM268" s="506"/>
      <c r="BU268" s="506"/>
      <c r="BV268" s="506"/>
      <c r="BY268" s="506"/>
      <c r="CG268" s="506"/>
      <c r="CH268" s="506"/>
      <c r="CK268" s="506"/>
      <c r="CU268" s="506"/>
      <c r="CV268" s="506"/>
      <c r="CY268" s="506"/>
      <c r="DI268" s="506"/>
      <c r="DJ268" s="506"/>
      <c r="DM268" s="506"/>
      <c r="DV268" s="506"/>
      <c r="DW268" s="506"/>
      <c r="DZ268" s="506"/>
    </row>
    <row r="269" spans="1:130" x14ac:dyDescent="0.2">
      <c r="A269" s="8"/>
      <c r="B269" s="8"/>
      <c r="C269" s="8"/>
      <c r="D269" s="8"/>
      <c r="E269" s="8"/>
      <c r="F269" s="8"/>
      <c r="G269" s="8"/>
      <c r="H269" s="8"/>
      <c r="I269" s="8"/>
      <c r="J269" s="8"/>
      <c r="K269" s="8"/>
      <c r="L269" s="8"/>
      <c r="M269" s="8"/>
      <c r="N269" s="8"/>
      <c r="O269" s="8"/>
      <c r="P269" s="8"/>
      <c r="Q269" s="8"/>
      <c r="R269" s="8"/>
      <c r="S269" s="8"/>
      <c r="T269" s="8"/>
      <c r="U269" s="8"/>
      <c r="V269" s="8"/>
      <c r="W269" s="8"/>
      <c r="X269" s="8"/>
      <c r="Y269" s="8"/>
      <c r="Z269" s="8"/>
      <c r="AA269" s="8"/>
      <c r="AB269" s="8"/>
      <c r="AD269" s="8"/>
      <c r="AE269" s="8"/>
      <c r="AF269" s="8"/>
      <c r="AG269" s="8"/>
      <c r="AH269" s="8"/>
      <c r="AI269" s="8"/>
      <c r="AJ269" s="8"/>
      <c r="AK269" s="8"/>
      <c r="AL269" s="8"/>
      <c r="AM269" s="8"/>
      <c r="AN269" s="8"/>
      <c r="AO269" s="8"/>
      <c r="AV269" s="506"/>
      <c r="AW269" s="506"/>
      <c r="AZ269" s="506"/>
      <c r="BI269" s="506"/>
      <c r="BJ269" s="506"/>
      <c r="BM269" s="506"/>
      <c r="BU269" s="506"/>
      <c r="BV269" s="506"/>
      <c r="BY269" s="506"/>
      <c r="CG269" s="506"/>
      <c r="CH269" s="506"/>
      <c r="CK269" s="506"/>
      <c r="CU269" s="506"/>
      <c r="CV269" s="506"/>
      <c r="CY269" s="506"/>
      <c r="DI269" s="506"/>
      <c r="DJ269" s="506"/>
      <c r="DM269" s="506"/>
      <c r="DV269" s="506"/>
      <c r="DW269" s="506"/>
      <c r="DZ269" s="506"/>
    </row>
    <row r="270" spans="1:130" x14ac:dyDescent="0.2">
      <c r="A270" s="8"/>
      <c r="B270" s="8"/>
      <c r="C270" s="8"/>
      <c r="D270" s="8"/>
      <c r="E270" s="8"/>
      <c r="F270" s="8"/>
      <c r="G270" s="8"/>
      <c r="H270" s="8"/>
      <c r="I270" s="8"/>
      <c r="J270" s="8"/>
      <c r="K270" s="8"/>
      <c r="L270" s="8"/>
      <c r="M270" s="8"/>
      <c r="N270" s="8"/>
      <c r="O270" s="8"/>
      <c r="P270" s="8"/>
      <c r="Q270" s="8"/>
      <c r="R270" s="8"/>
      <c r="S270" s="8"/>
      <c r="T270" s="8"/>
      <c r="U270" s="8"/>
      <c r="V270" s="8"/>
      <c r="W270" s="8"/>
      <c r="X270" s="8"/>
      <c r="Y270" s="8"/>
      <c r="Z270" s="8"/>
      <c r="AA270" s="8"/>
      <c r="AB270" s="8"/>
      <c r="AD270" s="8"/>
      <c r="AE270" s="8"/>
      <c r="AF270" s="8"/>
      <c r="AG270" s="8"/>
      <c r="AH270" s="8"/>
      <c r="AI270" s="8"/>
      <c r="AJ270" s="8"/>
      <c r="AK270" s="8"/>
      <c r="AL270" s="8"/>
      <c r="AM270" s="8"/>
      <c r="AN270" s="8"/>
      <c r="AO270" s="8"/>
      <c r="AV270" s="506"/>
      <c r="AW270" s="506"/>
      <c r="AZ270" s="506"/>
      <c r="BI270" s="506"/>
      <c r="BJ270" s="506"/>
      <c r="BM270" s="506"/>
      <c r="BU270" s="506"/>
      <c r="BV270" s="506"/>
      <c r="BY270" s="506"/>
      <c r="CG270" s="506"/>
      <c r="CH270" s="506"/>
      <c r="CK270" s="506"/>
      <c r="CU270" s="506"/>
      <c r="CV270" s="506"/>
      <c r="CY270" s="506"/>
      <c r="DI270" s="506"/>
      <c r="DJ270" s="506"/>
      <c r="DM270" s="506"/>
      <c r="DV270" s="506"/>
      <c r="DW270" s="506"/>
      <c r="DZ270" s="506"/>
    </row>
    <row r="271" spans="1:130" x14ac:dyDescent="0.2">
      <c r="A271" s="8"/>
      <c r="B271" s="8"/>
      <c r="C271" s="8"/>
      <c r="D271" s="8"/>
      <c r="E271" s="8"/>
      <c r="F271" s="8"/>
      <c r="G271" s="8"/>
      <c r="H271" s="8"/>
      <c r="I271" s="8"/>
      <c r="J271" s="8"/>
      <c r="K271" s="8"/>
      <c r="L271" s="8"/>
      <c r="M271" s="8"/>
      <c r="N271" s="8"/>
      <c r="O271" s="8"/>
      <c r="P271" s="8"/>
      <c r="Q271" s="8"/>
      <c r="R271" s="8"/>
      <c r="S271" s="8"/>
      <c r="T271" s="8"/>
      <c r="U271" s="8"/>
      <c r="V271" s="8"/>
      <c r="W271" s="8"/>
      <c r="X271" s="8"/>
      <c r="Y271" s="8"/>
      <c r="Z271" s="8"/>
      <c r="AA271" s="8"/>
      <c r="AB271" s="8"/>
      <c r="AD271" s="8"/>
      <c r="AE271" s="8"/>
      <c r="AF271" s="8"/>
      <c r="AG271" s="8"/>
      <c r="AH271" s="8"/>
      <c r="AI271" s="8"/>
      <c r="AJ271" s="8"/>
      <c r="AK271" s="8"/>
      <c r="AL271" s="8"/>
      <c r="AM271" s="8"/>
      <c r="AN271" s="8"/>
      <c r="AO271" s="8"/>
      <c r="AV271" s="506"/>
      <c r="AW271" s="506"/>
      <c r="AZ271" s="506"/>
      <c r="BI271" s="506"/>
      <c r="BJ271" s="506"/>
      <c r="BM271" s="506"/>
      <c r="BU271" s="506"/>
      <c r="BV271" s="506"/>
      <c r="BY271" s="506"/>
      <c r="CG271" s="506"/>
      <c r="CH271" s="506"/>
      <c r="CK271" s="506"/>
      <c r="CU271" s="506"/>
      <c r="CV271" s="506"/>
      <c r="CY271" s="506"/>
      <c r="DI271" s="506"/>
      <c r="DJ271" s="506"/>
      <c r="DM271" s="506"/>
      <c r="DV271" s="506"/>
      <c r="DW271" s="506"/>
      <c r="DZ271" s="506"/>
    </row>
    <row r="272" spans="1:130" x14ac:dyDescent="0.2">
      <c r="A272" s="8"/>
      <c r="B272" s="8"/>
      <c r="C272" s="8"/>
      <c r="D272" s="8"/>
      <c r="E272" s="8"/>
      <c r="F272" s="8"/>
      <c r="G272" s="8"/>
      <c r="H272" s="8"/>
      <c r="I272" s="8"/>
      <c r="J272" s="8"/>
      <c r="K272" s="8"/>
      <c r="L272" s="8"/>
      <c r="M272" s="8"/>
      <c r="N272" s="8"/>
      <c r="O272" s="8"/>
      <c r="P272" s="8"/>
      <c r="Q272" s="8"/>
      <c r="R272" s="8"/>
      <c r="S272" s="8"/>
      <c r="T272" s="8"/>
      <c r="U272" s="8"/>
      <c r="V272" s="8"/>
      <c r="W272" s="8"/>
      <c r="X272" s="8"/>
      <c r="Y272" s="8"/>
      <c r="Z272" s="8"/>
      <c r="AA272" s="8"/>
      <c r="AB272" s="8"/>
      <c r="AD272" s="8"/>
      <c r="AE272" s="8"/>
      <c r="AF272" s="8"/>
      <c r="AG272" s="8"/>
      <c r="AH272" s="8"/>
      <c r="AI272" s="8"/>
      <c r="AJ272" s="8"/>
      <c r="AK272" s="8"/>
      <c r="AL272" s="8"/>
      <c r="AM272" s="8"/>
      <c r="AN272" s="8"/>
      <c r="AO272" s="8"/>
      <c r="AV272" s="506"/>
      <c r="AW272" s="506"/>
      <c r="AZ272" s="506"/>
      <c r="BI272" s="506"/>
      <c r="BJ272" s="506"/>
      <c r="BM272" s="506"/>
      <c r="BU272" s="506"/>
      <c r="BV272" s="506"/>
      <c r="BY272" s="506"/>
      <c r="CG272" s="506"/>
      <c r="CH272" s="506"/>
      <c r="CK272" s="506"/>
      <c r="CU272" s="506"/>
      <c r="CV272" s="506"/>
      <c r="CY272" s="506"/>
      <c r="DI272" s="506"/>
      <c r="DJ272" s="506"/>
      <c r="DM272" s="506"/>
      <c r="DV272" s="506"/>
      <c r="DW272" s="506"/>
      <c r="DZ272" s="506"/>
    </row>
    <row r="273" spans="1:130" x14ac:dyDescent="0.2">
      <c r="A273" s="8"/>
      <c r="B273" s="8"/>
      <c r="C273" s="8"/>
      <c r="D273" s="8"/>
      <c r="E273" s="8"/>
      <c r="F273" s="8"/>
      <c r="G273" s="8"/>
      <c r="H273" s="8"/>
      <c r="I273" s="8"/>
      <c r="J273" s="8"/>
      <c r="K273" s="8"/>
      <c r="L273" s="8"/>
      <c r="M273" s="8"/>
      <c r="N273" s="8"/>
      <c r="O273" s="8"/>
      <c r="P273" s="8"/>
      <c r="Q273" s="8"/>
      <c r="R273" s="8"/>
      <c r="S273" s="8"/>
      <c r="T273" s="8"/>
      <c r="U273" s="8"/>
      <c r="V273" s="8"/>
      <c r="W273" s="8"/>
      <c r="X273" s="8"/>
      <c r="Y273" s="8"/>
      <c r="Z273" s="8"/>
      <c r="AA273" s="8"/>
      <c r="AB273" s="8"/>
      <c r="AD273" s="8"/>
      <c r="AE273" s="8"/>
      <c r="AF273" s="8"/>
      <c r="AG273" s="8"/>
      <c r="AH273" s="8"/>
      <c r="AI273" s="8"/>
      <c r="AJ273" s="8"/>
      <c r="AK273" s="8"/>
      <c r="AL273" s="8"/>
      <c r="AM273" s="8"/>
      <c r="AN273" s="8"/>
      <c r="AO273" s="8"/>
      <c r="AV273" s="506"/>
      <c r="AW273" s="506"/>
      <c r="AZ273" s="506"/>
      <c r="BI273" s="506"/>
      <c r="BJ273" s="506"/>
      <c r="BM273" s="506"/>
      <c r="BU273" s="506"/>
      <c r="BV273" s="506"/>
      <c r="BY273" s="506"/>
      <c r="CG273" s="506"/>
      <c r="CH273" s="506"/>
      <c r="CK273" s="506"/>
      <c r="CU273" s="506"/>
      <c r="CV273" s="506"/>
      <c r="CY273" s="506"/>
      <c r="DI273" s="506"/>
      <c r="DJ273" s="506"/>
      <c r="DM273" s="506"/>
      <c r="DV273" s="506"/>
      <c r="DW273" s="506"/>
      <c r="DZ273" s="506"/>
    </row>
    <row r="274" spans="1:130" x14ac:dyDescent="0.2">
      <c r="A274" s="8"/>
      <c r="B274" s="8"/>
      <c r="C274" s="8"/>
      <c r="D274" s="8"/>
      <c r="E274" s="8"/>
      <c r="F274" s="8"/>
      <c r="G274" s="8"/>
      <c r="H274" s="8"/>
      <c r="I274" s="8"/>
      <c r="J274" s="8"/>
      <c r="K274" s="8"/>
      <c r="L274" s="8"/>
      <c r="M274" s="8"/>
      <c r="N274" s="8"/>
      <c r="O274" s="8"/>
      <c r="P274" s="8"/>
      <c r="Q274" s="8"/>
      <c r="R274" s="8"/>
      <c r="S274" s="8"/>
      <c r="T274" s="8"/>
      <c r="U274" s="8"/>
      <c r="V274" s="8"/>
      <c r="W274" s="8"/>
      <c r="X274" s="8"/>
      <c r="Y274" s="8"/>
      <c r="Z274" s="8"/>
      <c r="AA274" s="8"/>
      <c r="AB274" s="8"/>
      <c r="AD274" s="8"/>
      <c r="AE274" s="8"/>
      <c r="AF274" s="8"/>
      <c r="AG274" s="8"/>
      <c r="AH274" s="8"/>
      <c r="AI274" s="8"/>
      <c r="AJ274" s="8"/>
      <c r="AK274" s="8"/>
      <c r="AL274" s="8"/>
      <c r="AM274" s="8"/>
      <c r="AN274" s="8"/>
      <c r="AO274" s="8"/>
      <c r="AV274" s="506"/>
      <c r="AW274" s="506"/>
      <c r="AZ274" s="506"/>
      <c r="BI274" s="506"/>
      <c r="BJ274" s="506"/>
      <c r="BM274" s="506"/>
      <c r="BU274" s="506"/>
      <c r="BV274" s="506"/>
      <c r="BY274" s="506"/>
      <c r="CG274" s="506"/>
      <c r="CH274" s="506"/>
      <c r="CK274" s="506"/>
      <c r="CU274" s="506"/>
      <c r="CV274" s="506"/>
      <c r="CY274" s="506"/>
      <c r="DI274" s="506"/>
      <c r="DJ274" s="506"/>
      <c r="DM274" s="506"/>
      <c r="DV274" s="506"/>
      <c r="DW274" s="506"/>
      <c r="DZ274" s="506"/>
    </row>
    <row r="275" spans="1:130" x14ac:dyDescent="0.2">
      <c r="A275" s="8"/>
      <c r="B275" s="8"/>
      <c r="C275" s="8"/>
      <c r="D275" s="8"/>
      <c r="E275" s="8"/>
      <c r="F275" s="8"/>
      <c r="G275" s="8"/>
      <c r="H275" s="8"/>
      <c r="I275" s="8"/>
      <c r="J275" s="8"/>
      <c r="K275" s="8"/>
      <c r="L275" s="8"/>
      <c r="M275" s="8"/>
      <c r="N275" s="8"/>
      <c r="O275" s="8"/>
      <c r="P275" s="8"/>
      <c r="Q275" s="8"/>
      <c r="R275" s="8"/>
      <c r="S275" s="8"/>
      <c r="T275" s="8"/>
      <c r="U275" s="8"/>
      <c r="V275" s="8"/>
      <c r="W275" s="8"/>
      <c r="X275" s="8"/>
      <c r="Y275" s="8"/>
      <c r="Z275" s="8"/>
      <c r="AA275" s="8"/>
      <c r="AB275" s="8"/>
      <c r="AD275" s="8"/>
      <c r="AE275" s="8"/>
      <c r="AF275" s="8"/>
      <c r="AG275" s="8"/>
      <c r="AH275" s="8"/>
      <c r="AI275" s="8"/>
      <c r="AJ275" s="8"/>
      <c r="AK275" s="8"/>
      <c r="AL275" s="8"/>
      <c r="AM275" s="8"/>
      <c r="AN275" s="8"/>
      <c r="AO275" s="8"/>
      <c r="AV275" s="506"/>
      <c r="AW275" s="506"/>
      <c r="AZ275" s="506"/>
      <c r="BI275" s="506"/>
      <c r="BJ275" s="506"/>
      <c r="BM275" s="506"/>
      <c r="BU275" s="506"/>
      <c r="BV275" s="506"/>
      <c r="BY275" s="506"/>
      <c r="CG275" s="506"/>
      <c r="CH275" s="506"/>
      <c r="CK275" s="506"/>
      <c r="CU275" s="506"/>
      <c r="CV275" s="506"/>
      <c r="CY275" s="506"/>
      <c r="DI275" s="506"/>
      <c r="DJ275" s="506"/>
      <c r="DM275" s="506"/>
      <c r="DV275" s="506"/>
      <c r="DW275" s="506"/>
      <c r="DZ275" s="506"/>
    </row>
    <row r="276" spans="1:130" x14ac:dyDescent="0.2">
      <c r="A276" s="8"/>
      <c r="B276" s="8"/>
      <c r="C276" s="8"/>
      <c r="D276" s="8"/>
      <c r="E276" s="8"/>
      <c r="F276" s="8"/>
      <c r="G276" s="8"/>
      <c r="H276" s="8"/>
      <c r="I276" s="8"/>
      <c r="J276" s="8"/>
      <c r="K276" s="8"/>
      <c r="L276" s="8"/>
      <c r="M276" s="8"/>
      <c r="N276" s="8"/>
      <c r="O276" s="8"/>
      <c r="P276" s="8"/>
      <c r="Q276" s="8"/>
      <c r="R276" s="8"/>
      <c r="S276" s="8"/>
      <c r="T276" s="8"/>
      <c r="U276" s="8"/>
      <c r="V276" s="8"/>
      <c r="W276" s="8"/>
      <c r="X276" s="8"/>
      <c r="Y276" s="8"/>
      <c r="Z276" s="8"/>
      <c r="AA276" s="8"/>
      <c r="AB276" s="8"/>
      <c r="AD276" s="8"/>
      <c r="AE276" s="8"/>
      <c r="AF276" s="8"/>
      <c r="AG276" s="8"/>
      <c r="AH276" s="8"/>
      <c r="AI276" s="8"/>
      <c r="AJ276" s="8"/>
      <c r="AK276" s="8"/>
      <c r="AL276" s="8"/>
      <c r="AM276" s="8"/>
      <c r="AN276" s="8"/>
      <c r="AO276" s="8"/>
      <c r="AV276" s="506"/>
      <c r="AW276" s="506"/>
      <c r="AZ276" s="506"/>
      <c r="BI276" s="506"/>
      <c r="BJ276" s="506"/>
      <c r="BM276" s="506"/>
      <c r="BU276" s="506"/>
      <c r="BV276" s="506"/>
      <c r="BY276" s="506"/>
      <c r="CG276" s="506"/>
      <c r="CH276" s="506"/>
      <c r="CK276" s="506"/>
      <c r="CU276" s="506"/>
      <c r="CV276" s="506"/>
      <c r="CY276" s="506"/>
      <c r="DI276" s="506"/>
      <c r="DJ276" s="506"/>
      <c r="DM276" s="506"/>
      <c r="DV276" s="506"/>
      <c r="DW276" s="506"/>
      <c r="DZ276" s="506"/>
    </row>
    <row r="277" spans="1:130" x14ac:dyDescent="0.2">
      <c r="A277" s="8"/>
      <c r="B277" s="8"/>
      <c r="C277" s="8"/>
      <c r="D277" s="8"/>
      <c r="E277" s="8"/>
      <c r="F277" s="8"/>
      <c r="G277" s="8"/>
      <c r="H277" s="8"/>
      <c r="I277" s="8"/>
      <c r="J277" s="8"/>
      <c r="K277" s="8"/>
      <c r="L277" s="8"/>
      <c r="M277" s="8"/>
      <c r="N277" s="8"/>
      <c r="O277" s="8"/>
      <c r="P277" s="8"/>
      <c r="Q277" s="8"/>
      <c r="R277" s="8"/>
      <c r="S277" s="8"/>
      <c r="T277" s="8"/>
      <c r="U277" s="8"/>
      <c r="V277" s="8"/>
      <c r="W277" s="8"/>
      <c r="X277" s="8"/>
      <c r="Y277" s="8"/>
      <c r="Z277" s="8"/>
      <c r="AA277" s="8"/>
      <c r="AB277" s="8"/>
      <c r="AD277" s="8"/>
      <c r="AE277" s="8"/>
      <c r="AF277" s="8"/>
      <c r="AG277" s="8"/>
      <c r="AH277" s="8"/>
      <c r="AI277" s="8"/>
      <c r="AJ277" s="8"/>
      <c r="AK277" s="8"/>
      <c r="AL277" s="8"/>
      <c r="AM277" s="8"/>
      <c r="AN277" s="8"/>
      <c r="AO277" s="8"/>
      <c r="AV277" s="506"/>
      <c r="AW277" s="506"/>
      <c r="AZ277" s="506"/>
      <c r="BI277" s="506"/>
      <c r="BJ277" s="506"/>
      <c r="BM277" s="506"/>
      <c r="BU277" s="506"/>
      <c r="BV277" s="506"/>
      <c r="BY277" s="506"/>
      <c r="CG277" s="506"/>
      <c r="CH277" s="506"/>
      <c r="CK277" s="506"/>
      <c r="CU277" s="506"/>
      <c r="CV277" s="506"/>
      <c r="CY277" s="506"/>
      <c r="DI277" s="506"/>
      <c r="DJ277" s="506"/>
      <c r="DM277" s="506"/>
      <c r="DV277" s="506"/>
      <c r="DW277" s="506"/>
      <c r="DZ277" s="506"/>
    </row>
    <row r="278" spans="1:130" x14ac:dyDescent="0.2">
      <c r="A278" s="8"/>
      <c r="B278" s="8"/>
      <c r="C278" s="8"/>
      <c r="D278" s="8"/>
      <c r="E278" s="8"/>
      <c r="F278" s="8"/>
      <c r="G278" s="8"/>
      <c r="H278" s="8"/>
      <c r="I278" s="8"/>
      <c r="J278" s="8"/>
      <c r="K278" s="8"/>
      <c r="L278" s="8"/>
      <c r="M278" s="8"/>
      <c r="N278" s="8"/>
      <c r="O278" s="8"/>
      <c r="P278" s="8"/>
      <c r="Q278" s="8"/>
      <c r="R278" s="8"/>
      <c r="S278" s="8"/>
      <c r="T278" s="8"/>
      <c r="U278" s="8"/>
      <c r="V278" s="8"/>
      <c r="W278" s="8"/>
      <c r="X278" s="8"/>
      <c r="Y278" s="8"/>
      <c r="Z278" s="8"/>
      <c r="AA278" s="8"/>
      <c r="AB278" s="8"/>
      <c r="AD278" s="8"/>
      <c r="AE278" s="8"/>
      <c r="AF278" s="8"/>
      <c r="AG278" s="8"/>
      <c r="AH278" s="8"/>
      <c r="AI278" s="8"/>
      <c r="AJ278" s="8"/>
      <c r="AK278" s="8"/>
      <c r="AL278" s="8"/>
      <c r="AM278" s="8"/>
      <c r="AN278" s="8"/>
      <c r="AO278" s="8"/>
      <c r="AV278" s="506"/>
      <c r="AW278" s="506"/>
      <c r="AZ278" s="506"/>
      <c r="BI278" s="506"/>
      <c r="BJ278" s="506"/>
      <c r="BM278" s="506"/>
      <c r="BU278" s="506"/>
      <c r="BV278" s="506"/>
      <c r="BY278" s="506"/>
      <c r="CG278" s="506"/>
      <c r="CH278" s="506"/>
      <c r="CK278" s="506"/>
      <c r="CU278" s="506"/>
      <c r="CV278" s="506"/>
      <c r="CY278" s="506"/>
      <c r="DI278" s="506"/>
      <c r="DJ278" s="506"/>
      <c r="DM278" s="506"/>
      <c r="DV278" s="506"/>
      <c r="DW278" s="506"/>
      <c r="DZ278" s="506"/>
    </row>
    <row r="279" spans="1:130" x14ac:dyDescent="0.2">
      <c r="A279" s="8"/>
      <c r="B279" s="8"/>
      <c r="C279" s="8"/>
      <c r="D279" s="8"/>
      <c r="E279" s="8"/>
      <c r="F279" s="8"/>
      <c r="G279" s="8"/>
      <c r="H279" s="8"/>
      <c r="I279" s="8"/>
      <c r="J279" s="8"/>
      <c r="K279" s="8"/>
      <c r="L279" s="8"/>
      <c r="M279" s="8"/>
      <c r="N279" s="8"/>
      <c r="O279" s="8"/>
      <c r="P279" s="8"/>
      <c r="Q279" s="8"/>
      <c r="R279" s="8"/>
      <c r="S279" s="8"/>
      <c r="T279" s="8"/>
      <c r="U279" s="8"/>
      <c r="V279" s="8"/>
      <c r="W279" s="8"/>
      <c r="X279" s="8"/>
      <c r="Y279" s="8"/>
      <c r="Z279" s="8"/>
      <c r="AA279" s="8"/>
      <c r="AB279" s="8"/>
      <c r="AD279" s="8"/>
      <c r="AE279" s="8"/>
      <c r="AF279" s="8"/>
      <c r="AG279" s="8"/>
      <c r="AH279" s="8"/>
      <c r="AI279" s="8"/>
      <c r="AJ279" s="8"/>
      <c r="AK279" s="8"/>
      <c r="AL279" s="8"/>
      <c r="AM279" s="8"/>
      <c r="AN279" s="8"/>
      <c r="AO279" s="8"/>
      <c r="AV279" s="506"/>
      <c r="AW279" s="506"/>
      <c r="AZ279" s="506"/>
      <c r="BI279" s="506"/>
      <c r="BJ279" s="506"/>
      <c r="BM279" s="506"/>
      <c r="BU279" s="506"/>
      <c r="BV279" s="506"/>
      <c r="BY279" s="506"/>
      <c r="CG279" s="506"/>
      <c r="CH279" s="506"/>
      <c r="CK279" s="506"/>
      <c r="CU279" s="506"/>
      <c r="CV279" s="506"/>
      <c r="CY279" s="506"/>
      <c r="DI279" s="506"/>
      <c r="DJ279" s="506"/>
      <c r="DM279" s="506"/>
      <c r="DV279" s="506"/>
      <c r="DW279" s="506"/>
      <c r="DZ279" s="506"/>
    </row>
    <row r="280" spans="1:130" x14ac:dyDescent="0.2">
      <c r="A280" s="8"/>
      <c r="B280" s="8"/>
      <c r="C280" s="8"/>
      <c r="D280" s="8"/>
      <c r="E280" s="8"/>
      <c r="F280" s="8"/>
      <c r="G280" s="8"/>
      <c r="H280" s="8"/>
      <c r="I280" s="8"/>
      <c r="J280" s="8"/>
      <c r="K280" s="8"/>
      <c r="L280" s="8"/>
      <c r="M280" s="8"/>
      <c r="N280" s="8"/>
      <c r="O280" s="8"/>
      <c r="P280" s="8"/>
      <c r="Q280" s="8"/>
      <c r="R280" s="8"/>
      <c r="S280" s="8"/>
      <c r="T280" s="8"/>
      <c r="U280" s="8"/>
      <c r="V280" s="8"/>
      <c r="W280" s="8"/>
      <c r="X280" s="8"/>
      <c r="Y280" s="8"/>
      <c r="Z280" s="8"/>
      <c r="AA280" s="8"/>
      <c r="AB280" s="8"/>
      <c r="AD280" s="8"/>
      <c r="AE280" s="8"/>
      <c r="AF280" s="8"/>
      <c r="AG280" s="8"/>
      <c r="AH280" s="8"/>
      <c r="AI280" s="8"/>
      <c r="AJ280" s="8"/>
      <c r="AK280" s="8"/>
      <c r="AL280" s="8"/>
      <c r="AM280" s="8"/>
      <c r="AN280" s="8"/>
      <c r="AO280" s="8"/>
      <c r="AV280" s="506"/>
      <c r="AW280" s="506"/>
      <c r="AZ280" s="506"/>
      <c r="BI280" s="506"/>
      <c r="BJ280" s="506"/>
      <c r="BM280" s="506"/>
      <c r="BU280" s="506"/>
      <c r="BV280" s="506"/>
      <c r="BY280" s="506"/>
      <c r="CG280" s="506"/>
      <c r="CH280" s="506"/>
      <c r="CK280" s="506"/>
      <c r="CU280" s="506"/>
      <c r="CV280" s="506"/>
      <c r="CY280" s="506"/>
      <c r="DI280" s="506"/>
      <c r="DJ280" s="506"/>
      <c r="DM280" s="506"/>
      <c r="DV280" s="506"/>
      <c r="DW280" s="506"/>
      <c r="DZ280" s="506"/>
    </row>
    <row r="281" spans="1:130" x14ac:dyDescent="0.2">
      <c r="A281" s="8"/>
      <c r="B281" s="8"/>
      <c r="C281" s="8"/>
      <c r="D281" s="8"/>
      <c r="E281" s="8"/>
      <c r="F281" s="8"/>
      <c r="G281" s="8"/>
      <c r="H281" s="8"/>
      <c r="I281" s="8"/>
      <c r="J281" s="8"/>
      <c r="K281" s="8"/>
      <c r="L281" s="8"/>
      <c r="M281" s="8"/>
      <c r="N281" s="8"/>
      <c r="O281" s="8"/>
      <c r="P281" s="8"/>
      <c r="Q281" s="8"/>
      <c r="R281" s="8"/>
      <c r="S281" s="8"/>
      <c r="T281" s="8"/>
      <c r="U281" s="8"/>
      <c r="V281" s="8"/>
      <c r="W281" s="8"/>
      <c r="X281" s="8"/>
      <c r="Y281" s="8"/>
      <c r="Z281" s="8"/>
      <c r="AA281" s="8"/>
      <c r="AB281" s="8"/>
      <c r="AD281" s="8"/>
      <c r="AE281" s="8"/>
      <c r="AF281" s="8"/>
      <c r="AG281" s="8"/>
      <c r="AH281" s="8"/>
      <c r="AI281" s="8"/>
      <c r="AJ281" s="8"/>
      <c r="AK281" s="8"/>
      <c r="AL281" s="8"/>
      <c r="AM281" s="8"/>
      <c r="AN281" s="8"/>
      <c r="AO281" s="8"/>
      <c r="AV281" s="506"/>
      <c r="AW281" s="506"/>
      <c r="AZ281" s="506"/>
      <c r="BI281" s="506"/>
      <c r="BJ281" s="506"/>
      <c r="BM281" s="506"/>
      <c r="BU281" s="506"/>
      <c r="BV281" s="506"/>
      <c r="BY281" s="506"/>
      <c r="CG281" s="506"/>
      <c r="CH281" s="506"/>
      <c r="CK281" s="506"/>
      <c r="CU281" s="506"/>
      <c r="CV281" s="506"/>
      <c r="CY281" s="506"/>
      <c r="DI281" s="506"/>
      <c r="DJ281" s="506"/>
      <c r="DM281" s="506"/>
      <c r="DV281" s="506"/>
      <c r="DW281" s="506"/>
      <c r="DZ281" s="506"/>
    </row>
    <row r="282" spans="1:130" x14ac:dyDescent="0.2">
      <c r="A282" s="8"/>
      <c r="B282" s="8"/>
      <c r="C282" s="8"/>
      <c r="D282" s="8"/>
      <c r="E282" s="8"/>
      <c r="F282" s="8"/>
      <c r="G282" s="8"/>
      <c r="H282" s="8"/>
      <c r="I282" s="8"/>
      <c r="J282" s="8"/>
      <c r="K282" s="8"/>
      <c r="L282" s="8"/>
      <c r="M282" s="8"/>
      <c r="N282" s="8"/>
      <c r="O282" s="8"/>
      <c r="P282" s="8"/>
      <c r="Q282" s="8"/>
      <c r="R282" s="8"/>
      <c r="S282" s="8"/>
      <c r="T282" s="8"/>
      <c r="U282" s="8"/>
      <c r="V282" s="8"/>
      <c r="W282" s="8"/>
      <c r="X282" s="8"/>
      <c r="Y282" s="8"/>
      <c r="Z282" s="8"/>
      <c r="AA282" s="8"/>
      <c r="AB282" s="8"/>
      <c r="AD282" s="8"/>
      <c r="AE282" s="8"/>
      <c r="AF282" s="8"/>
      <c r="AG282" s="8"/>
      <c r="AH282" s="8"/>
      <c r="AI282" s="8"/>
      <c r="AJ282" s="8"/>
      <c r="AK282" s="8"/>
      <c r="AL282" s="8"/>
      <c r="AM282" s="8"/>
      <c r="AN282" s="8"/>
      <c r="AO282" s="8"/>
      <c r="AV282" s="506"/>
      <c r="AW282" s="506"/>
      <c r="AZ282" s="506"/>
      <c r="BI282" s="506"/>
      <c r="BJ282" s="506"/>
      <c r="BM282" s="506"/>
      <c r="BU282" s="506"/>
      <c r="BV282" s="506"/>
      <c r="BY282" s="506"/>
      <c r="CG282" s="506"/>
      <c r="CH282" s="506"/>
      <c r="CK282" s="506"/>
      <c r="CU282" s="506"/>
      <c r="CV282" s="506"/>
      <c r="CY282" s="506"/>
      <c r="DI282" s="506"/>
      <c r="DJ282" s="506"/>
      <c r="DM282" s="506"/>
      <c r="DV282" s="506"/>
      <c r="DW282" s="506"/>
      <c r="DZ282" s="506"/>
    </row>
    <row r="283" spans="1:130" x14ac:dyDescent="0.2">
      <c r="A283" s="8"/>
      <c r="B283" s="8"/>
      <c r="C283" s="8"/>
      <c r="D283" s="8"/>
      <c r="E283" s="8"/>
      <c r="F283" s="8"/>
      <c r="G283" s="8"/>
      <c r="H283" s="8"/>
      <c r="I283" s="8"/>
      <c r="J283" s="8"/>
      <c r="K283" s="8"/>
      <c r="L283" s="8"/>
      <c r="M283" s="8"/>
      <c r="N283" s="8"/>
      <c r="O283" s="8"/>
      <c r="P283" s="8"/>
      <c r="Q283" s="8"/>
      <c r="R283" s="8"/>
      <c r="S283" s="8"/>
      <c r="T283" s="8"/>
      <c r="U283" s="8"/>
      <c r="V283" s="8"/>
      <c r="W283" s="8"/>
      <c r="X283" s="8"/>
      <c r="Y283" s="8"/>
      <c r="Z283" s="8"/>
      <c r="AA283" s="8"/>
      <c r="AB283" s="8"/>
      <c r="AD283" s="8"/>
      <c r="AE283" s="8"/>
      <c r="AF283" s="8"/>
      <c r="AG283" s="8"/>
      <c r="AH283" s="8"/>
      <c r="AI283" s="8"/>
      <c r="AJ283" s="8"/>
      <c r="AK283" s="8"/>
      <c r="AL283" s="8"/>
      <c r="AM283" s="8"/>
      <c r="AN283" s="8"/>
      <c r="AO283" s="8"/>
      <c r="AV283" s="506"/>
      <c r="AW283" s="506"/>
      <c r="AZ283" s="506"/>
      <c r="BI283" s="506"/>
      <c r="BJ283" s="506"/>
      <c r="BM283" s="506"/>
      <c r="BU283" s="506"/>
      <c r="BV283" s="506"/>
      <c r="BY283" s="506"/>
      <c r="CG283" s="506"/>
      <c r="CH283" s="506"/>
      <c r="CK283" s="506"/>
      <c r="CU283" s="506"/>
      <c r="CV283" s="506"/>
      <c r="CY283" s="506"/>
      <c r="DI283" s="506"/>
      <c r="DJ283" s="506"/>
      <c r="DM283" s="506"/>
      <c r="DV283" s="506"/>
      <c r="DW283" s="506"/>
      <c r="DZ283" s="506"/>
    </row>
    <row r="284" spans="1:130" x14ac:dyDescent="0.2">
      <c r="A284" s="8"/>
      <c r="B284" s="8"/>
      <c r="C284" s="8"/>
      <c r="D284" s="8"/>
      <c r="E284" s="8"/>
      <c r="F284" s="8"/>
      <c r="G284" s="8"/>
      <c r="H284" s="8"/>
      <c r="I284" s="8"/>
      <c r="J284" s="8"/>
      <c r="K284" s="8"/>
      <c r="L284" s="8"/>
      <c r="M284" s="8"/>
      <c r="N284" s="8"/>
      <c r="O284" s="8"/>
      <c r="P284" s="8"/>
      <c r="Q284" s="8"/>
      <c r="R284" s="8"/>
      <c r="S284" s="8"/>
      <c r="T284" s="8"/>
      <c r="U284" s="8"/>
      <c r="V284" s="8"/>
      <c r="W284" s="8"/>
      <c r="X284" s="8"/>
      <c r="Y284" s="8"/>
      <c r="Z284" s="8"/>
      <c r="AA284" s="8"/>
      <c r="AB284" s="8"/>
      <c r="AD284" s="8"/>
      <c r="AE284" s="8"/>
      <c r="AF284" s="8"/>
      <c r="AG284" s="8"/>
      <c r="AH284" s="8"/>
      <c r="AI284" s="8"/>
      <c r="AJ284" s="8"/>
      <c r="AK284" s="8"/>
      <c r="AL284" s="8"/>
      <c r="AM284" s="8"/>
      <c r="AN284" s="8"/>
      <c r="AO284" s="8"/>
      <c r="AV284" s="506"/>
      <c r="AW284" s="506"/>
      <c r="AZ284" s="506"/>
      <c r="BI284" s="506"/>
      <c r="BJ284" s="506"/>
      <c r="BM284" s="506"/>
      <c r="BU284" s="506"/>
      <c r="BV284" s="506"/>
      <c r="BY284" s="506"/>
      <c r="CG284" s="506"/>
      <c r="CH284" s="506"/>
      <c r="CK284" s="506"/>
      <c r="CU284" s="506"/>
      <c r="CV284" s="506"/>
      <c r="CY284" s="506"/>
      <c r="DI284" s="506"/>
      <c r="DJ284" s="506"/>
      <c r="DM284" s="506"/>
      <c r="DV284" s="506"/>
      <c r="DW284" s="506"/>
      <c r="DZ284" s="506"/>
    </row>
    <row r="285" spans="1:130" x14ac:dyDescent="0.2">
      <c r="A285" s="8"/>
      <c r="B285" s="8"/>
      <c r="C285" s="8"/>
      <c r="D285" s="8"/>
      <c r="E285" s="8"/>
      <c r="F285" s="8"/>
      <c r="G285" s="8"/>
      <c r="H285" s="8"/>
      <c r="I285" s="8"/>
      <c r="J285" s="8"/>
      <c r="K285" s="8"/>
      <c r="L285" s="8"/>
      <c r="M285" s="8"/>
      <c r="N285" s="8"/>
      <c r="O285" s="8"/>
      <c r="P285" s="8"/>
      <c r="Q285" s="8"/>
      <c r="R285" s="8"/>
      <c r="S285" s="8"/>
      <c r="T285" s="8"/>
      <c r="U285" s="8"/>
      <c r="V285" s="8"/>
      <c r="W285" s="8"/>
      <c r="X285" s="8"/>
      <c r="Y285" s="8"/>
      <c r="Z285" s="8"/>
      <c r="AA285" s="8"/>
      <c r="AB285" s="8"/>
      <c r="AD285" s="8"/>
      <c r="AE285" s="8"/>
      <c r="AF285" s="8"/>
      <c r="AG285" s="8"/>
      <c r="AH285" s="8"/>
      <c r="AI285" s="8"/>
      <c r="AJ285" s="8"/>
      <c r="AK285" s="8"/>
      <c r="AL285" s="8"/>
      <c r="AM285" s="8"/>
      <c r="AN285" s="8"/>
      <c r="AO285" s="8"/>
      <c r="AV285" s="506"/>
      <c r="AW285" s="506"/>
      <c r="AZ285" s="506"/>
      <c r="BI285" s="506"/>
      <c r="BJ285" s="506"/>
      <c r="BM285" s="506"/>
      <c r="BU285" s="506"/>
      <c r="BV285" s="506"/>
      <c r="BY285" s="506"/>
      <c r="CG285" s="506"/>
      <c r="CH285" s="506"/>
      <c r="CK285" s="506"/>
      <c r="CU285" s="506"/>
      <c r="CV285" s="506"/>
      <c r="CY285" s="506"/>
      <c r="DI285" s="506"/>
      <c r="DJ285" s="506"/>
      <c r="DM285" s="506"/>
      <c r="DV285" s="506"/>
      <c r="DW285" s="506"/>
      <c r="DZ285" s="506"/>
    </row>
    <row r="286" spans="1:130" x14ac:dyDescent="0.2">
      <c r="A286" s="8"/>
      <c r="B286" s="8"/>
      <c r="C286" s="8"/>
      <c r="D286" s="8"/>
      <c r="E286" s="8"/>
      <c r="F286" s="8"/>
      <c r="G286" s="8"/>
      <c r="H286" s="8"/>
      <c r="I286" s="8"/>
      <c r="J286" s="8"/>
      <c r="K286" s="8"/>
      <c r="L286" s="8"/>
      <c r="M286" s="8"/>
      <c r="N286" s="8"/>
      <c r="O286" s="8"/>
      <c r="P286" s="8"/>
      <c r="Q286" s="8"/>
      <c r="R286" s="8"/>
      <c r="S286" s="8"/>
      <c r="T286" s="8"/>
      <c r="U286" s="8"/>
      <c r="V286" s="8"/>
      <c r="W286" s="8"/>
      <c r="X286" s="8"/>
      <c r="Y286" s="8"/>
      <c r="Z286" s="8"/>
      <c r="AA286" s="8"/>
      <c r="AB286" s="8"/>
      <c r="AD286" s="8"/>
      <c r="AE286" s="8"/>
      <c r="AF286" s="8"/>
      <c r="AG286" s="8"/>
      <c r="AH286" s="8"/>
      <c r="AI286" s="8"/>
      <c r="AJ286" s="8"/>
      <c r="AK286" s="8"/>
      <c r="AL286" s="8"/>
      <c r="AM286" s="8"/>
      <c r="AN286" s="8"/>
      <c r="AO286" s="8"/>
      <c r="AV286" s="506"/>
      <c r="AW286" s="506"/>
      <c r="AZ286" s="506"/>
      <c r="BI286" s="506"/>
      <c r="BJ286" s="506"/>
      <c r="BM286" s="506"/>
      <c r="BU286" s="506"/>
      <c r="BV286" s="506"/>
      <c r="BY286" s="506"/>
      <c r="CG286" s="506"/>
      <c r="CH286" s="506"/>
      <c r="CK286" s="506"/>
      <c r="CU286" s="506"/>
      <c r="CV286" s="506"/>
      <c r="CY286" s="506"/>
      <c r="DI286" s="506"/>
      <c r="DJ286" s="506"/>
      <c r="DM286" s="506"/>
      <c r="DV286" s="506"/>
      <c r="DW286" s="506"/>
      <c r="DZ286" s="506"/>
    </row>
    <row r="287" spans="1:130" x14ac:dyDescent="0.2">
      <c r="A287" s="8"/>
      <c r="B287" s="8"/>
      <c r="C287" s="8"/>
      <c r="D287" s="8"/>
      <c r="E287" s="8"/>
      <c r="F287" s="8"/>
      <c r="G287" s="8"/>
      <c r="H287" s="8"/>
      <c r="I287" s="8"/>
      <c r="J287" s="8"/>
      <c r="K287" s="8"/>
      <c r="L287" s="8"/>
      <c r="M287" s="8"/>
      <c r="N287" s="8"/>
      <c r="O287" s="8"/>
      <c r="P287" s="8"/>
      <c r="Q287" s="8"/>
      <c r="R287" s="8"/>
      <c r="S287" s="8"/>
      <c r="T287" s="8"/>
      <c r="U287" s="8"/>
      <c r="V287" s="8"/>
      <c r="W287" s="8"/>
      <c r="X287" s="8"/>
      <c r="Y287" s="8"/>
      <c r="Z287" s="8"/>
      <c r="AA287" s="8"/>
      <c r="AB287" s="8"/>
      <c r="AD287" s="8"/>
      <c r="AE287" s="8"/>
      <c r="AF287" s="8"/>
      <c r="AG287" s="8"/>
      <c r="AH287" s="8"/>
      <c r="AI287" s="8"/>
      <c r="AJ287" s="8"/>
      <c r="AK287" s="8"/>
      <c r="AL287" s="8"/>
      <c r="AM287" s="8"/>
      <c r="AN287" s="8"/>
      <c r="AO287" s="8"/>
      <c r="AV287" s="506"/>
      <c r="AW287" s="506"/>
      <c r="AZ287" s="506"/>
      <c r="BI287" s="506"/>
      <c r="BJ287" s="506"/>
      <c r="BM287" s="506"/>
      <c r="BU287" s="506"/>
      <c r="BV287" s="506"/>
      <c r="BY287" s="506"/>
      <c r="CG287" s="506"/>
      <c r="CH287" s="506"/>
      <c r="CK287" s="506"/>
      <c r="CU287" s="506"/>
      <c r="CV287" s="506"/>
      <c r="CY287" s="506"/>
      <c r="DI287" s="506"/>
      <c r="DJ287" s="506"/>
      <c r="DM287" s="506"/>
      <c r="DV287" s="506"/>
      <c r="DW287" s="506"/>
      <c r="DZ287" s="506"/>
    </row>
    <row r="288" spans="1:130" x14ac:dyDescent="0.2">
      <c r="A288" s="8"/>
      <c r="B288" s="8"/>
      <c r="C288" s="8"/>
      <c r="D288" s="8"/>
      <c r="E288" s="8"/>
      <c r="F288" s="8"/>
      <c r="G288" s="8"/>
      <c r="H288" s="8"/>
      <c r="I288" s="8"/>
      <c r="J288" s="8"/>
      <c r="K288" s="8"/>
      <c r="L288" s="8"/>
      <c r="M288" s="8"/>
      <c r="N288" s="8"/>
      <c r="O288" s="8"/>
      <c r="P288" s="8"/>
      <c r="Q288" s="8"/>
      <c r="R288" s="8"/>
      <c r="S288" s="8"/>
      <c r="T288" s="8"/>
      <c r="U288" s="8"/>
      <c r="V288" s="8"/>
      <c r="W288" s="8"/>
      <c r="X288" s="8"/>
      <c r="Y288" s="8"/>
      <c r="Z288" s="8"/>
      <c r="AA288" s="8"/>
      <c r="AB288" s="8"/>
      <c r="AD288" s="8"/>
      <c r="AE288" s="8"/>
      <c r="AF288" s="8"/>
      <c r="AG288" s="8"/>
      <c r="AH288" s="8"/>
      <c r="AI288" s="8"/>
      <c r="AJ288" s="8"/>
      <c r="AK288" s="8"/>
      <c r="AL288" s="8"/>
      <c r="AM288" s="8"/>
      <c r="AN288" s="8"/>
      <c r="AO288" s="8"/>
      <c r="AV288" s="506"/>
      <c r="AW288" s="506"/>
      <c r="AZ288" s="506"/>
      <c r="BI288" s="506"/>
      <c r="BJ288" s="506"/>
      <c r="BM288" s="506"/>
      <c r="BU288" s="506"/>
      <c r="BV288" s="506"/>
      <c r="BY288" s="506"/>
      <c r="CG288" s="506"/>
      <c r="CH288" s="506"/>
      <c r="CK288" s="506"/>
      <c r="CU288" s="506"/>
      <c r="CV288" s="506"/>
      <c r="CY288" s="506"/>
      <c r="DI288" s="506"/>
      <c r="DJ288" s="506"/>
      <c r="DM288" s="506"/>
      <c r="DV288" s="506"/>
      <c r="DW288" s="506"/>
      <c r="DZ288" s="506"/>
    </row>
    <row r="289" spans="1:130" x14ac:dyDescent="0.2">
      <c r="A289" s="8"/>
      <c r="B289" s="8"/>
      <c r="C289" s="8"/>
      <c r="D289" s="8"/>
      <c r="E289" s="8"/>
      <c r="F289" s="8"/>
      <c r="G289" s="8"/>
      <c r="H289" s="8"/>
      <c r="I289" s="8"/>
      <c r="J289" s="8"/>
      <c r="K289" s="8"/>
      <c r="L289" s="8"/>
      <c r="M289" s="8"/>
      <c r="N289" s="8"/>
      <c r="O289" s="8"/>
      <c r="P289" s="8"/>
      <c r="Q289" s="8"/>
      <c r="R289" s="8"/>
      <c r="S289" s="8"/>
      <c r="T289" s="8"/>
      <c r="U289" s="8"/>
      <c r="V289" s="8"/>
      <c r="W289" s="8"/>
      <c r="X289" s="8"/>
      <c r="Y289" s="8"/>
      <c r="Z289" s="8"/>
      <c r="AA289" s="8"/>
      <c r="AB289" s="8"/>
      <c r="AD289" s="8"/>
      <c r="AE289" s="8"/>
      <c r="AF289" s="8"/>
      <c r="AG289" s="8"/>
      <c r="AH289" s="8"/>
      <c r="AI289" s="8"/>
      <c r="AJ289" s="8"/>
      <c r="AK289" s="8"/>
      <c r="AL289" s="8"/>
      <c r="AM289" s="8"/>
      <c r="AN289" s="8"/>
      <c r="AO289" s="8"/>
      <c r="AV289" s="506"/>
      <c r="AW289" s="506"/>
      <c r="AZ289" s="506"/>
      <c r="BI289" s="506"/>
      <c r="BJ289" s="506"/>
      <c r="BM289" s="506"/>
      <c r="BU289" s="506"/>
      <c r="BV289" s="506"/>
      <c r="BY289" s="506"/>
      <c r="CG289" s="506"/>
      <c r="CH289" s="506"/>
      <c r="CK289" s="506"/>
      <c r="CU289" s="506"/>
      <c r="CV289" s="506"/>
      <c r="CY289" s="506"/>
      <c r="DI289" s="506"/>
      <c r="DJ289" s="506"/>
      <c r="DM289" s="506"/>
      <c r="DV289" s="506"/>
      <c r="DW289" s="506"/>
      <c r="DZ289" s="506"/>
    </row>
    <row r="290" spans="1:130" x14ac:dyDescent="0.2">
      <c r="A290" s="8"/>
      <c r="B290" s="8"/>
      <c r="C290" s="8"/>
      <c r="D290" s="8"/>
      <c r="E290" s="8"/>
      <c r="F290" s="8"/>
      <c r="G290" s="8"/>
      <c r="H290" s="8"/>
      <c r="I290" s="8"/>
      <c r="J290" s="8"/>
      <c r="K290" s="8"/>
      <c r="L290" s="8"/>
      <c r="M290" s="8"/>
      <c r="N290" s="8"/>
      <c r="O290" s="8"/>
      <c r="P290" s="8"/>
      <c r="Q290" s="8"/>
      <c r="R290" s="8"/>
      <c r="S290" s="8"/>
      <c r="T290" s="8"/>
      <c r="U290" s="8"/>
      <c r="V290" s="8"/>
      <c r="W290" s="8"/>
      <c r="X290" s="8"/>
      <c r="Y290" s="8"/>
      <c r="Z290" s="8"/>
      <c r="AA290" s="8"/>
      <c r="AB290" s="8"/>
      <c r="AD290" s="8"/>
      <c r="AE290" s="8"/>
      <c r="AF290" s="8"/>
      <c r="AG290" s="8"/>
      <c r="AH290" s="8"/>
      <c r="AI290" s="8"/>
      <c r="AJ290" s="8"/>
      <c r="AK290" s="8"/>
      <c r="AL290" s="8"/>
      <c r="AM290" s="8"/>
      <c r="AN290" s="8"/>
      <c r="AO290" s="8"/>
      <c r="AV290" s="506"/>
      <c r="AW290" s="506"/>
      <c r="AZ290" s="506"/>
      <c r="BI290" s="506"/>
      <c r="BJ290" s="506"/>
      <c r="BM290" s="506"/>
      <c r="BU290" s="506"/>
      <c r="BV290" s="506"/>
      <c r="BY290" s="506"/>
      <c r="CG290" s="506"/>
      <c r="CH290" s="506"/>
      <c r="CK290" s="506"/>
      <c r="CU290" s="506"/>
      <c r="CV290" s="506"/>
      <c r="CY290" s="506"/>
      <c r="DI290" s="506"/>
      <c r="DJ290" s="506"/>
      <c r="DM290" s="506"/>
      <c r="DV290" s="506"/>
      <c r="DW290" s="506"/>
      <c r="DZ290" s="506"/>
    </row>
    <row r="291" spans="1:130" x14ac:dyDescent="0.2">
      <c r="A291" s="8"/>
      <c r="B291" s="8"/>
      <c r="C291" s="8"/>
      <c r="D291" s="8"/>
      <c r="E291" s="8"/>
      <c r="F291" s="8"/>
      <c r="G291" s="8"/>
      <c r="H291" s="8"/>
      <c r="I291" s="8"/>
      <c r="J291" s="8"/>
      <c r="K291" s="8"/>
      <c r="L291" s="8"/>
      <c r="M291" s="8"/>
      <c r="N291" s="8"/>
      <c r="O291" s="8"/>
      <c r="P291" s="8"/>
      <c r="Q291" s="8"/>
      <c r="R291" s="8"/>
      <c r="S291" s="8"/>
      <c r="T291" s="8"/>
      <c r="U291" s="8"/>
      <c r="V291" s="8"/>
      <c r="W291" s="8"/>
      <c r="X291" s="8"/>
      <c r="Y291" s="8"/>
      <c r="Z291" s="8"/>
      <c r="AA291" s="8"/>
      <c r="AB291" s="8"/>
      <c r="AD291" s="8"/>
      <c r="AE291" s="8"/>
      <c r="AF291" s="8"/>
      <c r="AG291" s="8"/>
      <c r="AH291" s="8"/>
      <c r="AI291" s="8"/>
      <c r="AJ291" s="8"/>
      <c r="AK291" s="8"/>
      <c r="AL291" s="8"/>
      <c r="AM291" s="8"/>
      <c r="AN291" s="8"/>
      <c r="AO291" s="8"/>
      <c r="AV291" s="506"/>
      <c r="AW291" s="506"/>
      <c r="AZ291" s="506"/>
      <c r="BI291" s="506"/>
      <c r="BJ291" s="506"/>
      <c r="BM291" s="506"/>
      <c r="BU291" s="506"/>
      <c r="BV291" s="506"/>
      <c r="BY291" s="506"/>
      <c r="CG291" s="506"/>
      <c r="CH291" s="506"/>
      <c r="CK291" s="506"/>
      <c r="CU291" s="506"/>
      <c r="CV291" s="506"/>
      <c r="CY291" s="506"/>
      <c r="DI291" s="506"/>
      <c r="DJ291" s="506"/>
      <c r="DM291" s="506"/>
      <c r="DV291" s="506"/>
      <c r="DW291" s="506"/>
      <c r="DZ291" s="506"/>
    </row>
    <row r="292" spans="1:130" x14ac:dyDescent="0.2">
      <c r="A292" s="8"/>
      <c r="B292" s="8"/>
      <c r="C292" s="8"/>
      <c r="D292" s="8"/>
      <c r="E292" s="8"/>
      <c r="F292" s="8"/>
      <c r="G292" s="8"/>
      <c r="H292" s="8"/>
      <c r="I292" s="8"/>
      <c r="J292" s="8"/>
      <c r="K292" s="8"/>
      <c r="L292" s="8"/>
      <c r="M292" s="8"/>
      <c r="N292" s="8"/>
      <c r="O292" s="8"/>
      <c r="P292" s="8"/>
      <c r="Q292" s="8"/>
      <c r="R292" s="8"/>
      <c r="S292" s="8"/>
      <c r="T292" s="8"/>
      <c r="U292" s="8"/>
      <c r="V292" s="8"/>
      <c r="W292" s="8"/>
      <c r="X292" s="8"/>
      <c r="Y292" s="8"/>
      <c r="Z292" s="8"/>
      <c r="AA292" s="8"/>
      <c r="AB292" s="8"/>
      <c r="AD292" s="8"/>
      <c r="AE292" s="8"/>
      <c r="AF292" s="8"/>
      <c r="AG292" s="8"/>
      <c r="AH292" s="8"/>
      <c r="AI292" s="8"/>
      <c r="AJ292" s="8"/>
      <c r="AK292" s="8"/>
      <c r="AL292" s="8"/>
      <c r="AM292" s="8"/>
      <c r="AN292" s="8"/>
      <c r="AO292" s="8"/>
      <c r="AV292" s="506"/>
      <c r="AW292" s="506"/>
      <c r="AZ292" s="506"/>
      <c r="BI292" s="506"/>
      <c r="BJ292" s="506"/>
      <c r="BM292" s="506"/>
      <c r="BU292" s="506"/>
      <c r="BV292" s="506"/>
      <c r="BY292" s="506"/>
      <c r="CG292" s="506"/>
      <c r="CH292" s="506"/>
      <c r="CK292" s="506"/>
      <c r="CU292" s="506"/>
      <c r="CV292" s="506"/>
      <c r="CY292" s="506"/>
      <c r="DI292" s="506"/>
      <c r="DJ292" s="506"/>
      <c r="DM292" s="506"/>
      <c r="DV292" s="506"/>
      <c r="DW292" s="506"/>
      <c r="DZ292" s="506"/>
    </row>
    <row r="293" spans="1:130" x14ac:dyDescent="0.2">
      <c r="A293" s="8"/>
      <c r="B293" s="8"/>
      <c r="C293" s="8"/>
      <c r="D293" s="8"/>
      <c r="E293" s="8"/>
      <c r="F293" s="8"/>
      <c r="G293" s="8"/>
      <c r="H293" s="8"/>
      <c r="I293" s="8"/>
      <c r="J293" s="8"/>
      <c r="K293" s="8"/>
      <c r="L293" s="8"/>
      <c r="M293" s="8"/>
      <c r="N293" s="8"/>
      <c r="O293" s="8"/>
      <c r="P293" s="8"/>
      <c r="Q293" s="8"/>
      <c r="R293" s="8"/>
      <c r="S293" s="8"/>
      <c r="T293" s="8"/>
      <c r="U293" s="8"/>
      <c r="V293" s="8"/>
      <c r="W293" s="8"/>
      <c r="X293" s="8"/>
      <c r="Y293" s="8"/>
      <c r="Z293" s="8"/>
      <c r="AA293" s="8"/>
      <c r="AB293" s="8"/>
      <c r="AD293" s="8"/>
      <c r="AE293" s="8"/>
      <c r="AF293" s="8"/>
      <c r="AG293" s="8"/>
      <c r="AH293" s="8"/>
      <c r="AI293" s="8"/>
      <c r="AJ293" s="8"/>
      <c r="AK293" s="8"/>
      <c r="AL293" s="8"/>
      <c r="AM293" s="8"/>
      <c r="AN293" s="8"/>
      <c r="AO293" s="8"/>
      <c r="AV293" s="506"/>
      <c r="AW293" s="506"/>
      <c r="AZ293" s="506"/>
      <c r="BI293" s="506"/>
      <c r="BJ293" s="506"/>
      <c r="BM293" s="506"/>
      <c r="BU293" s="506"/>
      <c r="BV293" s="506"/>
      <c r="BY293" s="506"/>
      <c r="CG293" s="506"/>
      <c r="CH293" s="506"/>
      <c r="CK293" s="506"/>
      <c r="CU293" s="506"/>
      <c r="CV293" s="506"/>
      <c r="CY293" s="506"/>
      <c r="DI293" s="506"/>
      <c r="DJ293" s="506"/>
      <c r="DM293" s="506"/>
      <c r="DV293" s="506"/>
      <c r="DW293" s="506"/>
      <c r="DZ293" s="506"/>
    </row>
    <row r="294" spans="1:130" x14ac:dyDescent="0.2">
      <c r="A294" s="8"/>
      <c r="B294" s="8"/>
      <c r="C294" s="8"/>
      <c r="D294" s="8"/>
      <c r="E294" s="8"/>
      <c r="F294" s="8"/>
      <c r="G294" s="8"/>
      <c r="H294" s="8"/>
      <c r="I294" s="8"/>
      <c r="J294" s="8"/>
      <c r="K294" s="8"/>
      <c r="L294" s="8"/>
      <c r="M294" s="8"/>
      <c r="N294" s="8"/>
      <c r="O294" s="8"/>
      <c r="P294" s="8"/>
      <c r="Q294" s="8"/>
      <c r="R294" s="8"/>
      <c r="S294" s="8"/>
      <c r="T294" s="8"/>
      <c r="U294" s="8"/>
      <c r="V294" s="8"/>
      <c r="W294" s="8"/>
      <c r="X294" s="8"/>
      <c r="Y294" s="8"/>
      <c r="Z294" s="8"/>
      <c r="AA294" s="8"/>
      <c r="AB294" s="8"/>
      <c r="AD294" s="8"/>
      <c r="AE294" s="8"/>
      <c r="AF294" s="8"/>
      <c r="AG294" s="8"/>
      <c r="AH294" s="8"/>
      <c r="AI294" s="8"/>
      <c r="AJ294" s="8"/>
      <c r="AK294" s="8"/>
      <c r="AL294" s="8"/>
      <c r="AM294" s="8"/>
      <c r="AN294" s="8"/>
      <c r="AO294" s="8"/>
      <c r="AV294" s="506"/>
      <c r="AW294" s="506"/>
      <c r="AZ294" s="506"/>
      <c r="BI294" s="506"/>
      <c r="BJ294" s="506"/>
      <c r="BM294" s="506"/>
      <c r="BU294" s="506"/>
      <c r="BV294" s="506"/>
      <c r="BY294" s="506"/>
      <c r="CG294" s="506"/>
      <c r="CH294" s="506"/>
      <c r="CK294" s="506"/>
      <c r="CU294" s="506"/>
      <c r="CV294" s="506"/>
      <c r="CY294" s="506"/>
      <c r="DI294" s="506"/>
      <c r="DJ294" s="506"/>
      <c r="DM294" s="506"/>
      <c r="DV294" s="506"/>
      <c r="DW294" s="506"/>
      <c r="DZ294" s="506"/>
    </row>
    <row r="295" spans="1:130" x14ac:dyDescent="0.2">
      <c r="A295" s="8"/>
      <c r="B295" s="8"/>
      <c r="C295" s="8"/>
      <c r="D295" s="8"/>
      <c r="E295" s="8"/>
      <c r="F295" s="8"/>
      <c r="G295" s="8"/>
      <c r="H295" s="8"/>
      <c r="I295" s="8"/>
      <c r="J295" s="8"/>
      <c r="K295" s="8"/>
      <c r="L295" s="8"/>
      <c r="M295" s="8"/>
      <c r="N295" s="8"/>
      <c r="O295" s="8"/>
      <c r="P295" s="8"/>
      <c r="Q295" s="8"/>
      <c r="R295" s="8"/>
      <c r="S295" s="8"/>
      <c r="T295" s="8"/>
      <c r="U295" s="8"/>
      <c r="V295" s="8"/>
      <c r="W295" s="8"/>
      <c r="X295" s="8"/>
      <c r="Y295" s="8"/>
      <c r="Z295" s="8"/>
      <c r="AA295" s="8"/>
      <c r="AB295" s="8"/>
      <c r="AD295" s="8"/>
      <c r="AE295" s="8"/>
      <c r="AF295" s="8"/>
      <c r="AG295" s="8"/>
      <c r="AH295" s="8"/>
      <c r="AI295" s="8"/>
      <c r="AJ295" s="8"/>
      <c r="AK295" s="8"/>
      <c r="AL295" s="8"/>
      <c r="AM295" s="8"/>
      <c r="AN295" s="8"/>
      <c r="AO295" s="8"/>
      <c r="AV295" s="506"/>
      <c r="AW295" s="506"/>
      <c r="AZ295" s="506"/>
      <c r="BI295" s="506"/>
      <c r="BJ295" s="506"/>
      <c r="BM295" s="506"/>
      <c r="BU295" s="506"/>
      <c r="BV295" s="506"/>
      <c r="BY295" s="506"/>
      <c r="CG295" s="506"/>
      <c r="CH295" s="506"/>
      <c r="CK295" s="506"/>
      <c r="CU295" s="506"/>
      <c r="CV295" s="506"/>
      <c r="CY295" s="506"/>
      <c r="DI295" s="506"/>
      <c r="DJ295" s="506"/>
      <c r="DM295" s="506"/>
      <c r="DV295" s="506"/>
      <c r="DW295" s="506"/>
      <c r="DZ295" s="506"/>
    </row>
    <row r="296" spans="1:130" x14ac:dyDescent="0.2">
      <c r="A296" s="8"/>
      <c r="B296" s="8"/>
      <c r="C296" s="8"/>
      <c r="D296" s="8"/>
      <c r="E296" s="8"/>
      <c r="F296" s="8"/>
      <c r="G296" s="8"/>
      <c r="H296" s="8"/>
      <c r="I296" s="8"/>
      <c r="J296" s="8"/>
      <c r="K296" s="8"/>
      <c r="L296" s="8"/>
      <c r="M296" s="8"/>
      <c r="N296" s="8"/>
      <c r="O296" s="8"/>
      <c r="P296" s="8"/>
      <c r="Q296" s="8"/>
      <c r="R296" s="8"/>
      <c r="S296" s="8"/>
      <c r="T296" s="8"/>
      <c r="U296" s="8"/>
      <c r="V296" s="8"/>
      <c r="W296" s="8"/>
      <c r="X296" s="8"/>
      <c r="Y296" s="8"/>
      <c r="Z296" s="8"/>
      <c r="AA296" s="8"/>
      <c r="AB296" s="8"/>
      <c r="AD296" s="8"/>
      <c r="AE296" s="8"/>
      <c r="AF296" s="8"/>
      <c r="AG296" s="8"/>
      <c r="AH296" s="8"/>
      <c r="AI296" s="8"/>
      <c r="AJ296" s="8"/>
      <c r="AK296" s="8"/>
      <c r="AL296" s="8"/>
      <c r="AM296" s="8"/>
      <c r="AN296" s="8"/>
      <c r="AO296" s="8"/>
      <c r="AV296" s="506"/>
      <c r="AW296" s="506"/>
      <c r="AZ296" s="506"/>
      <c r="BI296" s="506"/>
      <c r="BJ296" s="506"/>
      <c r="BM296" s="506"/>
      <c r="BU296" s="506"/>
      <c r="BV296" s="506"/>
      <c r="BY296" s="506"/>
      <c r="CG296" s="506"/>
      <c r="CH296" s="506"/>
      <c r="CK296" s="506"/>
      <c r="CU296" s="506"/>
      <c r="CV296" s="506"/>
      <c r="CY296" s="506"/>
      <c r="DI296" s="506"/>
      <c r="DJ296" s="506"/>
      <c r="DM296" s="506"/>
      <c r="DV296" s="506"/>
      <c r="DW296" s="506"/>
      <c r="DZ296" s="506"/>
    </row>
    <row r="297" spans="1:130" x14ac:dyDescent="0.2">
      <c r="A297" s="8"/>
      <c r="B297" s="8"/>
      <c r="C297" s="8"/>
      <c r="D297" s="8"/>
      <c r="E297" s="8"/>
      <c r="F297" s="8"/>
      <c r="G297" s="8"/>
      <c r="H297" s="8"/>
      <c r="I297" s="8"/>
      <c r="J297" s="8"/>
      <c r="K297" s="8"/>
      <c r="L297" s="8"/>
      <c r="M297" s="8"/>
      <c r="N297" s="8"/>
      <c r="O297" s="8"/>
      <c r="P297" s="8"/>
      <c r="Q297" s="8"/>
      <c r="R297" s="8"/>
      <c r="S297" s="8"/>
      <c r="T297" s="8"/>
      <c r="U297" s="8"/>
      <c r="V297" s="8"/>
      <c r="W297" s="8"/>
      <c r="X297" s="8"/>
      <c r="Y297" s="8"/>
      <c r="Z297" s="8"/>
      <c r="AA297" s="8"/>
      <c r="AB297" s="8"/>
      <c r="AD297" s="8"/>
      <c r="AE297" s="8"/>
      <c r="AF297" s="8"/>
      <c r="AG297" s="8"/>
      <c r="AH297" s="8"/>
      <c r="AI297" s="8"/>
      <c r="AJ297" s="8"/>
      <c r="AK297" s="8"/>
      <c r="AL297" s="8"/>
      <c r="AM297" s="8"/>
      <c r="AN297" s="8"/>
      <c r="AO297" s="8"/>
      <c r="AV297" s="506"/>
      <c r="AW297" s="506"/>
      <c r="AZ297" s="506"/>
      <c r="BI297" s="506"/>
      <c r="BJ297" s="506"/>
      <c r="BM297" s="506"/>
      <c r="BU297" s="506"/>
      <c r="BV297" s="506"/>
      <c r="BY297" s="506"/>
      <c r="CG297" s="506"/>
      <c r="CH297" s="506"/>
      <c r="CK297" s="506"/>
      <c r="CU297" s="506"/>
      <c r="CV297" s="506"/>
      <c r="CY297" s="506"/>
      <c r="DI297" s="506"/>
      <c r="DJ297" s="506"/>
      <c r="DM297" s="506"/>
      <c r="DV297" s="506"/>
      <c r="DW297" s="506"/>
      <c r="DZ297" s="506"/>
    </row>
    <row r="298" spans="1:130" x14ac:dyDescent="0.2">
      <c r="A298" s="8"/>
      <c r="B298" s="8"/>
      <c r="C298" s="8"/>
      <c r="D298" s="8"/>
      <c r="E298" s="8"/>
      <c r="F298" s="8"/>
      <c r="G298" s="8"/>
      <c r="H298" s="8"/>
      <c r="I298" s="8"/>
      <c r="J298" s="8"/>
      <c r="K298" s="8"/>
      <c r="L298" s="8"/>
      <c r="M298" s="8"/>
      <c r="N298" s="8"/>
      <c r="O298" s="8"/>
      <c r="P298" s="8"/>
      <c r="Q298" s="8"/>
      <c r="R298" s="8"/>
      <c r="S298" s="8"/>
      <c r="T298" s="8"/>
      <c r="U298" s="8"/>
      <c r="V298" s="8"/>
      <c r="W298" s="8"/>
      <c r="X298" s="8"/>
      <c r="Y298" s="8"/>
      <c r="Z298" s="8"/>
      <c r="AA298" s="8"/>
      <c r="AB298" s="8"/>
      <c r="AD298" s="8"/>
      <c r="AE298" s="8"/>
      <c r="AF298" s="8"/>
      <c r="AG298" s="8"/>
      <c r="AH298" s="8"/>
      <c r="AI298" s="8"/>
      <c r="AJ298" s="8"/>
      <c r="AK298" s="8"/>
      <c r="AL298" s="8"/>
      <c r="AM298" s="8"/>
      <c r="AN298" s="8"/>
      <c r="AO298" s="8"/>
      <c r="AV298" s="506"/>
      <c r="AW298" s="506"/>
      <c r="AZ298" s="506"/>
      <c r="BI298" s="506"/>
      <c r="BJ298" s="506"/>
      <c r="BM298" s="506"/>
      <c r="BU298" s="506"/>
      <c r="BV298" s="506"/>
      <c r="BY298" s="506"/>
      <c r="CG298" s="506"/>
      <c r="CH298" s="506"/>
      <c r="CK298" s="506"/>
      <c r="CU298" s="506"/>
      <c r="CV298" s="506"/>
      <c r="CY298" s="506"/>
      <c r="DI298" s="506"/>
      <c r="DJ298" s="506"/>
      <c r="DM298" s="506"/>
      <c r="DV298" s="506"/>
      <c r="DW298" s="506"/>
      <c r="DZ298" s="506"/>
    </row>
    <row r="299" spans="1:130" x14ac:dyDescent="0.2">
      <c r="A299" s="8"/>
      <c r="B299" s="8"/>
      <c r="C299" s="8"/>
      <c r="D299" s="8"/>
      <c r="E299" s="8"/>
      <c r="F299" s="8"/>
      <c r="G299" s="8"/>
      <c r="H299" s="8"/>
      <c r="I299" s="8"/>
      <c r="J299" s="8"/>
      <c r="K299" s="8"/>
      <c r="L299" s="8"/>
      <c r="M299" s="8"/>
      <c r="N299" s="8"/>
      <c r="O299" s="8"/>
      <c r="P299" s="8"/>
      <c r="Q299" s="8"/>
      <c r="R299" s="8"/>
      <c r="S299" s="8"/>
      <c r="T299" s="8"/>
      <c r="U299" s="8"/>
      <c r="V299" s="8"/>
      <c r="W299" s="8"/>
      <c r="X299" s="8"/>
      <c r="Y299" s="8"/>
      <c r="Z299" s="8"/>
      <c r="AA299" s="8"/>
      <c r="AB299" s="8"/>
      <c r="AD299" s="8"/>
      <c r="AE299" s="8"/>
      <c r="AF299" s="8"/>
      <c r="AG299" s="8"/>
      <c r="AH299" s="8"/>
      <c r="AI299" s="8"/>
      <c r="AJ299" s="8"/>
      <c r="AK299" s="8"/>
      <c r="AL299" s="8"/>
      <c r="AM299" s="8"/>
      <c r="AN299" s="8"/>
      <c r="AO299" s="8"/>
      <c r="AV299" s="506"/>
      <c r="AW299" s="506"/>
      <c r="AZ299" s="506"/>
      <c r="BI299" s="506"/>
      <c r="BJ299" s="506"/>
      <c r="BM299" s="506"/>
      <c r="BU299" s="506"/>
      <c r="BV299" s="506"/>
      <c r="BY299" s="506"/>
      <c r="CG299" s="506"/>
      <c r="CH299" s="506"/>
      <c r="CK299" s="506"/>
      <c r="CU299" s="506"/>
      <c r="CV299" s="506"/>
      <c r="CY299" s="506"/>
      <c r="DI299" s="506"/>
      <c r="DJ299" s="506"/>
      <c r="DM299" s="506"/>
      <c r="DV299" s="506"/>
      <c r="DW299" s="506"/>
      <c r="DZ299" s="506"/>
    </row>
    <row r="300" spans="1:130" x14ac:dyDescent="0.2">
      <c r="A300" s="8"/>
      <c r="B300" s="8"/>
      <c r="C300" s="8"/>
      <c r="D300" s="8"/>
      <c r="E300" s="8"/>
      <c r="F300" s="8"/>
      <c r="G300" s="8"/>
      <c r="H300" s="8"/>
      <c r="I300" s="8"/>
      <c r="J300" s="8"/>
      <c r="K300" s="8"/>
      <c r="L300" s="8"/>
      <c r="M300" s="8"/>
      <c r="N300" s="8"/>
      <c r="O300" s="8"/>
      <c r="P300" s="8"/>
      <c r="Q300" s="8"/>
      <c r="R300" s="8"/>
      <c r="S300" s="8"/>
      <c r="T300" s="8"/>
      <c r="U300" s="8"/>
      <c r="V300" s="8"/>
      <c r="W300" s="8"/>
      <c r="X300" s="8"/>
      <c r="Y300" s="8"/>
      <c r="Z300" s="8"/>
      <c r="AA300" s="8"/>
      <c r="AB300" s="8"/>
      <c r="AD300" s="8"/>
      <c r="AE300" s="8"/>
      <c r="AF300" s="8"/>
      <c r="AG300" s="8"/>
      <c r="AH300" s="8"/>
      <c r="AI300" s="8"/>
      <c r="AJ300" s="8"/>
      <c r="AK300" s="8"/>
      <c r="AL300" s="8"/>
      <c r="AM300" s="8"/>
      <c r="AN300" s="8"/>
      <c r="AO300" s="8"/>
      <c r="AV300" s="506"/>
      <c r="AW300" s="506"/>
      <c r="AZ300" s="506"/>
      <c r="BI300" s="506"/>
      <c r="BJ300" s="506"/>
      <c r="BM300" s="506"/>
      <c r="BU300" s="506"/>
      <c r="BV300" s="506"/>
      <c r="BY300" s="506"/>
      <c r="CG300" s="506"/>
      <c r="CH300" s="506"/>
      <c r="CK300" s="506"/>
      <c r="CU300" s="506"/>
      <c r="CV300" s="506"/>
      <c r="CY300" s="506"/>
      <c r="DI300" s="506"/>
      <c r="DJ300" s="506"/>
      <c r="DM300" s="506"/>
      <c r="DV300" s="506"/>
      <c r="DW300" s="506"/>
      <c r="DZ300" s="506"/>
    </row>
    <row r="301" spans="1:130" x14ac:dyDescent="0.2">
      <c r="A301" s="8"/>
      <c r="B301" s="8"/>
      <c r="C301" s="8"/>
      <c r="D301" s="8"/>
      <c r="E301" s="8"/>
      <c r="F301" s="8"/>
      <c r="G301" s="8"/>
      <c r="H301" s="8"/>
      <c r="I301" s="8"/>
      <c r="J301" s="8"/>
      <c r="K301" s="8"/>
      <c r="L301" s="8"/>
      <c r="M301" s="8"/>
      <c r="N301" s="8"/>
      <c r="O301" s="8"/>
      <c r="P301" s="8"/>
      <c r="Q301" s="8"/>
      <c r="R301" s="8"/>
      <c r="S301" s="8"/>
      <c r="T301" s="8"/>
      <c r="U301" s="8"/>
      <c r="V301" s="8"/>
      <c r="W301" s="8"/>
      <c r="X301" s="8"/>
      <c r="Y301" s="8"/>
      <c r="Z301" s="8"/>
      <c r="AA301" s="8"/>
      <c r="AB301" s="8"/>
      <c r="AD301" s="8"/>
      <c r="AE301" s="8"/>
      <c r="AF301" s="8"/>
      <c r="AG301" s="8"/>
      <c r="AH301" s="8"/>
      <c r="AI301" s="8"/>
      <c r="AJ301" s="8"/>
      <c r="AK301" s="8"/>
      <c r="AL301" s="8"/>
      <c r="AM301" s="8"/>
      <c r="AN301" s="8"/>
      <c r="AO301" s="8"/>
      <c r="AV301" s="506"/>
      <c r="AW301" s="506"/>
      <c r="AZ301" s="506"/>
      <c r="BI301" s="506"/>
      <c r="BJ301" s="506"/>
      <c r="BM301" s="506"/>
      <c r="BU301" s="506"/>
      <c r="BV301" s="506"/>
      <c r="BY301" s="506"/>
      <c r="CG301" s="506"/>
      <c r="CH301" s="506"/>
      <c r="CK301" s="506"/>
      <c r="CU301" s="506"/>
      <c r="CV301" s="506"/>
      <c r="CY301" s="506"/>
      <c r="DI301" s="506"/>
      <c r="DJ301" s="506"/>
      <c r="DM301" s="506"/>
      <c r="DV301" s="506"/>
      <c r="DW301" s="506"/>
      <c r="DZ301" s="506"/>
    </row>
    <row r="302" spans="1:130" x14ac:dyDescent="0.2">
      <c r="A302" s="8"/>
      <c r="B302" s="8"/>
      <c r="C302" s="8"/>
      <c r="D302" s="8"/>
      <c r="E302" s="8"/>
      <c r="F302" s="8"/>
      <c r="G302" s="8"/>
      <c r="H302" s="8"/>
      <c r="I302" s="8"/>
      <c r="J302" s="8"/>
      <c r="K302" s="8"/>
      <c r="L302" s="8"/>
      <c r="M302" s="8"/>
      <c r="N302" s="8"/>
      <c r="O302" s="8"/>
      <c r="P302" s="8"/>
      <c r="Q302" s="8"/>
      <c r="R302" s="8"/>
      <c r="S302" s="8"/>
      <c r="T302" s="8"/>
      <c r="U302" s="8"/>
      <c r="V302" s="8"/>
      <c r="W302" s="8"/>
      <c r="X302" s="8"/>
      <c r="Y302" s="8"/>
      <c r="Z302" s="8"/>
      <c r="AA302" s="8"/>
      <c r="AB302" s="8"/>
      <c r="AD302" s="8"/>
      <c r="AE302" s="8"/>
      <c r="AF302" s="8"/>
      <c r="AG302" s="8"/>
      <c r="AH302" s="8"/>
      <c r="AI302" s="8"/>
      <c r="AJ302" s="8"/>
      <c r="AK302" s="8"/>
      <c r="AL302" s="8"/>
      <c r="AM302" s="8"/>
      <c r="AN302" s="8"/>
      <c r="AO302" s="8"/>
      <c r="AV302" s="506"/>
      <c r="AW302" s="506"/>
      <c r="AZ302" s="506"/>
      <c r="BI302" s="506"/>
      <c r="BJ302" s="506"/>
      <c r="BM302" s="506"/>
      <c r="BU302" s="506"/>
      <c r="BV302" s="506"/>
      <c r="BY302" s="506"/>
      <c r="CG302" s="506"/>
      <c r="CH302" s="506"/>
      <c r="CK302" s="506"/>
      <c r="CU302" s="506"/>
      <c r="CV302" s="506"/>
      <c r="CY302" s="506"/>
      <c r="DI302" s="506"/>
      <c r="DJ302" s="506"/>
      <c r="DM302" s="506"/>
      <c r="DV302" s="506"/>
      <c r="DW302" s="506"/>
      <c r="DZ302" s="506"/>
    </row>
    <row r="303" spans="1:130" x14ac:dyDescent="0.2">
      <c r="A303" s="8"/>
      <c r="B303" s="8"/>
      <c r="C303" s="8"/>
      <c r="D303" s="8"/>
      <c r="E303" s="8"/>
      <c r="F303" s="8"/>
      <c r="G303" s="8"/>
      <c r="H303" s="8"/>
      <c r="I303" s="8"/>
      <c r="J303" s="8"/>
      <c r="K303" s="8"/>
      <c r="L303" s="8"/>
      <c r="M303" s="8"/>
      <c r="N303" s="8"/>
      <c r="O303" s="8"/>
      <c r="P303" s="8"/>
      <c r="Q303" s="8"/>
      <c r="R303" s="8"/>
      <c r="S303" s="8"/>
      <c r="T303" s="8"/>
      <c r="U303" s="8"/>
      <c r="V303" s="8"/>
      <c r="W303" s="8"/>
      <c r="X303" s="8"/>
      <c r="Y303" s="8"/>
      <c r="Z303" s="8"/>
      <c r="AA303" s="8"/>
      <c r="AB303" s="8"/>
      <c r="AD303" s="8"/>
      <c r="AE303" s="8"/>
      <c r="AF303" s="8"/>
      <c r="AG303" s="8"/>
      <c r="AH303" s="8"/>
      <c r="AI303" s="8"/>
      <c r="AJ303" s="8"/>
      <c r="AK303" s="8"/>
      <c r="AL303" s="8"/>
      <c r="AM303" s="8"/>
      <c r="AN303" s="8"/>
      <c r="AO303" s="8"/>
      <c r="AV303" s="506"/>
      <c r="AW303" s="506"/>
      <c r="AZ303" s="506"/>
      <c r="BI303" s="506"/>
      <c r="BJ303" s="506"/>
      <c r="BM303" s="506"/>
      <c r="BU303" s="506"/>
      <c r="BV303" s="506"/>
      <c r="BY303" s="506"/>
      <c r="CG303" s="506"/>
      <c r="CH303" s="506"/>
      <c r="CK303" s="506"/>
      <c r="CU303" s="506"/>
      <c r="CV303" s="506"/>
      <c r="CY303" s="506"/>
      <c r="DI303" s="506"/>
      <c r="DJ303" s="506"/>
      <c r="DM303" s="506"/>
      <c r="DV303" s="506"/>
      <c r="DW303" s="506"/>
      <c r="DZ303" s="506"/>
    </row>
    <row r="304" spans="1:130" x14ac:dyDescent="0.2">
      <c r="A304" s="8"/>
      <c r="B304" s="8"/>
      <c r="C304" s="8"/>
      <c r="D304" s="8"/>
      <c r="E304" s="8"/>
      <c r="F304" s="8"/>
      <c r="G304" s="8"/>
      <c r="H304" s="8"/>
      <c r="I304" s="8"/>
      <c r="J304" s="8"/>
      <c r="K304" s="8"/>
      <c r="L304" s="8"/>
      <c r="M304" s="8"/>
      <c r="N304" s="8"/>
      <c r="O304" s="8"/>
      <c r="P304" s="8"/>
      <c r="Q304" s="8"/>
      <c r="R304" s="8"/>
      <c r="S304" s="8"/>
      <c r="T304" s="8"/>
      <c r="U304" s="8"/>
      <c r="V304" s="8"/>
      <c r="W304" s="8"/>
      <c r="X304" s="8"/>
      <c r="Y304" s="8"/>
      <c r="Z304" s="8"/>
      <c r="AA304" s="8"/>
      <c r="AB304" s="8"/>
      <c r="AD304" s="8"/>
      <c r="AE304" s="8"/>
      <c r="AF304" s="8"/>
      <c r="AG304" s="8"/>
      <c r="AH304" s="8"/>
      <c r="AI304" s="8"/>
      <c r="AJ304" s="8"/>
      <c r="AK304" s="8"/>
      <c r="AL304" s="8"/>
      <c r="AM304" s="8"/>
      <c r="AN304" s="8"/>
      <c r="AO304" s="8"/>
      <c r="AV304" s="506"/>
      <c r="AW304" s="506"/>
      <c r="AZ304" s="506"/>
      <c r="BI304" s="506"/>
      <c r="BJ304" s="506"/>
      <c r="BM304" s="506"/>
      <c r="BU304" s="506"/>
      <c r="BV304" s="506"/>
      <c r="BY304" s="506"/>
      <c r="CG304" s="506"/>
      <c r="CH304" s="506"/>
      <c r="CK304" s="506"/>
      <c r="CU304" s="506"/>
      <c r="CV304" s="506"/>
      <c r="CY304" s="506"/>
      <c r="DI304" s="506"/>
      <c r="DJ304" s="506"/>
      <c r="DM304" s="506"/>
      <c r="DV304" s="506"/>
      <c r="DW304" s="506"/>
      <c r="DZ304" s="506"/>
    </row>
    <row r="305" spans="1:130" x14ac:dyDescent="0.2">
      <c r="A305" s="8"/>
      <c r="B305" s="8"/>
      <c r="C305" s="8"/>
      <c r="D305" s="8"/>
      <c r="E305" s="8"/>
      <c r="F305" s="8"/>
      <c r="G305" s="8"/>
      <c r="H305" s="8"/>
      <c r="I305" s="8"/>
      <c r="J305" s="8"/>
      <c r="K305" s="8"/>
      <c r="L305" s="8"/>
      <c r="M305" s="8"/>
      <c r="N305" s="8"/>
      <c r="O305" s="8"/>
      <c r="P305" s="8"/>
      <c r="Q305" s="8"/>
      <c r="R305" s="8"/>
      <c r="S305" s="8"/>
      <c r="T305" s="8"/>
      <c r="U305" s="8"/>
      <c r="V305" s="8"/>
      <c r="W305" s="8"/>
      <c r="X305" s="8"/>
      <c r="Y305" s="8"/>
      <c r="Z305" s="8"/>
      <c r="AA305" s="8"/>
      <c r="AB305" s="8"/>
      <c r="AD305" s="8"/>
      <c r="AE305" s="8"/>
      <c r="AF305" s="8"/>
      <c r="AG305" s="8"/>
      <c r="AH305" s="8"/>
      <c r="AI305" s="8"/>
      <c r="AJ305" s="8"/>
      <c r="AK305" s="8"/>
      <c r="AL305" s="8"/>
      <c r="AM305" s="8"/>
      <c r="AN305" s="8"/>
      <c r="AO305" s="8"/>
      <c r="AV305" s="506"/>
      <c r="AW305" s="506"/>
      <c r="AZ305" s="506"/>
      <c r="BI305" s="506"/>
      <c r="BJ305" s="506"/>
      <c r="BM305" s="506"/>
      <c r="BU305" s="506"/>
      <c r="BV305" s="506"/>
      <c r="BY305" s="506"/>
      <c r="CG305" s="506"/>
      <c r="CH305" s="506"/>
      <c r="CK305" s="506"/>
      <c r="CU305" s="506"/>
      <c r="CV305" s="506"/>
      <c r="CY305" s="506"/>
      <c r="DI305" s="506"/>
      <c r="DJ305" s="506"/>
      <c r="DM305" s="506"/>
      <c r="DV305" s="506"/>
      <c r="DW305" s="506"/>
      <c r="DZ305" s="506"/>
    </row>
    <row r="306" spans="1:130" x14ac:dyDescent="0.2">
      <c r="A306" s="8"/>
      <c r="B306" s="8"/>
      <c r="C306" s="8"/>
      <c r="D306" s="8"/>
      <c r="E306" s="8"/>
      <c r="F306" s="8"/>
      <c r="G306" s="8"/>
      <c r="H306" s="8"/>
      <c r="I306" s="8"/>
      <c r="J306" s="8"/>
      <c r="K306" s="8"/>
      <c r="L306" s="8"/>
      <c r="M306" s="8"/>
      <c r="N306" s="8"/>
      <c r="O306" s="8"/>
      <c r="P306" s="8"/>
      <c r="Q306" s="8"/>
      <c r="R306" s="8"/>
      <c r="S306" s="8"/>
      <c r="T306" s="8"/>
      <c r="U306" s="8"/>
      <c r="V306" s="8"/>
      <c r="W306" s="8"/>
      <c r="X306" s="8"/>
      <c r="Y306" s="8"/>
      <c r="Z306" s="8"/>
      <c r="AA306" s="8"/>
      <c r="AB306" s="8"/>
      <c r="AD306" s="8"/>
      <c r="AE306" s="8"/>
      <c r="AF306" s="8"/>
      <c r="AG306" s="8"/>
      <c r="AH306" s="8"/>
      <c r="AI306" s="8"/>
      <c r="AJ306" s="8"/>
      <c r="AK306" s="8"/>
      <c r="AL306" s="8"/>
      <c r="AM306" s="8"/>
      <c r="AN306" s="8"/>
      <c r="AO306" s="8"/>
      <c r="AV306" s="506"/>
      <c r="AW306" s="506"/>
      <c r="AZ306" s="506"/>
      <c r="BI306" s="506"/>
      <c r="BJ306" s="506"/>
      <c r="BM306" s="506"/>
      <c r="BU306" s="506"/>
      <c r="BV306" s="506"/>
      <c r="BY306" s="506"/>
      <c r="CG306" s="506"/>
      <c r="CH306" s="506"/>
      <c r="CK306" s="506"/>
      <c r="CU306" s="506"/>
      <c r="CV306" s="506"/>
      <c r="CY306" s="506"/>
      <c r="DI306" s="506"/>
      <c r="DJ306" s="506"/>
      <c r="DM306" s="506"/>
      <c r="DV306" s="506"/>
      <c r="DW306" s="506"/>
      <c r="DZ306" s="506"/>
    </row>
    <row r="307" spans="1:130" x14ac:dyDescent="0.2">
      <c r="A307" s="8"/>
      <c r="B307" s="8"/>
      <c r="C307" s="8"/>
      <c r="D307" s="8"/>
      <c r="E307" s="8"/>
      <c r="F307" s="8"/>
      <c r="G307" s="8"/>
      <c r="H307" s="8"/>
      <c r="I307" s="8"/>
      <c r="J307" s="8"/>
      <c r="K307" s="8"/>
      <c r="L307" s="8"/>
      <c r="M307" s="8"/>
      <c r="N307" s="8"/>
      <c r="O307" s="8"/>
      <c r="P307" s="8"/>
      <c r="Q307" s="8"/>
      <c r="R307" s="8"/>
      <c r="S307" s="8"/>
      <c r="T307" s="8"/>
      <c r="U307" s="8"/>
      <c r="V307" s="8"/>
      <c r="W307" s="8"/>
      <c r="X307" s="8"/>
      <c r="Y307" s="8"/>
      <c r="Z307" s="8"/>
      <c r="AA307" s="8"/>
      <c r="AB307" s="8"/>
      <c r="AD307" s="8"/>
      <c r="AE307" s="8"/>
      <c r="AF307" s="8"/>
      <c r="AG307" s="8"/>
      <c r="AH307" s="8"/>
      <c r="AI307" s="8"/>
      <c r="AJ307" s="8"/>
      <c r="AK307" s="8"/>
      <c r="AL307" s="8"/>
      <c r="AM307" s="8"/>
      <c r="AN307" s="8"/>
      <c r="AO307" s="8"/>
      <c r="AV307" s="506"/>
      <c r="AW307" s="506"/>
      <c r="AZ307" s="506"/>
      <c r="BI307" s="506"/>
      <c r="BJ307" s="506"/>
      <c r="BM307" s="506"/>
      <c r="BU307" s="506"/>
      <c r="BV307" s="506"/>
      <c r="BY307" s="506"/>
      <c r="CG307" s="506"/>
      <c r="CH307" s="506"/>
      <c r="CK307" s="506"/>
      <c r="CU307" s="506"/>
      <c r="CV307" s="506"/>
      <c r="CY307" s="506"/>
      <c r="DI307" s="506"/>
      <c r="DJ307" s="506"/>
      <c r="DM307" s="506"/>
      <c r="DV307" s="506"/>
      <c r="DW307" s="506"/>
      <c r="DZ307" s="506"/>
    </row>
    <row r="308" spans="1:130" x14ac:dyDescent="0.2">
      <c r="A308" s="8"/>
      <c r="B308" s="8"/>
      <c r="C308" s="8"/>
      <c r="D308" s="8"/>
      <c r="E308" s="8"/>
      <c r="F308" s="8"/>
      <c r="G308" s="8"/>
      <c r="H308" s="8"/>
      <c r="I308" s="8"/>
      <c r="J308" s="8"/>
      <c r="K308" s="8"/>
      <c r="L308" s="8"/>
      <c r="M308" s="8"/>
      <c r="N308" s="8"/>
      <c r="O308" s="8"/>
      <c r="P308" s="8"/>
      <c r="Q308" s="8"/>
      <c r="R308" s="8"/>
      <c r="S308" s="8"/>
      <c r="T308" s="8"/>
      <c r="U308" s="8"/>
      <c r="V308" s="8"/>
      <c r="W308" s="8"/>
      <c r="X308" s="8"/>
      <c r="Y308" s="8"/>
      <c r="Z308" s="8"/>
      <c r="AA308" s="8"/>
      <c r="AB308" s="8"/>
      <c r="AD308" s="8"/>
      <c r="AE308" s="8"/>
      <c r="AF308" s="8"/>
      <c r="AG308" s="8"/>
      <c r="AH308" s="8"/>
      <c r="AI308" s="8"/>
      <c r="AJ308" s="8"/>
      <c r="AK308" s="8"/>
      <c r="AL308" s="8"/>
      <c r="AM308" s="8"/>
      <c r="AN308" s="8"/>
      <c r="AO308" s="8"/>
      <c r="AV308" s="506"/>
      <c r="AW308" s="506"/>
      <c r="AZ308" s="506"/>
      <c r="BI308" s="506"/>
      <c r="BJ308" s="506"/>
      <c r="BM308" s="506"/>
      <c r="BU308" s="506"/>
      <c r="BV308" s="506"/>
      <c r="BY308" s="506"/>
      <c r="CG308" s="506"/>
      <c r="CH308" s="506"/>
      <c r="CK308" s="506"/>
      <c r="CU308" s="506"/>
      <c r="CV308" s="506"/>
      <c r="CY308" s="506"/>
      <c r="DI308" s="506"/>
      <c r="DJ308" s="506"/>
      <c r="DM308" s="506"/>
      <c r="DV308" s="506"/>
      <c r="DW308" s="506"/>
      <c r="DZ308" s="506"/>
    </row>
    <row r="309" spans="1:130" x14ac:dyDescent="0.2">
      <c r="A309" s="8"/>
      <c r="B309" s="8"/>
      <c r="C309" s="8"/>
      <c r="D309" s="8"/>
      <c r="E309" s="8"/>
      <c r="F309" s="8"/>
      <c r="G309" s="8"/>
      <c r="H309" s="8"/>
      <c r="I309" s="8"/>
      <c r="J309" s="8"/>
      <c r="K309" s="8"/>
      <c r="L309" s="8"/>
      <c r="M309" s="8"/>
      <c r="N309" s="8"/>
      <c r="O309" s="8"/>
      <c r="P309" s="8"/>
      <c r="Q309" s="8"/>
      <c r="R309" s="8"/>
      <c r="S309" s="8"/>
      <c r="T309" s="8"/>
      <c r="U309" s="8"/>
      <c r="V309" s="8"/>
      <c r="W309" s="8"/>
      <c r="X309" s="8"/>
      <c r="Y309" s="8"/>
      <c r="Z309" s="8"/>
      <c r="AA309" s="8"/>
      <c r="AB309" s="8"/>
      <c r="AD309" s="8"/>
      <c r="AE309" s="8"/>
      <c r="AF309" s="8"/>
      <c r="AG309" s="8"/>
      <c r="AH309" s="8"/>
      <c r="AI309" s="8"/>
      <c r="AJ309" s="8"/>
      <c r="AK309" s="8"/>
      <c r="AL309" s="8"/>
      <c r="AM309" s="8"/>
      <c r="AN309" s="8"/>
      <c r="AO309" s="8"/>
      <c r="AV309" s="506"/>
      <c r="AW309" s="506"/>
      <c r="AZ309" s="506"/>
      <c r="BI309" s="506"/>
      <c r="BJ309" s="506"/>
      <c r="BM309" s="506"/>
      <c r="BU309" s="506"/>
      <c r="BV309" s="506"/>
      <c r="BY309" s="506"/>
      <c r="CG309" s="506"/>
      <c r="CH309" s="506"/>
      <c r="CK309" s="506"/>
      <c r="CU309" s="506"/>
      <c r="CV309" s="506"/>
      <c r="CY309" s="506"/>
      <c r="DI309" s="506"/>
      <c r="DJ309" s="506"/>
      <c r="DM309" s="506"/>
      <c r="DV309" s="506"/>
      <c r="DW309" s="506"/>
      <c r="DZ309" s="506"/>
    </row>
    <row r="310" spans="1:130" x14ac:dyDescent="0.2">
      <c r="A310" s="8"/>
      <c r="B310" s="8"/>
      <c r="C310" s="8"/>
      <c r="D310" s="8"/>
      <c r="E310" s="8"/>
      <c r="F310" s="8"/>
      <c r="G310" s="8"/>
      <c r="H310" s="8"/>
      <c r="I310" s="8"/>
      <c r="J310" s="8"/>
      <c r="K310" s="8"/>
      <c r="L310" s="8"/>
      <c r="M310" s="8"/>
      <c r="N310" s="8"/>
      <c r="O310" s="8"/>
      <c r="P310" s="8"/>
      <c r="Q310" s="8"/>
      <c r="R310" s="8"/>
      <c r="S310" s="8"/>
      <c r="T310" s="8"/>
      <c r="U310" s="8"/>
      <c r="V310" s="8"/>
      <c r="W310" s="8"/>
      <c r="X310" s="8"/>
      <c r="Y310" s="8"/>
      <c r="Z310" s="8"/>
      <c r="AA310" s="8"/>
      <c r="AB310" s="8"/>
      <c r="AD310" s="8"/>
      <c r="AE310" s="8"/>
      <c r="AF310" s="8"/>
      <c r="AG310" s="8"/>
      <c r="AH310" s="8"/>
      <c r="AI310" s="8"/>
      <c r="AJ310" s="8"/>
      <c r="AK310" s="8"/>
      <c r="AL310" s="8"/>
      <c r="AM310" s="8"/>
      <c r="AN310" s="8"/>
      <c r="AO310" s="8"/>
      <c r="AV310" s="506"/>
      <c r="AW310" s="506"/>
      <c r="AZ310" s="506"/>
      <c r="BI310" s="506"/>
      <c r="BJ310" s="506"/>
      <c r="BM310" s="506"/>
      <c r="BU310" s="506"/>
      <c r="BV310" s="506"/>
      <c r="BY310" s="506"/>
      <c r="CG310" s="506"/>
      <c r="CH310" s="506"/>
      <c r="CK310" s="506"/>
      <c r="CU310" s="506"/>
      <c r="CV310" s="506"/>
      <c r="CY310" s="506"/>
      <c r="DI310" s="506"/>
      <c r="DJ310" s="506"/>
      <c r="DM310" s="506"/>
      <c r="DV310" s="506"/>
      <c r="DW310" s="506"/>
      <c r="DZ310" s="506"/>
    </row>
    <row r="311" spans="1:130" x14ac:dyDescent="0.2">
      <c r="A311" s="8"/>
      <c r="B311" s="8"/>
      <c r="C311" s="8"/>
      <c r="D311" s="8"/>
      <c r="E311" s="8"/>
      <c r="F311" s="8"/>
      <c r="G311" s="8"/>
      <c r="H311" s="8"/>
      <c r="I311" s="8"/>
      <c r="J311" s="8"/>
      <c r="K311" s="8"/>
      <c r="L311" s="8"/>
      <c r="M311" s="8"/>
      <c r="N311" s="8"/>
      <c r="O311" s="8"/>
      <c r="P311" s="8"/>
      <c r="Q311" s="8"/>
      <c r="R311" s="8"/>
      <c r="S311" s="8"/>
      <c r="T311" s="8"/>
      <c r="U311" s="8"/>
      <c r="V311" s="8"/>
      <c r="W311" s="8"/>
      <c r="X311" s="8"/>
      <c r="Y311" s="8"/>
      <c r="Z311" s="8"/>
      <c r="AA311" s="8"/>
      <c r="AB311" s="8"/>
      <c r="AD311" s="8"/>
      <c r="AE311" s="8"/>
      <c r="AF311" s="8"/>
      <c r="AG311" s="8"/>
      <c r="AH311" s="8"/>
      <c r="AI311" s="8"/>
      <c r="AJ311" s="8"/>
      <c r="AK311" s="8"/>
      <c r="AL311" s="8"/>
      <c r="AM311" s="8"/>
      <c r="AN311" s="8"/>
      <c r="AO311" s="8"/>
      <c r="AV311" s="506"/>
      <c r="AW311" s="506"/>
      <c r="AZ311" s="506"/>
      <c r="BI311" s="506"/>
      <c r="BJ311" s="506"/>
      <c r="BM311" s="506"/>
      <c r="BU311" s="506"/>
      <c r="BV311" s="506"/>
      <c r="BY311" s="506"/>
      <c r="CG311" s="506"/>
      <c r="CH311" s="506"/>
      <c r="CK311" s="506"/>
      <c r="CU311" s="506"/>
      <c r="CV311" s="506"/>
      <c r="CY311" s="506"/>
      <c r="DI311" s="506"/>
      <c r="DJ311" s="506"/>
      <c r="DM311" s="506"/>
      <c r="DV311" s="506"/>
      <c r="DW311" s="506"/>
      <c r="DZ311" s="506"/>
    </row>
    <row r="312" spans="1:130" x14ac:dyDescent="0.2">
      <c r="A312" s="8"/>
      <c r="B312" s="8"/>
      <c r="C312" s="8"/>
      <c r="D312" s="8"/>
      <c r="E312" s="8"/>
      <c r="F312" s="8"/>
      <c r="G312" s="8"/>
      <c r="H312" s="8"/>
      <c r="I312" s="8"/>
      <c r="J312" s="8"/>
      <c r="K312" s="8"/>
      <c r="L312" s="8"/>
      <c r="M312" s="8"/>
      <c r="N312" s="8"/>
      <c r="O312" s="8"/>
      <c r="P312" s="8"/>
      <c r="Q312" s="8"/>
      <c r="R312" s="8"/>
      <c r="S312" s="8"/>
      <c r="T312" s="8"/>
      <c r="U312" s="8"/>
      <c r="V312" s="8"/>
      <c r="W312" s="8"/>
      <c r="X312" s="8"/>
      <c r="Y312" s="8"/>
      <c r="Z312" s="8"/>
      <c r="AA312" s="8"/>
      <c r="AB312" s="8"/>
      <c r="AD312" s="8"/>
      <c r="AE312" s="8"/>
      <c r="AF312" s="8"/>
      <c r="AG312" s="8"/>
      <c r="AH312" s="8"/>
      <c r="AI312" s="8"/>
      <c r="AJ312" s="8"/>
      <c r="AK312" s="8"/>
      <c r="AL312" s="8"/>
      <c r="AM312" s="8"/>
      <c r="AN312" s="8"/>
      <c r="AO312" s="8"/>
      <c r="AV312" s="506"/>
      <c r="AW312" s="506"/>
      <c r="AZ312" s="506"/>
      <c r="BI312" s="506"/>
      <c r="BJ312" s="506"/>
      <c r="BM312" s="506"/>
      <c r="BU312" s="506"/>
      <c r="BV312" s="506"/>
      <c r="BY312" s="506"/>
      <c r="CG312" s="506"/>
      <c r="CH312" s="506"/>
      <c r="CK312" s="506"/>
      <c r="CU312" s="506"/>
      <c r="CV312" s="506"/>
      <c r="CY312" s="506"/>
      <c r="DI312" s="506"/>
      <c r="DJ312" s="506"/>
      <c r="DM312" s="506"/>
      <c r="DV312" s="506"/>
      <c r="DW312" s="506"/>
      <c r="DZ312" s="506"/>
    </row>
    <row r="313" spans="1:130" x14ac:dyDescent="0.2">
      <c r="A313" s="8"/>
      <c r="B313" s="8"/>
      <c r="C313" s="8"/>
      <c r="D313" s="8"/>
      <c r="E313" s="8"/>
      <c r="F313" s="8"/>
      <c r="G313" s="8"/>
      <c r="H313" s="8"/>
      <c r="I313" s="8"/>
      <c r="J313" s="8"/>
      <c r="K313" s="8"/>
      <c r="L313" s="8"/>
      <c r="M313" s="8"/>
      <c r="N313" s="8"/>
      <c r="O313" s="8"/>
      <c r="P313" s="8"/>
      <c r="Q313" s="8"/>
      <c r="R313" s="8"/>
      <c r="S313" s="8"/>
      <c r="T313" s="8"/>
      <c r="U313" s="8"/>
      <c r="V313" s="8"/>
      <c r="W313" s="8"/>
      <c r="X313" s="8"/>
      <c r="Y313" s="8"/>
      <c r="Z313" s="8"/>
      <c r="AA313" s="8"/>
      <c r="AB313" s="8"/>
      <c r="AD313" s="8"/>
      <c r="AE313" s="8"/>
      <c r="AF313" s="8"/>
      <c r="AG313" s="8"/>
      <c r="AH313" s="8"/>
      <c r="AI313" s="8"/>
      <c r="AJ313" s="8"/>
      <c r="AK313" s="8"/>
      <c r="AL313" s="8"/>
      <c r="AM313" s="8"/>
      <c r="AN313" s="8"/>
      <c r="AO313" s="8"/>
      <c r="AV313" s="506"/>
      <c r="AW313" s="506"/>
      <c r="AZ313" s="506"/>
      <c r="BI313" s="506"/>
      <c r="BJ313" s="506"/>
      <c r="BM313" s="506"/>
      <c r="BU313" s="506"/>
      <c r="BV313" s="506"/>
      <c r="BY313" s="506"/>
      <c r="CG313" s="506"/>
      <c r="CH313" s="506"/>
      <c r="CK313" s="506"/>
      <c r="CU313" s="506"/>
      <c r="CV313" s="506"/>
      <c r="CY313" s="506"/>
      <c r="DI313" s="506"/>
      <c r="DJ313" s="506"/>
      <c r="DM313" s="506"/>
      <c r="DV313" s="506"/>
      <c r="DW313" s="506"/>
      <c r="DZ313" s="506"/>
    </row>
    <row r="314" spans="1:130" x14ac:dyDescent="0.2">
      <c r="A314" s="8"/>
      <c r="B314" s="8"/>
      <c r="C314" s="8"/>
      <c r="D314" s="8"/>
      <c r="E314" s="8"/>
      <c r="F314" s="8"/>
      <c r="G314" s="8"/>
      <c r="H314" s="8"/>
      <c r="I314" s="8"/>
      <c r="J314" s="8"/>
      <c r="K314" s="8"/>
      <c r="L314" s="8"/>
      <c r="M314" s="8"/>
      <c r="N314" s="8"/>
      <c r="O314" s="8"/>
      <c r="P314" s="8"/>
      <c r="Q314" s="8"/>
      <c r="R314" s="8"/>
      <c r="S314" s="8"/>
      <c r="T314" s="8"/>
      <c r="U314" s="8"/>
      <c r="V314" s="8"/>
      <c r="W314" s="8"/>
      <c r="X314" s="8"/>
      <c r="Y314" s="8"/>
      <c r="Z314" s="8"/>
      <c r="AA314" s="8"/>
      <c r="AB314" s="8"/>
      <c r="AD314" s="8"/>
      <c r="AE314" s="8"/>
      <c r="AF314" s="8"/>
      <c r="AG314" s="8"/>
      <c r="AH314" s="8"/>
      <c r="AI314" s="8"/>
      <c r="AJ314" s="8"/>
      <c r="AK314" s="8"/>
      <c r="AL314" s="8"/>
      <c r="AM314" s="8"/>
      <c r="AN314" s="8"/>
      <c r="AO314" s="8"/>
      <c r="AV314" s="506"/>
      <c r="AW314" s="506"/>
      <c r="AZ314" s="506"/>
      <c r="BI314" s="506"/>
      <c r="BJ314" s="506"/>
      <c r="BM314" s="506"/>
      <c r="BU314" s="506"/>
      <c r="BV314" s="506"/>
      <c r="BY314" s="506"/>
      <c r="CG314" s="506"/>
      <c r="CH314" s="506"/>
      <c r="CK314" s="506"/>
      <c r="CU314" s="506"/>
      <c r="CV314" s="506"/>
      <c r="CY314" s="506"/>
      <c r="DI314" s="506"/>
      <c r="DJ314" s="506"/>
      <c r="DM314" s="506"/>
      <c r="DV314" s="506"/>
      <c r="DW314" s="506"/>
      <c r="DZ314" s="506"/>
    </row>
    <row r="315" spans="1:130" x14ac:dyDescent="0.2">
      <c r="A315" s="8"/>
      <c r="B315" s="8"/>
      <c r="C315" s="8"/>
      <c r="D315" s="8"/>
      <c r="E315" s="8"/>
      <c r="F315" s="8"/>
      <c r="G315" s="8"/>
      <c r="H315" s="8"/>
      <c r="I315" s="8"/>
      <c r="J315" s="8"/>
      <c r="K315" s="8"/>
      <c r="L315" s="8"/>
      <c r="M315" s="8"/>
      <c r="N315" s="8"/>
      <c r="O315" s="8"/>
      <c r="P315" s="8"/>
      <c r="Q315" s="8"/>
      <c r="R315" s="8"/>
      <c r="S315" s="8"/>
      <c r="T315" s="8"/>
      <c r="U315" s="8"/>
      <c r="V315" s="8"/>
      <c r="W315" s="8"/>
      <c r="X315" s="8"/>
      <c r="Y315" s="8"/>
      <c r="Z315" s="8"/>
      <c r="AA315" s="8"/>
      <c r="AB315" s="8"/>
      <c r="AD315" s="8"/>
      <c r="AE315" s="8"/>
      <c r="AF315" s="8"/>
      <c r="AG315" s="8"/>
      <c r="AH315" s="8"/>
      <c r="AI315" s="8"/>
      <c r="AJ315" s="8"/>
      <c r="AK315" s="8"/>
      <c r="AL315" s="8"/>
      <c r="AM315" s="8"/>
      <c r="AN315" s="8"/>
      <c r="AO315" s="8"/>
      <c r="AV315" s="506"/>
      <c r="AW315" s="506"/>
      <c r="AZ315" s="506"/>
      <c r="BI315" s="506"/>
      <c r="BJ315" s="506"/>
      <c r="BM315" s="506"/>
      <c r="BU315" s="506"/>
      <c r="BV315" s="506"/>
      <c r="BY315" s="506"/>
      <c r="CG315" s="506"/>
      <c r="CH315" s="506"/>
      <c r="CK315" s="506"/>
      <c r="CU315" s="506"/>
      <c r="CV315" s="506"/>
      <c r="CY315" s="506"/>
      <c r="DI315" s="506"/>
      <c r="DJ315" s="506"/>
      <c r="DM315" s="506"/>
      <c r="DV315" s="506"/>
      <c r="DW315" s="506"/>
      <c r="DZ315" s="506"/>
    </row>
    <row r="316" spans="1:130" x14ac:dyDescent="0.2">
      <c r="A316" s="8"/>
      <c r="B316" s="8"/>
      <c r="C316" s="8"/>
      <c r="D316" s="8"/>
      <c r="E316" s="8"/>
      <c r="F316" s="8"/>
      <c r="G316" s="8"/>
      <c r="H316" s="8"/>
      <c r="I316" s="8"/>
      <c r="J316" s="8"/>
      <c r="K316" s="8"/>
      <c r="L316" s="8"/>
      <c r="M316" s="8"/>
      <c r="N316" s="8"/>
      <c r="O316" s="8"/>
      <c r="P316" s="8"/>
      <c r="Q316" s="8"/>
      <c r="R316" s="8"/>
      <c r="S316" s="8"/>
      <c r="T316" s="8"/>
      <c r="U316" s="8"/>
      <c r="V316" s="8"/>
      <c r="W316" s="8"/>
      <c r="X316" s="8"/>
      <c r="Y316" s="8"/>
      <c r="Z316" s="8"/>
      <c r="AA316" s="8"/>
      <c r="AB316" s="8"/>
      <c r="AD316" s="8"/>
      <c r="AE316" s="8"/>
      <c r="AF316" s="8"/>
      <c r="AG316" s="8"/>
      <c r="AH316" s="8"/>
      <c r="AI316" s="8"/>
      <c r="AJ316" s="8"/>
      <c r="AK316" s="8"/>
      <c r="AL316" s="8"/>
      <c r="AM316" s="8"/>
      <c r="AN316" s="8"/>
      <c r="AO316" s="8"/>
      <c r="AV316" s="506"/>
      <c r="AW316" s="506"/>
      <c r="AZ316" s="506"/>
      <c r="BI316" s="506"/>
      <c r="BJ316" s="506"/>
      <c r="BM316" s="506"/>
      <c r="BU316" s="506"/>
      <c r="BV316" s="506"/>
      <c r="BY316" s="506"/>
      <c r="CG316" s="506"/>
      <c r="CH316" s="506"/>
      <c r="CK316" s="506"/>
      <c r="CU316" s="506"/>
      <c r="CV316" s="506"/>
      <c r="CY316" s="506"/>
      <c r="DI316" s="506"/>
      <c r="DJ316" s="506"/>
      <c r="DM316" s="506"/>
      <c r="DV316" s="506"/>
      <c r="DW316" s="506"/>
      <c r="DZ316" s="506"/>
    </row>
    <row r="317" spans="1:130" x14ac:dyDescent="0.2">
      <c r="A317" s="8"/>
      <c r="B317" s="8"/>
      <c r="C317" s="8"/>
      <c r="D317" s="8"/>
      <c r="E317" s="8"/>
      <c r="F317" s="8"/>
      <c r="G317" s="8"/>
      <c r="H317" s="8"/>
      <c r="I317" s="8"/>
      <c r="J317" s="8"/>
      <c r="K317" s="8"/>
      <c r="L317" s="8"/>
      <c r="M317" s="8"/>
      <c r="N317" s="8"/>
      <c r="O317" s="8"/>
      <c r="P317" s="8"/>
      <c r="Q317" s="8"/>
      <c r="R317" s="8"/>
      <c r="S317" s="8"/>
      <c r="T317" s="8"/>
      <c r="U317" s="8"/>
      <c r="V317" s="8"/>
      <c r="W317" s="8"/>
      <c r="X317" s="8"/>
      <c r="Y317" s="8"/>
      <c r="Z317" s="8"/>
      <c r="AA317" s="8"/>
      <c r="AB317" s="8"/>
      <c r="AD317" s="8"/>
      <c r="AE317" s="8"/>
      <c r="AF317" s="8"/>
      <c r="AG317" s="8"/>
      <c r="AH317" s="8"/>
      <c r="AI317" s="8"/>
      <c r="AJ317" s="8"/>
      <c r="AK317" s="8"/>
      <c r="AL317" s="8"/>
      <c r="AM317" s="8"/>
      <c r="AN317" s="8"/>
      <c r="AO317" s="8"/>
      <c r="AV317" s="506"/>
      <c r="AW317" s="506"/>
      <c r="AZ317" s="506"/>
      <c r="BI317" s="506"/>
      <c r="BJ317" s="506"/>
      <c r="BM317" s="506"/>
      <c r="BU317" s="506"/>
      <c r="BV317" s="506"/>
      <c r="BY317" s="506"/>
      <c r="CG317" s="506"/>
      <c r="CH317" s="506"/>
      <c r="CK317" s="506"/>
      <c r="CU317" s="506"/>
      <c r="CV317" s="506"/>
      <c r="CY317" s="506"/>
      <c r="DI317" s="506"/>
      <c r="DJ317" s="506"/>
      <c r="DM317" s="506"/>
      <c r="DV317" s="506"/>
      <c r="DW317" s="506"/>
      <c r="DZ317" s="506"/>
    </row>
    <row r="318" spans="1:130" x14ac:dyDescent="0.2">
      <c r="A318" s="8"/>
      <c r="B318" s="8"/>
      <c r="C318" s="8"/>
      <c r="D318" s="8"/>
      <c r="E318" s="8"/>
      <c r="F318" s="8"/>
      <c r="G318" s="8"/>
      <c r="H318" s="8"/>
      <c r="I318" s="8"/>
      <c r="J318" s="8"/>
      <c r="K318" s="8"/>
      <c r="L318" s="8"/>
      <c r="M318" s="8"/>
      <c r="N318" s="8"/>
      <c r="O318" s="8"/>
      <c r="P318" s="8"/>
      <c r="Q318" s="8"/>
      <c r="R318" s="8"/>
      <c r="S318" s="8"/>
      <c r="T318" s="8"/>
      <c r="U318" s="8"/>
      <c r="V318" s="8"/>
      <c r="W318" s="8"/>
      <c r="X318" s="8"/>
      <c r="Y318" s="8"/>
      <c r="Z318" s="8"/>
      <c r="AA318" s="8"/>
      <c r="AB318" s="8"/>
      <c r="AD318" s="8"/>
      <c r="AE318" s="8"/>
      <c r="AF318" s="8"/>
      <c r="AG318" s="8"/>
      <c r="AH318" s="8"/>
      <c r="AI318" s="8"/>
      <c r="AJ318" s="8"/>
      <c r="AK318" s="8"/>
      <c r="AL318" s="8"/>
      <c r="AM318" s="8"/>
      <c r="AN318" s="8"/>
      <c r="AO318" s="8"/>
      <c r="AV318" s="506"/>
      <c r="AW318" s="506"/>
      <c r="AZ318" s="506"/>
      <c r="BI318" s="506"/>
      <c r="BJ318" s="506"/>
      <c r="BM318" s="506"/>
      <c r="BU318" s="506"/>
      <c r="BV318" s="506"/>
      <c r="BY318" s="506"/>
      <c r="CG318" s="506"/>
      <c r="CH318" s="506"/>
      <c r="CK318" s="506"/>
      <c r="CU318" s="506"/>
      <c r="CV318" s="506"/>
      <c r="CY318" s="506"/>
      <c r="DI318" s="506"/>
      <c r="DJ318" s="506"/>
      <c r="DM318" s="506"/>
      <c r="DV318" s="506"/>
      <c r="DW318" s="506"/>
      <c r="DZ318" s="506"/>
    </row>
    <row r="319" spans="1:130" x14ac:dyDescent="0.2">
      <c r="A319" s="8"/>
      <c r="B319" s="8"/>
      <c r="C319" s="8"/>
      <c r="D319" s="8"/>
      <c r="E319" s="8"/>
      <c r="F319" s="8"/>
      <c r="G319" s="8"/>
      <c r="H319" s="8"/>
      <c r="I319" s="8"/>
      <c r="J319" s="8"/>
      <c r="K319" s="8"/>
      <c r="L319" s="8"/>
      <c r="M319" s="8"/>
      <c r="N319" s="8"/>
      <c r="O319" s="8"/>
      <c r="P319" s="8"/>
      <c r="Q319" s="8"/>
      <c r="R319" s="8"/>
      <c r="S319" s="8"/>
      <c r="T319" s="8"/>
      <c r="U319" s="8"/>
      <c r="V319" s="8"/>
      <c r="W319" s="8"/>
      <c r="X319" s="8"/>
      <c r="Y319" s="8"/>
      <c r="Z319" s="8"/>
      <c r="AA319" s="8"/>
      <c r="AB319" s="8"/>
      <c r="AD319" s="8"/>
      <c r="AE319" s="8"/>
      <c r="AF319" s="8"/>
      <c r="AG319" s="8"/>
      <c r="AH319" s="8"/>
      <c r="AI319" s="8"/>
      <c r="AJ319" s="8"/>
      <c r="AK319" s="8"/>
      <c r="AL319" s="8"/>
      <c r="AM319" s="8"/>
      <c r="AN319" s="8"/>
      <c r="AO319" s="8"/>
      <c r="AV319" s="506"/>
      <c r="AW319" s="506"/>
      <c r="AZ319" s="506"/>
      <c r="BI319" s="506"/>
      <c r="BJ319" s="506"/>
      <c r="BM319" s="506"/>
      <c r="BU319" s="506"/>
      <c r="BV319" s="506"/>
      <c r="BY319" s="506"/>
      <c r="CG319" s="506"/>
      <c r="CH319" s="506"/>
      <c r="CK319" s="506"/>
      <c r="CU319" s="506"/>
      <c r="CV319" s="506"/>
      <c r="CY319" s="506"/>
      <c r="DI319" s="506"/>
      <c r="DJ319" s="506"/>
      <c r="DM319" s="506"/>
      <c r="DV319" s="506"/>
      <c r="DW319" s="506"/>
      <c r="DZ319" s="506"/>
    </row>
    <row r="320" spans="1:130" x14ac:dyDescent="0.2">
      <c r="A320" s="8"/>
      <c r="B320" s="8"/>
      <c r="C320" s="8"/>
      <c r="D320" s="8"/>
      <c r="E320" s="8"/>
      <c r="F320" s="8"/>
      <c r="G320" s="8"/>
      <c r="H320" s="8"/>
      <c r="I320" s="8"/>
      <c r="J320" s="8"/>
      <c r="K320" s="8"/>
      <c r="L320" s="8"/>
      <c r="M320" s="8"/>
      <c r="N320" s="8"/>
      <c r="O320" s="8"/>
      <c r="P320" s="8"/>
      <c r="Q320" s="8"/>
      <c r="R320" s="8"/>
      <c r="S320" s="8"/>
      <c r="T320" s="8"/>
      <c r="U320" s="8"/>
      <c r="V320" s="8"/>
      <c r="W320" s="8"/>
      <c r="X320" s="8"/>
      <c r="Y320" s="8"/>
      <c r="Z320" s="8"/>
      <c r="AA320" s="8"/>
      <c r="AB320" s="8"/>
      <c r="AD320" s="8"/>
      <c r="AE320" s="8"/>
      <c r="AF320" s="8"/>
      <c r="AG320" s="8"/>
      <c r="AH320" s="8"/>
      <c r="AI320" s="8"/>
      <c r="AJ320" s="8"/>
      <c r="AK320" s="8"/>
      <c r="AL320" s="8"/>
      <c r="AM320" s="8"/>
      <c r="AN320" s="8"/>
      <c r="AO320" s="8"/>
      <c r="AV320" s="506"/>
      <c r="AW320" s="506"/>
      <c r="AZ320" s="506"/>
      <c r="BI320" s="506"/>
      <c r="BJ320" s="506"/>
      <c r="BM320" s="506"/>
      <c r="BU320" s="506"/>
      <c r="BV320" s="506"/>
      <c r="BY320" s="506"/>
      <c r="CG320" s="506"/>
      <c r="CH320" s="506"/>
      <c r="CK320" s="506"/>
      <c r="CU320" s="506"/>
      <c r="CV320" s="506"/>
      <c r="CY320" s="506"/>
      <c r="DI320" s="506"/>
      <c r="DJ320" s="506"/>
      <c r="DM320" s="506"/>
      <c r="DV320" s="506"/>
      <c r="DW320" s="506"/>
      <c r="DZ320" s="506"/>
    </row>
    <row r="321" spans="1:130" x14ac:dyDescent="0.2">
      <c r="A321" s="8"/>
      <c r="B321" s="8"/>
      <c r="C321" s="8"/>
      <c r="D321" s="8"/>
      <c r="E321" s="8"/>
      <c r="F321" s="8"/>
      <c r="G321" s="8"/>
      <c r="H321" s="8"/>
      <c r="I321" s="8"/>
      <c r="J321" s="8"/>
      <c r="K321" s="8"/>
      <c r="L321" s="8"/>
      <c r="M321" s="8"/>
      <c r="N321" s="8"/>
      <c r="O321" s="8"/>
      <c r="P321" s="8"/>
      <c r="Q321" s="8"/>
      <c r="R321" s="8"/>
      <c r="S321" s="8"/>
      <c r="T321" s="8"/>
      <c r="U321" s="8"/>
      <c r="V321" s="8"/>
      <c r="W321" s="8"/>
      <c r="X321" s="8"/>
      <c r="Y321" s="8"/>
      <c r="Z321" s="8"/>
      <c r="AA321" s="8"/>
      <c r="AB321" s="8"/>
      <c r="AD321" s="8"/>
      <c r="AE321" s="8"/>
      <c r="AF321" s="8"/>
      <c r="AG321" s="8"/>
      <c r="AH321" s="8"/>
      <c r="AI321" s="8"/>
      <c r="AJ321" s="8"/>
      <c r="AK321" s="8"/>
      <c r="AL321" s="8"/>
      <c r="AM321" s="8"/>
      <c r="AN321" s="8"/>
      <c r="AO321" s="8"/>
      <c r="AV321" s="506"/>
      <c r="AW321" s="506"/>
      <c r="AZ321" s="506"/>
      <c r="BI321" s="506"/>
      <c r="BJ321" s="506"/>
      <c r="BM321" s="506"/>
      <c r="BU321" s="506"/>
      <c r="BV321" s="506"/>
      <c r="BY321" s="506"/>
      <c r="CG321" s="506"/>
      <c r="CH321" s="506"/>
      <c r="CK321" s="506"/>
      <c r="CU321" s="506"/>
      <c r="CV321" s="506"/>
      <c r="CY321" s="506"/>
      <c r="DI321" s="506"/>
      <c r="DJ321" s="506"/>
      <c r="DM321" s="506"/>
      <c r="DV321" s="506"/>
      <c r="DW321" s="506"/>
      <c r="DZ321" s="506"/>
    </row>
    <row r="322" spans="1:130" x14ac:dyDescent="0.2">
      <c r="A322" s="8"/>
      <c r="B322" s="8"/>
      <c r="C322" s="8"/>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D322" s="8"/>
      <c r="AE322" s="8"/>
      <c r="AF322" s="8"/>
      <c r="AG322" s="8"/>
      <c r="AH322" s="8"/>
      <c r="AI322" s="8"/>
      <c r="AJ322" s="8"/>
      <c r="AK322" s="8"/>
      <c r="AL322" s="8"/>
      <c r="AM322" s="8"/>
      <c r="AN322" s="8"/>
      <c r="AO322" s="8"/>
      <c r="AV322" s="506"/>
      <c r="AW322" s="506"/>
      <c r="AZ322" s="506"/>
      <c r="BI322" s="506"/>
      <c r="BJ322" s="506"/>
      <c r="BM322" s="506"/>
      <c r="BU322" s="506"/>
      <c r="BV322" s="506"/>
      <c r="BY322" s="506"/>
      <c r="CG322" s="506"/>
      <c r="CH322" s="506"/>
      <c r="CK322" s="506"/>
      <c r="CU322" s="506"/>
      <c r="CV322" s="506"/>
      <c r="CY322" s="506"/>
      <c r="DI322" s="506"/>
      <c r="DJ322" s="506"/>
      <c r="DM322" s="506"/>
      <c r="DV322" s="506"/>
      <c r="DW322" s="506"/>
      <c r="DZ322" s="506"/>
    </row>
    <row r="323" spans="1:130" x14ac:dyDescent="0.2">
      <c r="A323" s="8"/>
      <c r="B323" s="8"/>
      <c r="C323" s="8"/>
      <c r="D323" s="8"/>
      <c r="E323" s="8"/>
      <c r="F323" s="8"/>
      <c r="G323" s="8"/>
      <c r="H323" s="8"/>
      <c r="I323" s="8"/>
      <c r="J323" s="8"/>
      <c r="K323" s="8"/>
      <c r="L323" s="8"/>
      <c r="M323" s="8"/>
      <c r="N323" s="8"/>
      <c r="O323" s="8"/>
      <c r="P323" s="8"/>
      <c r="Q323" s="8"/>
      <c r="R323" s="8"/>
      <c r="S323" s="8"/>
      <c r="T323" s="8"/>
      <c r="U323" s="8"/>
      <c r="V323" s="8"/>
      <c r="W323" s="8"/>
      <c r="X323" s="8"/>
      <c r="Y323" s="8"/>
      <c r="Z323" s="8"/>
      <c r="AA323" s="8"/>
      <c r="AB323" s="8"/>
      <c r="AD323" s="8"/>
      <c r="AE323" s="8"/>
      <c r="AF323" s="8"/>
      <c r="AG323" s="8"/>
      <c r="AH323" s="8"/>
      <c r="AI323" s="8"/>
      <c r="AJ323" s="8"/>
      <c r="AK323" s="8"/>
      <c r="AL323" s="8"/>
      <c r="AM323" s="8"/>
      <c r="AN323" s="8"/>
      <c r="AO323" s="8"/>
      <c r="AV323" s="506"/>
      <c r="AW323" s="506"/>
      <c r="BI323" s="506"/>
      <c r="BJ323" s="506"/>
      <c r="BU323" s="506"/>
      <c r="BV323" s="506"/>
      <c r="CG323" s="506"/>
      <c r="CH323" s="506"/>
      <c r="CU323" s="506"/>
      <c r="CV323" s="506"/>
      <c r="DI323" s="506"/>
      <c r="DJ323" s="506"/>
      <c r="DV323" s="506"/>
      <c r="DW323" s="506"/>
    </row>
    <row r="324" spans="1:130" x14ac:dyDescent="0.2">
      <c r="A324" s="8"/>
      <c r="B324" s="8"/>
      <c r="C324" s="8"/>
      <c r="D324" s="8"/>
      <c r="E324" s="8"/>
      <c r="F324" s="8"/>
      <c r="G324" s="8"/>
      <c r="H324" s="8"/>
      <c r="I324" s="8"/>
      <c r="J324" s="8"/>
      <c r="K324" s="8"/>
      <c r="L324" s="8"/>
      <c r="M324" s="8"/>
      <c r="N324" s="8"/>
      <c r="O324" s="8"/>
      <c r="P324" s="8"/>
      <c r="Q324" s="8"/>
      <c r="R324" s="8"/>
      <c r="S324" s="8"/>
      <c r="T324" s="8"/>
      <c r="U324" s="8"/>
      <c r="V324" s="8"/>
      <c r="W324" s="8"/>
      <c r="X324" s="8"/>
      <c r="Y324" s="8"/>
      <c r="Z324" s="8"/>
      <c r="AA324" s="8"/>
      <c r="AB324" s="8"/>
      <c r="AD324" s="8"/>
      <c r="AE324" s="8"/>
      <c r="AF324" s="8"/>
      <c r="AG324" s="8"/>
      <c r="AH324" s="8"/>
      <c r="AI324" s="8"/>
      <c r="AJ324" s="8"/>
      <c r="AK324" s="8"/>
      <c r="AL324" s="8"/>
      <c r="AM324" s="8"/>
      <c r="AN324" s="8"/>
      <c r="AO324" s="8"/>
      <c r="AV324" s="506"/>
      <c r="AW324" s="506"/>
      <c r="BI324" s="506"/>
      <c r="BJ324" s="506"/>
      <c r="BU324" s="506"/>
      <c r="BV324" s="506"/>
      <c r="CG324" s="506"/>
      <c r="CH324" s="506"/>
      <c r="CU324" s="506"/>
      <c r="CV324" s="506"/>
      <c r="DI324" s="506"/>
      <c r="DJ324" s="506"/>
      <c r="DV324" s="506"/>
      <c r="DW324" s="506"/>
    </row>
    <row r="325" spans="1:130" x14ac:dyDescent="0.2">
      <c r="A325" s="8"/>
      <c r="B325" s="8"/>
      <c r="C325" s="8"/>
      <c r="D325" s="8"/>
      <c r="E325" s="8"/>
      <c r="F325" s="8"/>
      <c r="G325" s="8"/>
      <c r="H325" s="8"/>
      <c r="I325" s="8"/>
      <c r="J325" s="8"/>
      <c r="K325" s="8"/>
      <c r="L325" s="8"/>
      <c r="M325" s="8"/>
      <c r="N325" s="8"/>
      <c r="O325" s="8"/>
      <c r="P325" s="8"/>
      <c r="Q325" s="8"/>
      <c r="R325" s="8"/>
      <c r="S325" s="8"/>
      <c r="T325" s="8"/>
      <c r="U325" s="8"/>
      <c r="V325" s="8"/>
      <c r="W325" s="8"/>
      <c r="X325" s="8"/>
      <c r="Y325" s="8"/>
      <c r="Z325" s="8"/>
      <c r="AA325" s="8"/>
      <c r="AB325" s="8"/>
      <c r="AD325" s="8"/>
      <c r="AE325" s="8"/>
      <c r="AF325" s="8"/>
      <c r="AG325" s="8"/>
      <c r="AH325" s="8"/>
      <c r="AI325" s="8"/>
      <c r="AJ325" s="8"/>
      <c r="AK325" s="8"/>
      <c r="AL325" s="8"/>
      <c r="AM325" s="8"/>
      <c r="AN325" s="8"/>
      <c r="AO325" s="8"/>
      <c r="AV325" s="506"/>
      <c r="AW325" s="506"/>
      <c r="BI325" s="506"/>
      <c r="BJ325" s="506"/>
      <c r="BU325" s="506"/>
      <c r="BV325" s="506"/>
      <c r="CG325" s="506"/>
      <c r="CH325" s="506"/>
      <c r="CU325" s="506"/>
      <c r="CV325" s="506"/>
      <c r="DI325" s="506"/>
      <c r="DJ325" s="506"/>
      <c r="DV325" s="506"/>
      <c r="DW325" s="506"/>
    </row>
    <row r="326" spans="1:130" x14ac:dyDescent="0.2">
      <c r="A326" s="8"/>
      <c r="B326" s="8"/>
      <c r="C326" s="8"/>
      <c r="D326" s="8"/>
      <c r="E326" s="8"/>
      <c r="F326" s="8"/>
      <c r="G326" s="8"/>
      <c r="H326" s="8"/>
      <c r="I326" s="8"/>
      <c r="J326" s="8"/>
      <c r="K326" s="8"/>
      <c r="L326" s="8"/>
      <c r="M326" s="8"/>
      <c r="N326" s="8"/>
      <c r="O326" s="8"/>
      <c r="P326" s="8"/>
      <c r="Q326" s="8"/>
      <c r="R326" s="8"/>
      <c r="S326" s="8"/>
      <c r="T326" s="8"/>
      <c r="U326" s="8"/>
      <c r="V326" s="8"/>
      <c r="W326" s="8"/>
      <c r="X326" s="8"/>
      <c r="Y326" s="8"/>
      <c r="Z326" s="8"/>
      <c r="AA326" s="8"/>
      <c r="AB326" s="8"/>
      <c r="AD326" s="8"/>
      <c r="AE326" s="8"/>
      <c r="AF326" s="8"/>
      <c r="AG326" s="8"/>
      <c r="AH326" s="8"/>
      <c r="AI326" s="8"/>
      <c r="AJ326" s="8"/>
      <c r="AK326" s="8"/>
      <c r="AL326" s="8"/>
      <c r="AM326" s="8"/>
      <c r="AN326" s="8"/>
      <c r="AO326" s="8"/>
      <c r="AV326" s="506"/>
      <c r="AW326" s="506"/>
      <c r="BI326" s="506"/>
      <c r="BJ326" s="506"/>
      <c r="BU326" s="506"/>
      <c r="BV326" s="506"/>
      <c r="CG326" s="506"/>
      <c r="CH326" s="506"/>
      <c r="CU326" s="506"/>
      <c r="CV326" s="506"/>
      <c r="DI326" s="506"/>
      <c r="DJ326" s="506"/>
      <c r="DV326" s="506"/>
      <c r="DW326" s="506"/>
    </row>
    <row r="327" spans="1:130" x14ac:dyDescent="0.2">
      <c r="A327" s="8"/>
      <c r="B327" s="8"/>
      <c r="C327" s="8"/>
      <c r="D327" s="8"/>
      <c r="E327" s="8"/>
      <c r="F327" s="8"/>
      <c r="G327" s="8"/>
      <c r="H327" s="8"/>
      <c r="I327" s="8"/>
      <c r="J327" s="8"/>
      <c r="K327" s="8"/>
      <c r="L327" s="8"/>
      <c r="M327" s="8"/>
      <c r="N327" s="8"/>
      <c r="O327" s="8"/>
      <c r="P327" s="8"/>
      <c r="Q327" s="8"/>
      <c r="R327" s="8"/>
      <c r="S327" s="8"/>
      <c r="T327" s="8"/>
      <c r="U327" s="8"/>
      <c r="V327" s="8"/>
      <c r="W327" s="8"/>
      <c r="X327" s="8"/>
      <c r="Y327" s="8"/>
      <c r="Z327" s="8"/>
      <c r="AA327" s="8"/>
      <c r="AB327" s="8"/>
      <c r="AD327" s="8"/>
      <c r="AE327" s="8"/>
      <c r="AF327" s="8"/>
      <c r="AG327" s="8"/>
      <c r="AH327" s="8"/>
      <c r="AI327" s="8"/>
      <c r="AJ327" s="8"/>
      <c r="AK327" s="8"/>
      <c r="AL327" s="8"/>
      <c r="AM327" s="8"/>
      <c r="AN327" s="8"/>
      <c r="AO327" s="8"/>
      <c r="AV327" s="506"/>
      <c r="AW327" s="506"/>
      <c r="BI327" s="506"/>
      <c r="BJ327" s="506"/>
      <c r="BU327" s="506"/>
      <c r="BV327" s="506"/>
      <c r="CG327" s="506"/>
      <c r="CH327" s="506"/>
      <c r="CU327" s="506"/>
      <c r="CV327" s="506"/>
      <c r="DI327" s="506"/>
      <c r="DJ327" s="506"/>
      <c r="DV327" s="506"/>
      <c r="DW327" s="506"/>
    </row>
    <row r="328" spans="1:130" x14ac:dyDescent="0.2">
      <c r="A328" s="8"/>
      <c r="B328" s="8"/>
      <c r="C328" s="8"/>
      <c r="D328" s="8"/>
      <c r="E328" s="8"/>
      <c r="F328" s="8"/>
      <c r="G328" s="8"/>
      <c r="H328" s="8"/>
      <c r="I328" s="8"/>
      <c r="J328" s="8"/>
      <c r="K328" s="8"/>
      <c r="L328" s="8"/>
      <c r="M328" s="8"/>
      <c r="N328" s="8"/>
      <c r="O328" s="8"/>
      <c r="P328" s="8"/>
      <c r="Q328" s="8"/>
      <c r="R328" s="8"/>
      <c r="S328" s="8"/>
      <c r="T328" s="8"/>
      <c r="U328" s="8"/>
      <c r="V328" s="8"/>
      <c r="W328" s="8"/>
      <c r="X328" s="8"/>
      <c r="Y328" s="8"/>
      <c r="Z328" s="8"/>
      <c r="AA328" s="8"/>
      <c r="AB328" s="8"/>
      <c r="AD328" s="8"/>
      <c r="AE328" s="8"/>
      <c r="AF328" s="8"/>
      <c r="AG328" s="8"/>
      <c r="AH328" s="8"/>
      <c r="AI328" s="8"/>
      <c r="AJ328" s="8"/>
      <c r="AK328" s="8"/>
      <c r="AL328" s="8"/>
      <c r="AM328" s="8"/>
      <c r="AN328" s="8"/>
      <c r="AO328" s="8"/>
      <c r="AV328" s="506"/>
      <c r="AW328" s="506"/>
      <c r="BI328" s="506"/>
      <c r="BJ328" s="506"/>
      <c r="BU328" s="506"/>
      <c r="BV328" s="506"/>
      <c r="CG328" s="506"/>
      <c r="CH328" s="506"/>
      <c r="CU328" s="506"/>
      <c r="CV328" s="506"/>
      <c r="DI328" s="506"/>
      <c r="DJ328" s="506"/>
      <c r="DV328" s="506"/>
      <c r="DW328" s="506"/>
    </row>
    <row r="329" spans="1:130" x14ac:dyDescent="0.2">
      <c r="A329" s="8"/>
      <c r="B329" s="8"/>
      <c r="C329" s="8"/>
      <c r="D329" s="8"/>
      <c r="E329" s="8"/>
      <c r="F329" s="8"/>
      <c r="G329" s="8"/>
      <c r="H329" s="8"/>
      <c r="I329" s="8"/>
      <c r="J329" s="8"/>
      <c r="K329" s="8"/>
      <c r="L329" s="8"/>
      <c r="M329" s="8"/>
      <c r="N329" s="8"/>
      <c r="O329" s="8"/>
      <c r="P329" s="8"/>
      <c r="Q329" s="8"/>
      <c r="R329" s="8"/>
      <c r="S329" s="8"/>
      <c r="T329" s="8"/>
      <c r="U329" s="8"/>
      <c r="V329" s="8"/>
      <c r="W329" s="8"/>
      <c r="X329" s="8"/>
      <c r="Y329" s="8"/>
      <c r="Z329" s="8"/>
      <c r="AA329" s="8"/>
      <c r="AB329" s="8"/>
      <c r="AD329" s="8"/>
      <c r="AE329" s="8"/>
      <c r="AF329" s="8"/>
      <c r="AG329" s="8"/>
      <c r="AH329" s="8"/>
      <c r="AI329" s="8"/>
      <c r="AJ329" s="8"/>
      <c r="AK329" s="8"/>
      <c r="AL329" s="8"/>
      <c r="AM329" s="8"/>
      <c r="AN329" s="8"/>
      <c r="AO329" s="8"/>
      <c r="AV329" s="506"/>
      <c r="AW329" s="506"/>
      <c r="BI329" s="506"/>
      <c r="BJ329" s="506"/>
      <c r="BU329" s="506"/>
      <c r="BV329" s="506"/>
      <c r="CG329" s="506"/>
      <c r="CH329" s="506"/>
      <c r="CU329" s="506"/>
      <c r="CV329" s="506"/>
      <c r="DI329" s="506"/>
      <c r="DJ329" s="506"/>
      <c r="DV329" s="506"/>
      <c r="DW329" s="506"/>
    </row>
    <row r="330" spans="1:130" x14ac:dyDescent="0.2">
      <c r="A330" s="8"/>
      <c r="B330" s="8"/>
      <c r="C330" s="8"/>
      <c r="D330" s="8"/>
      <c r="E330" s="8"/>
      <c r="F330" s="8"/>
      <c r="G330" s="8"/>
      <c r="H330" s="8"/>
      <c r="I330" s="8"/>
      <c r="J330" s="8"/>
      <c r="K330" s="8"/>
      <c r="L330" s="8"/>
      <c r="M330" s="8"/>
      <c r="N330" s="8"/>
      <c r="O330" s="8"/>
      <c r="P330" s="8"/>
      <c r="Q330" s="8"/>
      <c r="R330" s="8"/>
      <c r="S330" s="8"/>
      <c r="T330" s="8"/>
      <c r="U330" s="8"/>
      <c r="V330" s="8"/>
      <c r="W330" s="8"/>
      <c r="X330" s="8"/>
      <c r="Y330" s="8"/>
      <c r="Z330" s="8"/>
      <c r="AA330" s="8"/>
      <c r="AB330" s="8"/>
      <c r="AD330" s="8"/>
      <c r="AE330" s="8"/>
      <c r="AF330" s="8"/>
      <c r="AG330" s="8"/>
      <c r="AH330" s="8"/>
      <c r="AI330" s="8"/>
      <c r="AJ330" s="8"/>
      <c r="AK330" s="8"/>
      <c r="AL330" s="8"/>
      <c r="AM330" s="8"/>
      <c r="AN330" s="8"/>
      <c r="AO330" s="8"/>
      <c r="AV330" s="506"/>
      <c r="AW330" s="506"/>
      <c r="BI330" s="506"/>
      <c r="BJ330" s="506"/>
      <c r="BU330" s="506"/>
      <c r="BV330" s="506"/>
      <c r="CG330" s="506"/>
      <c r="CH330" s="506"/>
      <c r="CU330" s="506"/>
      <c r="CV330" s="506"/>
      <c r="DI330" s="506"/>
      <c r="DJ330" s="506"/>
      <c r="DV330" s="506"/>
      <c r="DW330" s="506"/>
    </row>
    <row r="331" spans="1:130" x14ac:dyDescent="0.2">
      <c r="A331" s="8"/>
      <c r="B331" s="8"/>
      <c r="C331" s="8"/>
      <c r="D331" s="8"/>
      <c r="E331" s="8"/>
      <c r="F331" s="8"/>
      <c r="G331" s="8"/>
      <c r="H331" s="8"/>
      <c r="I331" s="8"/>
      <c r="J331" s="8"/>
      <c r="K331" s="8"/>
      <c r="L331" s="8"/>
      <c r="M331" s="8"/>
      <c r="N331" s="8"/>
      <c r="O331" s="8"/>
      <c r="P331" s="8"/>
      <c r="Q331" s="8"/>
      <c r="R331" s="8"/>
      <c r="S331" s="8"/>
      <c r="T331" s="8"/>
      <c r="U331" s="8"/>
      <c r="V331" s="8"/>
      <c r="W331" s="8"/>
      <c r="X331" s="8"/>
      <c r="Y331" s="8"/>
      <c r="Z331" s="8"/>
      <c r="AA331" s="8"/>
      <c r="AB331" s="8"/>
      <c r="AD331" s="8"/>
      <c r="AE331" s="8"/>
      <c r="AF331" s="8"/>
      <c r="AG331" s="8"/>
      <c r="AH331" s="8"/>
      <c r="AI331" s="8"/>
      <c r="AJ331" s="8"/>
      <c r="AK331" s="8"/>
      <c r="AL331" s="8"/>
      <c r="AM331" s="8"/>
      <c r="AN331" s="8"/>
      <c r="AO331" s="8"/>
      <c r="AV331" s="506"/>
      <c r="AW331" s="506"/>
      <c r="BI331" s="506"/>
      <c r="BJ331" s="506"/>
      <c r="BU331" s="506"/>
      <c r="BV331" s="506"/>
      <c r="CG331" s="506"/>
      <c r="CH331" s="506"/>
      <c r="CU331" s="506"/>
      <c r="CV331" s="506"/>
      <c r="DI331" s="506"/>
      <c r="DJ331" s="506"/>
      <c r="DV331" s="506"/>
      <c r="DW331" s="506"/>
    </row>
    <row r="332" spans="1:130" x14ac:dyDescent="0.2">
      <c r="A332" s="8"/>
      <c r="B332" s="8"/>
      <c r="C332" s="8"/>
      <c r="D332" s="8"/>
      <c r="E332" s="8"/>
      <c r="F332" s="8"/>
      <c r="G332" s="8"/>
      <c r="H332" s="8"/>
      <c r="I332" s="8"/>
      <c r="J332" s="8"/>
      <c r="K332" s="8"/>
      <c r="L332" s="8"/>
      <c r="M332" s="8"/>
      <c r="N332" s="8"/>
      <c r="O332" s="8"/>
      <c r="P332" s="8"/>
      <c r="Q332" s="8"/>
      <c r="R332" s="8"/>
      <c r="S332" s="8"/>
      <c r="T332" s="8"/>
      <c r="U332" s="8"/>
      <c r="V332" s="8"/>
      <c r="W332" s="8"/>
      <c r="X332" s="8"/>
      <c r="Y332" s="8"/>
      <c r="Z332" s="8"/>
      <c r="AA332" s="8"/>
      <c r="AB332" s="8"/>
      <c r="AD332" s="8"/>
      <c r="AE332" s="8"/>
      <c r="AF332" s="8"/>
      <c r="AG332" s="8"/>
      <c r="AH332" s="8"/>
      <c r="AI332" s="8"/>
      <c r="AJ332" s="8"/>
      <c r="AK332" s="8"/>
      <c r="AL332" s="8"/>
      <c r="AM332" s="8"/>
      <c r="AN332" s="8"/>
      <c r="AO332" s="8"/>
      <c r="AV332" s="506"/>
      <c r="AW332" s="506"/>
      <c r="BI332" s="506"/>
      <c r="BJ332" s="506"/>
      <c r="BU332" s="506"/>
      <c r="BV332" s="506"/>
      <c r="CG332" s="506"/>
      <c r="CH332" s="506"/>
      <c r="CU332" s="506"/>
      <c r="CV332" s="506"/>
      <c r="DI332" s="506"/>
      <c r="DJ332" s="506"/>
      <c r="DV332" s="506"/>
      <c r="DW332" s="506"/>
    </row>
    <row r="333" spans="1:130" x14ac:dyDescent="0.2">
      <c r="A333" s="8"/>
      <c r="B333" s="8"/>
      <c r="C333" s="8"/>
      <c r="D333" s="8"/>
      <c r="E333" s="8"/>
      <c r="F333" s="8"/>
      <c r="G333" s="8"/>
      <c r="H333" s="8"/>
      <c r="I333" s="8"/>
      <c r="J333" s="8"/>
      <c r="K333" s="8"/>
      <c r="L333" s="8"/>
      <c r="M333" s="8"/>
      <c r="N333" s="8"/>
      <c r="O333" s="8"/>
      <c r="P333" s="8"/>
      <c r="Q333" s="8"/>
      <c r="R333" s="8"/>
      <c r="S333" s="8"/>
      <c r="T333" s="8"/>
      <c r="U333" s="8"/>
      <c r="V333" s="8"/>
      <c r="W333" s="8"/>
      <c r="X333" s="8"/>
      <c r="Y333" s="8"/>
      <c r="Z333" s="8"/>
      <c r="AA333" s="8"/>
      <c r="AB333" s="8"/>
      <c r="AD333" s="8"/>
      <c r="AE333" s="8"/>
      <c r="AF333" s="8"/>
      <c r="AG333" s="8"/>
      <c r="AH333" s="8"/>
      <c r="AI333" s="8"/>
      <c r="AJ333" s="8"/>
      <c r="AK333" s="8"/>
      <c r="AL333" s="8"/>
      <c r="AM333" s="8"/>
      <c r="AN333" s="8"/>
      <c r="AO333" s="8"/>
      <c r="AV333" s="506"/>
      <c r="AW333" s="506"/>
      <c r="BI333" s="506"/>
      <c r="BJ333" s="506"/>
      <c r="BU333" s="506"/>
      <c r="BV333" s="506"/>
      <c r="CG333" s="506"/>
      <c r="CH333" s="506"/>
      <c r="CU333" s="506"/>
      <c r="CV333" s="506"/>
      <c r="DI333" s="506"/>
      <c r="DJ333" s="506"/>
      <c r="DV333" s="506"/>
      <c r="DW333" s="506"/>
    </row>
    <row r="334" spans="1:130" x14ac:dyDescent="0.2">
      <c r="A334" s="8"/>
      <c r="B334" s="8"/>
      <c r="C334" s="8"/>
      <c r="D334" s="8"/>
      <c r="E334" s="8"/>
      <c r="F334" s="8"/>
      <c r="G334" s="8"/>
      <c r="H334" s="8"/>
      <c r="I334" s="8"/>
      <c r="J334" s="8"/>
      <c r="K334" s="8"/>
      <c r="L334" s="8"/>
      <c r="M334" s="8"/>
      <c r="N334" s="8"/>
      <c r="O334" s="8"/>
      <c r="P334" s="8"/>
      <c r="Q334" s="8"/>
      <c r="R334" s="8"/>
      <c r="S334" s="8"/>
      <c r="T334" s="8"/>
      <c r="U334" s="8"/>
      <c r="V334" s="8"/>
      <c r="W334" s="8"/>
      <c r="X334" s="8"/>
      <c r="Y334" s="8"/>
      <c r="Z334" s="8"/>
      <c r="AA334" s="8"/>
      <c r="AB334" s="8"/>
      <c r="AD334" s="8"/>
      <c r="AE334" s="8"/>
      <c r="AF334" s="8"/>
      <c r="AG334" s="8"/>
      <c r="AH334" s="8"/>
      <c r="AI334" s="8"/>
      <c r="AJ334" s="8"/>
      <c r="AK334" s="8"/>
      <c r="AL334" s="8"/>
      <c r="AM334" s="8"/>
      <c r="AN334" s="8"/>
      <c r="AO334" s="8"/>
      <c r="AV334" s="506"/>
      <c r="AW334" s="506"/>
      <c r="BI334" s="506"/>
      <c r="BJ334" s="506"/>
      <c r="BU334" s="506"/>
      <c r="BV334" s="506"/>
      <c r="CG334" s="506"/>
      <c r="CH334" s="506"/>
      <c r="CU334" s="506"/>
      <c r="CV334" s="506"/>
      <c r="DI334" s="506"/>
      <c r="DJ334" s="506"/>
      <c r="DV334" s="506"/>
      <c r="DW334" s="506"/>
    </row>
    <row r="335" spans="1:130" x14ac:dyDescent="0.2">
      <c r="A335" s="8"/>
      <c r="B335" s="8"/>
      <c r="C335" s="8"/>
      <c r="D335" s="8"/>
      <c r="E335" s="8"/>
      <c r="F335" s="8"/>
      <c r="G335" s="8"/>
      <c r="H335" s="8"/>
      <c r="I335" s="8"/>
      <c r="J335" s="8"/>
      <c r="K335" s="8"/>
      <c r="L335" s="8"/>
      <c r="M335" s="8"/>
      <c r="N335" s="8"/>
      <c r="O335" s="8"/>
      <c r="P335" s="8"/>
      <c r="Q335" s="8"/>
      <c r="R335" s="8"/>
      <c r="S335" s="8"/>
      <c r="T335" s="8"/>
      <c r="U335" s="8"/>
      <c r="V335" s="8"/>
      <c r="W335" s="8"/>
      <c r="X335" s="8"/>
      <c r="Y335" s="8"/>
      <c r="Z335" s="8"/>
      <c r="AA335" s="8"/>
      <c r="AB335" s="8"/>
      <c r="AD335" s="8"/>
      <c r="AE335" s="8"/>
      <c r="AF335" s="8"/>
      <c r="AG335" s="8"/>
      <c r="AH335" s="8"/>
      <c r="AI335" s="8"/>
      <c r="AJ335" s="8"/>
      <c r="AK335" s="8"/>
      <c r="AL335" s="8"/>
      <c r="AM335" s="8"/>
      <c r="AN335" s="8"/>
      <c r="AO335" s="8"/>
      <c r="AV335" s="506"/>
      <c r="AW335" s="506"/>
      <c r="BI335" s="506"/>
      <c r="BJ335" s="506"/>
      <c r="BU335" s="506"/>
      <c r="BV335" s="506"/>
      <c r="CG335" s="506"/>
      <c r="CH335" s="506"/>
      <c r="CU335" s="506"/>
      <c r="CV335" s="506"/>
      <c r="DI335" s="506"/>
      <c r="DJ335" s="506"/>
      <c r="DV335" s="506"/>
      <c r="DW335" s="506"/>
    </row>
    <row r="336" spans="1:130" x14ac:dyDescent="0.2">
      <c r="A336" s="8"/>
      <c r="B336" s="8"/>
      <c r="C336" s="8"/>
      <c r="D336" s="8"/>
      <c r="E336" s="8"/>
      <c r="F336" s="8"/>
      <c r="G336" s="8"/>
      <c r="H336" s="8"/>
      <c r="I336" s="8"/>
      <c r="J336" s="8"/>
      <c r="K336" s="8"/>
      <c r="L336" s="8"/>
      <c r="M336" s="8"/>
      <c r="N336" s="8"/>
      <c r="O336" s="8"/>
      <c r="P336" s="8"/>
      <c r="Q336" s="8"/>
      <c r="R336" s="8"/>
      <c r="S336" s="8"/>
      <c r="T336" s="8"/>
      <c r="U336" s="8"/>
      <c r="V336" s="8"/>
      <c r="W336" s="8"/>
      <c r="X336" s="8"/>
      <c r="Y336" s="8"/>
      <c r="Z336" s="8"/>
      <c r="AA336" s="8"/>
      <c r="AB336" s="8"/>
      <c r="AD336" s="8"/>
      <c r="AE336" s="8"/>
      <c r="AF336" s="8"/>
      <c r="AG336" s="8"/>
      <c r="AH336" s="8"/>
      <c r="AI336" s="8"/>
      <c r="AJ336" s="8"/>
      <c r="AK336" s="8"/>
      <c r="AL336" s="8"/>
      <c r="AM336" s="8"/>
      <c r="AN336" s="8"/>
      <c r="AO336" s="8"/>
      <c r="AV336" s="506"/>
      <c r="AW336" s="506"/>
      <c r="BI336" s="506"/>
      <c r="BJ336" s="506"/>
      <c r="BU336" s="506"/>
      <c r="BV336" s="506"/>
      <c r="CG336" s="506"/>
      <c r="CH336" s="506"/>
      <c r="CU336" s="506"/>
      <c r="CV336" s="506"/>
      <c r="DI336" s="506"/>
      <c r="DJ336" s="506"/>
      <c r="DV336" s="506"/>
      <c r="DW336" s="506"/>
    </row>
    <row r="337" spans="7:41" x14ac:dyDescent="0.2">
      <c r="G337" s="8"/>
      <c r="H337" s="8"/>
      <c r="I337" s="8"/>
      <c r="J337" s="8"/>
      <c r="K337" s="8"/>
      <c r="L337" s="8"/>
      <c r="M337" s="8"/>
      <c r="N337" s="8"/>
      <c r="O337" s="8"/>
      <c r="Q337" s="8"/>
      <c r="R337" s="8"/>
      <c r="S337" s="8"/>
      <c r="T337" s="8"/>
      <c r="U337" s="8"/>
      <c r="V337" s="8"/>
      <c r="W337" s="8"/>
      <c r="X337" s="8"/>
      <c r="Y337" s="8"/>
      <c r="Z337" s="8"/>
      <c r="AA337" s="8"/>
      <c r="AB337" s="8"/>
      <c r="AD337" s="8"/>
      <c r="AE337" s="8"/>
      <c r="AF337" s="8"/>
      <c r="AG337" s="8"/>
      <c r="AH337" s="8"/>
      <c r="AI337" s="8"/>
      <c r="AJ337" s="8"/>
      <c r="AK337" s="8"/>
      <c r="AL337" s="8"/>
      <c r="AM337" s="8"/>
      <c r="AN337" s="8"/>
      <c r="AO337" s="8"/>
    </row>
    <row r="338" spans="7:41" x14ac:dyDescent="0.2">
      <c r="G338" s="8"/>
      <c r="H338" s="8"/>
      <c r="I338" s="8"/>
      <c r="J338" s="8"/>
      <c r="K338" s="8"/>
      <c r="L338" s="8"/>
      <c r="M338" s="8"/>
      <c r="N338" s="8"/>
      <c r="O338" s="8"/>
      <c r="Q338" s="8"/>
      <c r="R338" s="8"/>
      <c r="S338" s="8"/>
      <c r="T338" s="8"/>
      <c r="U338" s="8"/>
      <c r="V338" s="8"/>
      <c r="W338" s="8"/>
      <c r="X338" s="8"/>
      <c r="Y338" s="8"/>
      <c r="Z338" s="8"/>
      <c r="AA338" s="8"/>
      <c r="AB338" s="8"/>
      <c r="AD338" s="8"/>
      <c r="AE338" s="8"/>
      <c r="AF338" s="8"/>
      <c r="AG338" s="8"/>
      <c r="AH338" s="8"/>
      <c r="AI338" s="8"/>
      <c r="AJ338" s="8"/>
      <c r="AK338" s="8"/>
      <c r="AL338" s="8"/>
      <c r="AM338" s="8"/>
      <c r="AN338" s="8"/>
      <c r="AO338" s="8"/>
    </row>
    <row r="339" spans="7:41" x14ac:dyDescent="0.2">
      <c r="G339" s="8"/>
      <c r="H339" s="8"/>
      <c r="I339" s="8"/>
      <c r="J339" s="8"/>
      <c r="K339" s="8"/>
      <c r="L339" s="8"/>
      <c r="M339" s="8"/>
      <c r="N339" s="8"/>
      <c r="O339" s="8"/>
      <c r="Q339" s="8"/>
      <c r="R339" s="8"/>
      <c r="S339" s="8"/>
      <c r="T339" s="8"/>
      <c r="U339" s="8"/>
      <c r="V339" s="8"/>
      <c r="W339" s="8"/>
      <c r="X339" s="8"/>
      <c r="Y339" s="8"/>
      <c r="Z339" s="8"/>
      <c r="AA339" s="8"/>
      <c r="AB339" s="8"/>
      <c r="AD339" s="8"/>
      <c r="AE339" s="8"/>
      <c r="AF339" s="8"/>
      <c r="AG339" s="8"/>
      <c r="AH339" s="8"/>
      <c r="AI339" s="8"/>
      <c r="AJ339" s="8"/>
      <c r="AK339" s="8"/>
      <c r="AL339" s="8"/>
      <c r="AM339" s="8"/>
      <c r="AN339" s="8"/>
      <c r="AO339" s="8"/>
    </row>
    <row r="340" spans="7:41" x14ac:dyDescent="0.2">
      <c r="G340" s="8"/>
      <c r="H340" s="8"/>
      <c r="I340" s="8"/>
      <c r="J340" s="8"/>
      <c r="K340" s="8"/>
      <c r="L340" s="8"/>
      <c r="M340" s="8"/>
      <c r="N340" s="8"/>
      <c r="O340" s="8"/>
      <c r="Q340" s="8"/>
      <c r="R340" s="8"/>
      <c r="S340" s="8"/>
      <c r="T340" s="8"/>
      <c r="U340" s="8"/>
      <c r="V340" s="8"/>
      <c r="W340" s="8"/>
      <c r="X340" s="8"/>
      <c r="Y340" s="8"/>
      <c r="Z340" s="8"/>
      <c r="AA340" s="8"/>
      <c r="AB340" s="8"/>
      <c r="AD340" s="8"/>
      <c r="AE340" s="8"/>
      <c r="AF340" s="8"/>
      <c r="AG340" s="8"/>
      <c r="AH340" s="8"/>
      <c r="AI340" s="8"/>
      <c r="AJ340" s="8"/>
      <c r="AK340" s="8"/>
      <c r="AL340" s="8"/>
      <c r="AM340" s="8"/>
      <c r="AN340" s="8"/>
      <c r="AO340" s="8"/>
    </row>
    <row r="341" spans="7:41" x14ac:dyDescent="0.2">
      <c r="G341" s="8"/>
      <c r="H341" s="8"/>
      <c r="I341" s="8"/>
      <c r="J341" s="8"/>
      <c r="K341" s="8"/>
      <c r="L341" s="8"/>
      <c r="M341" s="8"/>
      <c r="N341" s="8"/>
      <c r="O341" s="8"/>
      <c r="Q341" s="8"/>
      <c r="R341" s="8"/>
      <c r="S341" s="8"/>
      <c r="T341" s="8"/>
      <c r="U341" s="8"/>
      <c r="V341" s="8"/>
      <c r="W341" s="8"/>
      <c r="X341" s="8"/>
      <c r="Y341" s="8"/>
      <c r="Z341" s="8"/>
      <c r="AA341" s="8"/>
      <c r="AB341" s="8"/>
      <c r="AD341" s="8"/>
      <c r="AE341" s="8"/>
      <c r="AF341" s="8"/>
      <c r="AG341" s="8"/>
      <c r="AH341" s="8"/>
      <c r="AI341" s="8"/>
      <c r="AJ341" s="8"/>
      <c r="AK341" s="8"/>
      <c r="AL341" s="8"/>
      <c r="AM341" s="8"/>
      <c r="AN341" s="8"/>
      <c r="AO341" s="8"/>
    </row>
    <row r="342" spans="7:41" x14ac:dyDescent="0.2">
      <c r="G342" s="8"/>
      <c r="H342" s="8"/>
      <c r="I342" s="8"/>
      <c r="J342" s="8"/>
      <c r="K342" s="8"/>
      <c r="L342" s="8"/>
      <c r="M342" s="8"/>
      <c r="N342" s="8"/>
      <c r="O342" s="8"/>
      <c r="Q342" s="8"/>
      <c r="R342" s="8"/>
      <c r="S342" s="8"/>
      <c r="T342" s="8"/>
      <c r="U342" s="8"/>
      <c r="V342" s="8"/>
      <c r="W342" s="8"/>
      <c r="X342" s="8"/>
      <c r="Y342" s="8"/>
      <c r="Z342" s="8"/>
      <c r="AA342" s="8"/>
      <c r="AB342" s="8"/>
      <c r="AD342" s="8"/>
      <c r="AE342" s="8"/>
      <c r="AF342" s="8"/>
      <c r="AG342" s="8"/>
      <c r="AH342" s="8"/>
      <c r="AI342" s="8"/>
      <c r="AJ342" s="8"/>
      <c r="AK342" s="8"/>
      <c r="AL342" s="8"/>
      <c r="AM342" s="8"/>
      <c r="AN342" s="8"/>
      <c r="AO342" s="8"/>
    </row>
    <row r="343" spans="7:41" x14ac:dyDescent="0.2">
      <c r="G343" s="8"/>
      <c r="H343" s="8"/>
      <c r="I343" s="8"/>
      <c r="J343" s="8"/>
      <c r="K343" s="8"/>
      <c r="L343" s="8"/>
      <c r="M343" s="8"/>
      <c r="N343" s="8"/>
      <c r="O343" s="8"/>
      <c r="Q343" s="8"/>
      <c r="R343" s="8"/>
      <c r="S343" s="8"/>
      <c r="T343" s="8"/>
      <c r="U343" s="8"/>
      <c r="V343" s="8"/>
      <c r="W343" s="8"/>
      <c r="X343" s="8"/>
      <c r="Y343" s="8"/>
      <c r="Z343" s="8"/>
      <c r="AA343" s="8"/>
      <c r="AB343" s="8"/>
      <c r="AD343" s="8"/>
      <c r="AE343" s="8"/>
      <c r="AF343" s="8"/>
      <c r="AG343" s="8"/>
      <c r="AH343" s="8"/>
      <c r="AI343" s="8"/>
      <c r="AJ343" s="8"/>
      <c r="AK343" s="8"/>
      <c r="AL343" s="8"/>
      <c r="AM343" s="8"/>
      <c r="AN343" s="8"/>
      <c r="AO343" s="8"/>
    </row>
    <row r="344" spans="7:41" x14ac:dyDescent="0.2">
      <c r="G344" s="8"/>
      <c r="H344" s="8"/>
      <c r="I344" s="8"/>
      <c r="J344" s="8"/>
      <c r="K344" s="8"/>
      <c r="L344" s="8"/>
      <c r="M344" s="8"/>
      <c r="N344" s="8"/>
      <c r="O344" s="8"/>
      <c r="Q344" s="8"/>
      <c r="R344" s="8"/>
      <c r="S344" s="8"/>
      <c r="T344" s="8"/>
      <c r="U344" s="8"/>
      <c r="V344" s="8"/>
      <c r="W344" s="8"/>
      <c r="X344" s="8"/>
      <c r="Y344" s="8"/>
      <c r="Z344" s="8"/>
      <c r="AA344" s="8"/>
      <c r="AB344" s="8"/>
      <c r="AD344" s="8"/>
      <c r="AE344" s="8"/>
      <c r="AF344" s="8"/>
      <c r="AG344" s="8"/>
      <c r="AH344" s="8"/>
      <c r="AI344" s="8"/>
      <c r="AJ344" s="8"/>
      <c r="AK344" s="8"/>
      <c r="AL344" s="8"/>
      <c r="AM344" s="8"/>
      <c r="AN344" s="8"/>
      <c r="AO344" s="8"/>
    </row>
    <row r="345" spans="7:41" x14ac:dyDescent="0.2">
      <c r="G345" s="8"/>
      <c r="H345" s="8"/>
      <c r="I345" s="8"/>
      <c r="J345" s="8"/>
      <c r="K345" s="8"/>
      <c r="L345" s="8"/>
      <c r="M345" s="8"/>
      <c r="N345" s="8"/>
      <c r="O345" s="8"/>
      <c r="Q345" s="8"/>
      <c r="R345" s="8"/>
      <c r="S345" s="8"/>
      <c r="T345" s="8"/>
      <c r="U345" s="8"/>
      <c r="V345" s="8"/>
      <c r="W345" s="8"/>
      <c r="X345" s="8"/>
      <c r="Y345" s="8"/>
      <c r="Z345" s="8"/>
      <c r="AA345" s="8"/>
      <c r="AB345" s="8"/>
      <c r="AD345" s="8"/>
      <c r="AE345" s="8"/>
      <c r="AF345" s="8"/>
      <c r="AG345" s="8"/>
      <c r="AH345" s="8"/>
      <c r="AI345" s="8"/>
      <c r="AJ345" s="8"/>
      <c r="AK345" s="8"/>
      <c r="AL345" s="8"/>
      <c r="AM345" s="8"/>
      <c r="AN345" s="8"/>
      <c r="AO345" s="8"/>
    </row>
    <row r="346" spans="7:41" x14ac:dyDescent="0.2">
      <c r="G346" s="8"/>
      <c r="H346" s="8"/>
      <c r="I346" s="8"/>
      <c r="J346" s="8"/>
      <c r="K346" s="8"/>
      <c r="L346" s="8"/>
      <c r="M346" s="8"/>
      <c r="N346" s="8"/>
      <c r="O346" s="8"/>
      <c r="Q346" s="8"/>
      <c r="R346" s="8"/>
      <c r="S346" s="8"/>
      <c r="T346" s="8"/>
      <c r="U346" s="8"/>
      <c r="V346" s="8"/>
      <c r="W346" s="8"/>
      <c r="X346" s="8"/>
      <c r="Y346" s="8"/>
      <c r="Z346" s="8"/>
      <c r="AA346" s="8"/>
      <c r="AB346" s="8"/>
      <c r="AD346" s="8"/>
      <c r="AE346" s="8"/>
      <c r="AF346" s="8"/>
      <c r="AG346" s="8"/>
      <c r="AH346" s="8"/>
      <c r="AI346" s="8"/>
      <c r="AJ346" s="8"/>
      <c r="AK346" s="8"/>
      <c r="AL346" s="8"/>
      <c r="AM346" s="8"/>
      <c r="AN346" s="8"/>
      <c r="AO346" s="8"/>
    </row>
    <row r="347" spans="7:41" x14ac:dyDescent="0.2">
      <c r="G347" s="8"/>
      <c r="H347" s="8"/>
      <c r="I347" s="8"/>
      <c r="J347" s="8"/>
      <c r="K347" s="8"/>
      <c r="L347" s="8"/>
      <c r="M347" s="8"/>
      <c r="N347" s="8"/>
      <c r="O347" s="8"/>
      <c r="Q347" s="8"/>
      <c r="R347" s="8"/>
      <c r="S347" s="8"/>
      <c r="T347" s="8"/>
      <c r="U347" s="8"/>
      <c r="V347" s="8"/>
      <c r="W347" s="8"/>
      <c r="X347" s="8"/>
      <c r="Y347" s="8"/>
      <c r="Z347" s="8"/>
      <c r="AA347" s="8"/>
      <c r="AB347" s="8"/>
      <c r="AD347" s="8"/>
      <c r="AE347" s="8"/>
      <c r="AF347" s="8"/>
      <c r="AG347" s="8"/>
      <c r="AH347" s="8"/>
      <c r="AI347" s="8"/>
      <c r="AJ347" s="8"/>
      <c r="AK347" s="8"/>
      <c r="AL347" s="8"/>
      <c r="AM347" s="8"/>
      <c r="AN347" s="8"/>
      <c r="AO347" s="8"/>
    </row>
    <row r="348" spans="7:41" x14ac:dyDescent="0.2">
      <c r="G348" s="8"/>
      <c r="H348" s="8"/>
      <c r="I348" s="8"/>
      <c r="J348" s="8"/>
      <c r="K348" s="8"/>
      <c r="L348" s="8"/>
      <c r="M348" s="8"/>
      <c r="N348" s="8"/>
      <c r="O348" s="8"/>
      <c r="Q348" s="8"/>
      <c r="R348" s="8"/>
      <c r="S348" s="8"/>
      <c r="T348" s="8"/>
      <c r="U348" s="8"/>
      <c r="V348" s="8"/>
      <c r="W348" s="8"/>
      <c r="X348" s="8"/>
      <c r="Y348" s="8"/>
      <c r="Z348" s="8"/>
      <c r="AA348" s="8"/>
      <c r="AB348" s="8"/>
      <c r="AD348" s="8"/>
      <c r="AE348" s="8"/>
      <c r="AF348" s="8"/>
      <c r="AG348" s="8"/>
      <c r="AH348" s="8"/>
      <c r="AI348" s="8"/>
      <c r="AJ348" s="8"/>
      <c r="AK348" s="8"/>
      <c r="AL348" s="8"/>
      <c r="AM348" s="8"/>
      <c r="AN348" s="8"/>
      <c r="AO348" s="8"/>
    </row>
    <row r="349" spans="7:41" x14ac:dyDescent="0.2">
      <c r="G349" s="8"/>
      <c r="H349" s="8"/>
      <c r="I349" s="8"/>
      <c r="J349" s="8"/>
      <c r="K349" s="8"/>
      <c r="L349" s="8"/>
      <c r="M349" s="8"/>
      <c r="N349" s="8"/>
      <c r="O349" s="8"/>
      <c r="Q349" s="8"/>
      <c r="R349" s="8"/>
      <c r="S349" s="8"/>
      <c r="T349" s="8"/>
      <c r="U349" s="8"/>
      <c r="V349" s="8"/>
      <c r="W349" s="8"/>
      <c r="X349" s="8"/>
      <c r="Y349" s="8"/>
      <c r="Z349" s="8"/>
      <c r="AA349" s="8"/>
      <c r="AB349" s="8"/>
      <c r="AD349" s="8"/>
      <c r="AE349" s="8"/>
      <c r="AF349" s="8"/>
      <c r="AG349" s="8"/>
      <c r="AH349" s="8"/>
      <c r="AI349" s="8"/>
      <c r="AJ349" s="8"/>
      <c r="AK349" s="8"/>
      <c r="AL349" s="8"/>
      <c r="AM349" s="8"/>
      <c r="AN349" s="8"/>
      <c r="AO349" s="8"/>
    </row>
    <row r="350" spans="7:41" x14ac:dyDescent="0.2">
      <c r="G350" s="8"/>
      <c r="H350" s="8"/>
      <c r="I350" s="8"/>
      <c r="J350" s="8"/>
      <c r="K350" s="8"/>
      <c r="L350" s="8"/>
      <c r="M350" s="8"/>
      <c r="N350" s="8"/>
      <c r="O350" s="8"/>
      <c r="Q350" s="8"/>
      <c r="R350" s="8"/>
      <c r="S350" s="8"/>
      <c r="T350" s="8"/>
      <c r="U350" s="8"/>
      <c r="V350" s="8"/>
      <c r="W350" s="8"/>
      <c r="X350" s="8"/>
      <c r="Y350" s="8"/>
      <c r="Z350" s="8"/>
      <c r="AA350" s="8"/>
      <c r="AB350" s="8"/>
      <c r="AD350" s="8"/>
      <c r="AE350" s="8"/>
      <c r="AF350" s="8"/>
      <c r="AG350" s="8"/>
      <c r="AH350" s="8"/>
      <c r="AI350" s="8"/>
      <c r="AJ350" s="8"/>
      <c r="AK350" s="8"/>
      <c r="AL350" s="8"/>
      <c r="AM350" s="8"/>
      <c r="AN350" s="8"/>
      <c r="AO350" s="8"/>
    </row>
    <row r="351" spans="7:41" x14ac:dyDescent="0.2">
      <c r="G351" s="8"/>
      <c r="H351" s="8"/>
      <c r="I351" s="8"/>
      <c r="J351" s="8"/>
      <c r="K351" s="8"/>
      <c r="L351" s="8"/>
      <c r="M351" s="8"/>
      <c r="N351" s="8"/>
      <c r="O351" s="8"/>
      <c r="Q351" s="8"/>
      <c r="R351" s="8"/>
      <c r="S351" s="8"/>
      <c r="T351" s="8"/>
      <c r="U351" s="8"/>
      <c r="V351" s="8"/>
      <c r="W351" s="8"/>
      <c r="X351" s="8"/>
      <c r="Y351" s="8"/>
      <c r="Z351" s="8"/>
      <c r="AA351" s="8"/>
      <c r="AB351" s="8"/>
      <c r="AD351" s="8"/>
      <c r="AE351" s="8"/>
      <c r="AF351" s="8"/>
      <c r="AG351" s="8"/>
      <c r="AH351" s="8"/>
      <c r="AI351" s="8"/>
      <c r="AJ351" s="8"/>
      <c r="AK351" s="8"/>
      <c r="AL351" s="8"/>
      <c r="AM351" s="8"/>
      <c r="AN351" s="8"/>
      <c r="AO351" s="8"/>
    </row>
    <row r="352" spans="7:41" x14ac:dyDescent="0.2">
      <c r="G352" s="8"/>
      <c r="H352" s="8"/>
      <c r="I352" s="8"/>
      <c r="J352" s="8"/>
      <c r="K352" s="8"/>
      <c r="L352" s="8"/>
      <c r="M352" s="8"/>
      <c r="N352" s="8"/>
      <c r="O352" s="8"/>
      <c r="Q352" s="8"/>
      <c r="R352" s="8"/>
      <c r="S352" s="8"/>
      <c r="T352" s="8"/>
      <c r="U352" s="8"/>
      <c r="V352" s="8"/>
      <c r="W352" s="8"/>
      <c r="X352" s="8"/>
      <c r="Y352" s="8"/>
      <c r="Z352" s="8"/>
      <c r="AA352" s="8"/>
      <c r="AB352" s="8"/>
      <c r="AD352" s="8"/>
      <c r="AE352" s="8"/>
      <c r="AF352" s="8"/>
      <c r="AG352" s="8"/>
      <c r="AH352" s="8"/>
      <c r="AI352" s="8"/>
      <c r="AJ352" s="8"/>
      <c r="AK352" s="8"/>
      <c r="AL352" s="8"/>
      <c r="AM352" s="8"/>
      <c r="AN352" s="8"/>
      <c r="AO352" s="8"/>
    </row>
    <row r="353" spans="7:41" x14ac:dyDescent="0.2">
      <c r="G353" s="8"/>
      <c r="H353" s="8"/>
      <c r="I353" s="8"/>
      <c r="J353" s="8"/>
      <c r="K353" s="8"/>
      <c r="L353" s="8"/>
      <c r="M353" s="8"/>
      <c r="N353" s="8"/>
      <c r="O353" s="8"/>
      <c r="Q353" s="8"/>
      <c r="R353" s="8"/>
      <c r="S353" s="8"/>
      <c r="T353" s="8"/>
      <c r="U353" s="8"/>
      <c r="V353" s="8"/>
      <c r="W353" s="8"/>
      <c r="X353" s="8"/>
      <c r="Y353" s="8"/>
      <c r="Z353" s="8"/>
      <c r="AA353" s="8"/>
      <c r="AB353" s="8"/>
      <c r="AD353" s="8"/>
      <c r="AE353" s="8"/>
      <c r="AF353" s="8"/>
      <c r="AG353" s="8"/>
      <c r="AH353" s="8"/>
      <c r="AI353" s="8"/>
      <c r="AJ353" s="8"/>
      <c r="AK353" s="8"/>
      <c r="AL353" s="8"/>
      <c r="AM353" s="8"/>
      <c r="AN353" s="8"/>
      <c r="AO353" s="8"/>
    </row>
    <row r="354" spans="7:41" x14ac:dyDescent="0.2">
      <c r="G354" s="8"/>
      <c r="H354" s="8"/>
      <c r="I354" s="8"/>
      <c r="J354" s="8"/>
      <c r="K354" s="8"/>
      <c r="L354" s="8"/>
      <c r="M354" s="8"/>
      <c r="N354" s="8"/>
      <c r="O354" s="8"/>
      <c r="Q354" s="8"/>
      <c r="R354" s="8"/>
      <c r="S354" s="8"/>
      <c r="T354" s="8"/>
      <c r="U354" s="8"/>
      <c r="V354" s="8"/>
      <c r="W354" s="8"/>
      <c r="X354" s="8"/>
      <c r="Y354" s="8"/>
      <c r="Z354" s="8"/>
      <c r="AA354" s="8"/>
      <c r="AB354" s="8"/>
      <c r="AD354" s="8"/>
      <c r="AE354" s="8"/>
      <c r="AF354" s="8"/>
      <c r="AG354" s="8"/>
      <c r="AH354" s="8"/>
      <c r="AI354" s="8"/>
      <c r="AJ354" s="8"/>
      <c r="AK354" s="8"/>
      <c r="AL354" s="8"/>
      <c r="AM354" s="8"/>
      <c r="AN354" s="8"/>
      <c r="AO354" s="8"/>
    </row>
    <row r="355" spans="7:41" x14ac:dyDescent="0.2">
      <c r="G355" s="8"/>
      <c r="H355" s="8"/>
      <c r="I355" s="8"/>
      <c r="J355" s="8"/>
      <c r="K355" s="8"/>
      <c r="L355" s="8"/>
      <c r="M355" s="8"/>
      <c r="N355" s="8"/>
      <c r="O355" s="8"/>
      <c r="Q355" s="8"/>
      <c r="R355" s="8"/>
      <c r="S355" s="8"/>
      <c r="T355" s="8"/>
      <c r="U355" s="8"/>
      <c r="V355" s="8"/>
      <c r="W355" s="8"/>
      <c r="X355" s="8"/>
      <c r="Y355" s="8"/>
      <c r="Z355" s="8"/>
      <c r="AA355" s="8"/>
      <c r="AB355" s="8"/>
      <c r="AD355" s="8"/>
      <c r="AE355" s="8"/>
      <c r="AF355" s="8"/>
      <c r="AG355" s="8"/>
      <c r="AH355" s="8"/>
      <c r="AI355" s="8"/>
      <c r="AJ355" s="8"/>
      <c r="AK355" s="8"/>
      <c r="AL355" s="8"/>
      <c r="AM355" s="8"/>
      <c r="AN355" s="8"/>
      <c r="AO355" s="8"/>
    </row>
    <row r="356" spans="7:41" x14ac:dyDescent="0.2">
      <c r="G356" s="8"/>
      <c r="H356" s="8"/>
      <c r="I356" s="8"/>
      <c r="J356" s="8"/>
      <c r="K356" s="8"/>
      <c r="L356" s="8"/>
      <c r="M356" s="8"/>
      <c r="N356" s="8"/>
      <c r="O356" s="8"/>
      <c r="Q356" s="8"/>
      <c r="R356" s="8"/>
      <c r="S356" s="8"/>
      <c r="T356" s="8"/>
      <c r="U356" s="8"/>
      <c r="V356" s="8"/>
      <c r="W356" s="8"/>
      <c r="X356" s="8"/>
      <c r="Y356" s="8"/>
      <c r="Z356" s="8"/>
      <c r="AA356" s="8"/>
      <c r="AB356" s="8"/>
      <c r="AD356" s="8"/>
      <c r="AE356" s="8"/>
      <c r="AF356" s="8"/>
      <c r="AG356" s="8"/>
      <c r="AH356" s="8"/>
      <c r="AI356" s="8"/>
      <c r="AJ356" s="8"/>
      <c r="AK356" s="8"/>
      <c r="AL356" s="8"/>
      <c r="AM356" s="8"/>
      <c r="AN356" s="8"/>
      <c r="AO356" s="8"/>
    </row>
    <row r="357" spans="7:41" x14ac:dyDescent="0.2">
      <c r="G357" s="8"/>
      <c r="H357" s="8"/>
      <c r="I357" s="8"/>
      <c r="J357" s="8"/>
      <c r="K357" s="8"/>
      <c r="L357" s="8"/>
      <c r="M357" s="8"/>
      <c r="N357" s="8"/>
      <c r="O357" s="8"/>
      <c r="Q357" s="8"/>
      <c r="R357" s="8"/>
      <c r="S357" s="8"/>
      <c r="T357" s="8"/>
      <c r="U357" s="8"/>
      <c r="V357" s="8"/>
      <c r="W357" s="8"/>
      <c r="X357" s="8"/>
      <c r="Y357" s="8"/>
      <c r="Z357" s="8"/>
      <c r="AA357" s="8"/>
      <c r="AB357" s="8"/>
      <c r="AD357" s="8"/>
      <c r="AE357" s="8"/>
      <c r="AF357" s="8"/>
      <c r="AG357" s="8"/>
      <c r="AH357" s="8"/>
      <c r="AI357" s="8"/>
      <c r="AJ357" s="8"/>
      <c r="AK357" s="8"/>
      <c r="AL357" s="8"/>
      <c r="AM357" s="8"/>
      <c r="AN357" s="8"/>
      <c r="AO357" s="8"/>
    </row>
    <row r="358" spans="7:41" x14ac:dyDescent="0.2">
      <c r="G358" s="8"/>
      <c r="H358" s="8"/>
      <c r="I358" s="8"/>
      <c r="J358" s="8"/>
      <c r="K358" s="8"/>
      <c r="L358" s="8"/>
      <c r="M358" s="8"/>
      <c r="N358" s="8"/>
      <c r="O358" s="8"/>
      <c r="Q358" s="8"/>
      <c r="R358" s="8"/>
      <c r="S358" s="8"/>
      <c r="T358" s="8"/>
      <c r="U358" s="8"/>
      <c r="V358" s="8"/>
      <c r="W358" s="8"/>
      <c r="X358" s="8"/>
      <c r="Y358" s="8"/>
      <c r="Z358" s="8"/>
      <c r="AA358" s="8"/>
      <c r="AB358" s="8"/>
      <c r="AD358" s="8"/>
      <c r="AE358" s="8"/>
      <c r="AF358" s="8"/>
      <c r="AG358" s="8"/>
      <c r="AH358" s="8"/>
      <c r="AI358" s="8"/>
      <c r="AJ358" s="8"/>
      <c r="AK358" s="8"/>
      <c r="AL358" s="8"/>
      <c r="AM358" s="8"/>
      <c r="AN358" s="8"/>
      <c r="AO358" s="8"/>
    </row>
    <row r="359" spans="7:41" x14ac:dyDescent="0.2">
      <c r="G359" s="8"/>
      <c r="H359" s="8"/>
      <c r="I359" s="8"/>
      <c r="J359" s="8"/>
      <c r="K359" s="8"/>
      <c r="L359" s="8"/>
      <c r="M359" s="8"/>
      <c r="N359" s="8"/>
      <c r="O359" s="8"/>
      <c r="Q359" s="8"/>
      <c r="R359" s="8"/>
      <c r="S359" s="8"/>
      <c r="T359" s="8"/>
      <c r="U359" s="8"/>
      <c r="V359" s="8"/>
      <c r="W359" s="8"/>
      <c r="X359" s="8"/>
      <c r="Y359" s="8"/>
      <c r="Z359" s="8"/>
      <c r="AA359" s="8"/>
      <c r="AB359" s="8"/>
      <c r="AD359" s="8"/>
      <c r="AE359" s="8"/>
      <c r="AF359" s="8"/>
      <c r="AG359" s="8"/>
      <c r="AH359" s="8"/>
      <c r="AI359" s="8"/>
      <c r="AJ359" s="8"/>
      <c r="AK359" s="8"/>
      <c r="AL359" s="8"/>
      <c r="AM359" s="8"/>
      <c r="AN359" s="8"/>
      <c r="AO359" s="8"/>
    </row>
    <row r="360" spans="7:41" x14ac:dyDescent="0.2">
      <c r="G360" s="8"/>
      <c r="H360" s="8"/>
      <c r="I360" s="8"/>
      <c r="J360" s="8"/>
      <c r="K360" s="8"/>
      <c r="L360" s="8"/>
      <c r="M360" s="8"/>
      <c r="N360" s="8"/>
      <c r="O360" s="8"/>
      <c r="Q360" s="8"/>
      <c r="R360" s="8"/>
      <c r="S360" s="8"/>
      <c r="T360" s="8"/>
      <c r="U360" s="8"/>
      <c r="V360" s="8"/>
      <c r="W360" s="8"/>
      <c r="X360" s="8"/>
      <c r="Y360" s="8"/>
      <c r="Z360" s="8"/>
      <c r="AA360" s="8"/>
      <c r="AB360" s="8"/>
      <c r="AD360" s="8"/>
      <c r="AE360" s="8"/>
      <c r="AF360" s="8"/>
      <c r="AG360" s="8"/>
      <c r="AH360" s="8"/>
      <c r="AI360" s="8"/>
      <c r="AJ360" s="8"/>
      <c r="AK360" s="8"/>
      <c r="AL360" s="8"/>
      <c r="AM360" s="8"/>
      <c r="AN360" s="8"/>
      <c r="AO360" s="8"/>
    </row>
    <row r="361" spans="7:41" x14ac:dyDescent="0.2">
      <c r="G361" s="8"/>
      <c r="H361" s="8"/>
      <c r="I361" s="8"/>
      <c r="J361" s="8"/>
      <c r="K361" s="8"/>
      <c r="L361" s="8"/>
      <c r="M361" s="8"/>
      <c r="N361" s="8"/>
      <c r="O361" s="8"/>
      <c r="Q361" s="8"/>
      <c r="R361" s="8"/>
      <c r="S361" s="8"/>
      <c r="T361" s="8"/>
      <c r="U361" s="8"/>
      <c r="V361" s="8"/>
      <c r="W361" s="8"/>
      <c r="X361" s="8"/>
      <c r="Y361" s="8"/>
      <c r="Z361" s="8"/>
      <c r="AA361" s="8"/>
      <c r="AB361" s="8"/>
      <c r="AD361" s="8"/>
      <c r="AE361" s="8"/>
      <c r="AF361" s="8"/>
      <c r="AG361" s="8"/>
      <c r="AH361" s="8"/>
      <c r="AI361" s="8"/>
      <c r="AJ361" s="8"/>
      <c r="AK361" s="8"/>
      <c r="AL361" s="8"/>
      <c r="AM361" s="8"/>
      <c r="AN361" s="8"/>
      <c r="AO361" s="8"/>
    </row>
    <row r="362" spans="7:41" x14ac:dyDescent="0.2">
      <c r="G362" s="8"/>
      <c r="H362" s="8"/>
      <c r="I362" s="8"/>
      <c r="J362" s="8"/>
      <c r="K362" s="8"/>
      <c r="L362" s="8"/>
      <c r="M362" s="8"/>
      <c r="N362" s="8"/>
      <c r="O362" s="8"/>
      <c r="Q362" s="8"/>
      <c r="R362" s="8"/>
      <c r="S362" s="8"/>
      <c r="T362" s="8"/>
      <c r="U362" s="8"/>
      <c r="V362" s="8"/>
      <c r="W362" s="8"/>
      <c r="X362" s="8"/>
      <c r="Y362" s="8"/>
      <c r="Z362" s="8"/>
      <c r="AA362" s="8"/>
      <c r="AB362" s="8"/>
      <c r="AD362" s="8"/>
      <c r="AE362" s="8"/>
      <c r="AF362" s="8"/>
      <c r="AG362" s="8"/>
      <c r="AH362" s="8"/>
      <c r="AI362" s="8"/>
      <c r="AJ362" s="8"/>
      <c r="AK362" s="8"/>
      <c r="AL362" s="8"/>
      <c r="AM362" s="8"/>
      <c r="AN362" s="8"/>
      <c r="AO362" s="8"/>
    </row>
    <row r="363" spans="7:41" x14ac:dyDescent="0.2">
      <c r="G363" s="8"/>
      <c r="H363" s="8"/>
      <c r="I363" s="8"/>
      <c r="J363" s="8"/>
      <c r="K363" s="8"/>
      <c r="L363" s="8"/>
      <c r="M363" s="8"/>
      <c r="N363" s="8"/>
      <c r="O363" s="8"/>
      <c r="Q363" s="8"/>
      <c r="R363" s="8"/>
      <c r="S363" s="8"/>
      <c r="T363" s="8"/>
      <c r="U363" s="8"/>
      <c r="V363" s="8"/>
      <c r="W363" s="8"/>
      <c r="X363" s="8"/>
      <c r="Y363" s="8"/>
      <c r="Z363" s="8"/>
      <c r="AA363" s="8"/>
      <c r="AB363" s="8"/>
      <c r="AD363" s="8"/>
      <c r="AE363" s="8"/>
      <c r="AF363" s="8"/>
      <c r="AG363" s="8"/>
      <c r="AH363" s="8"/>
      <c r="AI363" s="8"/>
      <c r="AJ363" s="8"/>
      <c r="AK363" s="8"/>
      <c r="AL363" s="8"/>
      <c r="AM363" s="8"/>
      <c r="AN363" s="8"/>
      <c r="AO363" s="8"/>
    </row>
    <row r="364" spans="7:41" x14ac:dyDescent="0.2">
      <c r="G364" s="8"/>
      <c r="H364" s="8"/>
      <c r="I364" s="8"/>
      <c r="J364" s="8"/>
      <c r="K364" s="8"/>
      <c r="L364" s="8"/>
      <c r="M364" s="8"/>
      <c r="N364" s="8"/>
      <c r="O364" s="8"/>
      <c r="Q364" s="8"/>
      <c r="R364" s="8"/>
      <c r="S364" s="8"/>
      <c r="T364" s="8"/>
      <c r="U364" s="8"/>
      <c r="V364" s="8"/>
      <c r="W364" s="8"/>
      <c r="X364" s="8"/>
      <c r="Y364" s="8"/>
      <c r="Z364" s="8"/>
      <c r="AA364" s="8"/>
      <c r="AB364" s="8"/>
      <c r="AD364" s="8"/>
      <c r="AE364" s="8"/>
      <c r="AF364" s="8"/>
      <c r="AG364" s="8"/>
      <c r="AH364" s="8"/>
      <c r="AI364" s="8"/>
      <c r="AJ364" s="8"/>
      <c r="AK364" s="8"/>
      <c r="AL364" s="8"/>
      <c r="AM364" s="8"/>
      <c r="AN364" s="8"/>
      <c r="AO364" s="8"/>
    </row>
    <row r="365" spans="7:41" x14ac:dyDescent="0.2">
      <c r="G365" s="8"/>
      <c r="H365" s="8"/>
      <c r="I365" s="8"/>
      <c r="J365" s="8"/>
      <c r="K365" s="8"/>
      <c r="L365" s="8"/>
      <c r="M365" s="8"/>
      <c r="N365" s="8"/>
      <c r="O365" s="8"/>
      <c r="Q365" s="8"/>
      <c r="R365" s="8"/>
      <c r="S365" s="8"/>
      <c r="T365" s="8"/>
      <c r="U365" s="8"/>
      <c r="V365" s="8"/>
      <c r="W365" s="8"/>
      <c r="X365" s="8"/>
      <c r="Y365" s="8"/>
      <c r="Z365" s="8"/>
      <c r="AA365" s="8"/>
      <c r="AB365" s="8"/>
      <c r="AD365" s="8"/>
      <c r="AE365" s="8"/>
      <c r="AF365" s="8"/>
      <c r="AG365" s="8"/>
      <c r="AH365" s="8"/>
      <c r="AI365" s="8"/>
      <c r="AJ365" s="8"/>
      <c r="AK365" s="8"/>
      <c r="AL365" s="8"/>
      <c r="AM365" s="8"/>
      <c r="AN365" s="8"/>
      <c r="AO365" s="8"/>
    </row>
    <row r="366" spans="7:41" x14ac:dyDescent="0.2">
      <c r="G366" s="8"/>
      <c r="H366" s="8"/>
      <c r="I366" s="8"/>
      <c r="J366" s="8"/>
      <c r="K366" s="8"/>
      <c r="L366" s="8"/>
      <c r="M366" s="8"/>
      <c r="N366" s="8"/>
      <c r="O366" s="8"/>
      <c r="Q366" s="8"/>
      <c r="R366" s="8"/>
      <c r="S366" s="8"/>
      <c r="T366" s="8"/>
      <c r="U366" s="8"/>
      <c r="V366" s="8"/>
      <c r="W366" s="8"/>
      <c r="X366" s="8"/>
      <c r="Y366" s="8"/>
      <c r="Z366" s="8"/>
      <c r="AA366" s="8"/>
      <c r="AB366" s="8"/>
      <c r="AD366" s="8"/>
      <c r="AE366" s="8"/>
      <c r="AF366" s="8"/>
      <c r="AG366" s="8"/>
      <c r="AH366" s="8"/>
      <c r="AI366" s="8"/>
      <c r="AJ366" s="8"/>
      <c r="AK366" s="8"/>
      <c r="AL366" s="8"/>
      <c r="AM366" s="8"/>
      <c r="AN366" s="8"/>
      <c r="AO366" s="8"/>
    </row>
    <row r="367" spans="7:41" x14ac:dyDescent="0.2">
      <c r="G367" s="8"/>
      <c r="H367" s="8"/>
      <c r="I367" s="8"/>
      <c r="J367" s="8"/>
      <c r="K367" s="8"/>
      <c r="L367" s="8"/>
      <c r="M367" s="8"/>
      <c r="N367" s="8"/>
      <c r="O367" s="8"/>
      <c r="Q367" s="8"/>
      <c r="R367" s="8"/>
      <c r="S367" s="8"/>
      <c r="T367" s="8"/>
      <c r="U367" s="8"/>
      <c r="V367" s="8"/>
      <c r="W367" s="8"/>
      <c r="X367" s="8"/>
      <c r="Y367" s="8"/>
      <c r="Z367" s="8"/>
      <c r="AA367" s="8"/>
      <c r="AB367" s="8"/>
      <c r="AD367" s="8"/>
      <c r="AE367" s="8"/>
      <c r="AF367" s="8"/>
      <c r="AG367" s="8"/>
      <c r="AH367" s="8"/>
      <c r="AI367" s="8"/>
      <c r="AJ367" s="8"/>
      <c r="AK367" s="8"/>
      <c r="AL367" s="8"/>
      <c r="AM367" s="8"/>
      <c r="AN367" s="8"/>
      <c r="AO367" s="8"/>
    </row>
    <row r="368" spans="7:41" x14ac:dyDescent="0.2">
      <c r="G368" s="8"/>
      <c r="H368" s="8"/>
      <c r="I368" s="8"/>
      <c r="J368" s="8"/>
      <c r="K368" s="8"/>
      <c r="L368" s="8"/>
      <c r="M368" s="8"/>
      <c r="N368" s="8"/>
      <c r="O368" s="8"/>
      <c r="Q368" s="8"/>
      <c r="R368" s="8"/>
      <c r="S368" s="8"/>
      <c r="T368" s="8"/>
      <c r="U368" s="8"/>
      <c r="V368" s="8"/>
      <c r="W368" s="8"/>
      <c r="X368" s="8"/>
      <c r="Y368" s="8"/>
      <c r="Z368" s="8"/>
      <c r="AA368" s="8"/>
      <c r="AB368" s="8"/>
      <c r="AD368" s="8"/>
      <c r="AE368" s="8"/>
      <c r="AF368" s="8"/>
      <c r="AG368" s="8"/>
      <c r="AH368" s="8"/>
      <c r="AI368" s="8"/>
      <c r="AJ368" s="8"/>
      <c r="AK368" s="8"/>
      <c r="AL368" s="8"/>
      <c r="AM368" s="8"/>
      <c r="AN368" s="8"/>
      <c r="AO368" s="8"/>
    </row>
    <row r="369" spans="7:41" x14ac:dyDescent="0.2">
      <c r="G369" s="8"/>
      <c r="H369" s="8"/>
      <c r="I369" s="8"/>
      <c r="J369" s="8"/>
      <c r="K369" s="8"/>
      <c r="L369" s="8"/>
      <c r="M369" s="8"/>
      <c r="N369" s="8"/>
      <c r="O369" s="8"/>
      <c r="Q369" s="8"/>
      <c r="R369" s="8"/>
      <c r="S369" s="8"/>
      <c r="T369" s="8"/>
      <c r="U369" s="8"/>
      <c r="V369" s="8"/>
      <c r="W369" s="8"/>
      <c r="X369" s="8"/>
      <c r="Y369" s="8"/>
      <c r="Z369" s="8"/>
      <c r="AA369" s="8"/>
      <c r="AB369" s="8"/>
      <c r="AD369" s="8"/>
      <c r="AE369" s="8"/>
      <c r="AF369" s="8"/>
      <c r="AG369" s="8"/>
      <c r="AH369" s="8"/>
      <c r="AI369" s="8"/>
      <c r="AJ369" s="8"/>
      <c r="AK369" s="8"/>
      <c r="AL369" s="8"/>
      <c r="AM369" s="8"/>
      <c r="AN369" s="8"/>
      <c r="AO369" s="8"/>
    </row>
    <row r="370" spans="7:41" x14ac:dyDescent="0.2">
      <c r="G370" s="8"/>
      <c r="H370" s="8"/>
      <c r="I370" s="8"/>
      <c r="J370" s="8"/>
      <c r="K370" s="8"/>
      <c r="L370" s="8"/>
      <c r="M370" s="8"/>
      <c r="N370" s="8"/>
      <c r="O370" s="8"/>
      <c r="Q370" s="8"/>
      <c r="R370" s="8"/>
      <c r="S370" s="8"/>
      <c r="T370" s="8"/>
      <c r="U370" s="8"/>
      <c r="V370" s="8"/>
      <c r="W370" s="8"/>
      <c r="X370" s="8"/>
      <c r="Y370" s="8"/>
      <c r="Z370" s="8"/>
      <c r="AA370" s="8"/>
      <c r="AB370" s="8"/>
      <c r="AD370" s="8"/>
      <c r="AE370" s="8"/>
      <c r="AF370" s="8"/>
      <c r="AG370" s="8"/>
      <c r="AH370" s="8"/>
      <c r="AI370" s="8"/>
      <c r="AJ370" s="8"/>
      <c r="AK370" s="8"/>
      <c r="AL370" s="8"/>
      <c r="AM370" s="8"/>
      <c r="AN370" s="8"/>
      <c r="AO370" s="8"/>
    </row>
    <row r="371" spans="7:41" x14ac:dyDescent="0.2">
      <c r="G371" s="8"/>
      <c r="H371" s="8"/>
      <c r="I371" s="8"/>
      <c r="J371" s="8"/>
      <c r="K371" s="8"/>
      <c r="L371" s="8"/>
      <c r="M371" s="8"/>
      <c r="N371" s="8"/>
      <c r="O371" s="8"/>
      <c r="Q371" s="8"/>
      <c r="R371" s="8"/>
      <c r="S371" s="8"/>
      <c r="T371" s="8"/>
      <c r="U371" s="8"/>
      <c r="V371" s="8"/>
      <c r="W371" s="8"/>
      <c r="X371" s="8"/>
      <c r="Y371" s="8"/>
      <c r="Z371" s="8"/>
      <c r="AA371" s="8"/>
      <c r="AB371" s="8"/>
      <c r="AD371" s="8"/>
      <c r="AE371" s="8"/>
      <c r="AF371" s="8"/>
      <c r="AG371" s="8"/>
      <c r="AH371" s="8"/>
      <c r="AI371" s="8"/>
      <c r="AJ371" s="8"/>
      <c r="AK371" s="8"/>
      <c r="AL371" s="8"/>
      <c r="AM371" s="8"/>
      <c r="AN371" s="8"/>
      <c r="AO371" s="8"/>
    </row>
    <row r="372" spans="7:41" x14ac:dyDescent="0.2">
      <c r="G372" s="8"/>
      <c r="H372" s="8"/>
      <c r="I372" s="8"/>
      <c r="J372" s="8"/>
      <c r="K372" s="8"/>
      <c r="L372" s="8"/>
      <c r="M372" s="8"/>
      <c r="N372" s="8"/>
      <c r="O372" s="8"/>
      <c r="Q372" s="8"/>
      <c r="R372" s="8"/>
      <c r="S372" s="8"/>
      <c r="T372" s="8"/>
      <c r="U372" s="8"/>
      <c r="V372" s="8"/>
      <c r="W372" s="8"/>
      <c r="X372" s="8"/>
      <c r="Y372" s="8"/>
      <c r="Z372" s="8"/>
      <c r="AA372" s="8"/>
      <c r="AB372" s="8"/>
      <c r="AD372" s="8"/>
      <c r="AE372" s="8"/>
      <c r="AF372" s="8"/>
      <c r="AG372" s="8"/>
      <c r="AH372" s="8"/>
      <c r="AI372" s="8"/>
      <c r="AJ372" s="8"/>
      <c r="AK372" s="8"/>
      <c r="AL372" s="8"/>
      <c r="AM372" s="8"/>
      <c r="AN372" s="8"/>
      <c r="AO372" s="8"/>
    </row>
    <row r="373" spans="7:41" x14ac:dyDescent="0.2">
      <c r="G373" s="8"/>
      <c r="H373" s="8"/>
      <c r="I373" s="8"/>
      <c r="J373" s="8"/>
      <c r="K373" s="8"/>
      <c r="L373" s="8"/>
      <c r="M373" s="8"/>
      <c r="N373" s="8"/>
      <c r="O373" s="8"/>
      <c r="Q373" s="8"/>
      <c r="R373" s="8"/>
      <c r="S373" s="8"/>
      <c r="T373" s="8"/>
      <c r="U373" s="8"/>
      <c r="V373" s="8"/>
      <c r="W373" s="8"/>
      <c r="X373" s="8"/>
      <c r="Y373" s="8"/>
      <c r="Z373" s="8"/>
      <c r="AA373" s="8"/>
      <c r="AB373" s="8"/>
      <c r="AD373" s="8"/>
      <c r="AE373" s="8"/>
      <c r="AF373" s="8"/>
      <c r="AG373" s="8"/>
      <c r="AH373" s="8"/>
      <c r="AI373" s="8"/>
      <c r="AJ373" s="8"/>
      <c r="AK373" s="8"/>
      <c r="AL373" s="8"/>
      <c r="AM373" s="8"/>
      <c r="AN373" s="8"/>
      <c r="AO373" s="8"/>
    </row>
    <row r="374" spans="7:41" x14ac:dyDescent="0.2">
      <c r="G374" s="8"/>
      <c r="H374" s="8"/>
      <c r="I374" s="8"/>
      <c r="J374" s="8"/>
      <c r="K374" s="8"/>
      <c r="L374" s="8"/>
      <c r="M374" s="8"/>
      <c r="N374" s="8"/>
      <c r="O374" s="8"/>
      <c r="Q374" s="8"/>
      <c r="R374" s="8"/>
      <c r="S374" s="8"/>
      <c r="T374" s="8"/>
      <c r="U374" s="8"/>
      <c r="V374" s="8"/>
      <c r="W374" s="8"/>
      <c r="X374" s="8"/>
      <c r="Y374" s="8"/>
      <c r="Z374" s="8"/>
      <c r="AA374" s="8"/>
      <c r="AB374" s="8"/>
      <c r="AD374" s="8"/>
      <c r="AE374" s="8"/>
      <c r="AF374" s="8"/>
      <c r="AG374" s="8"/>
      <c r="AH374" s="8"/>
      <c r="AI374" s="8"/>
      <c r="AJ374" s="8"/>
      <c r="AK374" s="8"/>
      <c r="AL374" s="8"/>
      <c r="AM374" s="8"/>
      <c r="AN374" s="8"/>
      <c r="AO374" s="8"/>
    </row>
    <row r="375" spans="7:41" x14ac:dyDescent="0.2">
      <c r="G375" s="8"/>
      <c r="H375" s="8"/>
      <c r="I375" s="8"/>
      <c r="J375" s="8"/>
      <c r="K375" s="8"/>
      <c r="L375" s="8"/>
      <c r="M375" s="8"/>
      <c r="N375" s="8"/>
      <c r="O375" s="8"/>
      <c r="Q375" s="8"/>
      <c r="R375" s="8"/>
      <c r="S375" s="8"/>
      <c r="T375" s="8"/>
      <c r="U375" s="8"/>
      <c r="V375" s="8"/>
      <c r="W375" s="8"/>
      <c r="X375" s="8"/>
      <c r="Y375" s="8"/>
      <c r="Z375" s="8"/>
      <c r="AA375" s="8"/>
      <c r="AB375" s="8"/>
      <c r="AD375" s="8"/>
      <c r="AE375" s="8"/>
      <c r="AF375" s="8"/>
      <c r="AG375" s="8"/>
      <c r="AH375" s="8"/>
      <c r="AI375" s="8"/>
      <c r="AJ375" s="8"/>
      <c r="AK375" s="8"/>
      <c r="AL375" s="8"/>
      <c r="AM375" s="8"/>
      <c r="AN375" s="8"/>
      <c r="AO375" s="8"/>
    </row>
    <row r="376" spans="7:41" x14ac:dyDescent="0.2">
      <c r="G376" s="8"/>
      <c r="H376" s="8"/>
      <c r="I376" s="8"/>
      <c r="J376" s="8"/>
      <c r="K376" s="8"/>
      <c r="L376" s="8"/>
      <c r="M376" s="8"/>
      <c r="N376" s="8"/>
      <c r="O376" s="8"/>
      <c r="Q376" s="8"/>
      <c r="R376" s="8"/>
      <c r="S376" s="8"/>
      <c r="T376" s="8"/>
      <c r="U376" s="8"/>
      <c r="V376" s="8"/>
      <c r="W376" s="8"/>
      <c r="X376" s="8"/>
      <c r="Y376" s="8"/>
      <c r="Z376" s="8"/>
      <c r="AA376" s="8"/>
      <c r="AB376" s="8"/>
      <c r="AD376" s="8"/>
      <c r="AE376" s="8"/>
      <c r="AF376" s="8"/>
      <c r="AG376" s="8"/>
      <c r="AH376" s="8"/>
      <c r="AI376" s="8"/>
      <c r="AJ376" s="8"/>
      <c r="AK376" s="8"/>
      <c r="AL376" s="8"/>
      <c r="AM376" s="8"/>
      <c r="AN376" s="8"/>
      <c r="AO376" s="8"/>
    </row>
    <row r="377" spans="7:41" x14ac:dyDescent="0.2">
      <c r="G377" s="8"/>
      <c r="H377" s="8"/>
      <c r="I377" s="8"/>
      <c r="J377" s="8"/>
      <c r="K377" s="8"/>
      <c r="L377" s="8"/>
      <c r="M377" s="8"/>
      <c r="N377" s="8"/>
      <c r="O377" s="8"/>
      <c r="Q377" s="8"/>
      <c r="R377" s="8"/>
      <c r="S377" s="8"/>
      <c r="T377" s="8"/>
      <c r="U377" s="8"/>
      <c r="V377" s="8"/>
      <c r="W377" s="8"/>
      <c r="X377" s="8"/>
      <c r="Y377" s="8"/>
      <c r="Z377" s="8"/>
      <c r="AA377" s="8"/>
      <c r="AB377" s="8"/>
      <c r="AD377" s="8"/>
      <c r="AE377" s="8"/>
      <c r="AF377" s="8"/>
      <c r="AG377" s="8"/>
      <c r="AH377" s="8"/>
      <c r="AI377" s="8"/>
      <c r="AJ377" s="8"/>
      <c r="AK377" s="8"/>
      <c r="AL377" s="8"/>
      <c r="AM377" s="8"/>
      <c r="AN377" s="8"/>
      <c r="AO377" s="8"/>
    </row>
    <row r="378" spans="7:41" x14ac:dyDescent="0.2">
      <c r="G378" s="8"/>
      <c r="H378" s="8"/>
      <c r="I378" s="8"/>
      <c r="J378" s="8"/>
      <c r="K378" s="8"/>
      <c r="L378" s="8"/>
      <c r="M378" s="8"/>
      <c r="N378" s="8"/>
      <c r="O378" s="8"/>
      <c r="Q378" s="8"/>
      <c r="R378" s="8"/>
      <c r="S378" s="8"/>
      <c r="T378" s="8"/>
      <c r="U378" s="8"/>
      <c r="V378" s="8"/>
      <c r="W378" s="8"/>
      <c r="X378" s="8"/>
      <c r="Y378" s="8"/>
      <c r="Z378" s="8"/>
      <c r="AA378" s="8"/>
      <c r="AB378" s="8"/>
      <c r="AD378" s="8"/>
      <c r="AE378" s="8"/>
      <c r="AF378" s="8"/>
      <c r="AG378" s="8"/>
      <c r="AH378" s="8"/>
      <c r="AI378" s="8"/>
      <c r="AJ378" s="8"/>
      <c r="AK378" s="8"/>
      <c r="AL378" s="8"/>
      <c r="AM378" s="8"/>
      <c r="AN378" s="8"/>
      <c r="AO378" s="8"/>
    </row>
    <row r="379" spans="7:41" x14ac:dyDescent="0.2">
      <c r="G379" s="8"/>
      <c r="H379" s="8"/>
      <c r="I379" s="8"/>
      <c r="J379" s="8"/>
      <c r="K379" s="8"/>
      <c r="L379" s="8"/>
      <c r="M379" s="8"/>
      <c r="N379" s="8"/>
      <c r="O379" s="8"/>
      <c r="Q379" s="8"/>
      <c r="R379" s="8"/>
      <c r="S379" s="8"/>
      <c r="T379" s="8"/>
      <c r="U379" s="8"/>
      <c r="V379" s="8"/>
      <c r="W379" s="8"/>
      <c r="X379" s="8"/>
      <c r="Y379" s="8"/>
      <c r="Z379" s="8"/>
      <c r="AA379" s="8"/>
      <c r="AB379" s="8"/>
      <c r="AD379" s="8"/>
      <c r="AE379" s="8"/>
      <c r="AF379" s="8"/>
      <c r="AG379" s="8"/>
      <c r="AH379" s="8"/>
      <c r="AI379" s="8"/>
      <c r="AJ379" s="8"/>
      <c r="AK379" s="8"/>
      <c r="AL379" s="8"/>
      <c r="AM379" s="8"/>
      <c r="AN379" s="8"/>
      <c r="AO379" s="8"/>
    </row>
    <row r="380" spans="7:41" x14ac:dyDescent="0.2">
      <c r="G380" s="8"/>
      <c r="H380" s="8"/>
      <c r="I380" s="8"/>
      <c r="J380" s="8"/>
      <c r="K380" s="8"/>
      <c r="L380" s="8"/>
      <c r="M380" s="8"/>
      <c r="N380" s="8"/>
      <c r="O380" s="8"/>
      <c r="Q380" s="8"/>
      <c r="R380" s="8"/>
      <c r="S380" s="8"/>
      <c r="T380" s="8"/>
      <c r="U380" s="8"/>
      <c r="V380" s="8"/>
      <c r="W380" s="8"/>
      <c r="X380" s="8"/>
      <c r="Y380" s="8"/>
      <c r="Z380" s="8"/>
      <c r="AA380" s="8"/>
      <c r="AB380" s="8"/>
      <c r="AD380" s="8"/>
      <c r="AE380" s="8"/>
      <c r="AF380" s="8"/>
      <c r="AG380" s="8"/>
      <c r="AH380" s="8"/>
      <c r="AI380" s="8"/>
      <c r="AJ380" s="8"/>
      <c r="AK380" s="8"/>
      <c r="AL380" s="8"/>
      <c r="AM380" s="8"/>
      <c r="AN380" s="8"/>
      <c r="AO380" s="8"/>
    </row>
    <row r="381" spans="7:41" x14ac:dyDescent="0.2">
      <c r="G381" s="8"/>
      <c r="H381" s="8"/>
      <c r="I381" s="8"/>
      <c r="J381" s="8"/>
      <c r="K381" s="8"/>
      <c r="L381" s="8"/>
      <c r="M381" s="8"/>
      <c r="N381" s="8"/>
      <c r="O381" s="8"/>
      <c r="Q381" s="8"/>
      <c r="R381" s="8"/>
      <c r="S381" s="8"/>
      <c r="T381" s="8"/>
      <c r="U381" s="8"/>
      <c r="V381" s="8"/>
      <c r="W381" s="8"/>
      <c r="X381" s="8"/>
      <c r="Y381" s="8"/>
      <c r="Z381" s="8"/>
      <c r="AA381" s="8"/>
      <c r="AB381" s="8"/>
      <c r="AD381" s="8"/>
      <c r="AE381" s="8"/>
      <c r="AF381" s="8"/>
      <c r="AG381" s="8"/>
      <c r="AH381" s="8"/>
      <c r="AI381" s="8"/>
      <c r="AJ381" s="8"/>
      <c r="AK381" s="8"/>
      <c r="AL381" s="8"/>
      <c r="AM381" s="8"/>
      <c r="AN381" s="8"/>
      <c r="AO381" s="8"/>
    </row>
    <row r="382" spans="7:41" x14ac:dyDescent="0.2">
      <c r="G382" s="8"/>
      <c r="H382" s="8"/>
      <c r="I382" s="8"/>
      <c r="J382" s="8"/>
      <c r="K382" s="8"/>
      <c r="L382" s="8"/>
      <c r="M382" s="8"/>
      <c r="N382" s="8"/>
      <c r="O382" s="8"/>
      <c r="Q382" s="8"/>
      <c r="R382" s="8"/>
      <c r="S382" s="8"/>
      <c r="T382" s="8"/>
      <c r="U382" s="8"/>
      <c r="V382" s="8"/>
      <c r="W382" s="8"/>
      <c r="X382" s="8"/>
      <c r="Y382" s="8"/>
      <c r="Z382" s="8"/>
      <c r="AA382" s="8"/>
      <c r="AB382" s="8"/>
      <c r="AD382" s="8"/>
      <c r="AE382" s="8"/>
      <c r="AF382" s="8"/>
      <c r="AG382" s="8"/>
      <c r="AH382" s="8"/>
      <c r="AI382" s="8"/>
      <c r="AJ382" s="8"/>
      <c r="AK382" s="8"/>
      <c r="AL382" s="8"/>
      <c r="AM382" s="8"/>
      <c r="AN382" s="8"/>
      <c r="AO382" s="8"/>
    </row>
    <row r="383" spans="7:41" x14ac:dyDescent="0.2">
      <c r="G383" s="8"/>
      <c r="H383" s="8"/>
      <c r="I383" s="8"/>
      <c r="J383" s="8"/>
      <c r="K383" s="8"/>
      <c r="L383" s="8"/>
      <c r="M383" s="8"/>
      <c r="N383" s="8"/>
      <c r="O383" s="8"/>
      <c r="Q383" s="8"/>
      <c r="R383" s="8"/>
      <c r="S383" s="8"/>
      <c r="T383" s="8"/>
      <c r="U383" s="8"/>
      <c r="V383" s="8"/>
      <c r="W383" s="8"/>
      <c r="X383" s="8"/>
      <c r="Y383" s="8"/>
      <c r="Z383" s="8"/>
      <c r="AA383" s="8"/>
      <c r="AB383" s="8"/>
      <c r="AD383" s="8"/>
      <c r="AE383" s="8"/>
      <c r="AF383" s="8"/>
      <c r="AG383" s="8"/>
      <c r="AH383" s="8"/>
      <c r="AI383" s="8"/>
      <c r="AJ383" s="8"/>
      <c r="AK383" s="8"/>
      <c r="AL383" s="8"/>
      <c r="AM383" s="8"/>
      <c r="AN383" s="8"/>
      <c r="AO383" s="8"/>
    </row>
    <row r="384" spans="7:41" x14ac:dyDescent="0.2">
      <c r="G384" s="8"/>
      <c r="H384" s="8"/>
      <c r="I384" s="8"/>
      <c r="J384" s="8"/>
      <c r="K384" s="8"/>
      <c r="L384" s="8"/>
      <c r="M384" s="8"/>
      <c r="N384" s="8"/>
      <c r="O384" s="8"/>
      <c r="Q384" s="8"/>
      <c r="R384" s="8"/>
      <c r="S384" s="8"/>
      <c r="T384" s="8"/>
      <c r="U384" s="8"/>
      <c r="V384" s="8"/>
      <c r="W384" s="8"/>
      <c r="X384" s="8"/>
      <c r="Y384" s="8"/>
      <c r="Z384" s="8"/>
      <c r="AA384" s="8"/>
      <c r="AB384" s="8"/>
      <c r="AD384" s="8"/>
      <c r="AE384" s="8"/>
      <c r="AF384" s="8"/>
      <c r="AG384" s="8"/>
      <c r="AH384" s="8"/>
      <c r="AI384" s="8"/>
      <c r="AJ384" s="8"/>
      <c r="AK384" s="8"/>
      <c r="AL384" s="8"/>
      <c r="AM384" s="8"/>
      <c r="AN384" s="8"/>
      <c r="AO384" s="8"/>
    </row>
    <row r="385" spans="7:41" x14ac:dyDescent="0.2">
      <c r="G385" s="8"/>
      <c r="H385" s="8"/>
      <c r="I385" s="8"/>
      <c r="J385" s="8"/>
      <c r="K385" s="8"/>
      <c r="L385" s="8"/>
      <c r="M385" s="8"/>
      <c r="N385" s="8"/>
      <c r="O385" s="8"/>
      <c r="Q385" s="8"/>
      <c r="R385" s="8"/>
      <c r="S385" s="8"/>
      <c r="T385" s="8"/>
      <c r="U385" s="8"/>
      <c r="V385" s="8"/>
      <c r="W385" s="8"/>
      <c r="X385" s="8"/>
      <c r="Y385" s="8"/>
      <c r="Z385" s="8"/>
      <c r="AA385" s="8"/>
      <c r="AB385" s="8"/>
      <c r="AD385" s="8"/>
      <c r="AE385" s="8"/>
      <c r="AF385" s="8"/>
      <c r="AG385" s="8"/>
      <c r="AH385" s="8"/>
      <c r="AI385" s="8"/>
      <c r="AJ385" s="8"/>
      <c r="AK385" s="8"/>
      <c r="AL385" s="8"/>
      <c r="AM385" s="8"/>
      <c r="AN385" s="8"/>
      <c r="AO385" s="8"/>
    </row>
    <row r="386" spans="7:41" x14ac:dyDescent="0.2">
      <c r="G386" s="8"/>
      <c r="H386" s="8"/>
      <c r="I386" s="8"/>
      <c r="J386" s="8"/>
      <c r="K386" s="8"/>
      <c r="L386" s="8"/>
      <c r="M386" s="8"/>
      <c r="N386" s="8"/>
      <c r="O386" s="8"/>
      <c r="Q386" s="8"/>
      <c r="R386" s="8"/>
      <c r="S386" s="8"/>
      <c r="T386" s="8"/>
      <c r="U386" s="8"/>
      <c r="V386" s="8"/>
      <c r="W386" s="8"/>
      <c r="X386" s="8"/>
      <c r="Y386" s="8"/>
      <c r="Z386" s="8"/>
      <c r="AA386" s="8"/>
      <c r="AB386" s="8"/>
      <c r="AD386" s="8"/>
      <c r="AE386" s="8"/>
      <c r="AF386" s="8"/>
      <c r="AG386" s="8"/>
      <c r="AH386" s="8"/>
      <c r="AI386" s="8"/>
      <c r="AJ386" s="8"/>
      <c r="AK386" s="8"/>
      <c r="AL386" s="8"/>
      <c r="AM386" s="8"/>
      <c r="AN386" s="8"/>
      <c r="AO386" s="8"/>
    </row>
    <row r="387" spans="7:41" x14ac:dyDescent="0.2">
      <c r="G387" s="8"/>
      <c r="H387" s="8"/>
      <c r="I387" s="8"/>
      <c r="J387" s="8"/>
      <c r="K387" s="8"/>
      <c r="L387" s="8"/>
      <c r="M387" s="8"/>
      <c r="N387" s="8"/>
      <c r="O387" s="8"/>
      <c r="Q387" s="8"/>
      <c r="R387" s="8"/>
      <c r="S387" s="8"/>
      <c r="T387" s="8"/>
      <c r="U387" s="8"/>
      <c r="V387" s="8"/>
      <c r="W387" s="8"/>
      <c r="X387" s="8"/>
      <c r="Y387" s="8"/>
      <c r="Z387" s="8"/>
      <c r="AA387" s="8"/>
      <c r="AB387" s="8"/>
      <c r="AD387" s="8"/>
      <c r="AE387" s="8"/>
      <c r="AF387" s="8"/>
      <c r="AG387" s="8"/>
      <c r="AH387" s="8"/>
      <c r="AI387" s="8"/>
      <c r="AJ387" s="8"/>
      <c r="AK387" s="8"/>
      <c r="AL387" s="8"/>
      <c r="AM387" s="8"/>
      <c r="AN387" s="8"/>
      <c r="AO387" s="8"/>
    </row>
    <row r="388" spans="7:41" x14ac:dyDescent="0.2">
      <c r="G388" s="8"/>
      <c r="H388" s="8"/>
      <c r="I388" s="8"/>
      <c r="J388" s="8"/>
      <c r="K388" s="8"/>
      <c r="L388" s="8"/>
      <c r="M388" s="8"/>
      <c r="N388" s="8"/>
      <c r="O388" s="8"/>
      <c r="Q388" s="8"/>
      <c r="R388" s="8"/>
      <c r="S388" s="8"/>
      <c r="T388" s="8"/>
      <c r="U388" s="8"/>
      <c r="V388" s="8"/>
      <c r="W388" s="8"/>
      <c r="X388" s="8"/>
      <c r="Y388" s="8"/>
      <c r="Z388" s="8"/>
      <c r="AA388" s="8"/>
      <c r="AB388" s="8"/>
      <c r="AD388" s="8"/>
      <c r="AE388" s="8"/>
      <c r="AF388" s="8"/>
      <c r="AG388" s="8"/>
      <c r="AH388" s="8"/>
      <c r="AI388" s="8"/>
      <c r="AJ388" s="8"/>
      <c r="AK388" s="8"/>
      <c r="AL388" s="8"/>
      <c r="AM388" s="8"/>
      <c r="AN388" s="8"/>
      <c r="AO388" s="8"/>
    </row>
    <row r="389" spans="7:41" x14ac:dyDescent="0.2">
      <c r="G389" s="8"/>
      <c r="H389" s="8"/>
      <c r="I389" s="8"/>
      <c r="J389" s="8"/>
      <c r="K389" s="8"/>
      <c r="L389" s="8"/>
      <c r="M389" s="8"/>
      <c r="N389" s="8"/>
      <c r="O389" s="8"/>
      <c r="Q389" s="8"/>
      <c r="R389" s="8"/>
      <c r="S389" s="8"/>
      <c r="T389" s="8"/>
      <c r="U389" s="8"/>
      <c r="V389" s="8"/>
      <c r="W389" s="8"/>
      <c r="X389" s="8"/>
      <c r="Y389" s="8"/>
      <c r="Z389" s="8"/>
      <c r="AA389" s="8"/>
      <c r="AB389" s="8"/>
      <c r="AD389" s="8"/>
      <c r="AE389" s="8"/>
      <c r="AF389" s="8"/>
      <c r="AG389" s="8"/>
      <c r="AH389" s="8"/>
      <c r="AI389" s="8"/>
      <c r="AJ389" s="8"/>
      <c r="AK389" s="8"/>
      <c r="AL389" s="8"/>
      <c r="AM389" s="8"/>
      <c r="AN389" s="8"/>
      <c r="AO389" s="8"/>
    </row>
    <row r="390" spans="7:41" x14ac:dyDescent="0.2">
      <c r="G390" s="8"/>
      <c r="H390" s="8"/>
      <c r="I390" s="8"/>
      <c r="J390" s="8"/>
      <c r="K390" s="8"/>
      <c r="L390" s="8"/>
      <c r="M390" s="8"/>
      <c r="N390" s="8"/>
      <c r="O390" s="8"/>
      <c r="Q390" s="8"/>
      <c r="R390" s="8"/>
      <c r="S390" s="8"/>
      <c r="T390" s="8"/>
      <c r="U390" s="8"/>
      <c r="V390" s="8"/>
      <c r="W390" s="8"/>
      <c r="X390" s="8"/>
      <c r="Y390" s="8"/>
      <c r="Z390" s="8"/>
      <c r="AA390" s="8"/>
      <c r="AB390" s="8"/>
      <c r="AD390" s="8"/>
      <c r="AE390" s="8"/>
      <c r="AF390" s="8"/>
      <c r="AG390" s="8"/>
      <c r="AH390" s="8"/>
      <c r="AI390" s="8"/>
      <c r="AJ390" s="8"/>
      <c r="AK390" s="8"/>
      <c r="AL390" s="8"/>
      <c r="AM390" s="8"/>
      <c r="AN390" s="8"/>
      <c r="AO390" s="8"/>
    </row>
    <row r="391" spans="7:41" x14ac:dyDescent="0.2">
      <c r="G391" s="8"/>
      <c r="H391" s="8"/>
      <c r="I391" s="8"/>
      <c r="J391" s="8"/>
      <c r="K391" s="8"/>
      <c r="L391" s="8"/>
      <c r="M391" s="8"/>
      <c r="N391" s="8"/>
      <c r="O391" s="8"/>
      <c r="Q391" s="8"/>
      <c r="R391" s="8"/>
      <c r="S391" s="8"/>
      <c r="T391" s="8"/>
      <c r="U391" s="8"/>
      <c r="V391" s="8"/>
      <c r="W391" s="8"/>
      <c r="X391" s="8"/>
      <c r="Y391" s="8"/>
      <c r="Z391" s="8"/>
      <c r="AA391" s="8"/>
      <c r="AB391" s="8"/>
      <c r="AD391" s="8"/>
      <c r="AE391" s="8"/>
      <c r="AF391" s="8"/>
      <c r="AG391" s="8"/>
      <c r="AH391" s="8"/>
      <c r="AI391" s="8"/>
      <c r="AJ391" s="8"/>
      <c r="AK391" s="8"/>
      <c r="AL391" s="8"/>
      <c r="AM391" s="8"/>
      <c r="AN391" s="8"/>
      <c r="AO391" s="8"/>
    </row>
    <row r="392" spans="7:41" x14ac:dyDescent="0.2">
      <c r="G392" s="8"/>
      <c r="H392" s="8"/>
      <c r="I392" s="8"/>
      <c r="J392" s="8"/>
      <c r="K392" s="8"/>
      <c r="L392" s="8"/>
      <c r="M392" s="8"/>
      <c r="N392" s="8"/>
      <c r="O392" s="8"/>
      <c r="Q392" s="8"/>
      <c r="R392" s="8"/>
      <c r="S392" s="8"/>
      <c r="T392" s="8"/>
      <c r="U392" s="8"/>
      <c r="V392" s="8"/>
      <c r="W392" s="8"/>
      <c r="X392" s="8"/>
      <c r="Y392" s="8"/>
      <c r="Z392" s="8"/>
      <c r="AA392" s="8"/>
      <c r="AB392" s="8"/>
      <c r="AD392" s="8"/>
      <c r="AE392" s="8"/>
      <c r="AF392" s="8"/>
      <c r="AG392" s="8"/>
      <c r="AH392" s="8"/>
      <c r="AI392" s="8"/>
      <c r="AJ392" s="8"/>
      <c r="AK392" s="8"/>
      <c r="AL392" s="8"/>
      <c r="AM392" s="8"/>
      <c r="AN392" s="8"/>
      <c r="AO392" s="8"/>
    </row>
    <row r="393" spans="7:41" x14ac:dyDescent="0.2">
      <c r="G393" s="8"/>
      <c r="H393" s="8"/>
      <c r="I393" s="8"/>
      <c r="J393" s="8"/>
      <c r="K393" s="8"/>
      <c r="L393" s="8"/>
      <c r="M393" s="8"/>
      <c r="N393" s="8"/>
      <c r="O393" s="8"/>
      <c r="Q393" s="8"/>
      <c r="R393" s="8"/>
      <c r="S393" s="8"/>
      <c r="T393" s="8"/>
      <c r="U393" s="8"/>
      <c r="V393" s="8"/>
      <c r="W393" s="8"/>
      <c r="X393" s="8"/>
      <c r="Y393" s="8"/>
      <c r="Z393" s="8"/>
      <c r="AA393" s="8"/>
      <c r="AB393" s="8"/>
      <c r="AD393" s="8"/>
      <c r="AE393" s="8"/>
      <c r="AF393" s="8"/>
      <c r="AG393" s="8"/>
      <c r="AH393" s="8"/>
      <c r="AI393" s="8"/>
      <c r="AJ393" s="8"/>
      <c r="AK393" s="8"/>
      <c r="AL393" s="8"/>
      <c r="AM393" s="8"/>
      <c r="AN393" s="8"/>
      <c r="AO393" s="8"/>
    </row>
    <row r="394" spans="7:41" x14ac:dyDescent="0.2">
      <c r="G394" s="8"/>
      <c r="H394" s="8"/>
      <c r="I394" s="8"/>
      <c r="J394" s="8"/>
      <c r="K394" s="8"/>
      <c r="L394" s="8"/>
      <c r="M394" s="8"/>
      <c r="N394" s="8"/>
      <c r="O394" s="8"/>
      <c r="Q394" s="8"/>
      <c r="R394" s="8"/>
      <c r="S394" s="8"/>
      <c r="T394" s="8"/>
      <c r="U394" s="8"/>
      <c r="V394" s="8"/>
      <c r="W394" s="8"/>
      <c r="X394" s="8"/>
      <c r="Y394" s="8"/>
      <c r="Z394" s="8"/>
      <c r="AA394" s="8"/>
      <c r="AB394" s="8"/>
      <c r="AD394" s="8"/>
      <c r="AE394" s="8"/>
      <c r="AF394" s="8"/>
      <c r="AG394" s="8"/>
      <c r="AH394" s="8"/>
      <c r="AI394" s="8"/>
      <c r="AJ394" s="8"/>
      <c r="AK394" s="8"/>
      <c r="AL394" s="8"/>
      <c r="AM394" s="8"/>
      <c r="AN394" s="8"/>
      <c r="AO394" s="8"/>
    </row>
    <row r="395" spans="7:41" x14ac:dyDescent="0.2">
      <c r="G395" s="8"/>
      <c r="H395" s="8"/>
      <c r="I395" s="8"/>
      <c r="J395" s="8"/>
      <c r="K395" s="8"/>
      <c r="L395" s="8"/>
      <c r="M395" s="8"/>
      <c r="N395" s="8"/>
      <c r="O395" s="8"/>
      <c r="Q395" s="8"/>
      <c r="R395" s="8"/>
      <c r="S395" s="8"/>
      <c r="T395" s="8"/>
      <c r="U395" s="8"/>
      <c r="V395" s="8"/>
      <c r="W395" s="8"/>
      <c r="X395" s="8"/>
      <c r="Y395" s="8"/>
      <c r="Z395" s="8"/>
      <c r="AA395" s="8"/>
      <c r="AB395" s="8"/>
      <c r="AD395" s="8"/>
      <c r="AE395" s="8"/>
      <c r="AF395" s="8"/>
      <c r="AG395" s="8"/>
      <c r="AH395" s="8"/>
      <c r="AI395" s="8"/>
      <c r="AJ395" s="8"/>
      <c r="AK395" s="8"/>
      <c r="AL395" s="8"/>
      <c r="AM395" s="8"/>
      <c r="AN395" s="8"/>
      <c r="AO395" s="8"/>
    </row>
    <row r="396" spans="7:41" x14ac:dyDescent="0.2">
      <c r="G396" s="8"/>
      <c r="H396" s="8"/>
      <c r="I396" s="8"/>
      <c r="J396" s="8"/>
      <c r="K396" s="8"/>
      <c r="L396" s="8"/>
      <c r="M396" s="8"/>
      <c r="N396" s="8"/>
      <c r="O396" s="8"/>
      <c r="Q396" s="8"/>
      <c r="R396" s="8"/>
      <c r="S396" s="8"/>
      <c r="T396" s="8"/>
      <c r="U396" s="8"/>
      <c r="V396" s="8"/>
      <c r="W396" s="8"/>
      <c r="X396" s="8"/>
      <c r="Y396" s="8"/>
      <c r="Z396" s="8"/>
      <c r="AA396" s="8"/>
      <c r="AB396" s="8"/>
      <c r="AD396" s="8"/>
      <c r="AE396" s="8"/>
      <c r="AF396" s="8"/>
      <c r="AG396" s="8"/>
      <c r="AH396" s="8"/>
      <c r="AI396" s="8"/>
      <c r="AJ396" s="8"/>
      <c r="AK396" s="8"/>
      <c r="AL396" s="8"/>
      <c r="AM396" s="8"/>
      <c r="AN396" s="8"/>
      <c r="AO396" s="8"/>
    </row>
    <row r="397" spans="7:41" x14ac:dyDescent="0.2">
      <c r="G397" s="8"/>
      <c r="H397" s="8"/>
      <c r="I397" s="8"/>
      <c r="J397" s="8"/>
      <c r="K397" s="8"/>
      <c r="L397" s="8"/>
      <c r="M397" s="8"/>
      <c r="N397" s="8"/>
      <c r="O397" s="8"/>
      <c r="Q397" s="8"/>
      <c r="R397" s="8"/>
      <c r="S397" s="8"/>
      <c r="T397" s="8"/>
      <c r="U397" s="8"/>
      <c r="V397" s="8"/>
      <c r="W397" s="8"/>
      <c r="X397" s="8"/>
      <c r="Y397" s="8"/>
      <c r="Z397" s="8"/>
      <c r="AA397" s="8"/>
      <c r="AB397" s="8"/>
      <c r="AD397" s="8"/>
      <c r="AE397" s="8"/>
      <c r="AF397" s="8"/>
      <c r="AG397" s="8"/>
      <c r="AH397" s="8"/>
      <c r="AI397" s="8"/>
      <c r="AJ397" s="8"/>
      <c r="AK397" s="8"/>
      <c r="AL397" s="8"/>
      <c r="AM397" s="8"/>
      <c r="AN397" s="8"/>
      <c r="AO397" s="8"/>
    </row>
    <row r="398" spans="7:41" x14ac:dyDescent="0.2">
      <c r="G398" s="8"/>
      <c r="H398" s="8"/>
      <c r="I398" s="8"/>
      <c r="J398" s="8"/>
      <c r="K398" s="8"/>
      <c r="L398" s="8"/>
      <c r="M398" s="8"/>
      <c r="N398" s="8"/>
      <c r="O398" s="8"/>
      <c r="Q398" s="8"/>
      <c r="R398" s="8"/>
      <c r="S398" s="8"/>
      <c r="T398" s="8"/>
      <c r="U398" s="8"/>
      <c r="V398" s="8"/>
      <c r="W398" s="8"/>
      <c r="X398" s="8"/>
      <c r="Y398" s="8"/>
      <c r="Z398" s="8"/>
      <c r="AA398" s="8"/>
      <c r="AB398" s="8"/>
      <c r="AD398" s="8"/>
      <c r="AE398" s="8"/>
      <c r="AF398" s="8"/>
      <c r="AG398" s="8"/>
      <c r="AH398" s="8"/>
      <c r="AI398" s="8"/>
      <c r="AJ398" s="8"/>
      <c r="AK398" s="8"/>
      <c r="AL398" s="8"/>
      <c r="AM398" s="8"/>
      <c r="AN398" s="8"/>
      <c r="AO398" s="8"/>
    </row>
    <row r="399" spans="7:41" x14ac:dyDescent="0.2">
      <c r="G399" s="8"/>
      <c r="H399" s="8"/>
      <c r="I399" s="8"/>
      <c r="J399" s="8"/>
      <c r="K399" s="8"/>
      <c r="L399" s="8"/>
      <c r="M399" s="8"/>
      <c r="N399" s="8"/>
      <c r="O399" s="8"/>
      <c r="Q399" s="8"/>
      <c r="R399" s="8"/>
      <c r="S399" s="8"/>
      <c r="T399" s="8"/>
      <c r="U399" s="8"/>
      <c r="V399" s="8"/>
      <c r="W399" s="8"/>
      <c r="X399" s="8"/>
      <c r="Y399" s="8"/>
      <c r="Z399" s="8"/>
      <c r="AA399" s="8"/>
      <c r="AB399" s="8"/>
      <c r="AD399" s="8"/>
      <c r="AE399" s="8"/>
      <c r="AF399" s="8"/>
      <c r="AG399" s="8"/>
      <c r="AH399" s="8"/>
      <c r="AI399" s="8"/>
      <c r="AJ399" s="8"/>
      <c r="AK399" s="8"/>
      <c r="AL399" s="8"/>
      <c r="AM399" s="8"/>
      <c r="AN399" s="8"/>
      <c r="AO399" s="8"/>
    </row>
    <row r="400" spans="7:41" x14ac:dyDescent="0.2">
      <c r="G400" s="8"/>
      <c r="H400" s="8"/>
      <c r="I400" s="8"/>
      <c r="J400" s="8"/>
      <c r="K400" s="8"/>
      <c r="L400" s="8"/>
      <c r="M400" s="8"/>
      <c r="N400" s="8"/>
      <c r="O400" s="8"/>
      <c r="Q400" s="8"/>
      <c r="R400" s="8"/>
      <c r="S400" s="8"/>
      <c r="T400" s="8"/>
      <c r="U400" s="8"/>
      <c r="V400" s="8"/>
      <c r="W400" s="8"/>
      <c r="X400" s="8"/>
      <c r="Y400" s="8"/>
      <c r="Z400" s="8"/>
      <c r="AA400" s="8"/>
      <c r="AB400" s="8"/>
      <c r="AD400" s="8"/>
      <c r="AE400" s="8"/>
      <c r="AF400" s="8"/>
      <c r="AG400" s="8"/>
      <c r="AH400" s="8"/>
      <c r="AI400" s="8"/>
      <c r="AJ400" s="8"/>
      <c r="AK400" s="8"/>
      <c r="AL400" s="8"/>
      <c r="AM400" s="8"/>
      <c r="AN400" s="8"/>
      <c r="AO400" s="8"/>
    </row>
    <row r="401" spans="7:41" x14ac:dyDescent="0.2">
      <c r="G401" s="8"/>
      <c r="H401" s="8"/>
      <c r="I401" s="8"/>
      <c r="J401" s="8"/>
      <c r="K401" s="8"/>
      <c r="L401" s="8"/>
      <c r="M401" s="8"/>
      <c r="N401" s="8"/>
      <c r="O401" s="8"/>
      <c r="Q401" s="8"/>
      <c r="R401" s="8"/>
      <c r="S401" s="8"/>
      <c r="T401" s="8"/>
      <c r="U401" s="8"/>
      <c r="V401" s="8"/>
      <c r="W401" s="8"/>
      <c r="X401" s="8"/>
      <c r="Y401" s="8"/>
      <c r="Z401" s="8"/>
      <c r="AA401" s="8"/>
      <c r="AB401" s="8"/>
      <c r="AD401" s="8"/>
      <c r="AE401" s="8"/>
      <c r="AF401" s="8"/>
      <c r="AG401" s="8"/>
      <c r="AH401" s="8"/>
      <c r="AI401" s="8"/>
      <c r="AJ401" s="8"/>
      <c r="AK401" s="8"/>
      <c r="AL401" s="8"/>
      <c r="AM401" s="8"/>
      <c r="AN401" s="8"/>
      <c r="AO401" s="8"/>
    </row>
    <row r="402" spans="7:41" x14ac:dyDescent="0.2">
      <c r="G402" s="8"/>
      <c r="H402" s="8"/>
      <c r="I402" s="8"/>
      <c r="J402" s="8"/>
      <c r="K402" s="8"/>
      <c r="L402" s="8"/>
      <c r="M402" s="8"/>
      <c r="N402" s="8"/>
      <c r="O402" s="8"/>
      <c r="Q402" s="8"/>
      <c r="R402" s="8"/>
      <c r="S402" s="8"/>
      <c r="T402" s="8"/>
      <c r="U402" s="8"/>
      <c r="V402" s="8"/>
      <c r="W402" s="8"/>
      <c r="X402" s="8"/>
      <c r="Y402" s="8"/>
      <c r="Z402" s="8"/>
      <c r="AA402" s="8"/>
      <c r="AB402" s="8"/>
      <c r="AD402" s="8"/>
      <c r="AE402" s="8"/>
      <c r="AF402" s="8"/>
      <c r="AG402" s="8"/>
      <c r="AH402" s="8"/>
      <c r="AI402" s="8"/>
      <c r="AJ402" s="8"/>
      <c r="AK402" s="8"/>
      <c r="AL402" s="8"/>
      <c r="AM402" s="8"/>
      <c r="AN402" s="8"/>
      <c r="AO402" s="8"/>
    </row>
    <row r="403" spans="7:41" x14ac:dyDescent="0.2">
      <c r="G403" s="8"/>
      <c r="H403" s="8"/>
      <c r="I403" s="8"/>
      <c r="J403" s="8"/>
      <c r="K403" s="8"/>
      <c r="L403" s="8"/>
      <c r="M403" s="8"/>
      <c r="N403" s="8"/>
      <c r="O403" s="8"/>
      <c r="Q403" s="8"/>
      <c r="R403" s="8"/>
      <c r="S403" s="8"/>
      <c r="T403" s="8"/>
      <c r="U403" s="8"/>
      <c r="V403" s="8"/>
      <c r="W403" s="8"/>
      <c r="X403" s="8"/>
      <c r="Y403" s="8"/>
      <c r="Z403" s="8"/>
      <c r="AA403" s="8"/>
      <c r="AB403" s="8"/>
      <c r="AD403" s="8"/>
      <c r="AE403" s="8"/>
      <c r="AF403" s="8"/>
      <c r="AG403" s="8"/>
      <c r="AH403" s="8"/>
      <c r="AI403" s="8"/>
      <c r="AJ403" s="8"/>
      <c r="AK403" s="8"/>
      <c r="AL403" s="8"/>
      <c r="AM403" s="8"/>
      <c r="AN403" s="8"/>
      <c r="AO403" s="8"/>
    </row>
    <row r="404" spans="7:41" x14ac:dyDescent="0.2">
      <c r="G404" s="8"/>
      <c r="H404" s="8"/>
      <c r="I404" s="8"/>
      <c r="J404" s="8"/>
      <c r="K404" s="8"/>
      <c r="L404" s="8"/>
      <c r="M404" s="8"/>
      <c r="N404" s="8"/>
      <c r="O404" s="8"/>
      <c r="Q404" s="8"/>
      <c r="R404" s="8"/>
      <c r="S404" s="8"/>
      <c r="T404" s="8"/>
      <c r="U404" s="8"/>
      <c r="V404" s="8"/>
      <c r="W404" s="8"/>
      <c r="X404" s="8"/>
      <c r="Y404" s="8"/>
      <c r="Z404" s="8"/>
      <c r="AA404" s="8"/>
      <c r="AB404" s="8"/>
      <c r="AD404" s="8"/>
      <c r="AE404" s="8"/>
      <c r="AF404" s="8"/>
      <c r="AG404" s="8"/>
      <c r="AH404" s="8"/>
      <c r="AI404" s="8"/>
      <c r="AJ404" s="8"/>
      <c r="AK404" s="8"/>
      <c r="AL404" s="8"/>
      <c r="AM404" s="8"/>
      <c r="AN404" s="8"/>
      <c r="AO404" s="8"/>
    </row>
    <row r="405" spans="7:41" x14ac:dyDescent="0.2">
      <c r="G405" s="8"/>
      <c r="H405" s="8"/>
      <c r="I405" s="8"/>
      <c r="J405" s="8"/>
      <c r="K405" s="8"/>
      <c r="L405" s="8"/>
      <c r="M405" s="8"/>
      <c r="N405" s="8"/>
      <c r="O405" s="8"/>
      <c r="Q405" s="8"/>
      <c r="R405" s="8"/>
      <c r="S405" s="8"/>
      <c r="T405" s="8"/>
      <c r="U405" s="8"/>
      <c r="V405" s="8"/>
      <c r="W405" s="8"/>
      <c r="X405" s="8"/>
      <c r="Y405" s="8"/>
      <c r="Z405" s="8"/>
      <c r="AA405" s="8"/>
      <c r="AB405" s="8"/>
      <c r="AD405" s="8"/>
      <c r="AE405" s="8"/>
      <c r="AF405" s="8"/>
      <c r="AG405" s="8"/>
      <c r="AH405" s="8"/>
      <c r="AI405" s="8"/>
      <c r="AJ405" s="8"/>
      <c r="AK405" s="8"/>
      <c r="AL405" s="8"/>
      <c r="AM405" s="8"/>
      <c r="AN405" s="8"/>
      <c r="AO405" s="8"/>
    </row>
    <row r="406" spans="7:41" x14ac:dyDescent="0.2">
      <c r="G406" s="8"/>
      <c r="H406" s="8"/>
      <c r="I406" s="8"/>
      <c r="J406" s="8"/>
      <c r="K406" s="8"/>
      <c r="L406" s="8"/>
      <c r="M406" s="8"/>
      <c r="N406" s="8"/>
      <c r="O406" s="8"/>
      <c r="Q406" s="8"/>
      <c r="R406" s="8"/>
      <c r="S406" s="8"/>
      <c r="T406" s="8"/>
      <c r="U406" s="8"/>
      <c r="V406" s="8"/>
      <c r="W406" s="8"/>
      <c r="X406" s="8"/>
      <c r="Y406" s="8"/>
      <c r="Z406" s="8"/>
      <c r="AA406" s="8"/>
      <c r="AB406" s="8"/>
      <c r="AD406" s="8"/>
      <c r="AE406" s="8"/>
      <c r="AF406" s="8"/>
      <c r="AG406" s="8"/>
      <c r="AH406" s="8"/>
      <c r="AI406" s="8"/>
      <c r="AJ406" s="8"/>
      <c r="AK406" s="8"/>
      <c r="AL406" s="8"/>
      <c r="AM406" s="8"/>
      <c r="AN406" s="8"/>
      <c r="AO406" s="8"/>
    </row>
    <row r="407" spans="7:41" x14ac:dyDescent="0.2">
      <c r="G407" s="8"/>
      <c r="H407" s="8"/>
      <c r="I407" s="8"/>
      <c r="J407" s="8"/>
      <c r="K407" s="8"/>
      <c r="L407" s="8"/>
      <c r="M407" s="8"/>
      <c r="N407" s="8"/>
      <c r="O407" s="8"/>
      <c r="Q407" s="8"/>
      <c r="R407" s="8"/>
      <c r="S407" s="8"/>
      <c r="T407" s="8"/>
      <c r="U407" s="8"/>
      <c r="V407" s="8"/>
      <c r="W407" s="8"/>
      <c r="X407" s="8"/>
      <c r="Y407" s="8"/>
      <c r="Z407" s="8"/>
      <c r="AA407" s="8"/>
      <c r="AB407" s="8"/>
      <c r="AD407" s="8"/>
      <c r="AE407" s="8"/>
      <c r="AF407" s="8"/>
      <c r="AG407" s="8"/>
      <c r="AH407" s="8"/>
      <c r="AI407" s="8"/>
      <c r="AJ407" s="8"/>
      <c r="AK407" s="8"/>
      <c r="AL407" s="8"/>
      <c r="AM407" s="8"/>
      <c r="AN407" s="8"/>
      <c r="AO407" s="8"/>
    </row>
    <row r="408" spans="7:41" x14ac:dyDescent="0.2">
      <c r="G408" s="8"/>
      <c r="H408" s="8"/>
      <c r="I408" s="8"/>
      <c r="J408" s="8"/>
      <c r="K408" s="8"/>
      <c r="L408" s="8"/>
      <c r="M408" s="8"/>
      <c r="N408" s="8"/>
      <c r="O408" s="8"/>
      <c r="Q408" s="8"/>
      <c r="R408" s="8"/>
      <c r="S408" s="8"/>
      <c r="T408" s="8"/>
      <c r="U408" s="8"/>
      <c r="V408" s="8"/>
      <c r="W408" s="8"/>
      <c r="X408" s="8"/>
      <c r="Y408" s="8"/>
      <c r="Z408" s="8"/>
      <c r="AA408" s="8"/>
      <c r="AB408" s="8"/>
      <c r="AD408" s="8"/>
      <c r="AE408" s="8"/>
      <c r="AF408" s="8"/>
      <c r="AG408" s="8"/>
      <c r="AH408" s="8"/>
      <c r="AI408" s="8"/>
      <c r="AJ408" s="8"/>
      <c r="AK408" s="8"/>
      <c r="AL408" s="8"/>
      <c r="AM408" s="8"/>
      <c r="AN408" s="8"/>
      <c r="AO408" s="8"/>
    </row>
    <row r="409" spans="7:41" x14ac:dyDescent="0.2">
      <c r="G409" s="8"/>
      <c r="H409" s="8"/>
      <c r="I409" s="8"/>
      <c r="J409" s="8"/>
      <c r="K409" s="8"/>
      <c r="L409" s="8"/>
      <c r="M409" s="8"/>
      <c r="N409" s="8"/>
      <c r="O409" s="8"/>
      <c r="Q409" s="8"/>
      <c r="R409" s="8"/>
      <c r="S409" s="8"/>
      <c r="T409" s="8"/>
      <c r="U409" s="8"/>
      <c r="V409" s="8"/>
      <c r="W409" s="8"/>
      <c r="X409" s="8"/>
      <c r="Y409" s="8"/>
      <c r="Z409" s="8"/>
      <c r="AA409" s="8"/>
      <c r="AB409" s="8"/>
      <c r="AD409" s="8"/>
      <c r="AE409" s="8"/>
      <c r="AF409" s="8"/>
      <c r="AG409" s="8"/>
      <c r="AH409" s="8"/>
      <c r="AI409" s="8"/>
      <c r="AJ409" s="8"/>
      <c r="AK409" s="8"/>
      <c r="AL409" s="8"/>
      <c r="AM409" s="8"/>
      <c r="AN409" s="8"/>
      <c r="AO409" s="8"/>
    </row>
    <row r="410" spans="7:41" x14ac:dyDescent="0.2">
      <c r="G410" s="8"/>
      <c r="H410" s="8"/>
      <c r="I410" s="8"/>
      <c r="J410" s="8"/>
      <c r="K410" s="8"/>
      <c r="L410" s="8"/>
      <c r="M410" s="8"/>
      <c r="N410" s="8"/>
      <c r="O410" s="8"/>
      <c r="Q410" s="8"/>
      <c r="R410" s="8"/>
      <c r="S410" s="8"/>
      <c r="T410" s="8"/>
      <c r="U410" s="8"/>
      <c r="V410" s="8"/>
      <c r="W410" s="8"/>
      <c r="X410" s="8"/>
      <c r="Y410" s="8"/>
      <c r="Z410" s="8"/>
      <c r="AA410" s="8"/>
      <c r="AB410" s="8"/>
      <c r="AD410" s="8"/>
      <c r="AE410" s="8"/>
      <c r="AF410" s="8"/>
      <c r="AG410" s="8"/>
      <c r="AH410" s="8"/>
      <c r="AI410" s="8"/>
      <c r="AJ410" s="8"/>
      <c r="AK410" s="8"/>
      <c r="AL410" s="8"/>
      <c r="AM410" s="8"/>
      <c r="AN410" s="8"/>
      <c r="AO410" s="8"/>
    </row>
    <row r="411" spans="7:41" x14ac:dyDescent="0.2">
      <c r="G411" s="8"/>
      <c r="H411" s="8"/>
      <c r="I411" s="8"/>
      <c r="J411" s="8"/>
      <c r="K411" s="8"/>
      <c r="L411" s="8"/>
      <c r="M411" s="8"/>
      <c r="N411" s="8"/>
      <c r="O411" s="8"/>
      <c r="Q411" s="8"/>
      <c r="R411" s="8"/>
      <c r="S411" s="8"/>
      <c r="T411" s="8"/>
      <c r="U411" s="8"/>
      <c r="V411" s="8"/>
      <c r="W411" s="8"/>
      <c r="X411" s="8"/>
      <c r="Y411" s="8"/>
      <c r="Z411" s="8"/>
      <c r="AA411" s="8"/>
      <c r="AB411" s="8"/>
      <c r="AD411" s="8"/>
      <c r="AE411" s="8"/>
      <c r="AF411" s="8"/>
      <c r="AG411" s="8"/>
      <c r="AH411" s="8"/>
      <c r="AI411" s="8"/>
      <c r="AJ411" s="8"/>
      <c r="AK411" s="8"/>
      <c r="AL411" s="8"/>
      <c r="AM411" s="8"/>
      <c r="AN411" s="8"/>
      <c r="AO411" s="8"/>
    </row>
    <row r="412" spans="7:41" x14ac:dyDescent="0.2">
      <c r="G412" s="8"/>
      <c r="H412" s="8"/>
      <c r="I412" s="8"/>
      <c r="J412" s="8"/>
      <c r="K412" s="8"/>
      <c r="L412" s="8"/>
      <c r="M412" s="8"/>
      <c r="N412" s="8"/>
      <c r="O412" s="8"/>
      <c r="Q412" s="8"/>
      <c r="R412" s="8"/>
      <c r="S412" s="8"/>
      <c r="T412" s="8"/>
      <c r="U412" s="8"/>
      <c r="V412" s="8"/>
      <c r="W412" s="8"/>
      <c r="X412" s="8"/>
      <c r="Y412" s="8"/>
      <c r="Z412" s="8"/>
      <c r="AA412" s="8"/>
      <c r="AB412" s="8"/>
      <c r="AD412" s="8"/>
      <c r="AE412" s="8"/>
      <c r="AF412" s="8"/>
      <c r="AG412" s="8"/>
      <c r="AH412" s="8"/>
      <c r="AI412" s="8"/>
      <c r="AJ412" s="8"/>
      <c r="AK412" s="8"/>
      <c r="AL412" s="8"/>
      <c r="AM412" s="8"/>
      <c r="AN412" s="8"/>
      <c r="AO412" s="8"/>
    </row>
    <row r="413" spans="7:41" x14ac:dyDescent="0.2">
      <c r="G413" s="8"/>
      <c r="H413" s="8"/>
      <c r="I413" s="8"/>
      <c r="J413" s="8"/>
      <c r="K413" s="8"/>
      <c r="L413" s="8"/>
      <c r="M413" s="8"/>
      <c r="N413" s="8"/>
      <c r="O413" s="8"/>
      <c r="Q413" s="8"/>
      <c r="R413" s="8"/>
      <c r="S413" s="8"/>
      <c r="T413" s="8"/>
      <c r="U413" s="8"/>
      <c r="V413" s="8"/>
      <c r="W413" s="8"/>
      <c r="X413" s="8"/>
      <c r="Y413" s="8"/>
      <c r="Z413" s="8"/>
      <c r="AA413" s="8"/>
      <c r="AB413" s="8"/>
      <c r="AD413" s="8"/>
      <c r="AE413" s="8"/>
      <c r="AF413" s="8"/>
      <c r="AG413" s="8"/>
      <c r="AH413" s="8"/>
      <c r="AI413" s="8"/>
      <c r="AJ413" s="8"/>
      <c r="AK413" s="8"/>
      <c r="AL413" s="8"/>
      <c r="AM413" s="8"/>
      <c r="AN413" s="8"/>
      <c r="AO413" s="8"/>
    </row>
    <row r="414" spans="7:41" x14ac:dyDescent="0.2">
      <c r="G414" s="8"/>
      <c r="H414" s="8"/>
      <c r="I414" s="8"/>
      <c r="J414" s="8"/>
      <c r="K414" s="8"/>
      <c r="L414" s="8"/>
      <c r="M414" s="8"/>
      <c r="N414" s="8"/>
      <c r="O414" s="8"/>
      <c r="Q414" s="8"/>
      <c r="R414" s="8"/>
      <c r="S414" s="8"/>
      <c r="T414" s="8"/>
      <c r="U414" s="8"/>
      <c r="V414" s="8"/>
      <c r="W414" s="8"/>
      <c r="X414" s="8"/>
      <c r="Y414" s="8"/>
      <c r="Z414" s="8"/>
      <c r="AA414" s="8"/>
      <c r="AB414" s="8"/>
      <c r="AD414" s="8"/>
      <c r="AE414" s="8"/>
      <c r="AF414" s="8"/>
      <c r="AG414" s="8"/>
      <c r="AH414" s="8"/>
      <c r="AI414" s="8"/>
      <c r="AJ414" s="8"/>
      <c r="AK414" s="8"/>
      <c r="AL414" s="8"/>
      <c r="AM414" s="8"/>
      <c r="AN414" s="8"/>
      <c r="AO414" s="8"/>
    </row>
    <row r="415" spans="7:41" x14ac:dyDescent="0.2">
      <c r="G415" s="8"/>
      <c r="H415" s="8"/>
      <c r="I415" s="8"/>
      <c r="J415" s="8"/>
      <c r="K415" s="8"/>
      <c r="L415" s="8"/>
      <c r="M415" s="8"/>
      <c r="N415" s="8"/>
      <c r="O415" s="8"/>
      <c r="Q415" s="8"/>
      <c r="R415" s="8"/>
      <c r="S415" s="8"/>
      <c r="T415" s="8"/>
      <c r="U415" s="8"/>
      <c r="V415" s="8"/>
      <c r="W415" s="8"/>
      <c r="X415" s="8"/>
      <c r="Y415" s="8"/>
      <c r="Z415" s="8"/>
      <c r="AA415" s="8"/>
      <c r="AB415" s="8"/>
      <c r="AD415" s="8"/>
      <c r="AE415" s="8"/>
      <c r="AF415" s="8"/>
      <c r="AG415" s="8"/>
      <c r="AH415" s="8"/>
      <c r="AI415" s="8"/>
      <c r="AJ415" s="8"/>
      <c r="AK415" s="8"/>
      <c r="AL415" s="8"/>
      <c r="AM415" s="8"/>
      <c r="AN415" s="8"/>
      <c r="AO415" s="8"/>
    </row>
    <row r="416" spans="7:41" x14ac:dyDescent="0.2">
      <c r="G416" s="8"/>
      <c r="H416" s="8"/>
      <c r="I416" s="8"/>
      <c r="J416" s="8"/>
      <c r="K416" s="8"/>
      <c r="L416" s="8"/>
      <c r="M416" s="8"/>
      <c r="N416" s="8"/>
      <c r="O416" s="8"/>
      <c r="Q416" s="8"/>
      <c r="R416" s="8"/>
      <c r="S416" s="8"/>
      <c r="T416" s="8"/>
      <c r="U416" s="8"/>
      <c r="V416" s="8"/>
      <c r="W416" s="8"/>
      <c r="X416" s="8"/>
      <c r="Y416" s="8"/>
      <c r="Z416" s="8"/>
      <c r="AA416" s="8"/>
      <c r="AB416" s="8"/>
      <c r="AD416" s="8"/>
      <c r="AE416" s="8"/>
      <c r="AF416" s="8"/>
      <c r="AG416" s="8"/>
      <c r="AH416" s="8"/>
      <c r="AI416" s="8"/>
      <c r="AJ416" s="8"/>
      <c r="AK416" s="8"/>
      <c r="AL416" s="8"/>
      <c r="AM416" s="8"/>
      <c r="AN416" s="8"/>
      <c r="AO416" s="8"/>
    </row>
    <row r="417" spans="7:41" x14ac:dyDescent="0.2">
      <c r="G417" s="8"/>
      <c r="H417" s="8"/>
      <c r="I417" s="8"/>
      <c r="J417" s="8"/>
      <c r="K417" s="8"/>
      <c r="L417" s="8"/>
      <c r="M417" s="8"/>
      <c r="N417" s="8"/>
      <c r="O417" s="8"/>
      <c r="Q417" s="8"/>
      <c r="R417" s="8"/>
      <c r="S417" s="8"/>
      <c r="T417" s="8"/>
      <c r="U417" s="8"/>
      <c r="V417" s="8"/>
      <c r="W417" s="8"/>
      <c r="X417" s="8"/>
      <c r="Y417" s="8"/>
      <c r="Z417" s="8"/>
      <c r="AA417" s="8"/>
      <c r="AB417" s="8"/>
      <c r="AD417" s="8"/>
      <c r="AE417" s="8"/>
      <c r="AF417" s="8"/>
      <c r="AG417" s="8"/>
      <c r="AH417" s="8"/>
      <c r="AI417" s="8"/>
      <c r="AJ417" s="8"/>
      <c r="AK417" s="8"/>
      <c r="AL417" s="8"/>
      <c r="AM417" s="8"/>
      <c r="AN417" s="8"/>
      <c r="AO417" s="8"/>
    </row>
    <row r="418" spans="7:41" x14ac:dyDescent="0.2">
      <c r="G418" s="8"/>
      <c r="H418" s="8"/>
      <c r="I418" s="8"/>
      <c r="J418" s="8"/>
      <c r="K418" s="8"/>
      <c r="L418" s="8"/>
      <c r="M418" s="8"/>
      <c r="N418" s="8"/>
      <c r="O418" s="8"/>
      <c r="Q418" s="8"/>
      <c r="R418" s="8"/>
      <c r="S418" s="8"/>
      <c r="T418" s="8"/>
      <c r="U418" s="8"/>
      <c r="V418" s="8"/>
      <c r="W418" s="8"/>
      <c r="X418" s="8"/>
      <c r="Y418" s="8"/>
      <c r="Z418" s="8"/>
      <c r="AA418" s="8"/>
      <c r="AB418" s="8"/>
      <c r="AD418" s="8"/>
      <c r="AE418" s="8"/>
      <c r="AF418" s="8"/>
      <c r="AG418" s="8"/>
      <c r="AH418" s="8"/>
      <c r="AI418" s="8"/>
      <c r="AJ418" s="8"/>
      <c r="AK418" s="8"/>
      <c r="AL418" s="8"/>
      <c r="AM418" s="8"/>
      <c r="AN418" s="8"/>
      <c r="AO418" s="8"/>
    </row>
    <row r="419" spans="7:41" x14ac:dyDescent="0.2">
      <c r="G419" s="8"/>
      <c r="H419" s="8"/>
      <c r="I419" s="8"/>
      <c r="J419" s="8"/>
      <c r="K419" s="8"/>
      <c r="L419" s="8"/>
      <c r="M419" s="8"/>
      <c r="N419" s="8"/>
      <c r="O419" s="8"/>
      <c r="Q419" s="8"/>
      <c r="R419" s="8"/>
      <c r="S419" s="8"/>
      <c r="T419" s="8"/>
      <c r="U419" s="8"/>
      <c r="V419" s="8"/>
      <c r="W419" s="8"/>
      <c r="X419" s="8"/>
      <c r="Y419" s="8"/>
      <c r="Z419" s="8"/>
      <c r="AA419" s="8"/>
      <c r="AB419" s="8"/>
      <c r="AD419" s="8"/>
      <c r="AE419" s="8"/>
      <c r="AF419" s="8"/>
      <c r="AG419" s="8"/>
      <c r="AH419" s="8"/>
      <c r="AI419" s="8"/>
      <c r="AJ419" s="8"/>
      <c r="AK419" s="8"/>
      <c r="AL419" s="8"/>
      <c r="AM419" s="8"/>
      <c r="AN419" s="8"/>
      <c r="AO419" s="8"/>
    </row>
    <row r="420" spans="7:41" x14ac:dyDescent="0.2">
      <c r="G420" s="8"/>
      <c r="H420" s="8"/>
      <c r="I420" s="8"/>
      <c r="J420" s="8"/>
      <c r="K420" s="8"/>
      <c r="L420" s="8"/>
      <c r="M420" s="8"/>
      <c r="N420" s="8"/>
      <c r="O420" s="8"/>
      <c r="Q420" s="8"/>
      <c r="R420" s="8"/>
      <c r="S420" s="8"/>
      <c r="T420" s="8"/>
      <c r="U420" s="8"/>
      <c r="V420" s="8"/>
      <c r="W420" s="8"/>
      <c r="X420" s="8"/>
      <c r="Y420" s="8"/>
      <c r="Z420" s="8"/>
      <c r="AA420" s="8"/>
      <c r="AB420" s="8"/>
      <c r="AD420" s="8"/>
      <c r="AE420" s="8"/>
      <c r="AF420" s="8"/>
      <c r="AG420" s="8"/>
      <c r="AH420" s="8"/>
      <c r="AI420" s="8"/>
      <c r="AJ420" s="8"/>
      <c r="AK420" s="8"/>
      <c r="AL420" s="8"/>
      <c r="AM420" s="8"/>
      <c r="AN420" s="8"/>
      <c r="AO420" s="8"/>
    </row>
    <row r="421" spans="7:41" x14ac:dyDescent="0.2">
      <c r="G421" s="8"/>
      <c r="H421" s="8"/>
      <c r="I421" s="8"/>
      <c r="J421" s="8"/>
      <c r="K421" s="8"/>
      <c r="L421" s="8"/>
      <c r="M421" s="8"/>
      <c r="N421" s="8"/>
      <c r="O421" s="8"/>
      <c r="Q421" s="8"/>
      <c r="R421" s="8"/>
      <c r="S421" s="8"/>
      <c r="T421" s="8"/>
      <c r="U421" s="8"/>
      <c r="V421" s="8"/>
      <c r="W421" s="8"/>
      <c r="X421" s="8"/>
      <c r="Y421" s="8"/>
      <c r="Z421" s="8"/>
      <c r="AA421" s="8"/>
      <c r="AB421" s="8"/>
      <c r="AD421" s="8"/>
      <c r="AE421" s="8"/>
      <c r="AF421" s="8"/>
      <c r="AG421" s="8"/>
      <c r="AH421" s="8"/>
      <c r="AI421" s="8"/>
      <c r="AJ421" s="8"/>
      <c r="AK421" s="8"/>
      <c r="AL421" s="8"/>
      <c r="AM421" s="8"/>
      <c r="AN421" s="8"/>
      <c r="AO421" s="8"/>
    </row>
    <row r="422" spans="7:41" x14ac:dyDescent="0.2">
      <c r="G422" s="8"/>
      <c r="H422" s="8"/>
      <c r="I422" s="8"/>
      <c r="J422" s="8"/>
      <c r="K422" s="8"/>
      <c r="L422" s="8"/>
      <c r="M422" s="8"/>
      <c r="N422" s="8"/>
      <c r="O422" s="8"/>
      <c r="Q422" s="8"/>
      <c r="R422" s="8"/>
      <c r="S422" s="8"/>
      <c r="T422" s="8"/>
      <c r="U422" s="8"/>
      <c r="V422" s="8"/>
      <c r="W422" s="8"/>
      <c r="X422" s="8"/>
      <c r="Y422" s="8"/>
      <c r="Z422" s="8"/>
      <c r="AA422" s="8"/>
      <c r="AB422" s="8"/>
      <c r="AD422" s="8"/>
      <c r="AE422" s="8"/>
      <c r="AF422" s="8"/>
      <c r="AG422" s="8"/>
      <c r="AH422" s="8"/>
      <c r="AI422" s="8"/>
      <c r="AJ422" s="8"/>
      <c r="AK422" s="8"/>
      <c r="AL422" s="8"/>
      <c r="AM422" s="8"/>
      <c r="AN422" s="8"/>
      <c r="AO422" s="8"/>
    </row>
    <row r="423" spans="7:41" x14ac:dyDescent="0.2">
      <c r="G423" s="8"/>
      <c r="H423" s="8"/>
      <c r="I423" s="8"/>
      <c r="J423" s="8"/>
      <c r="K423" s="8"/>
      <c r="L423" s="8"/>
      <c r="M423" s="8"/>
      <c r="N423" s="8"/>
      <c r="O423" s="8"/>
      <c r="Q423" s="8"/>
      <c r="R423" s="8"/>
      <c r="S423" s="8"/>
      <c r="T423" s="8"/>
      <c r="U423" s="8"/>
      <c r="V423" s="8"/>
      <c r="W423" s="8"/>
      <c r="X423" s="8"/>
      <c r="Y423" s="8"/>
      <c r="Z423" s="8"/>
      <c r="AA423" s="8"/>
      <c r="AB423" s="8"/>
      <c r="AD423" s="8"/>
      <c r="AE423" s="8"/>
      <c r="AF423" s="8"/>
      <c r="AG423" s="8"/>
      <c r="AH423" s="8"/>
      <c r="AI423" s="8"/>
      <c r="AJ423" s="8"/>
      <c r="AK423" s="8"/>
      <c r="AL423" s="8"/>
      <c r="AM423" s="8"/>
      <c r="AN423" s="8"/>
      <c r="AO423" s="8"/>
    </row>
    <row r="424" spans="7:41" x14ac:dyDescent="0.2">
      <c r="G424" s="8"/>
      <c r="H424" s="8"/>
      <c r="I424" s="8"/>
      <c r="J424" s="8"/>
      <c r="K424" s="8"/>
      <c r="L424" s="8"/>
      <c r="M424" s="8"/>
      <c r="N424" s="8"/>
      <c r="O424" s="8"/>
      <c r="Q424" s="8"/>
      <c r="R424" s="8"/>
      <c r="S424" s="8"/>
      <c r="T424" s="8"/>
      <c r="U424" s="8"/>
      <c r="V424" s="8"/>
      <c r="W424" s="8"/>
      <c r="X424" s="8"/>
      <c r="Y424" s="8"/>
      <c r="Z424" s="8"/>
      <c r="AA424" s="8"/>
      <c r="AB424" s="8"/>
      <c r="AD424" s="8"/>
      <c r="AE424" s="8"/>
      <c r="AF424" s="8"/>
      <c r="AG424" s="8"/>
      <c r="AH424" s="8"/>
      <c r="AI424" s="8"/>
      <c r="AJ424" s="8"/>
      <c r="AK424" s="8"/>
      <c r="AL424" s="8"/>
      <c r="AM424" s="8"/>
      <c r="AN424" s="8"/>
      <c r="AO424" s="8"/>
    </row>
    <row r="425" spans="7:41" x14ac:dyDescent="0.2">
      <c r="G425" s="8"/>
      <c r="H425" s="8"/>
      <c r="I425" s="8"/>
      <c r="J425" s="8"/>
      <c r="K425" s="8"/>
      <c r="L425" s="8"/>
      <c r="M425" s="8"/>
      <c r="N425" s="8"/>
      <c r="O425" s="8"/>
      <c r="Q425" s="8"/>
      <c r="R425" s="8"/>
      <c r="S425" s="8"/>
      <c r="T425" s="8"/>
      <c r="U425" s="8"/>
      <c r="V425" s="8"/>
      <c r="W425" s="8"/>
      <c r="X425" s="8"/>
      <c r="Y425" s="8"/>
      <c r="Z425" s="8"/>
      <c r="AA425" s="8"/>
      <c r="AB425" s="8"/>
      <c r="AD425" s="8"/>
      <c r="AE425" s="8"/>
      <c r="AF425" s="8"/>
      <c r="AG425" s="8"/>
      <c r="AH425" s="8"/>
      <c r="AI425" s="8"/>
      <c r="AJ425" s="8"/>
      <c r="AK425" s="8"/>
      <c r="AL425" s="8"/>
      <c r="AM425" s="8"/>
      <c r="AN425" s="8"/>
      <c r="AO425" s="8"/>
    </row>
    <row r="426" spans="7:41" x14ac:dyDescent="0.2">
      <c r="G426" s="8"/>
      <c r="H426" s="8"/>
      <c r="I426" s="8"/>
      <c r="J426" s="8"/>
      <c r="K426" s="8"/>
      <c r="L426" s="8"/>
      <c r="M426" s="8"/>
      <c r="N426" s="8"/>
      <c r="O426" s="8"/>
      <c r="Q426" s="8"/>
      <c r="R426" s="8"/>
      <c r="S426" s="8"/>
      <c r="T426" s="8"/>
      <c r="U426" s="8"/>
      <c r="V426" s="8"/>
      <c r="W426" s="8"/>
      <c r="X426" s="8"/>
      <c r="Y426" s="8"/>
      <c r="Z426" s="8"/>
      <c r="AA426" s="8"/>
      <c r="AB426" s="8"/>
      <c r="AD426" s="8"/>
      <c r="AE426" s="8"/>
      <c r="AF426" s="8"/>
      <c r="AG426" s="8"/>
      <c r="AH426" s="8"/>
      <c r="AI426" s="8"/>
      <c r="AJ426" s="8"/>
      <c r="AK426" s="8"/>
      <c r="AL426" s="8"/>
      <c r="AM426" s="8"/>
      <c r="AN426" s="8"/>
      <c r="AO426" s="8"/>
    </row>
    <row r="427" spans="7:41" x14ac:dyDescent="0.2">
      <c r="G427" s="8"/>
      <c r="H427" s="8"/>
      <c r="I427" s="8"/>
      <c r="J427" s="8"/>
      <c r="K427" s="8"/>
      <c r="L427" s="8"/>
      <c r="M427" s="8"/>
      <c r="N427" s="8"/>
      <c r="O427" s="8"/>
      <c r="Q427" s="8"/>
      <c r="R427" s="8"/>
      <c r="S427" s="8"/>
      <c r="T427" s="8"/>
      <c r="U427" s="8"/>
      <c r="V427" s="8"/>
      <c r="W427" s="8"/>
      <c r="X427" s="8"/>
      <c r="Y427" s="8"/>
      <c r="Z427" s="8"/>
      <c r="AA427" s="8"/>
      <c r="AB427" s="8"/>
      <c r="AD427" s="8"/>
      <c r="AE427" s="8"/>
      <c r="AF427" s="8"/>
      <c r="AG427" s="8"/>
      <c r="AH427" s="8"/>
      <c r="AI427" s="8"/>
      <c r="AJ427" s="8"/>
      <c r="AK427" s="8"/>
      <c r="AL427" s="8"/>
      <c r="AM427" s="8"/>
      <c r="AN427" s="8"/>
      <c r="AO427" s="8"/>
    </row>
    <row r="428" spans="7:41" x14ac:dyDescent="0.2">
      <c r="G428" s="8"/>
      <c r="H428" s="8"/>
      <c r="I428" s="8"/>
      <c r="J428" s="8"/>
      <c r="K428" s="8"/>
      <c r="L428" s="8"/>
      <c r="M428" s="8"/>
      <c r="N428" s="8"/>
      <c r="O428" s="8"/>
      <c r="Q428" s="8"/>
      <c r="R428" s="8"/>
      <c r="S428" s="8"/>
      <c r="T428" s="8"/>
      <c r="U428" s="8"/>
      <c r="V428" s="8"/>
      <c r="W428" s="8"/>
      <c r="X428" s="8"/>
      <c r="Y428" s="8"/>
      <c r="Z428" s="8"/>
      <c r="AA428" s="8"/>
      <c r="AB428" s="8"/>
      <c r="AD428" s="8"/>
      <c r="AE428" s="8"/>
      <c r="AF428" s="8"/>
      <c r="AG428" s="8"/>
      <c r="AH428" s="8"/>
      <c r="AI428" s="8"/>
      <c r="AJ428" s="8"/>
      <c r="AK428" s="8"/>
      <c r="AL428" s="8"/>
      <c r="AM428" s="8"/>
      <c r="AN428" s="8"/>
      <c r="AO428" s="8"/>
    </row>
    <row r="429" spans="7:41" x14ac:dyDescent="0.2">
      <c r="G429" s="8"/>
      <c r="H429" s="8"/>
      <c r="I429" s="8"/>
      <c r="J429" s="8"/>
      <c r="K429" s="8"/>
      <c r="L429" s="8"/>
      <c r="M429" s="8"/>
      <c r="N429" s="8"/>
      <c r="O429" s="8"/>
      <c r="Q429" s="8"/>
      <c r="R429" s="8"/>
      <c r="S429" s="8"/>
      <c r="T429" s="8"/>
      <c r="U429" s="8"/>
      <c r="V429" s="8"/>
      <c r="W429" s="8"/>
      <c r="X429" s="8"/>
      <c r="Y429" s="8"/>
      <c r="Z429" s="8"/>
      <c r="AA429" s="8"/>
      <c r="AB429" s="8"/>
      <c r="AD429" s="8"/>
      <c r="AE429" s="8"/>
      <c r="AF429" s="8"/>
      <c r="AG429" s="8"/>
      <c r="AH429" s="8"/>
      <c r="AI429" s="8"/>
      <c r="AJ429" s="8"/>
      <c r="AK429" s="8"/>
      <c r="AL429" s="8"/>
      <c r="AM429" s="8"/>
      <c r="AN429" s="8"/>
      <c r="AO429" s="8"/>
    </row>
    <row r="430" spans="7:41" x14ac:dyDescent="0.2">
      <c r="G430" s="8"/>
      <c r="H430" s="8"/>
      <c r="I430" s="8"/>
      <c r="J430" s="8"/>
      <c r="K430" s="8"/>
      <c r="L430" s="8"/>
      <c r="M430" s="8"/>
      <c r="N430" s="8"/>
      <c r="O430" s="8"/>
      <c r="Q430" s="8"/>
      <c r="R430" s="8"/>
      <c r="S430" s="8"/>
      <c r="T430" s="8"/>
      <c r="U430" s="8"/>
      <c r="V430" s="8"/>
      <c r="W430" s="8"/>
      <c r="X430" s="8"/>
      <c r="Y430" s="8"/>
      <c r="Z430" s="8"/>
      <c r="AA430" s="8"/>
      <c r="AB430" s="8"/>
      <c r="AD430" s="8"/>
      <c r="AE430" s="8"/>
      <c r="AF430" s="8"/>
      <c r="AG430" s="8"/>
      <c r="AH430" s="8"/>
      <c r="AI430" s="8"/>
      <c r="AJ430" s="8"/>
      <c r="AK430" s="8"/>
      <c r="AL430" s="8"/>
      <c r="AM430" s="8"/>
      <c r="AN430" s="8"/>
      <c r="AO430" s="8"/>
    </row>
    <row r="431" spans="7:41" x14ac:dyDescent="0.2">
      <c r="G431" s="8"/>
      <c r="H431" s="8"/>
      <c r="I431" s="8"/>
      <c r="J431" s="8"/>
      <c r="K431" s="8"/>
      <c r="L431" s="8"/>
      <c r="M431" s="8"/>
      <c r="N431" s="8"/>
      <c r="O431" s="8"/>
      <c r="Q431" s="8"/>
      <c r="R431" s="8"/>
      <c r="S431" s="8"/>
      <c r="T431" s="8"/>
      <c r="U431" s="8"/>
      <c r="V431" s="8"/>
      <c r="W431" s="8"/>
      <c r="X431" s="8"/>
      <c r="Y431" s="8"/>
      <c r="Z431" s="8"/>
      <c r="AA431" s="8"/>
      <c r="AB431" s="8"/>
      <c r="AD431" s="8"/>
      <c r="AE431" s="8"/>
      <c r="AF431" s="8"/>
      <c r="AG431" s="8"/>
      <c r="AH431" s="8"/>
      <c r="AI431" s="8"/>
      <c r="AJ431" s="8"/>
      <c r="AK431" s="8"/>
      <c r="AL431" s="8"/>
      <c r="AM431" s="8"/>
      <c r="AN431" s="8"/>
      <c r="AO431" s="8"/>
    </row>
    <row r="432" spans="7:41" x14ac:dyDescent="0.2">
      <c r="G432" s="8"/>
      <c r="H432" s="8"/>
      <c r="I432" s="8"/>
      <c r="J432" s="8"/>
      <c r="K432" s="8"/>
      <c r="L432" s="8"/>
      <c r="M432" s="8"/>
      <c r="N432" s="8"/>
      <c r="O432" s="8"/>
      <c r="Q432" s="8"/>
      <c r="R432" s="8"/>
      <c r="S432" s="8"/>
      <c r="T432" s="8"/>
      <c r="U432" s="8"/>
      <c r="V432" s="8"/>
      <c r="W432" s="8"/>
      <c r="X432" s="8"/>
      <c r="Y432" s="8"/>
      <c r="Z432" s="8"/>
      <c r="AA432" s="8"/>
      <c r="AB432" s="8"/>
      <c r="AD432" s="8"/>
      <c r="AE432" s="8"/>
      <c r="AF432" s="8"/>
      <c r="AG432" s="8"/>
      <c r="AH432" s="8"/>
      <c r="AI432" s="8"/>
      <c r="AJ432" s="8"/>
      <c r="AK432" s="8"/>
      <c r="AL432" s="8"/>
      <c r="AM432" s="8"/>
      <c r="AN432" s="8"/>
      <c r="AO432" s="8"/>
    </row>
    <row r="433" spans="7:41" x14ac:dyDescent="0.2">
      <c r="G433" s="8"/>
      <c r="H433" s="8"/>
      <c r="I433" s="8"/>
      <c r="J433" s="8"/>
      <c r="K433" s="8"/>
      <c r="L433" s="8"/>
      <c r="M433" s="8"/>
      <c r="N433" s="8"/>
      <c r="O433" s="8"/>
      <c r="Q433" s="8"/>
      <c r="R433" s="8"/>
      <c r="S433" s="8"/>
      <c r="T433" s="8"/>
      <c r="U433" s="8"/>
      <c r="V433" s="8"/>
      <c r="W433" s="8"/>
      <c r="X433" s="8"/>
      <c r="Y433" s="8"/>
      <c r="Z433" s="8"/>
      <c r="AA433" s="8"/>
      <c r="AB433" s="8"/>
      <c r="AD433" s="8"/>
      <c r="AE433" s="8"/>
      <c r="AF433" s="8"/>
      <c r="AG433" s="8"/>
      <c r="AH433" s="8"/>
      <c r="AI433" s="8"/>
      <c r="AJ433" s="8"/>
      <c r="AK433" s="8"/>
      <c r="AL433" s="8"/>
      <c r="AM433" s="8"/>
      <c r="AN433" s="8"/>
      <c r="AO433" s="8"/>
    </row>
    <row r="434" spans="7:41" x14ac:dyDescent="0.2">
      <c r="G434" s="8"/>
      <c r="H434" s="8"/>
      <c r="I434" s="8"/>
      <c r="J434" s="8"/>
      <c r="K434" s="8"/>
      <c r="L434" s="8"/>
      <c r="M434" s="8"/>
      <c r="N434" s="8"/>
      <c r="O434" s="8"/>
      <c r="Q434" s="8"/>
      <c r="R434" s="8"/>
      <c r="S434" s="8"/>
      <c r="T434" s="8"/>
      <c r="U434" s="8"/>
      <c r="V434" s="8"/>
      <c r="W434" s="8"/>
      <c r="X434" s="8"/>
      <c r="Y434" s="8"/>
      <c r="Z434" s="8"/>
      <c r="AA434" s="8"/>
      <c r="AB434" s="8"/>
      <c r="AD434" s="8"/>
      <c r="AE434" s="8"/>
      <c r="AF434" s="8"/>
      <c r="AG434" s="8"/>
      <c r="AH434" s="8"/>
      <c r="AI434" s="8"/>
      <c r="AJ434" s="8"/>
      <c r="AK434" s="8"/>
      <c r="AL434" s="8"/>
      <c r="AM434" s="8"/>
      <c r="AN434" s="8"/>
      <c r="AO434" s="8"/>
    </row>
    <row r="435" spans="7:41" x14ac:dyDescent="0.2">
      <c r="G435" s="8"/>
      <c r="H435" s="8"/>
      <c r="I435" s="8"/>
      <c r="J435" s="8"/>
      <c r="K435" s="8"/>
      <c r="L435" s="8"/>
      <c r="M435" s="8"/>
      <c r="N435" s="8"/>
      <c r="O435" s="8"/>
      <c r="Q435" s="8"/>
      <c r="R435" s="8"/>
      <c r="S435" s="8"/>
      <c r="T435" s="8"/>
      <c r="U435" s="8"/>
      <c r="V435" s="8"/>
      <c r="W435" s="8"/>
      <c r="X435" s="8"/>
      <c r="Y435" s="8"/>
      <c r="Z435" s="8"/>
      <c r="AA435" s="8"/>
      <c r="AB435" s="8"/>
      <c r="AD435" s="8"/>
      <c r="AE435" s="8"/>
      <c r="AF435" s="8"/>
      <c r="AG435" s="8"/>
      <c r="AH435" s="8"/>
      <c r="AI435" s="8"/>
      <c r="AJ435" s="8"/>
      <c r="AK435" s="8"/>
      <c r="AL435" s="8"/>
      <c r="AM435" s="8"/>
      <c r="AN435" s="8"/>
      <c r="AO435" s="8"/>
    </row>
    <row r="436" spans="7:41" x14ac:dyDescent="0.2">
      <c r="G436" s="8"/>
      <c r="H436" s="8"/>
      <c r="I436" s="8"/>
      <c r="J436" s="8"/>
      <c r="K436" s="8"/>
      <c r="L436" s="8"/>
      <c r="M436" s="8"/>
      <c r="N436" s="8"/>
      <c r="O436" s="8"/>
      <c r="Q436" s="8"/>
      <c r="R436" s="8"/>
      <c r="S436" s="8"/>
      <c r="T436" s="8"/>
      <c r="U436" s="8"/>
      <c r="V436" s="8"/>
      <c r="W436" s="8"/>
      <c r="X436" s="8"/>
      <c r="Y436" s="8"/>
      <c r="Z436" s="8"/>
      <c r="AA436" s="8"/>
      <c r="AB436" s="8"/>
      <c r="AD436" s="8"/>
      <c r="AE436" s="8"/>
      <c r="AF436" s="8"/>
      <c r="AG436" s="8"/>
      <c r="AH436" s="8"/>
      <c r="AI436" s="8"/>
      <c r="AJ436" s="8"/>
      <c r="AK436" s="8"/>
      <c r="AL436" s="8"/>
      <c r="AM436" s="8"/>
      <c r="AN436" s="8"/>
      <c r="AO436" s="8"/>
    </row>
    <row r="437" spans="7:41" x14ac:dyDescent="0.2">
      <c r="G437" s="8"/>
      <c r="H437" s="8"/>
      <c r="I437" s="8"/>
      <c r="J437" s="8"/>
      <c r="K437" s="8"/>
      <c r="L437" s="8"/>
      <c r="M437" s="8"/>
      <c r="N437" s="8"/>
      <c r="O437" s="8"/>
      <c r="Q437" s="8"/>
      <c r="R437" s="8"/>
      <c r="S437" s="8"/>
      <c r="T437" s="8"/>
      <c r="U437" s="8"/>
      <c r="V437" s="8"/>
      <c r="W437" s="8"/>
      <c r="X437" s="8"/>
      <c r="Y437" s="8"/>
      <c r="Z437" s="8"/>
      <c r="AA437" s="8"/>
      <c r="AB437" s="8"/>
      <c r="AD437" s="8"/>
      <c r="AE437" s="8"/>
      <c r="AF437" s="8"/>
      <c r="AG437" s="8"/>
      <c r="AH437" s="8"/>
      <c r="AI437" s="8"/>
      <c r="AJ437" s="8"/>
      <c r="AK437" s="8"/>
      <c r="AL437" s="8"/>
      <c r="AM437" s="8"/>
      <c r="AN437" s="8"/>
      <c r="AO437" s="8"/>
    </row>
    <row r="438" spans="7:41" x14ac:dyDescent="0.2">
      <c r="G438" s="8"/>
      <c r="H438" s="8"/>
      <c r="I438" s="8"/>
      <c r="J438" s="8"/>
      <c r="K438" s="8"/>
      <c r="L438" s="8"/>
      <c r="M438" s="8"/>
      <c r="N438" s="8"/>
      <c r="O438" s="8"/>
      <c r="Q438" s="8"/>
      <c r="R438" s="8"/>
      <c r="S438" s="8"/>
      <c r="T438" s="8"/>
      <c r="U438" s="8"/>
      <c r="V438" s="8"/>
      <c r="W438" s="8"/>
      <c r="X438" s="8"/>
      <c r="Y438" s="8"/>
      <c r="Z438" s="8"/>
      <c r="AA438" s="8"/>
      <c r="AB438" s="8"/>
      <c r="AD438" s="8"/>
      <c r="AE438" s="8"/>
      <c r="AF438" s="8"/>
      <c r="AG438" s="8"/>
      <c r="AH438" s="8"/>
      <c r="AI438" s="8"/>
      <c r="AJ438" s="8"/>
      <c r="AK438" s="8"/>
      <c r="AL438" s="8"/>
      <c r="AM438" s="8"/>
      <c r="AN438" s="8"/>
      <c r="AO438" s="8"/>
    </row>
    <row r="439" spans="7:41" x14ac:dyDescent="0.2">
      <c r="G439" s="8"/>
      <c r="H439" s="8"/>
      <c r="I439" s="8"/>
      <c r="J439" s="8"/>
      <c r="K439" s="8"/>
      <c r="L439" s="8"/>
      <c r="M439" s="8"/>
      <c r="N439" s="8"/>
      <c r="O439" s="8"/>
      <c r="Q439" s="8"/>
      <c r="R439" s="8"/>
      <c r="S439" s="8"/>
      <c r="T439" s="8"/>
      <c r="U439" s="8"/>
      <c r="V439" s="8"/>
      <c r="W439" s="8"/>
      <c r="X439" s="8"/>
      <c r="Y439" s="8"/>
      <c r="Z439" s="8"/>
      <c r="AA439" s="8"/>
      <c r="AB439" s="8"/>
      <c r="AD439" s="8"/>
      <c r="AE439" s="8"/>
      <c r="AF439" s="8"/>
      <c r="AG439" s="8"/>
      <c r="AH439" s="8"/>
      <c r="AI439" s="8"/>
      <c r="AJ439" s="8"/>
      <c r="AK439" s="8"/>
      <c r="AL439" s="8"/>
      <c r="AM439" s="8"/>
      <c r="AN439" s="8"/>
      <c r="AO439" s="8"/>
    </row>
    <row r="440" spans="7:41" x14ac:dyDescent="0.2">
      <c r="G440" s="8"/>
      <c r="H440" s="8"/>
      <c r="I440" s="8"/>
      <c r="J440" s="8"/>
      <c r="K440" s="8"/>
      <c r="L440" s="8"/>
      <c r="M440" s="8"/>
      <c r="N440" s="8"/>
      <c r="O440" s="8"/>
      <c r="Q440" s="8"/>
      <c r="R440" s="8"/>
      <c r="S440" s="8"/>
      <c r="T440" s="8"/>
      <c r="U440" s="8"/>
      <c r="V440" s="8"/>
      <c r="W440" s="8"/>
      <c r="X440" s="8"/>
      <c r="Y440" s="8"/>
      <c r="Z440" s="8"/>
      <c r="AA440" s="8"/>
      <c r="AB440" s="8"/>
      <c r="AD440" s="8"/>
      <c r="AE440" s="8"/>
      <c r="AF440" s="8"/>
      <c r="AG440" s="8"/>
      <c r="AH440" s="8"/>
      <c r="AI440" s="8"/>
      <c r="AJ440" s="8"/>
      <c r="AK440" s="8"/>
      <c r="AL440" s="8"/>
      <c r="AM440" s="8"/>
      <c r="AN440" s="8"/>
      <c r="AO440" s="8"/>
    </row>
    <row r="441" spans="7:41" x14ac:dyDescent="0.2">
      <c r="G441" s="8"/>
      <c r="H441" s="8"/>
      <c r="I441" s="8"/>
      <c r="J441" s="8"/>
      <c r="K441" s="8"/>
      <c r="L441" s="8"/>
      <c r="M441" s="8"/>
      <c r="N441" s="8"/>
      <c r="O441" s="8"/>
      <c r="Q441" s="8"/>
      <c r="R441" s="8"/>
      <c r="S441" s="8"/>
      <c r="T441" s="8"/>
      <c r="U441" s="8"/>
      <c r="V441" s="8"/>
      <c r="W441" s="8"/>
      <c r="X441" s="8"/>
      <c r="Y441" s="8"/>
      <c r="Z441" s="8"/>
      <c r="AA441" s="8"/>
      <c r="AB441" s="8"/>
      <c r="AD441" s="8"/>
      <c r="AE441" s="8"/>
      <c r="AF441" s="8"/>
      <c r="AG441" s="8"/>
      <c r="AH441" s="8"/>
      <c r="AI441" s="8"/>
      <c r="AJ441" s="8"/>
      <c r="AK441" s="8"/>
      <c r="AL441" s="8"/>
      <c r="AM441" s="8"/>
      <c r="AN441" s="8"/>
      <c r="AO441" s="8"/>
    </row>
    <row r="442" spans="7:41" x14ac:dyDescent="0.2">
      <c r="G442" s="8"/>
      <c r="H442" s="8"/>
      <c r="I442" s="8"/>
      <c r="J442" s="8"/>
      <c r="K442" s="8"/>
      <c r="L442" s="8"/>
      <c r="M442" s="8"/>
      <c r="N442" s="8"/>
      <c r="O442" s="8"/>
      <c r="Q442" s="8"/>
      <c r="R442" s="8"/>
      <c r="S442" s="8"/>
      <c r="T442" s="8"/>
      <c r="U442" s="8"/>
      <c r="V442" s="8"/>
      <c r="W442" s="8"/>
      <c r="X442" s="8"/>
      <c r="Y442" s="8"/>
      <c r="Z442" s="8"/>
      <c r="AA442" s="8"/>
      <c r="AB442" s="8"/>
      <c r="AD442" s="8"/>
      <c r="AE442" s="8"/>
      <c r="AF442" s="8"/>
      <c r="AG442" s="8"/>
      <c r="AH442" s="8"/>
      <c r="AI442" s="8"/>
      <c r="AJ442" s="8"/>
      <c r="AK442" s="8"/>
      <c r="AL442" s="8"/>
      <c r="AM442" s="8"/>
      <c r="AN442" s="8"/>
      <c r="AO442" s="8"/>
    </row>
    <row r="443" spans="7:41" x14ac:dyDescent="0.2">
      <c r="G443" s="8"/>
      <c r="H443" s="8"/>
      <c r="I443" s="8"/>
      <c r="J443" s="8"/>
      <c r="K443" s="8"/>
      <c r="L443" s="8"/>
      <c r="M443" s="8"/>
      <c r="N443" s="8"/>
      <c r="O443" s="8"/>
      <c r="Q443" s="8"/>
      <c r="R443" s="8"/>
      <c r="S443" s="8"/>
      <c r="T443" s="8"/>
      <c r="U443" s="8"/>
      <c r="V443" s="8"/>
      <c r="W443" s="8"/>
      <c r="X443" s="8"/>
      <c r="Y443" s="8"/>
      <c r="Z443" s="8"/>
      <c r="AA443" s="8"/>
      <c r="AB443" s="8"/>
      <c r="AD443" s="8"/>
      <c r="AE443" s="8"/>
      <c r="AF443" s="8"/>
      <c r="AG443" s="8"/>
      <c r="AH443" s="8"/>
      <c r="AI443" s="8"/>
      <c r="AJ443" s="8"/>
      <c r="AK443" s="8"/>
      <c r="AL443" s="8"/>
      <c r="AM443" s="8"/>
      <c r="AN443" s="8"/>
      <c r="AO443" s="8"/>
    </row>
    <row r="444" spans="7:41" x14ac:dyDescent="0.2">
      <c r="G444" s="8"/>
      <c r="H444" s="8"/>
      <c r="I444" s="8"/>
      <c r="J444" s="8"/>
      <c r="K444" s="8"/>
      <c r="L444" s="8"/>
      <c r="M444" s="8"/>
      <c r="N444" s="8"/>
      <c r="O444" s="8"/>
      <c r="Q444" s="8"/>
      <c r="R444" s="8"/>
      <c r="S444" s="8"/>
      <c r="T444" s="8"/>
      <c r="U444" s="8"/>
      <c r="V444" s="8"/>
      <c r="W444" s="8"/>
      <c r="X444" s="8"/>
      <c r="Y444" s="8"/>
      <c r="Z444" s="8"/>
      <c r="AA444" s="8"/>
      <c r="AB444" s="8"/>
      <c r="AD444" s="8"/>
      <c r="AE444" s="8"/>
      <c r="AF444" s="8"/>
      <c r="AG444" s="8"/>
      <c r="AH444" s="8"/>
      <c r="AI444" s="8"/>
      <c r="AJ444" s="8"/>
      <c r="AK444" s="8"/>
      <c r="AL444" s="8"/>
      <c r="AM444" s="8"/>
      <c r="AN444" s="8"/>
      <c r="AO444" s="8"/>
    </row>
    <row r="445" spans="7:41" x14ac:dyDescent="0.2">
      <c r="G445" s="8"/>
      <c r="H445" s="8"/>
      <c r="I445" s="8"/>
      <c r="J445" s="8"/>
      <c r="K445" s="8"/>
      <c r="L445" s="8"/>
      <c r="M445" s="8"/>
      <c r="N445" s="8"/>
      <c r="O445" s="8"/>
      <c r="Q445" s="8"/>
      <c r="R445" s="8"/>
      <c r="S445" s="8"/>
      <c r="T445" s="8"/>
      <c r="U445" s="8"/>
      <c r="V445" s="8"/>
      <c r="W445" s="8"/>
      <c r="X445" s="8"/>
      <c r="Y445" s="8"/>
      <c r="Z445" s="8"/>
      <c r="AA445" s="8"/>
      <c r="AB445" s="8"/>
      <c r="AD445" s="8"/>
      <c r="AE445" s="8"/>
      <c r="AF445" s="8"/>
      <c r="AG445" s="8"/>
      <c r="AH445" s="8"/>
      <c r="AI445" s="8"/>
      <c r="AJ445" s="8"/>
      <c r="AK445" s="8"/>
      <c r="AL445" s="8"/>
      <c r="AM445" s="8"/>
      <c r="AN445" s="8"/>
      <c r="AO445" s="8"/>
    </row>
    <row r="446" spans="7:41" x14ac:dyDescent="0.2">
      <c r="G446" s="8"/>
      <c r="H446" s="8"/>
      <c r="I446" s="8"/>
      <c r="J446" s="8"/>
      <c r="K446" s="8"/>
      <c r="L446" s="8"/>
      <c r="M446" s="8"/>
      <c r="N446" s="8"/>
      <c r="O446" s="8"/>
      <c r="Q446" s="8"/>
      <c r="R446" s="8"/>
      <c r="S446" s="8"/>
      <c r="T446" s="8"/>
      <c r="U446" s="8"/>
      <c r="V446" s="8"/>
      <c r="W446" s="8"/>
      <c r="X446" s="8"/>
      <c r="Y446" s="8"/>
      <c r="Z446" s="8"/>
      <c r="AA446" s="8"/>
      <c r="AB446" s="8"/>
      <c r="AD446" s="8"/>
      <c r="AE446" s="8"/>
      <c r="AF446" s="8"/>
      <c r="AG446" s="8"/>
      <c r="AH446" s="8"/>
      <c r="AI446" s="8"/>
      <c r="AJ446" s="8"/>
      <c r="AK446" s="8"/>
      <c r="AL446" s="8"/>
      <c r="AM446" s="8"/>
      <c r="AN446" s="8"/>
      <c r="AO446" s="8"/>
    </row>
    <row r="447" spans="7:41" x14ac:dyDescent="0.2">
      <c r="G447" s="8"/>
      <c r="H447" s="8"/>
      <c r="I447" s="8"/>
      <c r="J447" s="8"/>
      <c r="K447" s="8"/>
      <c r="L447" s="8"/>
      <c r="M447" s="8"/>
      <c r="N447" s="8"/>
      <c r="O447" s="8"/>
      <c r="Q447" s="8"/>
      <c r="R447" s="8"/>
      <c r="S447" s="8"/>
      <c r="T447" s="8"/>
      <c r="U447" s="8"/>
      <c r="V447" s="8"/>
      <c r="W447" s="8"/>
      <c r="X447" s="8"/>
      <c r="Y447" s="8"/>
      <c r="Z447" s="8"/>
      <c r="AA447" s="8"/>
      <c r="AB447" s="8"/>
      <c r="AD447" s="8"/>
      <c r="AE447" s="8"/>
      <c r="AF447" s="8"/>
      <c r="AG447" s="8"/>
      <c r="AH447" s="8"/>
      <c r="AI447" s="8"/>
      <c r="AJ447" s="8"/>
      <c r="AK447" s="8"/>
      <c r="AL447" s="8"/>
      <c r="AM447" s="8"/>
      <c r="AN447" s="8"/>
      <c r="AO447" s="8"/>
    </row>
    <row r="448" spans="7:41" x14ac:dyDescent="0.2">
      <c r="G448" s="8"/>
      <c r="H448" s="8"/>
      <c r="I448" s="8"/>
      <c r="J448" s="8"/>
      <c r="K448" s="8"/>
      <c r="L448" s="8"/>
      <c r="M448" s="8"/>
      <c r="N448" s="8"/>
      <c r="O448" s="8"/>
      <c r="Q448" s="8"/>
      <c r="R448" s="8"/>
      <c r="S448" s="8"/>
      <c r="T448" s="8"/>
      <c r="U448" s="8"/>
      <c r="V448" s="8"/>
      <c r="W448" s="8"/>
      <c r="X448" s="8"/>
      <c r="Y448" s="8"/>
      <c r="Z448" s="8"/>
      <c r="AA448" s="8"/>
      <c r="AB448" s="8"/>
      <c r="AD448" s="8"/>
      <c r="AE448" s="8"/>
      <c r="AF448" s="8"/>
      <c r="AG448" s="8"/>
      <c r="AH448" s="8"/>
      <c r="AI448" s="8"/>
      <c r="AJ448" s="8"/>
      <c r="AK448" s="8"/>
      <c r="AL448" s="8"/>
      <c r="AM448" s="8"/>
      <c r="AN448" s="8"/>
      <c r="AO448" s="8"/>
    </row>
    <row r="449" spans="7:41" x14ac:dyDescent="0.2">
      <c r="G449" s="8"/>
      <c r="H449" s="8"/>
      <c r="I449" s="8"/>
      <c r="J449" s="8"/>
      <c r="K449" s="8"/>
      <c r="L449" s="8"/>
      <c r="M449" s="8"/>
      <c r="N449" s="8"/>
      <c r="O449" s="8"/>
      <c r="Q449" s="8"/>
      <c r="R449" s="8"/>
      <c r="S449" s="8"/>
      <c r="T449" s="8"/>
      <c r="U449" s="8"/>
      <c r="V449" s="8"/>
      <c r="W449" s="8"/>
      <c r="X449" s="8"/>
      <c r="Y449" s="8"/>
      <c r="Z449" s="8"/>
      <c r="AA449" s="8"/>
      <c r="AB449" s="8"/>
      <c r="AD449" s="8"/>
      <c r="AE449" s="8"/>
      <c r="AF449" s="8"/>
      <c r="AG449" s="8"/>
      <c r="AH449" s="8"/>
      <c r="AI449" s="8"/>
      <c r="AJ449" s="8"/>
      <c r="AK449" s="8"/>
      <c r="AL449" s="8"/>
      <c r="AM449" s="8"/>
      <c r="AN449" s="8"/>
      <c r="AO449" s="8"/>
    </row>
    <row r="450" spans="7:41" x14ac:dyDescent="0.2">
      <c r="G450" s="8"/>
      <c r="H450" s="8"/>
      <c r="I450" s="8"/>
      <c r="J450" s="8"/>
      <c r="K450" s="8"/>
      <c r="L450" s="8"/>
      <c r="M450" s="8"/>
      <c r="N450" s="8"/>
      <c r="O450" s="8"/>
      <c r="Q450" s="8"/>
      <c r="R450" s="8"/>
      <c r="S450" s="8"/>
      <c r="T450" s="8"/>
      <c r="U450" s="8"/>
      <c r="V450" s="8"/>
      <c r="W450" s="8"/>
      <c r="X450" s="8"/>
      <c r="Y450" s="8"/>
      <c r="Z450" s="8"/>
      <c r="AA450" s="8"/>
      <c r="AB450" s="8"/>
      <c r="AD450" s="8"/>
      <c r="AE450" s="8"/>
      <c r="AF450" s="8"/>
      <c r="AG450" s="8"/>
      <c r="AH450" s="8"/>
      <c r="AI450" s="8"/>
      <c r="AJ450" s="8"/>
      <c r="AK450" s="8"/>
      <c r="AL450" s="8"/>
      <c r="AM450" s="8"/>
      <c r="AN450" s="8"/>
      <c r="AO450" s="8"/>
    </row>
    <row r="451" spans="7:41" x14ac:dyDescent="0.2">
      <c r="G451" s="8"/>
      <c r="H451" s="8"/>
      <c r="I451" s="8"/>
      <c r="J451" s="8"/>
      <c r="K451" s="8"/>
      <c r="L451" s="8"/>
      <c r="M451" s="8"/>
      <c r="N451" s="8"/>
      <c r="O451" s="8"/>
      <c r="Q451" s="8"/>
      <c r="R451" s="8"/>
      <c r="S451" s="8"/>
      <c r="T451" s="8"/>
      <c r="U451" s="8"/>
      <c r="V451" s="8"/>
      <c r="W451" s="8"/>
      <c r="X451" s="8"/>
      <c r="Y451" s="8"/>
      <c r="Z451" s="8"/>
      <c r="AA451" s="8"/>
      <c r="AB451" s="8"/>
      <c r="AD451" s="8"/>
      <c r="AE451" s="8"/>
      <c r="AF451" s="8"/>
      <c r="AG451" s="8"/>
      <c r="AH451" s="8"/>
      <c r="AI451" s="8"/>
      <c r="AJ451" s="8"/>
      <c r="AK451" s="8"/>
      <c r="AL451" s="8"/>
      <c r="AM451" s="8"/>
      <c r="AN451" s="8"/>
      <c r="AO451" s="8"/>
    </row>
    <row r="452" spans="7:41" x14ac:dyDescent="0.2">
      <c r="G452" s="8"/>
      <c r="H452" s="8"/>
      <c r="I452" s="8"/>
      <c r="J452" s="8"/>
      <c r="K452" s="8"/>
      <c r="L452" s="8"/>
      <c r="M452" s="8"/>
      <c r="N452" s="8"/>
      <c r="O452" s="8"/>
      <c r="Q452" s="8"/>
      <c r="R452" s="8"/>
      <c r="S452" s="8"/>
      <c r="T452" s="8"/>
      <c r="U452" s="8"/>
      <c r="V452" s="8"/>
      <c r="W452" s="8"/>
      <c r="X452" s="8"/>
      <c r="Y452" s="8"/>
      <c r="Z452" s="8"/>
      <c r="AA452" s="8"/>
      <c r="AB452" s="8"/>
      <c r="AD452" s="8"/>
      <c r="AE452" s="8"/>
      <c r="AF452" s="8"/>
      <c r="AG452" s="8"/>
      <c r="AH452" s="8"/>
      <c r="AI452" s="8"/>
      <c r="AJ452" s="8"/>
      <c r="AK452" s="8"/>
      <c r="AL452" s="8"/>
      <c r="AM452" s="8"/>
      <c r="AN452" s="8"/>
      <c r="AO452" s="8"/>
    </row>
    <row r="453" spans="7:41" x14ac:dyDescent="0.2">
      <c r="G453" s="8"/>
      <c r="H453" s="8"/>
      <c r="I453" s="8"/>
      <c r="J453" s="8"/>
      <c r="K453" s="8"/>
      <c r="L453" s="8"/>
      <c r="M453" s="8"/>
      <c r="N453" s="8"/>
      <c r="O453" s="8"/>
      <c r="Q453" s="8"/>
      <c r="R453" s="8"/>
      <c r="S453" s="8"/>
      <c r="T453" s="8"/>
      <c r="U453" s="8"/>
      <c r="V453" s="8"/>
      <c r="W453" s="8"/>
      <c r="X453" s="8"/>
      <c r="Y453" s="8"/>
      <c r="Z453" s="8"/>
      <c r="AA453" s="8"/>
      <c r="AB453" s="8"/>
      <c r="AD453" s="8"/>
      <c r="AE453" s="8"/>
      <c r="AF453" s="8"/>
      <c r="AG453" s="8"/>
      <c r="AH453" s="8"/>
      <c r="AI453" s="8"/>
      <c r="AJ453" s="8"/>
      <c r="AK453" s="8"/>
      <c r="AL453" s="8"/>
      <c r="AM453" s="8"/>
      <c r="AN453" s="8"/>
      <c r="AO453" s="8"/>
    </row>
    <row r="454" spans="7:41" x14ac:dyDescent="0.2">
      <c r="G454" s="8"/>
      <c r="H454" s="8"/>
      <c r="I454" s="8"/>
      <c r="J454" s="8"/>
      <c r="K454" s="8"/>
      <c r="L454" s="8"/>
      <c r="M454" s="8"/>
      <c r="N454" s="8"/>
      <c r="O454" s="8"/>
      <c r="Q454" s="8"/>
      <c r="R454" s="8"/>
      <c r="S454" s="8"/>
      <c r="T454" s="8"/>
      <c r="U454" s="8"/>
      <c r="V454" s="8"/>
      <c r="W454" s="8"/>
      <c r="X454" s="8"/>
      <c r="Y454" s="8"/>
      <c r="Z454" s="8"/>
      <c r="AA454" s="8"/>
      <c r="AB454" s="8"/>
      <c r="AD454" s="8"/>
      <c r="AE454" s="8"/>
      <c r="AF454" s="8"/>
      <c r="AG454" s="8"/>
      <c r="AH454" s="8"/>
      <c r="AI454" s="8"/>
      <c r="AJ454" s="8"/>
      <c r="AK454" s="8"/>
      <c r="AL454" s="8"/>
      <c r="AM454" s="8"/>
      <c r="AN454" s="8"/>
      <c r="AO454" s="8"/>
    </row>
    <row r="455" spans="7:41" x14ac:dyDescent="0.2">
      <c r="G455" s="8"/>
      <c r="H455" s="8"/>
      <c r="I455" s="8"/>
      <c r="J455" s="8"/>
      <c r="K455" s="8"/>
      <c r="L455" s="8"/>
      <c r="M455" s="8"/>
      <c r="N455" s="8"/>
      <c r="O455" s="8"/>
      <c r="Q455" s="8"/>
      <c r="R455" s="8"/>
      <c r="S455" s="8"/>
      <c r="T455" s="8"/>
      <c r="U455" s="8"/>
      <c r="V455" s="8"/>
      <c r="W455" s="8"/>
      <c r="X455" s="8"/>
      <c r="Y455" s="8"/>
      <c r="Z455" s="8"/>
      <c r="AA455" s="8"/>
      <c r="AB455" s="8"/>
      <c r="AD455" s="8"/>
      <c r="AE455" s="8"/>
      <c r="AF455" s="8"/>
      <c r="AG455" s="8"/>
      <c r="AH455" s="8"/>
      <c r="AI455" s="8"/>
      <c r="AJ455" s="8"/>
      <c r="AK455" s="8"/>
      <c r="AL455" s="8"/>
      <c r="AM455" s="8"/>
      <c r="AN455" s="8"/>
      <c r="AO455" s="8"/>
    </row>
    <row r="456" spans="7:41" x14ac:dyDescent="0.2">
      <c r="G456" s="8"/>
      <c r="H456" s="8"/>
      <c r="I456" s="8"/>
      <c r="J456" s="8"/>
      <c r="K456" s="8"/>
      <c r="L456" s="8"/>
      <c r="M456" s="8"/>
      <c r="N456" s="8"/>
      <c r="O456" s="8"/>
      <c r="Q456" s="8"/>
      <c r="R456" s="8"/>
      <c r="S456" s="8"/>
      <c r="T456" s="8"/>
      <c r="U456" s="8"/>
      <c r="V456" s="8"/>
      <c r="W456" s="8"/>
      <c r="X456" s="8"/>
      <c r="Y456" s="8"/>
      <c r="Z456" s="8"/>
      <c r="AA456" s="8"/>
      <c r="AB456" s="8"/>
      <c r="AD456" s="8"/>
      <c r="AE456" s="8"/>
      <c r="AF456" s="8"/>
      <c r="AG456" s="8"/>
      <c r="AH456" s="8"/>
      <c r="AI456" s="8"/>
      <c r="AJ456" s="8"/>
      <c r="AK456" s="8"/>
      <c r="AL456" s="8"/>
      <c r="AM456" s="8"/>
      <c r="AN456" s="8"/>
      <c r="AO456" s="8"/>
    </row>
    <row r="457" spans="7:41" x14ac:dyDescent="0.2">
      <c r="G457" s="8"/>
      <c r="H457" s="8"/>
      <c r="I457" s="8"/>
      <c r="J457" s="8"/>
      <c r="K457" s="8"/>
      <c r="L457" s="8"/>
      <c r="M457" s="8"/>
      <c r="N457" s="8"/>
      <c r="O457" s="8"/>
      <c r="Q457" s="8"/>
      <c r="R457" s="8"/>
      <c r="S457" s="8"/>
      <c r="T457" s="8"/>
      <c r="U457" s="8"/>
      <c r="V457" s="8"/>
      <c r="W457" s="8"/>
      <c r="X457" s="8"/>
      <c r="Y457" s="8"/>
      <c r="Z457" s="8"/>
      <c r="AA457" s="8"/>
      <c r="AB457" s="8"/>
      <c r="AD457" s="8"/>
      <c r="AE457" s="8"/>
      <c r="AF457" s="8"/>
      <c r="AG457" s="8"/>
      <c r="AH457" s="8"/>
      <c r="AI457" s="8"/>
      <c r="AJ457" s="8"/>
      <c r="AK457" s="8"/>
      <c r="AL457" s="8"/>
      <c r="AM457" s="8"/>
      <c r="AN457" s="8"/>
      <c r="AO457" s="8"/>
    </row>
    <row r="458" spans="7:41" x14ac:dyDescent="0.2">
      <c r="G458" s="8"/>
      <c r="H458" s="8"/>
      <c r="I458" s="8"/>
      <c r="J458" s="8"/>
      <c r="K458" s="8"/>
      <c r="L458" s="8"/>
      <c r="M458" s="8"/>
      <c r="N458" s="8"/>
      <c r="O458" s="8"/>
      <c r="Q458" s="8"/>
      <c r="R458" s="8"/>
      <c r="S458" s="8"/>
      <c r="T458" s="8"/>
      <c r="U458" s="8"/>
      <c r="V458" s="8"/>
      <c r="W458" s="8"/>
      <c r="X458" s="8"/>
      <c r="Y458" s="8"/>
      <c r="Z458" s="8"/>
      <c r="AA458" s="8"/>
      <c r="AB458" s="8"/>
      <c r="AD458" s="8"/>
      <c r="AE458" s="8"/>
      <c r="AF458" s="8"/>
      <c r="AG458" s="8"/>
      <c r="AH458" s="8"/>
      <c r="AI458" s="8"/>
      <c r="AJ458" s="8"/>
      <c r="AK458" s="8"/>
      <c r="AL458" s="8"/>
      <c r="AM458" s="8"/>
      <c r="AN458" s="8"/>
      <c r="AO458" s="8"/>
    </row>
    <row r="459" spans="7:41" x14ac:dyDescent="0.2">
      <c r="G459" s="8"/>
      <c r="H459" s="8"/>
      <c r="I459" s="8"/>
      <c r="J459" s="8"/>
      <c r="K459" s="8"/>
      <c r="L459" s="8"/>
      <c r="M459" s="8"/>
      <c r="N459" s="8"/>
      <c r="O459" s="8"/>
      <c r="Q459" s="8"/>
      <c r="R459" s="8"/>
      <c r="S459" s="8"/>
      <c r="T459" s="8"/>
      <c r="U459" s="8"/>
      <c r="V459" s="8"/>
      <c r="W459" s="8"/>
      <c r="X459" s="8"/>
      <c r="Y459" s="8"/>
      <c r="Z459" s="8"/>
      <c r="AA459" s="8"/>
      <c r="AB459" s="8"/>
      <c r="AD459" s="8"/>
      <c r="AE459" s="8"/>
      <c r="AF459" s="8"/>
      <c r="AG459" s="8"/>
      <c r="AH459" s="8"/>
      <c r="AI459" s="8"/>
      <c r="AJ459" s="8"/>
      <c r="AK459" s="8"/>
      <c r="AL459" s="8"/>
      <c r="AM459" s="8"/>
      <c r="AN459" s="8"/>
      <c r="AO459" s="8"/>
    </row>
    <row r="460" spans="7:41" x14ac:dyDescent="0.2">
      <c r="G460" s="8"/>
      <c r="H460" s="8"/>
      <c r="I460" s="8"/>
      <c r="J460" s="8"/>
      <c r="K460" s="8"/>
      <c r="L460" s="8"/>
      <c r="M460" s="8"/>
      <c r="N460" s="8"/>
      <c r="O460" s="8"/>
      <c r="Q460" s="8"/>
      <c r="R460" s="8"/>
      <c r="S460" s="8"/>
      <c r="T460" s="8"/>
      <c r="U460" s="8"/>
      <c r="V460" s="8"/>
      <c r="W460" s="8"/>
      <c r="X460" s="8"/>
      <c r="Y460" s="8"/>
      <c r="Z460" s="8"/>
      <c r="AA460" s="8"/>
      <c r="AB460" s="8"/>
      <c r="AD460" s="8"/>
      <c r="AE460" s="8"/>
      <c r="AF460" s="8"/>
      <c r="AG460" s="8"/>
      <c r="AH460" s="8"/>
      <c r="AI460" s="8"/>
      <c r="AJ460" s="8"/>
      <c r="AK460" s="8"/>
      <c r="AL460" s="8"/>
      <c r="AM460" s="8"/>
      <c r="AN460" s="8"/>
      <c r="AO460" s="8"/>
    </row>
    <row r="461" spans="7:41" x14ac:dyDescent="0.2">
      <c r="G461" s="8"/>
      <c r="H461" s="8"/>
      <c r="I461" s="8"/>
      <c r="J461" s="8"/>
      <c r="K461" s="8"/>
      <c r="L461" s="8"/>
      <c r="M461" s="8"/>
      <c r="N461" s="8"/>
      <c r="O461" s="8"/>
      <c r="Q461" s="8"/>
      <c r="R461" s="8"/>
      <c r="S461" s="8"/>
      <c r="T461" s="8"/>
      <c r="U461" s="8"/>
      <c r="V461" s="8"/>
      <c r="W461" s="8"/>
      <c r="X461" s="8"/>
      <c r="Y461" s="8"/>
      <c r="Z461" s="8"/>
      <c r="AA461" s="8"/>
      <c r="AB461" s="8"/>
      <c r="AD461" s="8"/>
      <c r="AE461" s="8"/>
      <c r="AF461" s="8"/>
      <c r="AG461" s="8"/>
      <c r="AH461" s="8"/>
      <c r="AI461" s="8"/>
      <c r="AJ461" s="8"/>
      <c r="AK461" s="8"/>
      <c r="AL461" s="8"/>
      <c r="AM461" s="8"/>
      <c r="AN461" s="8"/>
      <c r="AO461" s="8"/>
    </row>
    <row r="462" spans="7:41" x14ac:dyDescent="0.2">
      <c r="G462" s="8"/>
      <c r="H462" s="8"/>
      <c r="I462" s="8"/>
      <c r="J462" s="8"/>
      <c r="K462" s="8"/>
      <c r="L462" s="8"/>
      <c r="M462" s="8"/>
      <c r="N462" s="8"/>
      <c r="O462" s="8"/>
      <c r="Q462" s="8"/>
      <c r="R462" s="8"/>
      <c r="S462" s="8"/>
      <c r="T462" s="8"/>
      <c r="U462" s="8"/>
      <c r="V462" s="8"/>
      <c r="W462" s="8"/>
      <c r="X462" s="8"/>
      <c r="Y462" s="8"/>
      <c r="Z462" s="8"/>
      <c r="AA462" s="8"/>
      <c r="AB462" s="8"/>
      <c r="AD462" s="8"/>
      <c r="AE462" s="8"/>
      <c r="AF462" s="8"/>
      <c r="AG462" s="8"/>
      <c r="AH462" s="8"/>
      <c r="AI462" s="8"/>
      <c r="AJ462" s="8"/>
      <c r="AK462" s="8"/>
      <c r="AL462" s="8"/>
      <c r="AM462" s="8"/>
      <c r="AN462" s="8"/>
      <c r="AO462" s="8"/>
    </row>
    <row r="463" spans="7:41" x14ac:dyDescent="0.2">
      <c r="G463" s="8"/>
      <c r="H463" s="8"/>
      <c r="I463" s="8"/>
      <c r="J463" s="8"/>
      <c r="K463" s="8"/>
      <c r="L463" s="8"/>
      <c r="M463" s="8"/>
      <c r="N463" s="8"/>
      <c r="O463" s="8"/>
      <c r="Q463" s="8"/>
      <c r="R463" s="8"/>
      <c r="S463" s="8"/>
      <c r="T463" s="8"/>
      <c r="U463" s="8"/>
      <c r="V463" s="8"/>
      <c r="W463" s="8"/>
      <c r="X463" s="8"/>
      <c r="Y463" s="8"/>
      <c r="Z463" s="8"/>
      <c r="AA463" s="8"/>
      <c r="AB463" s="8"/>
      <c r="AD463" s="8"/>
      <c r="AE463" s="8"/>
      <c r="AF463" s="8"/>
      <c r="AG463" s="8"/>
      <c r="AH463" s="8"/>
      <c r="AI463" s="8"/>
      <c r="AJ463" s="8"/>
      <c r="AK463" s="8"/>
      <c r="AL463" s="8"/>
      <c r="AM463" s="8"/>
      <c r="AN463" s="8"/>
      <c r="AO463" s="8"/>
    </row>
    <row r="464" spans="7:41" x14ac:dyDescent="0.2">
      <c r="G464" s="8"/>
      <c r="H464" s="8"/>
      <c r="I464" s="8"/>
      <c r="J464" s="8"/>
      <c r="K464" s="8"/>
      <c r="L464" s="8"/>
      <c r="M464" s="8"/>
      <c r="N464" s="8"/>
      <c r="O464" s="8"/>
      <c r="Q464" s="8"/>
      <c r="R464" s="8"/>
      <c r="S464" s="8"/>
      <c r="T464" s="8"/>
      <c r="U464" s="8"/>
      <c r="V464" s="8"/>
      <c r="W464" s="8"/>
      <c r="X464" s="8"/>
      <c r="Y464" s="8"/>
      <c r="Z464" s="8"/>
      <c r="AA464" s="8"/>
      <c r="AB464" s="8"/>
      <c r="AD464" s="8"/>
      <c r="AE464" s="8"/>
      <c r="AF464" s="8"/>
      <c r="AG464" s="8"/>
      <c r="AH464" s="8"/>
      <c r="AI464" s="8"/>
      <c r="AJ464" s="8"/>
      <c r="AK464" s="8"/>
      <c r="AL464" s="8"/>
      <c r="AM464" s="8"/>
      <c r="AN464" s="8"/>
      <c r="AO464" s="8"/>
    </row>
    <row r="465" spans="7:41" x14ac:dyDescent="0.2">
      <c r="G465" s="8"/>
      <c r="H465" s="8"/>
      <c r="I465" s="8"/>
      <c r="J465" s="8"/>
      <c r="K465" s="8"/>
      <c r="L465" s="8"/>
      <c r="M465" s="8"/>
      <c r="N465" s="8"/>
      <c r="O465" s="8"/>
      <c r="Q465" s="8"/>
      <c r="R465" s="8"/>
      <c r="S465" s="8"/>
      <c r="T465" s="8"/>
      <c r="U465" s="8"/>
      <c r="V465" s="8"/>
      <c r="W465" s="8"/>
      <c r="X465" s="8"/>
      <c r="Y465" s="8"/>
      <c r="Z465" s="8"/>
      <c r="AA465" s="8"/>
      <c r="AB465" s="8"/>
      <c r="AD465" s="8"/>
      <c r="AE465" s="8"/>
      <c r="AF465" s="8"/>
      <c r="AG465" s="8"/>
      <c r="AH465" s="8"/>
      <c r="AI465" s="8"/>
      <c r="AJ465" s="8"/>
      <c r="AK465" s="8"/>
      <c r="AL465" s="8"/>
      <c r="AM465" s="8"/>
      <c r="AN465" s="8"/>
      <c r="AO465" s="8"/>
    </row>
    <row r="466" spans="7:41" x14ac:dyDescent="0.2">
      <c r="G466" s="8"/>
      <c r="H466" s="8"/>
      <c r="I466" s="8"/>
      <c r="J466" s="8"/>
      <c r="K466" s="8"/>
      <c r="L466" s="8"/>
      <c r="M466" s="8"/>
      <c r="N466" s="8"/>
      <c r="O466" s="8"/>
      <c r="Q466" s="8"/>
      <c r="R466" s="8"/>
      <c r="S466" s="8"/>
      <c r="T466" s="8"/>
      <c r="U466" s="8"/>
      <c r="V466" s="8"/>
      <c r="W466" s="8"/>
      <c r="X466" s="8"/>
      <c r="Y466" s="8"/>
      <c r="Z466" s="8"/>
      <c r="AA466" s="8"/>
      <c r="AB466" s="8"/>
      <c r="AD466" s="8"/>
      <c r="AE466" s="8"/>
      <c r="AF466" s="8"/>
      <c r="AG466" s="8"/>
      <c r="AH466" s="8"/>
      <c r="AI466" s="8"/>
      <c r="AJ466" s="8"/>
      <c r="AK466" s="8"/>
      <c r="AL466" s="8"/>
      <c r="AM466" s="8"/>
      <c r="AN466" s="8"/>
      <c r="AO466" s="8"/>
    </row>
    <row r="467" spans="7:41" x14ac:dyDescent="0.2">
      <c r="G467" s="8"/>
      <c r="H467" s="8"/>
      <c r="I467" s="8"/>
      <c r="J467" s="8"/>
      <c r="K467" s="8"/>
      <c r="L467" s="8"/>
      <c r="M467" s="8"/>
      <c r="N467" s="8"/>
      <c r="O467" s="8"/>
      <c r="Q467" s="8"/>
      <c r="R467" s="8"/>
      <c r="S467" s="8"/>
      <c r="T467" s="8"/>
      <c r="U467" s="8"/>
      <c r="V467" s="8"/>
      <c r="W467" s="8"/>
      <c r="X467" s="8"/>
      <c r="Y467" s="8"/>
      <c r="Z467" s="8"/>
      <c r="AA467" s="8"/>
      <c r="AB467" s="8"/>
      <c r="AD467" s="8"/>
      <c r="AE467" s="8"/>
      <c r="AF467" s="8"/>
      <c r="AG467" s="8"/>
      <c r="AH467" s="8"/>
      <c r="AI467" s="8"/>
      <c r="AJ467" s="8"/>
      <c r="AK467" s="8"/>
      <c r="AL467" s="8"/>
      <c r="AM467" s="8"/>
      <c r="AN467" s="8"/>
      <c r="AO467" s="8"/>
    </row>
    <row r="468" spans="7:41" x14ac:dyDescent="0.2">
      <c r="G468" s="8"/>
      <c r="H468" s="8"/>
      <c r="I468" s="8"/>
      <c r="J468" s="8"/>
      <c r="K468" s="8"/>
      <c r="L468" s="8"/>
      <c r="M468" s="8"/>
      <c r="N468" s="8"/>
      <c r="O468" s="8"/>
      <c r="Q468" s="8"/>
      <c r="R468" s="8"/>
      <c r="S468" s="8"/>
      <c r="T468" s="8"/>
      <c r="U468" s="8"/>
      <c r="V468" s="8"/>
      <c r="W468" s="8"/>
      <c r="X468" s="8"/>
      <c r="Y468" s="8"/>
      <c r="Z468" s="8"/>
      <c r="AA468" s="8"/>
      <c r="AB468" s="8"/>
      <c r="AD468" s="8"/>
      <c r="AE468" s="8"/>
      <c r="AF468" s="8"/>
      <c r="AG468" s="8"/>
      <c r="AH468" s="8"/>
      <c r="AI468" s="8"/>
      <c r="AJ468" s="8"/>
      <c r="AK468" s="8"/>
      <c r="AL468" s="8"/>
      <c r="AM468" s="8"/>
      <c r="AN468" s="8"/>
      <c r="AO468" s="8"/>
    </row>
    <row r="469" spans="7:41" x14ac:dyDescent="0.2">
      <c r="G469" s="8"/>
      <c r="H469" s="8"/>
      <c r="I469" s="8"/>
      <c r="J469" s="8"/>
      <c r="K469" s="8"/>
      <c r="L469" s="8"/>
      <c r="M469" s="8"/>
      <c r="N469" s="8"/>
      <c r="O469" s="8"/>
      <c r="Q469" s="8"/>
      <c r="R469" s="8"/>
      <c r="S469" s="8"/>
      <c r="T469" s="8"/>
      <c r="U469" s="8"/>
      <c r="V469" s="8"/>
      <c r="W469" s="8"/>
      <c r="X469" s="8"/>
      <c r="Y469" s="8"/>
      <c r="Z469" s="8"/>
      <c r="AA469" s="8"/>
      <c r="AB469" s="8"/>
      <c r="AD469" s="8"/>
      <c r="AE469" s="8"/>
      <c r="AF469" s="8"/>
      <c r="AG469" s="8"/>
      <c r="AH469" s="8"/>
      <c r="AI469" s="8"/>
      <c r="AJ469" s="8"/>
      <c r="AK469" s="8"/>
      <c r="AL469" s="8"/>
      <c r="AM469" s="8"/>
      <c r="AN469" s="8"/>
      <c r="AO469" s="8"/>
    </row>
    <row r="470" spans="7:41" x14ac:dyDescent="0.2">
      <c r="G470" s="8"/>
      <c r="H470" s="8"/>
      <c r="I470" s="8"/>
      <c r="J470" s="8"/>
      <c r="K470" s="8"/>
      <c r="L470" s="8"/>
      <c r="M470" s="8"/>
      <c r="N470" s="8"/>
      <c r="O470" s="8"/>
      <c r="Q470" s="8"/>
      <c r="R470" s="8"/>
      <c r="S470" s="8"/>
      <c r="T470" s="8"/>
      <c r="U470" s="8"/>
      <c r="V470" s="8"/>
      <c r="W470" s="8"/>
      <c r="X470" s="8"/>
      <c r="Y470" s="8"/>
      <c r="Z470" s="8"/>
      <c r="AA470" s="8"/>
      <c r="AB470" s="8"/>
      <c r="AD470" s="8"/>
      <c r="AE470" s="8"/>
      <c r="AF470" s="8"/>
      <c r="AG470" s="8"/>
      <c r="AH470" s="8"/>
      <c r="AI470" s="8"/>
      <c r="AJ470" s="8"/>
      <c r="AK470" s="8"/>
      <c r="AL470" s="8"/>
      <c r="AM470" s="8"/>
      <c r="AN470" s="8"/>
      <c r="AO470" s="8"/>
    </row>
    <row r="471" spans="7:41" x14ac:dyDescent="0.2">
      <c r="G471" s="8"/>
      <c r="H471" s="8"/>
      <c r="I471" s="8"/>
      <c r="J471" s="8"/>
      <c r="K471" s="8"/>
      <c r="L471" s="8"/>
      <c r="M471" s="8"/>
      <c r="N471" s="8"/>
      <c r="O471" s="8"/>
      <c r="Q471" s="8"/>
      <c r="R471" s="8"/>
      <c r="S471" s="8"/>
      <c r="T471" s="8"/>
      <c r="U471" s="8"/>
      <c r="V471" s="8"/>
      <c r="W471" s="8"/>
      <c r="X471" s="8"/>
      <c r="Y471" s="8"/>
      <c r="Z471" s="8"/>
      <c r="AA471" s="8"/>
      <c r="AB471" s="8"/>
      <c r="AD471" s="8"/>
      <c r="AE471" s="8"/>
      <c r="AF471" s="8"/>
      <c r="AG471" s="8"/>
      <c r="AH471" s="8"/>
      <c r="AI471" s="8"/>
      <c r="AJ471" s="8"/>
      <c r="AK471" s="8"/>
      <c r="AL471" s="8"/>
      <c r="AM471" s="8"/>
      <c r="AN471" s="8"/>
      <c r="AO471" s="8"/>
    </row>
    <row r="472" spans="7:41" x14ac:dyDescent="0.2">
      <c r="G472" s="8"/>
      <c r="H472" s="8"/>
      <c r="I472" s="8"/>
      <c r="J472" s="8"/>
      <c r="K472" s="8"/>
      <c r="L472" s="8"/>
      <c r="M472" s="8"/>
      <c r="N472" s="8"/>
      <c r="O472" s="8"/>
      <c r="Q472" s="8"/>
      <c r="R472" s="8"/>
      <c r="S472" s="8"/>
      <c r="T472" s="8"/>
      <c r="U472" s="8"/>
      <c r="V472" s="8"/>
      <c r="W472" s="8"/>
      <c r="X472" s="8"/>
      <c r="Y472" s="8"/>
      <c r="Z472" s="8"/>
      <c r="AA472" s="8"/>
      <c r="AB472" s="8"/>
      <c r="AD472" s="8"/>
      <c r="AE472" s="8"/>
      <c r="AF472" s="8"/>
      <c r="AG472" s="8"/>
      <c r="AH472" s="8"/>
      <c r="AI472" s="8"/>
      <c r="AJ472" s="8"/>
      <c r="AK472" s="8"/>
      <c r="AL472" s="8"/>
      <c r="AM472" s="8"/>
      <c r="AN472" s="8"/>
      <c r="AO472" s="8"/>
    </row>
    <row r="473" spans="7:41" x14ac:dyDescent="0.2">
      <c r="G473" s="8"/>
      <c r="H473" s="8"/>
      <c r="I473" s="8"/>
      <c r="J473" s="8"/>
      <c r="K473" s="8"/>
      <c r="L473" s="8"/>
      <c r="M473" s="8"/>
      <c r="N473" s="8"/>
      <c r="O473" s="8"/>
      <c r="Q473" s="8"/>
      <c r="R473" s="8"/>
      <c r="S473" s="8"/>
      <c r="T473" s="8"/>
      <c r="U473" s="8"/>
      <c r="V473" s="8"/>
      <c r="W473" s="8"/>
      <c r="X473" s="8"/>
      <c r="Y473" s="8"/>
      <c r="Z473" s="8"/>
      <c r="AA473" s="8"/>
      <c r="AB473" s="8"/>
      <c r="AD473" s="8"/>
      <c r="AE473" s="8"/>
      <c r="AF473" s="8"/>
      <c r="AG473" s="8"/>
      <c r="AH473" s="8"/>
      <c r="AI473" s="8"/>
      <c r="AJ473" s="8"/>
      <c r="AK473" s="8"/>
      <c r="AL473" s="8"/>
      <c r="AM473" s="8"/>
      <c r="AN473" s="8"/>
      <c r="AO473" s="8"/>
    </row>
    <row r="474" spans="7:41" x14ac:dyDescent="0.2">
      <c r="G474" s="8"/>
      <c r="H474" s="8"/>
      <c r="I474" s="8"/>
      <c r="J474" s="8"/>
      <c r="K474" s="8"/>
      <c r="L474" s="8"/>
      <c r="M474" s="8"/>
      <c r="N474" s="8"/>
      <c r="O474" s="8"/>
      <c r="Q474" s="8"/>
      <c r="R474" s="8"/>
      <c r="S474" s="8"/>
      <c r="T474" s="8"/>
      <c r="U474" s="8"/>
      <c r="V474" s="8"/>
      <c r="W474" s="8"/>
      <c r="X474" s="8"/>
      <c r="Y474" s="8"/>
      <c r="Z474" s="8"/>
      <c r="AA474" s="8"/>
      <c r="AB474" s="8"/>
      <c r="AD474" s="8"/>
      <c r="AE474" s="8"/>
      <c r="AF474" s="8"/>
      <c r="AG474" s="8"/>
      <c r="AH474" s="8"/>
      <c r="AI474" s="8"/>
      <c r="AJ474" s="8"/>
      <c r="AK474" s="8"/>
      <c r="AL474" s="8"/>
      <c r="AM474" s="8"/>
      <c r="AN474" s="8"/>
      <c r="AO474" s="8"/>
    </row>
    <row r="475" spans="7:41" x14ac:dyDescent="0.2">
      <c r="G475" s="8"/>
      <c r="H475" s="8"/>
      <c r="I475" s="8"/>
      <c r="J475" s="8"/>
      <c r="K475" s="8"/>
      <c r="L475" s="8"/>
      <c r="M475" s="8"/>
      <c r="N475" s="8"/>
      <c r="O475" s="8"/>
      <c r="Q475" s="8"/>
      <c r="R475" s="8"/>
      <c r="S475" s="8"/>
      <c r="T475" s="8"/>
      <c r="U475" s="8"/>
      <c r="V475" s="8"/>
      <c r="W475" s="8"/>
      <c r="X475" s="8"/>
      <c r="Y475" s="8"/>
      <c r="Z475" s="8"/>
      <c r="AA475" s="8"/>
      <c r="AB475" s="8"/>
      <c r="AD475" s="8"/>
      <c r="AE475" s="8"/>
      <c r="AF475" s="8"/>
      <c r="AG475" s="8"/>
      <c r="AH475" s="8"/>
      <c r="AI475" s="8"/>
      <c r="AJ475" s="8"/>
      <c r="AK475" s="8"/>
      <c r="AL475" s="8"/>
      <c r="AM475" s="8"/>
      <c r="AN475" s="8"/>
      <c r="AO475" s="8"/>
    </row>
    <row r="476" spans="7:41" x14ac:dyDescent="0.2">
      <c r="G476" s="8"/>
      <c r="H476" s="8"/>
      <c r="I476" s="8"/>
      <c r="J476" s="8"/>
      <c r="K476" s="8"/>
      <c r="L476" s="8"/>
      <c r="M476" s="8"/>
      <c r="N476" s="8"/>
      <c r="O476" s="8"/>
      <c r="Q476" s="8"/>
      <c r="R476" s="8"/>
      <c r="S476" s="8"/>
      <c r="T476" s="8"/>
      <c r="U476" s="8"/>
      <c r="V476" s="8"/>
      <c r="W476" s="8"/>
      <c r="X476" s="8"/>
      <c r="Y476" s="8"/>
      <c r="Z476" s="8"/>
      <c r="AA476" s="8"/>
      <c r="AB476" s="8"/>
      <c r="AD476" s="8"/>
      <c r="AE476" s="8"/>
      <c r="AF476" s="8"/>
      <c r="AG476" s="8"/>
      <c r="AH476" s="8"/>
      <c r="AI476" s="8"/>
      <c r="AJ476" s="8"/>
      <c r="AK476" s="8"/>
      <c r="AL476" s="8"/>
      <c r="AM476" s="8"/>
      <c r="AN476" s="8"/>
      <c r="AO476" s="8"/>
    </row>
    <row r="477" spans="7:41" x14ac:dyDescent="0.2">
      <c r="G477" s="8"/>
      <c r="H477" s="8"/>
      <c r="I477" s="8"/>
      <c r="J477" s="8"/>
      <c r="K477" s="8"/>
      <c r="L477" s="8"/>
      <c r="M477" s="8"/>
      <c r="N477" s="8"/>
      <c r="O477" s="8"/>
      <c r="Q477" s="8"/>
      <c r="R477" s="8"/>
      <c r="S477" s="8"/>
      <c r="T477" s="8"/>
      <c r="U477" s="8"/>
      <c r="V477" s="8"/>
      <c r="W477" s="8"/>
      <c r="X477" s="8"/>
      <c r="Y477" s="8"/>
      <c r="Z477" s="8"/>
      <c r="AA477" s="8"/>
      <c r="AB477" s="8"/>
      <c r="AD477" s="8"/>
      <c r="AE477" s="8"/>
      <c r="AF477" s="8"/>
      <c r="AG477" s="8"/>
      <c r="AH477" s="8"/>
      <c r="AI477" s="8"/>
      <c r="AJ477" s="8"/>
      <c r="AK477" s="8"/>
      <c r="AL477" s="8"/>
      <c r="AM477" s="8"/>
      <c r="AN477" s="8"/>
      <c r="AO477" s="8"/>
    </row>
    <row r="478" spans="7:41" x14ac:dyDescent="0.2">
      <c r="G478" s="8"/>
      <c r="H478" s="8"/>
      <c r="I478" s="8"/>
      <c r="J478" s="8"/>
      <c r="K478" s="8"/>
      <c r="L478" s="8"/>
      <c r="M478" s="8"/>
      <c r="N478" s="8"/>
      <c r="O478" s="8"/>
      <c r="Q478" s="8"/>
      <c r="R478" s="8"/>
      <c r="S478" s="8"/>
      <c r="T478" s="8"/>
      <c r="U478" s="8"/>
      <c r="V478" s="8"/>
      <c r="W478" s="8"/>
      <c r="X478" s="8"/>
      <c r="Y478" s="8"/>
      <c r="Z478" s="8"/>
      <c r="AA478" s="8"/>
      <c r="AB478" s="8"/>
      <c r="AD478" s="8"/>
      <c r="AE478" s="8"/>
      <c r="AF478" s="8"/>
      <c r="AG478" s="8"/>
      <c r="AH478" s="8"/>
      <c r="AI478" s="8"/>
      <c r="AJ478" s="8"/>
      <c r="AK478" s="8"/>
      <c r="AL478" s="8"/>
      <c r="AM478" s="8"/>
      <c r="AN478" s="8"/>
      <c r="AO478" s="8"/>
    </row>
    <row r="479" spans="7:41" x14ac:dyDescent="0.2">
      <c r="G479" s="8"/>
      <c r="H479" s="8"/>
      <c r="I479" s="8"/>
      <c r="J479" s="8"/>
      <c r="K479" s="8"/>
      <c r="L479" s="8"/>
      <c r="M479" s="8"/>
      <c r="N479" s="8"/>
      <c r="O479" s="8"/>
      <c r="Q479" s="8"/>
      <c r="R479" s="8"/>
      <c r="S479" s="8"/>
      <c r="T479" s="8"/>
      <c r="U479" s="8"/>
      <c r="V479" s="8"/>
      <c r="W479" s="8"/>
      <c r="X479" s="8"/>
      <c r="Y479" s="8"/>
      <c r="Z479" s="8"/>
      <c r="AA479" s="8"/>
      <c r="AB479" s="8"/>
      <c r="AD479" s="8"/>
      <c r="AE479" s="8"/>
      <c r="AF479" s="8"/>
      <c r="AG479" s="8"/>
      <c r="AH479" s="8"/>
      <c r="AI479" s="8"/>
      <c r="AJ479" s="8"/>
      <c r="AK479" s="8"/>
      <c r="AL479" s="8"/>
      <c r="AM479" s="8"/>
      <c r="AN479" s="8"/>
      <c r="AO479" s="8"/>
    </row>
    <row r="480" spans="7:41" x14ac:dyDescent="0.2">
      <c r="G480" s="8"/>
      <c r="H480" s="8"/>
      <c r="I480" s="8"/>
      <c r="J480" s="8"/>
      <c r="K480" s="8"/>
      <c r="L480" s="8"/>
      <c r="M480" s="8"/>
      <c r="N480" s="8"/>
      <c r="O480" s="8"/>
      <c r="Q480" s="8"/>
      <c r="R480" s="8"/>
      <c r="S480" s="8"/>
      <c r="T480" s="8"/>
      <c r="U480" s="8"/>
      <c r="V480" s="8"/>
      <c r="W480" s="8"/>
      <c r="X480" s="8"/>
      <c r="Y480" s="8"/>
      <c r="Z480" s="8"/>
      <c r="AA480" s="8"/>
      <c r="AB480" s="8"/>
      <c r="AD480" s="8"/>
      <c r="AE480" s="8"/>
      <c r="AF480" s="8"/>
      <c r="AG480" s="8"/>
      <c r="AH480" s="8"/>
      <c r="AI480" s="8"/>
      <c r="AJ480" s="8"/>
      <c r="AK480" s="8"/>
      <c r="AL480" s="8"/>
      <c r="AM480" s="8"/>
      <c r="AN480" s="8"/>
      <c r="AO480" s="8"/>
    </row>
    <row r="481" spans="7:41" x14ac:dyDescent="0.2">
      <c r="G481" s="8"/>
      <c r="H481" s="8"/>
      <c r="I481" s="8"/>
      <c r="J481" s="8"/>
      <c r="K481" s="8"/>
      <c r="L481" s="8"/>
      <c r="M481" s="8"/>
      <c r="N481" s="8"/>
      <c r="O481" s="8"/>
      <c r="Q481" s="8"/>
      <c r="R481" s="8"/>
      <c r="S481" s="8"/>
      <c r="T481" s="8"/>
      <c r="U481" s="8"/>
      <c r="V481" s="8"/>
      <c r="W481" s="8"/>
      <c r="X481" s="8"/>
      <c r="Y481" s="8"/>
      <c r="Z481" s="8"/>
      <c r="AA481" s="8"/>
      <c r="AB481" s="8"/>
      <c r="AD481" s="8"/>
      <c r="AE481" s="8"/>
      <c r="AF481" s="8"/>
      <c r="AG481" s="8"/>
      <c r="AH481" s="8"/>
      <c r="AI481" s="8"/>
      <c r="AJ481" s="8"/>
      <c r="AK481" s="8"/>
      <c r="AL481" s="8"/>
      <c r="AM481" s="8"/>
      <c r="AN481" s="8"/>
      <c r="AO481" s="8"/>
    </row>
    <row r="482" spans="7:41" x14ac:dyDescent="0.2">
      <c r="G482" s="8"/>
      <c r="H482" s="8"/>
      <c r="I482" s="8"/>
      <c r="J482" s="8"/>
      <c r="K482" s="8"/>
      <c r="L482" s="8"/>
      <c r="M482" s="8"/>
      <c r="N482" s="8"/>
      <c r="O482" s="8"/>
      <c r="Q482" s="8"/>
      <c r="R482" s="8"/>
      <c r="S482" s="8"/>
      <c r="T482" s="8"/>
      <c r="U482" s="8"/>
      <c r="V482" s="8"/>
      <c r="W482" s="8"/>
      <c r="X482" s="8"/>
      <c r="Y482" s="8"/>
      <c r="Z482" s="8"/>
      <c r="AA482" s="8"/>
      <c r="AB482" s="8"/>
      <c r="AD482" s="8"/>
      <c r="AE482" s="8"/>
      <c r="AF482" s="8"/>
      <c r="AG482" s="8"/>
      <c r="AH482" s="8"/>
      <c r="AI482" s="8"/>
      <c r="AJ482" s="8"/>
      <c r="AK482" s="8"/>
      <c r="AL482" s="8"/>
      <c r="AM482" s="8"/>
      <c r="AN482" s="8"/>
      <c r="AO482" s="8"/>
    </row>
    <row r="483" spans="7:41" x14ac:dyDescent="0.2">
      <c r="G483" s="8"/>
      <c r="H483" s="8"/>
      <c r="I483" s="8"/>
      <c r="J483" s="8"/>
      <c r="K483" s="8"/>
      <c r="L483" s="8"/>
      <c r="M483" s="8"/>
      <c r="N483" s="8"/>
      <c r="O483" s="8"/>
      <c r="Q483" s="8"/>
      <c r="R483" s="8"/>
      <c r="S483" s="8"/>
      <c r="T483" s="8"/>
      <c r="U483" s="8"/>
      <c r="V483" s="8"/>
      <c r="W483" s="8"/>
      <c r="X483" s="8"/>
      <c r="Y483" s="8"/>
      <c r="Z483" s="8"/>
      <c r="AA483" s="8"/>
      <c r="AB483" s="8"/>
      <c r="AD483" s="8"/>
      <c r="AE483" s="8"/>
      <c r="AF483" s="8"/>
      <c r="AG483" s="8"/>
      <c r="AH483" s="8"/>
      <c r="AI483" s="8"/>
      <c r="AJ483" s="8"/>
      <c r="AK483" s="8"/>
      <c r="AL483" s="8"/>
      <c r="AM483" s="8"/>
      <c r="AN483" s="8"/>
      <c r="AO483" s="8"/>
    </row>
    <row r="484" spans="7:41" x14ac:dyDescent="0.2">
      <c r="G484" s="8"/>
      <c r="H484" s="8"/>
      <c r="I484" s="8"/>
      <c r="J484" s="8"/>
      <c r="K484" s="8"/>
      <c r="L484" s="8"/>
      <c r="M484" s="8"/>
      <c r="N484" s="8"/>
      <c r="O484" s="8"/>
      <c r="Q484" s="8"/>
      <c r="R484" s="8"/>
      <c r="S484" s="8"/>
      <c r="T484" s="8"/>
      <c r="U484" s="8"/>
      <c r="V484" s="8"/>
      <c r="W484" s="8"/>
      <c r="X484" s="8"/>
      <c r="Y484" s="8"/>
      <c r="Z484" s="8"/>
      <c r="AA484" s="8"/>
      <c r="AB484" s="8"/>
      <c r="AD484" s="8"/>
      <c r="AE484" s="8"/>
      <c r="AF484" s="8"/>
      <c r="AG484" s="8"/>
      <c r="AH484" s="8"/>
      <c r="AI484" s="8"/>
      <c r="AJ484" s="8"/>
      <c r="AK484" s="8"/>
      <c r="AL484" s="8"/>
      <c r="AM484" s="8"/>
      <c r="AN484" s="8"/>
      <c r="AO484" s="8"/>
    </row>
    <row r="485" spans="7:41" x14ac:dyDescent="0.2">
      <c r="G485" s="8"/>
      <c r="H485" s="8"/>
      <c r="I485" s="8"/>
      <c r="J485" s="8"/>
      <c r="K485" s="8"/>
      <c r="L485" s="8"/>
      <c r="M485" s="8"/>
      <c r="N485" s="8"/>
      <c r="O485" s="8"/>
      <c r="Q485" s="8"/>
      <c r="R485" s="8"/>
      <c r="S485" s="8"/>
      <c r="T485" s="8"/>
      <c r="U485" s="8"/>
      <c r="V485" s="8"/>
      <c r="W485" s="8"/>
      <c r="X485" s="8"/>
      <c r="Y485" s="8"/>
      <c r="Z485" s="8"/>
      <c r="AA485" s="8"/>
      <c r="AB485" s="8"/>
      <c r="AD485" s="8"/>
      <c r="AE485" s="8"/>
      <c r="AF485" s="8"/>
      <c r="AG485" s="8"/>
      <c r="AH485" s="8"/>
      <c r="AI485" s="8"/>
      <c r="AJ485" s="8"/>
      <c r="AK485" s="8"/>
      <c r="AL485" s="8"/>
      <c r="AM485" s="8"/>
      <c r="AN485" s="8"/>
      <c r="AO485" s="8"/>
    </row>
    <row r="486" spans="7:41" x14ac:dyDescent="0.2">
      <c r="G486" s="8"/>
      <c r="H486" s="8"/>
      <c r="I486" s="8"/>
      <c r="J486" s="8"/>
      <c r="K486" s="8"/>
      <c r="L486" s="8"/>
      <c r="M486" s="8"/>
      <c r="N486" s="8"/>
      <c r="O486" s="8"/>
      <c r="Q486" s="8"/>
      <c r="R486" s="8"/>
      <c r="S486" s="8"/>
      <c r="T486" s="8"/>
      <c r="U486" s="8"/>
      <c r="V486" s="8"/>
      <c r="W486" s="8"/>
      <c r="X486" s="8"/>
      <c r="Y486" s="8"/>
      <c r="Z486" s="8"/>
      <c r="AA486" s="8"/>
      <c r="AB486" s="8"/>
      <c r="AD486" s="8"/>
      <c r="AE486" s="8"/>
      <c r="AF486" s="8"/>
      <c r="AG486" s="8"/>
      <c r="AH486" s="8"/>
      <c r="AI486" s="8"/>
      <c r="AJ486" s="8"/>
      <c r="AK486" s="8"/>
      <c r="AL486" s="8"/>
      <c r="AM486" s="8"/>
      <c r="AN486" s="8"/>
      <c r="AO486" s="8"/>
    </row>
    <row r="487" spans="7:41" x14ac:dyDescent="0.2">
      <c r="G487" s="8"/>
      <c r="H487" s="8"/>
      <c r="I487" s="8"/>
      <c r="J487" s="8"/>
      <c r="K487" s="8"/>
      <c r="L487" s="8"/>
      <c r="M487" s="8"/>
      <c r="N487" s="8"/>
      <c r="O487" s="8"/>
      <c r="Q487" s="8"/>
      <c r="R487" s="8"/>
      <c r="S487" s="8"/>
      <c r="T487" s="8"/>
      <c r="U487" s="8"/>
      <c r="V487" s="8"/>
      <c r="W487" s="8"/>
      <c r="X487" s="8"/>
      <c r="Y487" s="8"/>
      <c r="Z487" s="8"/>
      <c r="AA487" s="8"/>
      <c r="AB487" s="8"/>
      <c r="AD487" s="8"/>
      <c r="AE487" s="8"/>
      <c r="AF487" s="8"/>
      <c r="AG487" s="8"/>
      <c r="AH487" s="8"/>
      <c r="AI487" s="8"/>
      <c r="AJ487" s="8"/>
      <c r="AK487" s="8"/>
      <c r="AL487" s="8"/>
      <c r="AM487" s="8"/>
      <c r="AN487" s="8"/>
      <c r="AO487" s="8"/>
    </row>
    <row r="488" spans="7:41" x14ac:dyDescent="0.2">
      <c r="G488" s="8"/>
      <c r="H488" s="8"/>
      <c r="I488" s="8"/>
      <c r="J488" s="8"/>
      <c r="K488" s="8"/>
      <c r="L488" s="8"/>
      <c r="M488" s="8"/>
      <c r="N488" s="8"/>
      <c r="O488" s="8"/>
      <c r="Q488" s="8"/>
      <c r="R488" s="8"/>
      <c r="S488" s="8"/>
      <c r="T488" s="8"/>
      <c r="U488" s="8"/>
      <c r="V488" s="8"/>
      <c r="W488" s="8"/>
      <c r="X488" s="8"/>
      <c r="Y488" s="8"/>
      <c r="Z488" s="8"/>
      <c r="AA488" s="8"/>
      <c r="AB488" s="8"/>
      <c r="AD488" s="8"/>
      <c r="AE488" s="8"/>
      <c r="AF488" s="8"/>
      <c r="AG488" s="8"/>
      <c r="AH488" s="8"/>
      <c r="AI488" s="8"/>
      <c r="AJ488" s="8"/>
      <c r="AK488" s="8"/>
      <c r="AL488" s="8"/>
      <c r="AM488" s="8"/>
      <c r="AN488" s="8"/>
      <c r="AO488" s="8"/>
    </row>
    <row r="489" spans="7:41" x14ac:dyDescent="0.2">
      <c r="G489" s="8"/>
      <c r="H489" s="8"/>
      <c r="I489" s="8"/>
      <c r="J489" s="8"/>
      <c r="K489" s="8"/>
      <c r="L489" s="8"/>
      <c r="M489" s="8"/>
      <c r="N489" s="8"/>
      <c r="O489" s="8"/>
      <c r="Q489" s="8"/>
      <c r="R489" s="8"/>
      <c r="S489" s="8"/>
      <c r="T489" s="8"/>
      <c r="U489" s="8"/>
      <c r="V489" s="8"/>
      <c r="W489" s="8"/>
      <c r="X489" s="8"/>
      <c r="Y489" s="8"/>
      <c r="Z489" s="8"/>
      <c r="AA489" s="8"/>
      <c r="AB489" s="8"/>
      <c r="AD489" s="8"/>
      <c r="AE489" s="8"/>
      <c r="AF489" s="8"/>
      <c r="AG489" s="8"/>
      <c r="AH489" s="8"/>
      <c r="AI489" s="8"/>
      <c r="AJ489" s="8"/>
      <c r="AK489" s="8"/>
      <c r="AL489" s="8"/>
      <c r="AM489" s="8"/>
      <c r="AN489" s="8"/>
      <c r="AO489" s="8"/>
    </row>
    <row r="490" spans="7:41" x14ac:dyDescent="0.2">
      <c r="G490" s="8"/>
      <c r="H490" s="8"/>
      <c r="I490" s="8"/>
      <c r="J490" s="8"/>
      <c r="K490" s="8"/>
      <c r="L490" s="8"/>
      <c r="M490" s="8"/>
      <c r="N490" s="8"/>
      <c r="O490" s="8"/>
      <c r="Q490" s="8"/>
      <c r="R490" s="8"/>
      <c r="S490" s="8"/>
      <c r="T490" s="8"/>
      <c r="U490" s="8"/>
      <c r="V490" s="8"/>
      <c r="W490" s="8"/>
      <c r="X490" s="8"/>
      <c r="Y490" s="8"/>
      <c r="Z490" s="8"/>
      <c r="AA490" s="8"/>
      <c r="AB490" s="8"/>
      <c r="AD490" s="8"/>
      <c r="AE490" s="8"/>
      <c r="AF490" s="8"/>
      <c r="AG490" s="8"/>
      <c r="AH490" s="8"/>
      <c r="AI490" s="8"/>
      <c r="AJ490" s="8"/>
      <c r="AK490" s="8"/>
      <c r="AL490" s="8"/>
      <c r="AM490" s="8"/>
      <c r="AN490" s="8"/>
      <c r="AO490" s="8"/>
    </row>
    <row r="491" spans="7:41" x14ac:dyDescent="0.2">
      <c r="G491" s="8"/>
      <c r="H491" s="8"/>
      <c r="I491" s="8"/>
      <c r="J491" s="8"/>
      <c r="K491" s="8"/>
      <c r="L491" s="8"/>
      <c r="M491" s="8"/>
      <c r="N491" s="8"/>
      <c r="O491" s="8"/>
      <c r="Q491" s="8"/>
      <c r="R491" s="8"/>
      <c r="S491" s="8"/>
      <c r="T491" s="8"/>
      <c r="U491" s="8"/>
      <c r="V491" s="8"/>
      <c r="W491" s="8"/>
      <c r="X491" s="8"/>
      <c r="Y491" s="8"/>
      <c r="Z491" s="8"/>
      <c r="AA491" s="8"/>
      <c r="AB491" s="8"/>
      <c r="AD491" s="8"/>
      <c r="AE491" s="8"/>
      <c r="AF491" s="8"/>
      <c r="AG491" s="8"/>
      <c r="AH491" s="8"/>
      <c r="AI491" s="8"/>
      <c r="AJ491" s="8"/>
      <c r="AK491" s="8"/>
      <c r="AL491" s="8"/>
      <c r="AM491" s="8"/>
      <c r="AN491" s="8"/>
      <c r="AO491" s="8"/>
    </row>
    <row r="492" spans="7:41" x14ac:dyDescent="0.2">
      <c r="G492" s="8"/>
      <c r="H492" s="8"/>
      <c r="I492" s="8"/>
      <c r="J492" s="8"/>
      <c r="K492" s="8"/>
      <c r="L492" s="8"/>
      <c r="M492" s="8"/>
      <c r="N492" s="8"/>
      <c r="O492" s="8"/>
      <c r="Q492" s="8"/>
      <c r="R492" s="8"/>
      <c r="S492" s="8"/>
      <c r="T492" s="8"/>
      <c r="U492" s="8"/>
      <c r="V492" s="8"/>
      <c r="W492" s="8"/>
      <c r="X492" s="8"/>
      <c r="Y492" s="8"/>
      <c r="Z492" s="8"/>
      <c r="AA492" s="8"/>
      <c r="AB492" s="8"/>
      <c r="AD492" s="8"/>
      <c r="AE492" s="8"/>
      <c r="AF492" s="8"/>
      <c r="AG492" s="8"/>
      <c r="AH492" s="8"/>
      <c r="AI492" s="8"/>
      <c r="AJ492" s="8"/>
      <c r="AK492" s="8"/>
      <c r="AL492" s="8"/>
      <c r="AM492" s="8"/>
      <c r="AN492" s="8"/>
      <c r="AO492" s="8"/>
    </row>
    <row r="493" spans="7:41" x14ac:dyDescent="0.2">
      <c r="G493" s="8"/>
      <c r="H493" s="8"/>
      <c r="I493" s="8"/>
      <c r="J493" s="8"/>
      <c r="K493" s="8"/>
      <c r="L493" s="8"/>
      <c r="M493" s="8"/>
      <c r="N493" s="8"/>
      <c r="O493" s="8"/>
      <c r="Q493" s="8"/>
      <c r="R493" s="8"/>
      <c r="S493" s="8"/>
      <c r="T493" s="8"/>
      <c r="U493" s="8"/>
      <c r="V493" s="8"/>
      <c r="W493" s="8"/>
      <c r="X493" s="8"/>
      <c r="Y493" s="8"/>
      <c r="Z493" s="8"/>
      <c r="AA493" s="8"/>
      <c r="AB493" s="8"/>
      <c r="AD493" s="8"/>
      <c r="AE493" s="8"/>
      <c r="AF493" s="8"/>
      <c r="AG493" s="8"/>
      <c r="AH493" s="8"/>
      <c r="AI493" s="8"/>
      <c r="AJ493" s="8"/>
      <c r="AK493" s="8"/>
      <c r="AL493" s="8"/>
      <c r="AM493" s="8"/>
      <c r="AN493" s="8"/>
      <c r="AO493" s="8"/>
    </row>
    <row r="494" spans="7:41" x14ac:dyDescent="0.2">
      <c r="G494" s="8"/>
      <c r="H494" s="8"/>
      <c r="I494" s="8"/>
      <c r="J494" s="8"/>
      <c r="K494" s="8"/>
      <c r="L494" s="8"/>
      <c r="M494" s="8"/>
      <c r="N494" s="8"/>
      <c r="O494" s="8"/>
      <c r="Q494" s="8"/>
      <c r="R494" s="8"/>
      <c r="S494" s="8"/>
      <c r="T494" s="8"/>
      <c r="U494" s="8"/>
      <c r="V494" s="8"/>
      <c r="W494" s="8"/>
      <c r="X494" s="8"/>
      <c r="Y494" s="8"/>
      <c r="Z494" s="8"/>
      <c r="AA494" s="8"/>
      <c r="AB494" s="8"/>
      <c r="AD494" s="8"/>
      <c r="AE494" s="8"/>
      <c r="AF494" s="8"/>
      <c r="AG494" s="8"/>
      <c r="AH494" s="8"/>
      <c r="AI494" s="8"/>
      <c r="AJ494" s="8"/>
      <c r="AK494" s="8"/>
      <c r="AL494" s="8"/>
      <c r="AM494" s="8"/>
      <c r="AN494" s="8"/>
      <c r="AO494" s="8"/>
    </row>
    <row r="495" spans="7:41" x14ac:dyDescent="0.2">
      <c r="G495" s="8"/>
      <c r="H495" s="8"/>
      <c r="I495" s="8"/>
      <c r="J495" s="8"/>
      <c r="K495" s="8"/>
      <c r="L495" s="8"/>
      <c r="M495" s="8"/>
      <c r="N495" s="8"/>
      <c r="O495" s="8"/>
      <c r="Q495" s="8"/>
      <c r="R495" s="8"/>
      <c r="S495" s="8"/>
      <c r="T495" s="8"/>
      <c r="U495" s="8"/>
      <c r="V495" s="8"/>
      <c r="W495" s="8"/>
      <c r="X495" s="8"/>
      <c r="Y495" s="8"/>
      <c r="Z495" s="8"/>
      <c r="AA495" s="8"/>
      <c r="AB495" s="8"/>
      <c r="AD495" s="8"/>
      <c r="AE495" s="8"/>
      <c r="AF495" s="8"/>
      <c r="AG495" s="8"/>
      <c r="AH495" s="8"/>
      <c r="AI495" s="8"/>
      <c r="AJ495" s="8"/>
      <c r="AK495" s="8"/>
      <c r="AL495" s="8"/>
      <c r="AM495" s="8"/>
      <c r="AN495" s="8"/>
      <c r="AO495" s="8"/>
    </row>
    <row r="496" spans="7:41" x14ac:dyDescent="0.2">
      <c r="G496" s="8"/>
      <c r="H496" s="8"/>
      <c r="I496" s="8"/>
      <c r="J496" s="8"/>
      <c r="K496" s="8"/>
      <c r="L496" s="8"/>
      <c r="M496" s="8"/>
      <c r="N496" s="8"/>
      <c r="O496" s="8"/>
      <c r="Q496" s="8"/>
      <c r="R496" s="8"/>
      <c r="S496" s="8"/>
      <c r="T496" s="8"/>
      <c r="U496" s="8"/>
      <c r="V496" s="8"/>
      <c r="W496" s="8"/>
      <c r="X496" s="8"/>
      <c r="Y496" s="8"/>
      <c r="Z496" s="8"/>
      <c r="AA496" s="8"/>
      <c r="AB496" s="8"/>
      <c r="AD496" s="8"/>
      <c r="AE496" s="8"/>
      <c r="AF496" s="8"/>
      <c r="AG496" s="8"/>
      <c r="AH496" s="8"/>
      <c r="AI496" s="8"/>
      <c r="AJ496" s="8"/>
      <c r="AK496" s="8"/>
      <c r="AL496" s="8"/>
      <c r="AM496" s="8"/>
      <c r="AN496" s="8"/>
      <c r="AO496" s="8"/>
    </row>
    <row r="497" spans="7:41" x14ac:dyDescent="0.2">
      <c r="G497" s="8"/>
      <c r="H497" s="8"/>
      <c r="I497" s="8"/>
      <c r="J497" s="8"/>
      <c r="K497" s="8"/>
      <c r="L497" s="8"/>
      <c r="M497" s="8"/>
      <c r="N497" s="8"/>
      <c r="O497" s="8"/>
      <c r="Q497" s="8"/>
      <c r="R497" s="8"/>
      <c r="S497" s="8"/>
      <c r="T497" s="8"/>
      <c r="U497" s="8"/>
      <c r="V497" s="8"/>
      <c r="W497" s="8"/>
      <c r="X497" s="8"/>
      <c r="Y497" s="8"/>
      <c r="Z497" s="8"/>
      <c r="AA497" s="8"/>
      <c r="AB497" s="8"/>
      <c r="AD497" s="8"/>
      <c r="AE497" s="8"/>
      <c r="AF497" s="8"/>
      <c r="AG497" s="8"/>
      <c r="AH497" s="8"/>
      <c r="AI497" s="8"/>
      <c r="AJ497" s="8"/>
      <c r="AK497" s="8"/>
      <c r="AL497" s="8"/>
      <c r="AM497" s="8"/>
      <c r="AN497" s="8"/>
      <c r="AO497" s="8"/>
    </row>
    <row r="498" spans="7:41" x14ac:dyDescent="0.2">
      <c r="G498" s="8"/>
      <c r="H498" s="8"/>
      <c r="I498" s="8"/>
      <c r="J498" s="8"/>
      <c r="K498" s="8"/>
      <c r="L498" s="8"/>
      <c r="M498" s="8"/>
      <c r="N498" s="8"/>
      <c r="O498" s="8"/>
      <c r="Q498" s="8"/>
      <c r="R498" s="8"/>
      <c r="S498" s="8"/>
      <c r="T498" s="8"/>
      <c r="U498" s="8"/>
      <c r="V498" s="8"/>
      <c r="W498" s="8"/>
      <c r="X498" s="8"/>
      <c r="Y498" s="8"/>
      <c r="Z498" s="8"/>
      <c r="AA498" s="8"/>
      <c r="AB498" s="8"/>
      <c r="AD498" s="8"/>
      <c r="AE498" s="8"/>
      <c r="AF498" s="8"/>
      <c r="AG498" s="8"/>
      <c r="AH498" s="8"/>
      <c r="AI498" s="8"/>
      <c r="AJ498" s="8"/>
      <c r="AK498" s="8"/>
      <c r="AL498" s="8"/>
      <c r="AM498" s="8"/>
      <c r="AN498" s="8"/>
      <c r="AO498" s="8"/>
    </row>
    <row r="499" spans="7:41" x14ac:dyDescent="0.2">
      <c r="G499" s="8"/>
      <c r="H499" s="8"/>
      <c r="I499" s="8"/>
      <c r="J499" s="8"/>
      <c r="K499" s="8"/>
      <c r="L499" s="8"/>
      <c r="M499" s="8"/>
      <c r="N499" s="8"/>
      <c r="O499" s="8"/>
      <c r="Q499" s="8"/>
      <c r="R499" s="8"/>
      <c r="S499" s="8"/>
      <c r="T499" s="8"/>
      <c r="U499" s="8"/>
      <c r="V499" s="8"/>
      <c r="W499" s="8"/>
      <c r="X499" s="8"/>
      <c r="Y499" s="8"/>
      <c r="Z499" s="8"/>
      <c r="AA499" s="8"/>
      <c r="AB499" s="8"/>
      <c r="AD499" s="8"/>
      <c r="AE499" s="8"/>
      <c r="AF499" s="8"/>
      <c r="AG499" s="8"/>
      <c r="AH499" s="8"/>
      <c r="AI499" s="8"/>
      <c r="AJ499" s="8"/>
      <c r="AK499" s="8"/>
      <c r="AL499" s="8"/>
      <c r="AM499" s="8"/>
      <c r="AN499" s="8"/>
      <c r="AO499" s="8"/>
    </row>
    <row r="500" spans="7:41" x14ac:dyDescent="0.2">
      <c r="G500" s="8"/>
      <c r="H500" s="8"/>
      <c r="I500" s="8"/>
      <c r="J500" s="8"/>
      <c r="K500" s="8"/>
      <c r="L500" s="8"/>
      <c r="M500" s="8"/>
      <c r="N500" s="8"/>
      <c r="O500" s="8"/>
      <c r="Q500" s="8"/>
      <c r="R500" s="8"/>
      <c r="S500" s="8"/>
      <c r="T500" s="8"/>
      <c r="U500" s="8"/>
      <c r="V500" s="8"/>
      <c r="W500" s="8"/>
      <c r="X500" s="8"/>
      <c r="Y500" s="8"/>
      <c r="Z500" s="8"/>
      <c r="AA500" s="8"/>
      <c r="AB500" s="8"/>
      <c r="AD500" s="8"/>
      <c r="AE500" s="8"/>
      <c r="AF500" s="8"/>
      <c r="AG500" s="8"/>
      <c r="AH500" s="8"/>
      <c r="AI500" s="8"/>
      <c r="AJ500" s="8"/>
      <c r="AK500" s="8"/>
      <c r="AL500" s="8"/>
      <c r="AM500" s="8"/>
      <c r="AN500" s="8"/>
      <c r="AO500" s="8"/>
    </row>
    <row r="501" spans="7:41" x14ac:dyDescent="0.2">
      <c r="G501" s="8"/>
      <c r="H501" s="8"/>
      <c r="I501" s="8"/>
      <c r="J501" s="8"/>
      <c r="K501" s="8"/>
      <c r="L501" s="8"/>
      <c r="M501" s="8"/>
      <c r="N501" s="8"/>
      <c r="O501" s="8"/>
      <c r="Q501" s="8"/>
      <c r="R501" s="8"/>
      <c r="S501" s="8"/>
      <c r="T501" s="8"/>
      <c r="U501" s="8"/>
      <c r="V501" s="8"/>
      <c r="W501" s="8"/>
      <c r="X501" s="8"/>
      <c r="Y501" s="8"/>
      <c r="Z501" s="8"/>
      <c r="AA501" s="8"/>
      <c r="AB501" s="8"/>
      <c r="AD501" s="8"/>
      <c r="AE501" s="8"/>
      <c r="AF501" s="8"/>
      <c r="AG501" s="8"/>
      <c r="AH501" s="8"/>
      <c r="AI501" s="8"/>
      <c r="AJ501" s="8"/>
      <c r="AK501" s="8"/>
      <c r="AL501" s="8"/>
      <c r="AM501" s="8"/>
      <c r="AN501" s="8"/>
      <c r="AO501" s="8"/>
    </row>
    <row r="502" spans="7:41" x14ac:dyDescent="0.2">
      <c r="G502" s="8"/>
      <c r="H502" s="8"/>
      <c r="I502" s="8"/>
      <c r="J502" s="8"/>
      <c r="K502" s="8"/>
      <c r="L502" s="8"/>
      <c r="M502" s="8"/>
      <c r="N502" s="8"/>
      <c r="O502" s="8"/>
      <c r="Q502" s="8"/>
      <c r="R502" s="8"/>
      <c r="S502" s="8"/>
      <c r="T502" s="8"/>
      <c r="U502" s="8"/>
      <c r="V502" s="8"/>
      <c r="W502" s="8"/>
      <c r="X502" s="8"/>
      <c r="Y502" s="8"/>
      <c r="Z502" s="8"/>
      <c r="AA502" s="8"/>
      <c r="AB502" s="8"/>
      <c r="AD502" s="8"/>
      <c r="AE502" s="8"/>
      <c r="AF502" s="8"/>
      <c r="AG502" s="8"/>
      <c r="AH502" s="8"/>
      <c r="AI502" s="8"/>
      <c r="AJ502" s="8"/>
      <c r="AK502" s="8"/>
      <c r="AL502" s="8"/>
      <c r="AM502" s="8"/>
      <c r="AN502" s="8"/>
      <c r="AO502" s="8"/>
    </row>
    <row r="503" spans="7:41" x14ac:dyDescent="0.2">
      <c r="G503" s="8"/>
      <c r="H503" s="8"/>
      <c r="I503" s="8"/>
      <c r="J503" s="8"/>
      <c r="K503" s="8"/>
      <c r="L503" s="8"/>
      <c r="M503" s="8"/>
      <c r="N503" s="8"/>
      <c r="O503" s="8"/>
      <c r="Q503" s="8"/>
      <c r="R503" s="8"/>
      <c r="S503" s="8"/>
      <c r="T503" s="8"/>
      <c r="U503" s="8"/>
      <c r="V503" s="8"/>
      <c r="W503" s="8"/>
      <c r="X503" s="8"/>
      <c r="Y503" s="8"/>
      <c r="Z503" s="8"/>
      <c r="AA503" s="8"/>
      <c r="AB503" s="8"/>
      <c r="AD503" s="8"/>
      <c r="AE503" s="8"/>
      <c r="AF503" s="8"/>
      <c r="AG503" s="8"/>
      <c r="AH503" s="8"/>
      <c r="AI503" s="8"/>
      <c r="AJ503" s="8"/>
      <c r="AK503" s="8"/>
      <c r="AL503" s="8"/>
      <c r="AM503" s="8"/>
      <c r="AN503" s="8"/>
      <c r="AO503" s="8"/>
    </row>
    <row r="504" spans="7:41" x14ac:dyDescent="0.2">
      <c r="G504" s="8"/>
      <c r="H504" s="8"/>
      <c r="I504" s="8"/>
      <c r="J504" s="8"/>
      <c r="K504" s="8"/>
      <c r="L504" s="8"/>
      <c r="M504" s="8"/>
      <c r="N504" s="8"/>
      <c r="O504" s="8"/>
      <c r="Q504" s="8"/>
      <c r="R504" s="8"/>
      <c r="S504" s="8"/>
      <c r="T504" s="8"/>
      <c r="U504" s="8"/>
      <c r="V504" s="8"/>
      <c r="W504" s="8"/>
      <c r="X504" s="8"/>
      <c r="Y504" s="8"/>
      <c r="Z504" s="8"/>
      <c r="AA504" s="8"/>
      <c r="AB504" s="8"/>
      <c r="AD504" s="8"/>
      <c r="AE504" s="8"/>
      <c r="AF504" s="8"/>
      <c r="AG504" s="8"/>
      <c r="AH504" s="8"/>
      <c r="AI504" s="8"/>
      <c r="AJ504" s="8"/>
      <c r="AK504" s="8"/>
      <c r="AL504" s="8"/>
      <c r="AM504" s="8"/>
      <c r="AN504" s="8"/>
      <c r="AO504" s="8"/>
    </row>
    <row r="505" spans="7:41" x14ac:dyDescent="0.2">
      <c r="G505" s="8"/>
      <c r="H505" s="8"/>
      <c r="I505" s="8"/>
      <c r="J505" s="8"/>
      <c r="K505" s="8"/>
      <c r="L505" s="8"/>
      <c r="M505" s="8"/>
      <c r="N505" s="8"/>
      <c r="O505" s="8"/>
      <c r="Q505" s="8"/>
      <c r="R505" s="8"/>
      <c r="S505" s="8"/>
      <c r="T505" s="8"/>
      <c r="U505" s="8"/>
      <c r="V505" s="8"/>
      <c r="W505" s="8"/>
      <c r="X505" s="8"/>
      <c r="Y505" s="8"/>
      <c r="Z505" s="8"/>
      <c r="AA505" s="8"/>
      <c r="AB505" s="8"/>
      <c r="AD505" s="8"/>
      <c r="AE505" s="8"/>
      <c r="AF505" s="8"/>
      <c r="AG505" s="8"/>
      <c r="AH505" s="8"/>
      <c r="AI505" s="8"/>
      <c r="AJ505" s="8"/>
      <c r="AK505" s="8"/>
      <c r="AL505" s="8"/>
      <c r="AM505" s="8"/>
      <c r="AN505" s="8"/>
      <c r="AO505" s="8"/>
    </row>
    <row r="506" spans="7:41" x14ac:dyDescent="0.2">
      <c r="G506" s="8"/>
      <c r="H506" s="8"/>
      <c r="I506" s="8"/>
      <c r="J506" s="8"/>
      <c r="K506" s="8"/>
      <c r="L506" s="8"/>
      <c r="M506" s="8"/>
      <c r="N506" s="8"/>
      <c r="O506" s="8"/>
      <c r="Q506" s="8"/>
      <c r="R506" s="8"/>
      <c r="S506" s="8"/>
      <c r="T506" s="8"/>
      <c r="U506" s="8"/>
      <c r="V506" s="8"/>
      <c r="W506" s="8"/>
      <c r="X506" s="8"/>
      <c r="Y506" s="8"/>
      <c r="Z506" s="8"/>
      <c r="AA506" s="8"/>
      <c r="AB506" s="8"/>
      <c r="AD506" s="8"/>
      <c r="AE506" s="8"/>
      <c r="AF506" s="8"/>
      <c r="AG506" s="8"/>
      <c r="AH506" s="8"/>
      <c r="AI506" s="8"/>
      <c r="AJ506" s="8"/>
      <c r="AK506" s="8"/>
      <c r="AL506" s="8"/>
      <c r="AM506" s="8"/>
      <c r="AN506" s="8"/>
      <c r="AO506" s="8"/>
    </row>
    <row r="507" spans="7:41" x14ac:dyDescent="0.2">
      <c r="G507" s="8"/>
      <c r="H507" s="8"/>
      <c r="I507" s="8"/>
      <c r="J507" s="8"/>
      <c r="K507" s="8"/>
      <c r="L507" s="8"/>
      <c r="M507" s="8"/>
      <c r="N507" s="8"/>
      <c r="O507" s="8"/>
      <c r="Q507" s="8"/>
      <c r="R507" s="8"/>
      <c r="S507" s="8"/>
      <c r="T507" s="8"/>
      <c r="U507" s="8"/>
      <c r="V507" s="8"/>
      <c r="W507" s="8"/>
      <c r="X507" s="8"/>
      <c r="Y507" s="8"/>
      <c r="Z507" s="8"/>
      <c r="AA507" s="8"/>
      <c r="AB507" s="8"/>
      <c r="AD507" s="8"/>
      <c r="AE507" s="8"/>
      <c r="AF507" s="8"/>
      <c r="AG507" s="8"/>
      <c r="AH507" s="8"/>
      <c r="AI507" s="8"/>
      <c r="AJ507" s="8"/>
      <c r="AK507" s="8"/>
      <c r="AL507" s="8"/>
      <c r="AM507" s="8"/>
      <c r="AN507" s="8"/>
      <c r="AO507" s="8"/>
    </row>
    <row r="508" spans="7:41" x14ac:dyDescent="0.2">
      <c r="G508" s="8"/>
      <c r="H508" s="8"/>
      <c r="I508" s="8"/>
      <c r="J508" s="8"/>
      <c r="K508" s="8"/>
      <c r="L508" s="8"/>
      <c r="M508" s="8"/>
      <c r="N508" s="8"/>
      <c r="O508" s="8"/>
      <c r="Q508" s="8"/>
      <c r="R508" s="8"/>
      <c r="S508" s="8"/>
      <c r="T508" s="8"/>
      <c r="U508" s="8"/>
      <c r="V508" s="8"/>
      <c r="W508" s="8"/>
      <c r="X508" s="8"/>
      <c r="Y508" s="8"/>
      <c r="Z508" s="8"/>
      <c r="AA508" s="8"/>
      <c r="AB508" s="8"/>
      <c r="AD508" s="8"/>
      <c r="AE508" s="8"/>
      <c r="AF508" s="8"/>
      <c r="AG508" s="8"/>
      <c r="AH508" s="8"/>
      <c r="AI508" s="8"/>
      <c r="AJ508" s="8"/>
      <c r="AK508" s="8"/>
      <c r="AL508" s="8"/>
      <c r="AM508" s="8"/>
      <c r="AN508" s="8"/>
      <c r="AO508" s="8"/>
    </row>
    <row r="509" spans="7:41" x14ac:dyDescent="0.2">
      <c r="G509" s="8"/>
      <c r="H509" s="8"/>
      <c r="I509" s="8"/>
      <c r="J509" s="8"/>
      <c r="K509" s="8"/>
      <c r="L509" s="8"/>
      <c r="M509" s="8"/>
      <c r="N509" s="8"/>
      <c r="O509" s="8"/>
      <c r="Q509" s="8"/>
      <c r="R509" s="8"/>
      <c r="S509" s="8"/>
      <c r="T509" s="8"/>
      <c r="U509" s="8"/>
      <c r="V509" s="8"/>
      <c r="W509" s="8"/>
      <c r="X509" s="8"/>
      <c r="Y509" s="8"/>
      <c r="Z509" s="8"/>
      <c r="AA509" s="8"/>
      <c r="AB509" s="8"/>
      <c r="AD509" s="8"/>
      <c r="AE509" s="8"/>
      <c r="AF509" s="8"/>
      <c r="AG509" s="8"/>
      <c r="AH509" s="8"/>
      <c r="AI509" s="8"/>
      <c r="AJ509" s="8"/>
      <c r="AK509" s="8"/>
      <c r="AL509" s="8"/>
      <c r="AM509" s="8"/>
      <c r="AN509" s="8"/>
      <c r="AO509" s="8"/>
    </row>
    <row r="510" spans="7:41" x14ac:dyDescent="0.2">
      <c r="G510" s="8"/>
      <c r="H510" s="8"/>
      <c r="I510" s="8"/>
      <c r="J510" s="8"/>
      <c r="K510" s="8"/>
      <c r="L510" s="8"/>
      <c r="M510" s="8"/>
      <c r="N510" s="8"/>
      <c r="O510" s="8"/>
      <c r="Q510" s="8"/>
      <c r="R510" s="8"/>
      <c r="S510" s="8"/>
      <c r="T510" s="8"/>
      <c r="U510" s="8"/>
      <c r="V510" s="8"/>
      <c r="W510" s="8"/>
      <c r="X510" s="8"/>
      <c r="Y510" s="8"/>
      <c r="Z510" s="8"/>
      <c r="AA510" s="8"/>
      <c r="AB510" s="8"/>
      <c r="AD510" s="8"/>
      <c r="AE510" s="8"/>
      <c r="AF510" s="8"/>
      <c r="AG510" s="8"/>
      <c r="AH510" s="8"/>
      <c r="AI510" s="8"/>
      <c r="AJ510" s="8"/>
      <c r="AK510" s="8"/>
      <c r="AL510" s="8"/>
      <c r="AM510" s="8"/>
      <c r="AN510" s="8"/>
      <c r="AO510" s="8"/>
    </row>
    <row r="511" spans="7:41" x14ac:dyDescent="0.2">
      <c r="G511" s="8"/>
      <c r="H511" s="8"/>
      <c r="I511" s="8"/>
      <c r="J511" s="8"/>
      <c r="K511" s="8"/>
      <c r="L511" s="8"/>
      <c r="M511" s="8"/>
      <c r="N511" s="8"/>
      <c r="O511" s="8"/>
      <c r="Q511" s="8"/>
      <c r="R511" s="8"/>
      <c r="S511" s="8"/>
      <c r="T511" s="8"/>
      <c r="U511" s="8"/>
      <c r="V511" s="8"/>
      <c r="W511" s="8"/>
      <c r="X511" s="8"/>
      <c r="Y511" s="8"/>
      <c r="Z511" s="8"/>
      <c r="AA511" s="8"/>
      <c r="AB511" s="8"/>
      <c r="AD511" s="8"/>
      <c r="AE511" s="8"/>
      <c r="AF511" s="8"/>
      <c r="AG511" s="8"/>
      <c r="AH511" s="8"/>
      <c r="AI511" s="8"/>
      <c r="AJ511" s="8"/>
      <c r="AK511" s="8"/>
      <c r="AL511" s="8"/>
      <c r="AM511" s="8"/>
      <c r="AN511" s="8"/>
      <c r="AO511" s="8"/>
    </row>
    <row r="512" spans="7:41" x14ac:dyDescent="0.2">
      <c r="G512" s="8"/>
      <c r="H512" s="8"/>
      <c r="I512" s="8"/>
      <c r="J512" s="8"/>
      <c r="K512" s="8"/>
      <c r="L512" s="8"/>
      <c r="M512" s="8"/>
      <c r="N512" s="8"/>
      <c r="O512" s="8"/>
      <c r="Q512" s="8"/>
      <c r="R512" s="8"/>
      <c r="S512" s="8"/>
      <c r="T512" s="8"/>
      <c r="U512" s="8"/>
      <c r="V512" s="8"/>
      <c r="W512" s="8"/>
      <c r="X512" s="8"/>
      <c r="Y512" s="8"/>
      <c r="Z512" s="8"/>
      <c r="AA512" s="8"/>
      <c r="AB512" s="8"/>
      <c r="AD512" s="8"/>
      <c r="AE512" s="8"/>
      <c r="AF512" s="8"/>
      <c r="AG512" s="8"/>
      <c r="AH512" s="8"/>
      <c r="AI512" s="8"/>
      <c r="AJ512" s="8"/>
      <c r="AK512" s="8"/>
      <c r="AL512" s="8"/>
      <c r="AM512" s="8"/>
      <c r="AN512" s="8"/>
      <c r="AO512" s="8"/>
    </row>
    <row r="513" spans="7:41" x14ac:dyDescent="0.2">
      <c r="G513" s="8"/>
      <c r="H513" s="8"/>
      <c r="I513" s="8"/>
      <c r="J513" s="8"/>
      <c r="K513" s="8"/>
      <c r="L513" s="8"/>
      <c r="M513" s="8"/>
      <c r="N513" s="8"/>
      <c r="O513" s="8"/>
      <c r="Q513" s="8"/>
      <c r="R513" s="8"/>
      <c r="S513" s="8"/>
      <c r="T513" s="8"/>
      <c r="U513" s="8"/>
      <c r="V513" s="8"/>
      <c r="W513" s="8"/>
      <c r="X513" s="8"/>
      <c r="Y513" s="8"/>
      <c r="Z513" s="8"/>
      <c r="AA513" s="8"/>
      <c r="AB513" s="8"/>
      <c r="AD513" s="8"/>
      <c r="AE513" s="8"/>
      <c r="AF513" s="8"/>
      <c r="AG513" s="8"/>
      <c r="AH513" s="8"/>
      <c r="AI513" s="8"/>
      <c r="AJ513" s="8"/>
      <c r="AK513" s="8"/>
      <c r="AL513" s="8"/>
      <c r="AM513" s="8"/>
      <c r="AN513" s="8"/>
      <c r="AO513" s="8"/>
    </row>
    <row r="514" spans="7:41" x14ac:dyDescent="0.2">
      <c r="G514" s="8"/>
      <c r="H514" s="8"/>
      <c r="I514" s="8"/>
      <c r="J514" s="8"/>
      <c r="K514" s="8"/>
      <c r="L514" s="8"/>
      <c r="M514" s="8"/>
      <c r="N514" s="8"/>
      <c r="O514" s="8"/>
      <c r="Q514" s="8"/>
      <c r="R514" s="8"/>
      <c r="S514" s="8"/>
      <c r="T514" s="8"/>
      <c r="U514" s="8"/>
      <c r="V514" s="8"/>
      <c r="W514" s="8"/>
      <c r="X514" s="8"/>
      <c r="Y514" s="8"/>
      <c r="Z514" s="8"/>
      <c r="AA514" s="8"/>
      <c r="AB514" s="8"/>
      <c r="AD514" s="8"/>
      <c r="AE514" s="8"/>
      <c r="AF514" s="8"/>
      <c r="AG514" s="8"/>
      <c r="AH514" s="8"/>
      <c r="AI514" s="8"/>
      <c r="AJ514" s="8"/>
      <c r="AK514" s="8"/>
      <c r="AL514" s="8"/>
      <c r="AM514" s="8"/>
      <c r="AN514" s="8"/>
      <c r="AO514" s="8"/>
    </row>
    <row r="515" spans="7:41" x14ac:dyDescent="0.2">
      <c r="G515" s="8"/>
      <c r="H515" s="8"/>
      <c r="I515" s="8"/>
      <c r="J515" s="8"/>
      <c r="K515" s="8"/>
      <c r="L515" s="8"/>
      <c r="M515" s="8"/>
      <c r="N515" s="8"/>
      <c r="O515" s="8"/>
      <c r="Q515" s="8"/>
      <c r="R515" s="8"/>
      <c r="S515" s="8"/>
      <c r="T515" s="8"/>
      <c r="U515" s="8"/>
      <c r="V515" s="8"/>
      <c r="W515" s="8"/>
      <c r="X515" s="8"/>
      <c r="Y515" s="8"/>
      <c r="Z515" s="8"/>
      <c r="AA515" s="8"/>
      <c r="AB515" s="8"/>
      <c r="AD515" s="8"/>
      <c r="AE515" s="8"/>
      <c r="AF515" s="8"/>
      <c r="AG515" s="8"/>
      <c r="AH515" s="8"/>
      <c r="AI515" s="8"/>
      <c r="AJ515" s="8"/>
      <c r="AK515" s="8"/>
      <c r="AL515" s="8"/>
      <c r="AM515" s="8"/>
      <c r="AN515" s="8"/>
      <c r="AO515" s="8"/>
    </row>
    <row r="516" spans="7:41" x14ac:dyDescent="0.2">
      <c r="G516" s="8"/>
      <c r="H516" s="8"/>
      <c r="I516" s="8"/>
      <c r="J516" s="8"/>
      <c r="K516" s="8"/>
      <c r="L516" s="8"/>
      <c r="M516" s="8"/>
      <c r="N516" s="8"/>
      <c r="O516" s="8"/>
      <c r="Q516" s="8"/>
      <c r="R516" s="8"/>
      <c r="S516" s="8"/>
      <c r="T516" s="8"/>
      <c r="U516" s="8"/>
      <c r="V516" s="8"/>
      <c r="W516" s="8"/>
      <c r="X516" s="8"/>
      <c r="Y516" s="8"/>
      <c r="Z516" s="8"/>
      <c r="AA516" s="8"/>
      <c r="AB516" s="8"/>
      <c r="AD516" s="8"/>
      <c r="AE516" s="8"/>
      <c r="AF516" s="8"/>
      <c r="AG516" s="8"/>
      <c r="AH516" s="8"/>
      <c r="AI516" s="8"/>
      <c r="AJ516" s="8"/>
      <c r="AK516" s="8"/>
      <c r="AL516" s="8"/>
      <c r="AM516" s="8"/>
      <c r="AN516" s="8"/>
      <c r="AO516" s="8"/>
    </row>
    <row r="517" spans="7:41" x14ac:dyDescent="0.2">
      <c r="G517" s="8"/>
      <c r="H517" s="8"/>
      <c r="I517" s="8"/>
      <c r="J517" s="8"/>
      <c r="K517" s="8"/>
      <c r="L517" s="8"/>
      <c r="M517" s="8"/>
      <c r="N517" s="8"/>
      <c r="O517" s="8"/>
      <c r="Q517" s="8"/>
      <c r="R517" s="8"/>
      <c r="S517" s="8"/>
      <c r="T517" s="8"/>
      <c r="U517" s="8"/>
      <c r="V517" s="8"/>
      <c r="W517" s="8"/>
      <c r="X517" s="8"/>
      <c r="Y517" s="8"/>
      <c r="Z517" s="8"/>
      <c r="AA517" s="8"/>
      <c r="AB517" s="8"/>
      <c r="AD517" s="8"/>
      <c r="AE517" s="8"/>
      <c r="AF517" s="8"/>
      <c r="AG517" s="8"/>
      <c r="AH517" s="8"/>
      <c r="AI517" s="8"/>
      <c r="AJ517" s="8"/>
      <c r="AK517" s="8"/>
      <c r="AL517" s="8"/>
      <c r="AM517" s="8"/>
      <c r="AN517" s="8"/>
      <c r="AO517" s="8"/>
    </row>
    <row r="518" spans="7:41" x14ac:dyDescent="0.2">
      <c r="G518" s="8"/>
      <c r="H518" s="8"/>
      <c r="I518" s="8"/>
      <c r="J518" s="8"/>
      <c r="K518" s="8"/>
      <c r="L518" s="8"/>
      <c r="M518" s="8"/>
      <c r="N518" s="8"/>
      <c r="O518" s="8"/>
      <c r="Q518" s="8"/>
      <c r="R518" s="8"/>
      <c r="S518" s="8"/>
      <c r="T518" s="8"/>
      <c r="U518" s="8"/>
      <c r="V518" s="8"/>
      <c r="W518" s="8"/>
      <c r="X518" s="8"/>
      <c r="Y518" s="8"/>
      <c r="Z518" s="8"/>
      <c r="AA518" s="8"/>
      <c r="AB518" s="8"/>
      <c r="AD518" s="8"/>
      <c r="AE518" s="8"/>
      <c r="AF518" s="8"/>
      <c r="AG518" s="8"/>
      <c r="AH518" s="8"/>
      <c r="AI518" s="8"/>
      <c r="AJ518" s="8"/>
      <c r="AK518" s="8"/>
      <c r="AL518" s="8"/>
      <c r="AM518" s="8"/>
      <c r="AN518" s="8"/>
      <c r="AO518" s="8"/>
    </row>
    <row r="519" spans="7:41" x14ac:dyDescent="0.2">
      <c r="G519" s="8"/>
      <c r="H519" s="8"/>
      <c r="I519" s="8"/>
      <c r="J519" s="8"/>
      <c r="K519" s="8"/>
      <c r="L519" s="8"/>
      <c r="M519" s="8"/>
      <c r="N519" s="8"/>
      <c r="O519" s="8"/>
      <c r="Q519" s="8"/>
      <c r="R519" s="8"/>
      <c r="S519" s="8"/>
      <c r="T519" s="8"/>
      <c r="U519" s="8"/>
      <c r="V519" s="8"/>
      <c r="W519" s="8"/>
      <c r="X519" s="8"/>
      <c r="Y519" s="8"/>
      <c r="Z519" s="8"/>
      <c r="AA519" s="8"/>
      <c r="AB519" s="8"/>
      <c r="AD519" s="8"/>
      <c r="AE519" s="8"/>
      <c r="AF519" s="8"/>
      <c r="AG519" s="8"/>
      <c r="AH519" s="8"/>
      <c r="AI519" s="8"/>
      <c r="AJ519" s="8"/>
      <c r="AK519" s="8"/>
      <c r="AL519" s="8"/>
      <c r="AM519" s="8"/>
      <c r="AN519" s="8"/>
      <c r="AO519" s="8"/>
    </row>
    <row r="520" spans="7:41" x14ac:dyDescent="0.2">
      <c r="G520" s="8"/>
      <c r="H520" s="8"/>
      <c r="I520" s="8"/>
      <c r="J520" s="8"/>
      <c r="K520" s="8"/>
      <c r="L520" s="8"/>
      <c r="M520" s="8"/>
      <c r="N520" s="8"/>
      <c r="O520" s="8"/>
      <c r="Q520" s="8"/>
      <c r="R520" s="8"/>
      <c r="S520" s="8"/>
      <c r="T520" s="8"/>
      <c r="U520" s="8"/>
      <c r="V520" s="8"/>
      <c r="W520" s="8"/>
      <c r="X520" s="8"/>
      <c r="Y520" s="8"/>
      <c r="Z520" s="8"/>
      <c r="AA520" s="8"/>
      <c r="AB520" s="8"/>
      <c r="AD520" s="8"/>
      <c r="AE520" s="8"/>
      <c r="AF520" s="8"/>
      <c r="AG520" s="8"/>
      <c r="AH520" s="8"/>
      <c r="AI520" s="8"/>
      <c r="AJ520" s="8"/>
      <c r="AK520" s="8"/>
      <c r="AL520" s="8"/>
      <c r="AM520" s="8"/>
      <c r="AN520" s="8"/>
      <c r="AO520" s="8"/>
    </row>
    <row r="521" spans="7:41" x14ac:dyDescent="0.2">
      <c r="G521" s="8"/>
      <c r="H521" s="8"/>
      <c r="I521" s="8"/>
      <c r="J521" s="8"/>
      <c r="K521" s="8"/>
      <c r="L521" s="8"/>
      <c r="M521" s="8"/>
      <c r="N521" s="8"/>
      <c r="O521" s="8"/>
      <c r="Q521" s="8"/>
      <c r="R521" s="8"/>
      <c r="S521" s="8"/>
      <c r="T521" s="8"/>
      <c r="U521" s="8"/>
      <c r="V521" s="8"/>
      <c r="W521" s="8"/>
      <c r="X521" s="8"/>
      <c r="Y521" s="8"/>
      <c r="Z521" s="8"/>
      <c r="AA521" s="8"/>
      <c r="AB521" s="8"/>
      <c r="AD521" s="8"/>
      <c r="AE521" s="8"/>
      <c r="AF521" s="8"/>
      <c r="AG521" s="8"/>
      <c r="AH521" s="8"/>
      <c r="AI521" s="8"/>
      <c r="AJ521" s="8"/>
      <c r="AK521" s="8"/>
      <c r="AL521" s="8"/>
      <c r="AM521" s="8"/>
      <c r="AN521" s="8"/>
      <c r="AO521" s="8"/>
    </row>
    <row r="522" spans="7:41" x14ac:dyDescent="0.2">
      <c r="G522" s="8"/>
      <c r="H522" s="8"/>
      <c r="I522" s="8"/>
      <c r="J522" s="8"/>
      <c r="K522" s="8"/>
      <c r="L522" s="8"/>
      <c r="M522" s="8"/>
      <c r="N522" s="8"/>
      <c r="O522" s="8"/>
      <c r="Q522" s="8"/>
      <c r="R522" s="8"/>
      <c r="S522" s="8"/>
      <c r="T522" s="8"/>
      <c r="U522" s="8"/>
      <c r="V522" s="8"/>
      <c r="W522" s="8"/>
      <c r="X522" s="8"/>
      <c r="Y522" s="8"/>
      <c r="Z522" s="8"/>
      <c r="AA522" s="8"/>
      <c r="AB522" s="8"/>
      <c r="AD522" s="8"/>
      <c r="AE522" s="8"/>
      <c r="AF522" s="8"/>
      <c r="AG522" s="8"/>
      <c r="AH522" s="8"/>
      <c r="AI522" s="8"/>
      <c r="AJ522" s="8"/>
      <c r="AK522" s="8"/>
      <c r="AL522" s="8"/>
      <c r="AM522" s="8"/>
      <c r="AN522" s="8"/>
      <c r="AO522" s="8"/>
    </row>
    <row r="523" spans="7:41" x14ac:dyDescent="0.2">
      <c r="G523" s="8"/>
      <c r="H523" s="8"/>
      <c r="I523" s="8"/>
      <c r="J523" s="8"/>
      <c r="K523" s="8"/>
      <c r="L523" s="8"/>
      <c r="M523" s="8"/>
      <c r="N523" s="8"/>
      <c r="O523" s="8"/>
      <c r="Q523" s="8"/>
      <c r="R523" s="8"/>
      <c r="S523" s="8"/>
      <c r="T523" s="8"/>
      <c r="U523" s="8"/>
      <c r="V523" s="8"/>
      <c r="W523" s="8"/>
      <c r="X523" s="8"/>
      <c r="Y523" s="8"/>
      <c r="Z523" s="8"/>
      <c r="AA523" s="8"/>
      <c r="AB523" s="8"/>
      <c r="AD523" s="8"/>
      <c r="AE523" s="8"/>
      <c r="AF523" s="8"/>
      <c r="AG523" s="8"/>
      <c r="AH523" s="8"/>
      <c r="AI523" s="8"/>
      <c r="AJ523" s="8"/>
      <c r="AK523" s="8"/>
      <c r="AL523" s="8"/>
      <c r="AM523" s="8"/>
      <c r="AN523" s="8"/>
      <c r="AO523" s="8"/>
    </row>
    <row r="524" spans="7:41" x14ac:dyDescent="0.2">
      <c r="G524" s="8"/>
      <c r="H524" s="8"/>
      <c r="I524" s="8"/>
      <c r="J524" s="8"/>
      <c r="K524" s="8"/>
      <c r="L524" s="8"/>
      <c r="M524" s="8"/>
      <c r="N524" s="8"/>
      <c r="O524" s="8"/>
      <c r="Q524" s="8"/>
      <c r="R524" s="8"/>
      <c r="S524" s="8"/>
      <c r="T524" s="8"/>
      <c r="U524" s="8"/>
      <c r="V524" s="8"/>
      <c r="W524" s="8"/>
      <c r="X524" s="8"/>
      <c r="Y524" s="8"/>
      <c r="Z524" s="8"/>
      <c r="AA524" s="8"/>
      <c r="AB524" s="8"/>
      <c r="AD524" s="8"/>
      <c r="AE524" s="8"/>
      <c r="AF524" s="8"/>
      <c r="AG524" s="8"/>
      <c r="AH524" s="8"/>
      <c r="AI524" s="8"/>
      <c r="AJ524" s="8"/>
      <c r="AK524" s="8"/>
      <c r="AL524" s="8"/>
      <c r="AM524" s="8"/>
      <c r="AN524" s="8"/>
      <c r="AO524" s="8"/>
    </row>
    <row r="525" spans="7:41" x14ac:dyDescent="0.2">
      <c r="G525" s="8"/>
      <c r="H525" s="8"/>
      <c r="I525" s="8"/>
      <c r="J525" s="8"/>
      <c r="K525" s="8"/>
      <c r="L525" s="8"/>
      <c r="M525" s="8"/>
      <c r="N525" s="8"/>
      <c r="O525" s="8"/>
      <c r="Q525" s="8"/>
      <c r="R525" s="8"/>
      <c r="S525" s="8"/>
      <c r="T525" s="8"/>
      <c r="U525" s="8"/>
      <c r="V525" s="8"/>
      <c r="W525" s="8"/>
      <c r="X525" s="8"/>
      <c r="Y525" s="8"/>
      <c r="Z525" s="8"/>
      <c r="AA525" s="8"/>
      <c r="AB525" s="8"/>
      <c r="AD525" s="8"/>
      <c r="AE525" s="8"/>
      <c r="AF525" s="8"/>
      <c r="AG525" s="8"/>
      <c r="AH525" s="8"/>
      <c r="AI525" s="8"/>
      <c r="AJ525" s="8"/>
      <c r="AK525" s="8"/>
      <c r="AL525" s="8"/>
      <c r="AM525" s="8"/>
      <c r="AN525" s="8"/>
      <c r="AO525" s="8"/>
    </row>
    <row r="526" spans="7:41" x14ac:dyDescent="0.2">
      <c r="G526" s="8"/>
      <c r="H526" s="8"/>
      <c r="I526" s="8"/>
      <c r="J526" s="8"/>
      <c r="K526" s="8"/>
      <c r="L526" s="8"/>
      <c r="M526" s="8"/>
      <c r="N526" s="8"/>
      <c r="O526" s="8"/>
      <c r="Q526" s="8"/>
      <c r="R526" s="8"/>
      <c r="S526" s="8"/>
      <c r="T526" s="8"/>
      <c r="U526" s="8"/>
      <c r="V526" s="8"/>
      <c r="W526" s="8"/>
      <c r="X526" s="8"/>
      <c r="Y526" s="8"/>
      <c r="Z526" s="8"/>
      <c r="AA526" s="8"/>
      <c r="AB526" s="8"/>
      <c r="AD526" s="8"/>
      <c r="AE526" s="8"/>
      <c r="AF526" s="8"/>
      <c r="AG526" s="8"/>
      <c r="AH526" s="8"/>
      <c r="AI526" s="8"/>
      <c r="AJ526" s="8"/>
      <c r="AK526" s="8"/>
      <c r="AL526" s="8"/>
      <c r="AM526" s="8"/>
      <c r="AN526" s="8"/>
      <c r="AO526" s="8"/>
    </row>
    <row r="527" spans="7:41" x14ac:dyDescent="0.2">
      <c r="G527" s="8"/>
      <c r="H527" s="8"/>
      <c r="I527" s="8"/>
      <c r="J527" s="8"/>
      <c r="K527" s="8"/>
      <c r="L527" s="8"/>
      <c r="M527" s="8"/>
      <c r="N527" s="8"/>
      <c r="O527" s="8"/>
      <c r="Q527" s="8"/>
      <c r="R527" s="8"/>
      <c r="S527" s="8"/>
      <c r="T527" s="8"/>
      <c r="U527" s="8"/>
      <c r="V527" s="8"/>
      <c r="W527" s="8"/>
      <c r="X527" s="8"/>
      <c r="Y527" s="8"/>
      <c r="Z527" s="8"/>
      <c r="AA527" s="8"/>
      <c r="AB527" s="8"/>
      <c r="AD527" s="8"/>
      <c r="AE527" s="8"/>
      <c r="AF527" s="8"/>
      <c r="AG527" s="8"/>
      <c r="AH527" s="8"/>
      <c r="AI527" s="8"/>
      <c r="AJ527" s="8"/>
      <c r="AK527" s="8"/>
      <c r="AL527" s="8"/>
      <c r="AM527" s="8"/>
      <c r="AN527" s="8"/>
      <c r="AO527" s="8"/>
    </row>
    <row r="528" spans="7:41" x14ac:dyDescent="0.2">
      <c r="G528" s="8"/>
      <c r="H528" s="8"/>
      <c r="I528" s="8"/>
      <c r="J528" s="8"/>
      <c r="K528" s="8"/>
      <c r="L528" s="8"/>
      <c r="M528" s="8"/>
      <c r="N528" s="8"/>
      <c r="O528" s="8"/>
      <c r="Q528" s="8"/>
      <c r="R528" s="8"/>
      <c r="S528" s="8"/>
      <c r="T528" s="8"/>
      <c r="U528" s="8"/>
      <c r="V528" s="8"/>
      <c r="W528" s="8"/>
      <c r="X528" s="8"/>
      <c r="Y528" s="8"/>
      <c r="Z528" s="8"/>
      <c r="AA528" s="8"/>
      <c r="AB528" s="8"/>
      <c r="AD528" s="8"/>
      <c r="AE528" s="8"/>
      <c r="AF528" s="8"/>
      <c r="AG528" s="8"/>
      <c r="AH528" s="8"/>
      <c r="AI528" s="8"/>
      <c r="AJ528" s="8"/>
      <c r="AK528" s="8"/>
      <c r="AL528" s="8"/>
      <c r="AM528" s="8"/>
      <c r="AN528" s="8"/>
      <c r="AO528" s="8"/>
    </row>
    <row r="529" spans="7:41" x14ac:dyDescent="0.2">
      <c r="G529" s="8"/>
      <c r="H529" s="8"/>
      <c r="I529" s="8"/>
      <c r="J529" s="8"/>
      <c r="K529" s="8"/>
      <c r="L529" s="8"/>
      <c r="M529" s="8"/>
      <c r="N529" s="8"/>
      <c r="O529" s="8"/>
      <c r="Q529" s="8"/>
      <c r="R529" s="8"/>
      <c r="S529" s="8"/>
      <c r="T529" s="8"/>
      <c r="U529" s="8"/>
      <c r="V529" s="8"/>
      <c r="W529" s="8"/>
      <c r="X529" s="8"/>
      <c r="Y529" s="8"/>
      <c r="Z529" s="8"/>
      <c r="AA529" s="8"/>
      <c r="AB529" s="8"/>
      <c r="AD529" s="8"/>
      <c r="AE529" s="8"/>
      <c r="AF529" s="8"/>
      <c r="AG529" s="8"/>
      <c r="AH529" s="8"/>
      <c r="AI529" s="8"/>
      <c r="AJ529" s="8"/>
      <c r="AK529" s="8"/>
      <c r="AL529" s="8"/>
      <c r="AM529" s="8"/>
      <c r="AN529" s="8"/>
      <c r="AO529" s="8"/>
    </row>
    <row r="530" spans="7:41" x14ac:dyDescent="0.2">
      <c r="G530" s="8"/>
      <c r="H530" s="8"/>
      <c r="I530" s="8"/>
      <c r="J530" s="8"/>
      <c r="K530" s="8"/>
      <c r="L530" s="8"/>
      <c r="M530" s="8"/>
      <c r="N530" s="8"/>
      <c r="O530" s="8"/>
      <c r="Q530" s="8"/>
      <c r="R530" s="8"/>
      <c r="S530" s="8"/>
      <c r="T530" s="8"/>
      <c r="U530" s="8"/>
      <c r="V530" s="8"/>
      <c r="W530" s="8"/>
      <c r="X530" s="8"/>
      <c r="Y530" s="8"/>
      <c r="Z530" s="8"/>
      <c r="AA530" s="8"/>
      <c r="AB530" s="8"/>
      <c r="AD530" s="8"/>
      <c r="AE530" s="8"/>
      <c r="AF530" s="8"/>
      <c r="AG530" s="8"/>
      <c r="AH530" s="8"/>
      <c r="AI530" s="8"/>
      <c r="AJ530" s="8"/>
      <c r="AK530" s="8"/>
      <c r="AL530" s="8"/>
      <c r="AM530" s="8"/>
      <c r="AN530" s="8"/>
      <c r="AO530" s="8"/>
    </row>
    <row r="531" spans="7:41" x14ac:dyDescent="0.2">
      <c r="G531" s="8"/>
      <c r="H531" s="8"/>
      <c r="I531" s="8"/>
      <c r="J531" s="8"/>
      <c r="K531" s="8"/>
      <c r="L531" s="8"/>
      <c r="M531" s="8"/>
      <c r="N531" s="8"/>
      <c r="O531" s="8"/>
      <c r="Q531" s="8"/>
      <c r="R531" s="8"/>
      <c r="S531" s="8"/>
      <c r="T531" s="8"/>
      <c r="U531" s="8"/>
      <c r="V531" s="8"/>
      <c r="W531" s="8"/>
      <c r="X531" s="8"/>
      <c r="Y531" s="8"/>
      <c r="Z531" s="8"/>
      <c r="AA531" s="8"/>
      <c r="AB531" s="8"/>
      <c r="AD531" s="8"/>
      <c r="AE531" s="8"/>
      <c r="AF531" s="8"/>
      <c r="AG531" s="8"/>
      <c r="AH531" s="8"/>
      <c r="AI531" s="8"/>
      <c r="AJ531" s="8"/>
      <c r="AK531" s="8"/>
      <c r="AL531" s="8"/>
      <c r="AM531" s="8"/>
      <c r="AN531" s="8"/>
      <c r="AO531" s="8"/>
    </row>
    <row r="532" spans="7:41" x14ac:dyDescent="0.2">
      <c r="G532" s="8"/>
      <c r="H532" s="8"/>
      <c r="I532" s="8"/>
      <c r="J532" s="8"/>
      <c r="K532" s="8"/>
      <c r="L532" s="8"/>
      <c r="M532" s="8"/>
      <c r="N532" s="8"/>
      <c r="O532" s="8"/>
      <c r="Q532" s="8"/>
      <c r="R532" s="8"/>
      <c r="S532" s="8"/>
      <c r="T532" s="8"/>
      <c r="U532" s="8"/>
      <c r="V532" s="8"/>
      <c r="W532" s="8"/>
      <c r="X532" s="8"/>
      <c r="Y532" s="8"/>
      <c r="Z532" s="8"/>
      <c r="AA532" s="8"/>
      <c r="AB532" s="8"/>
      <c r="AD532" s="8"/>
      <c r="AE532" s="8"/>
      <c r="AF532" s="8"/>
      <c r="AG532" s="8"/>
      <c r="AH532" s="8"/>
      <c r="AI532" s="8"/>
      <c r="AJ532" s="8"/>
      <c r="AK532" s="8"/>
      <c r="AL532" s="8"/>
      <c r="AM532" s="8"/>
      <c r="AN532" s="8"/>
      <c r="AO532" s="8"/>
    </row>
    <row r="533" spans="7:41" x14ac:dyDescent="0.2">
      <c r="G533" s="8"/>
      <c r="H533" s="8"/>
      <c r="I533" s="8"/>
      <c r="J533" s="8"/>
      <c r="K533" s="8"/>
      <c r="L533" s="8"/>
      <c r="M533" s="8"/>
      <c r="N533" s="8"/>
      <c r="O533" s="8"/>
      <c r="Q533" s="8"/>
      <c r="R533" s="8"/>
      <c r="S533" s="8"/>
      <c r="T533" s="8"/>
      <c r="U533" s="8"/>
      <c r="V533" s="8"/>
      <c r="W533" s="8"/>
      <c r="X533" s="8"/>
      <c r="Y533" s="8"/>
      <c r="Z533" s="8"/>
      <c r="AA533" s="8"/>
      <c r="AB533" s="8"/>
      <c r="AD533" s="8"/>
      <c r="AE533" s="8"/>
      <c r="AF533" s="8"/>
      <c r="AG533" s="8"/>
      <c r="AH533" s="8"/>
      <c r="AI533" s="8"/>
      <c r="AJ533" s="8"/>
      <c r="AK533" s="8"/>
      <c r="AL533" s="8"/>
      <c r="AM533" s="8"/>
      <c r="AN533" s="8"/>
      <c r="AO533" s="8"/>
    </row>
    <row r="534" spans="7:41" x14ac:dyDescent="0.2">
      <c r="G534" s="8"/>
      <c r="H534" s="8"/>
      <c r="I534" s="8"/>
      <c r="J534" s="8"/>
      <c r="K534" s="8"/>
      <c r="L534" s="8"/>
      <c r="M534" s="8"/>
      <c r="N534" s="8"/>
      <c r="O534" s="8"/>
      <c r="Q534" s="8"/>
      <c r="R534" s="8"/>
      <c r="S534" s="8"/>
      <c r="T534" s="8"/>
      <c r="U534" s="8"/>
      <c r="V534" s="8"/>
      <c r="W534" s="8"/>
      <c r="X534" s="8"/>
      <c r="Y534" s="8"/>
      <c r="Z534" s="8"/>
      <c r="AA534" s="8"/>
      <c r="AB534" s="8"/>
      <c r="AD534" s="8"/>
      <c r="AE534" s="8"/>
      <c r="AF534" s="8"/>
      <c r="AG534" s="8"/>
      <c r="AH534" s="8"/>
      <c r="AI534" s="8"/>
      <c r="AJ534" s="8"/>
      <c r="AK534" s="8"/>
      <c r="AL534" s="8"/>
      <c r="AM534" s="8"/>
      <c r="AN534" s="8"/>
      <c r="AO534" s="8"/>
    </row>
    <row r="535" spans="7:41" x14ac:dyDescent="0.2">
      <c r="G535" s="8"/>
      <c r="H535" s="8"/>
      <c r="I535" s="8"/>
      <c r="J535" s="8"/>
      <c r="K535" s="8"/>
      <c r="L535" s="8"/>
      <c r="M535" s="8"/>
      <c r="N535" s="8"/>
      <c r="O535" s="8"/>
      <c r="Q535" s="8"/>
      <c r="R535" s="8"/>
      <c r="S535" s="8"/>
      <c r="T535" s="8"/>
      <c r="U535" s="8"/>
      <c r="V535" s="8"/>
      <c r="W535" s="8"/>
      <c r="X535" s="8"/>
      <c r="Y535" s="8"/>
      <c r="Z535" s="8"/>
      <c r="AA535" s="8"/>
      <c r="AB535" s="8"/>
      <c r="AD535" s="8"/>
      <c r="AE535" s="8"/>
      <c r="AF535" s="8"/>
      <c r="AG535" s="8"/>
      <c r="AH535" s="8"/>
      <c r="AI535" s="8"/>
      <c r="AJ535" s="8"/>
      <c r="AK535" s="8"/>
      <c r="AL535" s="8"/>
      <c r="AM535" s="8"/>
      <c r="AN535" s="8"/>
      <c r="AO535" s="8"/>
    </row>
    <row r="536" spans="7:41" x14ac:dyDescent="0.2">
      <c r="G536" s="8"/>
      <c r="H536" s="8"/>
      <c r="I536" s="8"/>
      <c r="J536" s="8"/>
      <c r="K536" s="8"/>
      <c r="L536" s="8"/>
      <c r="M536" s="8"/>
      <c r="N536" s="8"/>
      <c r="O536" s="8"/>
      <c r="Q536" s="8"/>
      <c r="R536" s="8"/>
      <c r="S536" s="8"/>
      <c r="T536" s="8"/>
      <c r="U536" s="8"/>
      <c r="V536" s="8"/>
      <c r="W536" s="8"/>
      <c r="X536" s="8"/>
      <c r="Y536" s="8"/>
      <c r="Z536" s="8"/>
      <c r="AA536" s="8"/>
      <c r="AB536" s="8"/>
      <c r="AD536" s="8"/>
      <c r="AE536" s="8"/>
      <c r="AF536" s="8"/>
      <c r="AG536" s="8"/>
      <c r="AH536" s="8"/>
      <c r="AI536" s="8"/>
      <c r="AJ536" s="8"/>
      <c r="AK536" s="8"/>
      <c r="AL536" s="8"/>
      <c r="AM536" s="8"/>
      <c r="AN536" s="8"/>
      <c r="AO536" s="8"/>
    </row>
    <row r="537" spans="7:41" x14ac:dyDescent="0.2">
      <c r="G537" s="8"/>
      <c r="H537" s="8"/>
      <c r="I537" s="8"/>
      <c r="J537" s="8"/>
      <c r="K537" s="8"/>
      <c r="L537" s="8"/>
      <c r="M537" s="8"/>
      <c r="N537" s="8"/>
      <c r="O537" s="8"/>
      <c r="Q537" s="8"/>
      <c r="R537" s="8"/>
      <c r="S537" s="8"/>
      <c r="T537" s="8"/>
      <c r="U537" s="8"/>
      <c r="V537" s="8"/>
      <c r="W537" s="8"/>
      <c r="X537" s="8"/>
      <c r="Y537" s="8"/>
      <c r="Z537" s="8"/>
      <c r="AA537" s="8"/>
      <c r="AB537" s="8"/>
      <c r="AD537" s="8"/>
      <c r="AE537" s="8"/>
      <c r="AF537" s="8"/>
      <c r="AG537" s="8"/>
      <c r="AH537" s="8"/>
      <c r="AI537" s="8"/>
      <c r="AJ537" s="8"/>
      <c r="AK537" s="8"/>
      <c r="AL537" s="8"/>
      <c r="AM537" s="8"/>
      <c r="AN537" s="8"/>
      <c r="AO537" s="8"/>
    </row>
    <row r="538" spans="7:41" x14ac:dyDescent="0.2">
      <c r="G538" s="8"/>
      <c r="H538" s="8"/>
      <c r="I538" s="8"/>
      <c r="J538" s="8"/>
      <c r="K538" s="8"/>
      <c r="L538" s="8"/>
      <c r="M538" s="8"/>
      <c r="N538" s="8"/>
      <c r="O538" s="8"/>
      <c r="Q538" s="8"/>
      <c r="R538" s="8"/>
      <c r="S538" s="8"/>
      <c r="T538" s="8"/>
      <c r="U538" s="8"/>
      <c r="V538" s="8"/>
      <c r="W538" s="8"/>
      <c r="X538" s="8"/>
      <c r="Y538" s="8"/>
      <c r="Z538" s="8"/>
      <c r="AA538" s="8"/>
      <c r="AB538" s="8"/>
      <c r="AD538" s="8"/>
      <c r="AE538" s="8"/>
      <c r="AF538" s="8"/>
      <c r="AG538" s="8"/>
      <c r="AH538" s="8"/>
      <c r="AI538" s="8"/>
      <c r="AJ538" s="8"/>
      <c r="AK538" s="8"/>
      <c r="AL538" s="8"/>
      <c r="AM538" s="8"/>
      <c r="AN538" s="8"/>
      <c r="AO538" s="8"/>
    </row>
    <row r="539" spans="7:41" x14ac:dyDescent="0.2">
      <c r="G539" s="8"/>
      <c r="H539" s="8"/>
      <c r="I539" s="8"/>
      <c r="J539" s="8"/>
      <c r="K539" s="8"/>
      <c r="L539" s="8"/>
      <c r="M539" s="8"/>
      <c r="N539" s="8"/>
      <c r="O539" s="8"/>
      <c r="Q539" s="8"/>
      <c r="R539" s="8"/>
      <c r="S539" s="8"/>
      <c r="T539" s="8"/>
      <c r="U539" s="8"/>
      <c r="V539" s="8"/>
      <c r="W539" s="8"/>
      <c r="X539" s="8"/>
      <c r="Y539" s="8"/>
      <c r="Z539" s="8"/>
      <c r="AA539" s="8"/>
      <c r="AB539" s="8"/>
      <c r="AD539" s="8"/>
      <c r="AE539" s="8"/>
      <c r="AF539" s="8"/>
      <c r="AG539" s="8"/>
      <c r="AH539" s="8"/>
      <c r="AI539" s="8"/>
      <c r="AJ539" s="8"/>
      <c r="AK539" s="8"/>
      <c r="AL539" s="8"/>
      <c r="AM539" s="8"/>
      <c r="AN539" s="8"/>
      <c r="AO539" s="8"/>
    </row>
    <row r="540" spans="7:41" x14ac:dyDescent="0.2">
      <c r="G540" s="8"/>
      <c r="H540" s="8"/>
      <c r="I540" s="8"/>
      <c r="J540" s="8"/>
      <c r="K540" s="8"/>
      <c r="L540" s="8"/>
      <c r="M540" s="8"/>
      <c r="N540" s="8"/>
      <c r="O540" s="8"/>
      <c r="Q540" s="8"/>
      <c r="R540" s="8"/>
      <c r="S540" s="8"/>
      <c r="T540" s="8"/>
      <c r="U540" s="8"/>
      <c r="V540" s="8"/>
      <c r="W540" s="8"/>
      <c r="X540" s="8"/>
      <c r="Y540" s="8"/>
      <c r="Z540" s="8"/>
      <c r="AA540" s="8"/>
      <c r="AB540" s="8"/>
      <c r="AD540" s="8"/>
      <c r="AE540" s="8"/>
      <c r="AF540" s="8"/>
      <c r="AG540" s="8"/>
      <c r="AH540" s="8"/>
      <c r="AI540" s="8"/>
      <c r="AJ540" s="8"/>
      <c r="AK540" s="8"/>
      <c r="AL540" s="8"/>
      <c r="AM540" s="8"/>
      <c r="AN540" s="8"/>
      <c r="AO540" s="8"/>
    </row>
    <row r="541" spans="7:41" x14ac:dyDescent="0.2">
      <c r="G541" s="8"/>
      <c r="H541" s="8"/>
      <c r="I541" s="8"/>
      <c r="J541" s="8"/>
      <c r="K541" s="8"/>
      <c r="L541" s="8"/>
      <c r="M541" s="8"/>
      <c r="N541" s="8"/>
      <c r="O541" s="8"/>
      <c r="Q541" s="8"/>
      <c r="R541" s="8"/>
      <c r="S541" s="8"/>
      <c r="T541" s="8"/>
      <c r="U541" s="8"/>
      <c r="V541" s="8"/>
      <c r="W541" s="8"/>
      <c r="X541" s="8"/>
      <c r="Y541" s="8"/>
      <c r="Z541" s="8"/>
      <c r="AA541" s="8"/>
      <c r="AB541" s="8"/>
      <c r="AD541" s="8"/>
      <c r="AE541" s="8"/>
      <c r="AF541" s="8"/>
      <c r="AG541" s="8"/>
      <c r="AH541" s="8"/>
      <c r="AI541" s="8"/>
      <c r="AJ541" s="8"/>
      <c r="AK541" s="8"/>
      <c r="AL541" s="8"/>
      <c r="AM541" s="8"/>
      <c r="AN541" s="8"/>
      <c r="AO541" s="8"/>
    </row>
    <row r="542" spans="7:41" x14ac:dyDescent="0.2">
      <c r="G542" s="8"/>
      <c r="H542" s="8"/>
      <c r="I542" s="8"/>
      <c r="J542" s="8"/>
      <c r="K542" s="8"/>
      <c r="L542" s="8"/>
      <c r="M542" s="8"/>
      <c r="N542" s="8"/>
      <c r="O542" s="8"/>
      <c r="Q542" s="8"/>
      <c r="R542" s="8"/>
      <c r="S542" s="8"/>
      <c r="T542" s="8"/>
      <c r="U542" s="8"/>
      <c r="V542" s="8"/>
      <c r="W542" s="8"/>
      <c r="X542" s="8"/>
      <c r="Y542" s="8"/>
      <c r="Z542" s="8"/>
      <c r="AA542" s="8"/>
      <c r="AB542" s="8"/>
      <c r="AD542" s="8"/>
      <c r="AE542" s="8"/>
      <c r="AF542" s="8"/>
      <c r="AG542" s="8"/>
      <c r="AH542" s="8"/>
      <c r="AI542" s="8"/>
      <c r="AJ542" s="8"/>
      <c r="AK542" s="8"/>
      <c r="AL542" s="8"/>
      <c r="AM542" s="8"/>
      <c r="AN542" s="8"/>
      <c r="AO542" s="8"/>
    </row>
    <row r="543" spans="7:41" x14ac:dyDescent="0.2">
      <c r="G543" s="8"/>
      <c r="H543" s="8"/>
      <c r="I543" s="8"/>
      <c r="J543" s="8"/>
      <c r="K543" s="8"/>
      <c r="L543" s="8"/>
      <c r="M543" s="8"/>
      <c r="N543" s="8"/>
      <c r="O543" s="8"/>
      <c r="Q543" s="8"/>
      <c r="R543" s="8"/>
      <c r="S543" s="8"/>
      <c r="T543" s="8"/>
      <c r="U543" s="8"/>
      <c r="V543" s="8"/>
      <c r="W543" s="8"/>
      <c r="X543" s="8"/>
      <c r="Y543" s="8"/>
      <c r="Z543" s="8"/>
      <c r="AA543" s="8"/>
      <c r="AB543" s="8"/>
      <c r="AD543" s="8"/>
      <c r="AE543" s="8"/>
      <c r="AF543" s="8"/>
      <c r="AG543" s="8"/>
      <c r="AH543" s="8"/>
      <c r="AI543" s="8"/>
      <c r="AJ543" s="8"/>
      <c r="AK543" s="8"/>
      <c r="AL543" s="8"/>
      <c r="AM543" s="8"/>
      <c r="AN543" s="8"/>
      <c r="AO543" s="8"/>
    </row>
    <row r="544" spans="7:41" x14ac:dyDescent="0.2">
      <c r="G544" s="8"/>
      <c r="H544" s="8"/>
      <c r="I544" s="8"/>
      <c r="J544" s="8"/>
      <c r="K544" s="8"/>
      <c r="L544" s="8"/>
      <c r="M544" s="8"/>
      <c r="N544" s="8"/>
      <c r="O544" s="8"/>
      <c r="Q544" s="8"/>
      <c r="R544" s="8"/>
      <c r="S544" s="8"/>
      <c r="T544" s="8"/>
      <c r="U544" s="8"/>
      <c r="V544" s="8"/>
      <c r="W544" s="8"/>
      <c r="X544" s="8"/>
      <c r="Y544" s="8"/>
      <c r="Z544" s="8"/>
      <c r="AA544" s="8"/>
      <c r="AB544" s="8"/>
      <c r="AD544" s="8"/>
      <c r="AE544" s="8"/>
      <c r="AF544" s="8"/>
      <c r="AG544" s="8"/>
      <c r="AH544" s="8"/>
      <c r="AI544" s="8"/>
      <c r="AJ544" s="8"/>
      <c r="AK544" s="8"/>
      <c r="AL544" s="8"/>
      <c r="AM544" s="8"/>
      <c r="AN544" s="8"/>
      <c r="AO544" s="8"/>
    </row>
    <row r="545" spans="7:41" x14ac:dyDescent="0.2">
      <c r="G545" s="8"/>
      <c r="H545" s="8"/>
      <c r="I545" s="8"/>
      <c r="J545" s="8"/>
      <c r="K545" s="8"/>
      <c r="L545" s="8"/>
      <c r="M545" s="8"/>
      <c r="N545" s="8"/>
      <c r="O545" s="8"/>
      <c r="Q545" s="8"/>
      <c r="R545" s="8"/>
      <c r="S545" s="8"/>
      <c r="T545" s="8"/>
      <c r="U545" s="8"/>
      <c r="V545" s="8"/>
      <c r="W545" s="8"/>
      <c r="X545" s="8"/>
      <c r="Y545" s="8"/>
      <c r="Z545" s="8"/>
      <c r="AA545" s="8"/>
      <c r="AB545" s="8"/>
      <c r="AD545" s="8"/>
      <c r="AE545" s="8"/>
      <c r="AF545" s="8"/>
      <c r="AG545" s="8"/>
      <c r="AH545" s="8"/>
      <c r="AI545" s="8"/>
      <c r="AJ545" s="8"/>
      <c r="AK545" s="8"/>
      <c r="AL545" s="8"/>
      <c r="AM545" s="8"/>
      <c r="AN545" s="8"/>
      <c r="AO545" s="8"/>
    </row>
    <row r="546" spans="7:41" x14ac:dyDescent="0.2">
      <c r="G546" s="8"/>
      <c r="H546" s="8"/>
      <c r="I546" s="8"/>
      <c r="J546" s="8"/>
      <c r="K546" s="8"/>
      <c r="L546" s="8"/>
      <c r="M546" s="8"/>
      <c r="N546" s="8"/>
      <c r="O546" s="8"/>
      <c r="Q546" s="8"/>
      <c r="R546" s="8"/>
      <c r="S546" s="8"/>
      <c r="T546" s="8"/>
      <c r="U546" s="8"/>
      <c r="V546" s="8"/>
      <c r="W546" s="8"/>
      <c r="X546" s="8"/>
      <c r="Y546" s="8"/>
      <c r="Z546" s="8"/>
      <c r="AA546" s="8"/>
      <c r="AB546" s="8"/>
      <c r="AD546" s="8"/>
      <c r="AE546" s="8"/>
      <c r="AF546" s="8"/>
      <c r="AG546" s="8"/>
      <c r="AH546" s="8"/>
      <c r="AI546" s="8"/>
      <c r="AJ546" s="8"/>
      <c r="AK546" s="8"/>
      <c r="AL546" s="8"/>
      <c r="AM546" s="8"/>
      <c r="AN546" s="8"/>
      <c r="AO546" s="8"/>
    </row>
    <row r="547" spans="7:41" x14ac:dyDescent="0.2">
      <c r="G547" s="8"/>
      <c r="H547" s="8"/>
      <c r="I547" s="8"/>
      <c r="J547" s="8"/>
      <c r="K547" s="8"/>
      <c r="L547" s="8"/>
      <c r="M547" s="8"/>
      <c r="N547" s="8"/>
      <c r="O547" s="8"/>
      <c r="Q547" s="8"/>
      <c r="R547" s="8"/>
      <c r="S547" s="8"/>
      <c r="T547" s="8"/>
      <c r="U547" s="8"/>
      <c r="V547" s="8"/>
      <c r="W547" s="8"/>
      <c r="X547" s="8"/>
      <c r="Y547" s="8"/>
      <c r="Z547" s="8"/>
      <c r="AA547" s="8"/>
      <c r="AB547" s="8"/>
      <c r="AD547" s="8"/>
      <c r="AE547" s="8"/>
      <c r="AF547" s="8"/>
      <c r="AG547" s="8"/>
      <c r="AH547" s="8"/>
      <c r="AI547" s="8"/>
      <c r="AJ547" s="8"/>
      <c r="AK547" s="8"/>
      <c r="AL547" s="8"/>
      <c r="AM547" s="8"/>
      <c r="AN547" s="8"/>
      <c r="AO547" s="8"/>
    </row>
    <row r="548" spans="7:41" x14ac:dyDescent="0.2">
      <c r="G548" s="8"/>
      <c r="H548" s="8"/>
      <c r="I548" s="8"/>
      <c r="J548" s="8"/>
      <c r="K548" s="8"/>
      <c r="L548" s="8"/>
      <c r="M548" s="8"/>
      <c r="N548" s="8"/>
      <c r="O548" s="8"/>
      <c r="Q548" s="8"/>
      <c r="R548" s="8"/>
      <c r="S548" s="8"/>
      <c r="T548" s="8"/>
      <c r="U548" s="8"/>
      <c r="V548" s="8"/>
      <c r="W548" s="8"/>
      <c r="X548" s="8"/>
      <c r="Y548" s="8"/>
      <c r="Z548" s="8"/>
      <c r="AA548" s="8"/>
      <c r="AB548" s="8"/>
      <c r="AD548" s="8"/>
      <c r="AE548" s="8"/>
      <c r="AF548" s="8"/>
      <c r="AG548" s="8"/>
      <c r="AH548" s="8"/>
      <c r="AI548" s="8"/>
      <c r="AJ548" s="8"/>
      <c r="AK548" s="8"/>
      <c r="AL548" s="8"/>
      <c r="AM548" s="8"/>
      <c r="AN548" s="8"/>
      <c r="AO548" s="8"/>
    </row>
    <row r="549" spans="7:41" x14ac:dyDescent="0.2">
      <c r="G549" s="8"/>
      <c r="H549" s="8"/>
      <c r="I549" s="8"/>
      <c r="J549" s="8"/>
      <c r="K549" s="8"/>
      <c r="L549" s="8"/>
      <c r="M549" s="8"/>
      <c r="N549" s="8"/>
      <c r="O549" s="8"/>
      <c r="Q549" s="8"/>
      <c r="R549" s="8"/>
      <c r="S549" s="8"/>
      <c r="T549" s="8"/>
      <c r="U549" s="8"/>
      <c r="V549" s="8"/>
      <c r="W549" s="8"/>
      <c r="X549" s="8"/>
      <c r="Y549" s="8"/>
      <c r="Z549" s="8"/>
      <c r="AA549" s="8"/>
      <c r="AB549" s="8"/>
      <c r="AD549" s="8"/>
      <c r="AE549" s="8"/>
      <c r="AF549" s="8"/>
      <c r="AG549" s="8"/>
      <c r="AH549" s="8"/>
      <c r="AI549" s="8"/>
      <c r="AJ549" s="8"/>
      <c r="AK549" s="8"/>
      <c r="AL549" s="8"/>
      <c r="AM549" s="8"/>
      <c r="AN549" s="8"/>
      <c r="AO549" s="8"/>
    </row>
    <row r="550" spans="7:41" x14ac:dyDescent="0.2">
      <c r="G550" s="8"/>
      <c r="H550" s="8"/>
      <c r="I550" s="8"/>
      <c r="J550" s="8"/>
      <c r="K550" s="8"/>
      <c r="L550" s="8"/>
      <c r="M550" s="8"/>
      <c r="N550" s="8"/>
      <c r="O550" s="8"/>
      <c r="Q550" s="8"/>
      <c r="R550" s="8"/>
      <c r="S550" s="8"/>
      <c r="T550" s="8"/>
      <c r="U550" s="8"/>
      <c r="V550" s="8"/>
      <c r="W550" s="8"/>
      <c r="X550" s="8"/>
      <c r="Y550" s="8"/>
      <c r="Z550" s="8"/>
      <c r="AA550" s="8"/>
      <c r="AB550" s="8"/>
      <c r="AD550" s="8"/>
      <c r="AE550" s="8"/>
      <c r="AF550" s="8"/>
      <c r="AG550" s="8"/>
      <c r="AH550" s="8"/>
      <c r="AI550" s="8"/>
      <c r="AJ550" s="8"/>
      <c r="AK550" s="8"/>
      <c r="AL550" s="8"/>
      <c r="AM550" s="8"/>
      <c r="AN550" s="8"/>
      <c r="AO550" s="8"/>
    </row>
    <row r="551" spans="7:41" x14ac:dyDescent="0.2">
      <c r="G551" s="8"/>
      <c r="H551" s="8"/>
      <c r="I551" s="8"/>
      <c r="J551" s="8"/>
      <c r="K551" s="8"/>
      <c r="L551" s="8"/>
      <c r="M551" s="8"/>
      <c r="N551" s="8"/>
      <c r="O551" s="8"/>
      <c r="Q551" s="8"/>
      <c r="R551" s="8"/>
      <c r="S551" s="8"/>
      <c r="T551" s="8"/>
      <c r="U551" s="8"/>
      <c r="V551" s="8"/>
      <c r="W551" s="8"/>
      <c r="X551" s="8"/>
      <c r="Y551" s="8"/>
      <c r="Z551" s="8"/>
      <c r="AA551" s="8"/>
      <c r="AB551" s="8"/>
      <c r="AD551" s="8"/>
      <c r="AE551" s="8"/>
      <c r="AF551" s="8"/>
      <c r="AG551" s="8"/>
      <c r="AH551" s="8"/>
      <c r="AI551" s="8"/>
      <c r="AJ551" s="8"/>
      <c r="AK551" s="8"/>
      <c r="AL551" s="8"/>
      <c r="AM551" s="8"/>
      <c r="AN551" s="8"/>
      <c r="AO551" s="8"/>
    </row>
    <row r="552" spans="7:41" x14ac:dyDescent="0.2">
      <c r="G552" s="8"/>
      <c r="H552" s="8"/>
      <c r="I552" s="8"/>
      <c r="J552" s="8"/>
      <c r="K552" s="8"/>
      <c r="L552" s="8"/>
      <c r="M552" s="8"/>
      <c r="N552" s="8"/>
      <c r="O552" s="8"/>
      <c r="Q552" s="8"/>
      <c r="R552" s="8"/>
      <c r="S552" s="8"/>
      <c r="T552" s="8"/>
      <c r="U552" s="8"/>
      <c r="V552" s="8"/>
      <c r="W552" s="8"/>
      <c r="X552" s="8"/>
      <c r="Y552" s="8"/>
      <c r="Z552" s="8"/>
      <c r="AA552" s="8"/>
      <c r="AB552" s="8"/>
      <c r="AD552" s="8"/>
      <c r="AE552" s="8"/>
      <c r="AF552" s="8"/>
      <c r="AG552" s="8"/>
      <c r="AH552" s="8"/>
      <c r="AI552" s="8"/>
      <c r="AJ552" s="8"/>
      <c r="AK552" s="8"/>
      <c r="AL552" s="8"/>
      <c r="AM552" s="8"/>
      <c r="AN552" s="8"/>
      <c r="AO552" s="8"/>
    </row>
    <row r="553" spans="7:41" x14ac:dyDescent="0.2">
      <c r="G553" s="8"/>
      <c r="H553" s="8"/>
      <c r="I553" s="8"/>
      <c r="J553" s="8"/>
      <c r="K553" s="8"/>
      <c r="L553" s="8"/>
      <c r="M553" s="8"/>
      <c r="N553" s="8"/>
      <c r="O553" s="8"/>
      <c r="Q553" s="8"/>
      <c r="R553" s="8"/>
      <c r="S553" s="8"/>
      <c r="T553" s="8"/>
      <c r="U553" s="8"/>
      <c r="V553" s="8"/>
      <c r="W553" s="8"/>
      <c r="X553" s="8"/>
      <c r="Y553" s="8"/>
      <c r="Z553" s="8"/>
      <c r="AA553" s="8"/>
      <c r="AB553" s="8"/>
      <c r="AD553" s="8"/>
      <c r="AE553" s="8"/>
      <c r="AF553" s="8"/>
      <c r="AG553" s="8"/>
      <c r="AH553" s="8"/>
      <c r="AI553" s="8"/>
      <c r="AJ553" s="8"/>
      <c r="AK553" s="8"/>
      <c r="AL553" s="8"/>
      <c r="AM553" s="8"/>
      <c r="AN553" s="8"/>
      <c r="AO553" s="8"/>
    </row>
    <row r="554" spans="7:41" x14ac:dyDescent="0.2">
      <c r="G554" s="8"/>
      <c r="H554" s="8"/>
      <c r="I554" s="8"/>
      <c r="J554" s="8"/>
      <c r="K554" s="8"/>
      <c r="L554" s="8"/>
      <c r="M554" s="8"/>
      <c r="N554" s="8"/>
      <c r="O554" s="8"/>
      <c r="Q554" s="8"/>
      <c r="R554" s="8"/>
      <c r="S554" s="8"/>
      <c r="T554" s="8"/>
      <c r="U554" s="8"/>
      <c r="V554" s="8"/>
      <c r="W554" s="8"/>
      <c r="X554" s="8"/>
      <c r="Y554" s="8"/>
      <c r="Z554" s="8"/>
      <c r="AA554" s="8"/>
      <c r="AB554" s="8"/>
      <c r="AD554" s="8"/>
      <c r="AE554" s="8"/>
      <c r="AF554" s="8"/>
      <c r="AG554" s="8"/>
      <c r="AH554" s="8"/>
      <c r="AI554" s="8"/>
      <c r="AJ554" s="8"/>
      <c r="AK554" s="8"/>
      <c r="AL554" s="8"/>
      <c r="AM554" s="8"/>
      <c r="AN554" s="8"/>
      <c r="AO554" s="8"/>
    </row>
    <row r="555" spans="7:41" x14ac:dyDescent="0.2">
      <c r="G555" s="8"/>
      <c r="H555" s="8"/>
      <c r="I555" s="8"/>
      <c r="J555" s="8"/>
      <c r="K555" s="8"/>
      <c r="L555" s="8"/>
      <c r="M555" s="8"/>
      <c r="N555" s="8"/>
      <c r="O555" s="8"/>
      <c r="Q555" s="8"/>
      <c r="R555" s="8"/>
      <c r="S555" s="8"/>
      <c r="T555" s="8"/>
      <c r="U555" s="8"/>
      <c r="V555" s="8"/>
      <c r="W555" s="8"/>
      <c r="X555" s="8"/>
      <c r="Y555" s="8"/>
      <c r="Z555" s="8"/>
      <c r="AA555" s="8"/>
      <c r="AB555" s="8"/>
      <c r="AD555" s="8"/>
      <c r="AE555" s="8"/>
      <c r="AF555" s="8"/>
      <c r="AG555" s="8"/>
      <c r="AH555" s="8"/>
      <c r="AI555" s="8"/>
      <c r="AJ555" s="8"/>
      <c r="AK555" s="8"/>
      <c r="AL555" s="8"/>
      <c r="AM555" s="8"/>
      <c r="AN555" s="8"/>
      <c r="AO555" s="8"/>
    </row>
    <row r="556" spans="7:41" x14ac:dyDescent="0.2">
      <c r="G556" s="8"/>
      <c r="H556" s="8"/>
      <c r="I556" s="8"/>
      <c r="J556" s="8"/>
      <c r="K556" s="8"/>
      <c r="L556" s="8"/>
      <c r="M556" s="8"/>
      <c r="N556" s="8"/>
      <c r="O556" s="8"/>
      <c r="Q556" s="8"/>
      <c r="R556" s="8"/>
      <c r="S556" s="8"/>
      <c r="T556" s="8"/>
      <c r="U556" s="8"/>
      <c r="V556" s="8"/>
      <c r="W556" s="8"/>
      <c r="X556" s="8"/>
      <c r="Y556" s="8"/>
      <c r="Z556" s="8"/>
      <c r="AA556" s="8"/>
      <c r="AB556" s="8"/>
      <c r="AD556" s="8"/>
      <c r="AE556" s="8"/>
      <c r="AF556" s="8"/>
      <c r="AG556" s="8"/>
      <c r="AH556" s="8"/>
      <c r="AI556" s="8"/>
      <c r="AJ556" s="8"/>
      <c r="AK556" s="8"/>
      <c r="AL556" s="8"/>
      <c r="AM556" s="8"/>
      <c r="AN556" s="8"/>
      <c r="AO556" s="8"/>
    </row>
    <row r="557" spans="7:41" x14ac:dyDescent="0.2">
      <c r="G557" s="8"/>
      <c r="H557" s="8"/>
      <c r="I557" s="8"/>
      <c r="J557" s="8"/>
      <c r="K557" s="8"/>
      <c r="L557" s="8"/>
      <c r="M557" s="8"/>
      <c r="N557" s="8"/>
      <c r="O557" s="8"/>
      <c r="Q557" s="8"/>
      <c r="R557" s="8"/>
      <c r="S557" s="8"/>
      <c r="T557" s="8"/>
      <c r="U557" s="8"/>
      <c r="V557" s="8"/>
      <c r="W557" s="8"/>
      <c r="X557" s="8"/>
      <c r="Y557" s="8"/>
      <c r="Z557" s="8"/>
      <c r="AA557" s="8"/>
      <c r="AB557" s="8"/>
      <c r="AD557" s="8"/>
      <c r="AE557" s="8"/>
      <c r="AF557" s="8"/>
      <c r="AG557" s="8"/>
      <c r="AH557" s="8"/>
      <c r="AI557" s="8"/>
      <c r="AJ557" s="8"/>
      <c r="AK557" s="8"/>
      <c r="AL557" s="8"/>
      <c r="AM557" s="8"/>
      <c r="AN557" s="8"/>
      <c r="AO557" s="8"/>
    </row>
    <row r="558" spans="7:41" x14ac:dyDescent="0.2">
      <c r="G558" s="8"/>
      <c r="H558" s="8"/>
      <c r="I558" s="8"/>
      <c r="J558" s="8"/>
      <c r="K558" s="8"/>
      <c r="L558" s="8"/>
      <c r="M558" s="8"/>
      <c r="N558" s="8"/>
      <c r="O558" s="8"/>
      <c r="Q558" s="8"/>
      <c r="R558" s="8"/>
      <c r="S558" s="8"/>
      <c r="T558" s="8"/>
      <c r="U558" s="8"/>
      <c r="V558" s="8"/>
      <c r="W558" s="8"/>
      <c r="X558" s="8"/>
      <c r="Y558" s="8"/>
      <c r="Z558" s="8"/>
      <c r="AA558" s="8"/>
      <c r="AB558" s="8"/>
      <c r="AD558" s="8"/>
      <c r="AE558" s="8"/>
      <c r="AF558" s="8"/>
      <c r="AG558" s="8"/>
      <c r="AH558" s="8"/>
      <c r="AI558" s="8"/>
      <c r="AJ558" s="8"/>
      <c r="AK558" s="8"/>
      <c r="AL558" s="8"/>
      <c r="AM558" s="8"/>
      <c r="AN558" s="8"/>
      <c r="AO558" s="8"/>
    </row>
    <row r="559" spans="7:41" x14ac:dyDescent="0.2">
      <c r="G559" s="8"/>
      <c r="H559" s="8"/>
      <c r="I559" s="8"/>
      <c r="J559" s="8"/>
      <c r="K559" s="8"/>
      <c r="L559" s="8"/>
      <c r="M559" s="8"/>
      <c r="N559" s="8"/>
      <c r="O559" s="8"/>
      <c r="Q559" s="8"/>
      <c r="R559" s="8"/>
      <c r="S559" s="8"/>
      <c r="T559" s="8"/>
      <c r="U559" s="8"/>
      <c r="V559" s="8"/>
      <c r="W559" s="8"/>
      <c r="X559" s="8"/>
      <c r="Y559" s="8"/>
      <c r="Z559" s="8"/>
      <c r="AA559" s="8"/>
      <c r="AB559" s="8"/>
      <c r="AD559" s="8"/>
      <c r="AE559" s="8"/>
      <c r="AF559" s="8"/>
      <c r="AG559" s="8"/>
      <c r="AH559" s="8"/>
      <c r="AI559" s="8"/>
      <c r="AJ559" s="8"/>
      <c r="AK559" s="8"/>
      <c r="AL559" s="8"/>
      <c r="AM559" s="8"/>
      <c r="AN559" s="8"/>
      <c r="AO559" s="8"/>
    </row>
    <row r="560" spans="7:41" x14ac:dyDescent="0.2">
      <c r="G560" s="8"/>
      <c r="H560" s="8"/>
      <c r="I560" s="8"/>
      <c r="J560" s="8"/>
      <c r="K560" s="8"/>
      <c r="L560" s="8"/>
      <c r="M560" s="8"/>
      <c r="N560" s="8"/>
      <c r="O560" s="8"/>
      <c r="Q560" s="8"/>
      <c r="R560" s="8"/>
      <c r="S560" s="8"/>
      <c r="T560" s="8"/>
      <c r="U560" s="8"/>
      <c r="V560" s="8"/>
      <c r="W560" s="8"/>
      <c r="X560" s="8"/>
      <c r="Y560" s="8"/>
      <c r="Z560" s="8"/>
      <c r="AA560" s="8"/>
      <c r="AB560" s="8"/>
      <c r="AD560" s="8"/>
      <c r="AE560" s="8"/>
      <c r="AF560" s="8"/>
      <c r="AG560" s="8"/>
      <c r="AH560" s="8"/>
      <c r="AI560" s="8"/>
      <c r="AJ560" s="8"/>
      <c r="AK560" s="8"/>
      <c r="AL560" s="8"/>
      <c r="AM560" s="8"/>
      <c r="AN560" s="8"/>
      <c r="AO560" s="8"/>
    </row>
    <row r="561" spans="7:41" x14ac:dyDescent="0.2">
      <c r="G561" s="8"/>
      <c r="H561" s="8"/>
      <c r="I561" s="8"/>
      <c r="J561" s="8"/>
      <c r="K561" s="8"/>
      <c r="L561" s="8"/>
      <c r="M561" s="8"/>
      <c r="N561" s="8"/>
      <c r="O561" s="8"/>
      <c r="Q561" s="8"/>
      <c r="R561" s="8"/>
      <c r="S561" s="8"/>
      <c r="T561" s="8"/>
      <c r="U561" s="8"/>
      <c r="V561" s="8"/>
      <c r="W561" s="8"/>
      <c r="X561" s="8"/>
      <c r="Y561" s="8"/>
      <c r="Z561" s="8"/>
      <c r="AA561" s="8"/>
      <c r="AB561" s="8"/>
      <c r="AD561" s="8"/>
      <c r="AE561" s="8"/>
      <c r="AF561" s="8"/>
      <c r="AG561" s="8"/>
      <c r="AH561" s="8"/>
      <c r="AI561" s="8"/>
      <c r="AJ561" s="8"/>
      <c r="AK561" s="8"/>
      <c r="AL561" s="8"/>
      <c r="AM561" s="8"/>
      <c r="AN561" s="8"/>
      <c r="AO561" s="8"/>
    </row>
    <row r="562" spans="7:41" x14ac:dyDescent="0.2">
      <c r="G562" s="8"/>
      <c r="H562" s="8"/>
      <c r="I562" s="8"/>
      <c r="J562" s="8"/>
      <c r="K562" s="8"/>
      <c r="L562" s="8"/>
      <c r="M562" s="8"/>
      <c r="N562" s="8"/>
      <c r="O562" s="8"/>
      <c r="Q562" s="8"/>
      <c r="R562" s="8"/>
      <c r="S562" s="8"/>
      <c r="T562" s="8"/>
      <c r="U562" s="8"/>
      <c r="V562" s="8"/>
      <c r="W562" s="8"/>
      <c r="X562" s="8"/>
      <c r="Y562" s="8"/>
      <c r="Z562" s="8"/>
      <c r="AA562" s="8"/>
      <c r="AB562" s="8"/>
      <c r="AD562" s="8"/>
      <c r="AE562" s="8"/>
      <c r="AF562" s="8"/>
      <c r="AG562" s="8"/>
      <c r="AH562" s="8"/>
      <c r="AI562" s="8"/>
      <c r="AJ562" s="8"/>
      <c r="AK562" s="8"/>
      <c r="AL562" s="8"/>
      <c r="AM562" s="8"/>
      <c r="AN562" s="8"/>
      <c r="AO562" s="8"/>
    </row>
    <row r="563" spans="7:41" x14ac:dyDescent="0.2">
      <c r="G563" s="8"/>
      <c r="H563" s="8"/>
      <c r="I563" s="8"/>
      <c r="J563" s="8"/>
      <c r="K563" s="8"/>
      <c r="L563" s="8"/>
      <c r="M563" s="8"/>
      <c r="N563" s="8"/>
      <c r="O563" s="8"/>
      <c r="Q563" s="8"/>
      <c r="R563" s="8"/>
      <c r="S563" s="8"/>
      <c r="T563" s="8"/>
      <c r="U563" s="8"/>
      <c r="V563" s="8"/>
      <c r="W563" s="8"/>
      <c r="X563" s="8"/>
      <c r="Y563" s="8"/>
      <c r="Z563" s="8"/>
      <c r="AA563" s="8"/>
      <c r="AB563" s="8"/>
      <c r="AD563" s="8"/>
      <c r="AE563" s="8"/>
      <c r="AF563" s="8"/>
      <c r="AG563" s="8"/>
      <c r="AH563" s="8"/>
      <c r="AI563" s="8"/>
      <c r="AJ563" s="8"/>
      <c r="AK563" s="8"/>
      <c r="AL563" s="8"/>
      <c r="AM563" s="8"/>
      <c r="AN563" s="8"/>
      <c r="AO563" s="8"/>
    </row>
    <row r="564" spans="7:41" x14ac:dyDescent="0.2">
      <c r="G564" s="8"/>
      <c r="H564" s="8"/>
      <c r="I564" s="8"/>
      <c r="J564" s="8"/>
      <c r="K564" s="8"/>
      <c r="L564" s="8"/>
      <c r="M564" s="8"/>
      <c r="N564" s="8"/>
      <c r="O564" s="8"/>
      <c r="Q564" s="8"/>
      <c r="R564" s="8"/>
      <c r="S564" s="8"/>
      <c r="T564" s="8"/>
      <c r="U564" s="8"/>
      <c r="V564" s="8"/>
      <c r="W564" s="8"/>
      <c r="X564" s="8"/>
      <c r="Y564" s="8"/>
      <c r="Z564" s="8"/>
      <c r="AA564" s="8"/>
      <c r="AB564" s="8"/>
      <c r="AD564" s="8"/>
      <c r="AE564" s="8"/>
      <c r="AF564" s="8"/>
      <c r="AG564" s="8"/>
      <c r="AH564" s="8"/>
      <c r="AI564" s="8"/>
      <c r="AJ564" s="8"/>
      <c r="AK564" s="8"/>
      <c r="AL564" s="8"/>
      <c r="AM564" s="8"/>
      <c r="AN564" s="8"/>
      <c r="AO564" s="8"/>
    </row>
    <row r="565" spans="7:41" x14ac:dyDescent="0.2">
      <c r="G565" s="8"/>
      <c r="H565" s="8"/>
      <c r="I565" s="8"/>
      <c r="J565" s="8"/>
      <c r="K565" s="8"/>
      <c r="L565" s="8"/>
      <c r="M565" s="8"/>
      <c r="N565" s="8"/>
      <c r="O565" s="8"/>
      <c r="Q565" s="8"/>
      <c r="R565" s="8"/>
      <c r="S565" s="8"/>
      <c r="T565" s="8"/>
      <c r="U565" s="8"/>
      <c r="V565" s="8"/>
      <c r="W565" s="8"/>
      <c r="X565" s="8"/>
      <c r="Y565" s="8"/>
      <c r="Z565" s="8"/>
      <c r="AA565" s="8"/>
      <c r="AB565" s="8"/>
      <c r="AD565" s="8"/>
      <c r="AE565" s="8"/>
      <c r="AF565" s="8"/>
      <c r="AG565" s="8"/>
      <c r="AH565" s="8"/>
      <c r="AI565" s="8"/>
      <c r="AJ565" s="8"/>
      <c r="AK565" s="8"/>
      <c r="AL565" s="8"/>
      <c r="AM565" s="8"/>
      <c r="AN565" s="8"/>
      <c r="AO565" s="8"/>
    </row>
    <row r="566" spans="7:41" x14ac:dyDescent="0.2">
      <c r="G566" s="8"/>
      <c r="H566" s="8"/>
      <c r="I566" s="8"/>
      <c r="J566" s="8"/>
      <c r="K566" s="8"/>
      <c r="L566" s="8"/>
      <c r="M566" s="8"/>
      <c r="N566" s="8"/>
      <c r="O566" s="8"/>
      <c r="Q566" s="8"/>
      <c r="R566" s="8"/>
      <c r="S566" s="8"/>
      <c r="T566" s="8"/>
      <c r="U566" s="8"/>
      <c r="V566" s="8"/>
      <c r="W566" s="8"/>
      <c r="X566" s="8"/>
      <c r="Y566" s="8"/>
      <c r="Z566" s="8"/>
      <c r="AA566" s="8"/>
      <c r="AB566" s="8"/>
      <c r="AD566" s="8"/>
      <c r="AE566" s="8"/>
      <c r="AF566" s="8"/>
      <c r="AG566" s="8"/>
      <c r="AH566" s="8"/>
      <c r="AI566" s="8"/>
      <c r="AJ566" s="8"/>
      <c r="AK566" s="8"/>
      <c r="AL566" s="8"/>
      <c r="AM566" s="8"/>
      <c r="AN566" s="8"/>
      <c r="AO566" s="8"/>
    </row>
    <row r="567" spans="7:41" x14ac:dyDescent="0.2">
      <c r="G567" s="8"/>
      <c r="H567" s="8"/>
      <c r="I567" s="8"/>
      <c r="J567" s="8"/>
      <c r="K567" s="8"/>
      <c r="L567" s="8"/>
      <c r="M567" s="8"/>
      <c r="N567" s="8"/>
      <c r="O567" s="8"/>
      <c r="Q567" s="8"/>
      <c r="R567" s="8"/>
      <c r="S567" s="8"/>
      <c r="T567" s="8"/>
      <c r="U567" s="8"/>
      <c r="V567" s="8"/>
      <c r="W567" s="8"/>
      <c r="X567" s="8"/>
      <c r="Y567" s="8"/>
      <c r="Z567" s="8"/>
      <c r="AA567" s="8"/>
      <c r="AB567" s="8"/>
      <c r="AD567" s="8"/>
      <c r="AE567" s="8"/>
      <c r="AF567" s="8"/>
      <c r="AG567" s="8"/>
      <c r="AH567" s="8"/>
      <c r="AI567" s="8"/>
      <c r="AJ567" s="8"/>
      <c r="AK567" s="8"/>
      <c r="AL567" s="8"/>
      <c r="AM567" s="8"/>
      <c r="AN567" s="8"/>
      <c r="AO567" s="8"/>
    </row>
    <row r="568" spans="7:41" x14ac:dyDescent="0.2">
      <c r="G568" s="8"/>
      <c r="H568" s="8"/>
      <c r="I568" s="8"/>
      <c r="J568" s="8"/>
      <c r="K568" s="8"/>
      <c r="L568" s="8"/>
      <c r="M568" s="8"/>
      <c r="N568" s="8"/>
      <c r="O568" s="8"/>
      <c r="Q568" s="8"/>
      <c r="R568" s="8"/>
      <c r="S568" s="8"/>
      <c r="T568" s="8"/>
      <c r="U568" s="8"/>
      <c r="V568" s="8"/>
      <c r="W568" s="8"/>
      <c r="X568" s="8"/>
      <c r="Y568" s="8"/>
      <c r="Z568" s="8"/>
      <c r="AA568" s="8"/>
      <c r="AB568" s="8"/>
      <c r="AD568" s="8"/>
      <c r="AE568" s="8"/>
      <c r="AF568" s="8"/>
      <c r="AG568" s="8"/>
      <c r="AH568" s="8"/>
      <c r="AI568" s="8"/>
      <c r="AJ568" s="8"/>
      <c r="AK568" s="8"/>
      <c r="AL568" s="8"/>
      <c r="AM568" s="8"/>
      <c r="AN568" s="8"/>
      <c r="AO568" s="8"/>
    </row>
    <row r="569" spans="7:41" x14ac:dyDescent="0.2">
      <c r="G569" s="8"/>
      <c r="H569" s="8"/>
      <c r="I569" s="8"/>
      <c r="J569" s="8"/>
      <c r="K569" s="8"/>
      <c r="L569" s="8"/>
      <c r="M569" s="8"/>
      <c r="N569" s="8"/>
      <c r="O569" s="8"/>
      <c r="Q569" s="8"/>
      <c r="R569" s="8"/>
      <c r="S569" s="8"/>
      <c r="T569" s="8"/>
      <c r="U569" s="8"/>
      <c r="V569" s="8"/>
      <c r="W569" s="8"/>
      <c r="X569" s="8"/>
      <c r="Y569" s="8"/>
      <c r="Z569" s="8"/>
      <c r="AA569" s="8"/>
      <c r="AB569" s="8"/>
      <c r="AD569" s="8"/>
      <c r="AE569" s="8"/>
      <c r="AF569" s="8"/>
      <c r="AG569" s="8"/>
      <c r="AH569" s="8"/>
      <c r="AI569" s="8"/>
      <c r="AJ569" s="8"/>
      <c r="AK569" s="8"/>
      <c r="AL569" s="8"/>
      <c r="AM569" s="8"/>
      <c r="AN569" s="8"/>
      <c r="AO569" s="8"/>
    </row>
    <row r="570" spans="7:41" x14ac:dyDescent="0.2">
      <c r="G570" s="8"/>
      <c r="H570" s="8"/>
      <c r="I570" s="8"/>
      <c r="J570" s="8"/>
      <c r="K570" s="8"/>
      <c r="L570" s="8"/>
      <c r="M570" s="8"/>
      <c r="N570" s="8"/>
      <c r="O570" s="8"/>
      <c r="Q570" s="8"/>
      <c r="R570" s="8"/>
      <c r="S570" s="8"/>
      <c r="T570" s="8"/>
      <c r="U570" s="8"/>
      <c r="V570" s="8"/>
      <c r="W570" s="8"/>
      <c r="X570" s="8"/>
      <c r="Y570" s="8"/>
      <c r="Z570" s="8"/>
      <c r="AA570" s="8"/>
      <c r="AB570" s="8"/>
      <c r="AD570" s="8"/>
      <c r="AE570" s="8"/>
      <c r="AF570" s="8"/>
      <c r="AG570" s="8"/>
      <c r="AH570" s="8"/>
      <c r="AI570" s="8"/>
      <c r="AJ570" s="8"/>
      <c r="AK570" s="8"/>
      <c r="AL570" s="8"/>
      <c r="AM570" s="8"/>
      <c r="AN570" s="8"/>
      <c r="AO570" s="8"/>
    </row>
    <row r="571" spans="7:41" x14ac:dyDescent="0.2">
      <c r="G571" s="8"/>
      <c r="H571" s="8"/>
      <c r="I571" s="8"/>
      <c r="J571" s="8"/>
      <c r="K571" s="8"/>
      <c r="L571" s="8"/>
      <c r="M571" s="8"/>
      <c r="N571" s="8"/>
      <c r="O571" s="8"/>
      <c r="Q571" s="8"/>
      <c r="R571" s="8"/>
      <c r="S571" s="8"/>
      <c r="T571" s="8"/>
      <c r="U571" s="8"/>
      <c r="V571" s="8"/>
      <c r="W571" s="8"/>
      <c r="X571" s="8"/>
      <c r="Y571" s="8"/>
      <c r="Z571" s="8"/>
      <c r="AA571" s="8"/>
      <c r="AB571" s="8"/>
      <c r="AD571" s="8"/>
      <c r="AE571" s="8"/>
      <c r="AF571" s="8"/>
      <c r="AG571" s="8"/>
      <c r="AH571" s="8"/>
      <c r="AI571" s="8"/>
      <c r="AJ571" s="8"/>
      <c r="AK571" s="8"/>
      <c r="AL571" s="8"/>
      <c r="AM571" s="8"/>
      <c r="AN571" s="8"/>
      <c r="AO571" s="8"/>
    </row>
    <row r="572" spans="7:41" x14ac:dyDescent="0.2">
      <c r="G572" s="8"/>
      <c r="H572" s="8"/>
      <c r="I572" s="8"/>
      <c r="J572" s="8"/>
      <c r="K572" s="8"/>
      <c r="L572" s="8"/>
      <c r="M572" s="8"/>
      <c r="N572" s="8"/>
      <c r="O572" s="8"/>
      <c r="Q572" s="8"/>
      <c r="R572" s="8"/>
      <c r="S572" s="8"/>
      <c r="T572" s="8"/>
      <c r="U572" s="8"/>
      <c r="V572" s="8"/>
      <c r="W572" s="8"/>
      <c r="X572" s="8"/>
      <c r="Y572" s="8"/>
      <c r="Z572" s="8"/>
      <c r="AA572" s="8"/>
      <c r="AB572" s="8"/>
      <c r="AD572" s="8"/>
      <c r="AE572" s="8"/>
      <c r="AF572" s="8"/>
      <c r="AG572" s="8"/>
      <c r="AH572" s="8"/>
      <c r="AI572" s="8"/>
      <c r="AJ572" s="8"/>
      <c r="AK572" s="8"/>
      <c r="AL572" s="8"/>
      <c r="AM572" s="8"/>
      <c r="AN572" s="8"/>
      <c r="AO572" s="8"/>
    </row>
    <row r="573" spans="7:41" x14ac:dyDescent="0.2">
      <c r="G573" s="8"/>
      <c r="H573" s="8"/>
      <c r="I573" s="8"/>
      <c r="J573" s="8"/>
      <c r="K573" s="8"/>
      <c r="L573" s="8"/>
      <c r="M573" s="8"/>
      <c r="N573" s="8"/>
      <c r="O573" s="8"/>
      <c r="Q573" s="8"/>
      <c r="R573" s="8"/>
      <c r="S573" s="8"/>
      <c r="T573" s="8"/>
      <c r="U573" s="8"/>
      <c r="V573" s="8"/>
      <c r="W573" s="8"/>
      <c r="X573" s="8"/>
      <c r="Y573" s="8"/>
      <c r="Z573" s="8"/>
      <c r="AA573" s="8"/>
      <c r="AB573" s="8"/>
      <c r="AD573" s="8"/>
      <c r="AE573" s="8"/>
      <c r="AF573" s="8"/>
      <c r="AG573" s="8"/>
      <c r="AH573" s="8"/>
      <c r="AI573" s="8"/>
      <c r="AJ573" s="8"/>
      <c r="AK573" s="8"/>
      <c r="AL573" s="8"/>
      <c r="AM573" s="8"/>
      <c r="AN573" s="8"/>
      <c r="AO573" s="8"/>
    </row>
    <row r="574" spans="7:41" x14ac:dyDescent="0.2">
      <c r="G574" s="8"/>
      <c r="H574" s="8"/>
      <c r="I574" s="8"/>
      <c r="J574" s="8"/>
      <c r="K574" s="8"/>
      <c r="L574" s="8"/>
      <c r="M574" s="8"/>
      <c r="N574" s="8"/>
      <c r="O574" s="8"/>
      <c r="Q574" s="8"/>
      <c r="R574" s="8"/>
      <c r="S574" s="8"/>
      <c r="T574" s="8"/>
      <c r="U574" s="8"/>
      <c r="V574" s="8"/>
      <c r="W574" s="8"/>
      <c r="X574" s="8"/>
      <c r="Y574" s="8"/>
      <c r="Z574" s="8"/>
      <c r="AA574" s="8"/>
      <c r="AB574" s="8"/>
      <c r="AD574" s="8"/>
      <c r="AE574" s="8"/>
      <c r="AF574" s="8"/>
      <c r="AG574" s="8"/>
      <c r="AH574" s="8"/>
      <c r="AI574" s="8"/>
      <c r="AJ574" s="8"/>
      <c r="AK574" s="8"/>
      <c r="AL574" s="8"/>
      <c r="AM574" s="8"/>
      <c r="AN574" s="8"/>
      <c r="AO574" s="8"/>
    </row>
    <row r="575" spans="7:41" x14ac:dyDescent="0.2">
      <c r="G575" s="8"/>
      <c r="H575" s="8"/>
      <c r="I575" s="8"/>
      <c r="J575" s="8"/>
      <c r="K575" s="8"/>
      <c r="L575" s="8"/>
      <c r="M575" s="8"/>
      <c r="N575" s="8"/>
      <c r="O575" s="8"/>
      <c r="Q575" s="8"/>
      <c r="R575" s="8"/>
      <c r="S575" s="8"/>
      <c r="T575" s="8"/>
      <c r="U575" s="8"/>
      <c r="V575" s="8"/>
      <c r="W575" s="8"/>
      <c r="X575" s="8"/>
      <c r="Y575" s="8"/>
      <c r="Z575" s="8"/>
      <c r="AA575" s="8"/>
      <c r="AB575" s="8"/>
      <c r="AD575" s="8"/>
      <c r="AE575" s="8"/>
      <c r="AF575" s="8"/>
      <c r="AG575" s="8"/>
      <c r="AH575" s="8"/>
      <c r="AI575" s="8"/>
      <c r="AJ575" s="8"/>
      <c r="AK575" s="8"/>
      <c r="AL575" s="8"/>
      <c r="AM575" s="8"/>
      <c r="AN575" s="8"/>
      <c r="AO575" s="8"/>
    </row>
    <row r="576" spans="7:41" x14ac:dyDescent="0.2">
      <c r="G576" s="8"/>
      <c r="H576" s="8"/>
      <c r="I576" s="8"/>
      <c r="J576" s="8"/>
      <c r="K576" s="8"/>
      <c r="L576" s="8"/>
      <c r="M576" s="8"/>
      <c r="N576" s="8"/>
      <c r="O576" s="8"/>
      <c r="Q576" s="8"/>
      <c r="R576" s="8"/>
      <c r="S576" s="8"/>
      <c r="T576" s="8"/>
      <c r="U576" s="8"/>
      <c r="V576" s="8"/>
      <c r="W576" s="8"/>
      <c r="X576" s="8"/>
      <c r="Y576" s="8"/>
      <c r="Z576" s="8"/>
      <c r="AA576" s="8"/>
      <c r="AB576" s="8"/>
      <c r="AD576" s="8"/>
      <c r="AE576" s="8"/>
      <c r="AF576" s="8"/>
      <c r="AG576" s="8"/>
      <c r="AH576" s="8"/>
      <c r="AI576" s="8"/>
      <c r="AJ576" s="8"/>
      <c r="AK576" s="8"/>
      <c r="AL576" s="8"/>
      <c r="AM576" s="8"/>
      <c r="AN576" s="8"/>
      <c r="AO576" s="8"/>
    </row>
    <row r="577" spans="7:41" x14ac:dyDescent="0.2">
      <c r="G577" s="8"/>
      <c r="H577" s="8"/>
      <c r="I577" s="8"/>
      <c r="J577" s="8"/>
      <c r="K577" s="8"/>
      <c r="L577" s="8"/>
      <c r="M577" s="8"/>
      <c r="N577" s="8"/>
      <c r="O577" s="8"/>
      <c r="Q577" s="8"/>
      <c r="R577" s="8"/>
      <c r="S577" s="8"/>
      <c r="T577" s="8"/>
      <c r="U577" s="8"/>
      <c r="V577" s="8"/>
      <c r="W577" s="8"/>
      <c r="X577" s="8"/>
      <c r="Y577" s="8"/>
      <c r="Z577" s="8"/>
      <c r="AA577" s="8"/>
      <c r="AB577" s="8"/>
      <c r="AD577" s="8"/>
      <c r="AE577" s="8"/>
      <c r="AF577" s="8"/>
      <c r="AG577" s="8"/>
      <c r="AH577" s="8"/>
      <c r="AI577" s="8"/>
      <c r="AJ577" s="8"/>
      <c r="AK577" s="8"/>
      <c r="AL577" s="8"/>
      <c r="AM577" s="8"/>
      <c r="AN577" s="8"/>
      <c r="AO577" s="8"/>
    </row>
    <row r="578" spans="7:41" x14ac:dyDescent="0.2">
      <c r="G578" s="8"/>
      <c r="H578" s="8"/>
      <c r="I578" s="8"/>
      <c r="J578" s="8"/>
      <c r="K578" s="8"/>
      <c r="L578" s="8"/>
      <c r="M578" s="8"/>
      <c r="N578" s="8"/>
      <c r="O578" s="8"/>
      <c r="Q578" s="8"/>
      <c r="R578" s="8"/>
      <c r="S578" s="8"/>
      <c r="T578" s="8"/>
      <c r="U578" s="8"/>
      <c r="V578" s="8"/>
      <c r="W578" s="8"/>
      <c r="X578" s="8"/>
      <c r="Y578" s="8"/>
      <c r="Z578" s="8"/>
      <c r="AA578" s="8"/>
      <c r="AB578" s="8"/>
      <c r="AD578" s="8"/>
      <c r="AE578" s="8"/>
      <c r="AF578" s="8"/>
      <c r="AG578" s="8"/>
      <c r="AH578" s="8"/>
      <c r="AI578" s="8"/>
      <c r="AJ578" s="8"/>
      <c r="AK578" s="8"/>
      <c r="AL578" s="8"/>
      <c r="AM578" s="8"/>
      <c r="AN578" s="8"/>
      <c r="AO578" s="8"/>
    </row>
    <row r="579" spans="7:41" x14ac:dyDescent="0.2">
      <c r="G579" s="8"/>
      <c r="H579" s="8"/>
      <c r="I579" s="8"/>
      <c r="J579" s="8"/>
      <c r="K579" s="8"/>
      <c r="L579" s="8"/>
      <c r="M579" s="8"/>
      <c r="N579" s="8"/>
      <c r="O579" s="8"/>
      <c r="Q579" s="8"/>
      <c r="R579" s="8"/>
      <c r="S579" s="8"/>
      <c r="T579" s="8"/>
      <c r="U579" s="8"/>
      <c r="V579" s="8"/>
      <c r="W579" s="8"/>
      <c r="X579" s="8"/>
      <c r="Y579" s="8"/>
      <c r="Z579" s="8"/>
      <c r="AA579" s="8"/>
      <c r="AB579" s="8"/>
      <c r="AD579" s="8"/>
      <c r="AE579" s="8"/>
      <c r="AF579" s="8"/>
      <c r="AG579" s="8"/>
      <c r="AH579" s="8"/>
      <c r="AI579" s="8"/>
      <c r="AJ579" s="8"/>
      <c r="AK579" s="8"/>
      <c r="AL579" s="8"/>
      <c r="AM579" s="8"/>
      <c r="AN579" s="8"/>
      <c r="AO579" s="8"/>
    </row>
    <row r="580" spans="7:41" x14ac:dyDescent="0.2">
      <c r="G580" s="8"/>
      <c r="H580" s="8"/>
      <c r="I580" s="8"/>
      <c r="J580" s="8"/>
      <c r="K580" s="8"/>
      <c r="L580" s="8"/>
      <c r="M580" s="8"/>
      <c r="N580" s="8"/>
      <c r="O580" s="8"/>
      <c r="Q580" s="8"/>
      <c r="R580" s="8"/>
      <c r="S580" s="8"/>
      <c r="T580" s="8"/>
      <c r="U580" s="8"/>
      <c r="V580" s="8"/>
      <c r="W580" s="8"/>
      <c r="X580" s="8"/>
      <c r="Y580" s="8"/>
      <c r="Z580" s="8"/>
      <c r="AA580" s="8"/>
      <c r="AB580" s="8"/>
      <c r="AD580" s="8"/>
      <c r="AE580" s="8"/>
      <c r="AF580" s="8"/>
      <c r="AG580" s="8"/>
      <c r="AH580" s="8"/>
      <c r="AI580" s="8"/>
      <c r="AJ580" s="8"/>
      <c r="AK580" s="8"/>
      <c r="AL580" s="8"/>
      <c r="AM580" s="8"/>
      <c r="AN580" s="8"/>
      <c r="AO580" s="8"/>
    </row>
    <row r="581" spans="7:41" x14ac:dyDescent="0.2">
      <c r="G581" s="8"/>
      <c r="H581" s="8"/>
      <c r="I581" s="8"/>
      <c r="J581" s="8"/>
      <c r="K581" s="8"/>
      <c r="L581" s="8"/>
      <c r="M581" s="8"/>
      <c r="N581" s="8"/>
      <c r="O581" s="8"/>
      <c r="Q581" s="8"/>
      <c r="R581" s="8"/>
      <c r="S581" s="8"/>
      <c r="T581" s="8"/>
      <c r="U581" s="8"/>
      <c r="V581" s="8"/>
      <c r="W581" s="8"/>
      <c r="X581" s="8"/>
      <c r="Y581" s="8"/>
      <c r="Z581" s="8"/>
      <c r="AA581" s="8"/>
      <c r="AB581" s="8"/>
      <c r="AD581" s="8"/>
      <c r="AE581" s="8"/>
      <c r="AF581" s="8"/>
      <c r="AG581" s="8"/>
      <c r="AH581" s="8"/>
      <c r="AI581" s="8"/>
      <c r="AJ581" s="8"/>
      <c r="AK581" s="8"/>
      <c r="AL581" s="8"/>
      <c r="AM581" s="8"/>
      <c r="AN581" s="8"/>
      <c r="AO581" s="8"/>
    </row>
    <row r="582" spans="7:41" x14ac:dyDescent="0.2">
      <c r="G582" s="8"/>
      <c r="H582" s="8"/>
      <c r="I582" s="8"/>
      <c r="J582" s="8"/>
      <c r="K582" s="8"/>
      <c r="L582" s="8"/>
      <c r="M582" s="8"/>
      <c r="N582" s="8"/>
      <c r="O582" s="8"/>
      <c r="Q582" s="8"/>
      <c r="R582" s="8"/>
      <c r="S582" s="8"/>
      <c r="T582" s="8"/>
      <c r="U582" s="8"/>
      <c r="V582" s="8"/>
      <c r="W582" s="8"/>
      <c r="X582" s="8"/>
      <c r="Y582" s="8"/>
      <c r="Z582" s="8"/>
      <c r="AA582" s="8"/>
      <c r="AB582" s="8"/>
      <c r="AD582" s="8"/>
      <c r="AE582" s="8"/>
      <c r="AF582" s="8"/>
      <c r="AG582" s="8"/>
      <c r="AH582" s="8"/>
      <c r="AI582" s="8"/>
      <c r="AJ582" s="8"/>
      <c r="AK582" s="8"/>
      <c r="AL582" s="8"/>
      <c r="AM582" s="8"/>
      <c r="AN582" s="8"/>
      <c r="AO582" s="8"/>
    </row>
    <row r="583" spans="7:41" x14ac:dyDescent="0.2">
      <c r="G583" s="8"/>
      <c r="H583" s="8"/>
      <c r="I583" s="8"/>
      <c r="J583" s="8"/>
      <c r="K583" s="8"/>
      <c r="L583" s="8"/>
      <c r="M583" s="8"/>
      <c r="N583" s="8"/>
      <c r="O583" s="8"/>
      <c r="Q583" s="8"/>
      <c r="R583" s="8"/>
      <c r="S583" s="8"/>
      <c r="T583" s="8"/>
      <c r="U583" s="8"/>
      <c r="V583" s="8"/>
      <c r="W583" s="8"/>
      <c r="X583" s="8"/>
      <c r="Y583" s="8"/>
      <c r="Z583" s="8"/>
      <c r="AA583" s="8"/>
      <c r="AB583" s="8"/>
      <c r="AD583" s="8"/>
      <c r="AE583" s="8"/>
      <c r="AF583" s="8"/>
      <c r="AG583" s="8"/>
      <c r="AH583" s="8"/>
      <c r="AI583" s="8"/>
      <c r="AJ583" s="8"/>
      <c r="AK583" s="8"/>
      <c r="AL583" s="8"/>
      <c r="AM583" s="8"/>
      <c r="AN583" s="8"/>
      <c r="AO583" s="8"/>
    </row>
    <row r="584" spans="7:41" x14ac:dyDescent="0.2">
      <c r="G584" s="8"/>
      <c r="H584" s="8"/>
      <c r="I584" s="8"/>
      <c r="J584" s="8"/>
      <c r="K584" s="8"/>
      <c r="L584" s="8"/>
      <c r="M584" s="8"/>
      <c r="N584" s="8"/>
      <c r="O584" s="8"/>
      <c r="Q584" s="8"/>
      <c r="R584" s="8"/>
      <c r="S584" s="8"/>
      <c r="T584" s="8"/>
      <c r="U584" s="8"/>
      <c r="V584" s="8"/>
      <c r="W584" s="8"/>
      <c r="X584" s="8"/>
      <c r="Y584" s="8"/>
      <c r="Z584" s="8"/>
      <c r="AA584" s="8"/>
      <c r="AB584" s="8"/>
      <c r="AD584" s="8"/>
      <c r="AE584" s="8"/>
      <c r="AF584" s="8"/>
      <c r="AG584" s="8"/>
      <c r="AH584" s="8"/>
      <c r="AI584" s="8"/>
      <c r="AJ584" s="8"/>
      <c r="AK584" s="8"/>
      <c r="AL584" s="8"/>
      <c r="AM584" s="8"/>
      <c r="AN584" s="8"/>
      <c r="AO584" s="8"/>
    </row>
    <row r="585" spans="7:41" x14ac:dyDescent="0.2">
      <c r="G585" s="8"/>
      <c r="H585" s="8"/>
      <c r="I585" s="8"/>
      <c r="J585" s="8"/>
      <c r="K585" s="8"/>
      <c r="L585" s="8"/>
      <c r="M585" s="8"/>
      <c r="N585" s="8"/>
      <c r="O585" s="8"/>
      <c r="Q585" s="8"/>
      <c r="R585" s="8"/>
      <c r="S585" s="8"/>
      <c r="T585" s="8"/>
      <c r="U585" s="8"/>
      <c r="V585" s="8"/>
      <c r="W585" s="8"/>
      <c r="X585" s="8"/>
      <c r="Y585" s="8"/>
      <c r="Z585" s="8"/>
      <c r="AA585" s="8"/>
      <c r="AB585" s="8"/>
      <c r="AD585" s="8"/>
      <c r="AE585" s="8"/>
      <c r="AF585" s="8"/>
      <c r="AG585" s="8"/>
      <c r="AH585" s="8"/>
      <c r="AI585" s="8"/>
      <c r="AJ585" s="8"/>
      <c r="AK585" s="8"/>
      <c r="AL585" s="8"/>
      <c r="AM585" s="8"/>
      <c r="AN585" s="8"/>
      <c r="AO585" s="8"/>
    </row>
    <row r="586" spans="7:41" x14ac:dyDescent="0.2">
      <c r="G586" s="8"/>
      <c r="H586" s="8"/>
      <c r="I586" s="8"/>
      <c r="J586" s="8"/>
      <c r="K586" s="8"/>
      <c r="L586" s="8"/>
      <c r="M586" s="8"/>
      <c r="N586" s="8"/>
      <c r="O586" s="8"/>
      <c r="Q586" s="8"/>
      <c r="R586" s="8"/>
      <c r="S586" s="8"/>
      <c r="T586" s="8"/>
      <c r="U586" s="8"/>
      <c r="V586" s="8"/>
      <c r="W586" s="8"/>
      <c r="X586" s="8"/>
      <c r="Y586" s="8"/>
      <c r="Z586" s="8"/>
      <c r="AA586" s="8"/>
      <c r="AB586" s="8"/>
      <c r="AD586" s="8"/>
      <c r="AE586" s="8"/>
      <c r="AF586" s="8"/>
      <c r="AG586" s="8"/>
      <c r="AH586" s="8"/>
      <c r="AI586" s="8"/>
      <c r="AJ586" s="8"/>
      <c r="AK586" s="8"/>
      <c r="AL586" s="8"/>
      <c r="AM586" s="8"/>
      <c r="AN586" s="8"/>
      <c r="AO586" s="8"/>
    </row>
    <row r="587" spans="7:41" x14ac:dyDescent="0.2">
      <c r="G587" s="8"/>
      <c r="H587" s="8"/>
      <c r="I587" s="8"/>
      <c r="J587" s="8"/>
      <c r="K587" s="8"/>
      <c r="L587" s="8"/>
      <c r="M587" s="8"/>
      <c r="N587" s="8"/>
      <c r="O587" s="8"/>
      <c r="Q587" s="8"/>
      <c r="R587" s="8"/>
      <c r="S587" s="8"/>
      <c r="T587" s="8"/>
      <c r="U587" s="8"/>
      <c r="V587" s="8"/>
      <c r="W587" s="8"/>
      <c r="X587" s="8"/>
      <c r="Y587" s="8"/>
      <c r="Z587" s="8"/>
      <c r="AA587" s="8"/>
      <c r="AB587" s="8"/>
      <c r="AD587" s="8"/>
      <c r="AE587" s="8"/>
      <c r="AF587" s="8"/>
      <c r="AG587" s="8"/>
      <c r="AH587" s="8"/>
      <c r="AI587" s="8"/>
      <c r="AJ587" s="8"/>
      <c r="AK587" s="8"/>
      <c r="AL587" s="8"/>
      <c r="AM587" s="8"/>
      <c r="AN587" s="8"/>
      <c r="AO587" s="8"/>
    </row>
    <row r="588" spans="7:41" x14ac:dyDescent="0.2">
      <c r="G588" s="8"/>
      <c r="H588" s="8"/>
      <c r="I588" s="8"/>
      <c r="J588" s="8"/>
      <c r="K588" s="8"/>
      <c r="L588" s="8"/>
      <c r="M588" s="8"/>
      <c r="N588" s="8"/>
      <c r="O588" s="8"/>
      <c r="Q588" s="8"/>
      <c r="R588" s="8"/>
      <c r="S588" s="8"/>
      <c r="T588" s="8"/>
      <c r="U588" s="8"/>
      <c r="V588" s="8"/>
      <c r="W588" s="8"/>
      <c r="X588" s="8"/>
      <c r="Y588" s="8"/>
      <c r="Z588" s="8"/>
      <c r="AA588" s="8"/>
      <c r="AB588" s="8"/>
      <c r="AD588" s="8"/>
      <c r="AE588" s="8"/>
      <c r="AF588" s="8"/>
      <c r="AG588" s="8"/>
      <c r="AH588" s="8"/>
      <c r="AI588" s="8"/>
      <c r="AJ588" s="8"/>
      <c r="AK588" s="8"/>
      <c r="AL588" s="8"/>
      <c r="AM588" s="8"/>
      <c r="AN588" s="8"/>
      <c r="AO588" s="8"/>
    </row>
    <row r="589" spans="7:41" x14ac:dyDescent="0.2">
      <c r="G589" s="8"/>
      <c r="H589" s="8"/>
      <c r="I589" s="8"/>
      <c r="J589" s="8"/>
      <c r="K589" s="8"/>
      <c r="L589" s="8"/>
      <c r="M589" s="8"/>
      <c r="N589" s="8"/>
      <c r="O589" s="8"/>
      <c r="Q589" s="8"/>
      <c r="R589" s="8"/>
      <c r="S589" s="8"/>
      <c r="T589" s="8"/>
      <c r="U589" s="8"/>
      <c r="V589" s="8"/>
      <c r="W589" s="8"/>
      <c r="X589" s="8"/>
      <c r="Y589" s="8"/>
      <c r="Z589" s="8"/>
      <c r="AA589" s="8"/>
      <c r="AB589" s="8"/>
      <c r="AD589" s="8"/>
      <c r="AE589" s="8"/>
      <c r="AF589" s="8"/>
      <c r="AG589" s="8"/>
      <c r="AH589" s="8"/>
      <c r="AI589" s="8"/>
      <c r="AJ589" s="8"/>
      <c r="AK589" s="8"/>
      <c r="AL589" s="8"/>
      <c r="AM589" s="8"/>
      <c r="AN589" s="8"/>
      <c r="AO589" s="8"/>
    </row>
    <row r="590" spans="7:41" x14ac:dyDescent="0.2">
      <c r="G590" s="8"/>
      <c r="H590" s="8"/>
      <c r="I590" s="8"/>
      <c r="J590" s="8"/>
      <c r="K590" s="8"/>
      <c r="L590" s="8"/>
      <c r="M590" s="8"/>
      <c r="N590" s="8"/>
      <c r="O590" s="8"/>
      <c r="Q590" s="8"/>
      <c r="R590" s="8"/>
      <c r="S590" s="8"/>
      <c r="T590" s="8"/>
      <c r="U590" s="8"/>
      <c r="V590" s="8"/>
      <c r="W590" s="8"/>
      <c r="X590" s="8"/>
      <c r="Y590" s="8"/>
      <c r="Z590" s="8"/>
      <c r="AA590" s="8"/>
      <c r="AB590" s="8"/>
      <c r="AD590" s="8"/>
      <c r="AE590" s="8"/>
      <c r="AF590" s="8"/>
      <c r="AG590" s="8"/>
      <c r="AH590" s="8"/>
      <c r="AI590" s="8"/>
      <c r="AJ590" s="8"/>
      <c r="AK590" s="8"/>
      <c r="AL590" s="8"/>
      <c r="AM590" s="8"/>
      <c r="AN590" s="8"/>
      <c r="AO590" s="8"/>
    </row>
    <row r="591" spans="7:41" x14ac:dyDescent="0.2">
      <c r="G591" s="8"/>
      <c r="H591" s="8"/>
      <c r="I591" s="8"/>
      <c r="J591" s="8"/>
      <c r="K591" s="8"/>
      <c r="L591" s="8"/>
      <c r="M591" s="8"/>
      <c r="N591" s="8"/>
      <c r="O591" s="8"/>
      <c r="Q591" s="8"/>
      <c r="R591" s="8"/>
      <c r="S591" s="8"/>
      <c r="T591" s="8"/>
      <c r="U591" s="8"/>
      <c r="V591" s="8"/>
      <c r="W591" s="8"/>
      <c r="X591" s="8"/>
      <c r="Y591" s="8"/>
      <c r="Z591" s="8"/>
      <c r="AA591" s="8"/>
      <c r="AB591" s="8"/>
      <c r="AD591" s="8"/>
      <c r="AE591" s="8"/>
      <c r="AF591" s="8"/>
      <c r="AG591" s="8"/>
      <c r="AH591" s="8"/>
      <c r="AI591" s="8"/>
      <c r="AJ591" s="8"/>
      <c r="AK591" s="8"/>
      <c r="AL591" s="8"/>
      <c r="AM591" s="8"/>
      <c r="AN591" s="8"/>
      <c r="AO591" s="8"/>
    </row>
    <row r="592" spans="7:41" x14ac:dyDescent="0.2">
      <c r="G592" s="8"/>
      <c r="H592" s="8"/>
      <c r="I592" s="8"/>
      <c r="J592" s="8"/>
      <c r="K592" s="8"/>
      <c r="L592" s="8"/>
      <c r="M592" s="8"/>
      <c r="N592" s="8"/>
      <c r="O592" s="8"/>
      <c r="Q592" s="8"/>
      <c r="R592" s="8"/>
      <c r="S592" s="8"/>
      <c r="T592" s="8"/>
      <c r="U592" s="8"/>
      <c r="V592" s="8"/>
      <c r="W592" s="8"/>
      <c r="X592" s="8"/>
      <c r="Y592" s="8"/>
      <c r="Z592" s="8"/>
      <c r="AA592" s="8"/>
      <c r="AB592" s="8"/>
      <c r="AD592" s="8"/>
      <c r="AE592" s="8"/>
      <c r="AF592" s="8"/>
      <c r="AG592" s="8"/>
      <c r="AH592" s="8"/>
      <c r="AI592" s="8"/>
      <c r="AJ592" s="8"/>
      <c r="AK592" s="8"/>
      <c r="AL592" s="8"/>
      <c r="AM592" s="8"/>
      <c r="AN592" s="8"/>
      <c r="AO592" s="8"/>
    </row>
    <row r="593" spans="7:41" x14ac:dyDescent="0.2">
      <c r="G593" s="8"/>
      <c r="H593" s="8"/>
      <c r="I593" s="8"/>
      <c r="J593" s="8"/>
      <c r="K593" s="8"/>
      <c r="L593" s="8"/>
      <c r="M593" s="8"/>
      <c r="N593" s="8"/>
      <c r="O593" s="8"/>
      <c r="Q593" s="8"/>
      <c r="R593" s="8"/>
      <c r="S593" s="8"/>
      <c r="T593" s="8"/>
      <c r="U593" s="8"/>
      <c r="V593" s="8"/>
      <c r="W593" s="8"/>
      <c r="X593" s="8"/>
      <c r="Y593" s="8"/>
      <c r="Z593" s="8"/>
      <c r="AA593" s="8"/>
      <c r="AB593" s="8"/>
      <c r="AD593" s="8"/>
      <c r="AE593" s="8"/>
      <c r="AF593" s="8"/>
      <c r="AG593" s="8"/>
      <c r="AH593" s="8"/>
      <c r="AI593" s="8"/>
      <c r="AJ593" s="8"/>
      <c r="AK593" s="8"/>
      <c r="AL593" s="8"/>
      <c r="AM593" s="8"/>
      <c r="AN593" s="8"/>
      <c r="AO593" s="8"/>
    </row>
    <row r="594" spans="7:41" x14ac:dyDescent="0.2">
      <c r="G594" s="8"/>
      <c r="H594" s="8"/>
      <c r="I594" s="8"/>
      <c r="J594" s="8"/>
      <c r="K594" s="8"/>
      <c r="L594" s="8"/>
      <c r="M594" s="8"/>
      <c r="N594" s="8"/>
      <c r="O594" s="8"/>
      <c r="Q594" s="8"/>
      <c r="R594" s="8"/>
      <c r="S594" s="8"/>
      <c r="T594" s="8"/>
      <c r="U594" s="8"/>
      <c r="V594" s="8"/>
      <c r="W594" s="8"/>
      <c r="X594" s="8"/>
      <c r="Y594" s="8"/>
      <c r="Z594" s="8"/>
      <c r="AA594" s="8"/>
      <c r="AB594" s="8"/>
      <c r="AD594" s="8"/>
      <c r="AE594" s="8"/>
      <c r="AF594" s="8"/>
      <c r="AG594" s="8"/>
      <c r="AH594" s="8"/>
      <c r="AI594" s="8"/>
      <c r="AJ594" s="8"/>
      <c r="AK594" s="8"/>
      <c r="AL594" s="8"/>
      <c r="AM594" s="8"/>
      <c r="AN594" s="8"/>
      <c r="AO594" s="8"/>
    </row>
    <row r="595" spans="7:41" x14ac:dyDescent="0.2">
      <c r="G595" s="8"/>
      <c r="H595" s="8"/>
      <c r="I595" s="8"/>
      <c r="J595" s="8"/>
      <c r="K595" s="8"/>
      <c r="L595" s="8"/>
      <c r="M595" s="8"/>
      <c r="N595" s="8"/>
      <c r="O595" s="8"/>
      <c r="Q595" s="8"/>
      <c r="R595" s="8"/>
      <c r="S595" s="8"/>
      <c r="T595" s="8"/>
      <c r="U595" s="8"/>
      <c r="V595" s="8"/>
      <c r="W595" s="8"/>
      <c r="X595" s="8"/>
      <c r="Y595" s="8"/>
      <c r="Z595" s="8"/>
      <c r="AA595" s="8"/>
      <c r="AB595" s="8"/>
      <c r="AD595" s="8"/>
      <c r="AE595" s="8"/>
      <c r="AF595" s="8"/>
      <c r="AG595" s="8"/>
      <c r="AH595" s="8"/>
      <c r="AI595" s="8"/>
      <c r="AJ595" s="8"/>
      <c r="AK595" s="8"/>
      <c r="AL595" s="8"/>
      <c r="AM595" s="8"/>
      <c r="AN595" s="8"/>
      <c r="AO595" s="8"/>
    </row>
    <row r="596" spans="7:41" x14ac:dyDescent="0.2">
      <c r="G596" s="8"/>
      <c r="H596" s="8"/>
      <c r="I596" s="8"/>
      <c r="J596" s="8"/>
      <c r="K596" s="8"/>
      <c r="L596" s="8"/>
      <c r="M596" s="8"/>
      <c r="N596" s="8"/>
      <c r="O596" s="8"/>
      <c r="Q596" s="8"/>
      <c r="R596" s="8"/>
      <c r="S596" s="8"/>
      <c r="T596" s="8"/>
      <c r="U596" s="8"/>
      <c r="V596" s="8"/>
      <c r="W596" s="8"/>
      <c r="X596" s="8"/>
      <c r="Y596" s="8"/>
      <c r="Z596" s="8"/>
      <c r="AA596" s="8"/>
      <c r="AB596" s="8"/>
      <c r="AD596" s="8"/>
      <c r="AE596" s="8"/>
      <c r="AF596" s="8"/>
      <c r="AG596" s="8"/>
      <c r="AH596" s="8"/>
      <c r="AI596" s="8"/>
      <c r="AJ596" s="8"/>
      <c r="AK596" s="8"/>
      <c r="AL596" s="8"/>
      <c r="AM596" s="8"/>
      <c r="AN596" s="8"/>
      <c r="AO596" s="8"/>
    </row>
    <row r="597" spans="7:41" x14ac:dyDescent="0.2">
      <c r="G597" s="8"/>
      <c r="H597" s="8"/>
      <c r="I597" s="8"/>
      <c r="J597" s="8"/>
      <c r="K597" s="8"/>
      <c r="L597" s="8"/>
      <c r="M597" s="8"/>
      <c r="N597" s="8"/>
      <c r="O597" s="8"/>
      <c r="Q597" s="8"/>
      <c r="R597" s="8"/>
      <c r="S597" s="8"/>
      <c r="T597" s="8"/>
      <c r="U597" s="8"/>
      <c r="V597" s="8"/>
      <c r="W597" s="8"/>
      <c r="X597" s="8"/>
      <c r="Y597" s="8"/>
      <c r="Z597" s="8"/>
      <c r="AA597" s="8"/>
      <c r="AB597" s="8"/>
      <c r="AD597" s="8"/>
      <c r="AE597" s="8"/>
      <c r="AF597" s="8"/>
      <c r="AG597" s="8"/>
      <c r="AH597" s="8"/>
      <c r="AI597" s="8"/>
      <c r="AJ597" s="8"/>
      <c r="AK597" s="8"/>
      <c r="AL597" s="8"/>
      <c r="AM597" s="8"/>
      <c r="AN597" s="8"/>
      <c r="AO597" s="8"/>
    </row>
    <row r="598" spans="7:41" x14ac:dyDescent="0.2">
      <c r="G598" s="8"/>
      <c r="H598" s="8"/>
      <c r="I598" s="8"/>
      <c r="J598" s="8"/>
      <c r="K598" s="8"/>
      <c r="L598" s="8"/>
      <c r="M598" s="8"/>
      <c r="N598" s="8"/>
      <c r="O598" s="8"/>
      <c r="Q598" s="8"/>
      <c r="R598" s="8"/>
      <c r="S598" s="8"/>
      <c r="T598" s="8"/>
      <c r="U598" s="8"/>
      <c r="V598" s="8"/>
      <c r="W598" s="8"/>
      <c r="X598" s="8"/>
      <c r="Y598" s="8"/>
      <c r="Z598" s="8"/>
      <c r="AA598" s="8"/>
      <c r="AB598" s="8"/>
      <c r="AD598" s="8"/>
      <c r="AE598" s="8"/>
      <c r="AF598" s="8"/>
      <c r="AG598" s="8"/>
      <c r="AH598" s="8"/>
      <c r="AI598" s="8"/>
      <c r="AJ598" s="8"/>
      <c r="AK598" s="8"/>
      <c r="AL598" s="8"/>
      <c r="AM598" s="8"/>
      <c r="AN598" s="8"/>
      <c r="AO598" s="8"/>
    </row>
    <row r="599" spans="7:41" x14ac:dyDescent="0.2">
      <c r="G599" s="8"/>
      <c r="H599" s="8"/>
      <c r="I599" s="8"/>
      <c r="J599" s="8"/>
      <c r="K599" s="8"/>
      <c r="L599" s="8"/>
      <c r="M599" s="8"/>
      <c r="N599" s="8"/>
      <c r="O599" s="8"/>
      <c r="Q599" s="8"/>
      <c r="R599" s="8"/>
      <c r="S599" s="8"/>
      <c r="T599" s="8"/>
      <c r="U599" s="8"/>
      <c r="V599" s="8"/>
      <c r="W599" s="8"/>
      <c r="X599" s="8"/>
      <c r="Y599" s="8"/>
      <c r="Z599" s="8"/>
      <c r="AA599" s="8"/>
      <c r="AB599" s="8"/>
      <c r="AD599" s="8"/>
      <c r="AE599" s="8"/>
      <c r="AF599" s="8"/>
      <c r="AG599" s="8"/>
      <c r="AH599" s="8"/>
      <c r="AI599" s="8"/>
      <c r="AJ599" s="8"/>
      <c r="AK599" s="8"/>
      <c r="AL599" s="8"/>
      <c r="AM599" s="8"/>
      <c r="AN599" s="8"/>
      <c r="AO599" s="8"/>
    </row>
    <row r="600" spans="7:41" x14ac:dyDescent="0.2">
      <c r="G600" s="8"/>
      <c r="H600" s="8"/>
      <c r="I600" s="8"/>
      <c r="J600" s="8"/>
      <c r="K600" s="8"/>
      <c r="L600" s="8"/>
      <c r="M600" s="8"/>
      <c r="N600" s="8"/>
      <c r="O600" s="8"/>
      <c r="Q600" s="8"/>
      <c r="R600" s="8"/>
      <c r="S600" s="8"/>
      <c r="T600" s="8"/>
      <c r="U600" s="8"/>
      <c r="V600" s="8"/>
      <c r="W600" s="8"/>
      <c r="X600" s="8"/>
      <c r="Y600" s="8"/>
      <c r="Z600" s="8"/>
      <c r="AA600" s="8"/>
      <c r="AB600" s="8"/>
      <c r="AD600" s="8"/>
      <c r="AE600" s="8"/>
      <c r="AF600" s="8"/>
      <c r="AG600" s="8"/>
      <c r="AH600" s="8"/>
      <c r="AI600" s="8"/>
      <c r="AJ600" s="8"/>
      <c r="AK600" s="8"/>
      <c r="AL600" s="8"/>
      <c r="AM600" s="8"/>
      <c r="AN600" s="8"/>
      <c r="AO600" s="8"/>
    </row>
    <row r="601" spans="7:41" x14ac:dyDescent="0.2">
      <c r="G601" s="8"/>
      <c r="H601" s="8"/>
      <c r="I601" s="8"/>
      <c r="J601" s="8"/>
      <c r="K601" s="8"/>
      <c r="L601" s="8"/>
      <c r="M601" s="8"/>
      <c r="N601" s="8"/>
      <c r="O601" s="8"/>
      <c r="Q601" s="8"/>
      <c r="R601" s="8"/>
      <c r="S601" s="8"/>
      <c r="T601" s="8"/>
      <c r="U601" s="8"/>
      <c r="V601" s="8"/>
      <c r="W601" s="8"/>
      <c r="X601" s="8"/>
      <c r="Y601" s="8"/>
      <c r="Z601" s="8"/>
      <c r="AA601" s="8"/>
      <c r="AB601" s="8"/>
      <c r="AD601" s="8"/>
      <c r="AE601" s="8"/>
      <c r="AF601" s="8"/>
      <c r="AG601" s="8"/>
      <c r="AH601" s="8"/>
      <c r="AI601" s="8"/>
      <c r="AJ601" s="8"/>
      <c r="AK601" s="8"/>
      <c r="AL601" s="8"/>
      <c r="AM601" s="8"/>
      <c r="AN601" s="8"/>
      <c r="AO601" s="8"/>
    </row>
    <row r="602" spans="7:41" x14ac:dyDescent="0.2">
      <c r="G602" s="8"/>
      <c r="H602" s="8"/>
      <c r="I602" s="8"/>
      <c r="J602" s="8"/>
      <c r="K602" s="8"/>
      <c r="L602" s="8"/>
      <c r="M602" s="8"/>
      <c r="N602" s="8"/>
      <c r="O602" s="8"/>
      <c r="Q602" s="8"/>
      <c r="R602" s="8"/>
      <c r="S602" s="8"/>
      <c r="T602" s="8"/>
      <c r="U602" s="8"/>
      <c r="V602" s="8"/>
      <c r="W602" s="8"/>
      <c r="X602" s="8"/>
      <c r="Y602" s="8"/>
      <c r="Z602" s="8"/>
      <c r="AA602" s="8"/>
      <c r="AB602" s="8"/>
      <c r="AD602" s="8"/>
      <c r="AE602" s="8"/>
      <c r="AF602" s="8"/>
      <c r="AG602" s="8"/>
      <c r="AH602" s="8"/>
      <c r="AI602" s="8"/>
      <c r="AJ602" s="8"/>
      <c r="AK602" s="8"/>
      <c r="AL602" s="8"/>
      <c r="AM602" s="8"/>
      <c r="AN602" s="8"/>
      <c r="AO602" s="8"/>
    </row>
    <row r="603" spans="7:41" x14ac:dyDescent="0.2">
      <c r="G603" s="8"/>
      <c r="H603" s="8"/>
      <c r="I603" s="8"/>
      <c r="J603" s="8"/>
      <c r="K603" s="8"/>
      <c r="L603" s="8"/>
      <c r="M603" s="8"/>
      <c r="N603" s="8"/>
      <c r="O603" s="8"/>
      <c r="Q603" s="8"/>
      <c r="R603" s="8"/>
      <c r="S603" s="8"/>
      <c r="T603" s="8"/>
      <c r="U603" s="8"/>
      <c r="V603" s="8"/>
      <c r="W603" s="8"/>
      <c r="X603" s="8"/>
      <c r="Y603" s="8"/>
      <c r="Z603" s="8"/>
      <c r="AA603" s="8"/>
      <c r="AB603" s="8"/>
      <c r="AD603" s="8"/>
      <c r="AE603" s="8"/>
      <c r="AF603" s="8"/>
      <c r="AG603" s="8"/>
      <c r="AH603" s="8"/>
      <c r="AI603" s="8"/>
      <c r="AJ603" s="8"/>
      <c r="AK603" s="8"/>
      <c r="AL603" s="8"/>
      <c r="AM603" s="8"/>
      <c r="AN603" s="8"/>
      <c r="AO603" s="8"/>
    </row>
    <row r="604" spans="7:41" x14ac:dyDescent="0.2">
      <c r="G604" s="8"/>
      <c r="H604" s="8"/>
      <c r="I604" s="8"/>
      <c r="J604" s="8"/>
      <c r="K604" s="8"/>
      <c r="L604" s="8"/>
      <c r="M604" s="8"/>
      <c r="N604" s="8"/>
      <c r="O604" s="8"/>
      <c r="Q604" s="8"/>
      <c r="R604" s="8"/>
      <c r="S604" s="8"/>
      <c r="T604" s="8"/>
      <c r="U604" s="8"/>
      <c r="V604" s="8"/>
      <c r="W604" s="8"/>
      <c r="X604" s="8"/>
      <c r="Y604" s="8"/>
      <c r="Z604" s="8"/>
      <c r="AA604" s="8"/>
      <c r="AB604" s="8"/>
      <c r="AD604" s="8"/>
      <c r="AE604" s="8"/>
      <c r="AF604" s="8"/>
      <c r="AG604" s="8"/>
      <c r="AH604" s="8"/>
      <c r="AI604" s="8"/>
      <c r="AJ604" s="8"/>
      <c r="AK604" s="8"/>
      <c r="AL604" s="8"/>
      <c r="AM604" s="8"/>
      <c r="AN604" s="8"/>
      <c r="AO604" s="8"/>
    </row>
    <row r="605" spans="7:41" x14ac:dyDescent="0.2">
      <c r="G605" s="8"/>
      <c r="H605" s="8"/>
      <c r="I605" s="8"/>
      <c r="J605" s="8"/>
      <c r="K605" s="8"/>
      <c r="L605" s="8"/>
      <c r="M605" s="8"/>
      <c r="N605" s="8"/>
      <c r="O605" s="8"/>
      <c r="Q605" s="8"/>
      <c r="R605" s="8"/>
      <c r="S605" s="8"/>
      <c r="T605" s="8"/>
      <c r="U605" s="8"/>
      <c r="V605" s="8"/>
      <c r="W605" s="8"/>
      <c r="X605" s="8"/>
      <c r="Y605" s="8"/>
      <c r="Z605" s="8"/>
      <c r="AA605" s="8"/>
      <c r="AB605" s="8"/>
      <c r="AD605" s="8"/>
      <c r="AE605" s="8"/>
      <c r="AF605" s="8"/>
      <c r="AG605" s="8"/>
      <c r="AH605" s="8"/>
      <c r="AI605" s="8"/>
      <c r="AJ605" s="8"/>
      <c r="AK605" s="8"/>
      <c r="AL605" s="8"/>
      <c r="AM605" s="8"/>
      <c r="AN605" s="8"/>
      <c r="AO605" s="8"/>
    </row>
    <row r="606" spans="7:41" x14ac:dyDescent="0.2">
      <c r="G606" s="8"/>
      <c r="H606" s="8"/>
      <c r="I606" s="8"/>
      <c r="J606" s="8"/>
      <c r="K606" s="8"/>
      <c r="L606" s="8"/>
      <c r="M606" s="8"/>
      <c r="N606" s="8"/>
      <c r="O606" s="8"/>
      <c r="Q606" s="8"/>
      <c r="R606" s="8"/>
      <c r="S606" s="8"/>
      <c r="T606" s="8"/>
      <c r="U606" s="8"/>
      <c r="V606" s="8"/>
      <c r="W606" s="8"/>
      <c r="X606" s="8"/>
      <c r="Y606" s="8"/>
      <c r="Z606" s="8"/>
      <c r="AA606" s="8"/>
      <c r="AB606" s="8"/>
      <c r="AD606" s="8"/>
      <c r="AE606" s="8"/>
      <c r="AF606" s="8"/>
      <c r="AG606" s="8"/>
      <c r="AH606" s="8"/>
      <c r="AI606" s="8"/>
      <c r="AJ606" s="8"/>
      <c r="AK606" s="8"/>
      <c r="AL606" s="8"/>
      <c r="AM606" s="8"/>
      <c r="AN606" s="8"/>
      <c r="AO606" s="8"/>
    </row>
    <row r="607" spans="7:41" x14ac:dyDescent="0.2">
      <c r="G607" s="8"/>
      <c r="H607" s="8"/>
      <c r="I607" s="8"/>
      <c r="J607" s="8"/>
      <c r="K607" s="8"/>
      <c r="L607" s="8"/>
      <c r="M607" s="8"/>
      <c r="N607" s="8"/>
      <c r="O607" s="8"/>
      <c r="Q607" s="8"/>
      <c r="R607" s="8"/>
      <c r="S607" s="8"/>
      <c r="T607" s="8"/>
      <c r="U607" s="8"/>
      <c r="V607" s="8"/>
      <c r="W607" s="8"/>
      <c r="X607" s="8"/>
      <c r="Y607" s="8"/>
      <c r="Z607" s="8"/>
      <c r="AA607" s="8"/>
      <c r="AB607" s="8"/>
      <c r="AD607" s="8"/>
      <c r="AE607" s="8"/>
      <c r="AF607" s="8"/>
      <c r="AG607" s="8"/>
      <c r="AH607" s="8"/>
      <c r="AI607" s="8"/>
      <c r="AJ607" s="8"/>
      <c r="AK607" s="8"/>
      <c r="AL607" s="8"/>
      <c r="AM607" s="8"/>
      <c r="AN607" s="8"/>
      <c r="AO607" s="8"/>
    </row>
    <row r="608" spans="7:41" x14ac:dyDescent="0.2">
      <c r="G608" s="8"/>
      <c r="H608" s="8"/>
      <c r="I608" s="8"/>
      <c r="J608" s="8"/>
      <c r="K608" s="8"/>
      <c r="L608" s="8"/>
      <c r="M608" s="8"/>
      <c r="N608" s="8"/>
      <c r="O608" s="8"/>
      <c r="Q608" s="8"/>
      <c r="R608" s="8"/>
      <c r="S608" s="8"/>
      <c r="T608" s="8"/>
      <c r="U608" s="8"/>
      <c r="V608" s="8"/>
      <c r="W608" s="8"/>
      <c r="X608" s="8"/>
      <c r="Y608" s="8"/>
      <c r="Z608" s="8"/>
      <c r="AA608" s="8"/>
      <c r="AB608" s="8"/>
      <c r="AD608" s="8"/>
      <c r="AE608" s="8"/>
      <c r="AF608" s="8"/>
      <c r="AG608" s="8"/>
      <c r="AH608" s="8"/>
      <c r="AI608" s="8"/>
      <c r="AJ608" s="8"/>
      <c r="AK608" s="8"/>
      <c r="AL608" s="8"/>
      <c r="AM608" s="8"/>
      <c r="AN608" s="8"/>
      <c r="AO608" s="8"/>
    </row>
    <row r="609" spans="7:41" x14ac:dyDescent="0.2">
      <c r="G609" s="8"/>
      <c r="H609" s="8"/>
      <c r="I609" s="8"/>
      <c r="J609" s="8"/>
      <c r="K609" s="8"/>
      <c r="L609" s="8"/>
      <c r="M609" s="8"/>
      <c r="N609" s="8"/>
      <c r="O609" s="8"/>
      <c r="Q609" s="8"/>
      <c r="R609" s="8"/>
      <c r="S609" s="8"/>
      <c r="T609" s="8"/>
      <c r="U609" s="8"/>
      <c r="V609" s="8"/>
      <c r="W609" s="8"/>
      <c r="X609" s="8"/>
      <c r="Y609" s="8"/>
      <c r="Z609" s="8"/>
      <c r="AA609" s="8"/>
      <c r="AB609" s="8"/>
      <c r="AD609" s="8"/>
      <c r="AE609" s="8"/>
      <c r="AF609" s="8"/>
      <c r="AG609" s="8"/>
      <c r="AH609" s="8"/>
      <c r="AI609" s="8"/>
      <c r="AJ609" s="8"/>
      <c r="AK609" s="8"/>
      <c r="AL609" s="8"/>
      <c r="AM609" s="8"/>
      <c r="AN609" s="8"/>
      <c r="AO609" s="8"/>
    </row>
    <row r="610" spans="7:41" x14ac:dyDescent="0.2">
      <c r="G610" s="8"/>
      <c r="H610" s="8"/>
      <c r="I610" s="8"/>
      <c r="J610" s="8"/>
      <c r="K610" s="8"/>
      <c r="L610" s="8"/>
      <c r="M610" s="8"/>
      <c r="N610" s="8"/>
      <c r="O610" s="8"/>
      <c r="Q610" s="8"/>
      <c r="R610" s="8"/>
      <c r="S610" s="8"/>
      <c r="T610" s="8"/>
      <c r="U610" s="8"/>
      <c r="V610" s="8"/>
      <c r="W610" s="8"/>
      <c r="X610" s="8"/>
      <c r="Y610" s="8"/>
      <c r="Z610" s="8"/>
      <c r="AA610" s="8"/>
      <c r="AB610" s="8"/>
      <c r="AD610" s="8"/>
      <c r="AE610" s="8"/>
      <c r="AF610" s="8"/>
      <c r="AG610" s="8"/>
      <c r="AH610" s="8"/>
      <c r="AI610" s="8"/>
      <c r="AJ610" s="8"/>
      <c r="AK610" s="8"/>
      <c r="AL610" s="8"/>
      <c r="AM610" s="8"/>
      <c r="AN610" s="8"/>
      <c r="AO610" s="8"/>
    </row>
    <row r="611" spans="7:41" x14ac:dyDescent="0.2">
      <c r="G611" s="8"/>
      <c r="H611" s="8"/>
      <c r="I611" s="8"/>
      <c r="J611" s="8"/>
      <c r="K611" s="8"/>
      <c r="L611" s="8"/>
      <c r="M611" s="8"/>
      <c r="N611" s="8"/>
      <c r="O611" s="8"/>
      <c r="Q611" s="8"/>
      <c r="R611" s="8"/>
      <c r="S611" s="8"/>
      <c r="T611" s="8"/>
      <c r="U611" s="8"/>
      <c r="V611" s="8"/>
      <c r="W611" s="8"/>
      <c r="X611" s="8"/>
      <c r="Y611" s="8"/>
      <c r="Z611" s="8"/>
      <c r="AA611" s="8"/>
      <c r="AB611" s="8"/>
      <c r="AD611" s="8"/>
      <c r="AE611" s="8"/>
      <c r="AF611" s="8"/>
      <c r="AG611" s="8"/>
      <c r="AH611" s="8"/>
      <c r="AI611" s="8"/>
      <c r="AJ611" s="8"/>
      <c r="AK611" s="8"/>
      <c r="AL611" s="8"/>
      <c r="AM611" s="8"/>
      <c r="AN611" s="8"/>
      <c r="AO611" s="8"/>
    </row>
    <row r="612" spans="7:41" x14ac:dyDescent="0.2">
      <c r="G612" s="8"/>
      <c r="H612" s="8"/>
      <c r="I612" s="8"/>
      <c r="J612" s="8"/>
      <c r="K612" s="8"/>
      <c r="L612" s="8"/>
      <c r="M612" s="8"/>
      <c r="N612" s="8"/>
      <c r="O612" s="8"/>
      <c r="Q612" s="8"/>
      <c r="R612" s="8"/>
      <c r="S612" s="8"/>
      <c r="T612" s="8"/>
      <c r="U612" s="8"/>
      <c r="V612" s="8"/>
      <c r="W612" s="8"/>
      <c r="X612" s="8"/>
      <c r="Y612" s="8"/>
      <c r="Z612" s="8"/>
      <c r="AA612" s="8"/>
      <c r="AB612" s="8"/>
      <c r="AD612" s="8"/>
      <c r="AE612" s="8"/>
      <c r="AF612" s="8"/>
      <c r="AG612" s="8"/>
      <c r="AH612" s="8"/>
      <c r="AI612" s="8"/>
      <c r="AJ612" s="8"/>
      <c r="AK612" s="8"/>
      <c r="AL612" s="8"/>
      <c r="AM612" s="8"/>
      <c r="AN612" s="8"/>
      <c r="AO612" s="8"/>
    </row>
    <row r="613" spans="7:41" x14ac:dyDescent="0.2">
      <c r="G613" s="8"/>
      <c r="H613" s="8"/>
      <c r="I613" s="8"/>
      <c r="J613" s="8"/>
      <c r="K613" s="8"/>
      <c r="L613" s="8"/>
      <c r="M613" s="8"/>
      <c r="N613" s="8"/>
      <c r="O613" s="8"/>
      <c r="Q613" s="8"/>
      <c r="R613" s="8"/>
      <c r="S613" s="8"/>
      <c r="T613" s="8"/>
      <c r="U613" s="8"/>
      <c r="V613" s="8"/>
      <c r="W613" s="8"/>
      <c r="X613" s="8"/>
      <c r="Y613" s="8"/>
      <c r="Z613" s="8"/>
      <c r="AA613" s="8"/>
      <c r="AB613" s="8"/>
      <c r="AD613" s="8"/>
      <c r="AE613" s="8"/>
      <c r="AF613" s="8"/>
      <c r="AG613" s="8"/>
      <c r="AH613" s="8"/>
      <c r="AI613" s="8"/>
      <c r="AJ613" s="8"/>
      <c r="AK613" s="8"/>
      <c r="AL613" s="8"/>
      <c r="AM613" s="8"/>
      <c r="AN613" s="8"/>
      <c r="AO613" s="8"/>
    </row>
    <row r="614" spans="7:41" x14ac:dyDescent="0.2">
      <c r="G614" s="8"/>
      <c r="H614" s="8"/>
      <c r="I614" s="8"/>
      <c r="J614" s="8"/>
      <c r="K614" s="8"/>
      <c r="L614" s="8"/>
      <c r="M614" s="8"/>
      <c r="N614" s="8"/>
      <c r="O614" s="8"/>
      <c r="Q614" s="8"/>
      <c r="R614" s="8"/>
      <c r="S614" s="8"/>
      <c r="T614" s="8"/>
      <c r="U614" s="8"/>
      <c r="V614" s="8"/>
      <c r="W614" s="8"/>
      <c r="X614" s="8"/>
      <c r="Y614" s="8"/>
      <c r="Z614" s="8"/>
      <c r="AA614" s="8"/>
      <c r="AB614" s="8"/>
      <c r="AD614" s="8"/>
      <c r="AE614" s="8"/>
      <c r="AF614" s="8"/>
      <c r="AG614" s="8"/>
      <c r="AH614" s="8"/>
      <c r="AI614" s="8"/>
      <c r="AJ614" s="8"/>
      <c r="AK614" s="8"/>
      <c r="AL614" s="8"/>
      <c r="AM614" s="8"/>
      <c r="AN614" s="8"/>
      <c r="AO614" s="8"/>
    </row>
    <row r="615" spans="7:41" x14ac:dyDescent="0.2">
      <c r="G615" s="8"/>
      <c r="H615" s="8"/>
      <c r="I615" s="8"/>
      <c r="J615" s="8"/>
      <c r="K615" s="8"/>
      <c r="L615" s="8"/>
      <c r="M615" s="8"/>
      <c r="N615" s="8"/>
      <c r="O615" s="8"/>
      <c r="Q615" s="8"/>
      <c r="R615" s="8"/>
      <c r="S615" s="8"/>
      <c r="T615" s="8"/>
      <c r="U615" s="8"/>
      <c r="V615" s="8"/>
      <c r="W615" s="8"/>
      <c r="X615" s="8"/>
      <c r="Y615" s="8"/>
      <c r="Z615" s="8"/>
      <c r="AA615" s="8"/>
      <c r="AB615" s="8"/>
      <c r="AD615" s="8"/>
      <c r="AE615" s="8"/>
      <c r="AF615" s="8"/>
      <c r="AG615" s="8"/>
      <c r="AH615" s="8"/>
      <c r="AI615" s="8"/>
      <c r="AJ615" s="8"/>
      <c r="AK615" s="8"/>
      <c r="AL615" s="8"/>
      <c r="AM615" s="8"/>
      <c r="AN615" s="8"/>
      <c r="AO615" s="8"/>
    </row>
    <row r="616" spans="7:41" x14ac:dyDescent="0.2">
      <c r="G616" s="8"/>
      <c r="H616" s="8"/>
      <c r="I616" s="8"/>
      <c r="J616" s="8"/>
      <c r="K616" s="8"/>
      <c r="L616" s="8"/>
      <c r="M616" s="8"/>
      <c r="N616" s="8"/>
      <c r="O616" s="8"/>
      <c r="Q616" s="8"/>
      <c r="R616" s="8"/>
      <c r="S616" s="8"/>
      <c r="T616" s="8"/>
      <c r="U616" s="8"/>
      <c r="V616" s="8"/>
      <c r="W616" s="8"/>
      <c r="X616" s="8"/>
      <c r="Y616" s="8"/>
      <c r="Z616" s="8"/>
      <c r="AA616" s="8"/>
      <c r="AB616" s="8"/>
      <c r="AD616" s="8"/>
      <c r="AE616" s="8"/>
      <c r="AF616" s="8"/>
      <c r="AG616" s="8"/>
      <c r="AH616" s="8"/>
      <c r="AI616" s="8"/>
      <c r="AJ616" s="8"/>
      <c r="AK616" s="8"/>
      <c r="AL616" s="8"/>
      <c r="AM616" s="8"/>
      <c r="AN616" s="8"/>
      <c r="AO616" s="8"/>
    </row>
    <row r="617" spans="7:41" x14ac:dyDescent="0.2">
      <c r="G617" s="8"/>
      <c r="H617" s="8"/>
      <c r="I617" s="8"/>
      <c r="J617" s="8"/>
      <c r="K617" s="8"/>
      <c r="L617" s="8"/>
      <c r="M617" s="8"/>
      <c r="N617" s="8"/>
      <c r="O617" s="8"/>
      <c r="Q617" s="8"/>
      <c r="R617" s="8"/>
      <c r="S617" s="8"/>
      <c r="T617" s="8"/>
      <c r="U617" s="8"/>
      <c r="V617" s="8"/>
      <c r="W617" s="8"/>
      <c r="X617" s="8"/>
      <c r="Y617" s="8"/>
      <c r="Z617" s="8"/>
      <c r="AA617" s="8"/>
      <c r="AB617" s="8"/>
      <c r="AD617" s="8"/>
      <c r="AE617" s="8"/>
      <c r="AF617" s="8"/>
      <c r="AG617" s="8"/>
      <c r="AH617" s="8"/>
      <c r="AI617" s="8"/>
      <c r="AJ617" s="8"/>
      <c r="AK617" s="8"/>
      <c r="AL617" s="8"/>
      <c r="AM617" s="8"/>
      <c r="AN617" s="8"/>
      <c r="AO617" s="8"/>
    </row>
    <row r="618" spans="7:41" x14ac:dyDescent="0.2">
      <c r="G618" s="8"/>
      <c r="H618" s="8"/>
      <c r="I618" s="8"/>
      <c r="J618" s="8"/>
      <c r="K618" s="8"/>
      <c r="L618" s="8"/>
      <c r="M618" s="8"/>
      <c r="N618" s="8"/>
      <c r="O618" s="8"/>
      <c r="Q618" s="8"/>
      <c r="R618" s="8"/>
      <c r="S618" s="8"/>
      <c r="T618" s="8"/>
      <c r="U618" s="8"/>
      <c r="V618" s="8"/>
      <c r="W618" s="8"/>
      <c r="X618" s="8"/>
      <c r="Y618" s="8"/>
      <c r="Z618" s="8"/>
      <c r="AA618" s="8"/>
      <c r="AB618" s="8"/>
      <c r="AD618" s="8"/>
      <c r="AE618" s="8"/>
      <c r="AF618" s="8"/>
      <c r="AG618" s="8"/>
      <c r="AH618" s="8"/>
      <c r="AI618" s="8"/>
      <c r="AJ618" s="8"/>
      <c r="AK618" s="8"/>
      <c r="AL618" s="8"/>
      <c r="AM618" s="8"/>
      <c r="AN618" s="8"/>
      <c r="AO618" s="8"/>
    </row>
    <row r="619" spans="7:41" x14ac:dyDescent="0.2">
      <c r="G619" s="8"/>
      <c r="H619" s="8"/>
      <c r="I619" s="8"/>
      <c r="J619" s="8"/>
      <c r="K619" s="8"/>
      <c r="L619" s="8"/>
      <c r="M619" s="8"/>
      <c r="N619" s="8"/>
      <c r="O619" s="8"/>
      <c r="Q619" s="8"/>
      <c r="R619" s="8"/>
      <c r="S619" s="8"/>
      <c r="T619" s="8"/>
      <c r="U619" s="8"/>
      <c r="V619" s="8"/>
      <c r="W619" s="8"/>
      <c r="X619" s="8"/>
      <c r="Y619" s="8"/>
      <c r="Z619" s="8"/>
      <c r="AA619" s="8"/>
      <c r="AB619" s="8"/>
      <c r="AD619" s="8"/>
      <c r="AE619" s="8"/>
      <c r="AF619" s="8"/>
      <c r="AG619" s="8"/>
      <c r="AH619" s="8"/>
      <c r="AI619" s="8"/>
      <c r="AJ619" s="8"/>
      <c r="AK619" s="8"/>
      <c r="AL619" s="8"/>
      <c r="AM619" s="8"/>
      <c r="AN619" s="8"/>
      <c r="AO619" s="8"/>
    </row>
    <row r="620" spans="7:41" x14ac:dyDescent="0.2">
      <c r="G620" s="8"/>
      <c r="H620" s="8"/>
      <c r="I620" s="8"/>
      <c r="J620" s="8"/>
      <c r="K620" s="8"/>
      <c r="L620" s="8"/>
      <c r="M620" s="8"/>
      <c r="N620" s="8"/>
      <c r="O620" s="8"/>
      <c r="Q620" s="8"/>
      <c r="R620" s="8"/>
      <c r="S620" s="8"/>
      <c r="T620" s="8"/>
      <c r="U620" s="8"/>
      <c r="V620" s="8"/>
      <c r="W620" s="8"/>
      <c r="X620" s="8"/>
      <c r="Y620" s="8"/>
      <c r="Z620" s="8"/>
      <c r="AA620" s="8"/>
      <c r="AB620" s="8"/>
      <c r="AD620" s="8"/>
      <c r="AE620" s="8"/>
      <c r="AF620" s="8"/>
      <c r="AG620" s="8"/>
      <c r="AH620" s="8"/>
      <c r="AI620" s="8"/>
      <c r="AJ620" s="8"/>
      <c r="AK620" s="8"/>
      <c r="AL620" s="8"/>
      <c r="AM620" s="8"/>
      <c r="AN620" s="8"/>
      <c r="AO620" s="8"/>
    </row>
    <row r="621" spans="7:41" x14ac:dyDescent="0.2">
      <c r="G621" s="8"/>
      <c r="H621" s="8"/>
      <c r="I621" s="8"/>
      <c r="J621" s="8"/>
      <c r="K621" s="8"/>
      <c r="L621" s="8"/>
      <c r="M621" s="8"/>
      <c r="N621" s="8"/>
      <c r="O621" s="8"/>
      <c r="Q621" s="8"/>
      <c r="R621" s="8"/>
      <c r="S621" s="8"/>
      <c r="T621" s="8"/>
      <c r="U621" s="8"/>
      <c r="V621" s="8"/>
      <c r="W621" s="8"/>
      <c r="X621" s="8"/>
      <c r="Y621" s="8"/>
      <c r="Z621" s="8"/>
      <c r="AA621" s="8"/>
      <c r="AB621" s="8"/>
      <c r="AD621" s="8"/>
      <c r="AE621" s="8"/>
      <c r="AF621" s="8"/>
      <c r="AG621" s="8"/>
      <c r="AH621" s="8"/>
      <c r="AI621" s="8"/>
      <c r="AJ621" s="8"/>
      <c r="AK621" s="8"/>
      <c r="AL621" s="8"/>
      <c r="AM621" s="8"/>
      <c r="AN621" s="8"/>
      <c r="AO621" s="8"/>
    </row>
    <row r="622" spans="7:41" x14ac:dyDescent="0.2">
      <c r="G622" s="8"/>
      <c r="H622" s="8"/>
      <c r="I622" s="8"/>
      <c r="J622" s="8"/>
      <c r="K622" s="8"/>
      <c r="L622" s="8"/>
      <c r="M622" s="8"/>
      <c r="N622" s="8"/>
      <c r="O622" s="8"/>
      <c r="Q622" s="8"/>
      <c r="R622" s="8"/>
      <c r="S622" s="8"/>
      <c r="T622" s="8"/>
      <c r="U622" s="8"/>
      <c r="V622" s="8"/>
      <c r="W622" s="8"/>
      <c r="X622" s="8"/>
      <c r="Y622" s="8"/>
      <c r="Z622" s="8"/>
      <c r="AA622" s="8"/>
      <c r="AB622" s="8"/>
      <c r="AD622" s="8"/>
      <c r="AE622" s="8"/>
      <c r="AF622" s="8"/>
      <c r="AG622" s="8"/>
      <c r="AH622" s="8"/>
      <c r="AI622" s="8"/>
      <c r="AJ622" s="8"/>
      <c r="AK622" s="8"/>
      <c r="AL622" s="8"/>
      <c r="AM622" s="8"/>
      <c r="AN622" s="8"/>
      <c r="AO622" s="8"/>
    </row>
    <row r="623" spans="7:41" x14ac:dyDescent="0.2">
      <c r="G623" s="8"/>
      <c r="H623" s="8"/>
      <c r="I623" s="8"/>
      <c r="J623" s="8"/>
      <c r="K623" s="8"/>
      <c r="L623" s="8"/>
      <c r="M623" s="8"/>
      <c r="N623" s="8"/>
      <c r="O623" s="8"/>
      <c r="Q623" s="8"/>
      <c r="R623" s="8"/>
      <c r="S623" s="8"/>
      <c r="T623" s="8"/>
      <c r="U623" s="8"/>
      <c r="V623" s="8"/>
      <c r="W623" s="8"/>
      <c r="X623" s="8"/>
      <c r="Y623" s="8"/>
      <c r="Z623" s="8"/>
      <c r="AA623" s="8"/>
      <c r="AB623" s="8"/>
      <c r="AD623" s="8"/>
      <c r="AE623" s="8"/>
      <c r="AF623" s="8"/>
      <c r="AG623" s="8"/>
      <c r="AH623" s="8"/>
      <c r="AI623" s="8"/>
      <c r="AJ623" s="8"/>
      <c r="AK623" s="8"/>
      <c r="AL623" s="8"/>
      <c r="AM623" s="8"/>
      <c r="AN623" s="8"/>
      <c r="AO623" s="8"/>
    </row>
    <row r="624" spans="7:41" x14ac:dyDescent="0.2">
      <c r="G624" s="8"/>
      <c r="H624" s="8"/>
      <c r="I624" s="8"/>
      <c r="J624" s="8"/>
      <c r="K624" s="8"/>
      <c r="L624" s="8"/>
      <c r="M624" s="8"/>
      <c r="N624" s="8"/>
      <c r="O624" s="8"/>
      <c r="Q624" s="8"/>
      <c r="R624" s="8"/>
      <c r="S624" s="8"/>
      <c r="T624" s="8"/>
      <c r="U624" s="8"/>
      <c r="V624" s="8"/>
      <c r="W624" s="8"/>
      <c r="X624" s="8"/>
      <c r="Y624" s="8"/>
      <c r="Z624" s="8"/>
      <c r="AA624" s="8"/>
      <c r="AB624" s="8"/>
      <c r="AD624" s="8"/>
      <c r="AE624" s="8"/>
      <c r="AF624" s="8"/>
      <c r="AG624" s="8"/>
      <c r="AH624" s="8"/>
      <c r="AI624" s="8"/>
      <c r="AJ624" s="8"/>
      <c r="AK624" s="8"/>
      <c r="AL624" s="8"/>
      <c r="AM624" s="8"/>
      <c r="AN624" s="8"/>
      <c r="AO624" s="8"/>
    </row>
    <row r="625" spans="7:41" x14ac:dyDescent="0.2">
      <c r="G625" s="8"/>
      <c r="H625" s="8"/>
      <c r="I625" s="8"/>
      <c r="J625" s="8"/>
      <c r="K625" s="8"/>
      <c r="L625" s="8"/>
      <c r="M625" s="8"/>
      <c r="N625" s="8"/>
      <c r="O625" s="8"/>
      <c r="Q625" s="8"/>
      <c r="R625" s="8"/>
      <c r="S625" s="8"/>
      <c r="T625" s="8"/>
      <c r="U625" s="8"/>
      <c r="V625" s="8"/>
      <c r="W625" s="8"/>
      <c r="X625" s="8"/>
      <c r="Y625" s="8"/>
      <c r="Z625" s="8"/>
      <c r="AA625" s="8"/>
      <c r="AB625" s="8"/>
      <c r="AD625" s="8"/>
      <c r="AE625" s="8"/>
      <c r="AF625" s="8"/>
      <c r="AG625" s="8"/>
      <c r="AH625" s="8"/>
      <c r="AI625" s="8"/>
      <c r="AJ625" s="8"/>
      <c r="AK625" s="8"/>
      <c r="AL625" s="8"/>
      <c r="AM625" s="8"/>
      <c r="AN625" s="8"/>
      <c r="AO625" s="8"/>
    </row>
    <row r="626" spans="7:41" x14ac:dyDescent="0.2">
      <c r="G626" s="8"/>
      <c r="H626" s="8"/>
      <c r="I626" s="8"/>
      <c r="J626" s="8"/>
      <c r="K626" s="8"/>
      <c r="L626" s="8"/>
      <c r="M626" s="8"/>
      <c r="N626" s="8"/>
      <c r="O626" s="8"/>
      <c r="Q626" s="8"/>
      <c r="R626" s="8"/>
      <c r="S626" s="8"/>
      <c r="T626" s="8"/>
      <c r="U626" s="8"/>
      <c r="V626" s="8"/>
      <c r="W626" s="8"/>
      <c r="X626" s="8"/>
      <c r="Y626" s="8"/>
      <c r="Z626" s="8"/>
      <c r="AA626" s="8"/>
      <c r="AB626" s="8"/>
      <c r="AD626" s="8"/>
      <c r="AE626" s="8"/>
      <c r="AF626" s="8"/>
      <c r="AG626" s="8"/>
      <c r="AH626" s="8"/>
      <c r="AI626" s="8"/>
      <c r="AJ626" s="8"/>
      <c r="AK626" s="8"/>
      <c r="AL626" s="8"/>
      <c r="AM626" s="8"/>
      <c r="AN626" s="8"/>
      <c r="AO626" s="8"/>
    </row>
    <row r="627" spans="7:41" x14ac:dyDescent="0.2">
      <c r="G627" s="8"/>
      <c r="H627" s="8"/>
      <c r="I627" s="8"/>
      <c r="J627" s="8"/>
      <c r="K627" s="8"/>
      <c r="L627" s="8"/>
      <c r="M627" s="8"/>
      <c r="N627" s="8"/>
      <c r="O627" s="8"/>
      <c r="Q627" s="8"/>
      <c r="R627" s="8"/>
      <c r="S627" s="8"/>
      <c r="T627" s="8"/>
      <c r="U627" s="8"/>
      <c r="V627" s="8"/>
      <c r="W627" s="8"/>
      <c r="X627" s="8"/>
      <c r="Y627" s="8"/>
      <c r="Z627" s="8"/>
      <c r="AA627" s="8"/>
      <c r="AB627" s="8"/>
      <c r="AD627" s="8"/>
      <c r="AE627" s="8"/>
      <c r="AF627" s="8"/>
      <c r="AG627" s="8"/>
      <c r="AH627" s="8"/>
      <c r="AI627" s="8"/>
      <c r="AJ627" s="8"/>
      <c r="AK627" s="8"/>
      <c r="AL627" s="8"/>
      <c r="AM627" s="8"/>
      <c r="AN627" s="8"/>
      <c r="AO627" s="8"/>
    </row>
    <row r="628" spans="7:41" x14ac:dyDescent="0.2">
      <c r="G628" s="8"/>
      <c r="H628" s="8"/>
      <c r="I628" s="8"/>
      <c r="J628" s="8"/>
      <c r="K628" s="8"/>
      <c r="L628" s="8"/>
      <c r="M628" s="8"/>
      <c r="N628" s="8"/>
      <c r="O628" s="8"/>
      <c r="Q628" s="8"/>
      <c r="R628" s="8"/>
      <c r="S628" s="8"/>
      <c r="T628" s="8"/>
      <c r="U628" s="8"/>
      <c r="V628" s="8"/>
      <c r="W628" s="8"/>
      <c r="X628" s="8"/>
      <c r="Y628" s="8"/>
      <c r="Z628" s="8"/>
      <c r="AA628" s="8"/>
      <c r="AB628" s="8"/>
      <c r="AD628" s="8"/>
      <c r="AE628" s="8"/>
      <c r="AF628" s="8"/>
      <c r="AG628" s="8"/>
      <c r="AH628" s="8"/>
      <c r="AI628" s="8"/>
      <c r="AJ628" s="8"/>
      <c r="AK628" s="8"/>
      <c r="AL628" s="8"/>
      <c r="AM628" s="8"/>
      <c r="AN628" s="8"/>
      <c r="AO628" s="8"/>
    </row>
    <row r="629" spans="7:41" x14ac:dyDescent="0.2">
      <c r="G629" s="8"/>
      <c r="H629" s="8"/>
      <c r="I629" s="8"/>
      <c r="J629" s="8"/>
      <c r="K629" s="8"/>
      <c r="L629" s="8"/>
      <c r="M629" s="8"/>
      <c r="N629" s="8"/>
      <c r="O629" s="8"/>
      <c r="Q629" s="8"/>
      <c r="R629" s="8"/>
      <c r="S629" s="8"/>
      <c r="T629" s="8"/>
      <c r="U629" s="8"/>
      <c r="V629" s="8"/>
      <c r="W629" s="8"/>
      <c r="X629" s="8"/>
      <c r="Y629" s="8"/>
      <c r="Z629" s="8"/>
      <c r="AA629" s="8"/>
      <c r="AB629" s="8"/>
      <c r="AD629" s="8"/>
      <c r="AE629" s="8"/>
      <c r="AF629" s="8"/>
      <c r="AG629" s="8"/>
      <c r="AH629" s="8"/>
      <c r="AI629" s="8"/>
      <c r="AJ629" s="8"/>
      <c r="AK629" s="8"/>
      <c r="AL629" s="8"/>
      <c r="AM629" s="8"/>
      <c r="AN629" s="8"/>
      <c r="AO629" s="8"/>
    </row>
    <row r="630" spans="7:41" x14ac:dyDescent="0.2">
      <c r="G630" s="8"/>
      <c r="H630" s="8"/>
      <c r="I630" s="8"/>
      <c r="J630" s="8"/>
      <c r="K630" s="8"/>
      <c r="L630" s="8"/>
      <c r="M630" s="8"/>
      <c r="N630" s="8"/>
      <c r="O630" s="8"/>
      <c r="Q630" s="8"/>
      <c r="R630" s="8"/>
      <c r="S630" s="8"/>
      <c r="T630" s="8"/>
      <c r="U630" s="8"/>
      <c r="V630" s="8"/>
      <c r="W630" s="8"/>
      <c r="X630" s="8"/>
      <c r="Y630" s="8"/>
      <c r="Z630" s="8"/>
      <c r="AA630" s="8"/>
      <c r="AB630" s="8"/>
      <c r="AD630" s="8"/>
      <c r="AE630" s="8"/>
      <c r="AF630" s="8"/>
      <c r="AG630" s="8"/>
      <c r="AH630" s="8"/>
      <c r="AI630" s="8"/>
      <c r="AJ630" s="8"/>
      <c r="AK630" s="8"/>
      <c r="AL630" s="8"/>
      <c r="AM630" s="8"/>
      <c r="AN630" s="8"/>
      <c r="AO630" s="8"/>
    </row>
    <row r="631" spans="7:41" x14ac:dyDescent="0.2">
      <c r="G631" s="8"/>
      <c r="H631" s="8"/>
      <c r="I631" s="8"/>
      <c r="J631" s="8"/>
      <c r="K631" s="8"/>
      <c r="L631" s="8"/>
      <c r="M631" s="8"/>
      <c r="N631" s="8"/>
      <c r="O631" s="8"/>
      <c r="Q631" s="8"/>
      <c r="R631" s="8"/>
      <c r="S631" s="8"/>
      <c r="T631" s="8"/>
      <c r="U631" s="8"/>
      <c r="V631" s="8"/>
      <c r="W631" s="8"/>
      <c r="X631" s="8"/>
      <c r="Y631" s="8"/>
      <c r="Z631" s="8"/>
      <c r="AA631" s="8"/>
      <c r="AB631" s="8"/>
      <c r="AD631" s="8"/>
      <c r="AE631" s="8"/>
      <c r="AF631" s="8"/>
      <c r="AG631" s="8"/>
      <c r="AH631" s="8"/>
      <c r="AI631" s="8"/>
      <c r="AJ631" s="8"/>
      <c r="AK631" s="8"/>
      <c r="AL631" s="8"/>
      <c r="AM631" s="8"/>
      <c r="AN631" s="8"/>
      <c r="AO631" s="8"/>
    </row>
    <row r="632" spans="7:41" x14ac:dyDescent="0.2">
      <c r="G632" s="8"/>
      <c r="H632" s="8"/>
      <c r="I632" s="8"/>
      <c r="J632" s="8"/>
      <c r="K632" s="8"/>
      <c r="L632" s="8"/>
      <c r="M632" s="8"/>
      <c r="N632" s="8"/>
      <c r="O632" s="8"/>
      <c r="Q632" s="8"/>
      <c r="R632" s="8"/>
      <c r="S632" s="8"/>
      <c r="T632" s="8"/>
      <c r="U632" s="8"/>
      <c r="V632" s="8"/>
      <c r="W632" s="8"/>
      <c r="X632" s="8"/>
      <c r="Y632" s="8"/>
      <c r="Z632" s="8"/>
      <c r="AA632" s="8"/>
      <c r="AB632" s="8"/>
      <c r="AD632" s="8"/>
      <c r="AE632" s="8"/>
      <c r="AF632" s="8"/>
      <c r="AG632" s="8"/>
      <c r="AH632" s="8"/>
      <c r="AI632" s="8"/>
      <c r="AJ632" s="8"/>
      <c r="AK632" s="8"/>
      <c r="AL632" s="8"/>
      <c r="AM632" s="8"/>
      <c r="AN632" s="8"/>
      <c r="AO632" s="8"/>
    </row>
    <row r="633" spans="7:41" x14ac:dyDescent="0.2">
      <c r="G633" s="8"/>
      <c r="H633" s="8"/>
      <c r="I633" s="8"/>
      <c r="J633" s="8"/>
      <c r="K633" s="8"/>
      <c r="L633" s="8"/>
      <c r="M633" s="8"/>
      <c r="N633" s="8"/>
      <c r="O633" s="8"/>
      <c r="Q633" s="8"/>
      <c r="R633" s="8"/>
      <c r="S633" s="8"/>
      <c r="T633" s="8"/>
      <c r="U633" s="8"/>
      <c r="V633" s="8"/>
      <c r="W633" s="8"/>
      <c r="X633" s="8"/>
      <c r="Y633" s="8"/>
      <c r="Z633" s="8"/>
      <c r="AA633" s="8"/>
      <c r="AB633" s="8"/>
      <c r="AD633" s="8"/>
      <c r="AE633" s="8"/>
      <c r="AF633" s="8"/>
      <c r="AG633" s="8"/>
      <c r="AH633" s="8"/>
      <c r="AI633" s="8"/>
      <c r="AJ633" s="8"/>
      <c r="AK633" s="8"/>
      <c r="AL633" s="8"/>
      <c r="AM633" s="8"/>
      <c r="AN633" s="8"/>
      <c r="AO633" s="8"/>
    </row>
    <row r="634" spans="7:41" x14ac:dyDescent="0.2">
      <c r="G634" s="8"/>
      <c r="H634" s="8"/>
      <c r="I634" s="8"/>
      <c r="J634" s="8"/>
      <c r="K634" s="8"/>
      <c r="L634" s="8"/>
      <c r="M634" s="8"/>
      <c r="N634" s="8"/>
      <c r="O634" s="8"/>
      <c r="Q634" s="8"/>
      <c r="R634" s="8"/>
      <c r="S634" s="8"/>
      <c r="T634" s="8"/>
      <c r="U634" s="8"/>
      <c r="V634" s="8"/>
      <c r="W634" s="8"/>
      <c r="X634" s="8"/>
      <c r="Y634" s="8"/>
      <c r="Z634" s="8"/>
      <c r="AA634" s="8"/>
      <c r="AB634" s="8"/>
      <c r="AD634" s="8"/>
      <c r="AE634" s="8"/>
      <c r="AF634" s="8"/>
      <c r="AG634" s="8"/>
      <c r="AH634" s="8"/>
      <c r="AI634" s="8"/>
      <c r="AJ634" s="8"/>
      <c r="AK634" s="8"/>
      <c r="AL634" s="8"/>
      <c r="AM634" s="8"/>
      <c r="AN634" s="8"/>
      <c r="AO634" s="8"/>
    </row>
    <row r="635" spans="7:41" x14ac:dyDescent="0.2">
      <c r="G635" s="8"/>
      <c r="H635" s="8"/>
      <c r="I635" s="8"/>
      <c r="J635" s="8"/>
      <c r="K635" s="8"/>
      <c r="L635" s="8"/>
      <c r="M635" s="8"/>
      <c r="N635" s="8"/>
      <c r="O635" s="8"/>
      <c r="Q635" s="8"/>
      <c r="R635" s="8"/>
      <c r="S635" s="8"/>
      <c r="T635" s="8"/>
      <c r="U635" s="8"/>
      <c r="V635" s="8"/>
      <c r="W635" s="8"/>
      <c r="X635" s="8"/>
      <c r="Y635" s="8"/>
      <c r="Z635" s="8"/>
      <c r="AA635" s="8"/>
      <c r="AB635" s="8"/>
      <c r="AD635" s="8"/>
      <c r="AE635" s="8"/>
      <c r="AF635" s="8"/>
      <c r="AG635" s="8"/>
      <c r="AH635" s="8"/>
      <c r="AI635" s="8"/>
      <c r="AJ635" s="8"/>
      <c r="AK635" s="8"/>
      <c r="AL635" s="8"/>
      <c r="AM635" s="8"/>
      <c r="AN635" s="8"/>
      <c r="AO635" s="8"/>
    </row>
    <row r="636" spans="7:41" x14ac:dyDescent="0.2">
      <c r="G636" s="8"/>
      <c r="H636" s="8"/>
      <c r="I636" s="8"/>
      <c r="J636" s="8"/>
      <c r="K636" s="8"/>
      <c r="L636" s="8"/>
      <c r="M636" s="8"/>
      <c r="N636" s="8"/>
      <c r="O636" s="8"/>
      <c r="Q636" s="8"/>
      <c r="R636" s="8"/>
      <c r="S636" s="8"/>
      <c r="T636" s="8"/>
      <c r="U636" s="8"/>
      <c r="V636" s="8"/>
      <c r="W636" s="8"/>
      <c r="X636" s="8"/>
      <c r="Y636" s="8"/>
      <c r="Z636" s="8"/>
      <c r="AA636" s="8"/>
      <c r="AB636" s="8"/>
      <c r="AD636" s="8"/>
      <c r="AE636" s="8"/>
      <c r="AF636" s="8"/>
      <c r="AG636" s="8"/>
      <c r="AH636" s="8"/>
      <c r="AI636" s="8"/>
      <c r="AJ636" s="8"/>
      <c r="AK636" s="8"/>
      <c r="AL636" s="8"/>
      <c r="AM636" s="8"/>
      <c r="AN636" s="8"/>
      <c r="AO636" s="8"/>
    </row>
    <row r="637" spans="7:41" x14ac:dyDescent="0.2">
      <c r="G637" s="8"/>
      <c r="H637" s="8"/>
      <c r="I637" s="8"/>
      <c r="J637" s="8"/>
      <c r="K637" s="8"/>
      <c r="L637" s="8"/>
      <c r="M637" s="8"/>
      <c r="N637" s="8"/>
      <c r="O637" s="8"/>
      <c r="Q637" s="8"/>
      <c r="R637" s="8"/>
      <c r="S637" s="8"/>
      <c r="T637" s="8"/>
      <c r="U637" s="8"/>
      <c r="V637" s="8"/>
      <c r="W637" s="8"/>
      <c r="X637" s="8"/>
      <c r="Y637" s="8"/>
      <c r="Z637" s="8"/>
      <c r="AA637" s="8"/>
      <c r="AB637" s="8"/>
      <c r="AD637" s="8"/>
      <c r="AE637" s="8"/>
      <c r="AF637" s="8"/>
      <c r="AG637" s="8"/>
      <c r="AH637" s="8"/>
      <c r="AI637" s="8"/>
      <c r="AJ637" s="8"/>
      <c r="AK637" s="8"/>
      <c r="AL637" s="8"/>
      <c r="AM637" s="8"/>
      <c r="AN637" s="8"/>
      <c r="AO637" s="8"/>
    </row>
    <row r="638" spans="7:41" x14ac:dyDescent="0.2">
      <c r="G638" s="8"/>
      <c r="H638" s="8"/>
      <c r="I638" s="8"/>
      <c r="J638" s="8"/>
      <c r="K638" s="8"/>
      <c r="L638" s="8"/>
      <c r="M638" s="8"/>
      <c r="N638" s="8"/>
      <c r="O638" s="8"/>
      <c r="Q638" s="8"/>
      <c r="R638" s="8"/>
      <c r="S638" s="8"/>
      <c r="T638" s="8"/>
      <c r="U638" s="8"/>
      <c r="V638" s="8"/>
      <c r="W638" s="8"/>
      <c r="X638" s="8"/>
      <c r="Y638" s="8"/>
      <c r="Z638" s="8"/>
      <c r="AA638" s="8"/>
      <c r="AB638" s="8"/>
      <c r="AD638" s="8"/>
      <c r="AE638" s="8"/>
      <c r="AF638" s="8"/>
      <c r="AG638" s="8"/>
      <c r="AH638" s="8"/>
      <c r="AI638" s="8"/>
      <c r="AJ638" s="8"/>
      <c r="AK638" s="8"/>
      <c r="AL638" s="8"/>
      <c r="AM638" s="8"/>
      <c r="AN638" s="8"/>
      <c r="AO638" s="8"/>
    </row>
    <row r="639" spans="7:41" x14ac:dyDescent="0.2">
      <c r="G639" s="8"/>
      <c r="H639" s="8"/>
      <c r="I639" s="8"/>
      <c r="J639" s="8"/>
      <c r="K639" s="8"/>
      <c r="L639" s="8"/>
      <c r="M639" s="8"/>
      <c r="N639" s="8"/>
      <c r="O639" s="8"/>
      <c r="Q639" s="8"/>
      <c r="R639" s="8"/>
      <c r="S639" s="8"/>
      <c r="T639" s="8"/>
      <c r="U639" s="8"/>
      <c r="V639" s="8"/>
      <c r="W639" s="8"/>
      <c r="X639" s="8"/>
      <c r="Y639" s="8"/>
      <c r="Z639" s="8"/>
      <c r="AA639" s="8"/>
      <c r="AB639" s="8"/>
      <c r="AD639" s="8"/>
      <c r="AE639" s="8"/>
      <c r="AF639" s="8"/>
      <c r="AG639" s="8"/>
      <c r="AH639" s="8"/>
      <c r="AI639" s="8"/>
      <c r="AJ639" s="8"/>
      <c r="AK639" s="8"/>
      <c r="AL639" s="8"/>
      <c r="AM639" s="8"/>
      <c r="AN639" s="8"/>
      <c r="AO639" s="8"/>
    </row>
    <row r="640" spans="7:41" x14ac:dyDescent="0.2">
      <c r="G640" s="8"/>
      <c r="H640" s="8"/>
      <c r="I640" s="8"/>
      <c r="J640" s="8"/>
      <c r="K640" s="8"/>
      <c r="L640" s="8"/>
      <c r="M640" s="8"/>
      <c r="N640" s="8"/>
      <c r="O640" s="8"/>
      <c r="Q640" s="8"/>
      <c r="R640" s="8"/>
      <c r="S640" s="8"/>
      <c r="T640" s="8"/>
      <c r="U640" s="8"/>
      <c r="V640" s="8"/>
      <c r="W640" s="8"/>
      <c r="X640" s="8"/>
      <c r="Y640" s="8"/>
      <c r="Z640" s="8"/>
      <c r="AA640" s="8"/>
      <c r="AB640" s="8"/>
      <c r="AD640" s="8"/>
      <c r="AE640" s="8"/>
      <c r="AF640" s="8"/>
      <c r="AG640" s="8"/>
      <c r="AH640" s="8"/>
      <c r="AI640" s="8"/>
      <c r="AJ640" s="8"/>
      <c r="AK640" s="8"/>
      <c r="AL640" s="8"/>
      <c r="AM640" s="8"/>
      <c r="AN640" s="8"/>
      <c r="AO640" s="8"/>
    </row>
    <row r="641" spans="7:41" x14ac:dyDescent="0.2">
      <c r="G641" s="8"/>
      <c r="H641" s="8"/>
      <c r="I641" s="8"/>
      <c r="J641" s="8"/>
      <c r="K641" s="8"/>
      <c r="L641" s="8"/>
      <c r="M641" s="8"/>
      <c r="N641" s="8"/>
      <c r="O641" s="8"/>
      <c r="Q641" s="8"/>
      <c r="R641" s="8"/>
      <c r="S641" s="8"/>
      <c r="T641" s="8"/>
      <c r="U641" s="8"/>
      <c r="V641" s="8"/>
      <c r="W641" s="8"/>
      <c r="X641" s="8"/>
      <c r="Y641" s="8"/>
      <c r="Z641" s="8"/>
      <c r="AA641" s="8"/>
      <c r="AB641" s="8"/>
      <c r="AD641" s="8"/>
      <c r="AE641" s="8"/>
      <c r="AF641" s="8"/>
      <c r="AG641" s="8"/>
      <c r="AH641" s="8"/>
      <c r="AI641" s="8"/>
      <c r="AJ641" s="8"/>
      <c r="AK641" s="8"/>
      <c r="AL641" s="8"/>
      <c r="AM641" s="8"/>
      <c r="AN641" s="8"/>
      <c r="AO641" s="8"/>
    </row>
    <row r="642" spans="7:41" x14ac:dyDescent="0.2">
      <c r="G642" s="8"/>
      <c r="H642" s="8"/>
      <c r="I642" s="8"/>
      <c r="J642" s="8"/>
      <c r="K642" s="8"/>
      <c r="L642" s="8"/>
      <c r="M642" s="8"/>
      <c r="N642" s="8"/>
      <c r="O642" s="8"/>
      <c r="Q642" s="8"/>
      <c r="R642" s="8"/>
      <c r="S642" s="8"/>
      <c r="T642" s="8"/>
      <c r="U642" s="8"/>
      <c r="V642" s="8"/>
      <c r="W642" s="8"/>
      <c r="X642" s="8"/>
      <c r="Y642" s="8"/>
      <c r="Z642" s="8"/>
      <c r="AA642" s="8"/>
      <c r="AB642" s="8"/>
      <c r="AD642" s="8"/>
      <c r="AE642" s="8"/>
      <c r="AF642" s="8"/>
      <c r="AG642" s="8"/>
      <c r="AH642" s="8"/>
      <c r="AI642" s="8"/>
      <c r="AJ642" s="8"/>
      <c r="AK642" s="8"/>
      <c r="AL642" s="8"/>
      <c r="AM642" s="8"/>
      <c r="AN642" s="8"/>
      <c r="AO642" s="8"/>
    </row>
    <row r="643" spans="7:41" x14ac:dyDescent="0.2">
      <c r="G643" s="8"/>
      <c r="H643" s="8"/>
      <c r="I643" s="8"/>
      <c r="J643" s="8"/>
      <c r="K643" s="8"/>
      <c r="L643" s="8"/>
      <c r="M643" s="8"/>
      <c r="N643" s="8"/>
      <c r="O643" s="8"/>
      <c r="Q643" s="8"/>
      <c r="R643" s="8"/>
      <c r="S643" s="8"/>
      <c r="T643" s="8"/>
      <c r="U643" s="8"/>
      <c r="V643" s="8"/>
      <c r="W643" s="8"/>
      <c r="X643" s="8"/>
      <c r="Y643" s="8"/>
      <c r="Z643" s="8"/>
      <c r="AA643" s="8"/>
      <c r="AB643" s="8"/>
      <c r="AD643" s="8"/>
      <c r="AE643" s="8"/>
      <c r="AF643" s="8"/>
      <c r="AG643" s="8"/>
      <c r="AH643" s="8"/>
      <c r="AI643" s="8"/>
      <c r="AJ643" s="8"/>
      <c r="AK643" s="8"/>
      <c r="AL643" s="8"/>
      <c r="AM643" s="8"/>
      <c r="AN643" s="8"/>
      <c r="AO643" s="8"/>
    </row>
    <row r="644" spans="7:41" x14ac:dyDescent="0.2">
      <c r="G644" s="8"/>
      <c r="H644" s="8"/>
      <c r="I644" s="8"/>
      <c r="J644" s="8"/>
      <c r="K644" s="8"/>
      <c r="L644" s="8"/>
      <c r="M644" s="8"/>
      <c r="N644" s="8"/>
      <c r="O644" s="8"/>
      <c r="Q644" s="8"/>
      <c r="R644" s="8"/>
      <c r="S644" s="8"/>
      <c r="T644" s="8"/>
      <c r="U644" s="8"/>
      <c r="V644" s="8"/>
      <c r="W644" s="8"/>
      <c r="X644" s="8"/>
      <c r="Y644" s="8"/>
      <c r="Z644" s="8"/>
      <c r="AA644" s="8"/>
      <c r="AB644" s="8"/>
      <c r="AD644" s="8"/>
      <c r="AE644" s="8"/>
      <c r="AF644" s="8"/>
      <c r="AG644" s="8"/>
      <c r="AH644" s="8"/>
      <c r="AI644" s="8"/>
      <c r="AJ644" s="8"/>
      <c r="AK644" s="8"/>
      <c r="AL644" s="8"/>
      <c r="AM644" s="8"/>
      <c r="AN644" s="8"/>
      <c r="AO644" s="8"/>
    </row>
    <row r="645" spans="7:41" x14ac:dyDescent="0.2">
      <c r="G645" s="8"/>
      <c r="H645" s="8"/>
      <c r="I645" s="8"/>
      <c r="J645" s="8"/>
      <c r="K645" s="8"/>
      <c r="L645" s="8"/>
      <c r="M645" s="8"/>
      <c r="N645" s="8"/>
      <c r="O645" s="8"/>
      <c r="Q645" s="8"/>
      <c r="R645" s="8"/>
      <c r="S645" s="8"/>
      <c r="T645" s="8"/>
      <c r="U645" s="8"/>
      <c r="V645" s="8"/>
      <c r="W645" s="8"/>
      <c r="X645" s="8"/>
      <c r="Y645" s="8"/>
      <c r="Z645" s="8"/>
      <c r="AA645" s="8"/>
      <c r="AB645" s="8"/>
      <c r="AD645" s="8"/>
      <c r="AE645" s="8"/>
      <c r="AF645" s="8"/>
      <c r="AG645" s="8"/>
      <c r="AH645" s="8"/>
      <c r="AI645" s="8"/>
      <c r="AJ645" s="8"/>
      <c r="AK645" s="8"/>
      <c r="AL645" s="8"/>
      <c r="AM645" s="8"/>
      <c r="AN645" s="8"/>
      <c r="AO645" s="8"/>
    </row>
    <row r="646" spans="7:41" x14ac:dyDescent="0.2">
      <c r="G646" s="8"/>
      <c r="H646" s="8"/>
      <c r="I646" s="8"/>
      <c r="J646" s="8"/>
      <c r="K646" s="8"/>
      <c r="L646" s="8"/>
      <c r="M646" s="8"/>
      <c r="N646" s="8"/>
      <c r="O646" s="8"/>
      <c r="Q646" s="8"/>
      <c r="R646" s="8"/>
      <c r="S646" s="8"/>
      <c r="T646" s="8"/>
      <c r="U646" s="8"/>
      <c r="V646" s="8"/>
      <c r="W646" s="8"/>
      <c r="X646" s="8"/>
      <c r="Y646" s="8"/>
      <c r="Z646" s="8"/>
      <c r="AA646" s="8"/>
      <c r="AB646" s="8"/>
      <c r="AD646" s="8"/>
      <c r="AE646" s="8"/>
      <c r="AF646" s="8"/>
      <c r="AG646" s="8"/>
      <c r="AH646" s="8"/>
      <c r="AI646" s="8"/>
      <c r="AJ646" s="8"/>
      <c r="AK646" s="8"/>
      <c r="AL646" s="8"/>
      <c r="AM646" s="8"/>
      <c r="AN646" s="8"/>
      <c r="AO646" s="8"/>
    </row>
    <row r="647" spans="7:41" x14ac:dyDescent="0.2">
      <c r="G647" s="8"/>
      <c r="H647" s="8"/>
      <c r="I647" s="8"/>
      <c r="J647" s="8"/>
      <c r="K647" s="8"/>
      <c r="L647" s="8"/>
      <c r="M647" s="8"/>
      <c r="N647" s="8"/>
      <c r="O647" s="8"/>
      <c r="Q647" s="8"/>
      <c r="R647" s="8"/>
      <c r="S647" s="8"/>
      <c r="T647" s="8"/>
      <c r="U647" s="8"/>
      <c r="V647" s="8"/>
      <c r="W647" s="8"/>
      <c r="X647" s="8"/>
      <c r="Y647" s="8"/>
      <c r="Z647" s="8"/>
      <c r="AA647" s="8"/>
      <c r="AB647" s="8"/>
      <c r="AD647" s="8"/>
      <c r="AE647" s="8"/>
      <c r="AF647" s="8"/>
      <c r="AG647" s="8"/>
      <c r="AH647" s="8"/>
      <c r="AI647" s="8"/>
      <c r="AJ647" s="8"/>
      <c r="AK647" s="8"/>
      <c r="AL647" s="8"/>
      <c r="AM647" s="8"/>
      <c r="AN647" s="8"/>
      <c r="AO647" s="8"/>
    </row>
    <row r="648" spans="7:41" x14ac:dyDescent="0.2">
      <c r="G648" s="8"/>
      <c r="H648" s="8"/>
      <c r="I648" s="8"/>
      <c r="J648" s="8"/>
      <c r="K648" s="8"/>
      <c r="L648" s="8"/>
      <c r="M648" s="8"/>
      <c r="N648" s="8"/>
      <c r="O648" s="8"/>
      <c r="Q648" s="8"/>
      <c r="R648" s="8"/>
      <c r="S648" s="8"/>
      <c r="T648" s="8"/>
      <c r="U648" s="8"/>
      <c r="V648" s="8"/>
      <c r="W648" s="8"/>
      <c r="X648" s="8"/>
      <c r="Y648" s="8"/>
      <c r="Z648" s="8"/>
      <c r="AA648" s="8"/>
      <c r="AB648" s="8"/>
      <c r="AD648" s="8"/>
      <c r="AE648" s="8"/>
      <c r="AF648" s="8"/>
      <c r="AG648" s="8"/>
      <c r="AH648" s="8"/>
      <c r="AI648" s="8"/>
      <c r="AJ648" s="8"/>
      <c r="AK648" s="8"/>
      <c r="AL648" s="8"/>
      <c r="AM648" s="8"/>
      <c r="AN648" s="8"/>
      <c r="AO648" s="8"/>
    </row>
    <row r="649" spans="7:41" x14ac:dyDescent="0.2">
      <c r="G649" s="8"/>
      <c r="H649" s="8"/>
      <c r="I649" s="8"/>
      <c r="J649" s="8"/>
      <c r="K649" s="8"/>
      <c r="L649" s="8"/>
      <c r="M649" s="8"/>
      <c r="N649" s="8"/>
      <c r="O649" s="8"/>
      <c r="Q649" s="8"/>
      <c r="R649" s="8"/>
      <c r="S649" s="8"/>
      <c r="T649" s="8"/>
      <c r="U649" s="8"/>
      <c r="V649" s="8"/>
      <c r="W649" s="8"/>
      <c r="X649" s="8"/>
      <c r="Y649" s="8"/>
      <c r="Z649" s="8"/>
      <c r="AA649" s="8"/>
      <c r="AB649" s="8"/>
      <c r="AD649" s="8"/>
      <c r="AE649" s="8"/>
      <c r="AF649" s="8"/>
      <c r="AG649" s="8"/>
      <c r="AH649" s="8"/>
      <c r="AI649" s="8"/>
      <c r="AJ649" s="8"/>
      <c r="AK649" s="8"/>
      <c r="AL649" s="8"/>
      <c r="AM649" s="8"/>
      <c r="AN649" s="8"/>
      <c r="AO649" s="8"/>
    </row>
    <row r="650" spans="7:41" x14ac:dyDescent="0.2">
      <c r="G650" s="8"/>
      <c r="H650" s="8"/>
      <c r="I650" s="8"/>
      <c r="J650" s="8"/>
      <c r="K650" s="8"/>
      <c r="L650" s="8"/>
      <c r="M650" s="8"/>
      <c r="N650" s="8"/>
      <c r="O650" s="8"/>
      <c r="Q650" s="8"/>
      <c r="R650" s="8"/>
      <c r="S650" s="8"/>
      <c r="T650" s="8"/>
      <c r="U650" s="8"/>
      <c r="V650" s="8"/>
      <c r="W650" s="8"/>
      <c r="X650" s="8"/>
      <c r="Y650" s="8"/>
      <c r="Z650" s="8"/>
      <c r="AA650" s="8"/>
      <c r="AB650" s="8"/>
      <c r="AD650" s="8"/>
      <c r="AE650" s="8"/>
      <c r="AF650" s="8"/>
      <c r="AG650" s="8"/>
      <c r="AH650" s="8"/>
      <c r="AI650" s="8"/>
      <c r="AJ650" s="8"/>
      <c r="AK650" s="8"/>
      <c r="AL650" s="8"/>
      <c r="AM650" s="8"/>
      <c r="AN650" s="8"/>
      <c r="AO650" s="8"/>
    </row>
    <row r="651" spans="7:41" x14ac:dyDescent="0.2">
      <c r="G651" s="8"/>
      <c r="H651" s="8"/>
      <c r="I651" s="8"/>
      <c r="J651" s="8"/>
      <c r="K651" s="8"/>
      <c r="L651" s="8"/>
      <c r="M651" s="8"/>
      <c r="N651" s="8"/>
      <c r="O651" s="8"/>
      <c r="Q651" s="8"/>
      <c r="R651" s="8"/>
      <c r="S651" s="8"/>
      <c r="T651" s="8"/>
      <c r="U651" s="8"/>
      <c r="V651" s="8"/>
      <c r="W651" s="8"/>
      <c r="X651" s="8"/>
      <c r="Y651" s="8"/>
      <c r="Z651" s="8"/>
      <c r="AA651" s="8"/>
      <c r="AB651" s="8"/>
      <c r="AD651" s="8"/>
      <c r="AE651" s="8"/>
      <c r="AF651" s="8"/>
      <c r="AG651" s="8"/>
      <c r="AH651" s="8"/>
      <c r="AI651" s="8"/>
      <c r="AJ651" s="8"/>
      <c r="AK651" s="8"/>
      <c r="AL651" s="8"/>
      <c r="AM651" s="8"/>
      <c r="AN651" s="8"/>
      <c r="AO651" s="8"/>
    </row>
    <row r="652" spans="7:41" x14ac:dyDescent="0.2">
      <c r="G652" s="8"/>
      <c r="H652" s="8"/>
      <c r="I652" s="8"/>
      <c r="J652" s="8"/>
      <c r="K652" s="8"/>
      <c r="L652" s="8"/>
      <c r="M652" s="8"/>
      <c r="N652" s="8"/>
      <c r="O652" s="8"/>
      <c r="Q652" s="8"/>
      <c r="R652" s="8"/>
      <c r="S652" s="8"/>
      <c r="T652" s="8"/>
      <c r="U652" s="8"/>
      <c r="V652" s="8"/>
      <c r="W652" s="8"/>
      <c r="X652" s="8"/>
      <c r="Y652" s="8"/>
      <c r="Z652" s="8"/>
      <c r="AA652" s="8"/>
      <c r="AB652" s="8"/>
      <c r="AD652" s="8"/>
      <c r="AE652" s="8"/>
      <c r="AF652" s="8"/>
      <c r="AG652" s="8"/>
      <c r="AH652" s="8"/>
      <c r="AI652" s="8"/>
      <c r="AJ652" s="8"/>
      <c r="AK652" s="8"/>
      <c r="AL652" s="8"/>
      <c r="AM652" s="8"/>
      <c r="AN652" s="8"/>
      <c r="AO652" s="8"/>
    </row>
    <row r="653" spans="7:41" x14ac:dyDescent="0.2">
      <c r="G653" s="8"/>
      <c r="H653" s="8"/>
      <c r="I653" s="8"/>
      <c r="J653" s="8"/>
      <c r="K653" s="8"/>
      <c r="L653" s="8"/>
      <c r="M653" s="8"/>
      <c r="N653" s="8"/>
      <c r="O653" s="8"/>
      <c r="Q653" s="8"/>
      <c r="R653" s="8"/>
      <c r="S653" s="8"/>
      <c r="T653" s="8"/>
      <c r="U653" s="8"/>
      <c r="V653" s="8"/>
      <c r="W653" s="8"/>
      <c r="X653" s="8"/>
      <c r="Y653" s="8"/>
      <c r="Z653" s="8"/>
      <c r="AA653" s="8"/>
      <c r="AB653" s="8"/>
      <c r="AD653" s="8"/>
      <c r="AE653" s="8"/>
      <c r="AF653" s="8"/>
      <c r="AG653" s="8"/>
      <c r="AH653" s="8"/>
      <c r="AI653" s="8"/>
      <c r="AJ653" s="8"/>
      <c r="AK653" s="8"/>
      <c r="AL653" s="8"/>
      <c r="AM653" s="8"/>
      <c r="AN653" s="8"/>
      <c r="AO653" s="8"/>
    </row>
    <row r="654" spans="7:41" x14ac:dyDescent="0.2">
      <c r="G654" s="8"/>
      <c r="H654" s="8"/>
      <c r="I654" s="8"/>
      <c r="J654" s="8"/>
      <c r="K654" s="8"/>
      <c r="L654" s="8"/>
      <c r="M654" s="8"/>
      <c r="N654" s="8"/>
      <c r="O654" s="8"/>
      <c r="Q654" s="8"/>
      <c r="R654" s="8"/>
      <c r="S654" s="8"/>
      <c r="T654" s="8"/>
      <c r="U654" s="8"/>
      <c r="V654" s="8"/>
      <c r="W654" s="8"/>
      <c r="X654" s="8"/>
      <c r="Y654" s="8"/>
      <c r="Z654" s="8"/>
      <c r="AA654" s="8"/>
      <c r="AB654" s="8"/>
      <c r="AD654" s="8"/>
      <c r="AE654" s="8"/>
      <c r="AF654" s="8"/>
      <c r="AG654" s="8"/>
      <c r="AH654" s="8"/>
      <c r="AI654" s="8"/>
      <c r="AJ654" s="8"/>
      <c r="AK654" s="8"/>
      <c r="AL654" s="8"/>
      <c r="AM654" s="8"/>
      <c r="AN654" s="8"/>
      <c r="AO654" s="8"/>
    </row>
    <row r="655" spans="7:41" x14ac:dyDescent="0.2">
      <c r="G655" s="8"/>
      <c r="H655" s="8"/>
      <c r="I655" s="8"/>
      <c r="J655" s="8"/>
      <c r="K655" s="8"/>
      <c r="L655" s="8"/>
      <c r="M655" s="8"/>
      <c r="N655" s="8"/>
      <c r="O655" s="8"/>
      <c r="Q655" s="8"/>
      <c r="R655" s="8"/>
      <c r="S655" s="8"/>
      <c r="T655" s="8"/>
      <c r="U655" s="8"/>
      <c r="V655" s="8"/>
      <c r="W655" s="8"/>
      <c r="X655" s="8"/>
      <c r="Y655" s="8"/>
      <c r="Z655" s="8"/>
      <c r="AA655" s="8"/>
      <c r="AB655" s="8"/>
      <c r="AD655" s="8"/>
      <c r="AE655" s="8"/>
      <c r="AF655" s="8"/>
      <c r="AG655" s="8"/>
      <c r="AH655" s="8"/>
      <c r="AI655" s="8"/>
      <c r="AJ655" s="8"/>
      <c r="AK655" s="8"/>
      <c r="AL655" s="8"/>
      <c r="AM655" s="8"/>
      <c r="AN655" s="8"/>
      <c r="AO655" s="8"/>
    </row>
    <row r="656" spans="7:41" x14ac:dyDescent="0.2">
      <c r="G656" s="8"/>
      <c r="H656" s="8"/>
      <c r="I656" s="8"/>
      <c r="J656" s="8"/>
      <c r="K656" s="8"/>
      <c r="L656" s="8"/>
      <c r="M656" s="8"/>
      <c r="N656" s="8"/>
      <c r="O656" s="8"/>
      <c r="Q656" s="8"/>
      <c r="R656" s="8"/>
      <c r="S656" s="8"/>
      <c r="T656" s="8"/>
      <c r="U656" s="8"/>
      <c r="V656" s="8"/>
      <c r="W656" s="8"/>
      <c r="X656" s="8"/>
      <c r="Y656" s="8"/>
      <c r="Z656" s="8"/>
      <c r="AA656" s="8"/>
      <c r="AB656" s="8"/>
      <c r="AD656" s="8"/>
      <c r="AE656" s="8"/>
      <c r="AF656" s="8"/>
      <c r="AG656" s="8"/>
      <c r="AH656" s="8"/>
      <c r="AI656" s="8"/>
      <c r="AJ656" s="8"/>
      <c r="AK656" s="8"/>
      <c r="AL656" s="8"/>
      <c r="AM656" s="8"/>
      <c r="AN656" s="8"/>
      <c r="AO656" s="8"/>
    </row>
    <row r="657" spans="7:41" x14ac:dyDescent="0.2">
      <c r="G657" s="8"/>
      <c r="H657" s="8"/>
      <c r="I657" s="8"/>
      <c r="J657" s="8"/>
      <c r="K657" s="8"/>
      <c r="L657" s="8"/>
      <c r="M657" s="8"/>
      <c r="N657" s="8"/>
      <c r="O657" s="8"/>
      <c r="Q657" s="8"/>
      <c r="R657" s="8"/>
      <c r="S657" s="8"/>
      <c r="T657" s="8"/>
      <c r="U657" s="8"/>
      <c r="V657" s="8"/>
      <c r="W657" s="8"/>
      <c r="X657" s="8"/>
      <c r="Y657" s="8"/>
      <c r="Z657" s="8"/>
      <c r="AA657" s="8"/>
      <c r="AB657" s="8"/>
      <c r="AD657" s="8"/>
      <c r="AE657" s="8"/>
      <c r="AF657" s="8"/>
      <c r="AG657" s="8"/>
      <c r="AH657" s="8"/>
      <c r="AI657" s="8"/>
      <c r="AJ657" s="8"/>
      <c r="AK657" s="8"/>
      <c r="AL657" s="8"/>
      <c r="AM657" s="8"/>
      <c r="AN657" s="8"/>
      <c r="AO657" s="8"/>
    </row>
    <row r="658" spans="7:41" x14ac:dyDescent="0.2">
      <c r="G658" s="8"/>
      <c r="H658" s="8"/>
      <c r="I658" s="8"/>
      <c r="J658" s="8"/>
      <c r="K658" s="8"/>
      <c r="L658" s="8"/>
      <c r="M658" s="8"/>
      <c r="N658" s="8"/>
      <c r="O658" s="8"/>
      <c r="Q658" s="8"/>
      <c r="R658" s="8"/>
      <c r="S658" s="8"/>
      <c r="T658" s="8"/>
      <c r="U658" s="8"/>
      <c r="V658" s="8"/>
      <c r="W658" s="8"/>
      <c r="X658" s="8"/>
      <c r="Y658" s="8"/>
      <c r="Z658" s="8"/>
      <c r="AA658" s="8"/>
      <c r="AB658" s="8"/>
      <c r="AD658" s="8"/>
      <c r="AE658" s="8"/>
      <c r="AF658" s="8"/>
      <c r="AG658" s="8"/>
      <c r="AH658" s="8"/>
      <c r="AI658" s="8"/>
      <c r="AJ658" s="8"/>
      <c r="AK658" s="8"/>
      <c r="AL658" s="8"/>
      <c r="AM658" s="8"/>
      <c r="AN658" s="8"/>
      <c r="AO658" s="8"/>
    </row>
    <row r="659" spans="7:41" x14ac:dyDescent="0.2">
      <c r="G659" s="8"/>
      <c r="H659" s="8"/>
      <c r="I659" s="8"/>
      <c r="J659" s="8"/>
      <c r="K659" s="8"/>
      <c r="L659" s="8"/>
      <c r="M659" s="8"/>
      <c r="N659" s="8"/>
      <c r="O659" s="8"/>
      <c r="Q659" s="8"/>
      <c r="R659" s="8"/>
      <c r="S659" s="8"/>
      <c r="T659" s="8"/>
      <c r="U659" s="8"/>
      <c r="V659" s="8"/>
      <c r="W659" s="8"/>
      <c r="X659" s="8"/>
      <c r="Y659" s="8"/>
      <c r="Z659" s="8"/>
      <c r="AA659" s="8"/>
      <c r="AB659" s="8"/>
      <c r="AD659" s="8"/>
      <c r="AE659" s="8"/>
      <c r="AF659" s="8"/>
      <c r="AG659" s="8"/>
      <c r="AH659" s="8"/>
      <c r="AI659" s="8"/>
      <c r="AJ659" s="8"/>
      <c r="AK659" s="8"/>
      <c r="AL659" s="8"/>
      <c r="AM659" s="8"/>
      <c r="AN659" s="8"/>
      <c r="AO659" s="8"/>
    </row>
    <row r="660" spans="7:41" x14ac:dyDescent="0.2">
      <c r="G660" s="8"/>
      <c r="H660" s="8"/>
      <c r="I660" s="8"/>
      <c r="J660" s="8"/>
      <c r="K660" s="8"/>
      <c r="L660" s="8"/>
      <c r="M660" s="8"/>
      <c r="N660" s="8"/>
      <c r="O660" s="8"/>
      <c r="Q660" s="8"/>
      <c r="R660" s="8"/>
      <c r="S660" s="8"/>
      <c r="T660" s="8"/>
      <c r="U660" s="8"/>
      <c r="V660" s="8"/>
      <c r="W660" s="8"/>
      <c r="X660" s="8"/>
      <c r="Y660" s="8"/>
      <c r="Z660" s="8"/>
      <c r="AA660" s="8"/>
      <c r="AB660" s="8"/>
      <c r="AD660" s="8"/>
      <c r="AE660" s="8"/>
      <c r="AF660" s="8"/>
      <c r="AG660" s="8"/>
      <c r="AH660" s="8"/>
      <c r="AI660" s="8"/>
      <c r="AJ660" s="8"/>
      <c r="AK660" s="8"/>
      <c r="AL660" s="8"/>
      <c r="AM660" s="8"/>
      <c r="AN660" s="8"/>
      <c r="AO660" s="8"/>
    </row>
    <row r="661" spans="7:41" x14ac:dyDescent="0.2">
      <c r="G661" s="8"/>
      <c r="H661" s="8"/>
      <c r="I661" s="8"/>
      <c r="J661" s="8"/>
      <c r="K661" s="8"/>
      <c r="L661" s="8"/>
      <c r="M661" s="8"/>
      <c r="N661" s="8"/>
      <c r="O661" s="8"/>
      <c r="Q661" s="8"/>
      <c r="R661" s="8"/>
      <c r="S661" s="8"/>
      <c r="T661" s="8"/>
      <c r="U661" s="8"/>
      <c r="V661" s="8"/>
      <c r="W661" s="8"/>
      <c r="X661" s="8"/>
      <c r="Y661" s="8"/>
      <c r="Z661" s="8"/>
      <c r="AA661" s="8"/>
      <c r="AB661" s="8"/>
      <c r="AD661" s="8"/>
      <c r="AE661" s="8"/>
      <c r="AF661" s="8"/>
      <c r="AG661" s="8"/>
      <c r="AH661" s="8"/>
      <c r="AI661" s="8"/>
      <c r="AJ661" s="8"/>
      <c r="AK661" s="8"/>
      <c r="AL661" s="8"/>
      <c r="AM661" s="8"/>
      <c r="AN661" s="8"/>
      <c r="AO661" s="8"/>
    </row>
    <row r="662" spans="7:41" x14ac:dyDescent="0.2">
      <c r="G662" s="8"/>
      <c r="H662" s="8"/>
      <c r="I662" s="8"/>
      <c r="J662" s="8"/>
      <c r="K662" s="8"/>
      <c r="L662" s="8"/>
      <c r="M662" s="8"/>
      <c r="N662" s="8"/>
      <c r="O662" s="8"/>
      <c r="Q662" s="8"/>
      <c r="R662" s="8"/>
      <c r="S662" s="8"/>
      <c r="T662" s="8"/>
      <c r="U662" s="8"/>
      <c r="V662" s="8"/>
      <c r="W662" s="8"/>
      <c r="X662" s="8"/>
      <c r="Y662" s="8"/>
      <c r="Z662" s="8"/>
      <c r="AA662" s="8"/>
      <c r="AB662" s="8"/>
      <c r="AD662" s="8"/>
      <c r="AE662" s="8"/>
      <c r="AF662" s="8"/>
      <c r="AG662" s="8"/>
      <c r="AH662" s="8"/>
      <c r="AI662" s="8"/>
      <c r="AJ662" s="8"/>
      <c r="AK662" s="8"/>
      <c r="AL662" s="8"/>
      <c r="AM662" s="8"/>
      <c r="AN662" s="8"/>
      <c r="AO662" s="8"/>
    </row>
    <row r="663" spans="7:41" x14ac:dyDescent="0.2">
      <c r="G663" s="8"/>
      <c r="H663" s="8"/>
      <c r="I663" s="8"/>
      <c r="J663" s="8"/>
      <c r="K663" s="8"/>
      <c r="L663" s="8"/>
      <c r="M663" s="8"/>
      <c r="N663" s="8"/>
      <c r="O663" s="8"/>
      <c r="Q663" s="8"/>
      <c r="R663" s="8"/>
      <c r="S663" s="8"/>
      <c r="T663" s="8"/>
      <c r="U663" s="8"/>
      <c r="V663" s="8"/>
      <c r="W663" s="8"/>
      <c r="X663" s="8"/>
      <c r="Y663" s="8"/>
      <c r="Z663" s="8"/>
      <c r="AA663" s="8"/>
      <c r="AB663" s="8"/>
      <c r="AD663" s="8"/>
      <c r="AE663" s="8"/>
      <c r="AF663" s="8"/>
      <c r="AG663" s="8"/>
      <c r="AH663" s="8"/>
      <c r="AI663" s="8"/>
      <c r="AJ663" s="8"/>
      <c r="AK663" s="8"/>
      <c r="AL663" s="8"/>
      <c r="AM663" s="8"/>
      <c r="AN663" s="8"/>
      <c r="AO663" s="8"/>
    </row>
    <row r="664" spans="7:41" x14ac:dyDescent="0.2">
      <c r="G664" s="8"/>
      <c r="H664" s="8"/>
      <c r="I664" s="8"/>
      <c r="J664" s="8"/>
      <c r="K664" s="8"/>
      <c r="L664" s="8"/>
      <c r="M664" s="8"/>
      <c r="N664" s="8"/>
      <c r="O664" s="8"/>
      <c r="Q664" s="8"/>
      <c r="R664" s="8"/>
      <c r="S664" s="8"/>
      <c r="T664" s="8"/>
      <c r="U664" s="8"/>
      <c r="V664" s="8"/>
      <c r="W664" s="8"/>
      <c r="X664" s="8"/>
      <c r="Y664" s="8"/>
      <c r="Z664" s="8"/>
      <c r="AA664" s="8"/>
      <c r="AB664" s="8"/>
      <c r="AD664" s="8"/>
      <c r="AE664" s="8"/>
      <c r="AF664" s="8"/>
      <c r="AG664" s="8"/>
      <c r="AH664" s="8"/>
      <c r="AI664" s="8"/>
      <c r="AJ664" s="8"/>
      <c r="AK664" s="8"/>
      <c r="AL664" s="8"/>
      <c r="AM664" s="8"/>
      <c r="AN664" s="8"/>
      <c r="AO664" s="8"/>
    </row>
    <row r="665" spans="7:41" x14ac:dyDescent="0.2">
      <c r="G665" s="8"/>
      <c r="H665" s="8"/>
      <c r="I665" s="8"/>
      <c r="J665" s="8"/>
      <c r="K665" s="8"/>
      <c r="L665" s="8"/>
      <c r="M665" s="8"/>
      <c r="N665" s="8"/>
      <c r="O665" s="8"/>
      <c r="Q665" s="8"/>
      <c r="R665" s="8"/>
      <c r="S665" s="8"/>
      <c r="T665" s="8"/>
      <c r="U665" s="8"/>
      <c r="V665" s="8"/>
      <c r="W665" s="8"/>
      <c r="X665" s="8"/>
      <c r="Y665" s="8"/>
      <c r="Z665" s="8"/>
      <c r="AA665" s="8"/>
      <c r="AB665" s="8"/>
      <c r="AD665" s="8"/>
      <c r="AE665" s="8"/>
      <c r="AF665" s="8"/>
      <c r="AG665" s="8"/>
      <c r="AH665" s="8"/>
      <c r="AI665" s="8"/>
      <c r="AJ665" s="8"/>
      <c r="AK665" s="8"/>
      <c r="AL665" s="8"/>
      <c r="AM665" s="8"/>
      <c r="AN665" s="8"/>
      <c r="AO665" s="8"/>
    </row>
    <row r="666" spans="7:41" x14ac:dyDescent="0.2">
      <c r="G666" s="8"/>
      <c r="H666" s="8"/>
      <c r="I666" s="8"/>
      <c r="J666" s="8"/>
      <c r="K666" s="8"/>
      <c r="L666" s="8"/>
      <c r="M666" s="8"/>
      <c r="N666" s="8"/>
      <c r="O666" s="8"/>
      <c r="Q666" s="8"/>
      <c r="R666" s="8"/>
      <c r="S666" s="8"/>
      <c r="T666" s="8"/>
      <c r="U666" s="8"/>
      <c r="V666" s="8"/>
      <c r="W666" s="8"/>
      <c r="X666" s="8"/>
      <c r="Y666" s="8"/>
      <c r="Z666" s="8"/>
      <c r="AA666" s="8"/>
      <c r="AB666" s="8"/>
      <c r="AD666" s="8"/>
      <c r="AE666" s="8"/>
      <c r="AF666" s="8"/>
      <c r="AG666" s="8"/>
      <c r="AH666" s="8"/>
      <c r="AI666" s="8"/>
      <c r="AJ666" s="8"/>
      <c r="AK666" s="8"/>
      <c r="AL666" s="8"/>
      <c r="AM666" s="8"/>
      <c r="AN666" s="8"/>
      <c r="AO666" s="8"/>
    </row>
    <row r="667" spans="7:41" x14ac:dyDescent="0.2">
      <c r="G667" s="8"/>
      <c r="H667" s="8"/>
      <c r="I667" s="8"/>
      <c r="J667" s="8"/>
      <c r="K667" s="8"/>
      <c r="L667" s="8"/>
      <c r="M667" s="8"/>
      <c r="N667" s="8"/>
      <c r="O667" s="8"/>
      <c r="Q667" s="8"/>
      <c r="R667" s="8"/>
      <c r="S667" s="8"/>
      <c r="T667" s="8"/>
      <c r="U667" s="8"/>
      <c r="V667" s="8"/>
      <c r="W667" s="8"/>
      <c r="X667" s="8"/>
      <c r="Y667" s="8"/>
      <c r="Z667" s="8"/>
      <c r="AA667" s="8"/>
      <c r="AB667" s="8"/>
      <c r="AD667" s="8"/>
      <c r="AE667" s="8"/>
      <c r="AF667" s="8"/>
      <c r="AG667" s="8"/>
      <c r="AH667" s="8"/>
      <c r="AI667" s="8"/>
      <c r="AJ667" s="8"/>
      <c r="AK667" s="8"/>
      <c r="AL667" s="8"/>
      <c r="AM667" s="8"/>
      <c r="AN667" s="8"/>
      <c r="AO667" s="8"/>
    </row>
    <row r="668" spans="7:41" x14ac:dyDescent="0.2">
      <c r="G668" s="8"/>
      <c r="H668" s="8"/>
      <c r="I668" s="8"/>
      <c r="J668" s="8"/>
      <c r="K668" s="8"/>
      <c r="L668" s="8"/>
      <c r="M668" s="8"/>
      <c r="N668" s="8"/>
      <c r="O668" s="8"/>
      <c r="Q668" s="8"/>
      <c r="R668" s="8"/>
      <c r="S668" s="8"/>
      <c r="T668" s="8"/>
      <c r="U668" s="8"/>
      <c r="V668" s="8"/>
      <c r="W668" s="8"/>
      <c r="X668" s="8"/>
      <c r="Y668" s="8"/>
      <c r="Z668" s="8"/>
      <c r="AA668" s="8"/>
      <c r="AB668" s="8"/>
      <c r="AD668" s="8"/>
      <c r="AE668" s="8"/>
      <c r="AF668" s="8"/>
      <c r="AG668" s="8"/>
      <c r="AH668" s="8"/>
      <c r="AI668" s="8"/>
      <c r="AJ668" s="8"/>
      <c r="AK668" s="8"/>
      <c r="AL668" s="8"/>
      <c r="AM668" s="8"/>
      <c r="AN668" s="8"/>
      <c r="AO668" s="8"/>
    </row>
    <row r="669" spans="7:41" x14ac:dyDescent="0.2">
      <c r="G669" s="8"/>
      <c r="H669" s="8"/>
      <c r="I669" s="8"/>
      <c r="J669" s="8"/>
      <c r="K669" s="8"/>
      <c r="L669" s="8"/>
      <c r="M669" s="8"/>
      <c r="N669" s="8"/>
      <c r="O669" s="8"/>
      <c r="Q669" s="8"/>
      <c r="R669" s="8"/>
      <c r="S669" s="8"/>
      <c r="T669" s="8"/>
      <c r="U669" s="8"/>
      <c r="V669" s="8"/>
      <c r="W669" s="8"/>
      <c r="X669" s="8"/>
      <c r="Y669" s="8"/>
      <c r="Z669" s="8"/>
      <c r="AA669" s="8"/>
      <c r="AB669" s="8"/>
      <c r="AD669" s="8"/>
      <c r="AE669" s="8"/>
      <c r="AF669" s="8"/>
      <c r="AG669" s="8"/>
      <c r="AH669" s="8"/>
      <c r="AI669" s="8"/>
      <c r="AJ669" s="8"/>
      <c r="AK669" s="8"/>
      <c r="AL669" s="8"/>
      <c r="AM669" s="8"/>
      <c r="AN669" s="8"/>
      <c r="AO669" s="8"/>
    </row>
    <row r="670" spans="7:41" x14ac:dyDescent="0.2">
      <c r="G670" s="8"/>
      <c r="H670" s="8"/>
      <c r="I670" s="8"/>
      <c r="J670" s="8"/>
      <c r="K670" s="8"/>
      <c r="L670" s="8"/>
      <c r="M670" s="8"/>
      <c r="N670" s="8"/>
      <c r="O670" s="8"/>
      <c r="Q670" s="8"/>
      <c r="R670" s="8"/>
      <c r="S670" s="8"/>
      <c r="T670" s="8"/>
      <c r="U670" s="8"/>
      <c r="V670" s="8"/>
      <c r="W670" s="8"/>
      <c r="X670" s="8"/>
      <c r="Y670" s="8"/>
      <c r="Z670" s="8"/>
      <c r="AA670" s="8"/>
      <c r="AB670" s="8"/>
      <c r="AD670" s="8"/>
      <c r="AE670" s="8"/>
      <c r="AF670" s="8"/>
      <c r="AG670" s="8"/>
      <c r="AH670" s="8"/>
      <c r="AI670" s="8"/>
      <c r="AJ670" s="8"/>
      <c r="AK670" s="8"/>
      <c r="AL670" s="8"/>
      <c r="AM670" s="8"/>
      <c r="AN670" s="8"/>
      <c r="AO670" s="8"/>
    </row>
    <row r="671" spans="7:41" x14ac:dyDescent="0.2">
      <c r="G671" s="8"/>
      <c r="H671" s="8"/>
      <c r="I671" s="8"/>
      <c r="J671" s="8"/>
      <c r="K671" s="8"/>
      <c r="L671" s="8"/>
      <c r="M671" s="8"/>
      <c r="N671" s="8"/>
      <c r="O671" s="8"/>
      <c r="Q671" s="8"/>
      <c r="R671" s="8"/>
      <c r="S671" s="8"/>
      <c r="T671" s="8"/>
      <c r="U671" s="8"/>
      <c r="V671" s="8"/>
      <c r="W671" s="8"/>
      <c r="X671" s="8"/>
      <c r="Y671" s="8"/>
      <c r="Z671" s="8"/>
      <c r="AA671" s="8"/>
      <c r="AB671" s="8"/>
      <c r="AD671" s="8"/>
      <c r="AE671" s="8"/>
      <c r="AF671" s="8"/>
      <c r="AG671" s="8"/>
      <c r="AH671" s="8"/>
      <c r="AI671" s="8"/>
      <c r="AJ671" s="8"/>
      <c r="AK671" s="8"/>
      <c r="AL671" s="8"/>
      <c r="AM671" s="8"/>
      <c r="AN671" s="8"/>
      <c r="AO671" s="8"/>
    </row>
    <row r="672" spans="7:41" x14ac:dyDescent="0.2">
      <c r="G672" s="8"/>
      <c r="H672" s="8"/>
      <c r="I672" s="8"/>
      <c r="J672" s="8"/>
      <c r="K672" s="8"/>
      <c r="L672" s="8"/>
      <c r="M672" s="8"/>
      <c r="N672" s="8"/>
      <c r="O672" s="8"/>
      <c r="Q672" s="8"/>
      <c r="R672" s="8"/>
      <c r="S672" s="8"/>
      <c r="T672" s="8"/>
      <c r="U672" s="8"/>
      <c r="V672" s="8"/>
      <c r="W672" s="8"/>
      <c r="X672" s="8"/>
      <c r="Y672" s="8"/>
      <c r="Z672" s="8"/>
      <c r="AA672" s="8"/>
      <c r="AB672" s="8"/>
      <c r="AD672" s="8"/>
      <c r="AE672" s="8"/>
      <c r="AF672" s="8"/>
      <c r="AG672" s="8"/>
      <c r="AH672" s="8"/>
      <c r="AI672" s="8"/>
      <c r="AJ672" s="8"/>
      <c r="AK672" s="8"/>
      <c r="AL672" s="8"/>
      <c r="AM672" s="8"/>
      <c r="AN672" s="8"/>
      <c r="AO672" s="8"/>
    </row>
    <row r="673" spans="7:41" x14ac:dyDescent="0.2">
      <c r="G673" s="8"/>
      <c r="H673" s="8"/>
      <c r="I673" s="8"/>
      <c r="J673" s="8"/>
      <c r="K673" s="8"/>
      <c r="L673" s="8"/>
      <c r="M673" s="8"/>
      <c r="N673" s="8"/>
      <c r="O673" s="8"/>
      <c r="Q673" s="8"/>
      <c r="R673" s="8"/>
      <c r="S673" s="8"/>
      <c r="T673" s="8"/>
      <c r="U673" s="8"/>
      <c r="V673" s="8"/>
      <c r="W673" s="8"/>
      <c r="X673" s="8"/>
      <c r="Y673" s="8"/>
      <c r="Z673" s="8"/>
      <c r="AA673" s="8"/>
      <c r="AB673" s="8"/>
      <c r="AD673" s="8"/>
      <c r="AE673" s="8"/>
      <c r="AF673" s="8"/>
      <c r="AG673" s="8"/>
      <c r="AH673" s="8"/>
      <c r="AI673" s="8"/>
      <c r="AJ673" s="8"/>
      <c r="AK673" s="8"/>
      <c r="AL673" s="8"/>
      <c r="AM673" s="8"/>
      <c r="AN673" s="8"/>
      <c r="AO673" s="8"/>
    </row>
    <row r="674" spans="7:41" x14ac:dyDescent="0.2">
      <c r="G674" s="8"/>
      <c r="H674" s="8"/>
      <c r="I674" s="8"/>
      <c r="J674" s="8"/>
      <c r="K674" s="8"/>
      <c r="L674" s="8"/>
      <c r="M674" s="8"/>
      <c r="N674" s="8"/>
      <c r="O674" s="8"/>
      <c r="Q674" s="8"/>
      <c r="R674" s="8"/>
      <c r="S674" s="8"/>
      <c r="T674" s="8"/>
      <c r="U674" s="8"/>
      <c r="V674" s="8"/>
      <c r="W674" s="8"/>
      <c r="X674" s="8"/>
      <c r="Y674" s="8"/>
      <c r="Z674" s="8"/>
      <c r="AA674" s="8"/>
      <c r="AB674" s="8"/>
      <c r="AD674" s="8"/>
      <c r="AE674" s="8"/>
      <c r="AF674" s="8"/>
      <c r="AG674" s="8"/>
      <c r="AH674" s="8"/>
      <c r="AI674" s="8"/>
      <c r="AJ674" s="8"/>
      <c r="AK674" s="8"/>
      <c r="AL674" s="8"/>
      <c r="AM674" s="8"/>
      <c r="AN674" s="8"/>
      <c r="AO674" s="8"/>
    </row>
    <row r="675" spans="7:41" x14ac:dyDescent="0.2">
      <c r="G675" s="8"/>
      <c r="H675" s="8"/>
      <c r="I675" s="8"/>
      <c r="J675" s="8"/>
      <c r="K675" s="8"/>
      <c r="L675" s="8"/>
      <c r="M675" s="8"/>
      <c r="N675" s="8"/>
      <c r="O675" s="8"/>
      <c r="Q675" s="8"/>
      <c r="R675" s="8"/>
      <c r="S675" s="8"/>
      <c r="T675" s="8"/>
      <c r="U675" s="8"/>
      <c r="V675" s="8"/>
      <c r="W675" s="8"/>
      <c r="X675" s="8"/>
      <c r="Y675" s="8"/>
      <c r="Z675" s="8"/>
      <c r="AA675" s="8"/>
      <c r="AB675" s="8"/>
      <c r="AD675" s="8"/>
      <c r="AE675" s="8"/>
      <c r="AF675" s="8"/>
      <c r="AG675" s="8"/>
      <c r="AH675" s="8"/>
      <c r="AI675" s="8"/>
      <c r="AJ675" s="8"/>
      <c r="AK675" s="8"/>
      <c r="AL675" s="8"/>
      <c r="AM675" s="8"/>
      <c r="AN675" s="8"/>
      <c r="AO675" s="8"/>
    </row>
    <row r="676" spans="7:41" x14ac:dyDescent="0.2">
      <c r="G676" s="8"/>
      <c r="H676" s="8"/>
      <c r="I676" s="8"/>
      <c r="J676" s="8"/>
      <c r="K676" s="8"/>
      <c r="L676" s="8"/>
      <c r="M676" s="8"/>
      <c r="N676" s="8"/>
      <c r="O676" s="8"/>
      <c r="Q676" s="8"/>
      <c r="R676" s="8"/>
      <c r="S676" s="8"/>
      <c r="T676" s="8"/>
      <c r="U676" s="8"/>
      <c r="V676" s="8"/>
      <c r="W676" s="8"/>
      <c r="X676" s="8"/>
      <c r="Y676" s="8"/>
      <c r="Z676" s="8"/>
      <c r="AA676" s="8"/>
      <c r="AB676" s="8"/>
      <c r="AD676" s="8"/>
      <c r="AE676" s="8"/>
      <c r="AF676" s="8"/>
      <c r="AG676" s="8"/>
      <c r="AH676" s="8"/>
      <c r="AI676" s="8"/>
      <c r="AJ676" s="8"/>
      <c r="AK676" s="8"/>
      <c r="AL676" s="8"/>
      <c r="AM676" s="8"/>
      <c r="AN676" s="8"/>
      <c r="AO676" s="8"/>
    </row>
    <row r="677" spans="7:41" x14ac:dyDescent="0.2">
      <c r="G677" s="8"/>
      <c r="H677" s="8"/>
      <c r="I677" s="8"/>
      <c r="J677" s="8"/>
      <c r="K677" s="8"/>
      <c r="L677" s="8"/>
      <c r="M677" s="8"/>
      <c r="N677" s="8"/>
      <c r="O677" s="8"/>
      <c r="Q677" s="8"/>
      <c r="R677" s="8"/>
      <c r="S677" s="8"/>
      <c r="T677" s="8"/>
      <c r="U677" s="8"/>
      <c r="V677" s="8"/>
      <c r="W677" s="8"/>
      <c r="X677" s="8"/>
      <c r="Y677" s="8"/>
      <c r="Z677" s="8"/>
      <c r="AA677" s="8"/>
      <c r="AB677" s="8"/>
      <c r="AD677" s="8"/>
      <c r="AE677" s="8"/>
      <c r="AF677" s="8"/>
      <c r="AG677" s="8"/>
      <c r="AH677" s="8"/>
      <c r="AI677" s="8"/>
      <c r="AJ677" s="8"/>
      <c r="AK677" s="8"/>
      <c r="AL677" s="8"/>
      <c r="AM677" s="8"/>
      <c r="AN677" s="8"/>
      <c r="AO677" s="8"/>
    </row>
    <row r="678" spans="7:41" x14ac:dyDescent="0.2">
      <c r="G678" s="8"/>
      <c r="H678" s="8"/>
      <c r="I678" s="8"/>
      <c r="J678" s="8"/>
      <c r="K678" s="8"/>
      <c r="L678" s="8"/>
      <c r="M678" s="8"/>
      <c r="N678" s="8"/>
      <c r="O678" s="8"/>
      <c r="Q678" s="8"/>
      <c r="R678" s="8"/>
      <c r="S678" s="8"/>
      <c r="T678" s="8"/>
      <c r="U678" s="8"/>
      <c r="V678" s="8"/>
      <c r="W678" s="8"/>
      <c r="X678" s="8"/>
      <c r="Y678" s="8"/>
      <c r="Z678" s="8"/>
      <c r="AA678" s="8"/>
      <c r="AB678" s="8"/>
      <c r="AD678" s="8"/>
      <c r="AE678" s="8"/>
      <c r="AF678" s="8"/>
      <c r="AG678" s="8"/>
      <c r="AH678" s="8"/>
      <c r="AI678" s="8"/>
      <c r="AJ678" s="8"/>
      <c r="AK678" s="8"/>
      <c r="AL678" s="8"/>
      <c r="AM678" s="8"/>
      <c r="AN678" s="8"/>
      <c r="AO678" s="8"/>
    </row>
    <row r="679" spans="7:41" x14ac:dyDescent="0.2">
      <c r="G679" s="8"/>
      <c r="H679" s="8"/>
      <c r="I679" s="8"/>
      <c r="J679" s="8"/>
      <c r="K679" s="8"/>
      <c r="L679" s="8"/>
      <c r="M679" s="8"/>
      <c r="N679" s="8"/>
      <c r="O679" s="8"/>
      <c r="Q679" s="8"/>
      <c r="R679" s="8"/>
      <c r="S679" s="8"/>
      <c r="T679" s="8"/>
      <c r="U679" s="8"/>
      <c r="V679" s="8"/>
      <c r="W679" s="8"/>
      <c r="X679" s="8"/>
      <c r="Y679" s="8"/>
      <c r="Z679" s="8"/>
      <c r="AA679" s="8"/>
      <c r="AB679" s="8"/>
      <c r="AD679" s="8"/>
      <c r="AE679" s="8"/>
      <c r="AF679" s="8"/>
      <c r="AG679" s="8"/>
      <c r="AH679" s="8"/>
      <c r="AI679" s="8"/>
      <c r="AJ679" s="8"/>
      <c r="AK679" s="8"/>
      <c r="AL679" s="8"/>
      <c r="AM679" s="8"/>
      <c r="AN679" s="8"/>
      <c r="AO679" s="8"/>
    </row>
    <row r="680" spans="7:41" x14ac:dyDescent="0.2">
      <c r="G680" s="8"/>
      <c r="H680" s="8"/>
      <c r="I680" s="8"/>
      <c r="J680" s="8"/>
      <c r="K680" s="8"/>
      <c r="L680" s="8"/>
      <c r="M680" s="8"/>
      <c r="N680" s="8"/>
      <c r="O680" s="8"/>
      <c r="Q680" s="8"/>
      <c r="R680" s="8"/>
      <c r="S680" s="8"/>
      <c r="T680" s="8"/>
      <c r="U680" s="8"/>
      <c r="V680" s="8"/>
      <c r="W680" s="8"/>
      <c r="X680" s="8"/>
      <c r="Y680" s="8"/>
      <c r="Z680" s="8"/>
      <c r="AA680" s="8"/>
      <c r="AB680" s="8"/>
      <c r="AD680" s="8"/>
      <c r="AE680" s="8"/>
      <c r="AF680" s="8"/>
      <c r="AG680" s="8"/>
      <c r="AH680" s="8"/>
      <c r="AI680" s="8"/>
      <c r="AJ680" s="8"/>
      <c r="AK680" s="8"/>
      <c r="AL680" s="8"/>
      <c r="AM680" s="8"/>
      <c r="AN680" s="8"/>
      <c r="AO680" s="8"/>
    </row>
    <row r="681" spans="7:41" x14ac:dyDescent="0.2">
      <c r="G681" s="8"/>
      <c r="H681" s="8"/>
      <c r="I681" s="8"/>
      <c r="J681" s="8"/>
      <c r="K681" s="8"/>
      <c r="L681" s="8"/>
      <c r="M681" s="8"/>
      <c r="N681" s="8"/>
      <c r="O681" s="8"/>
      <c r="Q681" s="8"/>
      <c r="R681" s="8"/>
      <c r="S681" s="8"/>
      <c r="T681" s="8"/>
      <c r="U681" s="8"/>
      <c r="V681" s="8"/>
      <c r="W681" s="8"/>
      <c r="X681" s="8"/>
      <c r="Y681" s="8"/>
      <c r="Z681" s="8"/>
      <c r="AA681" s="8"/>
      <c r="AB681" s="8"/>
      <c r="AD681" s="8"/>
      <c r="AE681" s="8"/>
      <c r="AF681" s="8"/>
      <c r="AG681" s="8"/>
      <c r="AH681" s="8"/>
      <c r="AI681" s="8"/>
      <c r="AJ681" s="8"/>
      <c r="AK681" s="8"/>
      <c r="AL681" s="8"/>
      <c r="AM681" s="8"/>
      <c r="AN681" s="8"/>
      <c r="AO681" s="8"/>
    </row>
    <row r="682" spans="7:41" x14ac:dyDescent="0.2">
      <c r="G682" s="8"/>
      <c r="H682" s="8"/>
      <c r="I682" s="8"/>
      <c r="J682" s="8"/>
      <c r="K682" s="8"/>
      <c r="L682" s="8"/>
      <c r="M682" s="8"/>
      <c r="N682" s="8"/>
      <c r="O682" s="8"/>
      <c r="Q682" s="8"/>
      <c r="R682" s="8"/>
      <c r="S682" s="8"/>
      <c r="T682" s="8"/>
      <c r="U682" s="8"/>
      <c r="V682" s="8"/>
      <c r="W682" s="8"/>
      <c r="X682" s="8"/>
      <c r="Y682" s="8"/>
      <c r="Z682" s="8"/>
      <c r="AA682" s="8"/>
      <c r="AB682" s="8"/>
      <c r="AD682" s="8"/>
      <c r="AE682" s="8"/>
      <c r="AF682" s="8"/>
      <c r="AG682" s="8"/>
      <c r="AH682" s="8"/>
      <c r="AI682" s="8"/>
      <c r="AJ682" s="8"/>
      <c r="AK682" s="8"/>
      <c r="AL682" s="8"/>
      <c r="AM682" s="8"/>
      <c r="AN682" s="8"/>
      <c r="AO682" s="8"/>
    </row>
    <row r="683" spans="7:41" x14ac:dyDescent="0.2">
      <c r="G683" s="8"/>
      <c r="H683" s="8"/>
      <c r="I683" s="8"/>
      <c r="J683" s="8"/>
      <c r="K683" s="8"/>
      <c r="L683" s="8"/>
      <c r="M683" s="8"/>
      <c r="N683" s="8"/>
      <c r="O683" s="8"/>
      <c r="Q683" s="8"/>
      <c r="R683" s="8"/>
      <c r="S683" s="8"/>
      <c r="T683" s="8"/>
      <c r="U683" s="8"/>
      <c r="V683" s="8"/>
      <c r="W683" s="8"/>
      <c r="X683" s="8"/>
      <c r="Y683" s="8"/>
      <c r="Z683" s="8"/>
      <c r="AA683" s="8"/>
      <c r="AB683" s="8"/>
      <c r="AD683" s="8"/>
      <c r="AE683" s="8"/>
      <c r="AF683" s="8"/>
      <c r="AG683" s="8"/>
      <c r="AH683" s="8"/>
      <c r="AI683" s="8"/>
      <c r="AJ683" s="8"/>
      <c r="AK683" s="8"/>
      <c r="AL683" s="8"/>
      <c r="AM683" s="8"/>
      <c r="AN683" s="8"/>
      <c r="AO683" s="8"/>
    </row>
    <row r="684" spans="7:41" x14ac:dyDescent="0.2">
      <c r="G684" s="8"/>
      <c r="H684" s="8"/>
      <c r="I684" s="8"/>
      <c r="J684" s="8"/>
      <c r="K684" s="8"/>
      <c r="L684" s="8"/>
      <c r="M684" s="8"/>
      <c r="N684" s="8"/>
      <c r="O684" s="8"/>
      <c r="Q684" s="8"/>
      <c r="R684" s="8"/>
      <c r="S684" s="8"/>
      <c r="T684" s="8"/>
      <c r="U684" s="8"/>
      <c r="V684" s="8"/>
      <c r="W684" s="8"/>
      <c r="X684" s="8"/>
      <c r="Y684" s="8"/>
      <c r="Z684" s="8"/>
      <c r="AA684" s="8"/>
      <c r="AB684" s="8"/>
      <c r="AD684" s="8"/>
      <c r="AE684" s="8"/>
      <c r="AF684" s="8"/>
      <c r="AG684" s="8"/>
      <c r="AH684" s="8"/>
      <c r="AI684" s="8"/>
      <c r="AJ684" s="8"/>
      <c r="AK684" s="8"/>
      <c r="AL684" s="8"/>
      <c r="AM684" s="8"/>
      <c r="AN684" s="8"/>
      <c r="AO684" s="8"/>
    </row>
    <row r="685" spans="7:41" x14ac:dyDescent="0.2">
      <c r="G685" s="8"/>
      <c r="H685" s="8"/>
      <c r="I685" s="8"/>
      <c r="J685" s="8"/>
      <c r="K685" s="8"/>
      <c r="L685" s="8"/>
      <c r="M685" s="8"/>
      <c r="N685" s="8"/>
      <c r="O685" s="8"/>
      <c r="Q685" s="8"/>
      <c r="R685" s="8"/>
      <c r="S685" s="8"/>
      <c r="T685" s="8"/>
      <c r="U685" s="8"/>
      <c r="V685" s="8"/>
      <c r="W685" s="8"/>
      <c r="X685" s="8"/>
      <c r="Y685" s="8"/>
      <c r="Z685" s="8"/>
      <c r="AA685" s="8"/>
      <c r="AB685" s="8"/>
      <c r="AD685" s="8"/>
      <c r="AE685" s="8"/>
      <c r="AF685" s="8"/>
      <c r="AG685" s="8"/>
      <c r="AH685" s="8"/>
      <c r="AI685" s="8"/>
      <c r="AJ685" s="8"/>
      <c r="AK685" s="8"/>
      <c r="AL685" s="8"/>
      <c r="AM685" s="8"/>
      <c r="AN685" s="8"/>
      <c r="AO685" s="8"/>
    </row>
    <row r="686" spans="7:41" x14ac:dyDescent="0.2">
      <c r="G686" s="8"/>
      <c r="H686" s="8"/>
      <c r="I686" s="8"/>
      <c r="J686" s="8"/>
      <c r="K686" s="8"/>
      <c r="L686" s="8"/>
      <c r="M686" s="8"/>
      <c r="N686" s="8"/>
      <c r="O686" s="8"/>
      <c r="Q686" s="8"/>
      <c r="R686" s="8"/>
      <c r="S686" s="8"/>
      <c r="T686" s="8"/>
      <c r="U686" s="8"/>
      <c r="V686" s="8"/>
      <c r="W686" s="8"/>
      <c r="X686" s="8"/>
      <c r="Y686" s="8"/>
      <c r="Z686" s="8"/>
      <c r="AA686" s="8"/>
      <c r="AB686" s="8"/>
      <c r="AD686" s="8"/>
      <c r="AE686" s="8"/>
      <c r="AF686" s="8"/>
      <c r="AG686" s="8"/>
      <c r="AH686" s="8"/>
      <c r="AI686" s="8"/>
      <c r="AJ686" s="8"/>
      <c r="AK686" s="8"/>
      <c r="AL686" s="8"/>
      <c r="AM686" s="8"/>
      <c r="AN686" s="8"/>
      <c r="AO686" s="8"/>
    </row>
    <row r="687" spans="7:41" x14ac:dyDescent="0.2">
      <c r="G687" s="8"/>
      <c r="H687" s="8"/>
      <c r="I687" s="8"/>
      <c r="J687" s="8"/>
      <c r="K687" s="8"/>
      <c r="L687" s="8"/>
      <c r="M687" s="8"/>
      <c r="N687" s="8"/>
      <c r="O687" s="8"/>
      <c r="Q687" s="8"/>
      <c r="R687" s="8"/>
      <c r="S687" s="8"/>
      <c r="T687" s="8"/>
      <c r="U687" s="8"/>
      <c r="V687" s="8"/>
      <c r="W687" s="8"/>
      <c r="X687" s="8"/>
      <c r="Y687" s="8"/>
      <c r="Z687" s="8"/>
      <c r="AA687" s="8"/>
      <c r="AB687" s="8"/>
      <c r="AD687" s="8"/>
      <c r="AE687" s="8"/>
      <c r="AF687" s="8"/>
      <c r="AG687" s="8"/>
      <c r="AH687" s="8"/>
      <c r="AI687" s="8"/>
      <c r="AJ687" s="8"/>
      <c r="AK687" s="8"/>
      <c r="AL687" s="8"/>
      <c r="AM687" s="8"/>
      <c r="AN687" s="8"/>
      <c r="AO687" s="8"/>
    </row>
    <row r="688" spans="7:41" x14ac:dyDescent="0.2">
      <c r="G688" s="8"/>
      <c r="H688" s="8"/>
      <c r="I688" s="8"/>
      <c r="J688" s="8"/>
      <c r="K688" s="8"/>
      <c r="L688" s="8"/>
      <c r="M688" s="8"/>
      <c r="N688" s="8"/>
      <c r="O688" s="8"/>
      <c r="Q688" s="8"/>
      <c r="R688" s="8"/>
      <c r="S688" s="8"/>
      <c r="T688" s="8"/>
      <c r="U688" s="8"/>
      <c r="V688" s="8"/>
      <c r="W688" s="8"/>
      <c r="X688" s="8"/>
      <c r="Y688" s="8"/>
      <c r="Z688" s="8"/>
      <c r="AA688" s="8"/>
      <c r="AB688" s="8"/>
      <c r="AD688" s="8"/>
      <c r="AE688" s="8"/>
      <c r="AF688" s="8"/>
      <c r="AG688" s="8"/>
      <c r="AH688" s="8"/>
      <c r="AI688" s="8"/>
      <c r="AJ688" s="8"/>
      <c r="AK688" s="8"/>
      <c r="AL688" s="8"/>
      <c r="AM688" s="8"/>
      <c r="AN688" s="8"/>
      <c r="AO688" s="8"/>
    </row>
    <row r="689" spans="7:41" x14ac:dyDescent="0.2">
      <c r="G689" s="8"/>
      <c r="H689" s="8"/>
      <c r="I689" s="8"/>
      <c r="J689" s="8"/>
      <c r="K689" s="8"/>
      <c r="L689" s="8"/>
      <c r="M689" s="8"/>
      <c r="N689" s="8"/>
      <c r="O689" s="8"/>
      <c r="Q689" s="8"/>
      <c r="R689" s="8"/>
      <c r="S689" s="8"/>
      <c r="T689" s="8"/>
      <c r="U689" s="8"/>
      <c r="V689" s="8"/>
      <c r="W689" s="8"/>
      <c r="X689" s="8"/>
      <c r="Y689" s="8"/>
      <c r="Z689" s="8"/>
      <c r="AA689" s="8"/>
      <c r="AB689" s="8"/>
      <c r="AD689" s="8"/>
      <c r="AE689" s="8"/>
      <c r="AF689" s="8"/>
      <c r="AG689" s="8"/>
      <c r="AH689" s="8"/>
      <c r="AI689" s="8"/>
      <c r="AJ689" s="8"/>
      <c r="AK689" s="8"/>
      <c r="AL689" s="8"/>
      <c r="AM689" s="8"/>
      <c r="AN689" s="8"/>
      <c r="AO689" s="8"/>
    </row>
    <row r="690" spans="7:41" x14ac:dyDescent="0.2">
      <c r="G690" s="8"/>
      <c r="H690" s="8"/>
      <c r="I690" s="8"/>
      <c r="J690" s="8"/>
      <c r="K690" s="8"/>
      <c r="L690" s="8"/>
      <c r="M690" s="8"/>
      <c r="N690" s="8"/>
      <c r="O690" s="8"/>
      <c r="Q690" s="8"/>
      <c r="R690" s="8"/>
      <c r="S690" s="8"/>
      <c r="T690" s="8"/>
      <c r="U690" s="8"/>
      <c r="V690" s="8"/>
      <c r="W690" s="8"/>
      <c r="X690" s="8"/>
      <c r="Y690" s="8"/>
      <c r="Z690" s="8"/>
      <c r="AA690" s="8"/>
      <c r="AB690" s="8"/>
      <c r="AD690" s="8"/>
      <c r="AE690" s="8"/>
      <c r="AF690" s="8"/>
      <c r="AG690" s="8"/>
      <c r="AH690" s="8"/>
      <c r="AI690" s="8"/>
      <c r="AJ690" s="8"/>
      <c r="AK690" s="8"/>
      <c r="AL690" s="8"/>
      <c r="AM690" s="8"/>
      <c r="AN690" s="8"/>
      <c r="AO690" s="8"/>
    </row>
    <row r="691" spans="7:41" x14ac:dyDescent="0.2">
      <c r="G691" s="8"/>
      <c r="H691" s="8"/>
      <c r="I691" s="8"/>
      <c r="J691" s="8"/>
      <c r="K691" s="8"/>
      <c r="L691" s="8"/>
      <c r="M691" s="8"/>
      <c r="N691" s="8"/>
      <c r="O691" s="8"/>
      <c r="Q691" s="8"/>
      <c r="R691" s="8"/>
      <c r="S691" s="8"/>
      <c r="T691" s="8"/>
      <c r="U691" s="8"/>
      <c r="V691" s="8"/>
      <c r="W691" s="8"/>
      <c r="X691" s="8"/>
      <c r="Y691" s="8"/>
      <c r="Z691" s="8"/>
      <c r="AA691" s="8"/>
      <c r="AB691" s="8"/>
      <c r="AD691" s="8"/>
      <c r="AE691" s="8"/>
      <c r="AF691" s="8"/>
      <c r="AG691" s="8"/>
      <c r="AH691" s="8"/>
      <c r="AI691" s="8"/>
      <c r="AJ691" s="8"/>
      <c r="AK691" s="8"/>
      <c r="AL691" s="8"/>
      <c r="AM691" s="8"/>
      <c r="AN691" s="8"/>
      <c r="AO691" s="8"/>
    </row>
    <row r="692" spans="7:41" x14ac:dyDescent="0.2">
      <c r="G692" s="8"/>
      <c r="H692" s="8"/>
      <c r="I692" s="8"/>
      <c r="J692" s="8"/>
      <c r="K692" s="8"/>
      <c r="L692" s="8"/>
      <c r="M692" s="8"/>
      <c r="N692" s="8"/>
      <c r="O692" s="8"/>
      <c r="Q692" s="8"/>
      <c r="R692" s="8"/>
      <c r="S692" s="8"/>
      <c r="T692" s="8"/>
      <c r="U692" s="8"/>
      <c r="V692" s="8"/>
      <c r="W692" s="8"/>
      <c r="X692" s="8"/>
      <c r="Y692" s="8"/>
      <c r="Z692" s="8"/>
      <c r="AA692" s="8"/>
      <c r="AB692" s="8"/>
      <c r="AD692" s="8"/>
      <c r="AE692" s="8"/>
      <c r="AF692" s="8"/>
      <c r="AG692" s="8"/>
      <c r="AH692" s="8"/>
      <c r="AI692" s="8"/>
      <c r="AJ692" s="8"/>
      <c r="AK692" s="8"/>
      <c r="AL692" s="8"/>
      <c r="AM692" s="8"/>
      <c r="AN692" s="8"/>
      <c r="AO692" s="8"/>
    </row>
    <row r="693" spans="7:41" x14ac:dyDescent="0.2">
      <c r="G693" s="8"/>
      <c r="H693" s="8"/>
      <c r="I693" s="8"/>
      <c r="J693" s="8"/>
      <c r="K693" s="8"/>
      <c r="L693" s="8"/>
      <c r="M693" s="8"/>
      <c r="N693" s="8"/>
      <c r="O693" s="8"/>
      <c r="Q693" s="8"/>
      <c r="R693" s="8"/>
      <c r="S693" s="8"/>
      <c r="T693" s="8"/>
      <c r="U693" s="8"/>
      <c r="V693" s="8"/>
      <c r="W693" s="8"/>
      <c r="X693" s="8"/>
      <c r="Y693" s="8"/>
      <c r="Z693" s="8"/>
      <c r="AA693" s="8"/>
      <c r="AB693" s="8"/>
      <c r="AD693" s="8"/>
      <c r="AE693" s="8"/>
      <c r="AF693" s="8"/>
      <c r="AG693" s="8"/>
      <c r="AH693" s="8"/>
      <c r="AI693" s="8"/>
      <c r="AJ693" s="8"/>
      <c r="AK693" s="8"/>
      <c r="AL693" s="8"/>
      <c r="AM693" s="8"/>
      <c r="AN693" s="8"/>
      <c r="AO693" s="8"/>
    </row>
    <row r="694" spans="7:41" x14ac:dyDescent="0.2">
      <c r="G694" s="8"/>
      <c r="H694" s="8"/>
      <c r="I694" s="8"/>
      <c r="J694" s="8"/>
      <c r="K694" s="8"/>
      <c r="L694" s="8"/>
      <c r="M694" s="8"/>
      <c r="N694" s="8"/>
      <c r="O694" s="8"/>
      <c r="Q694" s="8"/>
      <c r="R694" s="8"/>
      <c r="S694" s="8"/>
      <c r="T694" s="8"/>
      <c r="U694" s="8"/>
      <c r="V694" s="8"/>
      <c r="W694" s="8"/>
      <c r="X694" s="8"/>
      <c r="Y694" s="8"/>
      <c r="Z694" s="8"/>
      <c r="AA694" s="8"/>
      <c r="AB694" s="8"/>
      <c r="AD694" s="8"/>
      <c r="AE694" s="8"/>
      <c r="AF694" s="8"/>
      <c r="AG694" s="8"/>
      <c r="AH694" s="8"/>
      <c r="AI694" s="8"/>
      <c r="AJ694" s="8"/>
      <c r="AK694" s="8"/>
      <c r="AL694" s="8"/>
      <c r="AM694" s="8"/>
      <c r="AN694" s="8"/>
      <c r="AO694" s="8"/>
    </row>
    <row r="695" spans="7:41" x14ac:dyDescent="0.2">
      <c r="G695" s="8"/>
      <c r="H695" s="8"/>
      <c r="I695" s="8"/>
      <c r="J695" s="8"/>
      <c r="K695" s="8"/>
      <c r="L695" s="8"/>
      <c r="M695" s="8"/>
      <c r="N695" s="8"/>
      <c r="O695" s="8"/>
      <c r="Q695" s="8"/>
      <c r="R695" s="8"/>
      <c r="S695" s="8"/>
      <c r="T695" s="8"/>
      <c r="U695" s="8"/>
      <c r="V695" s="8"/>
      <c r="W695" s="8"/>
      <c r="X695" s="8"/>
      <c r="Y695" s="8"/>
      <c r="Z695" s="8"/>
      <c r="AA695" s="8"/>
      <c r="AB695" s="8"/>
      <c r="AD695" s="8"/>
      <c r="AE695" s="8"/>
      <c r="AF695" s="8"/>
      <c r="AG695" s="8"/>
      <c r="AH695" s="8"/>
      <c r="AI695" s="8"/>
      <c r="AJ695" s="8"/>
      <c r="AK695" s="8"/>
      <c r="AL695" s="8"/>
      <c r="AM695" s="8"/>
      <c r="AN695" s="8"/>
      <c r="AO695" s="8"/>
    </row>
    <row r="696" spans="7:41" x14ac:dyDescent="0.2">
      <c r="G696" s="8"/>
      <c r="H696" s="8"/>
      <c r="I696" s="8"/>
      <c r="J696" s="8"/>
      <c r="K696" s="8"/>
      <c r="L696" s="8"/>
      <c r="M696" s="8"/>
      <c r="N696" s="8"/>
      <c r="O696" s="8"/>
      <c r="Q696" s="8"/>
      <c r="R696" s="8"/>
      <c r="S696" s="8"/>
      <c r="T696" s="8"/>
      <c r="U696" s="8"/>
      <c r="V696" s="8"/>
      <c r="W696" s="8"/>
      <c r="X696" s="8"/>
      <c r="Y696" s="8"/>
      <c r="Z696" s="8"/>
      <c r="AA696" s="8"/>
      <c r="AB696" s="8"/>
      <c r="AD696" s="8"/>
      <c r="AE696" s="8"/>
      <c r="AF696" s="8"/>
      <c r="AG696" s="8"/>
      <c r="AH696" s="8"/>
      <c r="AI696" s="8"/>
      <c r="AJ696" s="8"/>
      <c r="AK696" s="8"/>
      <c r="AL696" s="8"/>
      <c r="AM696" s="8"/>
      <c r="AN696" s="8"/>
      <c r="AO696" s="8"/>
    </row>
    <row r="697" spans="7:41" x14ac:dyDescent="0.2">
      <c r="G697" s="8"/>
      <c r="H697" s="8"/>
      <c r="I697" s="8"/>
      <c r="J697" s="8"/>
      <c r="K697" s="8"/>
      <c r="L697" s="8"/>
      <c r="M697" s="8"/>
      <c r="N697" s="8"/>
      <c r="O697" s="8"/>
      <c r="Q697" s="8"/>
      <c r="R697" s="8"/>
      <c r="S697" s="8"/>
      <c r="T697" s="8"/>
      <c r="U697" s="8"/>
      <c r="V697" s="8"/>
      <c r="W697" s="8"/>
      <c r="X697" s="8"/>
      <c r="Y697" s="8"/>
      <c r="Z697" s="8"/>
      <c r="AA697" s="8"/>
      <c r="AB697" s="8"/>
      <c r="AD697" s="8"/>
      <c r="AE697" s="8"/>
      <c r="AF697" s="8"/>
      <c r="AG697" s="8"/>
      <c r="AH697" s="8"/>
      <c r="AI697" s="8"/>
      <c r="AJ697" s="8"/>
      <c r="AK697" s="8"/>
      <c r="AL697" s="8"/>
      <c r="AM697" s="8"/>
      <c r="AN697" s="8"/>
      <c r="AO697" s="8"/>
    </row>
    <row r="698" spans="7:41" x14ac:dyDescent="0.2">
      <c r="G698" s="8"/>
      <c r="H698" s="8"/>
      <c r="I698" s="8"/>
      <c r="J698" s="8"/>
      <c r="K698" s="8"/>
      <c r="L698" s="8"/>
      <c r="M698" s="8"/>
      <c r="N698" s="8"/>
      <c r="O698" s="8"/>
      <c r="Q698" s="8"/>
      <c r="R698" s="8"/>
      <c r="S698" s="8"/>
      <c r="T698" s="8"/>
      <c r="U698" s="8"/>
      <c r="V698" s="8"/>
      <c r="W698" s="8"/>
      <c r="X698" s="8"/>
      <c r="Y698" s="8"/>
      <c r="Z698" s="8"/>
      <c r="AA698" s="8"/>
      <c r="AB698" s="8"/>
      <c r="AD698" s="8"/>
      <c r="AE698" s="8"/>
      <c r="AF698" s="8"/>
      <c r="AG698" s="8"/>
      <c r="AH698" s="8"/>
      <c r="AI698" s="8"/>
      <c r="AJ698" s="8"/>
      <c r="AK698" s="8"/>
      <c r="AL698" s="8"/>
      <c r="AM698" s="8"/>
      <c r="AN698" s="8"/>
      <c r="AO698" s="8"/>
    </row>
    <row r="699" spans="7:41" x14ac:dyDescent="0.2">
      <c r="G699" s="8"/>
      <c r="H699" s="8"/>
      <c r="I699" s="8"/>
      <c r="J699" s="8"/>
      <c r="K699" s="8"/>
      <c r="L699" s="8"/>
      <c r="M699" s="8"/>
      <c r="N699" s="8"/>
      <c r="O699" s="8"/>
      <c r="Q699" s="8"/>
      <c r="R699" s="8"/>
      <c r="S699" s="8"/>
      <c r="T699" s="8"/>
      <c r="U699" s="8"/>
      <c r="V699" s="8"/>
      <c r="W699" s="8"/>
      <c r="X699" s="8"/>
      <c r="Y699" s="8"/>
      <c r="Z699" s="8"/>
      <c r="AA699" s="8"/>
      <c r="AB699" s="8"/>
      <c r="AD699" s="8"/>
      <c r="AE699" s="8"/>
      <c r="AF699" s="8"/>
      <c r="AG699" s="8"/>
      <c r="AH699" s="8"/>
      <c r="AI699" s="8"/>
      <c r="AJ699" s="8"/>
      <c r="AK699" s="8"/>
      <c r="AL699" s="8"/>
      <c r="AM699" s="8"/>
      <c r="AN699" s="8"/>
      <c r="AO699" s="8"/>
    </row>
    <row r="700" spans="7:41" x14ac:dyDescent="0.2">
      <c r="G700" s="8"/>
      <c r="H700" s="8"/>
      <c r="I700" s="8"/>
      <c r="J700" s="8"/>
      <c r="K700" s="8"/>
      <c r="L700" s="8"/>
      <c r="M700" s="8"/>
      <c r="N700" s="8"/>
      <c r="O700" s="8"/>
      <c r="Q700" s="8"/>
      <c r="R700" s="8"/>
      <c r="S700" s="8"/>
      <c r="T700" s="8"/>
      <c r="U700" s="8"/>
      <c r="V700" s="8"/>
      <c r="W700" s="8"/>
      <c r="X700" s="8"/>
      <c r="Y700" s="8"/>
      <c r="Z700" s="8"/>
      <c r="AA700" s="8"/>
      <c r="AB700" s="8"/>
      <c r="AD700" s="8"/>
      <c r="AE700" s="8"/>
      <c r="AF700" s="8"/>
      <c r="AG700" s="8"/>
      <c r="AH700" s="8"/>
      <c r="AI700" s="8"/>
      <c r="AJ700" s="8"/>
      <c r="AK700" s="8"/>
      <c r="AL700" s="8"/>
      <c r="AM700" s="8"/>
      <c r="AN700" s="8"/>
      <c r="AO700" s="8"/>
    </row>
    <row r="701" spans="7:41" x14ac:dyDescent="0.2">
      <c r="G701" s="8"/>
      <c r="H701" s="8"/>
      <c r="I701" s="8"/>
      <c r="J701" s="8"/>
      <c r="K701" s="8"/>
      <c r="L701" s="8"/>
      <c r="M701" s="8"/>
      <c r="N701" s="8"/>
      <c r="O701" s="8"/>
      <c r="Q701" s="8"/>
      <c r="R701" s="8"/>
      <c r="S701" s="8"/>
      <c r="T701" s="8"/>
      <c r="U701" s="8"/>
      <c r="V701" s="8"/>
      <c r="W701" s="8"/>
      <c r="X701" s="8"/>
      <c r="Y701" s="8"/>
      <c r="Z701" s="8"/>
      <c r="AA701" s="8"/>
      <c r="AB701" s="8"/>
      <c r="AD701" s="8"/>
      <c r="AE701" s="8"/>
      <c r="AF701" s="8"/>
      <c r="AG701" s="8"/>
      <c r="AH701" s="8"/>
      <c r="AI701" s="8"/>
      <c r="AJ701" s="8"/>
      <c r="AK701" s="8"/>
      <c r="AL701" s="8"/>
      <c r="AM701" s="8"/>
      <c r="AN701" s="8"/>
      <c r="AO701" s="8"/>
    </row>
    <row r="702" spans="7:41" x14ac:dyDescent="0.2">
      <c r="G702" s="8"/>
      <c r="H702" s="8"/>
      <c r="I702" s="8"/>
      <c r="J702" s="8"/>
      <c r="K702" s="8"/>
      <c r="L702" s="8"/>
      <c r="M702" s="8"/>
      <c r="N702" s="8"/>
      <c r="O702" s="8"/>
      <c r="Q702" s="8"/>
      <c r="R702" s="8"/>
      <c r="S702" s="8"/>
      <c r="T702" s="8"/>
      <c r="U702" s="8"/>
      <c r="V702" s="8"/>
      <c r="W702" s="8"/>
      <c r="X702" s="8"/>
      <c r="Y702" s="8"/>
      <c r="Z702" s="8"/>
      <c r="AA702" s="8"/>
      <c r="AB702" s="8"/>
      <c r="AD702" s="8"/>
      <c r="AE702" s="8"/>
      <c r="AF702" s="8"/>
      <c r="AG702" s="8"/>
      <c r="AH702" s="8"/>
      <c r="AI702" s="8"/>
      <c r="AJ702" s="8"/>
      <c r="AK702" s="8"/>
      <c r="AL702" s="8"/>
      <c r="AM702" s="8"/>
      <c r="AN702" s="8"/>
      <c r="AO702" s="8"/>
    </row>
    <row r="703" spans="7:41" x14ac:dyDescent="0.2">
      <c r="G703" s="8"/>
      <c r="H703" s="8"/>
      <c r="I703" s="8"/>
      <c r="J703" s="8"/>
      <c r="K703" s="8"/>
      <c r="L703" s="8"/>
      <c r="M703" s="8"/>
      <c r="N703" s="8"/>
      <c r="O703" s="8"/>
      <c r="Q703" s="8"/>
      <c r="R703" s="8"/>
      <c r="S703" s="8"/>
      <c r="T703" s="8"/>
      <c r="U703" s="8"/>
      <c r="V703" s="8"/>
      <c r="W703" s="8"/>
      <c r="X703" s="8"/>
      <c r="Y703" s="8"/>
      <c r="Z703" s="8"/>
      <c r="AA703" s="8"/>
      <c r="AB703" s="8"/>
      <c r="AD703" s="8"/>
      <c r="AE703" s="8"/>
      <c r="AF703" s="8"/>
      <c r="AG703" s="8"/>
      <c r="AH703" s="8"/>
      <c r="AI703" s="8"/>
      <c r="AJ703" s="8"/>
      <c r="AK703" s="8"/>
      <c r="AL703" s="8"/>
      <c r="AM703" s="8"/>
      <c r="AN703" s="8"/>
      <c r="AO703" s="8"/>
    </row>
    <row r="704" spans="7:41" x14ac:dyDescent="0.2">
      <c r="G704" s="8"/>
      <c r="H704" s="8"/>
      <c r="I704" s="8"/>
      <c r="J704" s="8"/>
      <c r="K704" s="8"/>
      <c r="L704" s="8"/>
      <c r="M704" s="8"/>
      <c r="N704" s="8"/>
      <c r="O704" s="8"/>
      <c r="Q704" s="8"/>
      <c r="R704" s="8"/>
      <c r="S704" s="8"/>
      <c r="T704" s="8"/>
      <c r="U704" s="8"/>
      <c r="V704" s="8"/>
      <c r="W704" s="8"/>
      <c r="X704" s="8"/>
      <c r="Y704" s="8"/>
      <c r="Z704" s="8"/>
      <c r="AA704" s="8"/>
      <c r="AB704" s="8"/>
      <c r="AD704" s="8"/>
      <c r="AE704" s="8"/>
      <c r="AF704" s="8"/>
      <c r="AG704" s="8"/>
      <c r="AH704" s="8"/>
      <c r="AI704" s="8"/>
      <c r="AJ704" s="8"/>
      <c r="AK704" s="8"/>
      <c r="AL704" s="8"/>
      <c r="AM704" s="8"/>
      <c r="AN704" s="8"/>
      <c r="AO704" s="8"/>
    </row>
    <row r="705" spans="7:41" x14ac:dyDescent="0.2">
      <c r="G705" s="8"/>
      <c r="H705" s="8"/>
      <c r="I705" s="8"/>
      <c r="J705" s="8"/>
      <c r="K705" s="8"/>
      <c r="L705" s="8"/>
      <c r="M705" s="8"/>
      <c r="N705" s="8"/>
      <c r="O705" s="8"/>
      <c r="Q705" s="8"/>
      <c r="R705" s="8"/>
      <c r="S705" s="8"/>
      <c r="T705" s="8"/>
      <c r="U705" s="8"/>
      <c r="V705" s="8"/>
      <c r="W705" s="8"/>
      <c r="X705" s="8"/>
      <c r="Y705" s="8"/>
      <c r="Z705" s="8"/>
      <c r="AA705" s="8"/>
      <c r="AB705" s="8"/>
      <c r="AD705" s="8"/>
      <c r="AE705" s="8"/>
      <c r="AF705" s="8"/>
      <c r="AG705" s="8"/>
      <c r="AH705" s="8"/>
      <c r="AI705" s="8"/>
      <c r="AJ705" s="8"/>
      <c r="AK705" s="8"/>
      <c r="AL705" s="8"/>
      <c r="AM705" s="8"/>
      <c r="AN705" s="8"/>
      <c r="AO705" s="8"/>
    </row>
    <row r="706" spans="7:41" x14ac:dyDescent="0.2">
      <c r="G706" s="8"/>
      <c r="H706" s="8"/>
      <c r="I706" s="8"/>
      <c r="J706" s="8"/>
      <c r="K706" s="8"/>
      <c r="L706" s="8"/>
      <c r="M706" s="8"/>
      <c r="N706" s="8"/>
      <c r="O706" s="8"/>
      <c r="Q706" s="8"/>
      <c r="R706" s="8"/>
      <c r="S706" s="8"/>
      <c r="T706" s="8"/>
      <c r="U706" s="8"/>
      <c r="V706" s="8"/>
      <c r="W706" s="8"/>
      <c r="X706" s="8"/>
      <c r="Y706" s="8"/>
      <c r="Z706" s="8"/>
      <c r="AA706" s="8"/>
      <c r="AB706" s="8"/>
      <c r="AD706" s="8"/>
      <c r="AE706" s="8"/>
      <c r="AF706" s="8"/>
      <c r="AG706" s="8"/>
      <c r="AH706" s="8"/>
      <c r="AI706" s="8"/>
      <c r="AJ706" s="8"/>
      <c r="AK706" s="8"/>
      <c r="AL706" s="8"/>
      <c r="AM706" s="8"/>
      <c r="AN706" s="8"/>
      <c r="AO706" s="8"/>
    </row>
    <row r="707" spans="7:41" x14ac:dyDescent="0.2">
      <c r="G707" s="8"/>
      <c r="H707" s="8"/>
      <c r="I707" s="8"/>
      <c r="J707" s="8"/>
      <c r="K707" s="8"/>
      <c r="L707" s="8"/>
      <c r="M707" s="8"/>
      <c r="N707" s="8"/>
      <c r="O707" s="8"/>
      <c r="Q707" s="8"/>
      <c r="R707" s="8"/>
      <c r="S707" s="8"/>
      <c r="T707" s="8"/>
      <c r="U707" s="8"/>
      <c r="V707" s="8"/>
      <c r="W707" s="8"/>
      <c r="X707" s="8"/>
      <c r="Y707" s="8"/>
      <c r="Z707" s="8"/>
      <c r="AA707" s="8"/>
      <c r="AB707" s="8"/>
      <c r="AD707" s="8"/>
      <c r="AE707" s="8"/>
      <c r="AF707" s="8"/>
      <c r="AG707" s="8"/>
      <c r="AH707" s="8"/>
      <c r="AI707" s="8"/>
      <c r="AJ707" s="8"/>
      <c r="AK707" s="8"/>
      <c r="AL707" s="8"/>
      <c r="AM707" s="8"/>
      <c r="AN707" s="8"/>
      <c r="AO707" s="8"/>
    </row>
    <row r="708" spans="7:41" x14ac:dyDescent="0.2">
      <c r="G708" s="8"/>
      <c r="H708" s="8"/>
      <c r="I708" s="8"/>
      <c r="J708" s="8"/>
      <c r="K708" s="8"/>
      <c r="L708" s="8"/>
      <c r="M708" s="8"/>
      <c r="N708" s="8"/>
      <c r="O708" s="8"/>
      <c r="Q708" s="8"/>
      <c r="R708" s="8"/>
      <c r="S708" s="8"/>
      <c r="T708" s="8"/>
      <c r="U708" s="8"/>
      <c r="V708" s="8"/>
      <c r="W708" s="8"/>
      <c r="X708" s="8"/>
      <c r="Y708" s="8"/>
      <c r="Z708" s="8"/>
      <c r="AA708" s="8"/>
      <c r="AB708" s="8"/>
      <c r="AD708" s="8"/>
      <c r="AE708" s="8"/>
      <c r="AF708" s="8"/>
      <c r="AG708" s="8"/>
      <c r="AH708" s="8"/>
      <c r="AI708" s="8"/>
      <c r="AJ708" s="8"/>
      <c r="AK708" s="8"/>
      <c r="AL708" s="8"/>
      <c r="AM708" s="8"/>
      <c r="AN708" s="8"/>
      <c r="AO708" s="8"/>
    </row>
    <row r="709" spans="7:41" x14ac:dyDescent="0.2">
      <c r="G709" s="8"/>
      <c r="H709" s="8"/>
      <c r="I709" s="8"/>
      <c r="J709" s="8"/>
      <c r="K709" s="8"/>
      <c r="L709" s="8"/>
      <c r="M709" s="8"/>
      <c r="N709" s="8"/>
      <c r="O709" s="8"/>
      <c r="Q709" s="8"/>
      <c r="R709" s="8"/>
      <c r="S709" s="8"/>
      <c r="T709" s="8"/>
      <c r="U709" s="8"/>
      <c r="V709" s="8"/>
      <c r="W709" s="8"/>
      <c r="X709" s="8"/>
      <c r="Y709" s="8"/>
      <c r="Z709" s="8"/>
      <c r="AA709" s="8"/>
      <c r="AB709" s="8"/>
      <c r="AD709" s="8"/>
      <c r="AE709" s="8"/>
      <c r="AF709" s="8"/>
      <c r="AG709" s="8"/>
      <c r="AH709" s="8"/>
      <c r="AI709" s="8"/>
      <c r="AJ709" s="8"/>
      <c r="AK709" s="8"/>
      <c r="AL709" s="8"/>
      <c r="AM709" s="8"/>
      <c r="AN709" s="8"/>
      <c r="AO709" s="8"/>
    </row>
    <row r="710" spans="7:41" x14ac:dyDescent="0.2">
      <c r="G710" s="8"/>
      <c r="H710" s="8"/>
      <c r="I710" s="8"/>
      <c r="J710" s="8"/>
      <c r="K710" s="8"/>
      <c r="L710" s="8"/>
      <c r="M710" s="8"/>
      <c r="N710" s="8"/>
      <c r="O710" s="8"/>
      <c r="Q710" s="8"/>
      <c r="R710" s="8"/>
      <c r="S710" s="8"/>
      <c r="T710" s="8"/>
      <c r="U710" s="8"/>
      <c r="V710" s="8"/>
      <c r="W710" s="8"/>
      <c r="X710" s="8"/>
      <c r="Y710" s="8"/>
      <c r="Z710" s="8"/>
      <c r="AA710" s="8"/>
      <c r="AB710" s="8"/>
      <c r="AD710" s="8"/>
      <c r="AE710" s="8"/>
      <c r="AF710" s="8"/>
      <c r="AG710" s="8"/>
      <c r="AH710" s="8"/>
      <c r="AI710" s="8"/>
      <c r="AJ710" s="8"/>
      <c r="AK710" s="8"/>
      <c r="AL710" s="8"/>
      <c r="AM710" s="8"/>
      <c r="AN710" s="8"/>
      <c r="AO710" s="8"/>
    </row>
    <row r="711" spans="7:41" x14ac:dyDescent="0.2">
      <c r="G711" s="8"/>
      <c r="H711" s="8"/>
      <c r="I711" s="8"/>
      <c r="J711" s="8"/>
      <c r="K711" s="8"/>
      <c r="L711" s="8"/>
      <c r="M711" s="8"/>
      <c r="N711" s="8"/>
      <c r="O711" s="8"/>
      <c r="Q711" s="8"/>
      <c r="R711" s="8"/>
      <c r="S711" s="8"/>
      <c r="T711" s="8"/>
      <c r="U711" s="8"/>
      <c r="V711" s="8"/>
      <c r="W711" s="8"/>
      <c r="X711" s="8"/>
      <c r="Y711" s="8"/>
      <c r="Z711" s="8"/>
      <c r="AA711" s="8"/>
      <c r="AB711" s="8"/>
      <c r="AD711" s="8"/>
      <c r="AE711" s="8"/>
      <c r="AF711" s="8"/>
      <c r="AG711" s="8"/>
      <c r="AH711" s="8"/>
      <c r="AI711" s="8"/>
      <c r="AJ711" s="8"/>
      <c r="AK711" s="8"/>
      <c r="AL711" s="8"/>
      <c r="AM711" s="8"/>
      <c r="AN711" s="8"/>
      <c r="AO711" s="8"/>
    </row>
    <row r="712" spans="7:41" x14ac:dyDescent="0.2">
      <c r="G712" s="8"/>
      <c r="H712" s="8"/>
      <c r="I712" s="8"/>
      <c r="J712" s="8"/>
      <c r="K712" s="8"/>
      <c r="L712" s="8"/>
      <c r="M712" s="8"/>
      <c r="N712" s="8"/>
      <c r="O712" s="8"/>
      <c r="Q712" s="8"/>
      <c r="R712" s="8"/>
      <c r="S712" s="8"/>
      <c r="T712" s="8"/>
      <c r="U712" s="8"/>
      <c r="V712" s="8"/>
      <c r="W712" s="8"/>
      <c r="X712" s="8"/>
      <c r="Y712" s="8"/>
      <c r="Z712" s="8"/>
      <c r="AA712" s="8"/>
      <c r="AB712" s="8"/>
      <c r="AD712" s="8"/>
      <c r="AE712" s="8"/>
      <c r="AF712" s="8"/>
      <c r="AG712" s="8"/>
      <c r="AH712" s="8"/>
      <c r="AI712" s="8"/>
      <c r="AJ712" s="8"/>
      <c r="AK712" s="8"/>
      <c r="AL712" s="8"/>
      <c r="AM712" s="8"/>
      <c r="AN712" s="8"/>
      <c r="AO712" s="8"/>
    </row>
    <row r="713" spans="7:41" x14ac:dyDescent="0.2">
      <c r="G713" s="8"/>
      <c r="H713" s="8"/>
      <c r="I713" s="8"/>
      <c r="J713" s="8"/>
      <c r="K713" s="8"/>
      <c r="L713" s="8"/>
      <c r="M713" s="8"/>
      <c r="N713" s="8"/>
      <c r="O713" s="8"/>
      <c r="Q713" s="8"/>
      <c r="R713" s="8"/>
      <c r="S713" s="8"/>
      <c r="T713" s="8"/>
      <c r="U713" s="8"/>
      <c r="V713" s="8"/>
      <c r="W713" s="8"/>
      <c r="X713" s="8"/>
      <c r="Y713" s="8"/>
      <c r="Z713" s="8"/>
      <c r="AA713" s="8"/>
      <c r="AB713" s="8"/>
      <c r="AD713" s="8"/>
      <c r="AE713" s="8"/>
      <c r="AF713" s="8"/>
      <c r="AG713" s="8"/>
      <c r="AH713" s="8"/>
      <c r="AI713" s="8"/>
      <c r="AJ713" s="8"/>
      <c r="AK713" s="8"/>
      <c r="AL713" s="8"/>
      <c r="AM713" s="8"/>
      <c r="AN713" s="8"/>
      <c r="AO713" s="8"/>
    </row>
    <row r="714" spans="7:41" x14ac:dyDescent="0.2">
      <c r="G714" s="8"/>
      <c r="H714" s="8"/>
      <c r="I714" s="8"/>
      <c r="J714" s="8"/>
      <c r="K714" s="8"/>
      <c r="L714" s="8"/>
      <c r="M714" s="8"/>
      <c r="N714" s="8"/>
      <c r="O714" s="8"/>
      <c r="Q714" s="8"/>
      <c r="R714" s="8"/>
      <c r="S714" s="8"/>
      <c r="T714" s="8"/>
      <c r="U714" s="8"/>
      <c r="V714" s="8"/>
      <c r="W714" s="8"/>
      <c r="X714" s="8"/>
      <c r="Y714" s="8"/>
      <c r="Z714" s="8"/>
      <c r="AA714" s="8"/>
      <c r="AB714" s="8"/>
      <c r="AD714" s="8"/>
      <c r="AE714" s="8"/>
      <c r="AF714" s="8"/>
      <c r="AG714" s="8"/>
      <c r="AH714" s="8"/>
      <c r="AI714" s="8"/>
      <c r="AJ714" s="8"/>
      <c r="AK714" s="8"/>
      <c r="AL714" s="8"/>
      <c r="AM714" s="8"/>
      <c r="AN714" s="8"/>
      <c r="AO714" s="8"/>
    </row>
    <row r="715" spans="7:41" x14ac:dyDescent="0.2">
      <c r="G715" s="8"/>
      <c r="H715" s="8"/>
      <c r="I715" s="8"/>
      <c r="J715" s="8"/>
      <c r="K715" s="8"/>
      <c r="L715" s="8"/>
      <c r="M715" s="8"/>
      <c r="N715" s="8"/>
      <c r="O715" s="8"/>
      <c r="Q715" s="8"/>
      <c r="R715" s="8"/>
      <c r="S715" s="8"/>
      <c r="T715" s="8"/>
      <c r="U715" s="8"/>
      <c r="V715" s="8"/>
      <c r="W715" s="8"/>
      <c r="X715" s="8"/>
      <c r="Y715" s="8"/>
      <c r="Z715" s="8"/>
      <c r="AA715" s="8"/>
      <c r="AB715" s="8"/>
      <c r="AD715" s="8"/>
      <c r="AE715" s="8"/>
      <c r="AF715" s="8"/>
      <c r="AG715" s="8"/>
      <c r="AH715" s="8"/>
      <c r="AI715" s="8"/>
      <c r="AJ715" s="8"/>
      <c r="AK715" s="8"/>
      <c r="AL715" s="8"/>
      <c r="AM715" s="8"/>
      <c r="AN715" s="8"/>
      <c r="AO715" s="8"/>
    </row>
    <row r="716" spans="7:41" x14ac:dyDescent="0.2">
      <c r="G716" s="8"/>
      <c r="H716" s="8"/>
      <c r="I716" s="8"/>
      <c r="J716" s="8"/>
      <c r="K716" s="8"/>
      <c r="L716" s="8"/>
      <c r="M716" s="8"/>
      <c r="N716" s="8"/>
      <c r="O716" s="8"/>
      <c r="Q716" s="8"/>
      <c r="R716" s="8"/>
      <c r="S716" s="8"/>
      <c r="T716" s="8"/>
      <c r="U716" s="8"/>
      <c r="V716" s="8"/>
      <c r="W716" s="8"/>
      <c r="X716" s="8"/>
      <c r="Y716" s="8"/>
      <c r="Z716" s="8"/>
      <c r="AA716" s="8"/>
      <c r="AB716" s="8"/>
      <c r="AD716" s="8"/>
      <c r="AE716" s="8"/>
      <c r="AF716" s="8"/>
      <c r="AG716" s="8"/>
      <c r="AH716" s="8"/>
      <c r="AI716" s="8"/>
      <c r="AJ716" s="8"/>
      <c r="AK716" s="8"/>
      <c r="AL716" s="8"/>
      <c r="AM716" s="8"/>
      <c r="AN716" s="8"/>
      <c r="AO716" s="8"/>
    </row>
    <row r="717" spans="7:41" x14ac:dyDescent="0.2">
      <c r="G717" s="8"/>
      <c r="H717" s="8"/>
      <c r="I717" s="8"/>
      <c r="J717" s="8"/>
      <c r="K717" s="8"/>
      <c r="L717" s="8"/>
      <c r="M717" s="8"/>
      <c r="N717" s="8"/>
      <c r="O717" s="8"/>
      <c r="Q717" s="8"/>
      <c r="R717" s="8"/>
      <c r="S717" s="8"/>
      <c r="T717" s="8"/>
      <c r="U717" s="8"/>
      <c r="V717" s="8"/>
      <c r="W717" s="8"/>
      <c r="X717" s="8"/>
      <c r="Y717" s="8"/>
      <c r="Z717" s="8"/>
      <c r="AA717" s="8"/>
      <c r="AB717" s="8"/>
      <c r="AD717" s="8"/>
      <c r="AE717" s="8"/>
      <c r="AF717" s="8"/>
      <c r="AG717" s="8"/>
      <c r="AH717" s="8"/>
      <c r="AI717" s="8"/>
      <c r="AJ717" s="8"/>
      <c r="AK717" s="8"/>
      <c r="AL717" s="8"/>
      <c r="AM717" s="8"/>
      <c r="AN717" s="8"/>
      <c r="AO717" s="8"/>
    </row>
    <row r="718" spans="7:41" x14ac:dyDescent="0.2">
      <c r="G718" s="8"/>
      <c r="H718" s="8"/>
      <c r="I718" s="8"/>
      <c r="J718" s="8"/>
      <c r="K718" s="8"/>
      <c r="L718" s="8"/>
      <c r="M718" s="8"/>
      <c r="N718" s="8"/>
      <c r="O718" s="8"/>
      <c r="Q718" s="8"/>
      <c r="R718" s="8"/>
      <c r="S718" s="8"/>
      <c r="T718" s="8"/>
      <c r="U718" s="8"/>
      <c r="V718" s="8"/>
      <c r="W718" s="8"/>
      <c r="X718" s="8"/>
      <c r="Y718" s="8"/>
      <c r="Z718" s="8"/>
      <c r="AA718" s="8"/>
      <c r="AB718" s="8"/>
      <c r="AD718" s="8"/>
      <c r="AE718" s="8"/>
      <c r="AF718" s="8"/>
      <c r="AG718" s="8"/>
      <c r="AH718" s="8"/>
      <c r="AI718" s="8"/>
      <c r="AJ718" s="8"/>
      <c r="AK718" s="8"/>
      <c r="AL718" s="8"/>
      <c r="AM718" s="8"/>
      <c r="AN718" s="8"/>
      <c r="AO718" s="8"/>
    </row>
    <row r="719" spans="7:41" x14ac:dyDescent="0.2">
      <c r="G719" s="8"/>
      <c r="H719" s="8"/>
      <c r="I719" s="8"/>
      <c r="J719" s="8"/>
      <c r="K719" s="8"/>
      <c r="L719" s="8"/>
      <c r="M719" s="8"/>
      <c r="N719" s="8"/>
      <c r="O719" s="8"/>
      <c r="Q719" s="8"/>
      <c r="R719" s="8"/>
      <c r="S719" s="8"/>
      <c r="T719" s="8"/>
      <c r="U719" s="8"/>
      <c r="V719" s="8"/>
      <c r="W719" s="8"/>
      <c r="X719" s="8"/>
      <c r="Y719" s="8"/>
      <c r="Z719" s="8"/>
      <c r="AA719" s="8"/>
      <c r="AB719" s="8"/>
      <c r="AD719" s="8"/>
      <c r="AE719" s="8"/>
      <c r="AF719" s="8"/>
      <c r="AG719" s="8"/>
      <c r="AH719" s="8"/>
      <c r="AI719" s="8"/>
      <c r="AJ719" s="8"/>
      <c r="AK719" s="8"/>
      <c r="AL719" s="8"/>
      <c r="AM719" s="8"/>
      <c r="AN719" s="8"/>
      <c r="AO719" s="8"/>
    </row>
    <row r="720" spans="7:41" x14ac:dyDescent="0.2">
      <c r="G720" s="8"/>
      <c r="H720" s="8"/>
      <c r="I720" s="8"/>
      <c r="J720" s="8"/>
      <c r="K720" s="8"/>
      <c r="L720" s="8"/>
      <c r="M720" s="8"/>
      <c r="N720" s="8"/>
      <c r="O720" s="8"/>
      <c r="Q720" s="8"/>
      <c r="R720" s="8"/>
      <c r="S720" s="8"/>
      <c r="T720" s="8"/>
      <c r="U720" s="8"/>
      <c r="V720" s="8"/>
      <c r="W720" s="8"/>
      <c r="X720" s="8"/>
      <c r="Y720" s="8"/>
      <c r="Z720" s="8"/>
      <c r="AA720" s="8"/>
      <c r="AB720" s="8"/>
      <c r="AD720" s="8"/>
      <c r="AE720" s="8"/>
      <c r="AF720" s="8"/>
      <c r="AG720" s="8"/>
      <c r="AH720" s="8"/>
      <c r="AI720" s="8"/>
      <c r="AJ720" s="8"/>
      <c r="AK720" s="8"/>
      <c r="AL720" s="8"/>
      <c r="AM720" s="8"/>
      <c r="AN720" s="8"/>
      <c r="AO720" s="8"/>
    </row>
    <row r="721" spans="7:41" x14ac:dyDescent="0.2">
      <c r="G721" s="8"/>
      <c r="H721" s="8"/>
      <c r="I721" s="8"/>
      <c r="J721" s="8"/>
      <c r="K721" s="8"/>
      <c r="L721" s="8"/>
      <c r="M721" s="8"/>
      <c r="N721" s="8"/>
      <c r="O721" s="8"/>
      <c r="Q721" s="8"/>
      <c r="R721" s="8"/>
      <c r="S721" s="8"/>
      <c r="T721" s="8"/>
      <c r="U721" s="8"/>
      <c r="V721" s="8"/>
      <c r="W721" s="8"/>
      <c r="X721" s="8"/>
      <c r="Y721" s="8"/>
      <c r="Z721" s="8"/>
      <c r="AA721" s="8"/>
      <c r="AB721" s="8"/>
      <c r="AD721" s="8"/>
      <c r="AE721" s="8"/>
      <c r="AF721" s="8"/>
      <c r="AG721" s="8"/>
      <c r="AH721" s="8"/>
      <c r="AI721" s="8"/>
      <c r="AJ721" s="8"/>
      <c r="AK721" s="8"/>
      <c r="AL721" s="8"/>
      <c r="AM721" s="8"/>
      <c r="AN721" s="8"/>
      <c r="AO721" s="8"/>
    </row>
    <row r="722" spans="7:41" x14ac:dyDescent="0.2">
      <c r="G722" s="8"/>
      <c r="H722" s="8"/>
      <c r="I722" s="8"/>
      <c r="J722" s="8"/>
      <c r="K722" s="8"/>
      <c r="L722" s="8"/>
      <c r="M722" s="8"/>
      <c r="N722" s="8"/>
      <c r="O722" s="8"/>
      <c r="Q722" s="8"/>
      <c r="R722" s="8"/>
      <c r="S722" s="8"/>
      <c r="T722" s="8"/>
      <c r="U722" s="8"/>
      <c r="V722" s="8"/>
      <c r="W722" s="8"/>
      <c r="X722" s="8"/>
      <c r="Y722" s="8"/>
      <c r="Z722" s="8"/>
      <c r="AA722" s="8"/>
      <c r="AB722" s="8"/>
      <c r="AD722" s="8"/>
      <c r="AE722" s="8"/>
      <c r="AF722" s="8"/>
      <c r="AG722" s="8"/>
      <c r="AH722" s="8"/>
      <c r="AI722" s="8"/>
      <c r="AJ722" s="8"/>
      <c r="AK722" s="8"/>
      <c r="AL722" s="8"/>
      <c r="AM722" s="8"/>
      <c r="AN722" s="8"/>
      <c r="AO722" s="8"/>
    </row>
    <row r="723" spans="7:41" x14ac:dyDescent="0.2">
      <c r="G723" s="8"/>
      <c r="H723" s="8"/>
      <c r="I723" s="8"/>
      <c r="J723" s="8"/>
      <c r="K723" s="8"/>
      <c r="L723" s="8"/>
      <c r="M723" s="8"/>
      <c r="N723" s="8"/>
      <c r="O723" s="8"/>
      <c r="Q723" s="8"/>
      <c r="R723" s="8"/>
      <c r="S723" s="8"/>
      <c r="T723" s="8"/>
      <c r="U723" s="8"/>
      <c r="V723" s="8"/>
      <c r="W723" s="8"/>
      <c r="X723" s="8"/>
      <c r="Y723" s="8"/>
      <c r="Z723" s="8"/>
      <c r="AA723" s="8"/>
      <c r="AB723" s="8"/>
      <c r="AD723" s="8"/>
      <c r="AE723" s="8"/>
      <c r="AF723" s="8"/>
      <c r="AG723" s="8"/>
      <c r="AH723" s="8"/>
      <c r="AI723" s="8"/>
      <c r="AJ723" s="8"/>
      <c r="AK723" s="8"/>
      <c r="AL723" s="8"/>
      <c r="AM723" s="8"/>
      <c r="AN723" s="8"/>
      <c r="AO723" s="8"/>
    </row>
    <row r="724" spans="7:41" x14ac:dyDescent="0.2">
      <c r="G724" s="8"/>
      <c r="H724" s="8"/>
      <c r="I724" s="8"/>
      <c r="J724" s="8"/>
      <c r="K724" s="8"/>
      <c r="L724" s="8"/>
      <c r="M724" s="8"/>
      <c r="N724" s="8"/>
      <c r="O724" s="8"/>
      <c r="Q724" s="8"/>
      <c r="R724" s="8"/>
      <c r="S724" s="8"/>
      <c r="T724" s="8"/>
      <c r="U724" s="8"/>
      <c r="V724" s="8"/>
      <c r="W724" s="8"/>
      <c r="X724" s="8"/>
      <c r="Y724" s="8"/>
      <c r="Z724" s="8"/>
      <c r="AA724" s="8"/>
      <c r="AB724" s="8"/>
      <c r="AD724" s="8"/>
      <c r="AE724" s="8"/>
      <c r="AF724" s="8"/>
      <c r="AG724" s="8"/>
      <c r="AH724" s="8"/>
      <c r="AI724" s="8"/>
      <c r="AJ724" s="8"/>
      <c r="AK724" s="8"/>
      <c r="AL724" s="8"/>
      <c r="AM724" s="8"/>
      <c r="AN724" s="8"/>
      <c r="AO724" s="8"/>
    </row>
    <row r="725" spans="7:41" x14ac:dyDescent="0.2">
      <c r="G725" s="8"/>
      <c r="H725" s="8"/>
      <c r="I725" s="8"/>
      <c r="J725" s="8"/>
      <c r="K725" s="8"/>
      <c r="L725" s="8"/>
      <c r="M725" s="8"/>
      <c r="N725" s="8"/>
      <c r="O725" s="8"/>
      <c r="Q725" s="8"/>
      <c r="R725" s="8"/>
      <c r="S725" s="8"/>
      <c r="T725" s="8"/>
      <c r="U725" s="8"/>
      <c r="V725" s="8"/>
      <c r="W725" s="8"/>
      <c r="X725" s="8"/>
      <c r="Y725" s="8"/>
      <c r="Z725" s="8"/>
      <c r="AA725" s="8"/>
      <c r="AB725" s="8"/>
      <c r="AD725" s="8"/>
      <c r="AE725" s="8"/>
      <c r="AF725" s="8"/>
      <c r="AG725" s="8"/>
      <c r="AH725" s="8"/>
      <c r="AI725" s="8"/>
      <c r="AJ725" s="8"/>
      <c r="AK725" s="8"/>
      <c r="AL725" s="8"/>
      <c r="AM725" s="8"/>
      <c r="AN725" s="8"/>
      <c r="AO725" s="8"/>
    </row>
    <row r="726" spans="7:41" x14ac:dyDescent="0.2">
      <c r="G726" s="8"/>
      <c r="H726" s="8"/>
      <c r="I726" s="8"/>
      <c r="J726" s="8"/>
      <c r="K726" s="8"/>
      <c r="L726" s="8"/>
      <c r="M726" s="8"/>
      <c r="N726" s="8"/>
      <c r="O726" s="8"/>
      <c r="Q726" s="8"/>
      <c r="R726" s="8"/>
      <c r="S726" s="8"/>
      <c r="T726" s="8"/>
      <c r="U726" s="8"/>
      <c r="V726" s="8"/>
      <c r="W726" s="8"/>
      <c r="X726" s="8"/>
      <c r="Y726" s="8"/>
      <c r="Z726" s="8"/>
      <c r="AA726" s="8"/>
      <c r="AB726" s="8"/>
      <c r="AD726" s="8"/>
      <c r="AE726" s="8"/>
      <c r="AF726" s="8"/>
      <c r="AG726" s="8"/>
      <c r="AH726" s="8"/>
      <c r="AI726" s="8"/>
      <c r="AJ726" s="8"/>
      <c r="AK726" s="8"/>
      <c r="AL726" s="8"/>
      <c r="AM726" s="8"/>
      <c r="AN726" s="8"/>
      <c r="AO726" s="8"/>
    </row>
    <row r="727" spans="7:41" x14ac:dyDescent="0.2">
      <c r="G727" s="8"/>
      <c r="H727" s="8"/>
      <c r="I727" s="8"/>
      <c r="J727" s="8"/>
      <c r="K727" s="8"/>
      <c r="L727" s="8"/>
      <c r="M727" s="8"/>
      <c r="N727" s="8"/>
      <c r="O727" s="8"/>
      <c r="Q727" s="8"/>
      <c r="R727" s="8"/>
      <c r="S727" s="8"/>
      <c r="T727" s="8"/>
      <c r="U727" s="8"/>
      <c r="V727" s="8"/>
      <c r="W727" s="8"/>
      <c r="X727" s="8"/>
      <c r="Y727" s="8"/>
      <c r="Z727" s="8"/>
      <c r="AA727" s="8"/>
      <c r="AB727" s="8"/>
      <c r="AD727" s="8"/>
      <c r="AE727" s="8"/>
      <c r="AF727" s="8"/>
      <c r="AG727" s="8"/>
      <c r="AH727" s="8"/>
      <c r="AI727" s="8"/>
      <c r="AJ727" s="8"/>
      <c r="AK727" s="8"/>
      <c r="AL727" s="8"/>
      <c r="AM727" s="8"/>
      <c r="AN727" s="8"/>
      <c r="AO727" s="8"/>
    </row>
    <row r="728" spans="7:41" x14ac:dyDescent="0.2">
      <c r="G728" s="8"/>
      <c r="H728" s="8"/>
      <c r="I728" s="8"/>
      <c r="J728" s="8"/>
      <c r="K728" s="8"/>
      <c r="L728" s="8"/>
      <c r="M728" s="8"/>
      <c r="N728" s="8"/>
      <c r="O728" s="8"/>
      <c r="Q728" s="8"/>
      <c r="R728" s="8"/>
      <c r="S728" s="8"/>
      <c r="T728" s="8"/>
      <c r="U728" s="8"/>
      <c r="V728" s="8"/>
      <c r="W728" s="8"/>
      <c r="X728" s="8"/>
      <c r="Y728" s="8"/>
      <c r="Z728" s="8"/>
      <c r="AA728" s="8"/>
      <c r="AB728" s="8"/>
      <c r="AD728" s="8"/>
      <c r="AE728" s="8"/>
      <c r="AF728" s="8"/>
      <c r="AG728" s="8"/>
      <c r="AH728" s="8"/>
      <c r="AI728" s="8"/>
      <c r="AJ728" s="8"/>
      <c r="AK728" s="8"/>
      <c r="AL728" s="8"/>
      <c r="AM728" s="8"/>
      <c r="AN728" s="8"/>
      <c r="AO728" s="8"/>
    </row>
    <row r="729" spans="7:41" x14ac:dyDescent="0.2">
      <c r="G729" s="8"/>
      <c r="H729" s="8"/>
      <c r="I729" s="8"/>
      <c r="J729" s="8"/>
      <c r="K729" s="8"/>
      <c r="L729" s="8"/>
      <c r="M729" s="8"/>
      <c r="N729" s="8"/>
      <c r="O729" s="8"/>
      <c r="Q729" s="8"/>
      <c r="R729" s="8"/>
      <c r="S729" s="8"/>
      <c r="T729" s="8"/>
      <c r="U729" s="8"/>
      <c r="V729" s="8"/>
      <c r="W729" s="8"/>
      <c r="X729" s="8"/>
      <c r="Y729" s="8"/>
      <c r="Z729" s="8"/>
      <c r="AA729" s="8"/>
      <c r="AB729" s="8"/>
      <c r="AD729" s="8"/>
      <c r="AE729" s="8"/>
      <c r="AF729" s="8"/>
      <c r="AG729" s="8"/>
      <c r="AH729" s="8"/>
      <c r="AI729" s="8"/>
      <c r="AJ729" s="8"/>
      <c r="AK729" s="8"/>
      <c r="AL729" s="8"/>
      <c r="AM729" s="8"/>
      <c r="AN729" s="8"/>
      <c r="AO729" s="8"/>
    </row>
    <row r="730" spans="7:41" x14ac:dyDescent="0.2">
      <c r="G730" s="8"/>
      <c r="H730" s="8"/>
      <c r="I730" s="8"/>
      <c r="J730" s="8"/>
      <c r="K730" s="8"/>
      <c r="L730" s="8"/>
      <c r="M730" s="8"/>
      <c r="N730" s="8"/>
      <c r="O730" s="8"/>
      <c r="Q730" s="8"/>
      <c r="R730" s="8"/>
      <c r="S730" s="8"/>
      <c r="T730" s="8"/>
      <c r="U730" s="8"/>
      <c r="V730" s="8"/>
      <c r="W730" s="8"/>
      <c r="X730" s="8"/>
      <c r="Y730" s="8"/>
      <c r="Z730" s="8"/>
      <c r="AA730" s="8"/>
      <c r="AB730" s="8"/>
      <c r="AD730" s="8"/>
      <c r="AE730" s="8"/>
      <c r="AF730" s="8"/>
      <c r="AG730" s="8"/>
      <c r="AH730" s="8"/>
      <c r="AI730" s="8"/>
      <c r="AJ730" s="8"/>
      <c r="AK730" s="8"/>
      <c r="AL730" s="8"/>
      <c r="AM730" s="8"/>
      <c r="AN730" s="8"/>
      <c r="AO730" s="8"/>
    </row>
    <row r="731" spans="7:41" x14ac:dyDescent="0.2">
      <c r="G731" s="8"/>
      <c r="H731" s="8"/>
      <c r="I731" s="8"/>
      <c r="J731" s="8"/>
      <c r="K731" s="8"/>
      <c r="L731" s="8"/>
      <c r="M731" s="8"/>
      <c r="N731" s="8"/>
      <c r="O731" s="8"/>
      <c r="Q731" s="8"/>
      <c r="R731" s="8"/>
      <c r="S731" s="8"/>
      <c r="T731" s="8"/>
      <c r="U731" s="8"/>
      <c r="V731" s="8"/>
      <c r="W731" s="8"/>
      <c r="X731" s="8"/>
      <c r="Y731" s="8"/>
      <c r="Z731" s="8"/>
      <c r="AA731" s="8"/>
      <c r="AB731" s="8"/>
      <c r="AD731" s="8"/>
      <c r="AE731" s="8"/>
      <c r="AF731" s="8"/>
      <c r="AG731" s="8"/>
      <c r="AH731" s="8"/>
      <c r="AI731" s="8"/>
      <c r="AJ731" s="8"/>
      <c r="AK731" s="8"/>
      <c r="AL731" s="8"/>
      <c r="AM731" s="8"/>
      <c r="AN731" s="8"/>
      <c r="AO731" s="8"/>
    </row>
    <row r="732" spans="7:41" x14ac:dyDescent="0.2">
      <c r="G732" s="8"/>
      <c r="H732" s="8"/>
      <c r="I732" s="8"/>
      <c r="J732" s="8"/>
      <c r="K732" s="8"/>
      <c r="L732" s="8"/>
      <c r="M732" s="8"/>
      <c r="N732" s="8"/>
      <c r="O732" s="8"/>
      <c r="Q732" s="8"/>
      <c r="R732" s="8"/>
      <c r="S732" s="8"/>
      <c r="T732" s="8"/>
      <c r="U732" s="8"/>
      <c r="V732" s="8"/>
      <c r="W732" s="8"/>
      <c r="X732" s="8"/>
      <c r="Y732" s="8"/>
      <c r="Z732" s="8"/>
      <c r="AA732" s="8"/>
      <c r="AB732" s="8"/>
      <c r="AD732" s="8"/>
      <c r="AE732" s="8"/>
      <c r="AF732" s="8"/>
      <c r="AG732" s="8"/>
      <c r="AH732" s="8"/>
      <c r="AI732" s="8"/>
      <c r="AJ732" s="8"/>
      <c r="AK732" s="8"/>
      <c r="AL732" s="8"/>
      <c r="AM732" s="8"/>
      <c r="AN732" s="8"/>
      <c r="AO732" s="8"/>
    </row>
    <row r="733" spans="7:41" x14ac:dyDescent="0.2">
      <c r="G733" s="8"/>
      <c r="H733" s="8"/>
      <c r="I733" s="8"/>
      <c r="J733" s="8"/>
      <c r="K733" s="8"/>
      <c r="L733" s="8"/>
      <c r="M733" s="8"/>
      <c r="N733" s="8"/>
      <c r="O733" s="8"/>
      <c r="Q733" s="8"/>
      <c r="R733" s="8"/>
      <c r="S733" s="8"/>
      <c r="T733" s="8"/>
      <c r="U733" s="8"/>
      <c r="V733" s="8"/>
      <c r="W733" s="8"/>
      <c r="X733" s="8"/>
      <c r="Y733" s="8"/>
      <c r="Z733" s="8"/>
      <c r="AA733" s="8"/>
      <c r="AB733" s="8"/>
      <c r="AD733" s="8"/>
      <c r="AE733" s="8"/>
      <c r="AF733" s="8"/>
      <c r="AG733" s="8"/>
      <c r="AH733" s="8"/>
      <c r="AI733" s="8"/>
      <c r="AJ733" s="8"/>
      <c r="AK733" s="8"/>
      <c r="AL733" s="8"/>
      <c r="AM733" s="8"/>
      <c r="AN733" s="8"/>
      <c r="AO733" s="8"/>
    </row>
    <row r="734" spans="7:41" x14ac:dyDescent="0.2">
      <c r="G734" s="8"/>
      <c r="H734" s="8"/>
      <c r="I734" s="8"/>
      <c r="J734" s="8"/>
      <c r="K734" s="8"/>
      <c r="L734" s="8"/>
      <c r="M734" s="8"/>
      <c r="N734" s="8"/>
      <c r="O734" s="8"/>
      <c r="Q734" s="8"/>
      <c r="R734" s="8"/>
      <c r="S734" s="8"/>
      <c r="T734" s="8"/>
      <c r="U734" s="8"/>
      <c r="V734" s="8"/>
      <c r="W734" s="8"/>
      <c r="X734" s="8"/>
      <c r="Y734" s="8"/>
      <c r="Z734" s="8"/>
      <c r="AA734" s="8"/>
      <c r="AB734" s="8"/>
      <c r="AD734" s="8"/>
      <c r="AE734" s="8"/>
      <c r="AF734" s="8"/>
      <c r="AG734" s="8"/>
      <c r="AH734" s="8"/>
      <c r="AI734" s="8"/>
      <c r="AJ734" s="8"/>
      <c r="AK734" s="8"/>
      <c r="AL734" s="8"/>
      <c r="AM734" s="8"/>
      <c r="AN734" s="8"/>
      <c r="AO734" s="8"/>
    </row>
    <row r="735" spans="7:41" x14ac:dyDescent="0.2">
      <c r="G735" s="8"/>
      <c r="H735" s="8"/>
      <c r="I735" s="8"/>
      <c r="J735" s="8"/>
      <c r="K735" s="8"/>
      <c r="L735" s="8"/>
      <c r="M735" s="8"/>
      <c r="N735" s="8"/>
      <c r="O735" s="8"/>
      <c r="Q735" s="8"/>
      <c r="R735" s="8"/>
      <c r="S735" s="8"/>
      <c r="T735" s="8"/>
      <c r="U735" s="8"/>
      <c r="V735" s="8"/>
      <c r="W735" s="8"/>
      <c r="X735" s="8"/>
      <c r="Y735" s="8"/>
      <c r="Z735" s="8"/>
      <c r="AA735" s="8"/>
      <c r="AB735" s="8"/>
      <c r="AD735" s="8"/>
      <c r="AE735" s="8"/>
      <c r="AF735" s="8"/>
      <c r="AG735" s="8"/>
      <c r="AH735" s="8"/>
      <c r="AI735" s="8"/>
      <c r="AJ735" s="8"/>
      <c r="AK735" s="8"/>
      <c r="AL735" s="8"/>
      <c r="AM735" s="8"/>
      <c r="AN735" s="8"/>
      <c r="AO735" s="8"/>
    </row>
    <row r="736" spans="7:41" x14ac:dyDescent="0.2">
      <c r="G736" s="8"/>
      <c r="H736" s="8"/>
      <c r="I736" s="8"/>
      <c r="J736" s="8"/>
      <c r="K736" s="8"/>
      <c r="L736" s="8"/>
      <c r="M736" s="8"/>
      <c r="N736" s="8"/>
      <c r="O736" s="8"/>
      <c r="Q736" s="8"/>
      <c r="R736" s="8"/>
      <c r="S736" s="8"/>
      <c r="T736" s="8"/>
      <c r="U736" s="8"/>
      <c r="V736" s="8"/>
      <c r="W736" s="8"/>
      <c r="X736" s="8"/>
      <c r="Y736" s="8"/>
      <c r="Z736" s="8"/>
      <c r="AA736" s="8"/>
      <c r="AB736" s="8"/>
      <c r="AD736" s="8"/>
      <c r="AE736" s="8"/>
      <c r="AF736" s="8"/>
      <c r="AG736" s="8"/>
      <c r="AH736" s="8"/>
      <c r="AI736" s="8"/>
      <c r="AJ736" s="8"/>
      <c r="AK736" s="8"/>
      <c r="AL736" s="8"/>
      <c r="AM736" s="8"/>
      <c r="AN736" s="8"/>
      <c r="AO736" s="8"/>
    </row>
    <row r="737" spans="7:41" x14ac:dyDescent="0.2">
      <c r="G737" s="8"/>
      <c r="H737" s="8"/>
      <c r="I737" s="8"/>
      <c r="J737" s="8"/>
      <c r="K737" s="8"/>
      <c r="L737" s="8"/>
      <c r="M737" s="8"/>
      <c r="N737" s="8"/>
      <c r="O737" s="8"/>
      <c r="Q737" s="8"/>
      <c r="R737" s="8"/>
      <c r="S737" s="8"/>
      <c r="T737" s="8"/>
      <c r="U737" s="8"/>
      <c r="V737" s="8"/>
      <c r="W737" s="8"/>
      <c r="X737" s="8"/>
      <c r="Y737" s="8"/>
      <c r="Z737" s="8"/>
      <c r="AA737" s="8"/>
      <c r="AB737" s="8"/>
      <c r="AD737" s="8"/>
      <c r="AE737" s="8"/>
      <c r="AF737" s="8"/>
      <c r="AG737" s="8"/>
      <c r="AH737" s="8"/>
      <c r="AI737" s="8"/>
      <c r="AJ737" s="8"/>
      <c r="AK737" s="8"/>
      <c r="AL737" s="8"/>
      <c r="AM737" s="8"/>
      <c r="AN737" s="8"/>
      <c r="AO737" s="8"/>
    </row>
    <row r="738" spans="7:41" x14ac:dyDescent="0.2">
      <c r="G738" s="8"/>
      <c r="H738" s="8"/>
      <c r="I738" s="8"/>
      <c r="J738" s="8"/>
      <c r="K738" s="8"/>
      <c r="L738" s="8"/>
      <c r="M738" s="8"/>
      <c r="N738" s="8"/>
      <c r="O738" s="8"/>
      <c r="Q738" s="8"/>
      <c r="R738" s="8"/>
      <c r="S738" s="8"/>
      <c r="T738" s="8"/>
      <c r="U738" s="8"/>
      <c r="V738" s="8"/>
      <c r="W738" s="8"/>
      <c r="X738" s="8"/>
      <c r="Y738" s="8"/>
      <c r="Z738" s="8"/>
      <c r="AA738" s="8"/>
      <c r="AB738" s="8"/>
      <c r="AD738" s="8"/>
      <c r="AE738" s="8"/>
      <c r="AF738" s="8"/>
      <c r="AG738" s="8"/>
      <c r="AH738" s="8"/>
      <c r="AI738" s="8"/>
      <c r="AJ738" s="8"/>
      <c r="AK738" s="8"/>
      <c r="AL738" s="8"/>
      <c r="AM738" s="8"/>
      <c r="AN738" s="8"/>
      <c r="AO738" s="8"/>
    </row>
    <row r="739" spans="7:41" x14ac:dyDescent="0.2">
      <c r="G739" s="8"/>
      <c r="H739" s="8"/>
      <c r="I739" s="8"/>
      <c r="J739" s="8"/>
      <c r="K739" s="8"/>
      <c r="L739" s="8"/>
      <c r="M739" s="8"/>
      <c r="N739" s="8"/>
      <c r="O739" s="8"/>
      <c r="Q739" s="8"/>
      <c r="R739" s="8"/>
      <c r="S739" s="8"/>
      <c r="T739" s="8"/>
      <c r="U739" s="8"/>
      <c r="V739" s="8"/>
      <c r="W739" s="8"/>
      <c r="X739" s="8"/>
      <c r="Y739" s="8"/>
      <c r="Z739" s="8"/>
      <c r="AA739" s="8"/>
      <c r="AB739" s="8"/>
      <c r="AD739" s="8"/>
      <c r="AE739" s="8"/>
      <c r="AF739" s="8"/>
      <c r="AG739" s="8"/>
      <c r="AH739" s="8"/>
      <c r="AI739" s="8"/>
      <c r="AJ739" s="8"/>
      <c r="AK739" s="8"/>
      <c r="AL739" s="8"/>
      <c r="AM739" s="8"/>
      <c r="AN739" s="8"/>
      <c r="AO739" s="8"/>
    </row>
    <row r="740" spans="7:41" x14ac:dyDescent="0.2">
      <c r="G740" s="8"/>
      <c r="H740" s="8"/>
      <c r="I740" s="8"/>
      <c r="J740" s="8"/>
      <c r="K740" s="8"/>
      <c r="L740" s="8"/>
      <c r="M740" s="8"/>
      <c r="N740" s="8"/>
      <c r="O740" s="8"/>
      <c r="Q740" s="8"/>
      <c r="R740" s="8"/>
      <c r="S740" s="8"/>
      <c r="T740" s="8"/>
      <c r="U740" s="8"/>
      <c r="V740" s="8"/>
      <c r="W740" s="8"/>
      <c r="X740" s="8"/>
      <c r="Y740" s="8"/>
      <c r="Z740" s="8"/>
      <c r="AA740" s="8"/>
      <c r="AB740" s="8"/>
      <c r="AD740" s="8"/>
      <c r="AE740" s="8"/>
      <c r="AF740" s="8"/>
      <c r="AG740" s="8"/>
      <c r="AH740" s="8"/>
      <c r="AI740" s="8"/>
      <c r="AJ740" s="8"/>
      <c r="AK740" s="8"/>
      <c r="AL740" s="8"/>
      <c r="AM740" s="8"/>
      <c r="AN740" s="8"/>
      <c r="AO740" s="8"/>
    </row>
    <row r="741" spans="7:41" x14ac:dyDescent="0.2">
      <c r="G741" s="8"/>
      <c r="H741" s="8"/>
      <c r="I741" s="8"/>
      <c r="J741" s="8"/>
      <c r="K741" s="8"/>
      <c r="L741" s="8"/>
      <c r="M741" s="8"/>
      <c r="N741" s="8"/>
      <c r="O741" s="8"/>
      <c r="Q741" s="8"/>
      <c r="R741" s="8"/>
      <c r="S741" s="8"/>
      <c r="T741" s="8"/>
      <c r="U741" s="8"/>
      <c r="V741" s="8"/>
      <c r="W741" s="8"/>
      <c r="X741" s="8"/>
      <c r="Y741" s="8"/>
      <c r="Z741" s="8"/>
      <c r="AA741" s="8"/>
      <c r="AB741" s="8"/>
      <c r="AD741" s="8"/>
      <c r="AE741" s="8"/>
      <c r="AF741" s="8"/>
      <c r="AG741" s="8"/>
      <c r="AH741" s="8"/>
      <c r="AI741" s="8"/>
      <c r="AJ741" s="8"/>
      <c r="AK741" s="8"/>
      <c r="AL741" s="8"/>
      <c r="AM741" s="8"/>
      <c r="AN741" s="8"/>
      <c r="AO741" s="8"/>
    </row>
    <row r="742" spans="7:41" x14ac:dyDescent="0.2">
      <c r="G742" s="8"/>
      <c r="H742" s="8"/>
      <c r="I742" s="8"/>
      <c r="J742" s="8"/>
      <c r="K742" s="8"/>
      <c r="L742" s="8"/>
      <c r="M742" s="8"/>
      <c r="N742" s="8"/>
      <c r="O742" s="8"/>
      <c r="Q742" s="8"/>
      <c r="R742" s="8"/>
      <c r="S742" s="8"/>
      <c r="T742" s="8"/>
      <c r="U742" s="8"/>
      <c r="V742" s="8"/>
      <c r="W742" s="8"/>
      <c r="X742" s="8"/>
      <c r="Y742" s="8"/>
      <c r="Z742" s="8"/>
      <c r="AA742" s="8"/>
      <c r="AB742" s="8"/>
      <c r="AD742" s="8"/>
      <c r="AE742" s="8"/>
      <c r="AF742" s="8"/>
      <c r="AG742" s="8"/>
      <c r="AH742" s="8"/>
      <c r="AI742" s="8"/>
      <c r="AJ742" s="8"/>
      <c r="AK742" s="8"/>
      <c r="AL742" s="8"/>
      <c r="AM742" s="8"/>
      <c r="AN742" s="8"/>
      <c r="AO742" s="8"/>
    </row>
    <row r="743" spans="7:41" x14ac:dyDescent="0.2">
      <c r="G743" s="8"/>
      <c r="H743" s="8"/>
      <c r="I743" s="8"/>
      <c r="J743" s="8"/>
      <c r="K743" s="8"/>
      <c r="L743" s="8"/>
      <c r="M743" s="8"/>
      <c r="N743" s="8"/>
      <c r="O743" s="8"/>
      <c r="Q743" s="8"/>
      <c r="R743" s="8"/>
      <c r="S743" s="8"/>
      <c r="T743" s="8"/>
      <c r="U743" s="8"/>
      <c r="V743" s="8"/>
      <c r="W743" s="8"/>
      <c r="X743" s="8"/>
      <c r="Y743" s="8"/>
      <c r="Z743" s="8"/>
      <c r="AA743" s="8"/>
      <c r="AB743" s="8"/>
      <c r="AD743" s="8"/>
      <c r="AE743" s="8"/>
      <c r="AF743" s="8"/>
      <c r="AG743" s="8"/>
      <c r="AH743" s="8"/>
      <c r="AI743" s="8"/>
      <c r="AJ743" s="8"/>
      <c r="AK743" s="8"/>
      <c r="AL743" s="8"/>
      <c r="AM743" s="8"/>
      <c r="AN743" s="8"/>
      <c r="AO743" s="8"/>
    </row>
    <row r="744" spans="7:41" x14ac:dyDescent="0.2">
      <c r="G744" s="8"/>
      <c r="H744" s="8"/>
      <c r="I744" s="8"/>
      <c r="J744" s="8"/>
      <c r="K744" s="8"/>
      <c r="L744" s="8"/>
      <c r="M744" s="8"/>
      <c r="N744" s="8"/>
      <c r="O744" s="8"/>
      <c r="Q744" s="8"/>
      <c r="R744" s="8"/>
      <c r="S744" s="8"/>
      <c r="T744" s="8"/>
      <c r="U744" s="8"/>
      <c r="V744" s="8"/>
      <c r="W744" s="8"/>
      <c r="X744" s="8"/>
      <c r="Y744" s="8"/>
      <c r="Z744" s="8"/>
      <c r="AA744" s="8"/>
      <c r="AB744" s="8"/>
      <c r="AD744" s="8"/>
      <c r="AE744" s="8"/>
      <c r="AF744" s="8"/>
      <c r="AG744" s="8"/>
      <c r="AH744" s="8"/>
      <c r="AI744" s="8"/>
      <c r="AJ744" s="8"/>
      <c r="AK744" s="8"/>
      <c r="AL744" s="8"/>
      <c r="AM744" s="8"/>
      <c r="AN744" s="8"/>
      <c r="AO744" s="8"/>
    </row>
    <row r="745" spans="7:41" x14ac:dyDescent="0.2">
      <c r="G745" s="8"/>
      <c r="H745" s="8"/>
      <c r="I745" s="8"/>
      <c r="J745" s="8"/>
      <c r="K745" s="8"/>
      <c r="L745" s="8"/>
      <c r="M745" s="8"/>
      <c r="N745" s="8"/>
      <c r="O745" s="8"/>
      <c r="Q745" s="8"/>
      <c r="R745" s="8"/>
      <c r="S745" s="8"/>
      <c r="T745" s="8"/>
      <c r="U745" s="8"/>
      <c r="V745" s="8"/>
      <c r="W745" s="8"/>
      <c r="X745" s="8"/>
      <c r="Y745" s="8"/>
      <c r="Z745" s="8"/>
      <c r="AA745" s="8"/>
      <c r="AB745" s="8"/>
      <c r="AD745" s="8"/>
      <c r="AE745" s="8"/>
      <c r="AF745" s="8"/>
      <c r="AG745" s="8"/>
      <c r="AH745" s="8"/>
      <c r="AI745" s="8"/>
      <c r="AJ745" s="8"/>
      <c r="AK745" s="8"/>
      <c r="AL745" s="8"/>
      <c r="AM745" s="8"/>
      <c r="AN745" s="8"/>
      <c r="AO745" s="8"/>
    </row>
    <row r="746" spans="7:41" x14ac:dyDescent="0.2">
      <c r="G746" s="8"/>
      <c r="H746" s="8"/>
      <c r="I746" s="8"/>
      <c r="J746" s="8"/>
      <c r="K746" s="8"/>
      <c r="L746" s="8"/>
      <c r="M746" s="8"/>
      <c r="N746" s="8"/>
      <c r="O746" s="8"/>
      <c r="Q746" s="8"/>
      <c r="R746" s="8"/>
      <c r="S746" s="8"/>
      <c r="T746" s="8"/>
      <c r="U746" s="8"/>
      <c r="V746" s="8"/>
      <c r="W746" s="8"/>
      <c r="X746" s="8"/>
      <c r="Y746" s="8"/>
      <c r="Z746" s="8"/>
      <c r="AA746" s="8"/>
      <c r="AB746" s="8"/>
      <c r="AD746" s="8"/>
      <c r="AE746" s="8"/>
      <c r="AF746" s="8"/>
      <c r="AG746" s="8"/>
      <c r="AH746" s="8"/>
      <c r="AI746" s="8"/>
      <c r="AJ746" s="8"/>
      <c r="AK746" s="8"/>
      <c r="AL746" s="8"/>
      <c r="AM746" s="8"/>
      <c r="AN746" s="8"/>
      <c r="AO746" s="8"/>
    </row>
    <row r="747" spans="7:41" x14ac:dyDescent="0.2">
      <c r="G747" s="8"/>
      <c r="H747" s="8"/>
      <c r="I747" s="8"/>
      <c r="J747" s="8"/>
      <c r="K747" s="8"/>
      <c r="L747" s="8"/>
      <c r="M747" s="8"/>
      <c r="N747" s="8"/>
      <c r="O747" s="8"/>
      <c r="Q747" s="8"/>
      <c r="R747" s="8"/>
      <c r="S747" s="8"/>
      <c r="T747" s="8"/>
      <c r="U747" s="8"/>
      <c r="V747" s="8"/>
      <c r="W747" s="8"/>
      <c r="X747" s="8"/>
      <c r="Y747" s="8"/>
      <c r="Z747" s="8"/>
      <c r="AA747" s="8"/>
      <c r="AB747" s="8"/>
      <c r="AD747" s="8"/>
      <c r="AE747" s="8"/>
      <c r="AF747" s="8"/>
      <c r="AG747" s="8"/>
      <c r="AH747" s="8"/>
      <c r="AI747" s="8"/>
      <c r="AJ747" s="8"/>
      <c r="AK747" s="8"/>
      <c r="AL747" s="8"/>
      <c r="AM747" s="8"/>
      <c r="AN747" s="8"/>
      <c r="AO747" s="8"/>
    </row>
    <row r="748" spans="7:41" x14ac:dyDescent="0.2">
      <c r="G748" s="8"/>
      <c r="H748" s="8"/>
      <c r="I748" s="8"/>
      <c r="J748" s="8"/>
      <c r="K748" s="8"/>
      <c r="L748" s="8"/>
      <c r="M748" s="8"/>
      <c r="N748" s="8"/>
      <c r="O748" s="8"/>
      <c r="Q748" s="8"/>
      <c r="R748" s="8"/>
      <c r="S748" s="8"/>
      <c r="T748" s="8"/>
      <c r="U748" s="8"/>
      <c r="V748" s="8"/>
      <c r="W748" s="8"/>
      <c r="X748" s="8"/>
      <c r="Y748" s="8"/>
      <c r="Z748" s="8"/>
      <c r="AA748" s="8"/>
      <c r="AB748" s="8"/>
      <c r="AD748" s="8"/>
      <c r="AE748" s="8"/>
      <c r="AF748" s="8"/>
      <c r="AG748" s="8"/>
      <c r="AH748" s="8"/>
      <c r="AI748" s="8"/>
      <c r="AJ748" s="8"/>
      <c r="AK748" s="8"/>
      <c r="AL748" s="8"/>
      <c r="AM748" s="8"/>
      <c r="AN748" s="8"/>
      <c r="AO748" s="8"/>
    </row>
    <row r="749" spans="7:41" x14ac:dyDescent="0.2">
      <c r="G749" s="8"/>
      <c r="H749" s="8"/>
      <c r="I749" s="8"/>
      <c r="J749" s="8"/>
      <c r="K749" s="8"/>
      <c r="L749" s="8"/>
      <c r="M749" s="8"/>
      <c r="N749" s="8"/>
      <c r="O749" s="8"/>
      <c r="Q749" s="8"/>
      <c r="R749" s="8"/>
      <c r="S749" s="8"/>
      <c r="T749" s="8"/>
      <c r="U749" s="8"/>
      <c r="V749" s="8"/>
      <c r="W749" s="8"/>
      <c r="X749" s="8"/>
      <c r="Y749" s="8"/>
      <c r="Z749" s="8"/>
      <c r="AA749" s="8"/>
      <c r="AB749" s="8"/>
      <c r="AD749" s="8"/>
      <c r="AE749" s="8"/>
      <c r="AF749" s="8"/>
      <c r="AG749" s="8"/>
      <c r="AH749" s="8"/>
      <c r="AI749" s="8"/>
      <c r="AJ749" s="8"/>
      <c r="AK749" s="8"/>
      <c r="AL749" s="8"/>
      <c r="AM749" s="8"/>
      <c r="AN749" s="8"/>
      <c r="AO749" s="8"/>
    </row>
    <row r="750" spans="7:41" x14ac:dyDescent="0.2">
      <c r="G750" s="8"/>
      <c r="H750" s="8"/>
      <c r="I750" s="8"/>
      <c r="J750" s="8"/>
      <c r="K750" s="8"/>
      <c r="L750" s="8"/>
      <c r="M750" s="8"/>
      <c r="N750" s="8"/>
      <c r="O750" s="8"/>
      <c r="Q750" s="8"/>
      <c r="R750" s="8"/>
      <c r="S750" s="8"/>
      <c r="T750" s="8"/>
      <c r="U750" s="8"/>
      <c r="V750" s="8"/>
      <c r="W750" s="8"/>
      <c r="X750" s="8"/>
      <c r="Y750" s="8"/>
      <c r="Z750" s="8"/>
      <c r="AA750" s="8"/>
      <c r="AB750" s="8"/>
      <c r="AD750" s="8"/>
      <c r="AE750" s="8"/>
      <c r="AF750" s="8"/>
      <c r="AG750" s="8"/>
      <c r="AH750" s="8"/>
      <c r="AI750" s="8"/>
      <c r="AJ750" s="8"/>
      <c r="AK750" s="8"/>
      <c r="AL750" s="8"/>
      <c r="AM750" s="8"/>
      <c r="AN750" s="8"/>
      <c r="AO750" s="8"/>
    </row>
    <row r="751" spans="7:41" x14ac:dyDescent="0.2">
      <c r="G751" s="8"/>
      <c r="H751" s="8"/>
      <c r="I751" s="8"/>
      <c r="J751" s="8"/>
      <c r="K751" s="8"/>
      <c r="L751" s="8"/>
      <c r="M751" s="8"/>
      <c r="N751" s="8"/>
      <c r="O751" s="8"/>
      <c r="Q751" s="8"/>
      <c r="R751" s="8"/>
      <c r="S751" s="8"/>
      <c r="T751" s="8"/>
      <c r="U751" s="8"/>
      <c r="V751" s="8"/>
      <c r="W751" s="8"/>
      <c r="X751" s="8"/>
      <c r="Y751" s="8"/>
      <c r="Z751" s="8"/>
      <c r="AA751" s="8"/>
      <c r="AB751" s="8"/>
      <c r="AD751" s="8"/>
      <c r="AE751" s="8"/>
      <c r="AF751" s="8"/>
      <c r="AG751" s="8"/>
      <c r="AH751" s="8"/>
      <c r="AI751" s="8"/>
      <c r="AJ751" s="8"/>
      <c r="AK751" s="8"/>
      <c r="AL751" s="8"/>
      <c r="AM751" s="8"/>
      <c r="AN751" s="8"/>
      <c r="AO751" s="8"/>
    </row>
    <row r="752" spans="7:41" x14ac:dyDescent="0.2">
      <c r="G752" s="8"/>
      <c r="H752" s="8"/>
      <c r="I752" s="8"/>
      <c r="J752" s="8"/>
      <c r="K752" s="8"/>
      <c r="L752" s="8"/>
      <c r="M752" s="8"/>
      <c r="N752" s="8"/>
      <c r="O752" s="8"/>
      <c r="Q752" s="8"/>
      <c r="R752" s="8"/>
      <c r="S752" s="8"/>
      <c r="T752" s="8"/>
      <c r="U752" s="8"/>
      <c r="V752" s="8"/>
      <c r="W752" s="8"/>
      <c r="X752" s="8"/>
      <c r="Y752" s="8"/>
      <c r="Z752" s="8"/>
      <c r="AA752" s="8"/>
      <c r="AB752" s="8"/>
      <c r="AD752" s="8"/>
      <c r="AE752" s="8"/>
      <c r="AF752" s="8"/>
      <c r="AG752" s="8"/>
      <c r="AH752" s="8"/>
      <c r="AI752" s="8"/>
      <c r="AJ752" s="8"/>
      <c r="AK752" s="8"/>
      <c r="AL752" s="8"/>
      <c r="AM752" s="8"/>
      <c r="AN752" s="8"/>
      <c r="AO752" s="8"/>
    </row>
    <row r="753" spans="7:41" x14ac:dyDescent="0.2">
      <c r="G753" s="8"/>
      <c r="H753" s="8"/>
      <c r="I753" s="8"/>
      <c r="J753" s="8"/>
      <c r="K753" s="8"/>
      <c r="L753" s="8"/>
      <c r="M753" s="8"/>
      <c r="N753" s="8"/>
      <c r="O753" s="8"/>
      <c r="Q753" s="8"/>
      <c r="R753" s="8"/>
      <c r="S753" s="8"/>
      <c r="T753" s="8"/>
      <c r="U753" s="8"/>
      <c r="V753" s="8"/>
      <c r="W753" s="8"/>
      <c r="X753" s="8"/>
      <c r="Y753" s="8"/>
      <c r="Z753" s="8"/>
      <c r="AA753" s="8"/>
      <c r="AB753" s="8"/>
      <c r="AD753" s="8"/>
      <c r="AE753" s="8"/>
      <c r="AF753" s="8"/>
      <c r="AG753" s="8"/>
      <c r="AH753" s="8"/>
      <c r="AI753" s="8"/>
      <c r="AJ753" s="8"/>
      <c r="AK753" s="8"/>
      <c r="AL753" s="8"/>
      <c r="AM753" s="8"/>
      <c r="AN753" s="8"/>
      <c r="AO753" s="8"/>
    </row>
    <row r="754" spans="7:41" x14ac:dyDescent="0.2">
      <c r="G754" s="8"/>
      <c r="H754" s="8"/>
      <c r="I754" s="8"/>
      <c r="J754" s="8"/>
      <c r="K754" s="8"/>
      <c r="L754" s="8"/>
      <c r="M754" s="8"/>
      <c r="N754" s="8"/>
      <c r="O754" s="8"/>
      <c r="Q754" s="8"/>
      <c r="R754" s="8"/>
      <c r="S754" s="8"/>
      <c r="T754" s="8"/>
      <c r="U754" s="8"/>
      <c r="V754" s="8"/>
      <c r="W754" s="8"/>
      <c r="X754" s="8"/>
      <c r="Y754" s="8"/>
      <c r="Z754" s="8"/>
      <c r="AA754" s="8"/>
      <c r="AB754" s="8"/>
      <c r="AD754" s="8"/>
      <c r="AE754" s="8"/>
      <c r="AF754" s="8"/>
      <c r="AG754" s="8"/>
      <c r="AH754" s="8"/>
      <c r="AI754" s="8"/>
      <c r="AJ754" s="8"/>
      <c r="AK754" s="8"/>
      <c r="AL754" s="8"/>
      <c r="AM754" s="8"/>
      <c r="AN754" s="8"/>
      <c r="AO754" s="8"/>
    </row>
    <row r="755" spans="7:41" x14ac:dyDescent="0.2">
      <c r="G755" s="8"/>
      <c r="H755" s="8"/>
      <c r="I755" s="8"/>
      <c r="J755" s="8"/>
      <c r="K755" s="8"/>
      <c r="L755" s="8"/>
      <c r="M755" s="8"/>
      <c r="N755" s="8"/>
      <c r="O755" s="8"/>
      <c r="Q755" s="8"/>
      <c r="R755" s="8"/>
      <c r="S755" s="8"/>
      <c r="T755" s="8"/>
      <c r="U755" s="8"/>
      <c r="V755" s="8"/>
      <c r="W755" s="8"/>
      <c r="X755" s="8"/>
      <c r="Y755" s="8"/>
      <c r="Z755" s="8"/>
      <c r="AA755" s="8"/>
      <c r="AB755" s="8"/>
      <c r="AD755" s="8"/>
      <c r="AE755" s="8"/>
      <c r="AF755" s="8"/>
      <c r="AG755" s="8"/>
      <c r="AH755" s="8"/>
      <c r="AI755" s="8"/>
      <c r="AJ755" s="8"/>
      <c r="AK755" s="8"/>
      <c r="AL755" s="8"/>
      <c r="AM755" s="8"/>
      <c r="AN755" s="8"/>
      <c r="AO755" s="8"/>
    </row>
    <row r="756" spans="7:41" x14ac:dyDescent="0.2">
      <c r="G756" s="8"/>
      <c r="H756" s="8"/>
      <c r="I756" s="8"/>
      <c r="J756" s="8"/>
      <c r="K756" s="8"/>
      <c r="L756" s="8"/>
      <c r="M756" s="8"/>
      <c r="N756" s="8"/>
      <c r="O756" s="8"/>
      <c r="Q756" s="8"/>
      <c r="R756" s="8"/>
      <c r="S756" s="8"/>
      <c r="T756" s="8"/>
      <c r="U756" s="8"/>
      <c r="V756" s="8"/>
      <c r="W756" s="8"/>
      <c r="X756" s="8"/>
      <c r="Y756" s="8"/>
      <c r="Z756" s="8"/>
      <c r="AA756" s="8"/>
      <c r="AB756" s="8"/>
      <c r="AD756" s="8"/>
      <c r="AE756" s="8"/>
      <c r="AF756" s="8"/>
      <c r="AG756" s="8"/>
      <c r="AH756" s="8"/>
      <c r="AI756" s="8"/>
      <c r="AJ756" s="8"/>
      <c r="AK756" s="8"/>
      <c r="AL756" s="8"/>
      <c r="AM756" s="8"/>
      <c r="AN756" s="8"/>
      <c r="AO756" s="8"/>
    </row>
    <row r="757" spans="7:41" x14ac:dyDescent="0.2">
      <c r="G757" s="8"/>
      <c r="H757" s="8"/>
      <c r="I757" s="8"/>
      <c r="J757" s="8"/>
      <c r="K757" s="8"/>
      <c r="L757" s="8"/>
      <c r="M757" s="8"/>
      <c r="N757" s="8"/>
      <c r="O757" s="8"/>
      <c r="Q757" s="8"/>
      <c r="R757" s="8"/>
      <c r="S757" s="8"/>
      <c r="T757" s="8"/>
      <c r="U757" s="8"/>
      <c r="V757" s="8"/>
      <c r="W757" s="8"/>
      <c r="X757" s="8"/>
      <c r="Y757" s="8"/>
      <c r="Z757" s="8"/>
      <c r="AA757" s="8"/>
      <c r="AB757" s="8"/>
      <c r="AD757" s="8"/>
      <c r="AE757" s="8"/>
      <c r="AF757" s="8"/>
      <c r="AG757" s="8"/>
      <c r="AH757" s="8"/>
      <c r="AI757" s="8"/>
      <c r="AJ757" s="8"/>
      <c r="AK757" s="8"/>
      <c r="AL757" s="8"/>
      <c r="AM757" s="8"/>
      <c r="AN757" s="8"/>
      <c r="AO757" s="8"/>
    </row>
    <row r="758" spans="7:41" x14ac:dyDescent="0.2">
      <c r="G758" s="8"/>
      <c r="H758" s="8"/>
      <c r="I758" s="8"/>
      <c r="J758" s="8"/>
      <c r="K758" s="8"/>
      <c r="L758" s="8"/>
      <c r="M758" s="8"/>
      <c r="N758" s="8"/>
      <c r="O758" s="8"/>
      <c r="Q758" s="8"/>
      <c r="R758" s="8"/>
      <c r="S758" s="8"/>
      <c r="T758" s="8"/>
      <c r="U758" s="8"/>
      <c r="V758" s="8"/>
      <c r="W758" s="8"/>
      <c r="X758" s="8"/>
      <c r="Y758" s="8"/>
      <c r="Z758" s="8"/>
      <c r="AA758" s="8"/>
      <c r="AB758" s="8"/>
      <c r="AD758" s="8"/>
      <c r="AE758" s="8"/>
      <c r="AF758" s="8"/>
      <c r="AG758" s="8"/>
      <c r="AH758" s="8"/>
      <c r="AI758" s="8"/>
      <c r="AJ758" s="8"/>
      <c r="AK758" s="8"/>
      <c r="AL758" s="8"/>
      <c r="AM758" s="8"/>
      <c r="AN758" s="8"/>
      <c r="AO758" s="8"/>
    </row>
    <row r="759" spans="7:41" x14ac:dyDescent="0.2">
      <c r="G759" s="8"/>
      <c r="H759" s="8"/>
      <c r="I759" s="8"/>
      <c r="J759" s="8"/>
      <c r="K759" s="8"/>
      <c r="L759" s="8"/>
      <c r="M759" s="8"/>
      <c r="N759" s="8"/>
      <c r="O759" s="8"/>
      <c r="Q759" s="8"/>
      <c r="R759" s="8"/>
      <c r="S759" s="8"/>
      <c r="T759" s="8"/>
      <c r="U759" s="8"/>
      <c r="V759" s="8"/>
      <c r="W759" s="8"/>
      <c r="X759" s="8"/>
      <c r="Y759" s="8"/>
      <c r="Z759" s="8"/>
      <c r="AA759" s="8"/>
      <c r="AB759" s="8"/>
      <c r="AD759" s="8"/>
      <c r="AE759" s="8"/>
      <c r="AF759" s="8"/>
      <c r="AG759" s="8"/>
      <c r="AH759" s="8"/>
      <c r="AI759" s="8"/>
      <c r="AJ759" s="8"/>
      <c r="AK759" s="8"/>
      <c r="AL759" s="8"/>
      <c r="AM759" s="8"/>
      <c r="AN759" s="8"/>
      <c r="AO759" s="8"/>
    </row>
    <row r="760" spans="7:41" x14ac:dyDescent="0.2">
      <c r="G760" s="8"/>
      <c r="H760" s="8"/>
      <c r="I760" s="8"/>
      <c r="J760" s="8"/>
      <c r="K760" s="8"/>
      <c r="L760" s="8"/>
      <c r="M760" s="8"/>
      <c r="N760" s="8"/>
      <c r="O760" s="8"/>
      <c r="Q760" s="8"/>
      <c r="R760" s="8"/>
      <c r="S760" s="8"/>
      <c r="T760" s="8"/>
      <c r="U760" s="8"/>
      <c r="V760" s="8"/>
      <c r="W760" s="8"/>
      <c r="X760" s="8"/>
      <c r="Y760" s="8"/>
      <c r="Z760" s="8"/>
      <c r="AA760" s="8"/>
      <c r="AB760" s="8"/>
      <c r="AD760" s="8"/>
      <c r="AE760" s="8"/>
      <c r="AF760" s="8"/>
      <c r="AG760" s="8"/>
      <c r="AH760" s="8"/>
      <c r="AI760" s="8"/>
      <c r="AJ760" s="8"/>
      <c r="AK760" s="8"/>
      <c r="AL760" s="8"/>
      <c r="AM760" s="8"/>
      <c r="AN760" s="8"/>
      <c r="AO760" s="8"/>
    </row>
    <row r="761" spans="7:41" x14ac:dyDescent="0.2">
      <c r="G761" s="8"/>
      <c r="H761" s="8"/>
      <c r="I761" s="8"/>
      <c r="J761" s="8"/>
      <c r="K761" s="8"/>
      <c r="L761" s="8"/>
      <c r="M761" s="8"/>
      <c r="N761" s="8"/>
      <c r="O761" s="8"/>
      <c r="Q761" s="8"/>
      <c r="R761" s="8"/>
      <c r="S761" s="8"/>
      <c r="T761" s="8"/>
      <c r="U761" s="8"/>
      <c r="V761" s="8"/>
      <c r="W761" s="8"/>
      <c r="X761" s="8"/>
      <c r="Y761" s="8"/>
      <c r="Z761" s="8"/>
      <c r="AA761" s="8"/>
      <c r="AB761" s="8"/>
      <c r="AD761" s="8"/>
      <c r="AE761" s="8"/>
      <c r="AF761" s="8"/>
      <c r="AG761" s="8"/>
      <c r="AH761" s="8"/>
      <c r="AI761" s="8"/>
      <c r="AJ761" s="8"/>
      <c r="AK761" s="8"/>
      <c r="AL761" s="8"/>
      <c r="AM761" s="8"/>
      <c r="AN761" s="8"/>
      <c r="AO761" s="8"/>
    </row>
    <row r="762" spans="7:41" x14ac:dyDescent="0.2">
      <c r="G762" s="8"/>
      <c r="H762" s="8"/>
      <c r="I762" s="8"/>
      <c r="J762" s="8"/>
      <c r="K762" s="8"/>
      <c r="L762" s="8"/>
      <c r="M762" s="8"/>
      <c r="N762" s="8"/>
      <c r="O762" s="8"/>
      <c r="Q762" s="8"/>
      <c r="R762" s="8"/>
      <c r="S762" s="8"/>
      <c r="T762" s="8"/>
      <c r="U762" s="8"/>
      <c r="V762" s="8"/>
      <c r="W762" s="8"/>
      <c r="X762" s="8"/>
      <c r="Y762" s="8"/>
      <c r="Z762" s="8"/>
      <c r="AA762" s="8"/>
      <c r="AB762" s="8"/>
      <c r="AD762" s="8"/>
      <c r="AE762" s="8"/>
      <c r="AF762" s="8"/>
      <c r="AG762" s="8"/>
      <c r="AH762" s="8"/>
      <c r="AI762" s="8"/>
      <c r="AJ762" s="8"/>
      <c r="AK762" s="8"/>
      <c r="AL762" s="8"/>
      <c r="AM762" s="8"/>
      <c r="AN762" s="8"/>
      <c r="AO762" s="8"/>
    </row>
    <row r="763" spans="7:41" x14ac:dyDescent="0.2">
      <c r="G763" s="8"/>
      <c r="H763" s="8"/>
      <c r="I763" s="8"/>
      <c r="J763" s="8"/>
      <c r="K763" s="8"/>
      <c r="L763" s="8"/>
      <c r="M763" s="8"/>
      <c r="N763" s="8"/>
      <c r="O763" s="8"/>
      <c r="Q763" s="8"/>
      <c r="R763" s="8"/>
      <c r="S763" s="8"/>
      <c r="T763" s="8"/>
      <c r="U763" s="8"/>
      <c r="V763" s="8"/>
      <c r="W763" s="8"/>
      <c r="X763" s="8"/>
      <c r="Y763" s="8"/>
      <c r="Z763" s="8"/>
      <c r="AA763" s="8"/>
      <c r="AB763" s="8"/>
      <c r="AD763" s="8"/>
      <c r="AE763" s="8"/>
      <c r="AF763" s="8"/>
      <c r="AG763" s="8"/>
      <c r="AH763" s="8"/>
      <c r="AI763" s="8"/>
      <c r="AJ763" s="8"/>
      <c r="AK763" s="8"/>
      <c r="AL763" s="8"/>
      <c r="AM763" s="8"/>
      <c r="AN763" s="8"/>
      <c r="AO763" s="8"/>
    </row>
    <row r="764" spans="7:41" x14ac:dyDescent="0.2">
      <c r="G764" s="8"/>
      <c r="H764" s="8"/>
      <c r="I764" s="8"/>
      <c r="J764" s="8"/>
      <c r="K764" s="8"/>
      <c r="L764" s="8"/>
      <c r="M764" s="8"/>
      <c r="N764" s="8"/>
      <c r="O764" s="8"/>
      <c r="Q764" s="8"/>
      <c r="R764" s="8"/>
      <c r="S764" s="8"/>
      <c r="T764" s="8"/>
      <c r="U764" s="8"/>
      <c r="V764" s="8"/>
      <c r="W764" s="8"/>
      <c r="X764" s="8"/>
      <c r="Y764" s="8"/>
      <c r="Z764" s="8"/>
      <c r="AA764" s="8"/>
      <c r="AB764" s="8"/>
      <c r="AD764" s="8"/>
      <c r="AE764" s="8"/>
      <c r="AF764" s="8"/>
      <c r="AG764" s="8"/>
      <c r="AH764" s="8"/>
      <c r="AI764" s="8"/>
      <c r="AJ764" s="8"/>
      <c r="AK764" s="8"/>
      <c r="AL764" s="8"/>
      <c r="AM764" s="8"/>
      <c r="AN764" s="8"/>
      <c r="AO764" s="8"/>
    </row>
    <row r="765" spans="7:41" x14ac:dyDescent="0.2">
      <c r="G765" s="8"/>
      <c r="H765" s="8"/>
      <c r="I765" s="8"/>
      <c r="J765" s="8"/>
      <c r="K765" s="8"/>
      <c r="L765" s="8"/>
      <c r="M765" s="8"/>
      <c r="N765" s="8"/>
      <c r="O765" s="8"/>
      <c r="Q765" s="8"/>
      <c r="R765" s="8"/>
      <c r="S765" s="8"/>
      <c r="T765" s="8"/>
      <c r="U765" s="8"/>
      <c r="V765" s="8"/>
      <c r="W765" s="8"/>
      <c r="X765" s="8"/>
      <c r="Y765" s="8"/>
      <c r="Z765" s="8"/>
      <c r="AA765" s="8"/>
      <c r="AB765" s="8"/>
      <c r="AD765" s="8"/>
      <c r="AE765" s="8"/>
      <c r="AF765" s="8"/>
      <c r="AG765" s="8"/>
      <c r="AH765" s="8"/>
      <c r="AI765" s="8"/>
      <c r="AJ765" s="8"/>
      <c r="AK765" s="8"/>
      <c r="AL765" s="8"/>
      <c r="AM765" s="8"/>
      <c r="AN765" s="8"/>
      <c r="AO765" s="8"/>
    </row>
    <row r="766" spans="7:41" x14ac:dyDescent="0.2">
      <c r="G766" s="8"/>
      <c r="H766" s="8"/>
      <c r="I766" s="8"/>
      <c r="J766" s="8"/>
      <c r="K766" s="8"/>
      <c r="L766" s="8"/>
      <c r="M766" s="8"/>
      <c r="N766" s="8"/>
      <c r="O766" s="8"/>
      <c r="Q766" s="8"/>
      <c r="R766" s="8"/>
      <c r="S766" s="8"/>
      <c r="T766" s="8"/>
      <c r="U766" s="8"/>
      <c r="V766" s="8"/>
      <c r="W766" s="8"/>
      <c r="X766" s="8"/>
      <c r="Y766" s="8"/>
      <c r="Z766" s="8"/>
      <c r="AA766" s="8"/>
      <c r="AB766" s="8"/>
      <c r="AD766" s="8"/>
      <c r="AE766" s="8"/>
      <c r="AF766" s="8"/>
      <c r="AG766" s="8"/>
      <c r="AH766" s="8"/>
      <c r="AI766" s="8"/>
      <c r="AJ766" s="8"/>
      <c r="AK766" s="8"/>
      <c r="AL766" s="8"/>
      <c r="AM766" s="8"/>
      <c r="AN766" s="8"/>
      <c r="AO766" s="8"/>
    </row>
    <row r="767" spans="7:41" x14ac:dyDescent="0.2">
      <c r="G767" s="8"/>
      <c r="H767" s="8"/>
      <c r="I767" s="8"/>
      <c r="J767" s="8"/>
      <c r="K767" s="8"/>
      <c r="L767" s="8"/>
      <c r="M767" s="8"/>
      <c r="N767" s="8"/>
      <c r="O767" s="8"/>
      <c r="Q767" s="8"/>
      <c r="R767" s="8"/>
      <c r="S767" s="8"/>
      <c r="T767" s="8"/>
      <c r="U767" s="8"/>
      <c r="V767" s="8"/>
      <c r="W767" s="8"/>
      <c r="X767" s="8"/>
      <c r="Y767" s="8"/>
      <c r="Z767" s="8"/>
      <c r="AA767" s="8"/>
      <c r="AB767" s="8"/>
      <c r="AD767" s="8"/>
      <c r="AE767" s="8"/>
      <c r="AF767" s="8"/>
      <c r="AG767" s="8"/>
      <c r="AH767" s="8"/>
      <c r="AI767" s="8"/>
      <c r="AJ767" s="8"/>
      <c r="AK767" s="8"/>
      <c r="AL767" s="8"/>
      <c r="AM767" s="8"/>
      <c r="AN767" s="8"/>
      <c r="AO767" s="8"/>
    </row>
    <row r="768" spans="7:41" x14ac:dyDescent="0.2">
      <c r="G768" s="8"/>
      <c r="H768" s="8"/>
      <c r="I768" s="8"/>
      <c r="J768" s="8"/>
      <c r="K768" s="8"/>
      <c r="L768" s="8"/>
      <c r="M768" s="8"/>
      <c r="N768" s="8"/>
      <c r="O768" s="8"/>
      <c r="Q768" s="8"/>
      <c r="R768" s="8"/>
      <c r="S768" s="8"/>
      <c r="T768" s="8"/>
      <c r="U768" s="8"/>
      <c r="V768" s="8"/>
      <c r="W768" s="8"/>
      <c r="X768" s="8"/>
      <c r="Y768" s="8"/>
      <c r="Z768" s="8"/>
      <c r="AA768" s="8"/>
      <c r="AB768" s="8"/>
      <c r="AD768" s="8"/>
      <c r="AE768" s="8"/>
      <c r="AF768" s="8"/>
      <c r="AG768" s="8"/>
      <c r="AH768" s="8"/>
      <c r="AI768" s="8"/>
      <c r="AJ768" s="8"/>
      <c r="AK768" s="8"/>
      <c r="AL768" s="8"/>
      <c r="AM768" s="8"/>
      <c r="AN768" s="8"/>
      <c r="AO768" s="8"/>
    </row>
    <row r="769" spans="7:41" x14ac:dyDescent="0.2">
      <c r="G769" s="8"/>
      <c r="H769" s="8"/>
      <c r="I769" s="8"/>
      <c r="J769" s="8"/>
      <c r="K769" s="8"/>
      <c r="L769" s="8"/>
      <c r="M769" s="8"/>
      <c r="N769" s="8"/>
      <c r="O769" s="8"/>
      <c r="Q769" s="8"/>
      <c r="R769" s="8"/>
      <c r="S769" s="8"/>
      <c r="T769" s="8"/>
      <c r="U769" s="8"/>
      <c r="V769" s="8"/>
      <c r="W769" s="8"/>
      <c r="X769" s="8"/>
      <c r="Y769" s="8"/>
      <c r="Z769" s="8"/>
      <c r="AA769" s="8"/>
      <c r="AB769" s="8"/>
      <c r="AD769" s="8"/>
      <c r="AE769" s="8"/>
      <c r="AF769" s="8"/>
      <c r="AG769" s="8"/>
      <c r="AH769" s="8"/>
      <c r="AI769" s="8"/>
      <c r="AJ769" s="8"/>
      <c r="AK769" s="8"/>
      <c r="AL769" s="8"/>
      <c r="AM769" s="8"/>
      <c r="AN769" s="8"/>
      <c r="AO769" s="8"/>
    </row>
    <row r="770" spans="7:41" x14ac:dyDescent="0.2">
      <c r="G770" s="8"/>
      <c r="H770" s="8"/>
      <c r="I770" s="8"/>
      <c r="J770" s="8"/>
      <c r="K770" s="8"/>
      <c r="L770" s="8"/>
      <c r="M770" s="8"/>
      <c r="N770" s="8"/>
      <c r="O770" s="8"/>
      <c r="Q770" s="8"/>
      <c r="R770" s="8"/>
      <c r="S770" s="8"/>
      <c r="T770" s="8"/>
      <c r="U770" s="8"/>
      <c r="V770" s="8"/>
      <c r="W770" s="8"/>
      <c r="X770" s="8"/>
      <c r="Y770" s="8"/>
      <c r="Z770" s="8"/>
      <c r="AA770" s="8"/>
      <c r="AB770" s="8"/>
      <c r="AD770" s="8"/>
      <c r="AE770" s="8"/>
      <c r="AF770" s="8"/>
      <c r="AG770" s="8"/>
      <c r="AH770" s="8"/>
      <c r="AI770" s="8"/>
      <c r="AJ770" s="8"/>
      <c r="AK770" s="8"/>
      <c r="AL770" s="8"/>
      <c r="AM770" s="8"/>
      <c r="AN770" s="8"/>
      <c r="AO770" s="8"/>
    </row>
    <row r="771" spans="7:41" x14ac:dyDescent="0.2">
      <c r="G771" s="8"/>
      <c r="H771" s="8"/>
      <c r="I771" s="8"/>
      <c r="J771" s="8"/>
      <c r="K771" s="8"/>
      <c r="L771" s="8"/>
      <c r="M771" s="8"/>
      <c r="N771" s="8"/>
      <c r="O771" s="8"/>
      <c r="Q771" s="8"/>
      <c r="R771" s="8"/>
      <c r="S771" s="8"/>
      <c r="T771" s="8"/>
      <c r="U771" s="8"/>
      <c r="V771" s="8"/>
      <c r="W771" s="8"/>
      <c r="X771" s="8"/>
      <c r="Y771" s="8"/>
      <c r="Z771" s="8"/>
      <c r="AA771" s="8"/>
      <c r="AB771" s="8"/>
      <c r="AD771" s="8"/>
      <c r="AE771" s="8"/>
      <c r="AF771" s="8"/>
      <c r="AG771" s="8"/>
      <c r="AH771" s="8"/>
      <c r="AI771" s="8"/>
      <c r="AJ771" s="8"/>
      <c r="AK771" s="8"/>
      <c r="AL771" s="8"/>
      <c r="AM771" s="8"/>
      <c r="AN771" s="8"/>
      <c r="AO771" s="8"/>
    </row>
    <row r="772" spans="7:41" x14ac:dyDescent="0.2">
      <c r="G772" s="8"/>
      <c r="H772" s="8"/>
      <c r="I772" s="8"/>
      <c r="J772" s="8"/>
      <c r="K772" s="8"/>
      <c r="L772" s="8"/>
      <c r="M772" s="8"/>
      <c r="N772" s="8"/>
      <c r="O772" s="8"/>
      <c r="Q772" s="8"/>
      <c r="R772" s="8"/>
      <c r="S772" s="8"/>
      <c r="T772" s="8"/>
      <c r="U772" s="8"/>
      <c r="V772" s="8"/>
      <c r="W772" s="8"/>
      <c r="X772" s="8"/>
      <c r="Y772" s="8"/>
      <c r="Z772" s="8"/>
      <c r="AA772" s="8"/>
      <c r="AB772" s="8"/>
      <c r="AD772" s="8"/>
      <c r="AE772" s="8"/>
      <c r="AF772" s="8"/>
      <c r="AG772" s="8"/>
      <c r="AH772" s="8"/>
      <c r="AI772" s="8"/>
      <c r="AJ772" s="8"/>
      <c r="AK772" s="8"/>
      <c r="AL772" s="8"/>
      <c r="AM772" s="8"/>
      <c r="AN772" s="8"/>
      <c r="AO772" s="8"/>
    </row>
    <row r="773" spans="7:41" x14ac:dyDescent="0.2">
      <c r="G773" s="8"/>
      <c r="H773" s="8"/>
      <c r="I773" s="8"/>
      <c r="J773" s="8"/>
      <c r="K773" s="8"/>
      <c r="L773" s="8"/>
      <c r="M773" s="8"/>
      <c r="N773" s="8"/>
      <c r="O773" s="8"/>
      <c r="Q773" s="8"/>
      <c r="R773" s="8"/>
      <c r="S773" s="8"/>
      <c r="T773" s="8"/>
      <c r="U773" s="8"/>
      <c r="V773" s="8"/>
      <c r="W773" s="8"/>
      <c r="X773" s="8"/>
      <c r="Y773" s="8"/>
      <c r="Z773" s="8"/>
      <c r="AA773" s="8"/>
      <c r="AB773" s="8"/>
      <c r="AD773" s="8"/>
      <c r="AE773" s="8"/>
      <c r="AF773" s="8"/>
      <c r="AG773" s="8"/>
      <c r="AH773" s="8"/>
      <c r="AI773" s="8"/>
      <c r="AJ773" s="8"/>
      <c r="AK773" s="8"/>
      <c r="AL773" s="8"/>
      <c r="AM773" s="8"/>
      <c r="AN773" s="8"/>
      <c r="AO773" s="8"/>
    </row>
    <row r="774" spans="7:41" x14ac:dyDescent="0.2">
      <c r="G774" s="8"/>
      <c r="H774" s="8"/>
      <c r="I774" s="8"/>
      <c r="J774" s="8"/>
      <c r="K774" s="8"/>
      <c r="L774" s="8"/>
      <c r="M774" s="8"/>
      <c r="N774" s="8"/>
      <c r="O774" s="8"/>
      <c r="Q774" s="8"/>
      <c r="R774" s="8"/>
      <c r="S774" s="8"/>
      <c r="T774" s="8"/>
      <c r="U774" s="8"/>
      <c r="V774" s="8"/>
      <c r="W774" s="8"/>
      <c r="X774" s="8"/>
      <c r="Y774" s="8"/>
      <c r="Z774" s="8"/>
      <c r="AA774" s="8"/>
      <c r="AB774" s="8"/>
      <c r="AD774" s="8"/>
      <c r="AE774" s="8"/>
      <c r="AF774" s="8"/>
      <c r="AG774" s="8"/>
      <c r="AH774" s="8"/>
      <c r="AI774" s="8"/>
      <c r="AJ774" s="8"/>
      <c r="AK774" s="8"/>
      <c r="AL774" s="8"/>
      <c r="AM774" s="8"/>
      <c r="AN774" s="8"/>
      <c r="AO774" s="8"/>
    </row>
    <row r="775" spans="7:41" x14ac:dyDescent="0.2">
      <c r="G775" s="8"/>
      <c r="H775" s="8"/>
      <c r="I775" s="8"/>
      <c r="J775" s="8"/>
      <c r="K775" s="8"/>
      <c r="L775" s="8"/>
      <c r="M775" s="8"/>
      <c r="N775" s="8"/>
      <c r="O775" s="8"/>
      <c r="Q775" s="8"/>
      <c r="R775" s="8"/>
      <c r="S775" s="8"/>
      <c r="T775" s="8"/>
      <c r="U775" s="8"/>
      <c r="V775" s="8"/>
      <c r="W775" s="8"/>
      <c r="X775" s="8"/>
      <c r="Y775" s="8"/>
      <c r="Z775" s="8"/>
      <c r="AA775" s="8"/>
      <c r="AB775" s="8"/>
      <c r="AD775" s="8"/>
      <c r="AE775" s="8"/>
      <c r="AF775" s="8"/>
      <c r="AG775" s="8"/>
      <c r="AH775" s="8"/>
      <c r="AI775" s="8"/>
      <c r="AJ775" s="8"/>
      <c r="AK775" s="8"/>
      <c r="AL775" s="8"/>
      <c r="AM775" s="8"/>
      <c r="AN775" s="8"/>
      <c r="AO775" s="8"/>
    </row>
    <row r="776" spans="7:41" x14ac:dyDescent="0.2">
      <c r="G776" s="8"/>
      <c r="H776" s="8"/>
      <c r="I776" s="8"/>
      <c r="J776" s="8"/>
      <c r="K776" s="8"/>
      <c r="L776" s="8"/>
      <c r="M776" s="8"/>
      <c r="N776" s="8"/>
      <c r="O776" s="8"/>
      <c r="Q776" s="8"/>
      <c r="R776" s="8"/>
      <c r="S776" s="8"/>
      <c r="T776" s="8"/>
      <c r="U776" s="8"/>
      <c r="V776" s="8"/>
      <c r="W776" s="8"/>
      <c r="X776" s="8"/>
      <c r="Y776" s="8"/>
      <c r="Z776" s="8"/>
      <c r="AA776" s="8"/>
      <c r="AB776" s="8"/>
      <c r="AD776" s="8"/>
      <c r="AE776" s="8"/>
      <c r="AF776" s="8"/>
      <c r="AG776" s="8"/>
      <c r="AH776" s="8"/>
      <c r="AI776" s="8"/>
      <c r="AJ776" s="8"/>
      <c r="AK776" s="8"/>
      <c r="AL776" s="8"/>
      <c r="AM776" s="8"/>
      <c r="AN776" s="8"/>
      <c r="AO776" s="8"/>
    </row>
    <row r="777" spans="7:41" x14ac:dyDescent="0.2">
      <c r="G777" s="8"/>
      <c r="H777" s="8"/>
      <c r="I777" s="8"/>
      <c r="J777" s="8"/>
      <c r="K777" s="8"/>
      <c r="L777" s="8"/>
      <c r="M777" s="8"/>
      <c r="N777" s="8"/>
      <c r="O777" s="8"/>
      <c r="Q777" s="8"/>
      <c r="R777" s="8"/>
      <c r="S777" s="8"/>
      <c r="T777" s="8"/>
      <c r="U777" s="8"/>
      <c r="V777" s="8"/>
      <c r="W777" s="8"/>
      <c r="X777" s="8"/>
      <c r="Y777" s="8"/>
      <c r="Z777" s="8"/>
      <c r="AA777" s="8"/>
      <c r="AB777" s="8"/>
      <c r="AD777" s="8"/>
      <c r="AE777" s="8"/>
      <c r="AF777" s="8"/>
      <c r="AG777" s="8"/>
      <c r="AH777" s="8"/>
      <c r="AI777" s="8"/>
      <c r="AJ777" s="8"/>
      <c r="AK777" s="8"/>
      <c r="AL777" s="8"/>
      <c r="AM777" s="8"/>
      <c r="AN777" s="8"/>
      <c r="AO777" s="8"/>
    </row>
    <row r="778" spans="7:41" x14ac:dyDescent="0.2">
      <c r="G778" s="8"/>
      <c r="H778" s="8"/>
      <c r="I778" s="8"/>
      <c r="J778" s="8"/>
      <c r="K778" s="8"/>
      <c r="L778" s="8"/>
      <c r="M778" s="8"/>
      <c r="N778" s="8"/>
      <c r="O778" s="8"/>
      <c r="Q778" s="8"/>
      <c r="R778" s="8"/>
      <c r="S778" s="8"/>
      <c r="T778" s="8"/>
      <c r="U778" s="8"/>
      <c r="V778" s="8"/>
      <c r="W778" s="8"/>
      <c r="X778" s="8"/>
      <c r="Y778" s="8"/>
      <c r="Z778" s="8"/>
      <c r="AA778" s="8"/>
      <c r="AB778" s="8"/>
      <c r="AD778" s="8"/>
      <c r="AE778" s="8"/>
      <c r="AF778" s="8"/>
      <c r="AG778" s="8"/>
      <c r="AH778" s="8"/>
      <c r="AI778" s="8"/>
      <c r="AJ778" s="8"/>
      <c r="AK778" s="8"/>
      <c r="AL778" s="8"/>
      <c r="AM778" s="8"/>
      <c r="AN778" s="8"/>
      <c r="AO778" s="8"/>
    </row>
    <row r="779" spans="7:41" x14ac:dyDescent="0.2">
      <c r="G779" s="8"/>
      <c r="H779" s="8"/>
      <c r="I779" s="8"/>
      <c r="J779" s="8"/>
      <c r="K779" s="8"/>
      <c r="L779" s="8"/>
      <c r="M779" s="8"/>
      <c r="N779" s="8"/>
      <c r="O779" s="8"/>
      <c r="Q779" s="8"/>
      <c r="R779" s="8"/>
      <c r="S779" s="8"/>
      <c r="T779" s="8"/>
      <c r="U779" s="8"/>
      <c r="V779" s="8"/>
      <c r="W779" s="8"/>
      <c r="X779" s="8"/>
      <c r="Y779" s="8"/>
      <c r="Z779" s="8"/>
      <c r="AA779" s="8"/>
      <c r="AB779" s="8"/>
      <c r="AD779" s="8"/>
      <c r="AE779" s="8"/>
      <c r="AF779" s="8"/>
      <c r="AG779" s="8"/>
      <c r="AH779" s="8"/>
      <c r="AI779" s="8"/>
      <c r="AJ779" s="8"/>
      <c r="AK779" s="8"/>
      <c r="AL779" s="8"/>
      <c r="AM779" s="8"/>
      <c r="AN779" s="8"/>
      <c r="AO779" s="8"/>
    </row>
    <row r="780" spans="7:41" x14ac:dyDescent="0.2">
      <c r="G780" s="8"/>
      <c r="H780" s="8"/>
      <c r="I780" s="8"/>
      <c r="J780" s="8"/>
      <c r="K780" s="8"/>
      <c r="L780" s="8"/>
      <c r="M780" s="8"/>
      <c r="N780" s="8"/>
      <c r="O780" s="8"/>
      <c r="Q780" s="8"/>
      <c r="R780" s="8"/>
      <c r="S780" s="8"/>
      <c r="T780" s="8"/>
      <c r="U780" s="8"/>
      <c r="V780" s="8"/>
      <c r="W780" s="8"/>
      <c r="X780" s="8"/>
      <c r="Y780" s="8"/>
      <c r="Z780" s="8"/>
      <c r="AA780" s="8"/>
      <c r="AB780" s="8"/>
      <c r="AD780" s="8"/>
      <c r="AE780" s="8"/>
      <c r="AF780" s="8"/>
      <c r="AG780" s="8"/>
      <c r="AH780" s="8"/>
      <c r="AI780" s="8"/>
      <c r="AJ780" s="8"/>
      <c r="AK780" s="8"/>
      <c r="AL780" s="8"/>
      <c r="AM780" s="8"/>
      <c r="AN780" s="8"/>
      <c r="AO780" s="8"/>
    </row>
    <row r="781" spans="7:41" x14ac:dyDescent="0.2">
      <c r="G781" s="8"/>
      <c r="H781" s="8"/>
      <c r="I781" s="8"/>
      <c r="J781" s="8"/>
      <c r="K781" s="8"/>
      <c r="L781" s="8"/>
      <c r="M781" s="8"/>
      <c r="N781" s="8"/>
      <c r="O781" s="8"/>
      <c r="Q781" s="8"/>
      <c r="R781" s="8"/>
      <c r="S781" s="8"/>
      <c r="T781" s="8"/>
      <c r="U781" s="8"/>
      <c r="V781" s="8"/>
      <c r="W781" s="8"/>
      <c r="X781" s="8"/>
      <c r="Y781" s="8"/>
      <c r="Z781" s="8"/>
      <c r="AA781" s="8"/>
      <c r="AB781" s="8"/>
      <c r="AD781" s="8"/>
      <c r="AE781" s="8"/>
      <c r="AF781" s="8"/>
      <c r="AG781" s="8"/>
      <c r="AH781" s="8"/>
      <c r="AI781" s="8"/>
      <c r="AJ781" s="8"/>
      <c r="AK781" s="8"/>
      <c r="AL781" s="8"/>
      <c r="AM781" s="8"/>
      <c r="AN781" s="8"/>
      <c r="AO781" s="8"/>
    </row>
    <row r="782" spans="7:41" x14ac:dyDescent="0.2">
      <c r="G782" s="8"/>
      <c r="H782" s="8"/>
      <c r="I782" s="8"/>
      <c r="J782" s="8"/>
      <c r="K782" s="8"/>
      <c r="L782" s="8"/>
      <c r="M782" s="8"/>
      <c r="N782" s="8"/>
      <c r="O782" s="8"/>
      <c r="Q782" s="8"/>
      <c r="R782" s="8"/>
      <c r="S782" s="8"/>
      <c r="T782" s="8"/>
      <c r="U782" s="8"/>
      <c r="V782" s="8"/>
      <c r="W782" s="8"/>
      <c r="X782" s="8"/>
      <c r="Y782" s="8"/>
      <c r="Z782" s="8"/>
      <c r="AA782" s="8"/>
      <c r="AB782" s="8"/>
      <c r="AD782" s="8"/>
      <c r="AE782" s="8"/>
      <c r="AF782" s="8"/>
      <c r="AG782" s="8"/>
      <c r="AH782" s="8"/>
      <c r="AI782" s="8"/>
      <c r="AJ782" s="8"/>
      <c r="AK782" s="8"/>
      <c r="AL782" s="8"/>
      <c r="AM782" s="8"/>
      <c r="AN782" s="8"/>
      <c r="AO782" s="8"/>
    </row>
    <row r="783" spans="7:41" x14ac:dyDescent="0.2">
      <c r="G783" s="8"/>
      <c r="H783" s="8"/>
      <c r="I783" s="8"/>
      <c r="J783" s="8"/>
      <c r="K783" s="8"/>
      <c r="L783" s="8"/>
      <c r="M783" s="8"/>
      <c r="N783" s="8"/>
      <c r="O783" s="8"/>
      <c r="Q783" s="8"/>
      <c r="R783" s="8"/>
      <c r="S783" s="8"/>
      <c r="T783" s="8"/>
      <c r="U783" s="8"/>
      <c r="V783" s="8"/>
      <c r="W783" s="8"/>
      <c r="X783" s="8"/>
      <c r="Y783" s="8"/>
      <c r="Z783" s="8"/>
      <c r="AA783" s="8"/>
      <c r="AB783" s="8"/>
      <c r="AD783" s="8"/>
      <c r="AE783" s="8"/>
      <c r="AF783" s="8"/>
      <c r="AG783" s="8"/>
      <c r="AH783" s="8"/>
      <c r="AI783" s="8"/>
      <c r="AJ783" s="8"/>
      <c r="AK783" s="8"/>
      <c r="AL783" s="8"/>
      <c r="AM783" s="8"/>
      <c r="AN783" s="8"/>
      <c r="AO783" s="8"/>
    </row>
    <row r="784" spans="7:41" x14ac:dyDescent="0.2">
      <c r="G784" s="8"/>
      <c r="H784" s="8"/>
      <c r="I784" s="8"/>
      <c r="J784" s="8"/>
      <c r="K784" s="8"/>
      <c r="L784" s="8"/>
      <c r="M784" s="8"/>
      <c r="N784" s="8"/>
      <c r="O784" s="8"/>
      <c r="Q784" s="8"/>
      <c r="R784" s="8"/>
      <c r="S784" s="8"/>
      <c r="T784" s="8"/>
      <c r="U784" s="8"/>
      <c r="V784" s="8"/>
      <c r="W784" s="8"/>
      <c r="X784" s="8"/>
      <c r="Y784" s="8"/>
      <c r="Z784" s="8"/>
      <c r="AA784" s="8"/>
      <c r="AB784" s="8"/>
      <c r="AD784" s="8"/>
      <c r="AE784" s="8"/>
      <c r="AF784" s="8"/>
      <c r="AG784" s="8"/>
      <c r="AH784" s="8"/>
      <c r="AI784" s="8"/>
      <c r="AJ784" s="8"/>
      <c r="AK784" s="8"/>
      <c r="AL784" s="8"/>
      <c r="AM784" s="8"/>
      <c r="AN784" s="8"/>
      <c r="AO784" s="8"/>
    </row>
    <row r="785" spans="7:41" x14ac:dyDescent="0.2">
      <c r="G785" s="8"/>
      <c r="H785" s="8"/>
      <c r="I785" s="8"/>
      <c r="J785" s="8"/>
      <c r="K785" s="8"/>
      <c r="L785" s="8"/>
      <c r="M785" s="8"/>
      <c r="N785" s="8"/>
      <c r="O785" s="8"/>
      <c r="Q785" s="8"/>
      <c r="R785" s="8"/>
      <c r="S785" s="8"/>
      <c r="T785" s="8"/>
      <c r="U785" s="8"/>
      <c r="V785" s="8"/>
      <c r="W785" s="8"/>
      <c r="X785" s="8"/>
      <c r="Y785" s="8"/>
      <c r="Z785" s="8"/>
      <c r="AA785" s="8"/>
      <c r="AB785" s="8"/>
      <c r="AD785" s="8"/>
      <c r="AE785" s="8"/>
      <c r="AF785" s="8"/>
      <c r="AG785" s="8"/>
      <c r="AH785" s="8"/>
      <c r="AI785" s="8"/>
      <c r="AJ785" s="8"/>
      <c r="AK785" s="8"/>
      <c r="AL785" s="8"/>
      <c r="AM785" s="8"/>
      <c r="AN785" s="8"/>
      <c r="AO785" s="8"/>
    </row>
    <row r="786" spans="7:41" x14ac:dyDescent="0.2">
      <c r="G786" s="8"/>
      <c r="H786" s="8"/>
      <c r="I786" s="8"/>
      <c r="J786" s="8"/>
      <c r="K786" s="8"/>
      <c r="L786" s="8"/>
      <c r="M786" s="8"/>
      <c r="N786" s="8"/>
      <c r="O786" s="8"/>
      <c r="Q786" s="8"/>
      <c r="R786" s="8"/>
      <c r="S786" s="8"/>
      <c r="T786" s="8"/>
      <c r="U786" s="8"/>
      <c r="V786" s="8"/>
      <c r="W786" s="8"/>
      <c r="X786" s="8"/>
      <c r="Y786" s="8"/>
      <c r="Z786" s="8"/>
      <c r="AA786" s="8"/>
      <c r="AB786" s="8"/>
      <c r="AD786" s="8"/>
      <c r="AE786" s="8"/>
      <c r="AF786" s="8"/>
      <c r="AG786" s="8"/>
      <c r="AH786" s="8"/>
      <c r="AI786" s="8"/>
      <c r="AJ786" s="8"/>
      <c r="AK786" s="8"/>
      <c r="AL786" s="8"/>
      <c r="AM786" s="8"/>
      <c r="AN786" s="8"/>
      <c r="AO786" s="8"/>
    </row>
    <row r="787" spans="7:41" x14ac:dyDescent="0.2">
      <c r="G787" s="8"/>
      <c r="H787" s="8"/>
      <c r="I787" s="8"/>
      <c r="J787" s="8"/>
      <c r="K787" s="8"/>
      <c r="L787" s="8"/>
      <c r="M787" s="8"/>
      <c r="N787" s="8"/>
      <c r="O787" s="8"/>
      <c r="Q787" s="8"/>
      <c r="R787" s="8"/>
      <c r="S787" s="8"/>
      <c r="T787" s="8"/>
      <c r="U787" s="8"/>
      <c r="V787" s="8"/>
      <c r="W787" s="8"/>
      <c r="X787" s="8"/>
      <c r="Y787" s="8"/>
      <c r="Z787" s="8"/>
      <c r="AA787" s="8"/>
      <c r="AB787" s="8"/>
      <c r="AD787" s="8"/>
      <c r="AE787" s="8"/>
      <c r="AF787" s="8"/>
      <c r="AG787" s="8"/>
      <c r="AH787" s="8"/>
      <c r="AI787" s="8"/>
      <c r="AJ787" s="8"/>
      <c r="AK787" s="8"/>
      <c r="AL787" s="8"/>
      <c r="AM787" s="8"/>
      <c r="AN787" s="8"/>
      <c r="AO787" s="8"/>
    </row>
    <row r="788" spans="7:41" x14ac:dyDescent="0.2">
      <c r="G788" s="8"/>
      <c r="H788" s="8"/>
      <c r="I788" s="8"/>
      <c r="J788" s="8"/>
      <c r="K788" s="8"/>
      <c r="L788" s="8"/>
      <c r="M788" s="8"/>
      <c r="N788" s="8"/>
      <c r="O788" s="8"/>
      <c r="Q788" s="8"/>
      <c r="R788" s="8"/>
      <c r="S788" s="8"/>
      <c r="T788" s="8"/>
      <c r="U788" s="8"/>
      <c r="V788" s="8"/>
      <c r="W788" s="8"/>
      <c r="X788" s="8"/>
      <c r="Y788" s="8"/>
      <c r="Z788" s="8"/>
      <c r="AA788" s="8"/>
      <c r="AB788" s="8"/>
      <c r="AD788" s="8"/>
      <c r="AE788" s="8"/>
      <c r="AF788" s="8"/>
      <c r="AG788" s="8"/>
      <c r="AH788" s="8"/>
      <c r="AI788" s="8"/>
      <c r="AJ788" s="8"/>
      <c r="AK788" s="8"/>
      <c r="AL788" s="8"/>
      <c r="AM788" s="8"/>
      <c r="AN788" s="8"/>
      <c r="AO788" s="8"/>
    </row>
    <row r="789" spans="7:41" x14ac:dyDescent="0.2">
      <c r="G789" s="8"/>
      <c r="H789" s="8"/>
      <c r="I789" s="8"/>
      <c r="J789" s="8"/>
      <c r="K789" s="8"/>
      <c r="L789" s="8"/>
      <c r="M789" s="8"/>
      <c r="N789" s="8"/>
      <c r="O789" s="8"/>
      <c r="Q789" s="8"/>
      <c r="R789" s="8"/>
      <c r="S789" s="8"/>
      <c r="T789" s="8"/>
      <c r="U789" s="8"/>
      <c r="V789" s="8"/>
      <c r="W789" s="8"/>
      <c r="X789" s="8"/>
      <c r="Y789" s="8"/>
      <c r="Z789" s="8"/>
      <c r="AA789" s="8"/>
      <c r="AB789" s="8"/>
      <c r="AD789" s="8"/>
      <c r="AE789" s="8"/>
      <c r="AF789" s="8"/>
      <c r="AG789" s="8"/>
      <c r="AH789" s="8"/>
      <c r="AI789" s="8"/>
      <c r="AJ789" s="8"/>
      <c r="AK789" s="8"/>
      <c r="AL789" s="8"/>
      <c r="AM789" s="8"/>
      <c r="AN789" s="8"/>
      <c r="AO789" s="8"/>
    </row>
    <row r="790" spans="7:41" x14ac:dyDescent="0.2">
      <c r="G790" s="8"/>
      <c r="H790" s="8"/>
      <c r="I790" s="8"/>
      <c r="J790" s="8"/>
      <c r="K790" s="8"/>
      <c r="L790" s="8"/>
      <c r="M790" s="8"/>
      <c r="N790" s="8"/>
      <c r="O790" s="8"/>
      <c r="Q790" s="8"/>
      <c r="R790" s="8"/>
      <c r="S790" s="8"/>
      <c r="T790" s="8"/>
      <c r="U790" s="8"/>
      <c r="V790" s="8"/>
      <c r="W790" s="8"/>
      <c r="X790" s="8"/>
      <c r="Y790" s="8"/>
      <c r="Z790" s="8"/>
      <c r="AA790" s="8"/>
      <c r="AB790" s="8"/>
      <c r="AD790" s="8"/>
      <c r="AE790" s="8"/>
      <c r="AF790" s="8"/>
      <c r="AG790" s="8"/>
      <c r="AH790" s="8"/>
      <c r="AI790" s="8"/>
      <c r="AJ790" s="8"/>
      <c r="AK790" s="8"/>
      <c r="AL790" s="8"/>
      <c r="AM790" s="8"/>
      <c r="AN790" s="8"/>
      <c r="AO790" s="8"/>
    </row>
    <row r="791" spans="7:41" x14ac:dyDescent="0.2">
      <c r="G791" s="8"/>
      <c r="H791" s="8"/>
      <c r="I791" s="8"/>
      <c r="J791" s="8"/>
      <c r="K791" s="8"/>
      <c r="L791" s="8"/>
      <c r="M791" s="8"/>
      <c r="N791" s="8"/>
      <c r="O791" s="8"/>
      <c r="Q791" s="8"/>
      <c r="R791" s="8"/>
      <c r="S791" s="8"/>
      <c r="T791" s="8"/>
      <c r="U791" s="8"/>
      <c r="V791" s="8"/>
      <c r="W791" s="8"/>
      <c r="X791" s="8"/>
      <c r="Y791" s="8"/>
      <c r="Z791" s="8"/>
      <c r="AA791" s="8"/>
      <c r="AB791" s="8"/>
      <c r="AD791" s="8"/>
      <c r="AE791" s="8"/>
      <c r="AF791" s="8"/>
      <c r="AG791" s="8"/>
      <c r="AH791" s="8"/>
      <c r="AI791" s="8"/>
      <c r="AJ791" s="8"/>
      <c r="AK791" s="8"/>
      <c r="AL791" s="8"/>
      <c r="AM791" s="8"/>
      <c r="AN791" s="8"/>
      <c r="AO791" s="8"/>
    </row>
    <row r="792" spans="7:41" x14ac:dyDescent="0.2">
      <c r="G792" s="8"/>
      <c r="H792" s="8"/>
      <c r="I792" s="8"/>
      <c r="J792" s="8"/>
      <c r="K792" s="8"/>
      <c r="L792" s="8"/>
      <c r="M792" s="8"/>
      <c r="N792" s="8"/>
      <c r="O792" s="8"/>
      <c r="Q792" s="8"/>
      <c r="R792" s="8"/>
      <c r="S792" s="8"/>
      <c r="T792" s="8"/>
      <c r="U792" s="8"/>
      <c r="V792" s="8"/>
      <c r="W792" s="8"/>
      <c r="X792" s="8"/>
      <c r="Y792" s="8"/>
      <c r="Z792" s="8"/>
      <c r="AA792" s="8"/>
      <c r="AB792" s="8"/>
      <c r="AD792" s="8"/>
      <c r="AE792" s="8"/>
      <c r="AF792" s="8"/>
      <c r="AG792" s="8"/>
      <c r="AH792" s="8"/>
      <c r="AI792" s="8"/>
      <c r="AJ792" s="8"/>
      <c r="AK792" s="8"/>
      <c r="AL792" s="8"/>
      <c r="AM792" s="8"/>
      <c r="AN792" s="8"/>
      <c r="AO792" s="8"/>
    </row>
    <row r="793" spans="7:41" x14ac:dyDescent="0.2">
      <c r="G793" s="8"/>
      <c r="H793" s="8"/>
      <c r="I793" s="8"/>
      <c r="J793" s="8"/>
      <c r="K793" s="8"/>
      <c r="L793" s="8"/>
      <c r="M793" s="8"/>
      <c r="N793" s="8"/>
      <c r="O793" s="8"/>
      <c r="Q793" s="8"/>
      <c r="R793" s="8"/>
      <c r="S793" s="8"/>
      <c r="T793" s="8"/>
      <c r="U793" s="8"/>
      <c r="V793" s="8"/>
      <c r="W793" s="8"/>
      <c r="X793" s="8"/>
      <c r="Y793" s="8"/>
      <c r="Z793" s="8"/>
      <c r="AA793" s="8"/>
      <c r="AB793" s="8"/>
      <c r="AD793" s="8"/>
      <c r="AE793" s="8"/>
      <c r="AF793" s="8"/>
      <c r="AG793" s="8"/>
      <c r="AH793" s="8"/>
      <c r="AI793" s="8"/>
      <c r="AJ793" s="8"/>
      <c r="AK793" s="8"/>
      <c r="AL793" s="8"/>
      <c r="AM793" s="8"/>
      <c r="AN793" s="8"/>
      <c r="AO793" s="8"/>
    </row>
    <row r="794" spans="7:41" x14ac:dyDescent="0.2">
      <c r="G794" s="8"/>
      <c r="H794" s="8"/>
      <c r="I794" s="8"/>
      <c r="J794" s="8"/>
      <c r="K794" s="8"/>
      <c r="L794" s="8"/>
      <c r="M794" s="8"/>
      <c r="N794" s="8"/>
      <c r="O794" s="8"/>
      <c r="Q794" s="8"/>
      <c r="R794" s="8"/>
      <c r="S794" s="8"/>
      <c r="T794" s="8"/>
      <c r="U794" s="8"/>
      <c r="V794" s="8"/>
      <c r="W794" s="8"/>
      <c r="X794" s="8"/>
      <c r="Y794" s="8"/>
      <c r="Z794" s="8"/>
      <c r="AA794" s="8"/>
      <c r="AB794" s="8"/>
      <c r="AD794" s="8"/>
      <c r="AE794" s="8"/>
      <c r="AF794" s="8"/>
      <c r="AG794" s="8"/>
      <c r="AH794" s="8"/>
      <c r="AI794" s="8"/>
      <c r="AJ794" s="8"/>
      <c r="AK794" s="8"/>
      <c r="AL794" s="8"/>
      <c r="AM794" s="8"/>
      <c r="AN794" s="8"/>
      <c r="AO794" s="8"/>
    </row>
    <row r="795" spans="7:41" x14ac:dyDescent="0.2">
      <c r="G795" s="8"/>
      <c r="H795" s="8"/>
      <c r="I795" s="8"/>
      <c r="J795" s="8"/>
      <c r="K795" s="8"/>
      <c r="L795" s="8"/>
      <c r="M795" s="8"/>
      <c r="N795" s="8"/>
      <c r="O795" s="8"/>
      <c r="Q795" s="8"/>
      <c r="R795" s="8"/>
      <c r="S795" s="8"/>
      <c r="T795" s="8"/>
      <c r="U795" s="8"/>
      <c r="V795" s="8"/>
      <c r="W795" s="8"/>
      <c r="X795" s="8"/>
      <c r="Y795" s="8"/>
      <c r="Z795" s="8"/>
      <c r="AA795" s="8"/>
      <c r="AB795" s="8"/>
      <c r="AD795" s="8"/>
      <c r="AE795" s="8"/>
      <c r="AF795" s="8"/>
      <c r="AG795" s="8"/>
      <c r="AH795" s="8"/>
      <c r="AI795" s="8"/>
      <c r="AJ795" s="8"/>
      <c r="AK795" s="8"/>
      <c r="AL795" s="8"/>
      <c r="AM795" s="8"/>
      <c r="AN795" s="8"/>
      <c r="AO795" s="8"/>
    </row>
    <row r="796" spans="7:41" x14ac:dyDescent="0.2">
      <c r="G796" s="8"/>
      <c r="H796" s="8"/>
      <c r="I796" s="8"/>
      <c r="J796" s="8"/>
      <c r="K796" s="8"/>
      <c r="L796" s="8"/>
      <c r="M796" s="8"/>
      <c r="N796" s="8"/>
      <c r="O796" s="8"/>
      <c r="Q796" s="8"/>
      <c r="R796" s="8"/>
      <c r="S796" s="8"/>
      <c r="T796" s="8"/>
      <c r="U796" s="8"/>
      <c r="V796" s="8"/>
      <c r="W796" s="8"/>
      <c r="X796" s="8"/>
      <c r="Y796" s="8"/>
      <c r="Z796" s="8"/>
      <c r="AA796" s="8"/>
      <c r="AB796" s="8"/>
      <c r="AD796" s="8"/>
      <c r="AE796" s="8"/>
      <c r="AF796" s="8"/>
      <c r="AG796" s="8"/>
      <c r="AH796" s="8"/>
      <c r="AI796" s="8"/>
      <c r="AJ796" s="8"/>
      <c r="AK796" s="8"/>
      <c r="AL796" s="8"/>
      <c r="AM796" s="8"/>
      <c r="AN796" s="8"/>
      <c r="AO796" s="8"/>
    </row>
    <row r="797" spans="7:41" x14ac:dyDescent="0.2">
      <c r="G797" s="8"/>
      <c r="H797" s="8"/>
      <c r="I797" s="8"/>
      <c r="J797" s="8"/>
      <c r="K797" s="8"/>
      <c r="L797" s="8"/>
      <c r="M797" s="8"/>
      <c r="N797" s="8"/>
      <c r="O797" s="8"/>
      <c r="Q797" s="8"/>
      <c r="R797" s="8"/>
      <c r="S797" s="8"/>
      <c r="T797" s="8"/>
      <c r="U797" s="8"/>
      <c r="V797" s="8"/>
      <c r="W797" s="8"/>
      <c r="X797" s="8"/>
      <c r="Y797" s="8"/>
      <c r="Z797" s="8"/>
      <c r="AA797" s="8"/>
      <c r="AB797" s="8"/>
      <c r="AD797" s="8"/>
      <c r="AE797" s="8"/>
      <c r="AF797" s="8"/>
      <c r="AG797" s="8"/>
      <c r="AH797" s="8"/>
      <c r="AI797" s="8"/>
      <c r="AJ797" s="8"/>
      <c r="AK797" s="8"/>
      <c r="AL797" s="8"/>
      <c r="AM797" s="8"/>
      <c r="AN797" s="8"/>
      <c r="AO797" s="8"/>
    </row>
    <row r="798" spans="7:41" x14ac:dyDescent="0.2">
      <c r="G798" s="8"/>
      <c r="H798" s="8"/>
      <c r="I798" s="8"/>
      <c r="J798" s="8"/>
      <c r="K798" s="8"/>
      <c r="L798" s="8"/>
      <c r="M798" s="8"/>
      <c r="N798" s="8"/>
      <c r="O798" s="8"/>
      <c r="Q798" s="8"/>
      <c r="R798" s="8"/>
      <c r="S798" s="8"/>
      <c r="T798" s="8"/>
      <c r="U798" s="8"/>
      <c r="V798" s="8"/>
      <c r="W798" s="8"/>
      <c r="X798" s="8"/>
      <c r="Y798" s="8"/>
      <c r="Z798" s="8"/>
      <c r="AA798" s="8"/>
      <c r="AB798" s="8"/>
      <c r="AD798" s="8"/>
      <c r="AE798" s="8"/>
      <c r="AF798" s="8"/>
      <c r="AG798" s="8"/>
      <c r="AH798" s="8"/>
      <c r="AI798" s="8"/>
      <c r="AJ798" s="8"/>
      <c r="AK798" s="8"/>
      <c r="AL798" s="8"/>
      <c r="AM798" s="8"/>
      <c r="AN798" s="8"/>
      <c r="AO798" s="8"/>
    </row>
    <row r="799" spans="7:41" x14ac:dyDescent="0.2">
      <c r="G799" s="8"/>
      <c r="H799" s="8"/>
      <c r="I799" s="8"/>
      <c r="J799" s="8"/>
      <c r="K799" s="8"/>
      <c r="L799" s="8"/>
      <c r="M799" s="8"/>
      <c r="N799" s="8"/>
      <c r="O799" s="8"/>
      <c r="Q799" s="8"/>
      <c r="R799" s="8"/>
      <c r="S799" s="8"/>
      <c r="T799" s="8"/>
      <c r="U799" s="8"/>
      <c r="V799" s="8"/>
      <c r="W799" s="8"/>
      <c r="X799" s="8"/>
      <c r="Y799" s="8"/>
      <c r="Z799" s="8"/>
      <c r="AA799" s="8"/>
      <c r="AB799" s="8"/>
      <c r="AD799" s="8"/>
      <c r="AE799" s="8"/>
      <c r="AF799" s="8"/>
      <c r="AG799" s="8"/>
      <c r="AH799" s="8"/>
      <c r="AI799" s="8"/>
      <c r="AJ799" s="8"/>
      <c r="AK799" s="8"/>
      <c r="AL799" s="8"/>
      <c r="AM799" s="8"/>
      <c r="AN799" s="8"/>
      <c r="AO799" s="8"/>
    </row>
    <row r="800" spans="7:41" x14ac:dyDescent="0.2">
      <c r="G800" s="8"/>
      <c r="H800" s="8"/>
      <c r="I800" s="8"/>
      <c r="J800" s="8"/>
      <c r="K800" s="8"/>
      <c r="L800" s="8"/>
      <c r="M800" s="8"/>
      <c r="N800" s="8"/>
      <c r="O800" s="8"/>
      <c r="Q800" s="8"/>
      <c r="R800" s="8"/>
      <c r="S800" s="8"/>
      <c r="T800" s="8"/>
      <c r="U800" s="8"/>
      <c r="V800" s="8"/>
      <c r="W800" s="8"/>
      <c r="X800" s="8"/>
      <c r="Y800" s="8"/>
      <c r="Z800" s="8"/>
      <c r="AA800" s="8"/>
      <c r="AB800" s="8"/>
      <c r="AD800" s="8"/>
      <c r="AE800" s="8"/>
      <c r="AF800" s="8"/>
      <c r="AG800" s="8"/>
      <c r="AH800" s="8"/>
      <c r="AI800" s="8"/>
      <c r="AJ800" s="8"/>
      <c r="AK800" s="8"/>
      <c r="AL800" s="8"/>
      <c r="AM800" s="8"/>
      <c r="AN800" s="8"/>
      <c r="AO800" s="8"/>
    </row>
    <row r="801" spans="7:41" x14ac:dyDescent="0.2">
      <c r="G801" s="8"/>
      <c r="H801" s="8"/>
      <c r="I801" s="8"/>
      <c r="J801" s="8"/>
      <c r="K801" s="8"/>
      <c r="L801" s="8"/>
      <c r="M801" s="8"/>
      <c r="N801" s="8"/>
      <c r="O801" s="8"/>
      <c r="Q801" s="8"/>
      <c r="R801" s="8"/>
      <c r="S801" s="8"/>
      <c r="T801" s="8"/>
      <c r="U801" s="8"/>
      <c r="V801" s="8"/>
      <c r="W801" s="8"/>
      <c r="X801" s="8"/>
      <c r="Y801" s="8"/>
      <c r="Z801" s="8"/>
      <c r="AA801" s="8"/>
      <c r="AB801" s="8"/>
      <c r="AD801" s="8"/>
      <c r="AE801" s="8"/>
      <c r="AF801" s="8"/>
      <c r="AG801" s="8"/>
      <c r="AH801" s="8"/>
      <c r="AI801" s="8"/>
      <c r="AJ801" s="8"/>
      <c r="AK801" s="8"/>
      <c r="AL801" s="8"/>
      <c r="AM801" s="8"/>
      <c r="AN801" s="8"/>
      <c r="AO801" s="8"/>
    </row>
    <row r="802" spans="7:41" x14ac:dyDescent="0.2">
      <c r="G802" s="8"/>
      <c r="H802" s="8"/>
      <c r="I802" s="8"/>
      <c r="J802" s="8"/>
      <c r="K802" s="8"/>
      <c r="L802" s="8"/>
      <c r="M802" s="8"/>
      <c r="N802" s="8"/>
      <c r="O802" s="8"/>
      <c r="Q802" s="8"/>
      <c r="R802" s="8"/>
      <c r="S802" s="8"/>
      <c r="T802" s="8"/>
      <c r="U802" s="8"/>
      <c r="V802" s="8"/>
      <c r="W802" s="8"/>
      <c r="X802" s="8"/>
      <c r="Y802" s="8"/>
      <c r="Z802" s="8"/>
      <c r="AA802" s="8"/>
      <c r="AB802" s="8"/>
      <c r="AD802" s="8"/>
      <c r="AE802" s="8"/>
      <c r="AF802" s="8"/>
      <c r="AG802" s="8"/>
      <c r="AH802" s="8"/>
      <c r="AI802" s="8"/>
      <c r="AJ802" s="8"/>
      <c r="AK802" s="8"/>
      <c r="AL802" s="8"/>
      <c r="AM802" s="8"/>
      <c r="AN802" s="8"/>
      <c r="AO802" s="8"/>
    </row>
    <row r="803" spans="7:41" x14ac:dyDescent="0.2">
      <c r="G803" s="8"/>
      <c r="H803" s="8"/>
      <c r="I803" s="8"/>
      <c r="J803" s="8"/>
      <c r="K803" s="8"/>
      <c r="L803" s="8"/>
      <c r="M803" s="8"/>
      <c r="N803" s="8"/>
      <c r="O803" s="8"/>
      <c r="Q803" s="8"/>
      <c r="R803" s="8"/>
      <c r="S803" s="8"/>
      <c r="T803" s="8"/>
      <c r="U803" s="8"/>
      <c r="V803" s="8"/>
      <c r="W803" s="8"/>
      <c r="X803" s="8"/>
      <c r="Y803" s="8"/>
      <c r="Z803" s="8"/>
      <c r="AA803" s="8"/>
      <c r="AB803" s="8"/>
      <c r="AD803" s="8"/>
      <c r="AE803" s="8"/>
      <c r="AF803" s="8"/>
      <c r="AG803" s="8"/>
      <c r="AH803" s="8"/>
      <c r="AI803" s="8"/>
      <c r="AJ803" s="8"/>
      <c r="AK803" s="8"/>
      <c r="AL803" s="8"/>
      <c r="AM803" s="8"/>
      <c r="AN803" s="8"/>
      <c r="AO803" s="8"/>
    </row>
    <row r="804" spans="7:41" x14ac:dyDescent="0.2">
      <c r="G804" s="8"/>
      <c r="H804" s="8"/>
      <c r="I804" s="8"/>
      <c r="J804" s="8"/>
      <c r="K804" s="8"/>
      <c r="L804" s="8"/>
      <c r="M804" s="8"/>
      <c r="N804" s="8"/>
      <c r="O804" s="8"/>
      <c r="Q804" s="8"/>
      <c r="R804" s="8"/>
      <c r="S804" s="8"/>
      <c r="T804" s="8"/>
      <c r="U804" s="8"/>
      <c r="V804" s="8"/>
      <c r="W804" s="8"/>
      <c r="X804" s="8"/>
      <c r="Y804" s="8"/>
      <c r="Z804" s="8"/>
      <c r="AA804" s="8"/>
      <c r="AB804" s="8"/>
      <c r="AD804" s="8"/>
      <c r="AE804" s="8"/>
      <c r="AF804" s="8"/>
      <c r="AG804" s="8"/>
      <c r="AH804" s="8"/>
      <c r="AI804" s="8"/>
      <c r="AJ804" s="8"/>
      <c r="AK804" s="8"/>
      <c r="AL804" s="8"/>
      <c r="AM804" s="8"/>
      <c r="AN804" s="8"/>
      <c r="AO804" s="8"/>
    </row>
    <row r="805" spans="7:41" x14ac:dyDescent="0.2">
      <c r="G805" s="8"/>
      <c r="H805" s="8"/>
      <c r="I805" s="8"/>
      <c r="J805" s="8"/>
      <c r="K805" s="8"/>
      <c r="L805" s="8"/>
      <c r="M805" s="8"/>
      <c r="N805" s="8"/>
      <c r="O805" s="8"/>
      <c r="Q805" s="8"/>
      <c r="R805" s="8"/>
      <c r="S805" s="8"/>
      <c r="T805" s="8"/>
      <c r="U805" s="8"/>
      <c r="V805" s="8"/>
      <c r="W805" s="8"/>
      <c r="X805" s="8"/>
      <c r="Y805" s="8"/>
      <c r="Z805" s="8"/>
      <c r="AA805" s="8"/>
      <c r="AB805" s="8"/>
      <c r="AD805" s="8"/>
      <c r="AE805" s="8"/>
      <c r="AF805" s="8"/>
      <c r="AG805" s="8"/>
      <c r="AH805" s="8"/>
      <c r="AI805" s="8"/>
      <c r="AJ805" s="8"/>
      <c r="AK805" s="8"/>
      <c r="AL805" s="8"/>
      <c r="AM805" s="8"/>
      <c r="AN805" s="8"/>
      <c r="AO805" s="8"/>
    </row>
    <row r="806" spans="7:41" x14ac:dyDescent="0.2">
      <c r="G806" s="8"/>
      <c r="H806" s="8"/>
      <c r="I806" s="8"/>
      <c r="J806" s="8"/>
      <c r="K806" s="8"/>
      <c r="L806" s="8"/>
      <c r="M806" s="8"/>
      <c r="N806" s="8"/>
      <c r="O806" s="8"/>
      <c r="Q806" s="8"/>
      <c r="R806" s="8"/>
      <c r="S806" s="8"/>
      <c r="T806" s="8"/>
      <c r="U806" s="8"/>
      <c r="V806" s="8"/>
      <c r="W806" s="8"/>
      <c r="X806" s="8"/>
      <c r="Y806" s="8"/>
      <c r="Z806" s="8"/>
      <c r="AA806" s="8"/>
      <c r="AB806" s="8"/>
      <c r="AD806" s="8"/>
      <c r="AE806" s="8"/>
      <c r="AF806" s="8"/>
      <c r="AG806" s="8"/>
      <c r="AH806" s="8"/>
      <c r="AI806" s="8"/>
      <c r="AJ806" s="8"/>
      <c r="AK806" s="8"/>
      <c r="AL806" s="8"/>
      <c r="AM806" s="8"/>
      <c r="AN806" s="8"/>
      <c r="AO806" s="8"/>
    </row>
    <row r="807" spans="7:41" x14ac:dyDescent="0.2">
      <c r="G807" s="8"/>
      <c r="H807" s="8"/>
      <c r="I807" s="8"/>
      <c r="J807" s="8"/>
      <c r="K807" s="8"/>
      <c r="L807" s="8"/>
      <c r="M807" s="8"/>
      <c r="N807" s="8"/>
      <c r="O807" s="8"/>
      <c r="Q807" s="8"/>
      <c r="R807" s="8"/>
      <c r="S807" s="8"/>
      <c r="T807" s="8"/>
      <c r="U807" s="8"/>
      <c r="V807" s="8"/>
      <c r="W807" s="8"/>
      <c r="X807" s="8"/>
      <c r="Y807" s="8"/>
      <c r="Z807" s="8"/>
      <c r="AA807" s="8"/>
      <c r="AB807" s="8"/>
      <c r="AD807" s="8"/>
      <c r="AE807" s="8"/>
      <c r="AF807" s="8"/>
      <c r="AG807" s="8"/>
      <c r="AH807" s="8"/>
      <c r="AI807" s="8"/>
      <c r="AJ807" s="8"/>
      <c r="AK807" s="8"/>
      <c r="AL807" s="8"/>
      <c r="AM807" s="8"/>
      <c r="AN807" s="8"/>
      <c r="AO807" s="8"/>
    </row>
    <row r="808" spans="7:41" x14ac:dyDescent="0.2">
      <c r="G808" s="8"/>
      <c r="H808" s="8"/>
      <c r="I808" s="8"/>
      <c r="J808" s="8"/>
      <c r="K808" s="8"/>
      <c r="L808" s="8"/>
      <c r="M808" s="8"/>
      <c r="N808" s="8"/>
      <c r="O808" s="8"/>
      <c r="Q808" s="8"/>
      <c r="R808" s="8"/>
      <c r="S808" s="8"/>
      <c r="T808" s="8"/>
      <c r="U808" s="8"/>
      <c r="V808" s="8"/>
      <c r="W808" s="8"/>
      <c r="X808" s="8"/>
      <c r="Y808" s="8"/>
      <c r="Z808" s="8"/>
      <c r="AA808" s="8"/>
      <c r="AB808" s="8"/>
      <c r="AD808" s="8"/>
      <c r="AE808" s="8"/>
      <c r="AF808" s="8"/>
      <c r="AG808" s="8"/>
      <c r="AH808" s="8"/>
      <c r="AI808" s="8"/>
      <c r="AJ808" s="8"/>
      <c r="AK808" s="8"/>
      <c r="AL808" s="8"/>
      <c r="AM808" s="8"/>
      <c r="AN808" s="8"/>
      <c r="AO808" s="8"/>
    </row>
    <row r="809" spans="7:41" x14ac:dyDescent="0.2">
      <c r="G809" s="8"/>
      <c r="H809" s="8"/>
      <c r="I809" s="8"/>
      <c r="J809" s="8"/>
      <c r="K809" s="8"/>
      <c r="L809" s="8"/>
      <c r="M809" s="8"/>
      <c r="N809" s="8"/>
      <c r="O809" s="8"/>
      <c r="Q809" s="8"/>
      <c r="R809" s="8"/>
      <c r="S809" s="8"/>
      <c r="T809" s="8"/>
      <c r="U809" s="8"/>
      <c r="V809" s="8"/>
      <c r="W809" s="8"/>
      <c r="X809" s="8"/>
      <c r="Y809" s="8"/>
      <c r="Z809" s="8"/>
      <c r="AA809" s="8"/>
      <c r="AB809" s="8"/>
      <c r="AD809" s="8"/>
      <c r="AE809" s="8"/>
      <c r="AF809" s="8"/>
      <c r="AG809" s="8"/>
      <c r="AH809" s="8"/>
      <c r="AI809" s="8"/>
      <c r="AJ809" s="8"/>
      <c r="AK809" s="8"/>
      <c r="AL809" s="8"/>
      <c r="AM809" s="8"/>
      <c r="AN809" s="8"/>
      <c r="AO809" s="8"/>
    </row>
    <row r="810" spans="7:41" x14ac:dyDescent="0.2">
      <c r="G810" s="8"/>
      <c r="H810" s="8"/>
      <c r="I810" s="8"/>
      <c r="J810" s="8"/>
      <c r="K810" s="8"/>
      <c r="L810" s="8"/>
      <c r="M810" s="8"/>
      <c r="N810" s="8"/>
      <c r="O810" s="8"/>
      <c r="Q810" s="8"/>
      <c r="R810" s="8"/>
      <c r="S810" s="8"/>
      <c r="T810" s="8"/>
      <c r="U810" s="8"/>
      <c r="V810" s="8"/>
      <c r="W810" s="8"/>
      <c r="X810" s="8"/>
      <c r="Y810" s="8"/>
      <c r="Z810" s="8"/>
      <c r="AA810" s="8"/>
      <c r="AB810" s="8"/>
      <c r="AD810" s="8"/>
      <c r="AE810" s="8"/>
      <c r="AF810" s="8"/>
      <c r="AG810" s="8"/>
      <c r="AH810" s="8"/>
      <c r="AI810" s="8"/>
      <c r="AJ810" s="8"/>
      <c r="AK810" s="8"/>
      <c r="AL810" s="8"/>
      <c r="AM810" s="8"/>
      <c r="AN810" s="8"/>
      <c r="AO810" s="8"/>
    </row>
    <row r="811" spans="7:41" x14ac:dyDescent="0.2">
      <c r="G811" s="8"/>
      <c r="H811" s="8"/>
      <c r="I811" s="8"/>
      <c r="J811" s="8"/>
      <c r="K811" s="8"/>
      <c r="L811" s="8"/>
      <c r="M811" s="8"/>
      <c r="N811" s="8"/>
      <c r="O811" s="8"/>
      <c r="Q811" s="8"/>
      <c r="R811" s="8"/>
      <c r="S811" s="8"/>
      <c r="T811" s="8"/>
      <c r="U811" s="8"/>
      <c r="V811" s="8"/>
      <c r="W811" s="8"/>
      <c r="X811" s="8"/>
      <c r="Y811" s="8"/>
      <c r="Z811" s="8"/>
      <c r="AA811" s="8"/>
      <c r="AB811" s="8"/>
      <c r="AD811" s="8"/>
      <c r="AE811" s="8"/>
      <c r="AF811" s="8"/>
      <c r="AG811" s="8"/>
      <c r="AH811" s="8"/>
      <c r="AI811" s="8"/>
      <c r="AJ811" s="8"/>
      <c r="AK811" s="8"/>
      <c r="AL811" s="8"/>
      <c r="AM811" s="8"/>
      <c r="AN811" s="8"/>
      <c r="AO811" s="8"/>
    </row>
    <row r="812" spans="7:41" x14ac:dyDescent="0.2">
      <c r="G812" s="8"/>
      <c r="H812" s="8"/>
      <c r="I812" s="8"/>
      <c r="J812" s="8"/>
      <c r="K812" s="8"/>
      <c r="L812" s="8"/>
      <c r="M812" s="8"/>
      <c r="N812" s="8"/>
      <c r="O812" s="8"/>
      <c r="Q812" s="8"/>
      <c r="R812" s="8"/>
      <c r="S812" s="8"/>
      <c r="T812" s="8"/>
      <c r="U812" s="8"/>
      <c r="V812" s="8"/>
      <c r="W812" s="8"/>
      <c r="X812" s="8"/>
      <c r="Y812" s="8"/>
      <c r="Z812" s="8"/>
      <c r="AA812" s="8"/>
      <c r="AB812" s="8"/>
      <c r="AD812" s="8"/>
      <c r="AE812" s="8"/>
      <c r="AF812" s="8"/>
      <c r="AG812" s="8"/>
      <c r="AH812" s="8"/>
      <c r="AI812" s="8"/>
      <c r="AJ812" s="8"/>
      <c r="AK812" s="8"/>
      <c r="AL812" s="8"/>
      <c r="AM812" s="8"/>
      <c r="AN812" s="8"/>
      <c r="AO812" s="8"/>
    </row>
    <row r="813" spans="7:41" x14ac:dyDescent="0.2">
      <c r="G813" s="8"/>
      <c r="H813" s="8"/>
      <c r="I813" s="8"/>
      <c r="J813" s="8"/>
      <c r="K813" s="8"/>
      <c r="L813" s="8"/>
      <c r="M813" s="8"/>
      <c r="N813" s="8"/>
      <c r="O813" s="8"/>
      <c r="Q813" s="8"/>
      <c r="R813" s="8"/>
      <c r="S813" s="8"/>
      <c r="T813" s="8"/>
      <c r="U813" s="8"/>
      <c r="V813" s="8"/>
      <c r="W813" s="8"/>
      <c r="X813" s="8"/>
      <c r="Y813" s="8"/>
      <c r="Z813" s="8"/>
      <c r="AA813" s="8"/>
      <c r="AB813" s="8"/>
      <c r="AD813" s="8"/>
      <c r="AE813" s="8"/>
      <c r="AF813" s="8"/>
      <c r="AG813" s="8"/>
      <c r="AH813" s="8"/>
      <c r="AI813" s="8"/>
      <c r="AJ813" s="8"/>
      <c r="AK813" s="8"/>
      <c r="AL813" s="8"/>
      <c r="AM813" s="8"/>
      <c r="AN813" s="8"/>
      <c r="AO813" s="8"/>
    </row>
    <row r="814" spans="7:41" x14ac:dyDescent="0.2">
      <c r="G814" s="8"/>
      <c r="H814" s="8"/>
      <c r="I814" s="8"/>
      <c r="J814" s="8"/>
      <c r="K814" s="8"/>
      <c r="L814" s="8"/>
      <c r="M814" s="8"/>
      <c r="N814" s="8"/>
      <c r="O814" s="8"/>
      <c r="Q814" s="8"/>
      <c r="R814" s="8"/>
      <c r="S814" s="8"/>
      <c r="T814" s="8"/>
      <c r="U814" s="8"/>
      <c r="V814" s="8"/>
      <c r="W814" s="8"/>
      <c r="X814" s="8"/>
      <c r="Y814" s="8"/>
      <c r="Z814" s="8"/>
      <c r="AA814" s="8"/>
      <c r="AB814" s="8"/>
      <c r="AD814" s="8"/>
      <c r="AE814" s="8"/>
      <c r="AF814" s="8"/>
      <c r="AG814" s="8"/>
      <c r="AH814" s="8"/>
      <c r="AI814" s="8"/>
      <c r="AJ814" s="8"/>
      <c r="AK814" s="8"/>
      <c r="AL814" s="8"/>
      <c r="AM814" s="8"/>
      <c r="AN814" s="8"/>
      <c r="AO814" s="8"/>
    </row>
    <row r="815" spans="7:41" x14ac:dyDescent="0.2">
      <c r="G815" s="8"/>
      <c r="H815" s="8"/>
      <c r="I815" s="8"/>
      <c r="J815" s="8"/>
      <c r="K815" s="8"/>
      <c r="L815" s="8"/>
      <c r="M815" s="8"/>
      <c r="N815" s="8"/>
      <c r="O815" s="8"/>
      <c r="Q815" s="8"/>
      <c r="R815" s="8"/>
      <c r="S815" s="8"/>
      <c r="T815" s="8"/>
      <c r="U815" s="8"/>
      <c r="V815" s="8"/>
      <c r="W815" s="8"/>
      <c r="X815" s="8"/>
      <c r="Y815" s="8"/>
      <c r="Z815" s="8"/>
      <c r="AA815" s="8"/>
      <c r="AB815" s="8"/>
      <c r="AD815" s="8"/>
      <c r="AE815" s="8"/>
      <c r="AF815" s="8"/>
      <c r="AG815" s="8"/>
      <c r="AH815" s="8"/>
      <c r="AI815" s="8"/>
      <c r="AJ815" s="8"/>
      <c r="AK815" s="8"/>
      <c r="AL815" s="8"/>
      <c r="AM815" s="8"/>
      <c r="AN815" s="8"/>
      <c r="AO815" s="8"/>
    </row>
    <row r="816" spans="7:41" x14ac:dyDescent="0.2">
      <c r="G816" s="8"/>
      <c r="H816" s="8"/>
      <c r="I816" s="8"/>
      <c r="J816" s="8"/>
      <c r="K816" s="8"/>
      <c r="L816" s="8"/>
      <c r="M816" s="8"/>
      <c r="N816" s="8"/>
      <c r="O816" s="8"/>
      <c r="Q816" s="8"/>
      <c r="R816" s="8"/>
      <c r="S816" s="8"/>
      <c r="T816" s="8"/>
      <c r="U816" s="8"/>
      <c r="V816" s="8"/>
      <c r="W816" s="8"/>
      <c r="X816" s="8"/>
      <c r="Y816" s="8"/>
      <c r="Z816" s="8"/>
      <c r="AA816" s="8"/>
      <c r="AB816" s="8"/>
      <c r="AD816" s="8"/>
      <c r="AE816" s="8"/>
      <c r="AF816" s="8"/>
      <c r="AG816" s="8"/>
      <c r="AH816" s="8"/>
      <c r="AI816" s="8"/>
      <c r="AJ816" s="8"/>
      <c r="AK816" s="8"/>
      <c r="AL816" s="8"/>
      <c r="AM816" s="8"/>
      <c r="AN816" s="8"/>
      <c r="AO816" s="8"/>
    </row>
    <row r="817" spans="7:41" x14ac:dyDescent="0.2">
      <c r="G817" s="8"/>
      <c r="H817" s="8"/>
      <c r="I817" s="8"/>
      <c r="J817" s="8"/>
      <c r="K817" s="8"/>
      <c r="L817" s="8"/>
      <c r="M817" s="8"/>
      <c r="N817" s="8"/>
      <c r="O817" s="8"/>
      <c r="Q817" s="8"/>
      <c r="R817" s="8"/>
      <c r="S817" s="8"/>
      <c r="T817" s="8"/>
      <c r="U817" s="8"/>
      <c r="V817" s="8"/>
      <c r="W817" s="8"/>
      <c r="X817" s="8"/>
      <c r="Y817" s="8"/>
      <c r="Z817" s="8"/>
      <c r="AA817" s="8"/>
      <c r="AB817" s="8"/>
      <c r="AD817" s="8"/>
      <c r="AE817" s="8"/>
      <c r="AF817" s="8"/>
      <c r="AG817" s="8"/>
      <c r="AH817" s="8"/>
      <c r="AI817" s="8"/>
      <c r="AJ817" s="8"/>
      <c r="AK817" s="8"/>
      <c r="AL817" s="8"/>
      <c r="AM817" s="8"/>
      <c r="AN817" s="8"/>
      <c r="AO817" s="8"/>
    </row>
    <row r="818" spans="7:41" x14ac:dyDescent="0.2">
      <c r="G818" s="8"/>
      <c r="H818" s="8"/>
      <c r="I818" s="8"/>
      <c r="J818" s="8"/>
      <c r="K818" s="8"/>
      <c r="L818" s="8"/>
      <c r="M818" s="8"/>
      <c r="N818" s="8"/>
      <c r="O818" s="8"/>
      <c r="Q818" s="8"/>
      <c r="R818" s="8"/>
      <c r="S818" s="8"/>
      <c r="T818" s="8"/>
      <c r="U818" s="8"/>
      <c r="V818" s="8"/>
      <c r="W818" s="8"/>
      <c r="X818" s="8"/>
      <c r="Y818" s="8"/>
      <c r="Z818" s="8"/>
      <c r="AA818" s="8"/>
      <c r="AB818" s="8"/>
      <c r="AD818" s="8"/>
      <c r="AE818" s="8"/>
      <c r="AF818" s="8"/>
      <c r="AG818" s="8"/>
      <c r="AH818" s="8"/>
      <c r="AI818" s="8"/>
      <c r="AJ818" s="8"/>
      <c r="AK818" s="8"/>
      <c r="AL818" s="8"/>
      <c r="AM818" s="8"/>
      <c r="AN818" s="8"/>
      <c r="AO818" s="8"/>
    </row>
    <row r="819" spans="7:41" x14ac:dyDescent="0.2">
      <c r="G819" s="8"/>
      <c r="H819" s="8"/>
      <c r="I819" s="8"/>
      <c r="J819" s="8"/>
      <c r="K819" s="8"/>
      <c r="L819" s="8"/>
      <c r="M819" s="8"/>
      <c r="N819" s="8"/>
      <c r="O819" s="8"/>
      <c r="Q819" s="8"/>
      <c r="R819" s="8"/>
      <c r="S819" s="8"/>
      <c r="T819" s="8"/>
      <c r="U819" s="8"/>
      <c r="V819" s="8"/>
      <c r="W819" s="8"/>
      <c r="X819" s="8"/>
      <c r="Y819" s="8"/>
      <c r="Z819" s="8"/>
      <c r="AA819" s="8"/>
      <c r="AB819" s="8"/>
      <c r="AD819" s="8"/>
      <c r="AE819" s="8"/>
      <c r="AF819" s="8"/>
      <c r="AG819" s="8"/>
      <c r="AH819" s="8"/>
      <c r="AI819" s="8"/>
      <c r="AJ819" s="8"/>
      <c r="AK819" s="8"/>
      <c r="AL819" s="8"/>
      <c r="AM819" s="8"/>
      <c r="AN819" s="8"/>
      <c r="AO819" s="8"/>
    </row>
    <row r="820" spans="7:41" x14ac:dyDescent="0.2">
      <c r="G820" s="8"/>
      <c r="H820" s="8"/>
      <c r="I820" s="8"/>
      <c r="J820" s="8"/>
      <c r="K820" s="8"/>
      <c r="L820" s="8"/>
      <c r="M820" s="8"/>
      <c r="N820" s="8"/>
      <c r="O820" s="8"/>
      <c r="Q820" s="8"/>
      <c r="R820" s="8"/>
      <c r="S820" s="8"/>
      <c r="T820" s="8"/>
      <c r="U820" s="8"/>
      <c r="V820" s="8"/>
      <c r="W820" s="8"/>
      <c r="X820" s="8"/>
      <c r="Y820" s="8"/>
      <c r="Z820" s="8"/>
      <c r="AA820" s="8"/>
      <c r="AB820" s="8"/>
      <c r="AD820" s="8"/>
      <c r="AE820" s="8"/>
      <c r="AF820" s="8"/>
      <c r="AG820" s="8"/>
      <c r="AH820" s="8"/>
      <c r="AI820" s="8"/>
      <c r="AJ820" s="8"/>
      <c r="AK820" s="8"/>
      <c r="AL820" s="8"/>
      <c r="AM820" s="8"/>
      <c r="AN820" s="8"/>
      <c r="AO820" s="8"/>
    </row>
    <row r="821" spans="7:41" x14ac:dyDescent="0.2">
      <c r="G821" s="8"/>
      <c r="H821" s="8"/>
      <c r="I821" s="8"/>
      <c r="J821" s="8"/>
      <c r="K821" s="8"/>
      <c r="L821" s="8"/>
      <c r="M821" s="8"/>
      <c r="N821" s="8"/>
      <c r="O821" s="8"/>
      <c r="Q821" s="8"/>
      <c r="R821" s="8"/>
      <c r="S821" s="8"/>
      <c r="T821" s="8"/>
      <c r="U821" s="8"/>
      <c r="V821" s="8"/>
      <c r="W821" s="8"/>
      <c r="X821" s="8"/>
      <c r="Y821" s="8"/>
      <c r="Z821" s="8"/>
      <c r="AA821" s="8"/>
      <c r="AB821" s="8"/>
      <c r="AD821" s="8"/>
      <c r="AE821" s="8"/>
      <c r="AF821" s="8"/>
      <c r="AG821" s="8"/>
      <c r="AH821" s="8"/>
      <c r="AI821" s="8"/>
      <c r="AJ821" s="8"/>
      <c r="AK821" s="8"/>
      <c r="AL821" s="8"/>
      <c r="AM821" s="8"/>
      <c r="AN821" s="8"/>
      <c r="AO821" s="8"/>
    </row>
    <row r="822" spans="7:41" x14ac:dyDescent="0.2">
      <c r="G822" s="8"/>
      <c r="H822" s="8"/>
      <c r="I822" s="8"/>
      <c r="J822" s="8"/>
      <c r="K822" s="8"/>
      <c r="L822" s="8"/>
      <c r="M822" s="8"/>
      <c r="N822" s="8"/>
      <c r="O822" s="8"/>
      <c r="Q822" s="8"/>
      <c r="R822" s="8"/>
      <c r="S822" s="8"/>
      <c r="T822" s="8"/>
      <c r="U822" s="8"/>
      <c r="V822" s="8"/>
      <c r="W822" s="8"/>
      <c r="X822" s="8"/>
      <c r="Y822" s="8"/>
      <c r="Z822" s="8"/>
      <c r="AA822" s="8"/>
      <c r="AB822" s="8"/>
      <c r="AD822" s="8"/>
      <c r="AE822" s="8"/>
      <c r="AF822" s="8"/>
      <c r="AG822" s="8"/>
      <c r="AH822" s="8"/>
      <c r="AI822" s="8"/>
      <c r="AJ822" s="8"/>
      <c r="AK822" s="8"/>
      <c r="AL822" s="8"/>
      <c r="AM822" s="8"/>
      <c r="AN822" s="8"/>
      <c r="AO822" s="8"/>
    </row>
    <row r="823" spans="7:41" x14ac:dyDescent="0.2">
      <c r="G823" s="8"/>
      <c r="H823" s="8"/>
      <c r="I823" s="8"/>
      <c r="J823" s="8"/>
      <c r="K823" s="8"/>
      <c r="L823" s="8"/>
      <c r="M823" s="8"/>
      <c r="N823" s="8"/>
      <c r="O823" s="8"/>
      <c r="Q823" s="8"/>
      <c r="R823" s="8"/>
      <c r="S823" s="8"/>
      <c r="T823" s="8"/>
      <c r="U823" s="8"/>
      <c r="V823" s="8"/>
      <c r="W823" s="8"/>
      <c r="X823" s="8"/>
      <c r="Y823" s="8"/>
      <c r="Z823" s="8"/>
      <c r="AA823" s="8"/>
      <c r="AB823" s="8"/>
      <c r="AD823" s="8"/>
      <c r="AE823" s="8"/>
      <c r="AF823" s="8"/>
      <c r="AG823" s="8"/>
      <c r="AH823" s="8"/>
      <c r="AI823" s="8"/>
      <c r="AJ823" s="8"/>
      <c r="AK823" s="8"/>
      <c r="AL823" s="8"/>
      <c r="AM823" s="8"/>
      <c r="AN823" s="8"/>
      <c r="AO823" s="8"/>
    </row>
    <row r="824" spans="7:41" x14ac:dyDescent="0.2">
      <c r="G824" s="8"/>
      <c r="H824" s="8"/>
      <c r="I824" s="8"/>
      <c r="J824" s="8"/>
      <c r="K824" s="8"/>
      <c r="L824" s="8"/>
      <c r="M824" s="8"/>
      <c r="N824" s="8"/>
      <c r="O824" s="8"/>
      <c r="Q824" s="8"/>
      <c r="R824" s="8"/>
      <c r="S824" s="8"/>
      <c r="T824" s="8"/>
      <c r="U824" s="8"/>
      <c r="V824" s="8"/>
      <c r="W824" s="8"/>
      <c r="X824" s="8"/>
      <c r="Y824" s="8"/>
      <c r="Z824" s="8"/>
      <c r="AA824" s="8"/>
      <c r="AB824" s="8"/>
      <c r="AD824" s="8"/>
      <c r="AE824" s="8"/>
      <c r="AF824" s="8"/>
      <c r="AG824" s="8"/>
      <c r="AH824" s="8"/>
      <c r="AI824" s="8"/>
      <c r="AJ824" s="8"/>
      <c r="AK824" s="8"/>
      <c r="AL824" s="8"/>
      <c r="AM824" s="8"/>
      <c r="AN824" s="8"/>
      <c r="AO824" s="8"/>
    </row>
    <row r="825" spans="7:41" x14ac:dyDescent="0.2">
      <c r="G825" s="8"/>
      <c r="H825" s="8"/>
      <c r="I825" s="8"/>
      <c r="J825" s="8"/>
      <c r="K825" s="8"/>
      <c r="L825" s="8"/>
      <c r="M825" s="8"/>
      <c r="N825" s="8"/>
      <c r="O825" s="8"/>
      <c r="Q825" s="8"/>
      <c r="R825" s="8"/>
      <c r="S825" s="8"/>
      <c r="T825" s="8"/>
      <c r="U825" s="8"/>
      <c r="V825" s="8"/>
      <c r="W825" s="8"/>
      <c r="X825" s="8"/>
      <c r="Y825" s="8"/>
      <c r="Z825" s="8"/>
      <c r="AA825" s="8"/>
      <c r="AB825" s="8"/>
      <c r="AD825" s="8"/>
      <c r="AE825" s="8"/>
      <c r="AF825" s="8"/>
      <c r="AG825" s="8"/>
      <c r="AH825" s="8"/>
      <c r="AI825" s="8"/>
      <c r="AJ825" s="8"/>
      <c r="AK825" s="8"/>
      <c r="AL825" s="8"/>
      <c r="AM825" s="8"/>
      <c r="AN825" s="8"/>
      <c r="AO825" s="8"/>
    </row>
    <row r="826" spans="7:41" x14ac:dyDescent="0.2">
      <c r="G826" s="8"/>
      <c r="H826" s="8"/>
      <c r="I826" s="8"/>
      <c r="J826" s="8"/>
      <c r="K826" s="8"/>
      <c r="L826" s="8"/>
      <c r="M826" s="8"/>
      <c r="N826" s="8"/>
      <c r="O826" s="8"/>
      <c r="Q826" s="8"/>
      <c r="R826" s="8"/>
      <c r="S826" s="8"/>
      <c r="T826" s="8"/>
      <c r="U826" s="8"/>
      <c r="V826" s="8"/>
      <c r="W826" s="8"/>
      <c r="X826" s="8"/>
      <c r="Y826" s="8"/>
      <c r="Z826" s="8"/>
      <c r="AA826" s="8"/>
      <c r="AB826" s="8"/>
      <c r="AD826" s="8"/>
      <c r="AE826" s="8"/>
      <c r="AF826" s="8"/>
      <c r="AG826" s="8"/>
      <c r="AH826" s="8"/>
      <c r="AI826" s="8"/>
      <c r="AJ826" s="8"/>
      <c r="AK826" s="8"/>
      <c r="AL826" s="8"/>
      <c r="AM826" s="8"/>
      <c r="AN826" s="8"/>
      <c r="AO826" s="8"/>
    </row>
    <row r="827" spans="7:41" x14ac:dyDescent="0.2">
      <c r="G827" s="8"/>
      <c r="H827" s="8"/>
      <c r="I827" s="8"/>
      <c r="J827" s="8"/>
      <c r="K827" s="8"/>
      <c r="L827" s="8"/>
      <c r="M827" s="8"/>
      <c r="N827" s="8"/>
      <c r="O827" s="8"/>
      <c r="Q827" s="8"/>
      <c r="R827" s="8"/>
      <c r="S827" s="8"/>
      <c r="T827" s="8"/>
      <c r="U827" s="8"/>
      <c r="V827" s="8"/>
      <c r="W827" s="8"/>
      <c r="X827" s="8"/>
      <c r="Y827" s="8"/>
      <c r="Z827" s="8"/>
      <c r="AA827" s="8"/>
      <c r="AB827" s="8"/>
      <c r="AD827" s="8"/>
      <c r="AE827" s="8"/>
      <c r="AF827" s="8"/>
      <c r="AG827" s="8"/>
      <c r="AH827" s="8"/>
      <c r="AI827" s="8"/>
      <c r="AJ827" s="8"/>
      <c r="AK827" s="8"/>
      <c r="AL827" s="8"/>
      <c r="AM827" s="8"/>
      <c r="AN827" s="8"/>
      <c r="AO827" s="8"/>
    </row>
    <row r="828" spans="7:41" x14ac:dyDescent="0.2">
      <c r="G828" s="8"/>
      <c r="H828" s="8"/>
      <c r="I828" s="8"/>
      <c r="J828" s="8"/>
      <c r="K828" s="8"/>
      <c r="L828" s="8"/>
      <c r="M828" s="8"/>
      <c r="N828" s="8"/>
      <c r="O828" s="8"/>
      <c r="Q828" s="8"/>
      <c r="R828" s="8"/>
      <c r="S828" s="8"/>
      <c r="T828" s="8"/>
      <c r="U828" s="8"/>
      <c r="V828" s="8"/>
      <c r="W828" s="8"/>
      <c r="X828" s="8"/>
      <c r="Y828" s="8"/>
      <c r="Z828" s="8"/>
      <c r="AA828" s="8"/>
      <c r="AB828" s="8"/>
      <c r="AD828" s="8"/>
      <c r="AE828" s="8"/>
      <c r="AF828" s="8"/>
      <c r="AG828" s="8"/>
      <c r="AH828" s="8"/>
      <c r="AI828" s="8"/>
      <c r="AJ828" s="8"/>
      <c r="AK828" s="8"/>
      <c r="AL828" s="8"/>
      <c r="AM828" s="8"/>
      <c r="AN828" s="8"/>
      <c r="AO828" s="8"/>
    </row>
    <row r="829" spans="7:41" x14ac:dyDescent="0.2">
      <c r="G829" s="8"/>
      <c r="H829" s="8"/>
      <c r="I829" s="8"/>
      <c r="J829" s="8"/>
      <c r="K829" s="8"/>
      <c r="L829" s="8"/>
      <c r="M829" s="8"/>
      <c r="N829" s="8"/>
      <c r="O829" s="8"/>
      <c r="Q829" s="8"/>
      <c r="R829" s="8"/>
      <c r="S829" s="8"/>
      <c r="T829" s="8"/>
      <c r="U829" s="8"/>
      <c r="V829" s="8"/>
      <c r="W829" s="8"/>
      <c r="X829" s="8"/>
      <c r="Y829" s="8"/>
      <c r="Z829" s="8"/>
      <c r="AA829" s="8"/>
      <c r="AB829" s="8"/>
      <c r="AD829" s="8"/>
      <c r="AE829" s="8"/>
      <c r="AF829" s="8"/>
      <c r="AG829" s="8"/>
      <c r="AH829" s="8"/>
      <c r="AI829" s="8"/>
      <c r="AJ829" s="8"/>
      <c r="AK829" s="8"/>
      <c r="AL829" s="8"/>
      <c r="AM829" s="8"/>
      <c r="AN829" s="8"/>
      <c r="AO829" s="8"/>
    </row>
    <row r="830" spans="7:41" x14ac:dyDescent="0.2">
      <c r="G830" s="8"/>
      <c r="H830" s="8"/>
      <c r="I830" s="8"/>
      <c r="J830" s="8"/>
      <c r="K830" s="8"/>
      <c r="L830" s="8"/>
      <c r="M830" s="8"/>
      <c r="N830" s="8"/>
      <c r="O830" s="8"/>
      <c r="Q830" s="8"/>
      <c r="R830" s="8"/>
      <c r="S830" s="8"/>
      <c r="T830" s="8"/>
      <c r="U830" s="8"/>
      <c r="V830" s="8"/>
      <c r="W830" s="8"/>
      <c r="X830" s="8"/>
      <c r="Y830" s="8"/>
      <c r="Z830" s="8"/>
      <c r="AA830" s="8"/>
      <c r="AB830" s="8"/>
      <c r="AD830" s="8"/>
      <c r="AE830" s="8"/>
      <c r="AF830" s="8"/>
      <c r="AG830" s="8"/>
      <c r="AH830" s="8"/>
      <c r="AI830" s="8"/>
      <c r="AJ830" s="8"/>
      <c r="AK830" s="8"/>
      <c r="AL830" s="8"/>
      <c r="AM830" s="8"/>
      <c r="AN830" s="8"/>
      <c r="AO830" s="8"/>
    </row>
    <row r="831" spans="7:41" x14ac:dyDescent="0.2">
      <c r="G831" s="8"/>
      <c r="H831" s="8"/>
      <c r="I831" s="8"/>
      <c r="J831" s="8"/>
      <c r="K831" s="8"/>
      <c r="L831" s="8"/>
      <c r="M831" s="8"/>
      <c r="N831" s="8"/>
      <c r="O831" s="8"/>
      <c r="Q831" s="8"/>
      <c r="R831" s="8"/>
      <c r="S831" s="8"/>
      <c r="T831" s="8"/>
      <c r="U831" s="8"/>
      <c r="V831" s="8"/>
      <c r="W831" s="8"/>
      <c r="X831" s="8"/>
      <c r="Y831" s="8"/>
      <c r="Z831" s="8"/>
      <c r="AA831" s="8"/>
      <c r="AB831" s="8"/>
      <c r="AD831" s="8"/>
      <c r="AE831" s="8"/>
      <c r="AF831" s="8"/>
      <c r="AG831" s="8"/>
      <c r="AH831" s="8"/>
      <c r="AI831" s="8"/>
      <c r="AJ831" s="8"/>
      <c r="AK831" s="8"/>
      <c r="AL831" s="8"/>
      <c r="AM831" s="8"/>
      <c r="AN831" s="8"/>
      <c r="AO831" s="8"/>
    </row>
    <row r="832" spans="7:41" x14ac:dyDescent="0.2">
      <c r="G832" s="8"/>
      <c r="H832" s="8"/>
      <c r="I832" s="8"/>
      <c r="J832" s="8"/>
      <c r="K832" s="8"/>
      <c r="L832" s="8"/>
      <c r="M832" s="8"/>
      <c r="N832" s="8"/>
      <c r="O832" s="8"/>
      <c r="Q832" s="8"/>
      <c r="R832" s="8"/>
      <c r="S832" s="8"/>
      <c r="T832" s="8"/>
      <c r="U832" s="8"/>
      <c r="V832" s="8"/>
      <c r="W832" s="8"/>
      <c r="X832" s="8"/>
      <c r="Y832" s="8"/>
      <c r="Z832" s="8"/>
      <c r="AA832" s="8"/>
      <c r="AB832" s="8"/>
      <c r="AD832" s="8"/>
      <c r="AE832" s="8"/>
      <c r="AF832" s="8"/>
      <c r="AG832" s="8"/>
      <c r="AH832" s="8"/>
      <c r="AI832" s="8"/>
      <c r="AJ832" s="8"/>
      <c r="AK832" s="8"/>
      <c r="AL832" s="8"/>
      <c r="AM832" s="8"/>
      <c r="AN832" s="8"/>
      <c r="AO832" s="8"/>
    </row>
    <row r="833" spans="7:41" x14ac:dyDescent="0.2">
      <c r="G833" s="8"/>
      <c r="H833" s="8"/>
      <c r="I833" s="8"/>
      <c r="J833" s="8"/>
      <c r="K833" s="8"/>
      <c r="L833" s="8"/>
      <c r="M833" s="8"/>
      <c r="N833" s="8"/>
      <c r="O833" s="8"/>
      <c r="Q833" s="8"/>
      <c r="R833" s="8"/>
      <c r="S833" s="8"/>
      <c r="T833" s="8"/>
      <c r="U833" s="8"/>
      <c r="V833" s="8"/>
      <c r="W833" s="8"/>
      <c r="X833" s="8"/>
      <c r="Y833" s="8"/>
      <c r="Z833" s="8"/>
      <c r="AA833" s="8"/>
      <c r="AB833" s="8"/>
      <c r="AD833" s="8"/>
      <c r="AE833" s="8"/>
      <c r="AF833" s="8"/>
      <c r="AG833" s="8"/>
      <c r="AH833" s="8"/>
      <c r="AI833" s="8"/>
      <c r="AJ833" s="8"/>
      <c r="AK833" s="8"/>
      <c r="AL833" s="8"/>
      <c r="AM833" s="8"/>
      <c r="AN833" s="8"/>
      <c r="AO833" s="8"/>
    </row>
    <row r="834" spans="7:41" x14ac:dyDescent="0.2">
      <c r="G834" s="8"/>
      <c r="H834" s="8"/>
      <c r="I834" s="8"/>
      <c r="J834" s="8"/>
      <c r="K834" s="8"/>
      <c r="L834" s="8"/>
      <c r="M834" s="8"/>
      <c r="N834" s="8"/>
      <c r="O834" s="8"/>
      <c r="Q834" s="8"/>
      <c r="R834" s="8"/>
      <c r="S834" s="8"/>
      <c r="T834" s="8"/>
      <c r="U834" s="8"/>
      <c r="V834" s="8"/>
      <c r="W834" s="8"/>
      <c r="X834" s="8"/>
      <c r="Y834" s="8"/>
      <c r="Z834" s="8"/>
      <c r="AA834" s="8"/>
      <c r="AB834" s="8"/>
      <c r="AD834" s="8"/>
      <c r="AE834" s="8"/>
      <c r="AF834" s="8"/>
      <c r="AG834" s="8"/>
      <c r="AH834" s="8"/>
      <c r="AI834" s="8"/>
      <c r="AJ834" s="8"/>
      <c r="AK834" s="8"/>
      <c r="AL834" s="8"/>
      <c r="AM834" s="8"/>
      <c r="AN834" s="8"/>
      <c r="AO834" s="8"/>
    </row>
    <row r="835" spans="7:41" x14ac:dyDescent="0.2">
      <c r="G835" s="8"/>
      <c r="H835" s="8"/>
      <c r="I835" s="8"/>
      <c r="J835" s="8"/>
      <c r="K835" s="8"/>
      <c r="L835" s="8"/>
      <c r="M835" s="8"/>
      <c r="N835" s="8"/>
      <c r="O835" s="8"/>
      <c r="Q835" s="8"/>
      <c r="R835" s="8"/>
      <c r="S835" s="8"/>
      <c r="T835" s="8"/>
      <c r="U835" s="8"/>
      <c r="V835" s="8"/>
      <c r="W835" s="8"/>
      <c r="X835" s="8"/>
      <c r="Y835" s="8"/>
      <c r="Z835" s="8"/>
      <c r="AA835" s="8"/>
      <c r="AB835" s="8"/>
      <c r="AD835" s="8"/>
      <c r="AE835" s="8"/>
      <c r="AF835" s="8"/>
      <c r="AG835" s="8"/>
      <c r="AH835" s="8"/>
      <c r="AI835" s="8"/>
      <c r="AJ835" s="8"/>
      <c r="AK835" s="8"/>
      <c r="AL835" s="8"/>
      <c r="AM835" s="8"/>
      <c r="AN835" s="8"/>
      <c r="AO835" s="8"/>
    </row>
    <row r="836" spans="7:41" x14ac:dyDescent="0.2">
      <c r="G836" s="8"/>
      <c r="H836" s="8"/>
      <c r="I836" s="8"/>
      <c r="J836" s="8"/>
      <c r="K836" s="8"/>
      <c r="L836" s="8"/>
      <c r="M836" s="8"/>
      <c r="N836" s="8"/>
      <c r="O836" s="8"/>
      <c r="Q836" s="8"/>
      <c r="R836" s="8"/>
      <c r="S836" s="8"/>
      <c r="T836" s="8"/>
      <c r="U836" s="8"/>
      <c r="V836" s="8"/>
      <c r="W836" s="8"/>
      <c r="X836" s="8"/>
      <c r="Y836" s="8"/>
      <c r="Z836" s="8"/>
      <c r="AA836" s="8"/>
      <c r="AB836" s="8"/>
      <c r="AD836" s="8"/>
      <c r="AE836" s="8"/>
      <c r="AF836" s="8"/>
      <c r="AG836" s="8"/>
      <c r="AH836" s="8"/>
      <c r="AI836" s="8"/>
      <c r="AJ836" s="8"/>
      <c r="AK836" s="8"/>
      <c r="AL836" s="8"/>
      <c r="AM836" s="8"/>
      <c r="AN836" s="8"/>
      <c r="AO836" s="8"/>
    </row>
    <row r="837" spans="7:41" x14ac:dyDescent="0.2">
      <c r="G837" s="8"/>
      <c r="H837" s="8"/>
      <c r="I837" s="8"/>
      <c r="J837" s="8"/>
      <c r="K837" s="8"/>
      <c r="L837" s="8"/>
      <c r="M837" s="8"/>
      <c r="N837" s="8"/>
      <c r="O837" s="8"/>
      <c r="Q837" s="8"/>
      <c r="R837" s="8"/>
      <c r="S837" s="8"/>
      <c r="T837" s="8"/>
      <c r="U837" s="8"/>
      <c r="V837" s="8"/>
      <c r="W837" s="8"/>
      <c r="X837" s="8"/>
      <c r="Y837" s="8"/>
      <c r="Z837" s="8"/>
      <c r="AA837" s="8"/>
      <c r="AB837" s="8"/>
      <c r="AD837" s="8"/>
      <c r="AE837" s="8"/>
      <c r="AF837" s="8"/>
      <c r="AG837" s="8"/>
      <c r="AH837" s="8"/>
      <c r="AI837" s="8"/>
      <c r="AJ837" s="8"/>
      <c r="AK837" s="8"/>
      <c r="AL837" s="8"/>
      <c r="AM837" s="8"/>
      <c r="AN837" s="8"/>
      <c r="AO837" s="8"/>
    </row>
    <row r="838" spans="7:41" x14ac:dyDescent="0.2">
      <c r="G838" s="8"/>
      <c r="H838" s="8"/>
      <c r="I838" s="8"/>
      <c r="J838" s="8"/>
      <c r="K838" s="8"/>
      <c r="L838" s="8"/>
      <c r="M838" s="8"/>
      <c r="N838" s="8"/>
      <c r="O838" s="8"/>
      <c r="Q838" s="8"/>
      <c r="R838" s="8"/>
      <c r="S838" s="8"/>
      <c r="T838" s="8"/>
      <c r="U838" s="8"/>
      <c r="V838" s="8"/>
      <c r="W838" s="8"/>
      <c r="X838" s="8"/>
      <c r="Y838" s="8"/>
      <c r="Z838" s="8"/>
      <c r="AA838" s="8"/>
      <c r="AB838" s="8"/>
      <c r="AD838" s="8"/>
      <c r="AE838" s="8"/>
      <c r="AF838" s="8"/>
      <c r="AG838" s="8"/>
      <c r="AH838" s="8"/>
      <c r="AI838" s="8"/>
      <c r="AJ838" s="8"/>
      <c r="AK838" s="8"/>
      <c r="AL838" s="8"/>
      <c r="AM838" s="8"/>
      <c r="AN838" s="8"/>
      <c r="AO838" s="8"/>
    </row>
    <row r="839" spans="7:41" x14ac:dyDescent="0.2">
      <c r="G839" s="8"/>
      <c r="H839" s="8"/>
      <c r="I839" s="8"/>
      <c r="J839" s="8"/>
      <c r="K839" s="8"/>
      <c r="L839" s="8"/>
      <c r="M839" s="8"/>
      <c r="N839" s="8"/>
      <c r="O839" s="8"/>
      <c r="Q839" s="8"/>
      <c r="R839" s="8"/>
      <c r="S839" s="8"/>
      <c r="T839" s="8"/>
      <c r="U839" s="8"/>
      <c r="V839" s="8"/>
      <c r="W839" s="8"/>
      <c r="X839" s="8"/>
      <c r="Y839" s="8"/>
      <c r="Z839" s="8"/>
      <c r="AA839" s="8"/>
      <c r="AB839" s="8"/>
      <c r="AD839" s="8"/>
      <c r="AE839" s="8"/>
      <c r="AF839" s="8"/>
      <c r="AG839" s="8"/>
      <c r="AH839" s="8"/>
      <c r="AI839" s="8"/>
      <c r="AJ839" s="8"/>
      <c r="AK839" s="8"/>
      <c r="AL839" s="8"/>
      <c r="AM839" s="8"/>
      <c r="AN839" s="8"/>
      <c r="AO839" s="8"/>
    </row>
    <row r="840" spans="7:41" x14ac:dyDescent="0.2">
      <c r="G840" s="8"/>
      <c r="H840" s="8"/>
      <c r="I840" s="8"/>
      <c r="J840" s="8"/>
      <c r="K840" s="8"/>
      <c r="L840" s="8"/>
      <c r="M840" s="8"/>
      <c r="N840" s="8"/>
      <c r="O840" s="8"/>
      <c r="Q840" s="8"/>
      <c r="R840" s="8"/>
      <c r="S840" s="8"/>
      <c r="T840" s="8"/>
      <c r="U840" s="8"/>
      <c r="V840" s="8"/>
      <c r="W840" s="8"/>
      <c r="X840" s="8"/>
      <c r="Y840" s="8"/>
      <c r="Z840" s="8"/>
      <c r="AA840" s="8"/>
      <c r="AB840" s="8"/>
      <c r="AD840" s="8"/>
      <c r="AE840" s="8"/>
      <c r="AF840" s="8"/>
      <c r="AG840" s="8"/>
      <c r="AH840" s="8"/>
      <c r="AI840" s="8"/>
      <c r="AJ840" s="8"/>
      <c r="AK840" s="8"/>
      <c r="AL840" s="8"/>
      <c r="AM840" s="8"/>
      <c r="AN840" s="8"/>
      <c r="AO840" s="8"/>
    </row>
    <row r="841" spans="7:41" x14ac:dyDescent="0.2">
      <c r="G841" s="8"/>
      <c r="H841" s="8"/>
      <c r="I841" s="8"/>
      <c r="J841" s="8"/>
      <c r="K841" s="8"/>
      <c r="L841" s="8"/>
      <c r="M841" s="8"/>
      <c r="N841" s="8"/>
      <c r="O841" s="8"/>
      <c r="Q841" s="8"/>
      <c r="R841" s="8"/>
      <c r="S841" s="8"/>
      <c r="T841" s="8"/>
      <c r="U841" s="8"/>
      <c r="V841" s="8"/>
      <c r="W841" s="8"/>
      <c r="X841" s="8"/>
      <c r="Y841" s="8"/>
      <c r="Z841" s="8"/>
      <c r="AA841" s="8"/>
      <c r="AB841" s="8"/>
      <c r="AD841" s="8"/>
      <c r="AE841" s="8"/>
      <c r="AF841" s="8"/>
      <c r="AG841" s="8"/>
      <c r="AH841" s="8"/>
      <c r="AI841" s="8"/>
      <c r="AJ841" s="8"/>
      <c r="AK841" s="8"/>
      <c r="AL841" s="8"/>
      <c r="AM841" s="8"/>
      <c r="AN841" s="8"/>
      <c r="AO841" s="8"/>
    </row>
    <row r="842" spans="7:41" x14ac:dyDescent="0.2">
      <c r="G842" s="8"/>
      <c r="H842" s="8"/>
      <c r="I842" s="8"/>
      <c r="J842" s="8"/>
      <c r="K842" s="8"/>
      <c r="L842" s="8"/>
      <c r="M842" s="8"/>
      <c r="N842" s="8"/>
      <c r="O842" s="8"/>
      <c r="Q842" s="8"/>
      <c r="R842" s="8"/>
      <c r="S842" s="8"/>
      <c r="T842" s="8"/>
      <c r="U842" s="8"/>
      <c r="V842" s="8"/>
      <c r="W842" s="8"/>
      <c r="X842" s="8"/>
      <c r="Y842" s="8"/>
      <c r="Z842" s="8"/>
      <c r="AA842" s="8"/>
      <c r="AB842" s="8"/>
      <c r="AD842" s="8"/>
      <c r="AE842" s="8"/>
      <c r="AF842" s="8"/>
      <c r="AG842" s="8"/>
      <c r="AH842" s="8"/>
      <c r="AI842" s="8"/>
      <c r="AJ842" s="8"/>
      <c r="AK842" s="8"/>
      <c r="AL842" s="8"/>
      <c r="AM842" s="8"/>
      <c r="AN842" s="8"/>
      <c r="AO842" s="8"/>
    </row>
    <row r="843" spans="7:41" x14ac:dyDescent="0.2">
      <c r="G843" s="8"/>
      <c r="H843" s="8"/>
      <c r="I843" s="8"/>
      <c r="J843" s="8"/>
      <c r="K843" s="8"/>
      <c r="L843" s="8"/>
      <c r="M843" s="8"/>
      <c r="N843" s="8"/>
      <c r="O843" s="8"/>
      <c r="Q843" s="8"/>
      <c r="R843" s="8"/>
      <c r="S843" s="8"/>
      <c r="T843" s="8"/>
      <c r="U843" s="8"/>
      <c r="V843" s="8"/>
      <c r="W843" s="8"/>
      <c r="X843" s="8"/>
      <c r="Y843" s="8"/>
      <c r="Z843" s="8"/>
      <c r="AA843" s="8"/>
      <c r="AB843" s="8"/>
      <c r="AD843" s="8"/>
      <c r="AE843" s="8"/>
      <c r="AF843" s="8"/>
      <c r="AG843" s="8"/>
      <c r="AH843" s="8"/>
      <c r="AI843" s="8"/>
      <c r="AJ843" s="8"/>
      <c r="AK843" s="8"/>
      <c r="AL843" s="8"/>
      <c r="AM843" s="8"/>
      <c r="AN843" s="8"/>
      <c r="AO843" s="8"/>
    </row>
    <row r="844" spans="7:41" x14ac:dyDescent="0.2">
      <c r="G844" s="8"/>
      <c r="H844" s="8"/>
      <c r="I844" s="8"/>
      <c r="J844" s="8"/>
      <c r="K844" s="8"/>
      <c r="L844" s="8"/>
      <c r="M844" s="8"/>
      <c r="N844" s="8"/>
      <c r="O844" s="8"/>
      <c r="Q844" s="8"/>
      <c r="R844" s="8"/>
      <c r="S844" s="8"/>
      <c r="T844" s="8"/>
      <c r="U844" s="8"/>
      <c r="V844" s="8"/>
      <c r="W844" s="8"/>
      <c r="X844" s="8"/>
      <c r="Y844" s="8"/>
      <c r="Z844" s="8"/>
      <c r="AA844" s="8"/>
      <c r="AB844" s="8"/>
      <c r="AD844" s="8"/>
      <c r="AE844" s="8"/>
      <c r="AF844" s="8"/>
      <c r="AG844" s="8"/>
      <c r="AH844" s="8"/>
      <c r="AI844" s="8"/>
      <c r="AJ844" s="8"/>
      <c r="AK844" s="8"/>
      <c r="AL844" s="8"/>
      <c r="AM844" s="8"/>
      <c r="AN844" s="8"/>
      <c r="AO844" s="8"/>
    </row>
    <row r="845" spans="7:41" x14ac:dyDescent="0.2">
      <c r="G845" s="8"/>
      <c r="H845" s="8"/>
      <c r="I845" s="8"/>
      <c r="J845" s="8"/>
      <c r="K845" s="8"/>
      <c r="L845" s="8"/>
      <c r="M845" s="8"/>
      <c r="N845" s="8"/>
      <c r="O845" s="8"/>
      <c r="Q845" s="8"/>
      <c r="R845" s="8"/>
      <c r="S845" s="8"/>
      <c r="T845" s="8"/>
      <c r="U845" s="8"/>
      <c r="V845" s="8"/>
      <c r="W845" s="8"/>
      <c r="X845" s="8"/>
      <c r="Y845" s="8"/>
      <c r="Z845" s="8"/>
      <c r="AA845" s="8"/>
      <c r="AB845" s="8"/>
      <c r="AD845" s="8"/>
      <c r="AE845" s="8"/>
      <c r="AF845" s="8"/>
      <c r="AG845" s="8"/>
      <c r="AH845" s="8"/>
      <c r="AI845" s="8"/>
      <c r="AJ845" s="8"/>
      <c r="AK845" s="8"/>
      <c r="AL845" s="8"/>
      <c r="AM845" s="8"/>
      <c r="AN845" s="8"/>
      <c r="AO845" s="8"/>
    </row>
    <row r="846" spans="7:41" x14ac:dyDescent="0.2">
      <c r="G846" s="8"/>
      <c r="H846" s="8"/>
      <c r="I846" s="8"/>
      <c r="J846" s="8"/>
      <c r="K846" s="8"/>
      <c r="L846" s="8"/>
      <c r="M846" s="8"/>
      <c r="N846" s="8"/>
      <c r="O846" s="8"/>
      <c r="Q846" s="8"/>
      <c r="R846" s="8"/>
      <c r="S846" s="8"/>
      <c r="T846" s="8"/>
      <c r="U846" s="8"/>
      <c r="V846" s="8"/>
      <c r="W846" s="8"/>
      <c r="X846" s="8"/>
      <c r="Y846" s="8"/>
      <c r="Z846" s="8"/>
      <c r="AA846" s="8"/>
      <c r="AB846" s="8"/>
      <c r="AD846" s="8"/>
      <c r="AE846" s="8"/>
      <c r="AF846" s="8"/>
      <c r="AG846" s="8"/>
      <c r="AH846" s="8"/>
      <c r="AI846" s="8"/>
      <c r="AJ846" s="8"/>
      <c r="AK846" s="8"/>
      <c r="AL846" s="8"/>
      <c r="AM846" s="8"/>
      <c r="AN846" s="8"/>
      <c r="AO846" s="8"/>
    </row>
    <row r="847" spans="7:41" x14ac:dyDescent="0.2">
      <c r="G847" s="8"/>
      <c r="H847" s="8"/>
      <c r="I847" s="8"/>
      <c r="J847" s="8"/>
      <c r="K847" s="8"/>
      <c r="L847" s="8"/>
      <c r="M847" s="8"/>
      <c r="N847" s="8"/>
      <c r="O847" s="8"/>
      <c r="Q847" s="8"/>
      <c r="R847" s="8"/>
      <c r="S847" s="8"/>
      <c r="T847" s="8"/>
      <c r="U847" s="8"/>
      <c r="V847" s="8"/>
      <c r="W847" s="8"/>
      <c r="X847" s="8"/>
      <c r="Y847" s="8"/>
      <c r="Z847" s="8"/>
      <c r="AA847" s="8"/>
      <c r="AB847" s="8"/>
      <c r="AD847" s="8"/>
      <c r="AE847" s="8"/>
      <c r="AF847" s="8"/>
      <c r="AG847" s="8"/>
      <c r="AH847" s="8"/>
      <c r="AI847" s="8"/>
      <c r="AJ847" s="8"/>
      <c r="AK847" s="8"/>
      <c r="AL847" s="8"/>
      <c r="AM847" s="8"/>
      <c r="AN847" s="8"/>
      <c r="AO847" s="8"/>
    </row>
    <row r="848" spans="7:41" x14ac:dyDescent="0.2">
      <c r="G848" s="8"/>
      <c r="H848" s="8"/>
      <c r="I848" s="8"/>
      <c r="J848" s="8"/>
      <c r="K848" s="8"/>
      <c r="L848" s="8"/>
      <c r="M848" s="8"/>
      <c r="N848" s="8"/>
      <c r="O848" s="8"/>
      <c r="Q848" s="8"/>
      <c r="R848" s="8"/>
      <c r="S848" s="8"/>
      <c r="T848" s="8"/>
      <c r="U848" s="8"/>
      <c r="V848" s="8"/>
      <c r="W848" s="8"/>
      <c r="X848" s="8"/>
      <c r="Y848" s="8"/>
      <c r="Z848" s="8"/>
      <c r="AA848" s="8"/>
      <c r="AB848" s="8"/>
      <c r="AD848" s="8"/>
      <c r="AE848" s="8"/>
      <c r="AF848" s="8"/>
      <c r="AG848" s="8"/>
      <c r="AH848" s="8"/>
      <c r="AI848" s="8"/>
      <c r="AJ848" s="8"/>
      <c r="AK848" s="8"/>
      <c r="AL848" s="8"/>
      <c r="AM848" s="8"/>
      <c r="AN848" s="8"/>
      <c r="AO848" s="8"/>
    </row>
    <row r="849" spans="7:41" x14ac:dyDescent="0.2">
      <c r="G849" s="8"/>
      <c r="H849" s="8"/>
      <c r="I849" s="8"/>
      <c r="J849" s="8"/>
      <c r="K849" s="8"/>
      <c r="L849" s="8"/>
      <c r="M849" s="8"/>
      <c r="N849" s="8"/>
      <c r="O849" s="8"/>
      <c r="Q849" s="8"/>
      <c r="R849" s="8"/>
      <c r="S849" s="8"/>
      <c r="T849" s="8"/>
      <c r="U849" s="8"/>
      <c r="V849" s="8"/>
      <c r="W849" s="8"/>
      <c r="X849" s="8"/>
      <c r="Y849" s="8"/>
      <c r="Z849" s="8"/>
      <c r="AA849" s="8"/>
      <c r="AB849" s="8"/>
      <c r="AD849" s="8"/>
      <c r="AE849" s="8"/>
      <c r="AF849" s="8"/>
      <c r="AG849" s="8"/>
      <c r="AH849" s="8"/>
      <c r="AI849" s="8"/>
      <c r="AJ849" s="8"/>
      <c r="AK849" s="8"/>
      <c r="AL849" s="8"/>
      <c r="AM849" s="8"/>
      <c r="AN849" s="8"/>
      <c r="AO849" s="8"/>
    </row>
    <row r="850" spans="7:41" x14ac:dyDescent="0.2">
      <c r="G850" s="8"/>
      <c r="H850" s="8"/>
      <c r="I850" s="8"/>
      <c r="J850" s="8"/>
      <c r="K850" s="8"/>
      <c r="L850" s="8"/>
      <c r="M850" s="8"/>
      <c r="N850" s="8"/>
      <c r="O850" s="8"/>
      <c r="Q850" s="8"/>
      <c r="R850" s="8"/>
      <c r="S850" s="8"/>
      <c r="T850" s="8"/>
      <c r="U850" s="8"/>
      <c r="V850" s="8"/>
      <c r="W850" s="8"/>
      <c r="X850" s="8"/>
      <c r="Y850" s="8"/>
      <c r="Z850" s="8"/>
      <c r="AA850" s="8"/>
      <c r="AB850" s="8"/>
      <c r="AD850" s="8"/>
      <c r="AE850" s="8"/>
      <c r="AF850" s="8"/>
      <c r="AG850" s="8"/>
      <c r="AH850" s="8"/>
      <c r="AI850" s="8"/>
      <c r="AJ850" s="8"/>
      <c r="AK850" s="8"/>
      <c r="AL850" s="8"/>
      <c r="AM850" s="8"/>
      <c r="AN850" s="8"/>
      <c r="AO850" s="8"/>
    </row>
    <row r="851" spans="7:41" x14ac:dyDescent="0.2">
      <c r="G851" s="8"/>
      <c r="H851" s="8"/>
      <c r="I851" s="8"/>
      <c r="J851" s="8"/>
      <c r="K851" s="8"/>
      <c r="L851" s="8"/>
      <c r="M851" s="8"/>
      <c r="N851" s="8"/>
      <c r="O851" s="8"/>
      <c r="Q851" s="8"/>
      <c r="R851" s="8"/>
      <c r="S851" s="8"/>
      <c r="T851" s="8"/>
      <c r="U851" s="8"/>
      <c r="V851" s="8"/>
      <c r="W851" s="8"/>
      <c r="X851" s="8"/>
      <c r="Y851" s="8"/>
      <c r="Z851" s="8"/>
      <c r="AA851" s="8"/>
      <c r="AB851" s="8"/>
      <c r="AD851" s="8"/>
      <c r="AE851" s="8"/>
      <c r="AF851" s="8"/>
      <c r="AG851" s="8"/>
      <c r="AH851" s="8"/>
      <c r="AI851" s="8"/>
      <c r="AJ851" s="8"/>
      <c r="AK851" s="8"/>
      <c r="AL851" s="8"/>
      <c r="AM851" s="8"/>
      <c r="AN851" s="8"/>
      <c r="AO851" s="8"/>
    </row>
    <row r="852" spans="7:41" x14ac:dyDescent="0.2">
      <c r="G852" s="8"/>
      <c r="H852" s="8"/>
      <c r="I852" s="8"/>
      <c r="J852" s="8"/>
      <c r="K852" s="8"/>
      <c r="L852" s="8"/>
      <c r="M852" s="8"/>
      <c r="N852" s="8"/>
      <c r="O852" s="8"/>
      <c r="Q852" s="8"/>
      <c r="R852" s="8"/>
      <c r="S852" s="8"/>
      <c r="T852" s="8"/>
      <c r="U852" s="8"/>
      <c r="V852" s="8"/>
      <c r="W852" s="8"/>
      <c r="X852" s="8"/>
      <c r="Y852" s="8"/>
      <c r="Z852" s="8"/>
      <c r="AA852" s="8"/>
      <c r="AB852" s="8"/>
      <c r="AD852" s="8"/>
      <c r="AE852" s="8"/>
      <c r="AF852" s="8"/>
      <c r="AG852" s="8"/>
      <c r="AH852" s="8"/>
      <c r="AI852" s="8"/>
      <c r="AJ852" s="8"/>
      <c r="AK852" s="8"/>
      <c r="AL852" s="8"/>
      <c r="AM852" s="8"/>
      <c r="AN852" s="8"/>
      <c r="AO852" s="8"/>
    </row>
    <row r="853" spans="7:41" x14ac:dyDescent="0.2">
      <c r="G853" s="8"/>
      <c r="H853" s="8"/>
      <c r="I853" s="8"/>
      <c r="J853" s="8"/>
      <c r="K853" s="8"/>
      <c r="L853" s="8"/>
      <c r="M853" s="8"/>
      <c r="N853" s="8"/>
      <c r="O853" s="8"/>
      <c r="Q853" s="8"/>
      <c r="R853" s="8"/>
      <c r="S853" s="8"/>
      <c r="T853" s="8"/>
      <c r="U853" s="8"/>
      <c r="V853" s="8"/>
      <c r="W853" s="8"/>
      <c r="X853" s="8"/>
      <c r="Y853" s="8"/>
      <c r="Z853" s="8"/>
      <c r="AA853" s="8"/>
      <c r="AB853" s="8"/>
      <c r="AD853" s="8"/>
      <c r="AE853" s="8"/>
      <c r="AF853" s="8"/>
      <c r="AG853" s="8"/>
      <c r="AH853" s="8"/>
      <c r="AI853" s="8"/>
      <c r="AJ853" s="8"/>
      <c r="AK853" s="8"/>
      <c r="AL853" s="8"/>
      <c r="AM853" s="8"/>
      <c r="AN853" s="8"/>
      <c r="AO853" s="8"/>
    </row>
    <row r="854" spans="7:41" x14ac:dyDescent="0.2">
      <c r="G854" s="8"/>
      <c r="H854" s="8"/>
      <c r="I854" s="8"/>
      <c r="J854" s="8"/>
      <c r="K854" s="8"/>
      <c r="L854" s="8"/>
      <c r="M854" s="8"/>
      <c r="N854" s="8"/>
      <c r="O854" s="8"/>
      <c r="Q854" s="8"/>
      <c r="R854" s="8"/>
      <c r="S854" s="8"/>
      <c r="T854" s="8"/>
      <c r="U854" s="8"/>
      <c r="V854" s="8"/>
      <c r="W854" s="8"/>
      <c r="X854" s="8"/>
      <c r="Y854" s="8"/>
      <c r="Z854" s="8"/>
      <c r="AA854" s="8"/>
      <c r="AB854" s="8"/>
      <c r="AD854" s="8"/>
      <c r="AE854" s="8"/>
      <c r="AF854" s="8"/>
      <c r="AG854" s="8"/>
      <c r="AH854" s="8"/>
      <c r="AI854" s="8"/>
      <c r="AJ854" s="8"/>
      <c r="AK854" s="8"/>
      <c r="AL854" s="8"/>
      <c r="AM854" s="8"/>
      <c r="AN854" s="8"/>
      <c r="AO854" s="8"/>
    </row>
    <row r="855" spans="7:41" x14ac:dyDescent="0.2">
      <c r="G855" s="8"/>
      <c r="H855" s="8"/>
      <c r="I855" s="8"/>
      <c r="J855" s="8"/>
      <c r="K855" s="8"/>
      <c r="L855" s="8"/>
      <c r="M855" s="8"/>
      <c r="N855" s="8"/>
      <c r="O855" s="8"/>
      <c r="Q855" s="8"/>
      <c r="R855" s="8"/>
      <c r="S855" s="8"/>
      <c r="T855" s="8"/>
      <c r="U855" s="8"/>
      <c r="V855" s="8"/>
      <c r="W855" s="8"/>
      <c r="X855" s="8"/>
      <c r="Y855" s="8"/>
      <c r="Z855" s="8"/>
      <c r="AA855" s="8"/>
      <c r="AB855" s="8"/>
      <c r="AD855" s="8"/>
      <c r="AE855" s="8"/>
      <c r="AF855" s="8"/>
      <c r="AG855" s="8"/>
      <c r="AH855" s="8"/>
      <c r="AI855" s="8"/>
      <c r="AJ855" s="8"/>
      <c r="AK855" s="8"/>
      <c r="AL855" s="8"/>
      <c r="AM855" s="8"/>
      <c r="AN855" s="8"/>
      <c r="AO855" s="8"/>
    </row>
    <row r="856" spans="7:41" x14ac:dyDescent="0.2">
      <c r="G856" s="8"/>
      <c r="H856" s="8"/>
      <c r="I856" s="8"/>
      <c r="J856" s="8"/>
      <c r="K856" s="8"/>
      <c r="L856" s="8"/>
      <c r="M856" s="8"/>
      <c r="N856" s="8"/>
      <c r="O856" s="8"/>
      <c r="Q856" s="8"/>
      <c r="R856" s="8"/>
      <c r="S856" s="8"/>
      <c r="T856" s="8"/>
      <c r="U856" s="8"/>
      <c r="V856" s="8"/>
      <c r="W856" s="8"/>
      <c r="X856" s="8"/>
      <c r="Y856" s="8"/>
      <c r="Z856" s="8"/>
      <c r="AA856" s="8"/>
      <c r="AB856" s="8"/>
      <c r="AD856" s="8"/>
      <c r="AE856" s="8"/>
      <c r="AF856" s="8"/>
      <c r="AG856" s="8"/>
      <c r="AH856" s="8"/>
      <c r="AI856" s="8"/>
      <c r="AJ856" s="8"/>
      <c r="AK856" s="8"/>
      <c r="AL856" s="8"/>
      <c r="AM856" s="8"/>
      <c r="AN856" s="8"/>
      <c r="AO856" s="8"/>
    </row>
    <row r="857" spans="7:41" x14ac:dyDescent="0.2">
      <c r="G857" s="8"/>
      <c r="H857" s="8"/>
      <c r="I857" s="8"/>
      <c r="J857" s="8"/>
      <c r="K857" s="8"/>
      <c r="L857" s="8"/>
      <c r="M857" s="8"/>
      <c r="N857" s="8"/>
      <c r="O857" s="8"/>
      <c r="Q857" s="8"/>
      <c r="R857" s="8"/>
      <c r="S857" s="8"/>
      <c r="T857" s="8"/>
      <c r="U857" s="8"/>
      <c r="V857" s="8"/>
      <c r="W857" s="8"/>
      <c r="X857" s="8"/>
      <c r="Y857" s="8"/>
      <c r="Z857" s="8"/>
      <c r="AA857" s="8"/>
      <c r="AB857" s="8"/>
      <c r="AD857" s="8"/>
      <c r="AE857" s="8"/>
      <c r="AF857" s="8"/>
      <c r="AG857" s="8"/>
      <c r="AH857" s="8"/>
      <c r="AI857" s="8"/>
      <c r="AJ857" s="8"/>
      <c r="AK857" s="8"/>
      <c r="AL857" s="8"/>
      <c r="AM857" s="8"/>
      <c r="AN857" s="8"/>
      <c r="AO857" s="8"/>
    </row>
    <row r="858" spans="7:41" x14ac:dyDescent="0.2">
      <c r="G858" s="8"/>
      <c r="H858" s="8"/>
      <c r="I858" s="8"/>
      <c r="J858" s="8"/>
      <c r="K858" s="8"/>
      <c r="L858" s="8"/>
      <c r="M858" s="8"/>
      <c r="N858" s="8"/>
      <c r="O858" s="8"/>
      <c r="Q858" s="8"/>
      <c r="R858" s="8"/>
      <c r="S858" s="8"/>
      <c r="T858" s="8"/>
      <c r="U858" s="8"/>
      <c r="V858" s="8"/>
      <c r="W858" s="8"/>
      <c r="X858" s="8"/>
      <c r="Y858" s="8"/>
      <c r="Z858" s="8"/>
      <c r="AA858" s="8"/>
      <c r="AB858" s="8"/>
      <c r="AD858" s="8"/>
      <c r="AE858" s="8"/>
      <c r="AF858" s="8"/>
      <c r="AG858" s="8"/>
      <c r="AH858" s="8"/>
      <c r="AI858" s="8"/>
      <c r="AJ858" s="8"/>
      <c r="AK858" s="8"/>
      <c r="AL858" s="8"/>
      <c r="AM858" s="8"/>
      <c r="AN858" s="8"/>
      <c r="AO858" s="8"/>
    </row>
    <row r="859" spans="7:41" x14ac:dyDescent="0.2">
      <c r="G859" s="8"/>
      <c r="H859" s="8"/>
      <c r="I859" s="8"/>
      <c r="J859" s="8"/>
      <c r="K859" s="8"/>
      <c r="L859" s="8"/>
      <c r="M859" s="8"/>
      <c r="N859" s="8"/>
      <c r="O859" s="8"/>
      <c r="Q859" s="8"/>
      <c r="R859" s="8"/>
      <c r="S859" s="8"/>
      <c r="T859" s="8"/>
      <c r="U859" s="8"/>
      <c r="V859" s="8"/>
      <c r="W859" s="8"/>
      <c r="X859" s="8"/>
      <c r="Y859" s="8"/>
      <c r="Z859" s="8"/>
      <c r="AA859" s="8"/>
      <c r="AB859" s="8"/>
      <c r="AD859" s="8"/>
      <c r="AE859" s="8"/>
      <c r="AF859" s="8"/>
      <c r="AG859" s="8"/>
      <c r="AH859" s="8"/>
      <c r="AI859" s="8"/>
      <c r="AJ859" s="8"/>
      <c r="AK859" s="8"/>
      <c r="AL859" s="8"/>
      <c r="AM859" s="8"/>
      <c r="AN859" s="8"/>
      <c r="AO859" s="8"/>
    </row>
    <row r="860" spans="7:41" x14ac:dyDescent="0.2">
      <c r="G860" s="8"/>
      <c r="H860" s="8"/>
      <c r="I860" s="8"/>
      <c r="J860" s="8"/>
      <c r="K860" s="8"/>
      <c r="L860" s="8"/>
      <c r="M860" s="8"/>
      <c r="N860" s="8"/>
      <c r="O860" s="8"/>
      <c r="Q860" s="8"/>
      <c r="R860" s="8"/>
      <c r="S860" s="8"/>
      <c r="T860" s="8"/>
      <c r="U860" s="8"/>
      <c r="V860" s="8"/>
      <c r="W860" s="8"/>
      <c r="X860" s="8"/>
      <c r="Y860" s="8"/>
      <c r="Z860" s="8"/>
      <c r="AA860" s="8"/>
      <c r="AB860" s="8"/>
      <c r="AD860" s="8"/>
      <c r="AE860" s="8"/>
      <c r="AF860" s="8"/>
      <c r="AG860" s="8"/>
      <c r="AH860" s="8"/>
      <c r="AI860" s="8"/>
      <c r="AJ860" s="8"/>
      <c r="AK860" s="8"/>
      <c r="AL860" s="8"/>
      <c r="AM860" s="8"/>
      <c r="AN860" s="8"/>
      <c r="AO860" s="8"/>
    </row>
    <row r="861" spans="7:41" x14ac:dyDescent="0.2">
      <c r="G861" s="8"/>
      <c r="H861" s="8"/>
      <c r="I861" s="8"/>
      <c r="J861" s="8"/>
      <c r="K861" s="8"/>
      <c r="L861" s="8"/>
      <c r="M861" s="8"/>
      <c r="N861" s="8"/>
      <c r="O861" s="8"/>
      <c r="Q861" s="8"/>
      <c r="R861" s="8"/>
      <c r="S861" s="8"/>
      <c r="T861" s="8"/>
      <c r="U861" s="8"/>
      <c r="V861" s="8"/>
      <c r="W861" s="8"/>
      <c r="X861" s="8"/>
      <c r="Y861" s="8"/>
      <c r="Z861" s="8"/>
      <c r="AA861" s="8"/>
      <c r="AB861" s="8"/>
      <c r="AD861" s="8"/>
      <c r="AE861" s="8"/>
      <c r="AF861" s="8"/>
      <c r="AG861" s="8"/>
      <c r="AH861" s="8"/>
      <c r="AI861" s="8"/>
      <c r="AJ861" s="8"/>
      <c r="AK861" s="8"/>
      <c r="AL861" s="8"/>
      <c r="AM861" s="8"/>
      <c r="AN861" s="8"/>
      <c r="AO861" s="8"/>
    </row>
    <row r="862" spans="7:41" x14ac:dyDescent="0.2">
      <c r="G862" s="8"/>
      <c r="H862" s="8"/>
      <c r="I862" s="8"/>
      <c r="J862" s="8"/>
      <c r="K862" s="8"/>
      <c r="L862" s="8"/>
      <c r="M862" s="8"/>
      <c r="N862" s="8"/>
      <c r="O862" s="8"/>
      <c r="Q862" s="8"/>
      <c r="R862" s="8"/>
      <c r="S862" s="8"/>
      <c r="T862" s="8"/>
      <c r="U862" s="8"/>
      <c r="V862" s="8"/>
      <c r="W862" s="8"/>
      <c r="X862" s="8"/>
      <c r="Y862" s="8"/>
      <c r="Z862" s="8"/>
      <c r="AA862" s="8"/>
      <c r="AB862" s="8"/>
      <c r="AD862" s="8"/>
      <c r="AE862" s="8"/>
      <c r="AF862" s="8"/>
      <c r="AG862" s="8"/>
      <c r="AH862" s="8"/>
      <c r="AI862" s="8"/>
      <c r="AJ862" s="8"/>
      <c r="AK862" s="8"/>
      <c r="AL862" s="8"/>
      <c r="AM862" s="8"/>
      <c r="AN862" s="8"/>
      <c r="AO862" s="8"/>
    </row>
    <row r="863" spans="7:41" x14ac:dyDescent="0.2">
      <c r="G863" s="8"/>
      <c r="H863" s="8"/>
      <c r="I863" s="8"/>
      <c r="J863" s="8"/>
      <c r="K863" s="8"/>
      <c r="L863" s="8"/>
      <c r="M863" s="8"/>
      <c r="N863" s="8"/>
      <c r="O863" s="8"/>
      <c r="Q863" s="8"/>
      <c r="R863" s="8"/>
      <c r="S863" s="8"/>
      <c r="T863" s="8"/>
      <c r="U863" s="8"/>
      <c r="V863" s="8"/>
      <c r="W863" s="8"/>
      <c r="X863" s="8"/>
      <c r="Y863" s="8"/>
      <c r="Z863" s="8"/>
      <c r="AA863" s="8"/>
      <c r="AB863" s="8"/>
      <c r="AD863" s="8"/>
      <c r="AE863" s="8"/>
      <c r="AF863" s="8"/>
      <c r="AG863" s="8"/>
      <c r="AH863" s="8"/>
      <c r="AI863" s="8"/>
      <c r="AJ863" s="8"/>
      <c r="AK863" s="8"/>
      <c r="AL863" s="8"/>
      <c r="AM863" s="8"/>
      <c r="AN863" s="8"/>
      <c r="AO863" s="8"/>
    </row>
    <row r="864" spans="7:41" x14ac:dyDescent="0.2">
      <c r="G864" s="8"/>
      <c r="H864" s="8"/>
      <c r="I864" s="8"/>
      <c r="J864" s="8"/>
      <c r="K864" s="8"/>
      <c r="L864" s="8"/>
      <c r="M864" s="8"/>
      <c r="N864" s="8"/>
      <c r="O864" s="8"/>
      <c r="Q864" s="8"/>
      <c r="R864" s="8"/>
      <c r="S864" s="8"/>
      <c r="T864" s="8"/>
      <c r="U864" s="8"/>
      <c r="V864" s="8"/>
      <c r="W864" s="8"/>
      <c r="X864" s="8"/>
      <c r="Y864" s="8"/>
      <c r="Z864" s="8"/>
      <c r="AA864" s="8"/>
      <c r="AB864" s="8"/>
      <c r="AD864" s="8"/>
      <c r="AE864" s="8"/>
      <c r="AF864" s="8"/>
      <c r="AG864" s="8"/>
      <c r="AH864" s="8"/>
      <c r="AI864" s="8"/>
      <c r="AJ864" s="8"/>
      <c r="AK864" s="8"/>
      <c r="AL864" s="8"/>
      <c r="AM864" s="8"/>
      <c r="AN864" s="8"/>
      <c r="AO864" s="8"/>
    </row>
    <row r="865" spans="7:41" x14ac:dyDescent="0.2">
      <c r="G865" s="8"/>
      <c r="H865" s="8"/>
      <c r="I865" s="8"/>
      <c r="J865" s="8"/>
      <c r="K865" s="8"/>
      <c r="L865" s="8"/>
      <c r="M865" s="8"/>
      <c r="N865" s="8"/>
      <c r="O865" s="8"/>
      <c r="Q865" s="8"/>
      <c r="R865" s="8"/>
      <c r="S865" s="8"/>
      <c r="T865" s="8"/>
      <c r="U865" s="8"/>
      <c r="V865" s="8"/>
      <c r="W865" s="8"/>
      <c r="X865" s="8"/>
      <c r="Y865" s="8"/>
      <c r="Z865" s="8"/>
      <c r="AA865" s="8"/>
      <c r="AB865" s="8"/>
      <c r="AD865" s="8"/>
      <c r="AE865" s="8"/>
      <c r="AF865" s="8"/>
      <c r="AG865" s="8"/>
      <c r="AH865" s="8"/>
      <c r="AI865" s="8"/>
      <c r="AJ865" s="8"/>
      <c r="AK865" s="8"/>
      <c r="AL865" s="8"/>
      <c r="AM865" s="8"/>
      <c r="AN865" s="8"/>
      <c r="AO865" s="8"/>
    </row>
    <row r="866" spans="7:41" x14ac:dyDescent="0.2">
      <c r="G866" s="8"/>
      <c r="H866" s="8"/>
      <c r="I866" s="8"/>
      <c r="J866" s="8"/>
      <c r="K866" s="8"/>
      <c r="L866" s="8"/>
      <c r="M866" s="8"/>
      <c r="N866" s="8"/>
      <c r="O866" s="8"/>
      <c r="Q866" s="8"/>
      <c r="R866" s="8"/>
      <c r="S866" s="8"/>
      <c r="T866" s="8"/>
      <c r="U866" s="8"/>
      <c r="V866" s="8"/>
      <c r="W866" s="8"/>
      <c r="X866" s="8"/>
      <c r="Y866" s="8"/>
      <c r="Z866" s="8"/>
      <c r="AA866" s="8"/>
      <c r="AB866" s="8"/>
      <c r="AD866" s="8"/>
      <c r="AE866" s="8"/>
      <c r="AF866" s="8"/>
      <c r="AG866" s="8"/>
      <c r="AH866" s="8"/>
      <c r="AI866" s="8"/>
      <c r="AJ866" s="8"/>
      <c r="AK866" s="8"/>
      <c r="AL866" s="8"/>
      <c r="AM866" s="8"/>
      <c r="AN866" s="8"/>
      <c r="AO866" s="8"/>
    </row>
    <row r="867" spans="7:41" x14ac:dyDescent="0.2">
      <c r="G867" s="8"/>
      <c r="H867" s="8"/>
      <c r="I867" s="8"/>
      <c r="J867" s="8"/>
      <c r="K867" s="8"/>
      <c r="L867" s="8"/>
      <c r="M867" s="8"/>
      <c r="N867" s="8"/>
      <c r="O867" s="8"/>
      <c r="Q867" s="8"/>
      <c r="R867" s="8"/>
      <c r="S867" s="8"/>
      <c r="T867" s="8"/>
      <c r="U867" s="8"/>
      <c r="V867" s="8"/>
      <c r="W867" s="8"/>
      <c r="X867" s="8"/>
      <c r="Y867" s="8"/>
      <c r="Z867" s="8"/>
      <c r="AA867" s="8"/>
      <c r="AB867" s="8"/>
      <c r="AD867" s="8"/>
      <c r="AE867" s="8"/>
      <c r="AF867" s="8"/>
      <c r="AG867" s="8"/>
      <c r="AH867" s="8"/>
      <c r="AI867" s="8"/>
      <c r="AJ867" s="8"/>
      <c r="AK867" s="8"/>
      <c r="AL867" s="8"/>
      <c r="AM867" s="8"/>
      <c r="AN867" s="8"/>
      <c r="AO867" s="8"/>
    </row>
    <row r="868" spans="7:41" x14ac:dyDescent="0.2">
      <c r="G868" s="8"/>
      <c r="H868" s="8"/>
      <c r="I868" s="8"/>
      <c r="J868" s="8"/>
      <c r="K868" s="8"/>
      <c r="L868" s="8"/>
      <c r="M868" s="8"/>
      <c r="N868" s="8"/>
      <c r="O868" s="8"/>
      <c r="Q868" s="8"/>
      <c r="R868" s="8"/>
      <c r="S868" s="8"/>
      <c r="T868" s="8"/>
      <c r="U868" s="8"/>
      <c r="V868" s="8"/>
      <c r="W868" s="8"/>
      <c r="X868" s="8"/>
      <c r="Y868" s="8"/>
      <c r="Z868" s="8"/>
      <c r="AA868" s="8"/>
      <c r="AB868" s="8"/>
      <c r="AD868" s="8"/>
      <c r="AE868" s="8"/>
      <c r="AF868" s="8"/>
      <c r="AG868" s="8"/>
      <c r="AH868" s="8"/>
      <c r="AI868" s="8"/>
      <c r="AJ868" s="8"/>
      <c r="AK868" s="8"/>
      <c r="AL868" s="8"/>
      <c r="AM868" s="8"/>
      <c r="AN868" s="8"/>
      <c r="AO868" s="8"/>
    </row>
    <row r="869" spans="7:41" x14ac:dyDescent="0.2">
      <c r="G869" s="8"/>
      <c r="H869" s="8"/>
      <c r="I869" s="8"/>
      <c r="J869" s="8"/>
      <c r="K869" s="8"/>
      <c r="L869" s="8"/>
      <c r="M869" s="8"/>
      <c r="N869" s="8"/>
      <c r="O869" s="8"/>
      <c r="Q869" s="8"/>
      <c r="R869" s="8"/>
      <c r="S869" s="8"/>
      <c r="T869" s="8"/>
      <c r="U869" s="8"/>
      <c r="V869" s="8"/>
      <c r="W869" s="8"/>
      <c r="X869" s="8"/>
      <c r="Y869" s="8"/>
      <c r="Z869" s="8"/>
      <c r="AA869" s="8"/>
      <c r="AB869" s="8"/>
      <c r="AD869" s="8"/>
      <c r="AE869" s="8"/>
      <c r="AF869" s="8"/>
      <c r="AG869" s="8"/>
      <c r="AH869" s="8"/>
      <c r="AI869" s="8"/>
      <c r="AJ869" s="8"/>
      <c r="AK869" s="8"/>
      <c r="AL869" s="8"/>
      <c r="AM869" s="8"/>
      <c r="AN869" s="8"/>
      <c r="AO869" s="8"/>
    </row>
    <row r="870" spans="7:41" x14ac:dyDescent="0.2">
      <c r="G870" s="8"/>
      <c r="H870" s="8"/>
      <c r="I870" s="8"/>
      <c r="J870" s="8"/>
      <c r="K870" s="8"/>
      <c r="L870" s="8"/>
      <c r="M870" s="8"/>
      <c r="N870" s="8"/>
      <c r="O870" s="8"/>
      <c r="Q870" s="8"/>
      <c r="R870" s="8"/>
      <c r="S870" s="8"/>
      <c r="T870" s="8"/>
      <c r="U870" s="8"/>
      <c r="V870" s="8"/>
      <c r="W870" s="8"/>
      <c r="X870" s="8"/>
      <c r="Y870" s="8"/>
      <c r="Z870" s="8"/>
      <c r="AA870" s="8"/>
      <c r="AB870" s="8"/>
      <c r="AD870" s="8"/>
      <c r="AE870" s="8"/>
      <c r="AF870" s="8"/>
      <c r="AG870" s="8"/>
      <c r="AH870" s="8"/>
      <c r="AI870" s="8"/>
      <c r="AJ870" s="8"/>
      <c r="AK870" s="8"/>
      <c r="AL870" s="8"/>
      <c r="AM870" s="8"/>
      <c r="AN870" s="8"/>
      <c r="AO870" s="8"/>
    </row>
    <row r="871" spans="7:41" x14ac:dyDescent="0.2">
      <c r="G871" s="8"/>
      <c r="H871" s="8"/>
      <c r="I871" s="8"/>
      <c r="J871" s="8"/>
      <c r="K871" s="8"/>
      <c r="L871" s="8"/>
      <c r="M871" s="8"/>
      <c r="N871" s="8"/>
      <c r="O871" s="8"/>
      <c r="Q871" s="8"/>
      <c r="R871" s="8"/>
      <c r="S871" s="8"/>
      <c r="T871" s="8"/>
      <c r="U871" s="8"/>
      <c r="V871" s="8"/>
      <c r="W871" s="8"/>
      <c r="X871" s="8"/>
      <c r="Y871" s="8"/>
      <c r="Z871" s="8"/>
      <c r="AA871" s="8"/>
      <c r="AB871" s="8"/>
      <c r="AD871" s="8"/>
      <c r="AE871" s="8"/>
      <c r="AF871" s="8"/>
      <c r="AG871" s="8"/>
      <c r="AH871" s="8"/>
      <c r="AI871" s="8"/>
      <c r="AJ871" s="8"/>
      <c r="AK871" s="8"/>
      <c r="AL871" s="8"/>
      <c r="AM871" s="8"/>
      <c r="AN871" s="8"/>
      <c r="AO871" s="8"/>
    </row>
    <row r="872" spans="7:41" x14ac:dyDescent="0.2">
      <c r="G872" s="8"/>
      <c r="H872" s="8"/>
      <c r="I872" s="8"/>
      <c r="J872" s="8"/>
      <c r="K872" s="8"/>
      <c r="L872" s="8"/>
      <c r="M872" s="8"/>
      <c r="N872" s="8"/>
      <c r="O872" s="8"/>
      <c r="Q872" s="8"/>
      <c r="R872" s="8"/>
      <c r="S872" s="8"/>
      <c r="T872" s="8"/>
      <c r="U872" s="8"/>
      <c r="V872" s="8"/>
      <c r="W872" s="8"/>
      <c r="X872" s="8"/>
      <c r="Y872" s="8"/>
      <c r="Z872" s="8"/>
      <c r="AA872" s="8"/>
      <c r="AB872" s="8"/>
      <c r="AD872" s="8"/>
      <c r="AE872" s="8"/>
      <c r="AF872" s="8"/>
      <c r="AG872" s="8"/>
      <c r="AH872" s="8"/>
      <c r="AI872" s="8"/>
      <c r="AJ872" s="8"/>
      <c r="AK872" s="8"/>
      <c r="AL872" s="8"/>
      <c r="AM872" s="8"/>
      <c r="AN872" s="8"/>
      <c r="AO872" s="8"/>
    </row>
    <row r="873" spans="7:41" x14ac:dyDescent="0.2">
      <c r="G873" s="8"/>
      <c r="H873" s="8"/>
      <c r="I873" s="8"/>
      <c r="J873" s="8"/>
      <c r="K873" s="8"/>
      <c r="L873" s="8"/>
      <c r="M873" s="8"/>
      <c r="N873" s="8"/>
      <c r="O873" s="8"/>
      <c r="Q873" s="8"/>
      <c r="R873" s="8"/>
      <c r="S873" s="8"/>
      <c r="T873" s="8"/>
      <c r="U873" s="8"/>
      <c r="V873" s="8"/>
      <c r="W873" s="8"/>
      <c r="X873" s="8"/>
      <c r="Y873" s="8"/>
      <c r="Z873" s="8"/>
      <c r="AA873" s="8"/>
      <c r="AB873" s="8"/>
      <c r="AD873" s="8"/>
      <c r="AE873" s="8"/>
      <c r="AF873" s="8"/>
      <c r="AG873" s="8"/>
      <c r="AH873" s="8"/>
      <c r="AI873" s="8"/>
      <c r="AJ873" s="8"/>
      <c r="AK873" s="8"/>
      <c r="AL873" s="8"/>
      <c r="AM873" s="8"/>
      <c r="AN873" s="8"/>
      <c r="AO873" s="8"/>
    </row>
    <row r="874" spans="7:41" x14ac:dyDescent="0.2">
      <c r="G874" s="8"/>
      <c r="H874" s="8"/>
      <c r="I874" s="8"/>
      <c r="J874" s="8"/>
      <c r="K874" s="8"/>
      <c r="L874" s="8"/>
      <c r="M874" s="8"/>
      <c r="N874" s="8"/>
      <c r="O874" s="8"/>
      <c r="Q874" s="8"/>
      <c r="R874" s="8"/>
      <c r="S874" s="8"/>
      <c r="T874" s="8"/>
      <c r="U874" s="8"/>
      <c r="V874" s="8"/>
      <c r="W874" s="8"/>
      <c r="X874" s="8"/>
      <c r="Y874" s="8"/>
      <c r="Z874" s="8"/>
      <c r="AA874" s="8"/>
      <c r="AB874" s="8"/>
      <c r="AD874" s="8"/>
      <c r="AE874" s="8"/>
      <c r="AF874" s="8"/>
      <c r="AG874" s="8"/>
      <c r="AH874" s="8"/>
      <c r="AI874" s="8"/>
      <c r="AJ874" s="8"/>
      <c r="AK874" s="8"/>
      <c r="AL874" s="8"/>
      <c r="AM874" s="8"/>
      <c r="AN874" s="8"/>
      <c r="AO874" s="8"/>
    </row>
    <row r="875" spans="7:41" x14ac:dyDescent="0.2">
      <c r="G875" s="8"/>
      <c r="H875" s="8"/>
      <c r="I875" s="8"/>
      <c r="J875" s="8"/>
      <c r="K875" s="8"/>
      <c r="L875" s="8"/>
      <c r="M875" s="8"/>
      <c r="N875" s="8"/>
      <c r="O875" s="8"/>
      <c r="Q875" s="8"/>
      <c r="R875" s="8"/>
      <c r="S875" s="8"/>
      <c r="T875" s="8"/>
      <c r="U875" s="8"/>
      <c r="V875" s="8"/>
      <c r="W875" s="8"/>
      <c r="X875" s="8"/>
      <c r="Y875" s="8"/>
      <c r="Z875" s="8"/>
      <c r="AA875" s="8"/>
      <c r="AB875" s="8"/>
      <c r="AD875" s="8"/>
      <c r="AE875" s="8"/>
      <c r="AF875" s="8"/>
      <c r="AG875" s="8"/>
      <c r="AH875" s="8"/>
      <c r="AI875" s="8"/>
      <c r="AJ875" s="8"/>
      <c r="AK875" s="8"/>
      <c r="AL875" s="8"/>
      <c r="AM875" s="8"/>
      <c r="AN875" s="8"/>
      <c r="AO875" s="8"/>
    </row>
    <row r="876" spans="7:41" x14ac:dyDescent="0.2">
      <c r="G876" s="8"/>
      <c r="H876" s="8"/>
      <c r="I876" s="8"/>
      <c r="J876" s="8"/>
      <c r="K876" s="8"/>
      <c r="L876" s="8"/>
      <c r="M876" s="8"/>
      <c r="N876" s="8"/>
      <c r="O876" s="8"/>
      <c r="Q876" s="8"/>
      <c r="R876" s="8"/>
      <c r="S876" s="8"/>
      <c r="T876" s="8"/>
      <c r="U876" s="8"/>
      <c r="V876" s="8"/>
      <c r="W876" s="8"/>
      <c r="X876" s="8"/>
      <c r="Y876" s="8"/>
      <c r="Z876" s="8"/>
      <c r="AA876" s="8"/>
      <c r="AB876" s="8"/>
      <c r="AD876" s="8"/>
      <c r="AE876" s="8"/>
      <c r="AF876" s="8"/>
      <c r="AG876" s="8"/>
      <c r="AH876" s="8"/>
      <c r="AI876" s="8"/>
      <c r="AJ876" s="8"/>
      <c r="AK876" s="8"/>
      <c r="AL876" s="8"/>
      <c r="AM876" s="8"/>
      <c r="AN876" s="8"/>
      <c r="AO876" s="8"/>
    </row>
    <row r="877" spans="7:41" x14ac:dyDescent="0.2">
      <c r="G877" s="8"/>
      <c r="H877" s="8"/>
      <c r="I877" s="8"/>
      <c r="J877" s="8"/>
      <c r="K877" s="8"/>
      <c r="L877" s="8"/>
      <c r="M877" s="8"/>
      <c r="N877" s="8"/>
      <c r="O877" s="8"/>
      <c r="Q877" s="8"/>
      <c r="R877" s="8"/>
      <c r="S877" s="8"/>
      <c r="T877" s="8"/>
      <c r="U877" s="8"/>
      <c r="V877" s="8"/>
      <c r="W877" s="8"/>
      <c r="X877" s="8"/>
      <c r="Y877" s="8"/>
      <c r="Z877" s="8"/>
      <c r="AA877" s="8"/>
      <c r="AB877" s="8"/>
      <c r="AD877" s="8"/>
      <c r="AE877" s="8"/>
      <c r="AF877" s="8"/>
      <c r="AG877" s="8"/>
      <c r="AH877" s="8"/>
      <c r="AI877" s="8"/>
      <c r="AJ877" s="8"/>
      <c r="AK877" s="8"/>
      <c r="AL877" s="8"/>
      <c r="AM877" s="8"/>
      <c r="AN877" s="8"/>
      <c r="AO877" s="8"/>
    </row>
    <row r="878" spans="7:41" x14ac:dyDescent="0.2">
      <c r="G878" s="8"/>
      <c r="H878" s="8"/>
      <c r="I878" s="8"/>
      <c r="J878" s="8"/>
      <c r="K878" s="8"/>
      <c r="L878" s="8"/>
      <c r="M878" s="8"/>
      <c r="N878" s="8"/>
      <c r="O878" s="8"/>
      <c r="Q878" s="8"/>
      <c r="R878" s="8"/>
      <c r="S878" s="8"/>
      <c r="T878" s="8"/>
      <c r="U878" s="8"/>
      <c r="V878" s="8"/>
      <c r="W878" s="8"/>
      <c r="X878" s="8"/>
      <c r="Y878" s="8"/>
      <c r="Z878" s="8"/>
      <c r="AA878" s="8"/>
      <c r="AB878" s="8"/>
      <c r="AD878" s="8"/>
      <c r="AE878" s="8"/>
      <c r="AF878" s="8"/>
      <c r="AG878" s="8"/>
      <c r="AH878" s="8"/>
      <c r="AI878" s="8"/>
      <c r="AJ878" s="8"/>
      <c r="AK878" s="8"/>
      <c r="AL878" s="8"/>
      <c r="AM878" s="8"/>
      <c r="AN878" s="8"/>
      <c r="AO878" s="8"/>
    </row>
    <row r="879" spans="7:41" x14ac:dyDescent="0.2">
      <c r="G879" s="8"/>
      <c r="H879" s="8"/>
      <c r="I879" s="8"/>
      <c r="J879" s="8"/>
      <c r="K879" s="8"/>
      <c r="L879" s="8"/>
      <c r="M879" s="8"/>
      <c r="N879" s="8"/>
      <c r="O879" s="8"/>
      <c r="Q879" s="8"/>
      <c r="R879" s="8"/>
      <c r="S879" s="8"/>
      <c r="T879" s="8"/>
      <c r="U879" s="8"/>
      <c r="V879" s="8"/>
      <c r="W879" s="8"/>
      <c r="X879" s="8"/>
      <c r="Y879" s="8"/>
      <c r="Z879" s="8"/>
      <c r="AA879" s="8"/>
      <c r="AB879" s="8"/>
      <c r="AD879" s="8"/>
      <c r="AE879" s="8"/>
      <c r="AF879" s="8"/>
      <c r="AG879" s="8"/>
      <c r="AH879" s="8"/>
      <c r="AI879" s="8"/>
      <c r="AJ879" s="8"/>
      <c r="AK879" s="8"/>
      <c r="AL879" s="8"/>
      <c r="AM879" s="8"/>
      <c r="AN879" s="8"/>
      <c r="AO879" s="8"/>
    </row>
    <row r="880" spans="7:41" x14ac:dyDescent="0.2">
      <c r="G880" s="8"/>
      <c r="H880" s="8"/>
      <c r="I880" s="8"/>
      <c r="J880" s="8"/>
      <c r="K880" s="8"/>
      <c r="L880" s="8"/>
      <c r="M880" s="8"/>
      <c r="N880" s="8"/>
      <c r="O880" s="8"/>
      <c r="Q880" s="8"/>
      <c r="R880" s="8"/>
      <c r="S880" s="8"/>
      <c r="T880" s="8"/>
      <c r="U880" s="8"/>
      <c r="V880" s="8"/>
      <c r="W880" s="8"/>
      <c r="X880" s="8"/>
      <c r="Y880" s="8"/>
      <c r="Z880" s="8"/>
      <c r="AA880" s="8"/>
      <c r="AB880" s="8"/>
      <c r="AD880" s="8"/>
      <c r="AE880" s="8"/>
      <c r="AF880" s="8"/>
      <c r="AG880" s="8"/>
      <c r="AH880" s="8"/>
      <c r="AI880" s="8"/>
      <c r="AJ880" s="8"/>
      <c r="AK880" s="8"/>
      <c r="AL880" s="8"/>
      <c r="AM880" s="8"/>
      <c r="AN880" s="8"/>
      <c r="AO880" s="8"/>
    </row>
    <row r="881" spans="7:41" x14ac:dyDescent="0.2">
      <c r="G881" s="8"/>
      <c r="H881" s="8"/>
      <c r="I881" s="8"/>
      <c r="J881" s="8"/>
      <c r="K881" s="8"/>
      <c r="L881" s="8"/>
      <c r="M881" s="8"/>
      <c r="N881" s="8"/>
      <c r="O881" s="8"/>
      <c r="Q881" s="8"/>
      <c r="R881" s="8"/>
      <c r="S881" s="8"/>
      <c r="T881" s="8"/>
      <c r="U881" s="8"/>
      <c r="V881" s="8"/>
      <c r="W881" s="8"/>
      <c r="X881" s="8"/>
      <c r="Y881" s="8"/>
      <c r="Z881" s="8"/>
      <c r="AA881" s="8"/>
      <c r="AB881" s="8"/>
      <c r="AD881" s="8"/>
      <c r="AE881" s="8"/>
      <c r="AF881" s="8"/>
      <c r="AG881" s="8"/>
      <c r="AH881" s="8"/>
      <c r="AI881" s="8"/>
      <c r="AJ881" s="8"/>
      <c r="AK881" s="8"/>
      <c r="AL881" s="8"/>
      <c r="AM881" s="8"/>
      <c r="AN881" s="8"/>
      <c r="AO881" s="8"/>
    </row>
    <row r="882" spans="7:41" x14ac:dyDescent="0.2">
      <c r="G882" s="8"/>
      <c r="H882" s="8"/>
      <c r="I882" s="8"/>
      <c r="J882" s="8"/>
      <c r="K882" s="8"/>
      <c r="L882" s="8"/>
      <c r="M882" s="8"/>
      <c r="N882" s="8"/>
      <c r="O882" s="8"/>
      <c r="Q882" s="8"/>
      <c r="R882" s="8"/>
      <c r="S882" s="8"/>
      <c r="T882" s="8"/>
      <c r="U882" s="8"/>
      <c r="V882" s="8"/>
      <c r="W882" s="8"/>
      <c r="X882" s="8"/>
      <c r="Y882" s="8"/>
      <c r="Z882" s="8"/>
      <c r="AA882" s="8"/>
      <c r="AB882" s="8"/>
      <c r="AD882" s="8"/>
      <c r="AE882" s="8"/>
      <c r="AF882" s="8"/>
      <c r="AG882" s="8"/>
      <c r="AH882" s="8"/>
      <c r="AI882" s="8"/>
      <c r="AJ882" s="8"/>
      <c r="AK882" s="8"/>
      <c r="AL882" s="8"/>
      <c r="AM882" s="8"/>
      <c r="AN882" s="8"/>
      <c r="AO882" s="8"/>
    </row>
    <row r="883" spans="7:41" x14ac:dyDescent="0.2">
      <c r="G883" s="8"/>
      <c r="H883" s="8"/>
      <c r="I883" s="8"/>
      <c r="J883" s="8"/>
      <c r="K883" s="8"/>
      <c r="L883" s="8"/>
      <c r="M883" s="8"/>
      <c r="N883" s="8"/>
      <c r="O883" s="8"/>
      <c r="Q883" s="8"/>
      <c r="R883" s="8"/>
      <c r="S883" s="8"/>
      <c r="T883" s="8"/>
      <c r="U883" s="8"/>
      <c r="V883" s="8"/>
      <c r="W883" s="8"/>
      <c r="X883" s="8"/>
      <c r="Y883" s="8"/>
      <c r="Z883" s="8"/>
      <c r="AA883" s="8"/>
      <c r="AB883" s="8"/>
      <c r="AD883" s="8"/>
      <c r="AE883" s="8"/>
      <c r="AF883" s="8"/>
      <c r="AG883" s="8"/>
      <c r="AH883" s="8"/>
      <c r="AI883" s="8"/>
      <c r="AJ883" s="8"/>
      <c r="AK883" s="8"/>
      <c r="AL883" s="8"/>
      <c r="AM883" s="8"/>
      <c r="AN883" s="8"/>
      <c r="AO883" s="8"/>
    </row>
    <row r="884" spans="7:41" x14ac:dyDescent="0.2">
      <c r="G884" s="8"/>
      <c r="H884" s="8"/>
      <c r="I884" s="8"/>
      <c r="J884" s="8"/>
      <c r="K884" s="8"/>
      <c r="L884" s="8"/>
      <c r="M884" s="8"/>
      <c r="N884" s="8"/>
      <c r="O884" s="8"/>
      <c r="Q884" s="8"/>
      <c r="R884" s="8"/>
      <c r="S884" s="8"/>
      <c r="T884" s="8"/>
      <c r="U884" s="8"/>
      <c r="V884" s="8"/>
      <c r="W884" s="8"/>
      <c r="X884" s="8"/>
      <c r="Y884" s="8"/>
      <c r="Z884" s="8"/>
      <c r="AA884" s="8"/>
      <c r="AB884" s="8"/>
      <c r="AD884" s="8"/>
      <c r="AE884" s="8"/>
      <c r="AF884" s="8"/>
      <c r="AG884" s="8"/>
      <c r="AH884" s="8"/>
      <c r="AI884" s="8"/>
      <c r="AJ884" s="8"/>
      <c r="AK884" s="8"/>
      <c r="AL884" s="8"/>
      <c r="AM884" s="8"/>
      <c r="AN884" s="8"/>
      <c r="AO884" s="8"/>
    </row>
    <row r="885" spans="7:41" x14ac:dyDescent="0.2">
      <c r="G885" s="8"/>
      <c r="H885" s="8"/>
      <c r="I885" s="8"/>
      <c r="J885" s="8"/>
      <c r="K885" s="8"/>
      <c r="L885" s="8"/>
      <c r="M885" s="8"/>
      <c r="N885" s="8"/>
      <c r="O885" s="8"/>
      <c r="Q885" s="8"/>
      <c r="R885" s="8"/>
      <c r="S885" s="8"/>
      <c r="T885" s="8"/>
      <c r="U885" s="8"/>
      <c r="V885" s="8"/>
      <c r="W885" s="8"/>
      <c r="X885" s="8"/>
      <c r="Y885" s="8"/>
      <c r="Z885" s="8"/>
      <c r="AA885" s="8"/>
      <c r="AB885" s="8"/>
      <c r="AD885" s="8"/>
      <c r="AE885" s="8"/>
      <c r="AF885" s="8"/>
      <c r="AG885" s="8"/>
      <c r="AH885" s="8"/>
      <c r="AI885" s="8"/>
      <c r="AJ885" s="8"/>
      <c r="AK885" s="8"/>
      <c r="AL885" s="8"/>
      <c r="AM885" s="8"/>
      <c r="AN885" s="8"/>
      <c r="AO885" s="8"/>
    </row>
    <row r="886" spans="7:41" x14ac:dyDescent="0.2">
      <c r="G886" s="8"/>
      <c r="H886" s="8"/>
      <c r="I886" s="8"/>
      <c r="J886" s="8"/>
      <c r="K886" s="8"/>
      <c r="L886" s="8"/>
      <c r="M886" s="8"/>
      <c r="N886" s="8"/>
      <c r="O886" s="8"/>
      <c r="Q886" s="8"/>
      <c r="R886" s="8"/>
      <c r="S886" s="8"/>
      <c r="T886" s="8"/>
      <c r="U886" s="8"/>
      <c r="V886" s="8"/>
      <c r="W886" s="8"/>
      <c r="X886" s="8"/>
      <c r="Y886" s="8"/>
      <c r="Z886" s="8"/>
      <c r="AA886" s="8"/>
      <c r="AB886" s="8"/>
      <c r="AD886" s="8"/>
      <c r="AE886" s="8"/>
      <c r="AF886" s="8"/>
      <c r="AG886" s="8"/>
      <c r="AH886" s="8"/>
      <c r="AI886" s="8"/>
      <c r="AJ886" s="8"/>
      <c r="AK886" s="8"/>
      <c r="AL886" s="8"/>
      <c r="AM886" s="8"/>
      <c r="AN886" s="8"/>
      <c r="AO886" s="8"/>
    </row>
    <row r="887" spans="7:41" x14ac:dyDescent="0.2">
      <c r="G887" s="8"/>
      <c r="H887" s="8"/>
      <c r="I887" s="8"/>
      <c r="J887" s="8"/>
      <c r="K887" s="8"/>
      <c r="L887" s="8"/>
      <c r="M887" s="8"/>
      <c r="N887" s="8"/>
      <c r="O887" s="8"/>
      <c r="Q887" s="8"/>
      <c r="R887" s="8"/>
      <c r="S887" s="8"/>
      <c r="T887" s="8"/>
      <c r="U887" s="8"/>
      <c r="V887" s="8"/>
      <c r="W887" s="8"/>
      <c r="X887" s="8"/>
      <c r="Y887" s="8"/>
      <c r="Z887" s="8"/>
      <c r="AA887" s="8"/>
      <c r="AB887" s="8"/>
      <c r="AD887" s="8"/>
      <c r="AE887" s="8"/>
      <c r="AF887" s="8"/>
      <c r="AG887" s="8"/>
      <c r="AH887" s="8"/>
      <c r="AI887" s="8"/>
      <c r="AJ887" s="8"/>
      <c r="AK887" s="8"/>
      <c r="AL887" s="8"/>
      <c r="AM887" s="8"/>
      <c r="AN887" s="8"/>
      <c r="AO887" s="8"/>
    </row>
    <row r="888" spans="7:41" x14ac:dyDescent="0.2">
      <c r="G888" s="8"/>
      <c r="H888" s="8"/>
      <c r="I888" s="8"/>
      <c r="J888" s="8"/>
      <c r="K888" s="8"/>
      <c r="L888" s="8"/>
      <c r="M888" s="8"/>
      <c r="N888" s="8"/>
      <c r="O888" s="8"/>
      <c r="Q888" s="8"/>
      <c r="R888" s="8"/>
      <c r="S888" s="8"/>
      <c r="T888" s="8"/>
      <c r="U888" s="8"/>
      <c r="V888" s="8"/>
      <c r="W888" s="8"/>
      <c r="X888" s="8"/>
      <c r="Y888" s="8"/>
      <c r="Z888" s="8"/>
      <c r="AA888" s="8"/>
      <c r="AB888" s="8"/>
      <c r="AD888" s="8"/>
      <c r="AE888" s="8"/>
      <c r="AF888" s="8"/>
      <c r="AG888" s="8"/>
      <c r="AH888" s="8"/>
      <c r="AI888" s="8"/>
      <c r="AJ888" s="8"/>
      <c r="AK888" s="8"/>
      <c r="AL888" s="8"/>
      <c r="AM888" s="8"/>
      <c r="AN888" s="8"/>
      <c r="AO888" s="8"/>
    </row>
    <row r="889" spans="7:41" x14ac:dyDescent="0.2">
      <c r="G889" s="8"/>
      <c r="H889" s="8"/>
      <c r="I889" s="8"/>
      <c r="J889" s="8"/>
      <c r="K889" s="8"/>
      <c r="L889" s="8"/>
      <c r="M889" s="8"/>
      <c r="N889" s="8"/>
      <c r="O889" s="8"/>
      <c r="Q889" s="8"/>
      <c r="R889" s="8"/>
      <c r="S889" s="8"/>
      <c r="T889" s="8"/>
      <c r="U889" s="8"/>
      <c r="V889" s="8"/>
      <c r="W889" s="8"/>
      <c r="X889" s="8"/>
      <c r="Y889" s="8"/>
      <c r="Z889" s="8"/>
      <c r="AA889" s="8"/>
      <c r="AB889" s="8"/>
      <c r="AD889" s="8"/>
      <c r="AE889" s="8"/>
      <c r="AF889" s="8"/>
      <c r="AG889" s="8"/>
      <c r="AH889" s="8"/>
      <c r="AI889" s="8"/>
      <c r="AJ889" s="8"/>
      <c r="AK889" s="8"/>
      <c r="AL889" s="8"/>
      <c r="AM889" s="8"/>
      <c r="AN889" s="8"/>
      <c r="AO889" s="8"/>
    </row>
    <row r="890" spans="7:41" x14ac:dyDescent="0.2">
      <c r="G890" s="8"/>
      <c r="H890" s="8"/>
      <c r="I890" s="8"/>
      <c r="J890" s="8"/>
      <c r="K890" s="8"/>
      <c r="L890" s="8"/>
      <c r="M890" s="8"/>
      <c r="N890" s="8"/>
      <c r="O890" s="8"/>
      <c r="Q890" s="8"/>
      <c r="R890" s="8"/>
      <c r="S890" s="8"/>
      <c r="T890" s="8"/>
      <c r="U890" s="8"/>
      <c r="V890" s="8"/>
      <c r="W890" s="8"/>
      <c r="X890" s="8"/>
      <c r="Y890" s="8"/>
      <c r="Z890" s="8"/>
      <c r="AA890" s="8"/>
      <c r="AB890" s="8"/>
      <c r="AD890" s="8"/>
      <c r="AE890" s="8"/>
      <c r="AF890" s="8"/>
      <c r="AG890" s="8"/>
      <c r="AH890" s="8"/>
      <c r="AI890" s="8"/>
      <c r="AJ890" s="8"/>
      <c r="AK890" s="8"/>
      <c r="AL890" s="8"/>
      <c r="AM890" s="8"/>
      <c r="AN890" s="8"/>
      <c r="AO890" s="8"/>
    </row>
    <row r="891" spans="7:41" x14ac:dyDescent="0.2">
      <c r="G891" s="8"/>
      <c r="H891" s="8"/>
      <c r="I891" s="8"/>
      <c r="J891" s="8"/>
      <c r="K891" s="8"/>
      <c r="L891" s="8"/>
      <c r="M891" s="8"/>
      <c r="N891" s="8"/>
      <c r="O891" s="8"/>
      <c r="Q891" s="8"/>
      <c r="R891" s="8"/>
      <c r="S891" s="8"/>
      <c r="T891" s="8"/>
      <c r="U891" s="8"/>
      <c r="V891" s="8"/>
      <c r="W891" s="8"/>
      <c r="X891" s="8"/>
      <c r="Y891" s="8"/>
      <c r="Z891" s="8"/>
      <c r="AA891" s="8"/>
      <c r="AB891" s="8"/>
      <c r="AD891" s="8"/>
      <c r="AE891" s="8"/>
      <c r="AF891" s="8"/>
      <c r="AG891" s="8"/>
      <c r="AH891" s="8"/>
      <c r="AI891" s="8"/>
      <c r="AJ891" s="8"/>
      <c r="AK891" s="8"/>
      <c r="AL891" s="8"/>
      <c r="AM891" s="8"/>
      <c r="AN891" s="8"/>
      <c r="AO891" s="8"/>
    </row>
    <row r="892" spans="7:41" x14ac:dyDescent="0.2">
      <c r="G892" s="8"/>
      <c r="H892" s="8"/>
      <c r="I892" s="8"/>
      <c r="J892" s="8"/>
      <c r="K892" s="8"/>
      <c r="L892" s="8"/>
      <c r="M892" s="8"/>
      <c r="N892" s="8"/>
      <c r="O892" s="8"/>
      <c r="Q892" s="8"/>
      <c r="R892" s="8"/>
      <c r="S892" s="8"/>
      <c r="T892" s="8"/>
      <c r="U892" s="8"/>
      <c r="V892" s="8"/>
      <c r="W892" s="8"/>
      <c r="X892" s="8"/>
      <c r="Y892" s="8"/>
      <c r="Z892" s="8"/>
      <c r="AA892" s="8"/>
      <c r="AB892" s="8"/>
      <c r="AD892" s="8"/>
      <c r="AE892" s="8"/>
      <c r="AF892" s="8"/>
      <c r="AG892" s="8"/>
      <c r="AH892" s="8"/>
      <c r="AI892" s="8"/>
      <c r="AJ892" s="8"/>
      <c r="AK892" s="8"/>
      <c r="AL892" s="8"/>
      <c r="AM892" s="8"/>
      <c r="AN892" s="8"/>
      <c r="AO892" s="8"/>
    </row>
    <row r="893" spans="7:41" x14ac:dyDescent="0.2">
      <c r="G893" s="8"/>
      <c r="H893" s="8"/>
      <c r="I893" s="8"/>
      <c r="J893" s="8"/>
      <c r="K893" s="8"/>
      <c r="L893" s="8"/>
      <c r="M893" s="8"/>
      <c r="N893" s="8"/>
      <c r="O893" s="8"/>
      <c r="Q893" s="8"/>
      <c r="R893" s="8"/>
      <c r="S893" s="8"/>
      <c r="T893" s="8"/>
      <c r="U893" s="8"/>
      <c r="V893" s="8"/>
      <c r="W893" s="8"/>
      <c r="X893" s="8"/>
      <c r="Y893" s="8"/>
      <c r="Z893" s="8"/>
      <c r="AA893" s="8"/>
      <c r="AB893" s="8"/>
      <c r="AD893" s="8"/>
      <c r="AE893" s="8"/>
      <c r="AF893" s="8"/>
      <c r="AG893" s="8"/>
      <c r="AH893" s="8"/>
      <c r="AI893" s="8"/>
      <c r="AJ893" s="8"/>
      <c r="AK893" s="8"/>
      <c r="AL893" s="8"/>
      <c r="AM893" s="8"/>
      <c r="AN893" s="8"/>
      <c r="AO893" s="8"/>
    </row>
    <row r="894" spans="7:41" x14ac:dyDescent="0.2">
      <c r="G894" s="8"/>
      <c r="H894" s="8"/>
      <c r="I894" s="8"/>
      <c r="J894" s="8"/>
      <c r="K894" s="8"/>
      <c r="L894" s="8"/>
      <c r="M894" s="8"/>
      <c r="N894" s="8"/>
      <c r="O894" s="8"/>
      <c r="Q894" s="8"/>
      <c r="R894" s="8"/>
      <c r="S894" s="8"/>
      <c r="T894" s="8"/>
      <c r="U894" s="8"/>
      <c r="V894" s="8"/>
      <c r="W894" s="8"/>
      <c r="X894" s="8"/>
      <c r="Y894" s="8"/>
      <c r="Z894" s="8"/>
      <c r="AA894" s="8"/>
      <c r="AB894" s="8"/>
      <c r="AD894" s="8"/>
      <c r="AE894" s="8"/>
      <c r="AF894" s="8"/>
      <c r="AG894" s="8"/>
      <c r="AH894" s="8"/>
      <c r="AI894" s="8"/>
      <c r="AJ894" s="8"/>
      <c r="AK894" s="8"/>
      <c r="AL894" s="8"/>
      <c r="AM894" s="8"/>
      <c r="AN894" s="8"/>
      <c r="AO894" s="8"/>
    </row>
    <row r="895" spans="7:41" x14ac:dyDescent="0.2">
      <c r="G895" s="8"/>
      <c r="H895" s="8"/>
      <c r="I895" s="8"/>
      <c r="J895" s="8"/>
      <c r="K895" s="8"/>
      <c r="L895" s="8"/>
      <c r="M895" s="8"/>
      <c r="N895" s="8"/>
      <c r="O895" s="8"/>
      <c r="Q895" s="8"/>
      <c r="R895" s="8"/>
      <c r="S895" s="8"/>
      <c r="T895" s="8"/>
      <c r="U895" s="8"/>
      <c r="V895" s="8"/>
      <c r="W895" s="8"/>
      <c r="X895" s="8"/>
      <c r="Y895" s="8"/>
      <c r="Z895" s="8"/>
      <c r="AA895" s="8"/>
      <c r="AB895" s="8"/>
      <c r="AD895" s="8"/>
      <c r="AE895" s="8"/>
      <c r="AF895" s="8"/>
      <c r="AG895" s="8"/>
      <c r="AH895" s="8"/>
      <c r="AI895" s="8"/>
      <c r="AJ895" s="8"/>
      <c r="AK895" s="8"/>
      <c r="AL895" s="8"/>
      <c r="AM895" s="8"/>
      <c r="AN895" s="8"/>
      <c r="AO895" s="8"/>
    </row>
    <row r="896" spans="7:41" x14ac:dyDescent="0.2">
      <c r="G896" s="8"/>
      <c r="H896" s="8"/>
      <c r="I896" s="8"/>
      <c r="J896" s="8"/>
      <c r="K896" s="8"/>
      <c r="L896" s="8"/>
      <c r="M896" s="8"/>
      <c r="N896" s="8"/>
      <c r="O896" s="8"/>
      <c r="Q896" s="8"/>
      <c r="R896" s="8"/>
      <c r="S896" s="8"/>
      <c r="T896" s="8"/>
      <c r="U896" s="8"/>
      <c r="V896" s="8"/>
      <c r="W896" s="8"/>
      <c r="X896" s="8"/>
      <c r="Y896" s="8"/>
      <c r="Z896" s="8"/>
      <c r="AA896" s="8"/>
      <c r="AB896" s="8"/>
      <c r="AD896" s="8"/>
      <c r="AE896" s="8"/>
      <c r="AF896" s="8"/>
      <c r="AG896" s="8"/>
      <c r="AH896" s="8"/>
      <c r="AI896" s="8"/>
      <c r="AJ896" s="8"/>
      <c r="AK896" s="8"/>
      <c r="AL896" s="8"/>
      <c r="AM896" s="8"/>
      <c r="AN896" s="8"/>
      <c r="AO896" s="8"/>
    </row>
    <row r="897" spans="7:41" x14ac:dyDescent="0.2">
      <c r="G897" s="8"/>
      <c r="H897" s="8"/>
      <c r="I897" s="8"/>
      <c r="J897" s="8"/>
      <c r="K897" s="8"/>
      <c r="L897" s="8"/>
      <c r="M897" s="8"/>
      <c r="N897" s="8"/>
      <c r="O897" s="8"/>
      <c r="Q897" s="8"/>
      <c r="R897" s="8"/>
      <c r="S897" s="8"/>
      <c r="T897" s="8"/>
      <c r="U897" s="8"/>
      <c r="V897" s="8"/>
      <c r="W897" s="8"/>
      <c r="X897" s="8"/>
      <c r="Y897" s="8"/>
      <c r="Z897" s="8"/>
      <c r="AA897" s="8"/>
      <c r="AB897" s="8"/>
      <c r="AD897" s="8"/>
      <c r="AE897" s="8"/>
      <c r="AF897" s="8"/>
      <c r="AG897" s="8"/>
      <c r="AH897" s="8"/>
      <c r="AI897" s="8"/>
      <c r="AJ897" s="8"/>
      <c r="AK897" s="8"/>
      <c r="AL897" s="8"/>
      <c r="AM897" s="8"/>
      <c r="AN897" s="8"/>
      <c r="AO897" s="8"/>
    </row>
    <row r="898" spans="7:41" x14ac:dyDescent="0.2">
      <c r="G898" s="8"/>
      <c r="H898" s="8"/>
      <c r="I898" s="8"/>
      <c r="J898" s="8"/>
      <c r="K898" s="8"/>
      <c r="L898" s="8"/>
      <c r="M898" s="8"/>
      <c r="N898" s="8"/>
      <c r="O898" s="8"/>
      <c r="Q898" s="8"/>
      <c r="R898" s="8"/>
      <c r="S898" s="8"/>
      <c r="T898" s="8"/>
      <c r="U898" s="8"/>
      <c r="V898" s="8"/>
      <c r="W898" s="8"/>
      <c r="X898" s="8"/>
      <c r="Y898" s="8"/>
      <c r="Z898" s="8"/>
      <c r="AA898" s="8"/>
      <c r="AB898" s="8"/>
      <c r="AD898" s="8"/>
      <c r="AE898" s="8"/>
      <c r="AF898" s="8"/>
      <c r="AG898" s="8"/>
      <c r="AH898" s="8"/>
      <c r="AI898" s="8"/>
      <c r="AJ898" s="8"/>
      <c r="AK898" s="8"/>
      <c r="AL898" s="8"/>
      <c r="AM898" s="8"/>
      <c r="AN898" s="8"/>
      <c r="AO898" s="8"/>
    </row>
    <row r="899" spans="7:41" x14ac:dyDescent="0.2">
      <c r="G899" s="8"/>
      <c r="H899" s="8"/>
      <c r="I899" s="8"/>
      <c r="J899" s="8"/>
      <c r="K899" s="8"/>
      <c r="L899" s="8"/>
      <c r="M899" s="8"/>
      <c r="N899" s="8"/>
      <c r="O899" s="8"/>
      <c r="Q899" s="8"/>
      <c r="R899" s="8"/>
      <c r="S899" s="8"/>
      <c r="T899" s="8"/>
      <c r="U899" s="8"/>
      <c r="V899" s="8"/>
      <c r="W899" s="8"/>
      <c r="X899" s="8"/>
      <c r="Y899" s="8"/>
      <c r="Z899" s="8"/>
      <c r="AA899" s="8"/>
      <c r="AB899" s="8"/>
      <c r="AD899" s="8"/>
      <c r="AE899" s="8"/>
      <c r="AF899" s="8"/>
      <c r="AG899" s="8"/>
      <c r="AH899" s="8"/>
      <c r="AI899" s="8"/>
      <c r="AJ899" s="8"/>
      <c r="AK899" s="8"/>
      <c r="AL899" s="8"/>
      <c r="AM899" s="8"/>
      <c r="AN899" s="8"/>
      <c r="AO899" s="8"/>
    </row>
    <row r="900" spans="7:41" x14ac:dyDescent="0.2">
      <c r="G900" s="8"/>
      <c r="H900" s="8"/>
      <c r="I900" s="8"/>
      <c r="J900" s="8"/>
      <c r="K900" s="8"/>
      <c r="L900" s="8"/>
      <c r="M900" s="8"/>
      <c r="N900" s="8"/>
      <c r="O900" s="8"/>
      <c r="Q900" s="8"/>
      <c r="R900" s="8"/>
      <c r="S900" s="8"/>
      <c r="T900" s="8"/>
      <c r="U900" s="8"/>
      <c r="V900" s="8"/>
      <c r="W900" s="8"/>
      <c r="X900" s="8"/>
      <c r="Y900" s="8"/>
      <c r="Z900" s="8"/>
      <c r="AA900" s="8"/>
      <c r="AB900" s="8"/>
      <c r="AD900" s="8"/>
      <c r="AE900" s="8"/>
      <c r="AF900" s="8"/>
      <c r="AG900" s="8"/>
      <c r="AH900" s="8"/>
      <c r="AI900" s="8"/>
      <c r="AJ900" s="8"/>
      <c r="AK900" s="8"/>
      <c r="AL900" s="8"/>
      <c r="AM900" s="8"/>
      <c r="AN900" s="8"/>
      <c r="AO900" s="8"/>
    </row>
    <row r="901" spans="7:41" x14ac:dyDescent="0.2">
      <c r="G901" s="8"/>
      <c r="H901" s="8"/>
      <c r="I901" s="8"/>
      <c r="J901" s="8"/>
      <c r="K901" s="8"/>
      <c r="L901" s="8"/>
      <c r="M901" s="8"/>
      <c r="N901" s="8"/>
      <c r="O901" s="8"/>
      <c r="Q901" s="8"/>
      <c r="R901" s="8"/>
      <c r="S901" s="8"/>
      <c r="T901" s="8"/>
      <c r="U901" s="8"/>
      <c r="V901" s="8"/>
      <c r="W901" s="8"/>
      <c r="X901" s="8"/>
      <c r="Y901" s="8"/>
      <c r="Z901" s="8"/>
      <c r="AA901" s="8"/>
      <c r="AB901" s="8"/>
      <c r="AD901" s="8"/>
      <c r="AE901" s="8"/>
      <c r="AF901" s="8"/>
      <c r="AG901" s="8"/>
      <c r="AH901" s="8"/>
      <c r="AI901" s="8"/>
      <c r="AJ901" s="8"/>
      <c r="AK901" s="8"/>
      <c r="AL901" s="8"/>
      <c r="AM901" s="8"/>
      <c r="AN901" s="8"/>
      <c r="AO901" s="8"/>
    </row>
    <row r="902" spans="7:41" x14ac:dyDescent="0.2">
      <c r="G902" s="8"/>
      <c r="H902" s="8"/>
      <c r="I902" s="8"/>
      <c r="J902" s="8"/>
      <c r="K902" s="8"/>
      <c r="L902" s="8"/>
      <c r="M902" s="8"/>
      <c r="N902" s="8"/>
      <c r="O902" s="8"/>
      <c r="Q902" s="8"/>
      <c r="R902" s="8"/>
      <c r="S902" s="8"/>
      <c r="T902" s="8"/>
      <c r="U902" s="8"/>
      <c r="V902" s="8"/>
      <c r="W902" s="8"/>
      <c r="X902" s="8"/>
      <c r="Y902" s="8"/>
      <c r="Z902" s="8"/>
      <c r="AA902" s="8"/>
      <c r="AB902" s="8"/>
      <c r="AD902" s="8"/>
      <c r="AE902" s="8"/>
      <c r="AF902" s="8"/>
      <c r="AG902" s="8"/>
      <c r="AH902" s="8"/>
      <c r="AI902" s="8"/>
      <c r="AJ902" s="8"/>
      <c r="AK902" s="8"/>
      <c r="AL902" s="8"/>
      <c r="AM902" s="8"/>
      <c r="AN902" s="8"/>
      <c r="AO902" s="8"/>
    </row>
    <row r="903" spans="7:41" x14ac:dyDescent="0.2">
      <c r="G903" s="8"/>
      <c r="H903" s="8"/>
      <c r="I903" s="8"/>
      <c r="J903" s="8"/>
      <c r="K903" s="8"/>
      <c r="L903" s="8"/>
      <c r="M903" s="8"/>
      <c r="N903" s="8"/>
      <c r="O903" s="8"/>
      <c r="Q903" s="8"/>
      <c r="R903" s="8"/>
      <c r="S903" s="8"/>
      <c r="T903" s="8"/>
      <c r="U903" s="8"/>
      <c r="V903" s="8"/>
      <c r="W903" s="8"/>
      <c r="X903" s="8"/>
      <c r="Y903" s="8"/>
      <c r="Z903" s="8"/>
      <c r="AA903" s="8"/>
      <c r="AB903" s="8"/>
      <c r="AD903" s="8"/>
      <c r="AE903" s="8"/>
      <c r="AF903" s="8"/>
      <c r="AG903" s="8"/>
      <c r="AH903" s="8"/>
      <c r="AI903" s="8"/>
      <c r="AJ903" s="8"/>
      <c r="AK903" s="8"/>
      <c r="AL903" s="8"/>
      <c r="AM903" s="8"/>
      <c r="AN903" s="8"/>
      <c r="AO903" s="8"/>
    </row>
    <row r="904" spans="7:41" x14ac:dyDescent="0.2">
      <c r="G904" s="8"/>
      <c r="H904" s="8"/>
      <c r="I904" s="8"/>
      <c r="J904" s="8"/>
      <c r="K904" s="8"/>
      <c r="L904" s="8"/>
      <c r="M904" s="8"/>
      <c r="N904" s="8"/>
      <c r="O904" s="8"/>
      <c r="Q904" s="8"/>
      <c r="R904" s="8"/>
      <c r="S904" s="8"/>
      <c r="T904" s="8"/>
      <c r="U904" s="8"/>
      <c r="V904" s="8"/>
      <c r="W904" s="8"/>
      <c r="X904" s="8"/>
      <c r="Y904" s="8"/>
      <c r="Z904" s="8"/>
      <c r="AA904" s="8"/>
      <c r="AB904" s="8"/>
      <c r="AD904" s="8"/>
      <c r="AE904" s="8"/>
      <c r="AF904" s="8"/>
      <c r="AG904" s="8"/>
      <c r="AH904" s="8"/>
      <c r="AI904" s="8"/>
      <c r="AJ904" s="8"/>
      <c r="AK904" s="8"/>
      <c r="AL904" s="8"/>
      <c r="AM904" s="8"/>
      <c r="AN904" s="8"/>
      <c r="AO904" s="8"/>
    </row>
    <row r="905" spans="7:41" x14ac:dyDescent="0.2">
      <c r="G905" s="8"/>
      <c r="H905" s="8"/>
      <c r="I905" s="8"/>
      <c r="J905" s="8"/>
      <c r="K905" s="8"/>
      <c r="L905" s="8"/>
      <c r="M905" s="8"/>
      <c r="N905" s="8"/>
      <c r="O905" s="8"/>
      <c r="Q905" s="8"/>
      <c r="R905" s="8"/>
      <c r="S905" s="8"/>
      <c r="T905" s="8"/>
      <c r="U905" s="8"/>
      <c r="V905" s="8"/>
      <c r="W905" s="8"/>
      <c r="X905" s="8"/>
      <c r="Y905" s="8"/>
      <c r="Z905" s="8"/>
      <c r="AA905" s="8"/>
      <c r="AB905" s="8"/>
      <c r="AD905" s="8"/>
      <c r="AE905" s="8"/>
      <c r="AF905" s="8"/>
      <c r="AG905" s="8"/>
      <c r="AH905" s="8"/>
      <c r="AI905" s="8"/>
      <c r="AJ905" s="8"/>
      <c r="AK905" s="8"/>
      <c r="AL905" s="8"/>
      <c r="AM905" s="8"/>
      <c r="AN905" s="8"/>
      <c r="AO905" s="8"/>
    </row>
    <row r="906" spans="7:41" x14ac:dyDescent="0.2">
      <c r="G906" s="8"/>
      <c r="H906" s="8"/>
      <c r="I906" s="8"/>
      <c r="J906" s="8"/>
      <c r="K906" s="8"/>
      <c r="L906" s="8"/>
      <c r="M906" s="8"/>
      <c r="N906" s="8"/>
      <c r="O906" s="8"/>
      <c r="Q906" s="8"/>
      <c r="R906" s="8"/>
      <c r="S906" s="8"/>
      <c r="T906" s="8"/>
      <c r="U906" s="8"/>
      <c r="V906" s="8"/>
      <c r="W906" s="8"/>
      <c r="X906" s="8"/>
      <c r="Y906" s="8"/>
      <c r="Z906" s="8"/>
      <c r="AA906" s="8"/>
      <c r="AB906" s="8"/>
      <c r="AD906" s="8"/>
      <c r="AE906" s="8"/>
      <c r="AF906" s="8"/>
      <c r="AG906" s="8"/>
      <c r="AH906" s="8"/>
      <c r="AI906" s="8"/>
      <c r="AJ906" s="8"/>
      <c r="AK906" s="8"/>
      <c r="AL906" s="8"/>
      <c r="AM906" s="8"/>
      <c r="AN906" s="8"/>
      <c r="AO906" s="8"/>
    </row>
    <row r="907" spans="7:41" x14ac:dyDescent="0.2">
      <c r="G907" s="8"/>
      <c r="H907" s="8"/>
      <c r="I907" s="8"/>
      <c r="J907" s="8"/>
      <c r="K907" s="8"/>
      <c r="L907" s="8"/>
      <c r="M907" s="8"/>
      <c r="N907" s="8"/>
      <c r="O907" s="8"/>
      <c r="Q907" s="8"/>
      <c r="R907" s="8"/>
      <c r="S907" s="8"/>
      <c r="T907" s="8"/>
      <c r="U907" s="8"/>
      <c r="V907" s="8"/>
      <c r="W907" s="8"/>
      <c r="X907" s="8"/>
      <c r="Y907" s="8"/>
      <c r="Z907" s="8"/>
      <c r="AA907" s="8"/>
      <c r="AB907" s="8"/>
      <c r="AD907" s="8"/>
      <c r="AE907" s="8"/>
      <c r="AF907" s="8"/>
      <c r="AG907" s="8"/>
      <c r="AH907" s="8"/>
      <c r="AI907" s="8"/>
      <c r="AJ907" s="8"/>
      <c r="AK907" s="8"/>
      <c r="AL907" s="8"/>
      <c r="AM907" s="8"/>
      <c r="AN907" s="8"/>
      <c r="AO907" s="8"/>
    </row>
    <row r="908" spans="7:41" x14ac:dyDescent="0.2">
      <c r="G908" s="8"/>
      <c r="H908" s="8"/>
      <c r="I908" s="8"/>
      <c r="J908" s="8"/>
      <c r="K908" s="8"/>
      <c r="L908" s="8"/>
      <c r="M908" s="8"/>
      <c r="N908" s="8"/>
      <c r="O908" s="8"/>
      <c r="Q908" s="8"/>
      <c r="R908" s="8"/>
      <c r="S908" s="8"/>
      <c r="T908" s="8"/>
      <c r="U908" s="8"/>
      <c r="V908" s="8"/>
      <c r="W908" s="8"/>
      <c r="X908" s="8"/>
      <c r="Y908" s="8"/>
      <c r="Z908" s="8"/>
      <c r="AA908" s="8"/>
      <c r="AB908" s="8"/>
      <c r="AD908" s="8"/>
      <c r="AE908" s="8"/>
      <c r="AF908" s="8"/>
      <c r="AG908" s="8"/>
      <c r="AH908" s="8"/>
      <c r="AI908" s="8"/>
      <c r="AJ908" s="8"/>
      <c r="AK908" s="8"/>
      <c r="AL908" s="8"/>
      <c r="AM908" s="8"/>
      <c r="AN908" s="8"/>
      <c r="AO908" s="8"/>
    </row>
    <row r="909" spans="7:41" x14ac:dyDescent="0.2">
      <c r="G909" s="8"/>
      <c r="H909" s="8"/>
      <c r="I909" s="8"/>
      <c r="J909" s="8"/>
      <c r="K909" s="8"/>
      <c r="L909" s="8"/>
      <c r="M909" s="8"/>
      <c r="N909" s="8"/>
      <c r="O909" s="8"/>
      <c r="Q909" s="8"/>
      <c r="R909" s="8"/>
      <c r="S909" s="8"/>
      <c r="T909" s="8"/>
      <c r="U909" s="8"/>
      <c r="V909" s="8"/>
      <c r="W909" s="8"/>
      <c r="X909" s="8"/>
      <c r="Y909" s="8"/>
      <c r="Z909" s="8"/>
      <c r="AA909" s="8"/>
      <c r="AB909" s="8"/>
      <c r="AD909" s="8"/>
      <c r="AE909" s="8"/>
      <c r="AF909" s="8"/>
      <c r="AG909" s="8"/>
      <c r="AH909" s="8"/>
      <c r="AI909" s="8"/>
      <c r="AJ909" s="8"/>
      <c r="AK909" s="8"/>
      <c r="AL909" s="8"/>
      <c r="AM909" s="8"/>
      <c r="AN909" s="8"/>
      <c r="AO909" s="8"/>
    </row>
    <row r="910" spans="7:41" x14ac:dyDescent="0.2">
      <c r="G910" s="8"/>
      <c r="H910" s="8"/>
      <c r="I910" s="8"/>
      <c r="J910" s="8"/>
      <c r="K910" s="8"/>
      <c r="L910" s="8"/>
      <c r="M910" s="8"/>
      <c r="N910" s="8"/>
      <c r="O910" s="8"/>
      <c r="Q910" s="8"/>
      <c r="R910" s="8"/>
      <c r="S910" s="8"/>
      <c r="T910" s="8"/>
      <c r="U910" s="8"/>
      <c r="V910" s="8"/>
      <c r="W910" s="8"/>
      <c r="X910" s="8"/>
      <c r="Y910" s="8"/>
      <c r="Z910" s="8"/>
      <c r="AA910" s="8"/>
      <c r="AB910" s="8"/>
      <c r="AD910" s="8"/>
      <c r="AE910" s="8"/>
      <c r="AF910" s="8"/>
      <c r="AG910" s="8"/>
      <c r="AH910" s="8"/>
      <c r="AI910" s="8"/>
      <c r="AJ910" s="8"/>
      <c r="AK910" s="8"/>
      <c r="AL910" s="8"/>
      <c r="AM910" s="8"/>
      <c r="AN910" s="8"/>
      <c r="AO910" s="8"/>
    </row>
    <row r="911" spans="7:41" x14ac:dyDescent="0.2">
      <c r="G911" s="8"/>
      <c r="H911" s="8"/>
      <c r="I911" s="8"/>
      <c r="J911" s="8"/>
      <c r="K911" s="8"/>
      <c r="L911" s="8"/>
      <c r="M911" s="8"/>
      <c r="N911" s="8"/>
      <c r="O911" s="8"/>
      <c r="Q911" s="8"/>
      <c r="R911" s="8"/>
      <c r="S911" s="8"/>
      <c r="T911" s="8"/>
      <c r="U911" s="8"/>
      <c r="V911" s="8"/>
      <c r="W911" s="8"/>
      <c r="X911" s="8"/>
      <c r="Y911" s="8"/>
      <c r="Z911" s="8"/>
      <c r="AA911" s="8"/>
      <c r="AB911" s="8"/>
      <c r="AD911" s="8"/>
      <c r="AE911" s="8"/>
      <c r="AF911" s="8"/>
      <c r="AG911" s="8"/>
      <c r="AH911" s="8"/>
      <c r="AI911" s="8"/>
      <c r="AJ911" s="8"/>
      <c r="AK911" s="8"/>
      <c r="AL911" s="8"/>
      <c r="AM911" s="8"/>
      <c r="AN911" s="8"/>
      <c r="AO911" s="8"/>
    </row>
    <row r="912" spans="7:41" x14ac:dyDescent="0.2">
      <c r="G912" s="8"/>
      <c r="H912" s="8"/>
      <c r="I912" s="8"/>
      <c r="J912" s="8"/>
      <c r="K912" s="8"/>
      <c r="L912" s="8"/>
      <c r="M912" s="8"/>
      <c r="N912" s="8"/>
      <c r="O912" s="8"/>
      <c r="Q912" s="8"/>
      <c r="R912" s="8"/>
      <c r="S912" s="8"/>
      <c r="T912" s="8"/>
      <c r="U912" s="8"/>
      <c r="V912" s="8"/>
      <c r="W912" s="8"/>
      <c r="X912" s="8"/>
      <c r="Y912" s="8"/>
      <c r="Z912" s="8"/>
      <c r="AA912" s="8"/>
      <c r="AB912" s="8"/>
      <c r="AD912" s="8"/>
      <c r="AE912" s="8"/>
      <c r="AF912" s="8"/>
      <c r="AG912" s="8"/>
      <c r="AH912" s="8"/>
      <c r="AI912" s="8"/>
      <c r="AJ912" s="8"/>
      <c r="AK912" s="8"/>
      <c r="AL912" s="8"/>
      <c r="AM912" s="8"/>
      <c r="AN912" s="8"/>
      <c r="AO912" s="8"/>
    </row>
    <row r="913" spans="7:41" x14ac:dyDescent="0.2">
      <c r="G913" s="8"/>
      <c r="H913" s="8"/>
      <c r="I913" s="8"/>
      <c r="J913" s="8"/>
      <c r="K913" s="8"/>
      <c r="L913" s="8"/>
      <c r="M913" s="8"/>
      <c r="N913" s="8"/>
      <c r="O913" s="8"/>
      <c r="Q913" s="8"/>
      <c r="R913" s="8"/>
      <c r="S913" s="8"/>
      <c r="T913" s="8"/>
      <c r="U913" s="8"/>
      <c r="V913" s="8"/>
      <c r="W913" s="8"/>
      <c r="X913" s="8"/>
      <c r="Y913" s="8"/>
      <c r="Z913" s="8"/>
      <c r="AA913" s="8"/>
      <c r="AB913" s="8"/>
      <c r="AD913" s="8"/>
      <c r="AE913" s="8"/>
      <c r="AF913" s="8"/>
      <c r="AG913" s="8"/>
      <c r="AH913" s="8"/>
      <c r="AI913" s="8"/>
      <c r="AJ913" s="8"/>
      <c r="AK913" s="8"/>
      <c r="AL913" s="8"/>
      <c r="AM913" s="8"/>
      <c r="AN913" s="8"/>
      <c r="AO913" s="8"/>
    </row>
    <row r="914" spans="7:41" x14ac:dyDescent="0.2">
      <c r="G914" s="8"/>
      <c r="H914" s="8"/>
      <c r="I914" s="8"/>
      <c r="J914" s="8"/>
      <c r="K914" s="8"/>
      <c r="L914" s="8"/>
      <c r="M914" s="8"/>
      <c r="N914" s="8"/>
      <c r="O914" s="8"/>
      <c r="Q914" s="8"/>
      <c r="R914" s="8"/>
      <c r="S914" s="8"/>
      <c r="T914" s="8"/>
      <c r="U914" s="8"/>
      <c r="V914" s="8"/>
      <c r="W914" s="8"/>
      <c r="X914" s="8"/>
      <c r="Y914" s="8"/>
      <c r="Z914" s="8"/>
      <c r="AA914" s="8"/>
      <c r="AB914" s="8"/>
      <c r="AD914" s="8"/>
      <c r="AE914" s="8"/>
      <c r="AF914" s="8"/>
      <c r="AG914" s="8"/>
      <c r="AH914" s="8"/>
      <c r="AI914" s="8"/>
      <c r="AJ914" s="8"/>
      <c r="AK914" s="8"/>
      <c r="AL914" s="8"/>
      <c r="AM914" s="8"/>
      <c r="AN914" s="8"/>
      <c r="AO914" s="8"/>
    </row>
    <row r="915" spans="7:41" x14ac:dyDescent="0.2">
      <c r="G915" s="8"/>
      <c r="H915" s="8"/>
      <c r="I915" s="8"/>
      <c r="J915" s="8"/>
      <c r="K915" s="8"/>
      <c r="L915" s="8"/>
      <c r="M915" s="8"/>
      <c r="N915" s="8"/>
      <c r="O915" s="8"/>
      <c r="Q915" s="8"/>
      <c r="R915" s="8"/>
      <c r="S915" s="8"/>
      <c r="T915" s="8"/>
      <c r="U915" s="8"/>
      <c r="V915" s="8"/>
      <c r="W915" s="8"/>
      <c r="X915" s="8"/>
      <c r="Y915" s="8"/>
      <c r="Z915" s="8"/>
      <c r="AA915" s="8"/>
      <c r="AB915" s="8"/>
      <c r="AD915" s="8"/>
      <c r="AE915" s="8"/>
      <c r="AF915" s="8"/>
      <c r="AG915" s="8"/>
      <c r="AH915" s="8"/>
      <c r="AI915" s="8"/>
      <c r="AJ915" s="8"/>
      <c r="AK915" s="8"/>
      <c r="AL915" s="8"/>
      <c r="AM915" s="8"/>
      <c r="AN915" s="8"/>
      <c r="AO915" s="8"/>
    </row>
    <row r="916" spans="7:41" x14ac:dyDescent="0.2">
      <c r="G916" s="8"/>
      <c r="H916" s="8"/>
      <c r="I916" s="8"/>
      <c r="J916" s="8"/>
      <c r="K916" s="8"/>
      <c r="L916" s="8"/>
      <c r="M916" s="8"/>
      <c r="N916" s="8"/>
      <c r="O916" s="8"/>
      <c r="Q916" s="8"/>
      <c r="R916" s="8"/>
      <c r="S916" s="8"/>
      <c r="T916" s="8"/>
      <c r="U916" s="8"/>
      <c r="V916" s="8"/>
      <c r="W916" s="8"/>
      <c r="X916" s="8"/>
      <c r="Y916" s="8"/>
      <c r="Z916" s="8"/>
      <c r="AA916" s="8"/>
      <c r="AB916" s="8"/>
      <c r="AD916" s="8"/>
      <c r="AE916" s="8"/>
      <c r="AF916" s="8"/>
      <c r="AG916" s="8"/>
      <c r="AH916" s="8"/>
      <c r="AI916" s="8"/>
      <c r="AJ916" s="8"/>
      <c r="AK916" s="8"/>
      <c r="AL916" s="8"/>
      <c r="AM916" s="8"/>
      <c r="AN916" s="8"/>
      <c r="AO916" s="8"/>
    </row>
    <row r="917" spans="7:41" x14ac:dyDescent="0.2">
      <c r="G917" s="8"/>
      <c r="H917" s="8"/>
      <c r="I917" s="8"/>
      <c r="J917" s="8"/>
      <c r="K917" s="8"/>
      <c r="L917" s="8"/>
      <c r="M917" s="8"/>
      <c r="N917" s="8"/>
      <c r="O917" s="8"/>
      <c r="Q917" s="8"/>
      <c r="R917" s="8"/>
      <c r="S917" s="8"/>
      <c r="T917" s="8"/>
      <c r="U917" s="8"/>
      <c r="V917" s="8"/>
      <c r="W917" s="8"/>
      <c r="X917" s="8"/>
      <c r="Y917" s="8"/>
      <c r="Z917" s="8"/>
      <c r="AA917" s="8"/>
      <c r="AB917" s="8"/>
      <c r="AD917" s="8"/>
      <c r="AE917" s="8"/>
      <c r="AF917" s="8"/>
      <c r="AG917" s="8"/>
      <c r="AH917" s="8"/>
      <c r="AI917" s="8"/>
      <c r="AJ917" s="8"/>
      <c r="AK917" s="8"/>
      <c r="AL917" s="8"/>
      <c r="AM917" s="8"/>
      <c r="AN917" s="8"/>
      <c r="AO917" s="8"/>
    </row>
    <row r="918" spans="7:41" x14ac:dyDescent="0.2">
      <c r="G918" s="8"/>
      <c r="H918" s="8"/>
      <c r="I918" s="8"/>
      <c r="J918" s="8"/>
      <c r="K918" s="8"/>
      <c r="L918" s="8"/>
      <c r="M918" s="8"/>
      <c r="N918" s="8"/>
      <c r="O918" s="8"/>
      <c r="Q918" s="8"/>
      <c r="R918" s="8"/>
      <c r="S918" s="8"/>
      <c r="T918" s="8"/>
      <c r="U918" s="8"/>
      <c r="V918" s="8"/>
      <c r="W918" s="8"/>
      <c r="X918" s="8"/>
      <c r="Y918" s="8"/>
      <c r="Z918" s="8"/>
      <c r="AA918" s="8"/>
      <c r="AB918" s="8"/>
      <c r="AD918" s="8"/>
      <c r="AE918" s="8"/>
      <c r="AF918" s="8"/>
      <c r="AG918" s="8"/>
      <c r="AH918" s="8"/>
      <c r="AI918" s="8"/>
      <c r="AJ918" s="8"/>
      <c r="AK918" s="8"/>
      <c r="AL918" s="8"/>
      <c r="AM918" s="8"/>
      <c r="AN918" s="8"/>
      <c r="AO918" s="8"/>
    </row>
    <row r="919" spans="7:41" x14ac:dyDescent="0.2">
      <c r="G919" s="8"/>
      <c r="H919" s="8"/>
      <c r="I919" s="8"/>
      <c r="J919" s="8"/>
      <c r="K919" s="8"/>
      <c r="L919" s="8"/>
      <c r="M919" s="8"/>
      <c r="N919" s="8"/>
      <c r="O919" s="8"/>
      <c r="Q919" s="8"/>
      <c r="R919" s="8"/>
      <c r="S919" s="8"/>
      <c r="T919" s="8"/>
      <c r="U919" s="8"/>
      <c r="V919" s="8"/>
      <c r="W919" s="8"/>
      <c r="X919" s="8"/>
      <c r="Y919" s="8"/>
      <c r="Z919" s="8"/>
      <c r="AA919" s="8"/>
      <c r="AB919" s="8"/>
      <c r="AD919" s="8"/>
      <c r="AE919" s="8"/>
      <c r="AF919" s="8"/>
      <c r="AG919" s="8"/>
      <c r="AH919" s="8"/>
      <c r="AI919" s="8"/>
      <c r="AJ919" s="8"/>
      <c r="AK919" s="8"/>
      <c r="AL919" s="8"/>
      <c r="AM919" s="8"/>
      <c r="AN919" s="8"/>
      <c r="AO919" s="8"/>
    </row>
    <row r="920" spans="7:41" x14ac:dyDescent="0.2">
      <c r="G920" s="8"/>
      <c r="H920" s="8"/>
      <c r="I920" s="8"/>
      <c r="J920" s="8"/>
      <c r="K920" s="8"/>
      <c r="L920" s="8"/>
      <c r="M920" s="8"/>
      <c r="N920" s="8"/>
      <c r="O920" s="8"/>
      <c r="Q920" s="8"/>
      <c r="R920" s="8"/>
      <c r="S920" s="8"/>
      <c r="T920" s="8"/>
      <c r="U920" s="8"/>
      <c r="V920" s="8"/>
      <c r="W920" s="8"/>
      <c r="X920" s="8"/>
      <c r="Y920" s="8"/>
      <c r="Z920" s="8"/>
      <c r="AA920" s="8"/>
      <c r="AB920" s="8"/>
      <c r="AD920" s="8"/>
      <c r="AE920" s="8"/>
      <c r="AF920" s="8"/>
      <c r="AG920" s="8"/>
      <c r="AH920" s="8"/>
      <c r="AI920" s="8"/>
      <c r="AJ920" s="8"/>
      <c r="AK920" s="8"/>
      <c r="AL920" s="8"/>
      <c r="AM920" s="8"/>
      <c r="AN920" s="8"/>
      <c r="AO920" s="8"/>
    </row>
    <row r="921" spans="7:41" x14ac:dyDescent="0.2">
      <c r="G921" s="8"/>
      <c r="H921" s="8"/>
      <c r="I921" s="8"/>
      <c r="J921" s="8"/>
      <c r="K921" s="8"/>
      <c r="L921" s="8"/>
      <c r="M921" s="8"/>
      <c r="N921" s="8"/>
      <c r="O921" s="8"/>
      <c r="Q921" s="8"/>
      <c r="R921" s="8"/>
      <c r="S921" s="8"/>
      <c r="T921" s="8"/>
      <c r="U921" s="8"/>
      <c r="V921" s="8"/>
      <c r="W921" s="8"/>
      <c r="X921" s="8"/>
      <c r="Y921" s="8"/>
      <c r="Z921" s="8"/>
      <c r="AA921" s="8"/>
      <c r="AB921" s="8"/>
      <c r="AD921" s="8"/>
      <c r="AE921" s="8"/>
      <c r="AF921" s="8"/>
      <c r="AG921" s="8"/>
      <c r="AH921" s="8"/>
      <c r="AI921" s="8"/>
      <c r="AJ921" s="8"/>
      <c r="AK921" s="8"/>
      <c r="AL921" s="8"/>
      <c r="AM921" s="8"/>
      <c r="AN921" s="8"/>
      <c r="AO921" s="8"/>
    </row>
    <row r="922" spans="7:41" x14ac:dyDescent="0.2">
      <c r="G922" s="8"/>
      <c r="H922" s="8"/>
      <c r="I922" s="8"/>
      <c r="J922" s="8"/>
      <c r="K922" s="8"/>
      <c r="L922" s="8"/>
      <c r="M922" s="8"/>
      <c r="N922" s="8"/>
      <c r="O922" s="8"/>
      <c r="Q922" s="8"/>
      <c r="R922" s="8"/>
      <c r="S922" s="8"/>
      <c r="T922" s="8"/>
      <c r="U922" s="8"/>
      <c r="V922" s="8"/>
      <c r="W922" s="8"/>
      <c r="X922" s="8"/>
      <c r="Y922" s="8"/>
      <c r="Z922" s="8"/>
      <c r="AA922" s="8"/>
      <c r="AB922" s="8"/>
      <c r="AD922" s="8"/>
      <c r="AE922" s="8"/>
      <c r="AF922" s="8"/>
      <c r="AG922" s="8"/>
      <c r="AH922" s="8"/>
      <c r="AI922" s="8"/>
      <c r="AJ922" s="8"/>
      <c r="AK922" s="8"/>
      <c r="AL922" s="8"/>
      <c r="AM922" s="8"/>
      <c r="AN922" s="8"/>
      <c r="AO922" s="8"/>
    </row>
    <row r="923" spans="7:41" x14ac:dyDescent="0.2">
      <c r="G923" s="8"/>
      <c r="H923" s="8"/>
      <c r="I923" s="8"/>
      <c r="J923" s="8"/>
      <c r="K923" s="8"/>
      <c r="L923" s="8"/>
      <c r="M923" s="8"/>
      <c r="N923" s="8"/>
      <c r="O923" s="8"/>
      <c r="Q923" s="8"/>
      <c r="R923" s="8"/>
      <c r="S923" s="8"/>
      <c r="T923" s="8"/>
      <c r="U923" s="8"/>
      <c r="V923" s="8"/>
      <c r="W923" s="8"/>
      <c r="X923" s="8"/>
      <c r="Y923" s="8"/>
      <c r="Z923" s="8"/>
      <c r="AA923" s="8"/>
      <c r="AB923" s="8"/>
      <c r="AD923" s="8"/>
      <c r="AE923" s="8"/>
      <c r="AF923" s="8"/>
      <c r="AG923" s="8"/>
      <c r="AH923" s="8"/>
      <c r="AI923" s="8"/>
      <c r="AJ923" s="8"/>
      <c r="AK923" s="8"/>
      <c r="AL923" s="8"/>
      <c r="AM923" s="8"/>
      <c r="AN923" s="8"/>
      <c r="AO923" s="8"/>
    </row>
    <row r="924" spans="7:41" x14ac:dyDescent="0.2">
      <c r="G924" s="8"/>
      <c r="H924" s="8"/>
      <c r="I924" s="8"/>
      <c r="J924" s="8"/>
      <c r="K924" s="8"/>
      <c r="L924" s="8"/>
      <c r="M924" s="8"/>
      <c r="N924" s="8"/>
      <c r="O924" s="8"/>
      <c r="Q924" s="8"/>
      <c r="R924" s="8"/>
      <c r="S924" s="8"/>
      <c r="T924" s="8"/>
      <c r="U924" s="8"/>
      <c r="V924" s="8"/>
      <c r="W924" s="8"/>
      <c r="X924" s="8"/>
      <c r="Y924" s="8"/>
      <c r="Z924" s="8"/>
      <c r="AA924" s="8"/>
      <c r="AB924" s="8"/>
      <c r="AD924" s="8"/>
      <c r="AE924" s="8"/>
      <c r="AF924" s="8"/>
      <c r="AG924" s="8"/>
      <c r="AH924" s="8"/>
      <c r="AI924" s="8"/>
      <c r="AJ924" s="8"/>
      <c r="AK924" s="8"/>
      <c r="AL924" s="8"/>
      <c r="AM924" s="8"/>
      <c r="AN924" s="8"/>
      <c r="AO924" s="8"/>
    </row>
    <row r="925" spans="7:41" x14ac:dyDescent="0.2">
      <c r="G925" s="8"/>
      <c r="H925" s="8"/>
      <c r="I925" s="8"/>
      <c r="J925" s="8"/>
      <c r="K925" s="8"/>
      <c r="L925" s="8"/>
      <c r="M925" s="8"/>
      <c r="N925" s="8"/>
      <c r="O925" s="8"/>
      <c r="Q925" s="8"/>
      <c r="R925" s="8"/>
      <c r="S925" s="8"/>
      <c r="T925" s="8"/>
      <c r="U925" s="8"/>
      <c r="V925" s="8"/>
      <c r="W925" s="8"/>
      <c r="X925" s="8"/>
      <c r="Y925" s="8"/>
      <c r="Z925" s="8"/>
      <c r="AA925" s="8"/>
      <c r="AB925" s="8"/>
      <c r="AD925" s="8"/>
      <c r="AE925" s="8"/>
      <c r="AF925" s="8"/>
      <c r="AG925" s="8"/>
      <c r="AH925" s="8"/>
      <c r="AI925" s="8"/>
      <c r="AJ925" s="8"/>
      <c r="AK925" s="8"/>
      <c r="AL925" s="8"/>
      <c r="AM925" s="8"/>
      <c r="AN925" s="8"/>
      <c r="AO925" s="8"/>
    </row>
    <row r="926" spans="7:41" x14ac:dyDescent="0.2">
      <c r="G926" s="8"/>
      <c r="H926" s="8"/>
      <c r="I926" s="8"/>
      <c r="J926" s="8"/>
      <c r="K926" s="8"/>
      <c r="L926" s="8"/>
      <c r="M926" s="8"/>
      <c r="N926" s="8"/>
      <c r="O926" s="8"/>
      <c r="Q926" s="8"/>
      <c r="R926" s="8"/>
      <c r="S926" s="8"/>
      <c r="T926" s="8"/>
      <c r="U926" s="8"/>
      <c r="V926" s="8"/>
      <c r="W926" s="8"/>
      <c r="X926" s="8"/>
      <c r="Y926" s="8"/>
      <c r="Z926" s="8"/>
      <c r="AA926" s="8"/>
      <c r="AB926" s="8"/>
      <c r="AD926" s="8"/>
      <c r="AE926" s="8"/>
      <c r="AF926" s="8"/>
      <c r="AG926" s="8"/>
      <c r="AH926" s="8"/>
      <c r="AI926" s="8"/>
      <c r="AJ926" s="8"/>
      <c r="AK926" s="8"/>
      <c r="AL926" s="8"/>
      <c r="AM926" s="8"/>
      <c r="AN926" s="8"/>
      <c r="AO926" s="8"/>
    </row>
    <row r="927" spans="7:41" x14ac:dyDescent="0.2">
      <c r="G927" s="8"/>
      <c r="H927" s="8"/>
      <c r="I927" s="8"/>
      <c r="J927" s="8"/>
      <c r="K927" s="8"/>
      <c r="L927" s="8"/>
      <c r="M927" s="8"/>
      <c r="N927" s="8"/>
      <c r="O927" s="8"/>
      <c r="Q927" s="8"/>
      <c r="R927" s="8"/>
      <c r="S927" s="8"/>
      <c r="T927" s="8"/>
      <c r="U927" s="8"/>
      <c r="V927" s="8"/>
      <c r="W927" s="8"/>
      <c r="X927" s="8"/>
      <c r="Y927" s="8"/>
      <c r="Z927" s="8"/>
      <c r="AA927" s="8"/>
      <c r="AB927" s="8"/>
      <c r="AD927" s="8"/>
      <c r="AE927" s="8"/>
      <c r="AF927" s="8"/>
      <c r="AG927" s="8"/>
      <c r="AH927" s="8"/>
      <c r="AI927" s="8"/>
      <c r="AJ927" s="8"/>
      <c r="AK927" s="8"/>
      <c r="AL927" s="8"/>
      <c r="AM927" s="8"/>
      <c r="AN927" s="8"/>
      <c r="AO927" s="8"/>
    </row>
    <row r="928" spans="7:41" x14ac:dyDescent="0.2">
      <c r="G928" s="8"/>
      <c r="H928" s="8"/>
      <c r="I928" s="8"/>
      <c r="J928" s="8"/>
      <c r="K928" s="8"/>
      <c r="L928" s="8"/>
      <c r="M928" s="8"/>
      <c r="N928" s="8"/>
      <c r="O928" s="8"/>
      <c r="Q928" s="8"/>
      <c r="R928" s="8"/>
      <c r="S928" s="8"/>
      <c r="T928" s="8"/>
      <c r="U928" s="8"/>
      <c r="V928" s="8"/>
      <c r="W928" s="8"/>
      <c r="X928" s="8"/>
      <c r="Y928" s="8"/>
      <c r="Z928" s="8"/>
      <c r="AA928" s="8"/>
      <c r="AB928" s="8"/>
      <c r="AD928" s="8"/>
      <c r="AE928" s="8"/>
      <c r="AF928" s="8"/>
      <c r="AG928" s="8"/>
      <c r="AH928" s="8"/>
      <c r="AI928" s="8"/>
      <c r="AJ928" s="8"/>
      <c r="AK928" s="8"/>
      <c r="AL928" s="8"/>
      <c r="AM928" s="8"/>
      <c r="AN928" s="8"/>
      <c r="AO928" s="8"/>
    </row>
    <row r="929" spans="7:41" x14ac:dyDescent="0.2">
      <c r="G929" s="8"/>
      <c r="H929" s="8"/>
      <c r="I929" s="8"/>
      <c r="J929" s="8"/>
      <c r="K929" s="8"/>
      <c r="L929" s="8"/>
      <c r="M929" s="8"/>
      <c r="N929" s="8"/>
      <c r="O929" s="8"/>
      <c r="Q929" s="8"/>
      <c r="R929" s="8"/>
      <c r="S929" s="8"/>
      <c r="T929" s="8"/>
      <c r="U929" s="8"/>
      <c r="V929" s="8"/>
      <c r="W929" s="8"/>
      <c r="X929" s="8"/>
      <c r="Y929" s="8"/>
      <c r="Z929" s="8"/>
      <c r="AA929" s="8"/>
      <c r="AB929" s="8"/>
      <c r="AD929" s="8"/>
      <c r="AE929" s="8"/>
      <c r="AF929" s="8"/>
      <c r="AG929" s="8"/>
      <c r="AH929" s="8"/>
      <c r="AI929" s="8"/>
      <c r="AJ929" s="8"/>
      <c r="AK929" s="8"/>
      <c r="AL929" s="8"/>
      <c r="AM929" s="8"/>
      <c r="AN929" s="8"/>
      <c r="AO929" s="8"/>
    </row>
    <row r="930" spans="7:41" x14ac:dyDescent="0.2">
      <c r="G930" s="8"/>
      <c r="H930" s="8"/>
      <c r="I930" s="8"/>
      <c r="J930" s="8"/>
      <c r="K930" s="8"/>
      <c r="L930" s="8"/>
      <c r="M930" s="8"/>
      <c r="N930" s="8"/>
      <c r="O930" s="8"/>
      <c r="Q930" s="8"/>
      <c r="R930" s="8"/>
      <c r="S930" s="8"/>
      <c r="T930" s="8"/>
      <c r="U930" s="8"/>
      <c r="V930" s="8"/>
      <c r="W930" s="8"/>
      <c r="X930" s="8"/>
      <c r="Y930" s="8"/>
      <c r="Z930" s="8"/>
      <c r="AA930" s="8"/>
      <c r="AB930" s="8"/>
      <c r="AD930" s="8"/>
      <c r="AE930" s="8"/>
      <c r="AF930" s="8"/>
      <c r="AG930" s="8"/>
      <c r="AH930" s="8"/>
      <c r="AI930" s="8"/>
      <c r="AJ930" s="8"/>
      <c r="AK930" s="8"/>
      <c r="AL930" s="8"/>
      <c r="AM930" s="8"/>
      <c r="AN930" s="8"/>
      <c r="AO930" s="8"/>
    </row>
    <row r="931" spans="7:41" x14ac:dyDescent="0.2">
      <c r="G931" s="8"/>
      <c r="H931" s="8"/>
      <c r="I931" s="8"/>
      <c r="J931" s="8"/>
      <c r="K931" s="8"/>
      <c r="L931" s="8"/>
      <c r="M931" s="8"/>
      <c r="N931" s="8"/>
      <c r="O931" s="8"/>
      <c r="Q931" s="8"/>
      <c r="R931" s="8"/>
      <c r="S931" s="8"/>
      <c r="T931" s="8"/>
      <c r="U931" s="8"/>
      <c r="V931" s="8"/>
      <c r="W931" s="8"/>
      <c r="X931" s="8"/>
      <c r="Y931" s="8"/>
      <c r="Z931" s="8"/>
      <c r="AA931" s="8"/>
      <c r="AB931" s="8"/>
      <c r="AD931" s="8"/>
      <c r="AE931" s="8"/>
      <c r="AF931" s="8"/>
      <c r="AG931" s="8"/>
      <c r="AH931" s="8"/>
      <c r="AI931" s="8"/>
      <c r="AJ931" s="8"/>
      <c r="AK931" s="8"/>
      <c r="AL931" s="8"/>
      <c r="AM931" s="8"/>
      <c r="AN931" s="8"/>
      <c r="AO931" s="8"/>
    </row>
    <row r="932" spans="7:41" x14ac:dyDescent="0.2">
      <c r="G932" s="8"/>
      <c r="H932" s="8"/>
      <c r="I932" s="8"/>
      <c r="J932" s="8"/>
      <c r="K932" s="8"/>
      <c r="L932" s="8"/>
      <c r="M932" s="8"/>
      <c r="N932" s="8"/>
      <c r="O932" s="8"/>
      <c r="Q932" s="8"/>
      <c r="R932" s="8"/>
      <c r="S932" s="8"/>
      <c r="T932" s="8"/>
      <c r="U932" s="8"/>
      <c r="V932" s="8"/>
      <c r="W932" s="8"/>
      <c r="X932" s="8"/>
      <c r="Y932" s="8"/>
      <c r="Z932" s="8"/>
      <c r="AA932" s="8"/>
      <c r="AB932" s="8"/>
      <c r="AD932" s="8"/>
      <c r="AE932" s="8"/>
      <c r="AF932" s="8"/>
      <c r="AG932" s="8"/>
      <c r="AH932" s="8"/>
      <c r="AI932" s="8"/>
      <c r="AJ932" s="8"/>
      <c r="AK932" s="8"/>
      <c r="AL932" s="8"/>
      <c r="AM932" s="8"/>
      <c r="AN932" s="8"/>
      <c r="AO932" s="8"/>
    </row>
    <row r="933" spans="7:41" x14ac:dyDescent="0.2">
      <c r="G933" s="8"/>
      <c r="H933" s="8"/>
      <c r="I933" s="8"/>
      <c r="J933" s="8"/>
      <c r="K933" s="8"/>
      <c r="L933" s="8"/>
      <c r="M933" s="8"/>
      <c r="N933" s="8"/>
      <c r="O933" s="8"/>
      <c r="Q933" s="8"/>
      <c r="R933" s="8"/>
      <c r="S933" s="8"/>
      <c r="T933" s="8"/>
      <c r="U933" s="8"/>
      <c r="V933" s="8"/>
      <c r="W933" s="8"/>
      <c r="X933" s="8"/>
      <c r="Y933" s="8"/>
      <c r="Z933" s="8"/>
      <c r="AA933" s="8"/>
      <c r="AB933" s="8"/>
      <c r="AD933" s="8"/>
      <c r="AE933" s="8"/>
      <c r="AF933" s="8"/>
      <c r="AG933" s="8"/>
      <c r="AH933" s="8"/>
      <c r="AI933" s="8"/>
      <c r="AJ933" s="8"/>
      <c r="AK933" s="8"/>
      <c r="AL933" s="8"/>
      <c r="AM933" s="8"/>
      <c r="AN933" s="8"/>
      <c r="AO933" s="8"/>
    </row>
    <row r="934" spans="7:41" x14ac:dyDescent="0.2">
      <c r="G934" s="8"/>
      <c r="H934" s="8"/>
      <c r="I934" s="8"/>
      <c r="J934" s="8"/>
      <c r="K934" s="8"/>
      <c r="L934" s="8"/>
      <c r="M934" s="8"/>
      <c r="N934" s="8"/>
      <c r="O934" s="8"/>
      <c r="Q934" s="8"/>
      <c r="R934" s="8"/>
      <c r="S934" s="8"/>
      <c r="T934" s="8"/>
      <c r="U934" s="8"/>
      <c r="V934" s="8"/>
      <c r="W934" s="8"/>
      <c r="X934" s="8"/>
      <c r="Y934" s="8"/>
      <c r="Z934" s="8"/>
      <c r="AA934" s="8"/>
      <c r="AB934" s="8"/>
      <c r="AD934" s="8"/>
      <c r="AE934" s="8"/>
      <c r="AF934" s="8"/>
      <c r="AG934" s="8"/>
      <c r="AH934" s="8"/>
      <c r="AI934" s="8"/>
      <c r="AJ934" s="8"/>
      <c r="AK934" s="8"/>
      <c r="AL934" s="8"/>
      <c r="AM934" s="8"/>
      <c r="AN934" s="8"/>
      <c r="AO934" s="8"/>
    </row>
    <row r="935" spans="7:41" x14ac:dyDescent="0.2">
      <c r="G935" s="8"/>
      <c r="H935" s="8"/>
      <c r="I935" s="8"/>
      <c r="J935" s="8"/>
      <c r="K935" s="8"/>
      <c r="L935" s="8"/>
      <c r="M935" s="8"/>
      <c r="N935" s="8"/>
      <c r="O935" s="8"/>
      <c r="Q935" s="8"/>
      <c r="R935" s="8"/>
      <c r="S935" s="8"/>
      <c r="T935" s="8"/>
      <c r="U935" s="8"/>
      <c r="V935" s="8"/>
      <c r="W935" s="8"/>
      <c r="X935" s="8"/>
      <c r="Y935" s="8"/>
      <c r="Z935" s="8"/>
      <c r="AA935" s="8"/>
      <c r="AB935" s="8"/>
      <c r="AD935" s="8"/>
      <c r="AE935" s="8"/>
      <c r="AF935" s="8"/>
      <c r="AG935" s="8"/>
      <c r="AH935" s="8"/>
      <c r="AI935" s="8"/>
      <c r="AJ935" s="8"/>
      <c r="AK935" s="8"/>
      <c r="AL935" s="8"/>
      <c r="AM935" s="8"/>
      <c r="AN935" s="8"/>
      <c r="AO935" s="8"/>
    </row>
    <row r="936" spans="7:41" x14ac:dyDescent="0.2">
      <c r="G936" s="8"/>
      <c r="H936" s="8"/>
      <c r="I936" s="8"/>
      <c r="J936" s="8"/>
      <c r="K936" s="8"/>
      <c r="L936" s="8"/>
      <c r="M936" s="8"/>
      <c r="N936" s="8"/>
      <c r="O936" s="8"/>
      <c r="Q936" s="8"/>
      <c r="R936" s="8"/>
      <c r="S936" s="8"/>
      <c r="T936" s="8"/>
      <c r="U936" s="8"/>
      <c r="V936" s="8"/>
      <c r="W936" s="8"/>
      <c r="X936" s="8"/>
      <c r="Y936" s="8"/>
      <c r="Z936" s="8"/>
      <c r="AA936" s="8"/>
      <c r="AB936" s="8"/>
      <c r="AD936" s="8"/>
      <c r="AE936" s="8"/>
      <c r="AF936" s="8"/>
      <c r="AG936" s="8"/>
      <c r="AH936" s="8"/>
      <c r="AI936" s="8"/>
      <c r="AJ936" s="8"/>
      <c r="AK936" s="8"/>
      <c r="AL936" s="8"/>
      <c r="AM936" s="8"/>
      <c r="AN936" s="8"/>
      <c r="AO936" s="8"/>
    </row>
    <row r="937" spans="7:41" x14ac:dyDescent="0.2">
      <c r="G937" s="8"/>
      <c r="H937" s="8"/>
      <c r="I937" s="8"/>
      <c r="J937" s="8"/>
      <c r="K937" s="8"/>
      <c r="L937" s="8"/>
      <c r="M937" s="8"/>
      <c r="N937" s="8"/>
      <c r="O937" s="8"/>
      <c r="Q937" s="8"/>
      <c r="R937" s="8"/>
      <c r="S937" s="8"/>
      <c r="T937" s="8"/>
      <c r="U937" s="8"/>
      <c r="V937" s="8"/>
      <c r="W937" s="8"/>
      <c r="X937" s="8"/>
      <c r="Y937" s="8"/>
      <c r="Z937" s="8"/>
      <c r="AA937" s="8"/>
      <c r="AB937" s="8"/>
      <c r="AD937" s="8"/>
      <c r="AE937" s="8"/>
      <c r="AF937" s="8"/>
      <c r="AG937" s="8"/>
      <c r="AH937" s="8"/>
      <c r="AI937" s="8"/>
      <c r="AJ937" s="8"/>
      <c r="AK937" s="8"/>
      <c r="AL937" s="8"/>
      <c r="AM937" s="8"/>
      <c r="AN937" s="8"/>
      <c r="AO937" s="8"/>
    </row>
    <row r="938" spans="7:41" x14ac:dyDescent="0.2">
      <c r="G938" s="8"/>
      <c r="H938" s="8"/>
      <c r="I938" s="8"/>
      <c r="J938" s="8"/>
      <c r="K938" s="8"/>
      <c r="L938" s="8"/>
      <c r="M938" s="8"/>
      <c r="N938" s="8"/>
      <c r="O938" s="8"/>
      <c r="Q938" s="8"/>
      <c r="R938" s="8"/>
      <c r="S938" s="8"/>
      <c r="T938" s="8"/>
      <c r="U938" s="8"/>
      <c r="V938" s="8"/>
      <c r="W938" s="8"/>
      <c r="X938" s="8"/>
      <c r="Y938" s="8"/>
      <c r="Z938" s="8"/>
      <c r="AA938" s="8"/>
      <c r="AB938" s="8"/>
      <c r="AD938" s="8"/>
      <c r="AE938" s="8"/>
      <c r="AF938" s="8"/>
      <c r="AG938" s="8"/>
      <c r="AH938" s="8"/>
      <c r="AI938" s="8"/>
      <c r="AJ938" s="8"/>
      <c r="AK938" s="8"/>
      <c r="AL938" s="8"/>
      <c r="AM938" s="8"/>
      <c r="AN938" s="8"/>
      <c r="AO938" s="8"/>
    </row>
    <row r="939" spans="7:41" x14ac:dyDescent="0.2">
      <c r="G939" s="8"/>
      <c r="H939" s="8"/>
      <c r="I939" s="8"/>
      <c r="J939" s="8"/>
      <c r="K939" s="8"/>
      <c r="L939" s="8"/>
      <c r="M939" s="8"/>
      <c r="N939" s="8"/>
      <c r="O939" s="8"/>
      <c r="Q939" s="8"/>
      <c r="R939" s="8"/>
      <c r="S939" s="8"/>
      <c r="T939" s="8"/>
      <c r="U939" s="8"/>
      <c r="V939" s="8"/>
      <c r="W939" s="8"/>
      <c r="X939" s="8"/>
      <c r="Y939" s="8"/>
      <c r="Z939" s="8"/>
      <c r="AA939" s="8"/>
      <c r="AB939" s="8"/>
      <c r="AD939" s="8"/>
      <c r="AE939" s="8"/>
      <c r="AF939" s="8"/>
      <c r="AG939" s="8"/>
      <c r="AH939" s="8"/>
      <c r="AI939" s="8"/>
      <c r="AJ939" s="8"/>
      <c r="AK939" s="8"/>
      <c r="AL939" s="8"/>
      <c r="AM939" s="8"/>
      <c r="AN939" s="8"/>
      <c r="AO939" s="8"/>
    </row>
    <row r="940" spans="7:41" x14ac:dyDescent="0.2">
      <c r="G940" s="8"/>
      <c r="H940" s="8"/>
      <c r="I940" s="8"/>
      <c r="J940" s="8"/>
      <c r="K940" s="8"/>
      <c r="L940" s="8"/>
      <c r="M940" s="8"/>
      <c r="N940" s="8"/>
      <c r="O940" s="8"/>
      <c r="Q940" s="8"/>
      <c r="R940" s="8"/>
      <c r="S940" s="8"/>
      <c r="T940" s="8"/>
      <c r="U940" s="8"/>
      <c r="V940" s="8"/>
      <c r="W940" s="8"/>
      <c r="X940" s="8"/>
      <c r="Y940" s="8"/>
      <c r="Z940" s="8"/>
      <c r="AA940" s="8"/>
      <c r="AB940" s="8"/>
      <c r="AD940" s="8"/>
      <c r="AE940" s="8"/>
      <c r="AF940" s="8"/>
      <c r="AG940" s="8"/>
      <c r="AH940" s="8"/>
      <c r="AI940" s="8"/>
      <c r="AJ940" s="8"/>
      <c r="AK940" s="8"/>
      <c r="AL940" s="8"/>
      <c r="AM940" s="8"/>
      <c r="AN940" s="8"/>
      <c r="AO940" s="8"/>
    </row>
    <row r="941" spans="7:41" x14ac:dyDescent="0.2">
      <c r="G941" s="8"/>
      <c r="H941" s="8"/>
      <c r="I941" s="8"/>
      <c r="J941" s="8"/>
      <c r="K941" s="8"/>
      <c r="L941" s="8"/>
      <c r="M941" s="8"/>
      <c r="N941" s="8"/>
      <c r="O941" s="8"/>
      <c r="Q941" s="8"/>
      <c r="R941" s="8"/>
      <c r="S941" s="8"/>
      <c r="T941" s="8"/>
      <c r="U941" s="8"/>
      <c r="V941" s="8"/>
      <c r="W941" s="8"/>
      <c r="X941" s="8"/>
      <c r="Y941" s="8"/>
      <c r="Z941" s="8"/>
      <c r="AA941" s="8"/>
      <c r="AB941" s="8"/>
      <c r="AD941" s="8"/>
      <c r="AE941" s="8"/>
      <c r="AF941" s="8"/>
      <c r="AG941" s="8"/>
      <c r="AH941" s="8"/>
      <c r="AI941" s="8"/>
      <c r="AJ941" s="8"/>
      <c r="AK941" s="8"/>
      <c r="AL941" s="8"/>
      <c r="AM941" s="8"/>
      <c r="AN941" s="8"/>
      <c r="AO941" s="8"/>
    </row>
    <row r="942" spans="7:41" x14ac:dyDescent="0.2">
      <c r="G942" s="8"/>
      <c r="H942" s="8"/>
      <c r="I942" s="8"/>
      <c r="J942" s="8"/>
      <c r="K942" s="8"/>
      <c r="L942" s="8"/>
      <c r="M942" s="8"/>
      <c r="N942" s="8"/>
      <c r="O942" s="8"/>
      <c r="Q942" s="8"/>
      <c r="R942" s="8"/>
      <c r="S942" s="8"/>
      <c r="T942" s="8"/>
      <c r="U942" s="8"/>
      <c r="V942" s="8"/>
      <c r="W942" s="8"/>
      <c r="X942" s="8"/>
      <c r="Y942" s="8"/>
      <c r="Z942" s="8"/>
      <c r="AA942" s="8"/>
      <c r="AB942" s="8"/>
      <c r="AD942" s="8"/>
      <c r="AE942" s="8"/>
      <c r="AF942" s="8"/>
      <c r="AG942" s="8"/>
      <c r="AH942" s="8"/>
      <c r="AI942" s="8"/>
      <c r="AJ942" s="8"/>
      <c r="AK942" s="8"/>
      <c r="AL942" s="8"/>
      <c r="AM942" s="8"/>
      <c r="AN942" s="8"/>
      <c r="AO942" s="8"/>
    </row>
    <row r="943" spans="7:41" x14ac:dyDescent="0.2">
      <c r="G943" s="8"/>
      <c r="H943" s="8"/>
      <c r="I943" s="8"/>
      <c r="J943" s="8"/>
      <c r="K943" s="8"/>
      <c r="L943" s="8"/>
      <c r="M943" s="8"/>
      <c r="N943" s="8"/>
      <c r="O943" s="8"/>
      <c r="Q943" s="8"/>
      <c r="R943" s="8"/>
      <c r="S943" s="8"/>
      <c r="T943" s="8"/>
      <c r="U943" s="8"/>
      <c r="V943" s="8"/>
      <c r="W943" s="8"/>
      <c r="X943" s="8"/>
      <c r="Y943" s="8"/>
      <c r="Z943" s="8"/>
      <c r="AA943" s="8"/>
      <c r="AB943" s="8"/>
      <c r="AD943" s="8"/>
      <c r="AE943" s="8"/>
      <c r="AF943" s="8"/>
      <c r="AG943" s="8"/>
      <c r="AH943" s="8"/>
      <c r="AI943" s="8"/>
      <c r="AJ943" s="8"/>
      <c r="AK943" s="8"/>
      <c r="AL943" s="8"/>
      <c r="AM943" s="8"/>
      <c r="AN943" s="8"/>
      <c r="AO943" s="8"/>
    </row>
    <row r="944" spans="7:41" x14ac:dyDescent="0.2">
      <c r="G944" s="8"/>
      <c r="H944" s="8"/>
      <c r="I944" s="8"/>
      <c r="J944" s="8"/>
      <c r="K944" s="8"/>
      <c r="L944" s="8"/>
      <c r="M944" s="8"/>
      <c r="N944" s="8"/>
      <c r="O944" s="8"/>
      <c r="Q944" s="8"/>
      <c r="R944" s="8"/>
      <c r="S944" s="8"/>
      <c r="T944" s="8"/>
      <c r="U944" s="8"/>
      <c r="V944" s="8"/>
      <c r="W944" s="8"/>
      <c r="X944" s="8"/>
      <c r="Y944" s="8"/>
      <c r="Z944" s="8"/>
      <c r="AA944" s="8"/>
      <c r="AB944" s="8"/>
      <c r="AD944" s="8"/>
      <c r="AE944" s="8"/>
      <c r="AF944" s="8"/>
      <c r="AG944" s="8"/>
      <c r="AH944" s="8"/>
      <c r="AI944" s="8"/>
      <c r="AJ944" s="8"/>
      <c r="AK944" s="8"/>
      <c r="AL944" s="8"/>
      <c r="AM944" s="8"/>
      <c r="AN944" s="8"/>
      <c r="AO944" s="8"/>
    </row>
    <row r="945" spans="7:41" x14ac:dyDescent="0.2">
      <c r="G945" s="8"/>
      <c r="H945" s="8"/>
      <c r="I945" s="8"/>
      <c r="J945" s="8"/>
      <c r="K945" s="8"/>
      <c r="L945" s="8"/>
      <c r="M945" s="8"/>
      <c r="N945" s="8"/>
      <c r="O945" s="8"/>
      <c r="Q945" s="8"/>
      <c r="R945" s="8"/>
      <c r="S945" s="8"/>
      <c r="T945" s="8"/>
      <c r="U945" s="8"/>
      <c r="V945" s="8"/>
      <c r="W945" s="8"/>
      <c r="X945" s="8"/>
      <c r="Y945" s="8"/>
      <c r="Z945" s="8"/>
      <c r="AA945" s="8"/>
      <c r="AB945" s="8"/>
      <c r="AD945" s="8"/>
      <c r="AE945" s="8"/>
      <c r="AF945" s="8"/>
      <c r="AG945" s="8"/>
      <c r="AH945" s="8"/>
      <c r="AI945" s="8"/>
      <c r="AJ945" s="8"/>
      <c r="AK945" s="8"/>
      <c r="AL945" s="8"/>
      <c r="AM945" s="8"/>
      <c r="AN945" s="8"/>
      <c r="AO945" s="8"/>
    </row>
    <row r="946" spans="7:41" x14ac:dyDescent="0.2">
      <c r="G946" s="8"/>
      <c r="H946" s="8"/>
      <c r="I946" s="8"/>
      <c r="J946" s="8"/>
      <c r="K946" s="8"/>
      <c r="L946" s="8"/>
      <c r="M946" s="8"/>
      <c r="N946" s="8"/>
      <c r="O946" s="8"/>
      <c r="Q946" s="8"/>
      <c r="R946" s="8"/>
      <c r="S946" s="8"/>
      <c r="T946" s="8"/>
      <c r="U946" s="8"/>
      <c r="V946" s="8"/>
      <c r="W946" s="8"/>
      <c r="X946" s="8"/>
      <c r="Y946" s="8"/>
      <c r="Z946" s="8"/>
      <c r="AA946" s="8"/>
      <c r="AB946" s="8"/>
      <c r="AD946" s="8"/>
      <c r="AE946" s="8"/>
      <c r="AF946" s="8"/>
      <c r="AG946" s="8"/>
      <c r="AH946" s="8"/>
      <c r="AI946" s="8"/>
      <c r="AJ946" s="8"/>
      <c r="AK946" s="8"/>
      <c r="AL946" s="8"/>
      <c r="AM946" s="8"/>
      <c r="AN946" s="8"/>
      <c r="AO946" s="8"/>
    </row>
    <row r="947" spans="7:41" x14ac:dyDescent="0.2">
      <c r="G947" s="8"/>
      <c r="H947" s="8"/>
      <c r="I947" s="8"/>
      <c r="J947" s="8"/>
      <c r="K947" s="8"/>
      <c r="L947" s="8"/>
      <c r="M947" s="8"/>
      <c r="N947" s="8"/>
      <c r="O947" s="8"/>
      <c r="Q947" s="8"/>
      <c r="R947" s="8"/>
      <c r="S947" s="8"/>
      <c r="T947" s="8"/>
      <c r="U947" s="8"/>
      <c r="V947" s="8"/>
      <c r="W947" s="8"/>
      <c r="X947" s="8"/>
      <c r="Y947" s="8"/>
      <c r="Z947" s="8"/>
      <c r="AA947" s="8"/>
      <c r="AB947" s="8"/>
      <c r="AD947" s="8"/>
      <c r="AE947" s="8"/>
      <c r="AF947" s="8"/>
      <c r="AG947" s="8"/>
      <c r="AH947" s="8"/>
      <c r="AI947" s="8"/>
      <c r="AJ947" s="8"/>
      <c r="AK947" s="8"/>
      <c r="AL947" s="8"/>
      <c r="AM947" s="8"/>
      <c r="AN947" s="8"/>
      <c r="AO947" s="8"/>
    </row>
    <row r="948" spans="7:41" x14ac:dyDescent="0.2">
      <c r="G948" s="8"/>
      <c r="H948" s="8"/>
      <c r="I948" s="8"/>
      <c r="J948" s="8"/>
      <c r="K948" s="8"/>
      <c r="L948" s="8"/>
      <c r="M948" s="8"/>
      <c r="N948" s="8"/>
      <c r="O948" s="8"/>
      <c r="Q948" s="8"/>
      <c r="R948" s="8"/>
      <c r="S948" s="8"/>
      <c r="T948" s="8"/>
      <c r="U948" s="8"/>
      <c r="V948" s="8"/>
      <c r="W948" s="8"/>
      <c r="X948" s="8"/>
      <c r="Y948" s="8"/>
      <c r="Z948" s="8"/>
      <c r="AA948" s="8"/>
      <c r="AB948" s="8"/>
      <c r="AD948" s="8"/>
      <c r="AE948" s="8"/>
      <c r="AF948" s="8"/>
      <c r="AG948" s="8"/>
      <c r="AH948" s="8"/>
      <c r="AI948" s="8"/>
      <c r="AJ948" s="8"/>
      <c r="AK948" s="8"/>
      <c r="AL948" s="8"/>
      <c r="AM948" s="8"/>
      <c r="AN948" s="8"/>
      <c r="AO948" s="8"/>
    </row>
    <row r="949" spans="7:41" x14ac:dyDescent="0.2">
      <c r="G949" s="8"/>
      <c r="H949" s="8"/>
      <c r="I949" s="8"/>
      <c r="J949" s="8"/>
      <c r="K949" s="8"/>
      <c r="L949" s="8"/>
      <c r="M949" s="8"/>
      <c r="N949" s="8"/>
      <c r="O949" s="8"/>
      <c r="Q949" s="8"/>
      <c r="R949" s="8"/>
      <c r="S949" s="8"/>
      <c r="T949" s="8"/>
      <c r="U949" s="8"/>
      <c r="V949" s="8"/>
      <c r="W949" s="8"/>
      <c r="X949" s="8"/>
      <c r="Y949" s="8"/>
      <c r="Z949" s="8"/>
      <c r="AA949" s="8"/>
      <c r="AB949" s="8"/>
      <c r="AD949" s="8"/>
      <c r="AE949" s="8"/>
      <c r="AF949" s="8"/>
      <c r="AG949" s="8"/>
      <c r="AH949" s="8"/>
      <c r="AI949" s="8"/>
      <c r="AJ949" s="8"/>
      <c r="AK949" s="8"/>
      <c r="AL949" s="8"/>
      <c r="AM949" s="8"/>
      <c r="AN949" s="8"/>
      <c r="AO949" s="8"/>
    </row>
    <row r="950" spans="7:41" x14ac:dyDescent="0.2">
      <c r="G950" s="8"/>
      <c r="H950" s="8"/>
      <c r="I950" s="8"/>
      <c r="J950" s="8"/>
      <c r="K950" s="8"/>
      <c r="L950" s="8"/>
      <c r="M950" s="8"/>
      <c r="N950" s="8"/>
      <c r="O950" s="8"/>
      <c r="Q950" s="8"/>
      <c r="R950" s="8"/>
      <c r="S950" s="8"/>
      <c r="T950" s="8"/>
      <c r="U950" s="8"/>
      <c r="V950" s="8"/>
      <c r="W950" s="8"/>
      <c r="X950" s="8"/>
      <c r="Y950" s="8"/>
      <c r="Z950" s="8"/>
      <c r="AA950" s="8"/>
      <c r="AB950" s="8"/>
      <c r="AD950" s="8"/>
      <c r="AE950" s="8"/>
      <c r="AF950" s="8"/>
      <c r="AG950" s="8"/>
      <c r="AH950" s="8"/>
      <c r="AI950" s="8"/>
      <c r="AJ950" s="8"/>
      <c r="AK950" s="8"/>
      <c r="AL950" s="8"/>
      <c r="AM950" s="8"/>
      <c r="AN950" s="8"/>
      <c r="AO950" s="8"/>
    </row>
    <row r="951" spans="7:41" x14ac:dyDescent="0.2">
      <c r="G951" s="8"/>
      <c r="H951" s="8"/>
      <c r="I951" s="8"/>
      <c r="J951" s="8"/>
      <c r="K951" s="8"/>
      <c r="L951" s="8"/>
      <c r="M951" s="8"/>
      <c r="N951" s="8"/>
      <c r="O951" s="8"/>
      <c r="Q951" s="8"/>
      <c r="R951" s="8"/>
      <c r="S951" s="8"/>
      <c r="T951" s="8"/>
      <c r="U951" s="8"/>
      <c r="V951" s="8"/>
      <c r="W951" s="8"/>
      <c r="X951" s="8"/>
      <c r="Y951" s="8"/>
      <c r="Z951" s="8"/>
      <c r="AA951" s="8"/>
      <c r="AB951" s="8"/>
      <c r="AD951" s="8"/>
      <c r="AE951" s="8"/>
      <c r="AF951" s="8"/>
      <c r="AG951" s="8"/>
      <c r="AH951" s="8"/>
      <c r="AI951" s="8"/>
      <c r="AJ951" s="8"/>
      <c r="AK951" s="8"/>
      <c r="AL951" s="8"/>
      <c r="AM951" s="8"/>
      <c r="AN951" s="8"/>
      <c r="AO951" s="8"/>
    </row>
    <row r="952" spans="7:41" x14ac:dyDescent="0.2">
      <c r="G952" s="8"/>
      <c r="H952" s="8"/>
      <c r="I952" s="8"/>
      <c r="J952" s="8"/>
      <c r="K952" s="8"/>
      <c r="L952" s="8"/>
      <c r="M952" s="8"/>
      <c r="N952" s="8"/>
      <c r="O952" s="8"/>
      <c r="Q952" s="8"/>
      <c r="R952" s="8"/>
      <c r="S952" s="8"/>
      <c r="T952" s="8"/>
      <c r="U952" s="8"/>
      <c r="V952" s="8"/>
      <c r="W952" s="8"/>
      <c r="X952" s="8"/>
      <c r="Y952" s="8"/>
      <c r="Z952" s="8"/>
      <c r="AA952" s="8"/>
      <c r="AB952" s="8"/>
      <c r="AD952" s="8"/>
      <c r="AE952" s="8"/>
      <c r="AF952" s="8"/>
      <c r="AG952" s="8"/>
      <c r="AH952" s="8"/>
      <c r="AI952" s="8"/>
      <c r="AJ952" s="8"/>
      <c r="AK952" s="8"/>
      <c r="AL952" s="8"/>
      <c r="AM952" s="8"/>
      <c r="AN952" s="8"/>
      <c r="AO952" s="8"/>
    </row>
    <row r="953" spans="7:41" x14ac:dyDescent="0.2">
      <c r="G953" s="8"/>
      <c r="H953" s="8"/>
      <c r="I953" s="8"/>
      <c r="J953" s="8"/>
      <c r="K953" s="8"/>
      <c r="L953" s="8"/>
      <c r="M953" s="8"/>
      <c r="N953" s="8"/>
      <c r="O953" s="8"/>
      <c r="Q953" s="8"/>
      <c r="R953" s="8"/>
      <c r="S953" s="8"/>
      <c r="T953" s="8"/>
      <c r="U953" s="8"/>
      <c r="V953" s="8"/>
      <c r="W953" s="8"/>
      <c r="X953" s="8"/>
      <c r="Y953" s="8"/>
      <c r="Z953" s="8"/>
      <c r="AA953" s="8"/>
      <c r="AB953" s="8"/>
      <c r="AD953" s="8"/>
      <c r="AE953" s="8"/>
      <c r="AF953" s="8"/>
      <c r="AG953" s="8"/>
      <c r="AH953" s="8"/>
      <c r="AI953" s="8"/>
      <c r="AJ953" s="8"/>
      <c r="AK953" s="8"/>
      <c r="AL953" s="8"/>
      <c r="AM953" s="8"/>
      <c r="AN953" s="8"/>
      <c r="AO953" s="8"/>
    </row>
    <row r="954" spans="7:41" x14ac:dyDescent="0.2">
      <c r="G954" s="8"/>
      <c r="H954" s="8"/>
      <c r="I954" s="8"/>
      <c r="J954" s="8"/>
      <c r="K954" s="8"/>
      <c r="L954" s="8"/>
      <c r="M954" s="8"/>
      <c r="N954" s="8"/>
      <c r="O954" s="8"/>
      <c r="Q954" s="8"/>
      <c r="R954" s="8"/>
      <c r="S954" s="8"/>
      <c r="T954" s="8"/>
      <c r="U954" s="8"/>
      <c r="V954" s="8"/>
      <c r="W954" s="8"/>
      <c r="X954" s="8"/>
      <c r="Y954" s="8"/>
      <c r="Z954" s="8"/>
      <c r="AA954" s="8"/>
      <c r="AB954" s="8"/>
      <c r="AD954" s="8"/>
      <c r="AE954" s="8"/>
      <c r="AF954" s="8"/>
      <c r="AG954" s="8"/>
      <c r="AH954" s="8"/>
      <c r="AI954" s="8"/>
      <c r="AJ954" s="8"/>
      <c r="AK954" s="8"/>
      <c r="AL954" s="8"/>
      <c r="AM954" s="8"/>
      <c r="AN954" s="8"/>
      <c r="AO954" s="8"/>
    </row>
    <row r="955" spans="7:41" x14ac:dyDescent="0.2">
      <c r="G955" s="8"/>
      <c r="H955" s="8"/>
      <c r="I955" s="8"/>
      <c r="J955" s="8"/>
      <c r="K955" s="8"/>
      <c r="L955" s="8"/>
      <c r="M955" s="8"/>
      <c r="N955" s="8"/>
      <c r="O955" s="8"/>
      <c r="Q955" s="8"/>
      <c r="R955" s="8"/>
      <c r="S955" s="8"/>
      <c r="T955" s="8"/>
      <c r="U955" s="8"/>
      <c r="V955" s="8"/>
      <c r="W955" s="8"/>
      <c r="X955" s="8"/>
      <c r="Y955" s="8"/>
      <c r="Z955" s="8"/>
      <c r="AA955" s="8"/>
      <c r="AB955" s="8"/>
      <c r="AD955" s="8"/>
      <c r="AE955" s="8"/>
      <c r="AF955" s="8"/>
      <c r="AG955" s="8"/>
      <c r="AH955" s="8"/>
      <c r="AI955" s="8"/>
      <c r="AJ955" s="8"/>
      <c r="AK955" s="8"/>
      <c r="AL955" s="8"/>
      <c r="AM955" s="8"/>
      <c r="AN955" s="8"/>
      <c r="AO955" s="8"/>
    </row>
    <row r="956" spans="7:41" x14ac:dyDescent="0.2">
      <c r="G956" s="8"/>
      <c r="H956" s="8"/>
      <c r="I956" s="8"/>
      <c r="J956" s="8"/>
      <c r="K956" s="8"/>
      <c r="L956" s="8"/>
      <c r="M956" s="8"/>
      <c r="N956" s="8"/>
      <c r="O956" s="8"/>
      <c r="Q956" s="8"/>
      <c r="R956" s="8"/>
      <c r="S956" s="8"/>
      <c r="T956" s="8"/>
      <c r="U956" s="8"/>
      <c r="V956" s="8"/>
      <c r="W956" s="8"/>
      <c r="X956" s="8"/>
      <c r="Y956" s="8"/>
      <c r="Z956" s="8"/>
      <c r="AA956" s="8"/>
      <c r="AB956" s="8"/>
      <c r="AD956" s="8"/>
      <c r="AE956" s="8"/>
      <c r="AF956" s="8"/>
      <c r="AG956" s="8"/>
      <c r="AH956" s="8"/>
      <c r="AI956" s="8"/>
      <c r="AJ956" s="8"/>
      <c r="AK956" s="8"/>
      <c r="AL956" s="8"/>
      <c r="AM956" s="8"/>
      <c r="AN956" s="8"/>
      <c r="AO956" s="8"/>
    </row>
    <row r="957" spans="7:41" x14ac:dyDescent="0.2">
      <c r="G957" s="8"/>
      <c r="H957" s="8"/>
      <c r="I957" s="8"/>
      <c r="J957" s="8"/>
      <c r="K957" s="8"/>
      <c r="L957" s="8"/>
      <c r="M957" s="8"/>
      <c r="N957" s="8"/>
      <c r="O957" s="8"/>
      <c r="Q957" s="8"/>
      <c r="R957" s="8"/>
      <c r="S957" s="8"/>
      <c r="T957" s="8"/>
      <c r="U957" s="8"/>
      <c r="V957" s="8"/>
      <c r="W957" s="8"/>
      <c r="X957" s="8"/>
      <c r="Y957" s="8"/>
      <c r="Z957" s="8"/>
      <c r="AA957" s="8"/>
      <c r="AB957" s="8"/>
      <c r="AD957" s="8"/>
      <c r="AE957" s="8"/>
      <c r="AF957" s="8"/>
      <c r="AG957" s="8"/>
      <c r="AH957" s="8"/>
      <c r="AI957" s="8"/>
      <c r="AJ957" s="8"/>
      <c r="AK957" s="8"/>
      <c r="AL957" s="8"/>
      <c r="AM957" s="8"/>
      <c r="AN957" s="8"/>
      <c r="AO957" s="8"/>
    </row>
    <row r="958" spans="7:41" x14ac:dyDescent="0.2">
      <c r="G958" s="8"/>
      <c r="H958" s="8"/>
      <c r="I958" s="8"/>
      <c r="J958" s="8"/>
      <c r="K958" s="8"/>
      <c r="L958" s="8"/>
      <c r="M958" s="8"/>
      <c r="N958" s="8"/>
      <c r="O958" s="8"/>
      <c r="Q958" s="8"/>
      <c r="R958" s="8"/>
      <c r="S958" s="8"/>
      <c r="T958" s="8"/>
      <c r="U958" s="8"/>
      <c r="V958" s="8"/>
      <c r="W958" s="8"/>
      <c r="X958" s="8"/>
      <c r="Y958" s="8"/>
      <c r="Z958" s="8"/>
      <c r="AA958" s="8"/>
      <c r="AB958" s="8"/>
      <c r="AD958" s="8"/>
      <c r="AE958" s="8"/>
      <c r="AF958" s="8"/>
      <c r="AG958" s="8"/>
      <c r="AH958" s="8"/>
      <c r="AI958" s="8"/>
      <c r="AJ958" s="8"/>
      <c r="AK958" s="8"/>
      <c r="AL958" s="8"/>
      <c r="AM958" s="8"/>
      <c r="AN958" s="8"/>
      <c r="AO958" s="8"/>
    </row>
    <row r="959" spans="7:41" x14ac:dyDescent="0.2">
      <c r="G959" s="8"/>
      <c r="H959" s="8"/>
      <c r="I959" s="8"/>
      <c r="J959" s="8"/>
      <c r="K959" s="8"/>
      <c r="L959" s="8"/>
      <c r="M959" s="8"/>
      <c r="N959" s="8"/>
      <c r="O959" s="8"/>
      <c r="Q959" s="8"/>
      <c r="R959" s="8"/>
      <c r="S959" s="8"/>
      <c r="T959" s="8"/>
      <c r="U959" s="8"/>
      <c r="V959" s="8"/>
      <c r="W959" s="8"/>
      <c r="X959" s="8"/>
      <c r="Y959" s="8"/>
      <c r="Z959" s="8"/>
      <c r="AA959" s="8"/>
      <c r="AB959" s="8"/>
      <c r="AD959" s="8"/>
      <c r="AE959" s="8"/>
      <c r="AF959" s="8"/>
      <c r="AG959" s="8"/>
      <c r="AH959" s="8"/>
      <c r="AI959" s="8"/>
      <c r="AJ959" s="8"/>
      <c r="AK959" s="8"/>
      <c r="AL959" s="8"/>
      <c r="AM959" s="8"/>
      <c r="AN959" s="8"/>
      <c r="AO959" s="8"/>
    </row>
    <row r="960" spans="7:41" x14ac:dyDescent="0.2">
      <c r="G960" s="8"/>
      <c r="H960" s="8"/>
      <c r="I960" s="8"/>
      <c r="J960" s="8"/>
      <c r="K960" s="8"/>
      <c r="L960" s="8"/>
      <c r="M960" s="8"/>
      <c r="N960" s="8"/>
      <c r="O960" s="8"/>
      <c r="Q960" s="8"/>
      <c r="R960" s="8"/>
      <c r="S960" s="8"/>
      <c r="T960" s="8"/>
      <c r="U960" s="8"/>
      <c r="V960" s="8"/>
      <c r="W960" s="8"/>
      <c r="X960" s="8"/>
      <c r="Y960" s="8"/>
      <c r="Z960" s="8"/>
      <c r="AA960" s="8"/>
      <c r="AB960" s="8"/>
      <c r="AD960" s="8"/>
      <c r="AE960" s="8"/>
      <c r="AF960" s="8"/>
      <c r="AG960" s="8"/>
      <c r="AH960" s="8"/>
      <c r="AI960" s="8"/>
      <c r="AJ960" s="8"/>
      <c r="AK960" s="8"/>
      <c r="AL960" s="8"/>
      <c r="AM960" s="8"/>
      <c r="AN960" s="8"/>
      <c r="AO960" s="8"/>
    </row>
    <row r="961" spans="7:41" x14ac:dyDescent="0.2">
      <c r="G961" s="8"/>
      <c r="H961" s="8"/>
      <c r="I961" s="8"/>
      <c r="J961" s="8"/>
      <c r="K961" s="8"/>
      <c r="L961" s="8"/>
      <c r="M961" s="8"/>
      <c r="N961" s="8"/>
      <c r="O961" s="8"/>
      <c r="Q961" s="8"/>
      <c r="R961" s="8"/>
      <c r="S961" s="8"/>
      <c r="T961" s="8"/>
      <c r="U961" s="8"/>
      <c r="V961" s="8"/>
      <c r="W961" s="8"/>
      <c r="X961" s="8"/>
      <c r="Y961" s="8"/>
      <c r="Z961" s="8"/>
      <c r="AA961" s="8"/>
      <c r="AB961" s="8"/>
      <c r="AD961" s="8"/>
      <c r="AE961" s="8"/>
      <c r="AF961" s="8"/>
      <c r="AG961" s="8"/>
      <c r="AH961" s="8"/>
      <c r="AI961" s="8"/>
      <c r="AJ961" s="8"/>
      <c r="AK961" s="8"/>
      <c r="AL961" s="8"/>
      <c r="AM961" s="8"/>
      <c r="AN961" s="8"/>
      <c r="AO961" s="8"/>
    </row>
    <row r="962" spans="7:41" x14ac:dyDescent="0.2">
      <c r="G962" s="8"/>
      <c r="H962" s="8"/>
      <c r="I962" s="8"/>
      <c r="J962" s="8"/>
      <c r="K962" s="8"/>
      <c r="L962" s="8"/>
      <c r="M962" s="8"/>
      <c r="N962" s="8"/>
      <c r="O962" s="8"/>
      <c r="Q962" s="8"/>
      <c r="R962" s="8"/>
      <c r="S962" s="8"/>
      <c r="T962" s="8"/>
      <c r="U962" s="8"/>
      <c r="V962" s="8"/>
      <c r="W962" s="8"/>
      <c r="X962" s="8"/>
      <c r="Y962" s="8"/>
      <c r="Z962" s="8"/>
      <c r="AA962" s="8"/>
      <c r="AB962" s="8"/>
      <c r="AD962" s="8"/>
      <c r="AE962" s="8"/>
      <c r="AF962" s="8"/>
      <c r="AG962" s="8"/>
      <c r="AH962" s="8"/>
      <c r="AI962" s="8"/>
      <c r="AJ962" s="8"/>
      <c r="AK962" s="8"/>
      <c r="AL962" s="8"/>
      <c r="AM962" s="8"/>
      <c r="AN962" s="8"/>
      <c r="AO962" s="8"/>
    </row>
    <row r="963" spans="7:41" x14ac:dyDescent="0.2">
      <c r="G963" s="8"/>
      <c r="H963" s="8"/>
      <c r="I963" s="8"/>
      <c r="J963" s="8"/>
      <c r="K963" s="8"/>
      <c r="L963" s="8"/>
      <c r="M963" s="8"/>
      <c r="N963" s="8"/>
      <c r="O963" s="8"/>
      <c r="Q963" s="8"/>
      <c r="R963" s="8"/>
      <c r="S963" s="8"/>
      <c r="T963" s="8"/>
      <c r="U963" s="8"/>
      <c r="V963" s="8"/>
      <c r="W963" s="8"/>
      <c r="X963" s="8"/>
      <c r="Y963" s="8"/>
      <c r="Z963" s="8"/>
      <c r="AA963" s="8"/>
      <c r="AB963" s="8"/>
      <c r="AD963" s="8"/>
      <c r="AE963" s="8"/>
      <c r="AF963" s="8"/>
      <c r="AG963" s="8"/>
      <c r="AH963" s="8"/>
      <c r="AI963" s="8"/>
      <c r="AJ963" s="8"/>
      <c r="AK963" s="8"/>
      <c r="AL963" s="8"/>
      <c r="AM963" s="8"/>
      <c r="AN963" s="8"/>
      <c r="AO963" s="8"/>
    </row>
    <row r="964" spans="7:41" x14ac:dyDescent="0.2">
      <c r="G964" s="8"/>
      <c r="H964" s="8"/>
      <c r="I964" s="8"/>
      <c r="J964" s="8"/>
      <c r="K964" s="8"/>
      <c r="L964" s="8"/>
      <c r="M964" s="8"/>
      <c r="N964" s="8"/>
      <c r="O964" s="8"/>
      <c r="Q964" s="8"/>
      <c r="R964" s="8"/>
      <c r="S964" s="8"/>
      <c r="T964" s="8"/>
      <c r="U964" s="8"/>
      <c r="V964" s="8"/>
      <c r="W964" s="8"/>
      <c r="X964" s="8"/>
      <c r="Y964" s="8"/>
      <c r="Z964" s="8"/>
      <c r="AA964" s="8"/>
      <c r="AB964" s="8"/>
      <c r="AD964" s="8"/>
      <c r="AE964" s="8"/>
      <c r="AF964" s="8"/>
      <c r="AG964" s="8"/>
      <c r="AH964" s="8"/>
      <c r="AI964" s="8"/>
      <c r="AJ964" s="8"/>
      <c r="AK964" s="8"/>
      <c r="AL964" s="8"/>
      <c r="AM964" s="8"/>
      <c r="AN964" s="8"/>
      <c r="AO964" s="8"/>
    </row>
    <row r="965" spans="7:41" x14ac:dyDescent="0.2">
      <c r="G965" s="8"/>
      <c r="H965" s="8"/>
      <c r="I965" s="8"/>
      <c r="J965" s="8"/>
      <c r="K965" s="8"/>
      <c r="L965" s="8"/>
      <c r="M965" s="8"/>
      <c r="N965" s="8"/>
      <c r="O965" s="8"/>
      <c r="Q965" s="8"/>
      <c r="R965" s="8"/>
      <c r="S965" s="8"/>
      <c r="T965" s="8"/>
      <c r="U965" s="8"/>
      <c r="V965" s="8"/>
      <c r="W965" s="8"/>
      <c r="X965" s="8"/>
      <c r="Y965" s="8"/>
      <c r="Z965" s="8"/>
      <c r="AA965" s="8"/>
      <c r="AB965" s="8"/>
      <c r="AD965" s="8"/>
      <c r="AE965" s="8"/>
      <c r="AF965" s="8"/>
      <c r="AG965" s="8"/>
      <c r="AH965" s="8"/>
      <c r="AI965" s="8"/>
      <c r="AJ965" s="8"/>
      <c r="AK965" s="8"/>
      <c r="AL965" s="8"/>
      <c r="AM965" s="8"/>
      <c r="AN965" s="8"/>
      <c r="AO965" s="8"/>
    </row>
    <row r="966" spans="7:41" x14ac:dyDescent="0.2">
      <c r="G966" s="8"/>
      <c r="H966" s="8"/>
      <c r="I966" s="8"/>
      <c r="J966" s="8"/>
      <c r="K966" s="8"/>
      <c r="L966" s="8"/>
      <c r="M966" s="8"/>
      <c r="N966" s="8"/>
      <c r="O966" s="8"/>
      <c r="Q966" s="8"/>
      <c r="R966" s="8"/>
      <c r="S966" s="8"/>
      <c r="T966" s="8"/>
      <c r="U966" s="8"/>
      <c r="V966" s="8"/>
      <c r="W966" s="8"/>
      <c r="X966" s="8"/>
      <c r="Y966" s="8"/>
      <c r="Z966" s="8"/>
      <c r="AA966" s="8"/>
      <c r="AB966" s="8"/>
      <c r="AD966" s="8"/>
      <c r="AE966" s="8"/>
      <c r="AF966" s="8"/>
      <c r="AG966" s="8"/>
      <c r="AH966" s="8"/>
      <c r="AI966" s="8"/>
      <c r="AJ966" s="8"/>
      <c r="AK966" s="8"/>
      <c r="AL966" s="8"/>
      <c r="AM966" s="8"/>
      <c r="AN966" s="8"/>
      <c r="AO966" s="8"/>
    </row>
    <row r="967" spans="7:41" x14ac:dyDescent="0.2">
      <c r="G967" s="8"/>
      <c r="H967" s="8"/>
      <c r="I967" s="8"/>
      <c r="J967" s="8"/>
      <c r="K967" s="8"/>
      <c r="L967" s="8"/>
      <c r="M967" s="8"/>
      <c r="N967" s="8"/>
      <c r="O967" s="8"/>
      <c r="Q967" s="8"/>
      <c r="R967" s="8"/>
      <c r="S967" s="8"/>
      <c r="T967" s="8"/>
      <c r="U967" s="8"/>
      <c r="V967" s="8"/>
      <c r="W967" s="8"/>
      <c r="X967" s="8"/>
      <c r="Y967" s="8"/>
      <c r="Z967" s="8"/>
      <c r="AA967" s="8"/>
      <c r="AB967" s="8"/>
      <c r="AD967" s="8"/>
      <c r="AE967" s="8"/>
      <c r="AF967" s="8"/>
      <c r="AG967" s="8"/>
      <c r="AH967" s="8"/>
      <c r="AI967" s="8"/>
      <c r="AJ967" s="8"/>
      <c r="AK967" s="8"/>
      <c r="AL967" s="8"/>
      <c r="AM967" s="8"/>
      <c r="AN967" s="8"/>
      <c r="AO967" s="8"/>
    </row>
    <row r="968" spans="7:41" x14ac:dyDescent="0.2">
      <c r="G968" s="8"/>
      <c r="H968" s="8"/>
      <c r="I968" s="8"/>
      <c r="J968" s="8"/>
      <c r="K968" s="8"/>
      <c r="L968" s="8"/>
      <c r="M968" s="8"/>
      <c r="N968" s="8"/>
      <c r="O968" s="8"/>
      <c r="Q968" s="8"/>
      <c r="R968" s="8"/>
      <c r="S968" s="8"/>
      <c r="T968" s="8"/>
      <c r="U968" s="8"/>
      <c r="V968" s="8"/>
      <c r="W968" s="8"/>
      <c r="X968" s="8"/>
      <c r="Y968" s="8"/>
      <c r="Z968" s="8"/>
      <c r="AA968" s="8"/>
      <c r="AB968" s="8"/>
      <c r="AD968" s="8"/>
      <c r="AE968" s="8"/>
      <c r="AF968" s="8"/>
      <c r="AG968" s="8"/>
      <c r="AH968" s="8"/>
      <c r="AI968" s="8"/>
      <c r="AJ968" s="8"/>
      <c r="AK968" s="8"/>
      <c r="AL968" s="8"/>
      <c r="AM968" s="8"/>
      <c r="AN968" s="8"/>
      <c r="AO968" s="8"/>
    </row>
    <row r="969" spans="7:41" x14ac:dyDescent="0.2">
      <c r="G969" s="8"/>
      <c r="H969" s="8"/>
      <c r="I969" s="8"/>
      <c r="J969" s="8"/>
      <c r="K969" s="8"/>
      <c r="L969" s="8"/>
      <c r="M969" s="8"/>
      <c r="N969" s="8"/>
      <c r="O969" s="8"/>
      <c r="Q969" s="8"/>
      <c r="R969" s="8"/>
      <c r="S969" s="8"/>
      <c r="T969" s="8"/>
      <c r="U969" s="8"/>
      <c r="V969" s="8"/>
      <c r="W969" s="8"/>
      <c r="X969" s="8"/>
      <c r="Y969" s="8"/>
      <c r="Z969" s="8"/>
      <c r="AA969" s="8"/>
      <c r="AB969" s="8"/>
      <c r="AD969" s="8"/>
      <c r="AE969" s="8"/>
      <c r="AF969" s="8"/>
      <c r="AG969" s="8"/>
      <c r="AH969" s="8"/>
      <c r="AI969" s="8"/>
      <c r="AJ969" s="8"/>
      <c r="AK969" s="8"/>
      <c r="AL969" s="8"/>
      <c r="AM969" s="8"/>
      <c r="AN969" s="8"/>
      <c r="AO969" s="8"/>
    </row>
    <row r="970" spans="7:41" x14ac:dyDescent="0.2">
      <c r="G970" s="8"/>
      <c r="H970" s="8"/>
      <c r="I970" s="8"/>
      <c r="J970" s="8"/>
      <c r="K970" s="8"/>
      <c r="L970" s="8"/>
      <c r="M970" s="8"/>
      <c r="N970" s="8"/>
      <c r="O970" s="8"/>
      <c r="Q970" s="8"/>
      <c r="R970" s="8"/>
      <c r="S970" s="8"/>
      <c r="T970" s="8"/>
      <c r="U970" s="8"/>
      <c r="V970" s="8"/>
      <c r="W970" s="8"/>
      <c r="X970" s="8"/>
      <c r="Y970" s="8"/>
      <c r="Z970" s="8"/>
      <c r="AA970" s="8"/>
      <c r="AB970" s="8"/>
      <c r="AD970" s="8"/>
      <c r="AE970" s="8"/>
      <c r="AF970" s="8"/>
      <c r="AG970" s="8"/>
      <c r="AH970" s="8"/>
      <c r="AI970" s="8"/>
      <c r="AJ970" s="8"/>
      <c r="AK970" s="8"/>
      <c r="AL970" s="8"/>
      <c r="AM970" s="8"/>
      <c r="AN970" s="8"/>
      <c r="AO970" s="8"/>
    </row>
    <row r="971" spans="7:41" x14ac:dyDescent="0.2">
      <c r="G971" s="8"/>
      <c r="H971" s="8"/>
      <c r="I971" s="8"/>
      <c r="J971" s="8"/>
      <c r="K971" s="8"/>
      <c r="L971" s="8"/>
      <c r="M971" s="8"/>
      <c r="N971" s="8"/>
      <c r="O971" s="8"/>
      <c r="Q971" s="8"/>
      <c r="R971" s="8"/>
      <c r="S971" s="8"/>
      <c r="T971" s="8"/>
      <c r="U971" s="8"/>
      <c r="V971" s="8"/>
      <c r="W971" s="8"/>
      <c r="X971" s="8"/>
      <c r="Y971" s="8"/>
      <c r="Z971" s="8"/>
      <c r="AA971" s="8"/>
      <c r="AB971" s="8"/>
      <c r="AD971" s="8"/>
      <c r="AE971" s="8"/>
      <c r="AF971" s="8"/>
      <c r="AG971" s="8"/>
      <c r="AH971" s="8"/>
      <c r="AI971" s="8"/>
      <c r="AJ971" s="8"/>
      <c r="AK971" s="8"/>
      <c r="AL971" s="8"/>
      <c r="AM971" s="8"/>
      <c r="AN971" s="8"/>
      <c r="AO971" s="8"/>
    </row>
    <row r="972" spans="7:41" x14ac:dyDescent="0.2">
      <c r="G972" s="8"/>
      <c r="H972" s="8"/>
      <c r="I972" s="8"/>
      <c r="J972" s="8"/>
      <c r="K972" s="8"/>
      <c r="L972" s="8"/>
      <c r="M972" s="8"/>
      <c r="N972" s="8"/>
      <c r="O972" s="8"/>
      <c r="Q972" s="8"/>
      <c r="R972" s="8"/>
      <c r="S972" s="8"/>
      <c r="T972" s="8"/>
      <c r="U972" s="8"/>
      <c r="V972" s="8"/>
      <c r="W972" s="8"/>
      <c r="X972" s="8"/>
      <c r="Y972" s="8"/>
      <c r="Z972" s="8"/>
      <c r="AA972" s="8"/>
      <c r="AB972" s="8"/>
      <c r="AD972" s="8"/>
      <c r="AE972" s="8"/>
      <c r="AF972" s="8"/>
      <c r="AG972" s="8"/>
      <c r="AH972" s="8"/>
      <c r="AI972" s="8"/>
      <c r="AJ972" s="8"/>
      <c r="AK972" s="8"/>
      <c r="AL972" s="8"/>
      <c r="AM972" s="8"/>
      <c r="AN972" s="8"/>
      <c r="AO972" s="8"/>
    </row>
    <row r="973" spans="7:41" x14ac:dyDescent="0.2">
      <c r="G973" s="8"/>
      <c r="H973" s="8"/>
      <c r="I973" s="8"/>
      <c r="J973" s="8"/>
      <c r="K973" s="8"/>
      <c r="L973" s="8"/>
      <c r="M973" s="8"/>
      <c r="N973" s="8"/>
      <c r="O973" s="8"/>
      <c r="Q973" s="8"/>
      <c r="R973" s="8"/>
      <c r="S973" s="8"/>
      <c r="T973" s="8"/>
      <c r="U973" s="8"/>
      <c r="V973" s="8"/>
      <c r="W973" s="8"/>
      <c r="X973" s="8"/>
      <c r="Y973" s="8"/>
      <c r="Z973" s="8"/>
      <c r="AA973" s="8"/>
      <c r="AB973" s="8"/>
      <c r="AD973" s="8"/>
      <c r="AE973" s="8"/>
      <c r="AF973" s="8"/>
      <c r="AG973" s="8"/>
      <c r="AH973" s="8"/>
      <c r="AI973" s="8"/>
      <c r="AJ973" s="8"/>
      <c r="AK973" s="8"/>
      <c r="AL973" s="8"/>
      <c r="AM973" s="8"/>
      <c r="AN973" s="8"/>
      <c r="AO973" s="8"/>
    </row>
    <row r="974" spans="7:41" x14ac:dyDescent="0.2">
      <c r="G974" s="8"/>
      <c r="H974" s="8"/>
      <c r="I974" s="8"/>
      <c r="J974" s="8"/>
      <c r="K974" s="8"/>
      <c r="L974" s="8"/>
      <c r="M974" s="8"/>
      <c r="N974" s="8"/>
      <c r="O974" s="8"/>
      <c r="Q974" s="8"/>
      <c r="R974" s="8"/>
      <c r="S974" s="8"/>
      <c r="T974" s="8"/>
      <c r="U974" s="8"/>
      <c r="V974" s="8"/>
      <c r="W974" s="8"/>
      <c r="X974" s="8"/>
      <c r="Y974" s="8"/>
      <c r="Z974" s="8"/>
      <c r="AA974" s="8"/>
      <c r="AB974" s="8"/>
      <c r="AD974" s="8"/>
      <c r="AE974" s="8"/>
      <c r="AF974" s="8"/>
      <c r="AG974" s="8"/>
      <c r="AH974" s="8"/>
      <c r="AI974" s="8"/>
      <c r="AJ974" s="8"/>
      <c r="AK974" s="8"/>
      <c r="AL974" s="8"/>
      <c r="AM974" s="8"/>
      <c r="AN974" s="8"/>
      <c r="AO974" s="8"/>
    </row>
    <row r="975" spans="7:41" x14ac:dyDescent="0.2">
      <c r="G975" s="8"/>
      <c r="H975" s="8"/>
      <c r="I975" s="8"/>
      <c r="J975" s="8"/>
      <c r="K975" s="8"/>
      <c r="L975" s="8"/>
      <c r="M975" s="8"/>
      <c r="N975" s="8"/>
      <c r="O975" s="8"/>
      <c r="Q975" s="8"/>
      <c r="R975" s="8"/>
      <c r="S975" s="8"/>
      <c r="T975" s="8"/>
      <c r="U975" s="8"/>
      <c r="V975" s="8"/>
      <c r="W975" s="8"/>
      <c r="X975" s="8"/>
      <c r="Y975" s="8"/>
      <c r="Z975" s="8"/>
      <c r="AA975" s="8"/>
      <c r="AB975" s="8"/>
      <c r="AD975" s="8"/>
      <c r="AE975" s="8"/>
      <c r="AF975" s="8"/>
      <c r="AG975" s="8"/>
      <c r="AH975" s="8"/>
      <c r="AI975" s="8"/>
      <c r="AJ975" s="8"/>
      <c r="AK975" s="8"/>
      <c r="AL975" s="8"/>
      <c r="AM975" s="8"/>
      <c r="AN975" s="8"/>
      <c r="AO975" s="8"/>
    </row>
    <row r="976" spans="7:41" x14ac:dyDescent="0.2">
      <c r="G976" s="8"/>
      <c r="H976" s="8"/>
      <c r="I976" s="8"/>
      <c r="J976" s="8"/>
      <c r="K976" s="8"/>
      <c r="L976" s="8"/>
      <c r="M976" s="8"/>
      <c r="N976" s="8"/>
      <c r="O976" s="8"/>
      <c r="Q976" s="8"/>
      <c r="R976" s="8"/>
      <c r="S976" s="8"/>
      <c r="T976" s="8"/>
      <c r="U976" s="8"/>
      <c r="V976" s="8"/>
      <c r="W976" s="8"/>
      <c r="X976" s="8"/>
      <c r="Y976" s="8"/>
      <c r="Z976" s="8"/>
      <c r="AA976" s="8"/>
      <c r="AB976" s="8"/>
      <c r="AD976" s="8"/>
      <c r="AE976" s="8"/>
      <c r="AF976" s="8"/>
      <c r="AG976" s="8"/>
      <c r="AH976" s="8"/>
      <c r="AI976" s="8"/>
      <c r="AJ976" s="8"/>
      <c r="AK976" s="8"/>
      <c r="AL976" s="8"/>
      <c r="AM976" s="8"/>
      <c r="AN976" s="8"/>
      <c r="AO976" s="8"/>
    </row>
    <row r="977" spans="7:41" x14ac:dyDescent="0.2">
      <c r="G977" s="8"/>
      <c r="H977" s="8"/>
      <c r="I977" s="8"/>
      <c r="J977" s="8"/>
      <c r="K977" s="8"/>
      <c r="L977" s="8"/>
      <c r="M977" s="8"/>
      <c r="N977" s="8"/>
      <c r="O977" s="8"/>
      <c r="Q977" s="8"/>
      <c r="R977" s="8"/>
      <c r="S977" s="8"/>
      <c r="T977" s="8"/>
      <c r="U977" s="8"/>
      <c r="V977" s="8"/>
      <c r="W977" s="8"/>
      <c r="X977" s="8"/>
      <c r="Y977" s="8"/>
      <c r="Z977" s="8"/>
      <c r="AA977" s="8"/>
      <c r="AB977" s="8"/>
      <c r="AD977" s="8"/>
      <c r="AE977" s="8"/>
      <c r="AF977" s="8"/>
      <c r="AG977" s="8"/>
      <c r="AH977" s="8"/>
      <c r="AI977" s="8"/>
      <c r="AJ977" s="8"/>
      <c r="AK977" s="8"/>
      <c r="AL977" s="8"/>
      <c r="AM977" s="8"/>
      <c r="AN977" s="8"/>
      <c r="AO977" s="8"/>
    </row>
    <row r="978" spans="7:41" x14ac:dyDescent="0.2">
      <c r="G978" s="8"/>
      <c r="H978" s="8"/>
      <c r="I978" s="8"/>
      <c r="J978" s="8"/>
      <c r="K978" s="8"/>
      <c r="L978" s="8"/>
      <c r="M978" s="8"/>
      <c r="N978" s="8"/>
      <c r="O978" s="8"/>
      <c r="Q978" s="8"/>
      <c r="R978" s="8"/>
      <c r="S978" s="8"/>
      <c r="T978" s="8"/>
      <c r="U978" s="8"/>
      <c r="V978" s="8"/>
      <c r="W978" s="8"/>
      <c r="X978" s="8"/>
      <c r="Y978" s="8"/>
      <c r="Z978" s="8"/>
      <c r="AA978" s="8"/>
      <c r="AB978" s="8"/>
      <c r="AD978" s="8"/>
      <c r="AE978" s="8"/>
      <c r="AF978" s="8"/>
      <c r="AG978" s="8"/>
      <c r="AH978" s="8"/>
      <c r="AI978" s="8"/>
      <c r="AJ978" s="8"/>
      <c r="AK978" s="8"/>
      <c r="AL978" s="8"/>
      <c r="AM978" s="8"/>
      <c r="AN978" s="8"/>
      <c r="AO978" s="8"/>
    </row>
    <row r="979" spans="7:41" x14ac:dyDescent="0.2">
      <c r="G979" s="8"/>
      <c r="H979" s="8"/>
      <c r="I979" s="8"/>
      <c r="J979" s="8"/>
      <c r="K979" s="8"/>
      <c r="L979" s="8"/>
      <c r="M979" s="8"/>
      <c r="N979" s="8"/>
      <c r="O979" s="8"/>
      <c r="Q979" s="8"/>
      <c r="R979" s="8"/>
      <c r="S979" s="8"/>
      <c r="T979" s="8"/>
      <c r="U979" s="8"/>
      <c r="V979" s="8"/>
      <c r="W979" s="8"/>
      <c r="X979" s="8"/>
      <c r="Y979" s="8"/>
      <c r="Z979" s="8"/>
      <c r="AA979" s="8"/>
      <c r="AB979" s="8"/>
      <c r="AD979" s="8"/>
      <c r="AE979" s="8"/>
      <c r="AF979" s="8"/>
      <c r="AG979" s="8"/>
      <c r="AH979" s="8"/>
      <c r="AI979" s="8"/>
      <c r="AJ979" s="8"/>
      <c r="AK979" s="8"/>
      <c r="AL979" s="8"/>
      <c r="AM979" s="8"/>
      <c r="AN979" s="8"/>
      <c r="AO979" s="8"/>
    </row>
    <row r="980" spans="7:41" x14ac:dyDescent="0.2">
      <c r="G980" s="8"/>
      <c r="H980" s="8"/>
      <c r="I980" s="8"/>
      <c r="J980" s="8"/>
      <c r="K980" s="8"/>
      <c r="L980" s="8"/>
      <c r="M980" s="8"/>
      <c r="N980" s="8"/>
      <c r="O980" s="8"/>
      <c r="Q980" s="8"/>
      <c r="R980" s="8"/>
      <c r="S980" s="8"/>
      <c r="T980" s="8"/>
      <c r="U980" s="8"/>
      <c r="V980" s="8"/>
      <c r="W980" s="8"/>
      <c r="X980" s="8"/>
      <c r="Y980" s="8"/>
      <c r="Z980" s="8"/>
      <c r="AA980" s="8"/>
      <c r="AB980" s="8"/>
      <c r="AD980" s="8"/>
      <c r="AE980" s="8"/>
      <c r="AF980" s="8"/>
      <c r="AG980" s="8"/>
      <c r="AH980" s="8"/>
      <c r="AI980" s="8"/>
      <c r="AJ980" s="8"/>
      <c r="AK980" s="8"/>
      <c r="AL980" s="8"/>
      <c r="AM980" s="8"/>
      <c r="AN980" s="8"/>
      <c r="AO980" s="8"/>
    </row>
    <row r="981" spans="7:41" x14ac:dyDescent="0.2">
      <c r="G981" s="8"/>
      <c r="H981" s="8"/>
      <c r="I981" s="8"/>
      <c r="J981" s="8"/>
      <c r="K981" s="8"/>
      <c r="L981" s="8"/>
      <c r="M981" s="8"/>
      <c r="N981" s="8"/>
      <c r="O981" s="8"/>
      <c r="Q981" s="8"/>
      <c r="R981" s="8"/>
      <c r="S981" s="8"/>
      <c r="T981" s="8"/>
      <c r="U981" s="8"/>
      <c r="V981" s="8"/>
      <c r="W981" s="8"/>
      <c r="X981" s="8"/>
      <c r="Y981" s="8"/>
      <c r="Z981" s="8"/>
      <c r="AA981" s="8"/>
      <c r="AB981" s="8"/>
      <c r="AD981" s="8"/>
      <c r="AE981" s="8"/>
      <c r="AF981" s="8"/>
      <c r="AG981" s="8"/>
      <c r="AH981" s="8"/>
      <c r="AI981" s="8"/>
      <c r="AJ981" s="8"/>
      <c r="AK981" s="8"/>
      <c r="AL981" s="8"/>
      <c r="AM981" s="8"/>
      <c r="AN981" s="8"/>
      <c r="AO981" s="8"/>
    </row>
    <row r="982" spans="7:41" x14ac:dyDescent="0.2">
      <c r="G982" s="8"/>
      <c r="H982" s="8"/>
      <c r="I982" s="8"/>
      <c r="J982" s="8"/>
      <c r="K982" s="8"/>
      <c r="L982" s="8"/>
      <c r="M982" s="8"/>
      <c r="N982" s="8"/>
      <c r="O982" s="8"/>
      <c r="Q982" s="8"/>
      <c r="R982" s="8"/>
      <c r="S982" s="8"/>
      <c r="T982" s="8"/>
      <c r="U982" s="8"/>
      <c r="V982" s="8"/>
      <c r="W982" s="8"/>
      <c r="X982" s="8"/>
      <c r="Y982" s="8"/>
      <c r="Z982" s="8"/>
      <c r="AA982" s="8"/>
      <c r="AB982" s="8"/>
      <c r="AD982" s="8"/>
      <c r="AE982" s="8"/>
      <c r="AF982" s="8"/>
      <c r="AG982" s="8"/>
      <c r="AH982" s="8"/>
      <c r="AI982" s="8"/>
      <c r="AJ982" s="8"/>
      <c r="AK982" s="8"/>
      <c r="AL982" s="8"/>
      <c r="AM982" s="8"/>
      <c r="AN982" s="8"/>
      <c r="AO982" s="8"/>
    </row>
    <row r="983" spans="7:41" x14ac:dyDescent="0.2">
      <c r="G983" s="8"/>
      <c r="H983" s="8"/>
      <c r="I983" s="8"/>
      <c r="J983" s="8"/>
      <c r="K983" s="8"/>
      <c r="L983" s="8"/>
      <c r="M983" s="8"/>
      <c r="N983" s="8"/>
      <c r="O983" s="8"/>
      <c r="Q983" s="8"/>
      <c r="R983" s="8"/>
      <c r="S983" s="8"/>
      <c r="T983" s="8"/>
      <c r="U983" s="8"/>
      <c r="V983" s="8"/>
      <c r="W983" s="8"/>
      <c r="X983" s="8"/>
      <c r="Y983" s="8"/>
      <c r="Z983" s="8"/>
      <c r="AA983" s="8"/>
      <c r="AB983" s="8"/>
      <c r="AD983" s="8"/>
      <c r="AE983" s="8"/>
      <c r="AF983" s="8"/>
      <c r="AG983" s="8"/>
      <c r="AH983" s="8"/>
      <c r="AI983" s="8"/>
      <c r="AJ983" s="8"/>
      <c r="AK983" s="8"/>
      <c r="AL983" s="8"/>
      <c r="AM983" s="8"/>
      <c r="AN983" s="8"/>
      <c r="AO983" s="8"/>
    </row>
    <row r="984" spans="7:41" x14ac:dyDescent="0.2">
      <c r="G984" s="8"/>
      <c r="H984" s="8"/>
      <c r="I984" s="8"/>
      <c r="J984" s="8"/>
      <c r="K984" s="8"/>
      <c r="L984" s="8"/>
      <c r="M984" s="8"/>
      <c r="N984" s="8"/>
      <c r="O984" s="8"/>
      <c r="Q984" s="8"/>
      <c r="R984" s="8"/>
      <c r="S984" s="8"/>
      <c r="T984" s="8"/>
      <c r="U984" s="8"/>
      <c r="V984" s="8"/>
      <c r="W984" s="8"/>
      <c r="X984" s="8"/>
      <c r="Y984" s="8"/>
      <c r="Z984" s="8"/>
      <c r="AA984" s="8"/>
      <c r="AB984" s="8"/>
      <c r="AD984" s="8"/>
      <c r="AE984" s="8"/>
      <c r="AF984" s="8"/>
      <c r="AG984" s="8"/>
      <c r="AH984" s="8"/>
      <c r="AI984" s="8"/>
      <c r="AJ984" s="8"/>
      <c r="AK984" s="8"/>
      <c r="AL984" s="8"/>
      <c r="AM984" s="8"/>
      <c r="AN984" s="8"/>
      <c r="AO984" s="8"/>
    </row>
    <row r="985" spans="7:41" x14ac:dyDescent="0.2">
      <c r="G985" s="8"/>
      <c r="H985" s="8"/>
      <c r="I985" s="8"/>
      <c r="J985" s="8"/>
      <c r="K985" s="8"/>
      <c r="L985" s="8"/>
      <c r="M985" s="8"/>
      <c r="N985" s="8"/>
      <c r="O985" s="8"/>
      <c r="Q985" s="8"/>
      <c r="R985" s="8"/>
      <c r="S985" s="8"/>
      <c r="T985" s="8"/>
      <c r="U985" s="8"/>
      <c r="V985" s="8"/>
      <c r="W985" s="8"/>
      <c r="X985" s="8"/>
      <c r="Y985" s="8"/>
      <c r="Z985" s="8"/>
      <c r="AA985" s="8"/>
      <c r="AB985" s="8"/>
      <c r="AD985" s="8"/>
      <c r="AE985" s="8"/>
      <c r="AF985" s="8"/>
      <c r="AG985" s="8"/>
      <c r="AH985" s="8"/>
      <c r="AI985" s="8"/>
      <c r="AJ985" s="8"/>
      <c r="AK985" s="8"/>
      <c r="AL985" s="8"/>
      <c r="AM985" s="8"/>
      <c r="AN985" s="8"/>
      <c r="AO985" s="8"/>
    </row>
    <row r="986" spans="7:41" x14ac:dyDescent="0.2">
      <c r="G986" s="8"/>
      <c r="H986" s="8"/>
      <c r="I986" s="8"/>
      <c r="J986" s="8"/>
      <c r="K986" s="8"/>
      <c r="L986" s="8"/>
      <c r="M986" s="8"/>
      <c r="N986" s="8"/>
      <c r="O986" s="8"/>
      <c r="Q986" s="8"/>
      <c r="R986" s="8"/>
      <c r="S986" s="8"/>
      <c r="T986" s="8"/>
      <c r="U986" s="8"/>
      <c r="V986" s="8"/>
      <c r="W986" s="8"/>
      <c r="X986" s="8"/>
      <c r="Y986" s="8"/>
      <c r="Z986" s="8"/>
      <c r="AA986" s="8"/>
      <c r="AB986" s="8"/>
      <c r="AD986" s="8"/>
      <c r="AE986" s="8"/>
      <c r="AF986" s="8"/>
      <c r="AG986" s="8"/>
      <c r="AH986" s="8"/>
      <c r="AI986" s="8"/>
      <c r="AJ986" s="8"/>
      <c r="AK986" s="8"/>
      <c r="AL986" s="8"/>
      <c r="AM986" s="8"/>
      <c r="AN986" s="8"/>
      <c r="AO986" s="8"/>
    </row>
    <row r="987" spans="7:41" x14ac:dyDescent="0.2">
      <c r="G987" s="8"/>
      <c r="H987" s="8"/>
      <c r="I987" s="8"/>
      <c r="J987" s="8"/>
      <c r="K987" s="8"/>
      <c r="L987" s="8"/>
      <c r="M987" s="8"/>
      <c r="N987" s="8"/>
      <c r="O987" s="8"/>
      <c r="Q987" s="8"/>
      <c r="R987" s="8"/>
      <c r="S987" s="8"/>
      <c r="T987" s="8"/>
      <c r="U987" s="8"/>
      <c r="V987" s="8"/>
      <c r="W987" s="8"/>
      <c r="X987" s="8"/>
      <c r="Y987" s="8"/>
      <c r="Z987" s="8"/>
      <c r="AA987" s="8"/>
      <c r="AB987" s="8"/>
      <c r="AD987" s="8"/>
      <c r="AE987" s="8"/>
      <c r="AF987" s="8"/>
      <c r="AG987" s="8"/>
      <c r="AH987" s="8"/>
      <c r="AI987" s="8"/>
      <c r="AJ987" s="8"/>
      <c r="AK987" s="8"/>
      <c r="AL987" s="8"/>
      <c r="AM987" s="8"/>
      <c r="AN987" s="8"/>
      <c r="AO987" s="8"/>
    </row>
    <row r="988" spans="7:41" x14ac:dyDescent="0.2">
      <c r="G988" s="8"/>
      <c r="H988" s="8"/>
      <c r="I988" s="8"/>
      <c r="J988" s="8"/>
      <c r="K988" s="8"/>
      <c r="L988" s="8"/>
      <c r="M988" s="8"/>
      <c r="N988" s="8"/>
      <c r="O988" s="8"/>
      <c r="Q988" s="8"/>
      <c r="R988" s="8"/>
      <c r="S988" s="8"/>
      <c r="T988" s="8"/>
      <c r="U988" s="8"/>
      <c r="V988" s="8"/>
      <c r="W988" s="8"/>
      <c r="X988" s="8"/>
      <c r="Y988" s="8"/>
      <c r="Z988" s="8"/>
      <c r="AA988" s="8"/>
      <c r="AB988" s="8"/>
      <c r="AD988" s="8"/>
      <c r="AE988" s="8"/>
      <c r="AF988" s="8"/>
      <c r="AG988" s="8"/>
      <c r="AH988" s="8"/>
      <c r="AI988" s="8"/>
      <c r="AJ988" s="8"/>
      <c r="AK988" s="8"/>
      <c r="AL988" s="8"/>
      <c r="AM988" s="8"/>
      <c r="AN988" s="8"/>
      <c r="AO988" s="8"/>
    </row>
    <row r="989" spans="7:41" x14ac:dyDescent="0.2">
      <c r="G989" s="8"/>
      <c r="H989" s="8"/>
      <c r="I989" s="8"/>
      <c r="J989" s="8"/>
      <c r="K989" s="8"/>
      <c r="L989" s="8"/>
      <c r="M989" s="8"/>
      <c r="N989" s="8"/>
      <c r="O989" s="8"/>
      <c r="Q989" s="8"/>
      <c r="R989" s="8"/>
      <c r="S989" s="8"/>
      <c r="T989" s="8"/>
      <c r="U989" s="8"/>
      <c r="V989" s="8"/>
      <c r="W989" s="8"/>
      <c r="X989" s="8"/>
      <c r="Y989" s="8"/>
      <c r="Z989" s="8"/>
      <c r="AA989" s="8"/>
      <c r="AB989" s="8"/>
      <c r="AD989" s="8"/>
      <c r="AE989" s="8"/>
      <c r="AF989" s="8"/>
      <c r="AG989" s="8"/>
      <c r="AH989" s="8"/>
      <c r="AI989" s="8"/>
      <c r="AJ989" s="8"/>
      <c r="AK989" s="8"/>
      <c r="AL989" s="8"/>
      <c r="AM989" s="8"/>
      <c r="AN989" s="8"/>
      <c r="AO989" s="8"/>
    </row>
    <row r="990" spans="7:41" x14ac:dyDescent="0.2">
      <c r="G990" s="8"/>
      <c r="H990" s="8"/>
      <c r="I990" s="8"/>
      <c r="J990" s="8"/>
      <c r="K990" s="8"/>
      <c r="L990" s="8"/>
      <c r="M990" s="8"/>
      <c r="N990" s="8"/>
      <c r="O990" s="8"/>
      <c r="Q990" s="8"/>
      <c r="R990" s="8"/>
      <c r="S990" s="8"/>
      <c r="T990" s="8"/>
      <c r="U990" s="8"/>
      <c r="V990" s="8"/>
      <c r="W990" s="8"/>
      <c r="X990" s="8"/>
      <c r="Y990" s="8"/>
      <c r="Z990" s="8"/>
      <c r="AA990" s="8"/>
      <c r="AB990" s="8"/>
      <c r="AD990" s="8"/>
      <c r="AE990" s="8"/>
      <c r="AF990" s="8"/>
      <c r="AG990" s="8"/>
      <c r="AH990" s="8"/>
      <c r="AI990" s="8"/>
      <c r="AJ990" s="8"/>
      <c r="AK990" s="8"/>
      <c r="AL990" s="8"/>
      <c r="AM990" s="8"/>
      <c r="AN990" s="8"/>
      <c r="AO990" s="8"/>
    </row>
    <row r="991" spans="7:41" x14ac:dyDescent="0.2">
      <c r="G991" s="8"/>
      <c r="H991" s="8"/>
      <c r="I991" s="8"/>
      <c r="J991" s="8"/>
      <c r="K991" s="8"/>
      <c r="L991" s="8"/>
      <c r="M991" s="8"/>
      <c r="N991" s="8"/>
      <c r="O991" s="8"/>
      <c r="Q991" s="8"/>
      <c r="R991" s="8"/>
      <c r="S991" s="8"/>
      <c r="T991" s="8"/>
      <c r="U991" s="8"/>
      <c r="V991" s="8"/>
      <c r="W991" s="8"/>
      <c r="X991" s="8"/>
      <c r="Y991" s="8"/>
      <c r="Z991" s="8"/>
      <c r="AA991" s="8"/>
      <c r="AB991" s="8"/>
      <c r="AD991" s="8"/>
      <c r="AE991" s="8"/>
      <c r="AF991" s="8"/>
      <c r="AG991" s="8"/>
      <c r="AH991" s="8"/>
      <c r="AI991" s="8"/>
      <c r="AJ991" s="8"/>
      <c r="AK991" s="8"/>
      <c r="AL991" s="8"/>
      <c r="AM991" s="8"/>
      <c r="AN991" s="8"/>
      <c r="AO991" s="8"/>
    </row>
    <row r="992" spans="7:41" x14ac:dyDescent="0.2">
      <c r="G992" s="8"/>
      <c r="H992" s="8"/>
      <c r="I992" s="8"/>
      <c r="J992" s="8"/>
      <c r="K992" s="8"/>
      <c r="L992" s="8"/>
      <c r="M992" s="8"/>
      <c r="N992" s="8"/>
      <c r="O992" s="8"/>
      <c r="Q992" s="8"/>
      <c r="R992" s="8"/>
      <c r="S992" s="8"/>
      <c r="T992" s="8"/>
      <c r="U992" s="8"/>
      <c r="V992" s="8"/>
      <c r="W992" s="8"/>
      <c r="X992" s="8"/>
      <c r="Y992" s="8"/>
      <c r="Z992" s="8"/>
      <c r="AA992" s="8"/>
      <c r="AB992" s="8"/>
      <c r="AD992" s="8"/>
      <c r="AE992" s="8"/>
      <c r="AF992" s="8"/>
      <c r="AG992" s="8"/>
      <c r="AH992" s="8"/>
      <c r="AI992" s="8"/>
      <c r="AJ992" s="8"/>
      <c r="AK992" s="8"/>
      <c r="AL992" s="8"/>
      <c r="AM992" s="8"/>
      <c r="AN992" s="8"/>
      <c r="AO992" s="8"/>
    </row>
    <row r="993" spans="7:41" x14ac:dyDescent="0.2">
      <c r="G993" s="8"/>
      <c r="H993" s="8"/>
      <c r="I993" s="8"/>
      <c r="J993" s="8"/>
      <c r="K993" s="8"/>
      <c r="L993" s="8"/>
      <c r="M993" s="8"/>
      <c r="N993" s="8"/>
      <c r="O993" s="8"/>
      <c r="Q993" s="8"/>
      <c r="R993" s="8"/>
      <c r="S993" s="8"/>
      <c r="T993" s="8"/>
      <c r="U993" s="8"/>
      <c r="V993" s="8"/>
      <c r="W993" s="8"/>
      <c r="X993" s="8"/>
      <c r="Y993" s="8"/>
      <c r="Z993" s="8"/>
      <c r="AA993" s="8"/>
      <c r="AB993" s="8"/>
      <c r="AD993" s="8"/>
      <c r="AE993" s="8"/>
      <c r="AF993" s="8"/>
      <c r="AG993" s="8"/>
      <c r="AH993" s="8"/>
      <c r="AI993" s="8"/>
      <c r="AJ993" s="8"/>
      <c r="AK993" s="8"/>
      <c r="AL993" s="8"/>
      <c r="AM993" s="8"/>
      <c r="AN993" s="8"/>
      <c r="AO993" s="8"/>
    </row>
    <row r="994" spans="7:41" x14ac:dyDescent="0.2">
      <c r="G994" s="8"/>
      <c r="H994" s="8"/>
      <c r="I994" s="8"/>
      <c r="J994" s="8"/>
      <c r="K994" s="8"/>
      <c r="L994" s="8"/>
      <c r="M994" s="8"/>
      <c r="N994" s="8"/>
      <c r="O994" s="8"/>
      <c r="Q994" s="8"/>
      <c r="R994" s="8"/>
      <c r="S994" s="8"/>
      <c r="T994" s="8"/>
      <c r="U994" s="8"/>
      <c r="V994" s="8"/>
      <c r="W994" s="8"/>
      <c r="X994" s="8"/>
      <c r="Y994" s="8"/>
      <c r="Z994" s="8"/>
      <c r="AA994" s="8"/>
      <c r="AB994" s="8"/>
      <c r="AD994" s="8"/>
      <c r="AE994" s="8"/>
      <c r="AF994" s="8"/>
      <c r="AG994" s="8"/>
      <c r="AH994" s="8"/>
      <c r="AI994" s="8"/>
      <c r="AJ994" s="8"/>
      <c r="AK994" s="8"/>
      <c r="AL994" s="8"/>
      <c r="AM994" s="8"/>
      <c r="AN994" s="8"/>
      <c r="AO994" s="8"/>
    </row>
    <row r="995" spans="7:41" x14ac:dyDescent="0.2">
      <c r="G995" s="8"/>
      <c r="H995" s="8"/>
      <c r="I995" s="8"/>
      <c r="J995" s="8"/>
      <c r="K995" s="8"/>
      <c r="L995" s="8"/>
      <c r="M995" s="8"/>
      <c r="N995" s="8"/>
      <c r="O995" s="8"/>
      <c r="Q995" s="8"/>
      <c r="R995" s="8"/>
      <c r="S995" s="8"/>
      <c r="T995" s="8"/>
      <c r="U995" s="8"/>
      <c r="V995" s="8"/>
      <c r="W995" s="8"/>
      <c r="X995" s="8"/>
      <c r="Y995" s="8"/>
      <c r="Z995" s="8"/>
      <c r="AA995" s="8"/>
      <c r="AB995" s="8"/>
      <c r="AD995" s="8"/>
      <c r="AE995" s="8"/>
      <c r="AF995" s="8"/>
      <c r="AG995" s="8"/>
      <c r="AH995" s="8"/>
      <c r="AI995" s="8"/>
      <c r="AJ995" s="8"/>
      <c r="AK995" s="8"/>
      <c r="AL995" s="8"/>
      <c r="AM995" s="8"/>
      <c r="AN995" s="8"/>
      <c r="AO995" s="8"/>
    </row>
    <row r="996" spans="7:41" x14ac:dyDescent="0.2">
      <c r="G996" s="8"/>
      <c r="H996" s="8"/>
      <c r="I996" s="8"/>
      <c r="J996" s="8"/>
      <c r="K996" s="8"/>
      <c r="L996" s="8"/>
      <c r="M996" s="8"/>
      <c r="N996" s="8"/>
      <c r="O996" s="8"/>
      <c r="Q996" s="8"/>
      <c r="R996" s="8"/>
      <c r="S996" s="8"/>
      <c r="T996" s="8"/>
      <c r="U996" s="8"/>
      <c r="V996" s="8"/>
      <c r="W996" s="8"/>
      <c r="X996" s="8"/>
      <c r="Y996" s="8"/>
      <c r="Z996" s="8"/>
      <c r="AA996" s="8"/>
      <c r="AB996" s="8"/>
      <c r="AD996" s="8"/>
      <c r="AE996" s="8"/>
      <c r="AF996" s="8"/>
      <c r="AG996" s="8"/>
      <c r="AH996" s="8"/>
      <c r="AI996" s="8"/>
      <c r="AJ996" s="8"/>
      <c r="AK996" s="8"/>
      <c r="AL996" s="8"/>
      <c r="AM996" s="8"/>
      <c r="AN996" s="8"/>
      <c r="AO996" s="8"/>
    </row>
    <row r="997" spans="7:41" x14ac:dyDescent="0.2">
      <c r="G997" s="8"/>
      <c r="H997" s="8"/>
      <c r="I997" s="8"/>
      <c r="J997" s="8"/>
      <c r="K997" s="8"/>
      <c r="L997" s="8"/>
      <c r="M997" s="8"/>
      <c r="N997" s="8"/>
      <c r="O997" s="8"/>
      <c r="Q997" s="8"/>
      <c r="R997" s="8"/>
      <c r="S997" s="8"/>
      <c r="T997" s="8"/>
      <c r="U997" s="8"/>
      <c r="V997" s="8"/>
      <c r="W997" s="8"/>
      <c r="X997" s="8"/>
      <c r="Y997" s="8"/>
      <c r="Z997" s="8"/>
      <c r="AA997" s="8"/>
      <c r="AB997" s="8"/>
      <c r="AD997" s="8"/>
      <c r="AE997" s="8"/>
      <c r="AF997" s="8"/>
      <c r="AG997" s="8"/>
      <c r="AH997" s="8"/>
      <c r="AI997" s="8"/>
      <c r="AJ997" s="8"/>
      <c r="AK997" s="8"/>
      <c r="AL997" s="8"/>
      <c r="AM997" s="8"/>
      <c r="AN997" s="8"/>
      <c r="AO997" s="8"/>
    </row>
    <row r="998" spans="7:41" x14ac:dyDescent="0.2">
      <c r="G998" s="8"/>
      <c r="H998" s="8"/>
      <c r="I998" s="8"/>
      <c r="J998" s="8"/>
      <c r="K998" s="8"/>
      <c r="L998" s="8"/>
      <c r="M998" s="8"/>
      <c r="N998" s="8"/>
      <c r="O998" s="8"/>
      <c r="Q998" s="8"/>
      <c r="R998" s="8"/>
      <c r="S998" s="8"/>
      <c r="T998" s="8"/>
      <c r="U998" s="8"/>
      <c r="V998" s="8"/>
      <c r="W998" s="8"/>
      <c r="X998" s="8"/>
      <c r="Y998" s="8"/>
      <c r="Z998" s="8"/>
      <c r="AA998" s="8"/>
      <c r="AB998" s="8"/>
      <c r="AD998" s="8"/>
      <c r="AE998" s="8"/>
      <c r="AF998" s="8"/>
      <c r="AG998" s="8"/>
      <c r="AH998" s="8"/>
      <c r="AI998" s="8"/>
      <c r="AJ998" s="8"/>
      <c r="AK998" s="8"/>
      <c r="AL998" s="8"/>
      <c r="AM998" s="8"/>
      <c r="AN998" s="8"/>
      <c r="AO998" s="8"/>
    </row>
    <row r="999" spans="7:41" x14ac:dyDescent="0.2">
      <c r="G999" s="8"/>
      <c r="H999" s="8"/>
      <c r="I999" s="8"/>
      <c r="J999" s="8"/>
      <c r="K999" s="8"/>
      <c r="L999" s="8"/>
      <c r="M999" s="8"/>
      <c r="N999" s="8"/>
      <c r="O999" s="8"/>
      <c r="Q999" s="8"/>
      <c r="R999" s="8"/>
      <c r="S999" s="8"/>
      <c r="T999" s="8"/>
      <c r="U999" s="8"/>
      <c r="V999" s="8"/>
      <c r="W999" s="8"/>
      <c r="X999" s="8"/>
      <c r="Y999" s="8"/>
      <c r="Z999" s="8"/>
      <c r="AA999" s="8"/>
      <c r="AB999" s="8"/>
      <c r="AD999" s="8"/>
      <c r="AE999" s="8"/>
      <c r="AF999" s="8"/>
      <c r="AG999" s="8"/>
      <c r="AH999" s="8"/>
      <c r="AI999" s="8"/>
      <c r="AJ999" s="8"/>
      <c r="AK999" s="8"/>
      <c r="AL999" s="8"/>
      <c r="AM999" s="8"/>
      <c r="AN999" s="8"/>
      <c r="AO999" s="8"/>
    </row>
    <row r="1000" spans="7:41" x14ac:dyDescent="0.2">
      <c r="G1000" s="8"/>
      <c r="H1000" s="8"/>
      <c r="I1000" s="8"/>
      <c r="J1000" s="8"/>
      <c r="K1000" s="8"/>
      <c r="L1000" s="8"/>
      <c r="M1000" s="8"/>
      <c r="N1000" s="8"/>
      <c r="O1000" s="8"/>
      <c r="Q1000" s="8"/>
      <c r="R1000" s="8"/>
      <c r="S1000" s="8"/>
      <c r="T1000" s="8"/>
      <c r="U1000" s="8"/>
      <c r="V1000" s="8"/>
      <c r="W1000" s="8"/>
      <c r="X1000" s="8"/>
      <c r="Y1000" s="8"/>
      <c r="Z1000" s="8"/>
      <c r="AA1000" s="8"/>
      <c r="AB1000" s="8"/>
      <c r="AD1000" s="8"/>
      <c r="AE1000" s="8"/>
      <c r="AF1000" s="8"/>
      <c r="AG1000" s="8"/>
      <c r="AH1000" s="8"/>
      <c r="AI1000" s="8"/>
      <c r="AJ1000" s="8"/>
      <c r="AK1000" s="8"/>
      <c r="AL1000" s="8"/>
      <c r="AM1000" s="8"/>
      <c r="AN1000" s="8"/>
      <c r="AO1000" s="8"/>
    </row>
    <row r="1001" spans="7:41" x14ac:dyDescent="0.2">
      <c r="G1001" s="8"/>
      <c r="H1001" s="8"/>
      <c r="I1001" s="8"/>
      <c r="J1001" s="8"/>
      <c r="K1001" s="8"/>
      <c r="L1001" s="8"/>
      <c r="M1001" s="8"/>
      <c r="N1001" s="8"/>
      <c r="O1001" s="8"/>
      <c r="Q1001" s="8"/>
      <c r="R1001" s="8"/>
      <c r="S1001" s="8"/>
      <c r="T1001" s="8"/>
      <c r="U1001" s="8"/>
      <c r="V1001" s="8"/>
      <c r="W1001" s="8"/>
      <c r="X1001" s="8"/>
      <c r="Y1001" s="8"/>
      <c r="Z1001" s="8"/>
      <c r="AA1001" s="8"/>
      <c r="AB1001" s="8"/>
      <c r="AD1001" s="8"/>
      <c r="AE1001" s="8"/>
      <c r="AF1001" s="8"/>
      <c r="AG1001" s="8"/>
      <c r="AH1001" s="8"/>
      <c r="AI1001" s="8"/>
      <c r="AJ1001" s="8"/>
      <c r="AK1001" s="8"/>
      <c r="AL1001" s="8"/>
      <c r="AM1001" s="8"/>
      <c r="AN1001" s="8"/>
      <c r="AO1001" s="8"/>
    </row>
    <row r="1002" spans="7:41" x14ac:dyDescent="0.2">
      <c r="G1002" s="8"/>
      <c r="H1002" s="8"/>
      <c r="I1002" s="8"/>
      <c r="J1002" s="8"/>
      <c r="K1002" s="8"/>
      <c r="L1002" s="8"/>
      <c r="M1002" s="8"/>
      <c r="N1002" s="8"/>
      <c r="O1002" s="8"/>
      <c r="Q1002" s="8"/>
      <c r="R1002" s="8"/>
      <c r="S1002" s="8"/>
      <c r="T1002" s="8"/>
      <c r="U1002" s="8"/>
      <c r="V1002" s="8"/>
      <c r="W1002" s="8"/>
      <c r="X1002" s="8"/>
      <c r="Y1002" s="8"/>
      <c r="Z1002" s="8"/>
      <c r="AA1002" s="8"/>
      <c r="AB1002" s="8"/>
      <c r="AD1002" s="8"/>
      <c r="AE1002" s="8"/>
      <c r="AF1002" s="8"/>
      <c r="AG1002" s="8"/>
      <c r="AH1002" s="8"/>
      <c r="AI1002" s="8"/>
      <c r="AJ1002" s="8"/>
      <c r="AK1002" s="8"/>
      <c r="AL1002" s="8"/>
      <c r="AM1002" s="8"/>
      <c r="AN1002" s="8"/>
      <c r="AO1002" s="8"/>
    </row>
    <row r="1003" spans="7:41" x14ac:dyDescent="0.2">
      <c r="G1003" s="8"/>
      <c r="H1003" s="8"/>
      <c r="I1003" s="8"/>
      <c r="J1003" s="8"/>
      <c r="K1003" s="8"/>
      <c r="L1003" s="8"/>
      <c r="M1003" s="8"/>
      <c r="N1003" s="8"/>
      <c r="O1003" s="8"/>
      <c r="Q1003" s="8"/>
      <c r="R1003" s="8"/>
      <c r="S1003" s="8"/>
      <c r="T1003" s="8"/>
      <c r="U1003" s="8"/>
      <c r="V1003" s="8"/>
      <c r="W1003" s="8"/>
      <c r="X1003" s="8"/>
      <c r="Y1003" s="8"/>
      <c r="Z1003" s="8"/>
      <c r="AA1003" s="8"/>
      <c r="AB1003" s="8"/>
      <c r="AD1003" s="8"/>
      <c r="AE1003" s="8"/>
      <c r="AF1003" s="8"/>
      <c r="AG1003" s="8"/>
      <c r="AH1003" s="8"/>
      <c r="AI1003" s="8"/>
      <c r="AJ1003" s="8"/>
      <c r="AK1003" s="8"/>
      <c r="AL1003" s="8"/>
      <c r="AM1003" s="8"/>
      <c r="AN1003" s="8"/>
      <c r="AO1003" s="8"/>
    </row>
    <row r="1004" spans="7:41" x14ac:dyDescent="0.2">
      <c r="G1004" s="8"/>
      <c r="H1004" s="8"/>
      <c r="I1004" s="8"/>
      <c r="J1004" s="8"/>
      <c r="K1004" s="8"/>
      <c r="L1004" s="8"/>
      <c r="M1004" s="8"/>
      <c r="N1004" s="8"/>
      <c r="O1004" s="8"/>
      <c r="Q1004" s="8"/>
      <c r="R1004" s="8"/>
      <c r="S1004" s="8"/>
      <c r="T1004" s="8"/>
      <c r="U1004" s="8"/>
      <c r="V1004" s="8"/>
      <c r="W1004" s="8"/>
      <c r="X1004" s="8"/>
      <c r="Y1004" s="8"/>
      <c r="Z1004" s="8"/>
      <c r="AA1004" s="8"/>
      <c r="AB1004" s="8"/>
      <c r="AD1004" s="8"/>
      <c r="AE1004" s="8"/>
      <c r="AF1004" s="8"/>
      <c r="AG1004" s="8"/>
      <c r="AH1004" s="8"/>
      <c r="AI1004" s="8"/>
      <c r="AJ1004" s="8"/>
      <c r="AK1004" s="8"/>
      <c r="AL1004" s="8"/>
      <c r="AM1004" s="8"/>
      <c r="AN1004" s="8"/>
      <c r="AO1004" s="8"/>
    </row>
    <row r="1005" spans="7:41" x14ac:dyDescent="0.2">
      <c r="G1005" s="8"/>
      <c r="H1005" s="8"/>
      <c r="I1005" s="8"/>
      <c r="J1005" s="8"/>
      <c r="K1005" s="8"/>
      <c r="L1005" s="8"/>
      <c r="M1005" s="8"/>
      <c r="N1005" s="8"/>
      <c r="O1005" s="8"/>
      <c r="Q1005" s="8"/>
      <c r="R1005" s="8"/>
      <c r="S1005" s="8"/>
      <c r="T1005" s="8"/>
      <c r="U1005" s="8"/>
      <c r="V1005" s="8"/>
      <c r="W1005" s="8"/>
      <c r="X1005" s="8"/>
      <c r="Y1005" s="8"/>
      <c r="Z1005" s="8"/>
      <c r="AA1005" s="8"/>
      <c r="AB1005" s="8"/>
      <c r="AD1005" s="8"/>
      <c r="AE1005" s="8"/>
      <c r="AF1005" s="8"/>
      <c r="AG1005" s="8"/>
      <c r="AH1005" s="8"/>
      <c r="AI1005" s="8"/>
      <c r="AJ1005" s="8"/>
      <c r="AK1005" s="8"/>
      <c r="AL1005" s="8"/>
      <c r="AM1005" s="8"/>
      <c r="AN1005" s="8"/>
      <c r="AO1005" s="8"/>
    </row>
    <row r="1006" spans="7:41" x14ac:dyDescent="0.2">
      <c r="G1006" s="8"/>
      <c r="H1006" s="8"/>
      <c r="I1006" s="8"/>
      <c r="J1006" s="8"/>
      <c r="K1006" s="8"/>
      <c r="L1006" s="8"/>
      <c r="M1006" s="8"/>
      <c r="N1006" s="8"/>
      <c r="O1006" s="8"/>
      <c r="Q1006" s="8"/>
      <c r="R1006" s="8"/>
      <c r="S1006" s="8"/>
      <c r="T1006" s="8"/>
      <c r="U1006" s="8"/>
      <c r="V1006" s="8"/>
      <c r="W1006" s="8"/>
      <c r="X1006" s="8"/>
      <c r="Y1006" s="8"/>
      <c r="Z1006" s="8"/>
      <c r="AA1006" s="8"/>
      <c r="AB1006" s="8"/>
      <c r="AD1006" s="8"/>
      <c r="AE1006" s="8"/>
      <c r="AF1006" s="8"/>
      <c r="AG1006" s="8"/>
      <c r="AH1006" s="8"/>
      <c r="AI1006" s="8"/>
      <c r="AJ1006" s="8"/>
      <c r="AK1006" s="8"/>
      <c r="AL1006" s="8"/>
      <c r="AM1006" s="8"/>
      <c r="AN1006" s="8"/>
      <c r="AO1006" s="8"/>
    </row>
    <row r="1007" spans="7:41" x14ac:dyDescent="0.2">
      <c r="G1007" s="8"/>
      <c r="H1007" s="8"/>
      <c r="I1007" s="8"/>
      <c r="J1007" s="8"/>
      <c r="K1007" s="8"/>
      <c r="L1007" s="8"/>
      <c r="M1007" s="8"/>
      <c r="N1007" s="8"/>
      <c r="O1007" s="8"/>
      <c r="Q1007" s="8"/>
      <c r="R1007" s="8"/>
      <c r="S1007" s="8"/>
      <c r="T1007" s="8"/>
      <c r="U1007" s="8"/>
      <c r="V1007" s="8"/>
      <c r="W1007" s="8"/>
      <c r="X1007" s="8"/>
      <c r="Y1007" s="8"/>
      <c r="Z1007" s="8"/>
      <c r="AA1007" s="8"/>
      <c r="AB1007" s="8"/>
      <c r="AD1007" s="8"/>
      <c r="AE1007" s="8"/>
      <c r="AF1007" s="8"/>
      <c r="AG1007" s="8"/>
      <c r="AH1007" s="8"/>
      <c r="AI1007" s="8"/>
      <c r="AJ1007" s="8"/>
      <c r="AK1007" s="8"/>
      <c r="AL1007" s="8"/>
      <c r="AM1007" s="8"/>
      <c r="AN1007" s="8"/>
      <c r="AO1007" s="8"/>
    </row>
    <row r="1008" spans="7:41" x14ac:dyDescent="0.2">
      <c r="G1008" s="8"/>
      <c r="H1008" s="8"/>
      <c r="I1008" s="8"/>
      <c r="J1008" s="8"/>
      <c r="K1008" s="8"/>
      <c r="L1008" s="8"/>
      <c r="M1008" s="8"/>
      <c r="N1008" s="8"/>
      <c r="O1008" s="8"/>
      <c r="Q1008" s="8"/>
      <c r="R1008" s="8"/>
      <c r="S1008" s="8"/>
      <c r="T1008" s="8"/>
      <c r="U1008" s="8"/>
      <c r="V1008" s="8"/>
      <c r="W1008" s="8"/>
      <c r="X1008" s="8"/>
      <c r="Y1008" s="8"/>
      <c r="Z1008" s="8"/>
      <c r="AA1008" s="8"/>
      <c r="AB1008" s="8"/>
      <c r="AD1008" s="8"/>
      <c r="AE1008" s="8"/>
      <c r="AF1008" s="8"/>
      <c r="AG1008" s="8"/>
      <c r="AH1008" s="8"/>
      <c r="AI1008" s="8"/>
      <c r="AJ1008" s="8"/>
      <c r="AK1008" s="8"/>
      <c r="AL1008" s="8"/>
      <c r="AM1008" s="8"/>
      <c r="AN1008" s="8"/>
      <c r="AO1008" s="8"/>
    </row>
    <row r="1009" spans="7:41" x14ac:dyDescent="0.2">
      <c r="G1009" s="8"/>
      <c r="H1009" s="8"/>
      <c r="I1009" s="8"/>
      <c r="J1009" s="8"/>
      <c r="K1009" s="8"/>
      <c r="L1009" s="8"/>
      <c r="M1009" s="8"/>
      <c r="N1009" s="8"/>
      <c r="O1009" s="8"/>
      <c r="Q1009" s="8"/>
      <c r="R1009" s="8"/>
      <c r="S1009" s="8"/>
      <c r="T1009" s="8"/>
      <c r="U1009" s="8"/>
      <c r="V1009" s="8"/>
      <c r="W1009" s="8"/>
      <c r="X1009" s="8"/>
      <c r="Y1009" s="8"/>
      <c r="Z1009" s="8"/>
      <c r="AA1009" s="8"/>
      <c r="AB1009" s="8"/>
      <c r="AD1009" s="8"/>
      <c r="AE1009" s="8"/>
      <c r="AF1009" s="8"/>
      <c r="AG1009" s="8"/>
      <c r="AH1009" s="8"/>
      <c r="AI1009" s="8"/>
      <c r="AJ1009" s="8"/>
      <c r="AK1009" s="8"/>
      <c r="AL1009" s="8"/>
      <c r="AM1009" s="8"/>
      <c r="AN1009" s="8"/>
      <c r="AO1009" s="8"/>
    </row>
    <row r="1010" spans="7:41" x14ac:dyDescent="0.2">
      <c r="G1010" s="8"/>
      <c r="H1010" s="8"/>
      <c r="I1010" s="8"/>
      <c r="J1010" s="8"/>
      <c r="K1010" s="8"/>
      <c r="L1010" s="8"/>
      <c r="M1010" s="8"/>
      <c r="N1010" s="8"/>
      <c r="O1010" s="8"/>
      <c r="Q1010" s="8"/>
      <c r="R1010" s="8"/>
      <c r="S1010" s="8"/>
      <c r="T1010" s="8"/>
      <c r="U1010" s="8"/>
      <c r="V1010" s="8"/>
      <c r="W1010" s="8"/>
      <c r="X1010" s="8"/>
      <c r="Y1010" s="8"/>
      <c r="Z1010" s="8"/>
      <c r="AA1010" s="8"/>
      <c r="AB1010" s="8"/>
      <c r="AD1010" s="8"/>
      <c r="AE1010" s="8"/>
      <c r="AF1010" s="8"/>
      <c r="AG1010" s="8"/>
      <c r="AH1010" s="8"/>
      <c r="AI1010" s="8"/>
      <c r="AJ1010" s="8"/>
      <c r="AK1010" s="8"/>
      <c r="AL1010" s="8"/>
      <c r="AM1010" s="8"/>
      <c r="AN1010" s="8"/>
      <c r="AO1010" s="8"/>
    </row>
    <row r="1011" spans="7:41" x14ac:dyDescent="0.2">
      <c r="G1011" s="8"/>
      <c r="H1011" s="8"/>
      <c r="I1011" s="8"/>
      <c r="J1011" s="8"/>
      <c r="K1011" s="8"/>
      <c r="L1011" s="8"/>
      <c r="M1011" s="8"/>
      <c r="N1011" s="8"/>
      <c r="O1011" s="8"/>
      <c r="Q1011" s="8"/>
      <c r="R1011" s="8"/>
      <c r="S1011" s="8"/>
      <c r="T1011" s="8"/>
      <c r="U1011" s="8"/>
      <c r="V1011" s="8"/>
      <c r="W1011" s="8"/>
      <c r="X1011" s="8"/>
      <c r="Y1011" s="8"/>
      <c r="Z1011" s="8"/>
      <c r="AA1011" s="8"/>
      <c r="AB1011" s="8"/>
      <c r="AD1011" s="8"/>
      <c r="AE1011" s="8"/>
      <c r="AF1011" s="8"/>
      <c r="AG1011" s="8"/>
      <c r="AH1011" s="8"/>
      <c r="AI1011" s="8"/>
      <c r="AJ1011" s="8"/>
      <c r="AK1011" s="8"/>
      <c r="AL1011" s="8"/>
      <c r="AM1011" s="8"/>
      <c r="AN1011" s="8"/>
      <c r="AO1011" s="8"/>
    </row>
    <row r="1012" spans="7:41" x14ac:dyDescent="0.2">
      <c r="G1012" s="8"/>
      <c r="H1012" s="8"/>
      <c r="I1012" s="8"/>
      <c r="J1012" s="8"/>
      <c r="K1012" s="8"/>
      <c r="L1012" s="8"/>
      <c r="M1012" s="8"/>
      <c r="N1012" s="8"/>
      <c r="O1012" s="8"/>
      <c r="Q1012" s="8"/>
      <c r="R1012" s="8"/>
      <c r="S1012" s="8"/>
      <c r="T1012" s="8"/>
      <c r="U1012" s="8"/>
      <c r="V1012" s="8"/>
      <c r="W1012" s="8"/>
      <c r="X1012" s="8"/>
      <c r="Y1012" s="8"/>
      <c r="Z1012" s="8"/>
      <c r="AA1012" s="8"/>
      <c r="AB1012" s="8"/>
      <c r="AD1012" s="8"/>
      <c r="AE1012" s="8"/>
      <c r="AF1012" s="8"/>
      <c r="AG1012" s="8"/>
      <c r="AH1012" s="8"/>
      <c r="AI1012" s="8"/>
      <c r="AJ1012" s="8"/>
      <c r="AK1012" s="8"/>
      <c r="AL1012" s="8"/>
      <c r="AM1012" s="8"/>
      <c r="AN1012" s="8"/>
      <c r="AO1012" s="8"/>
    </row>
    <row r="1013" spans="7:41" x14ac:dyDescent="0.2">
      <c r="G1013" s="8"/>
      <c r="H1013" s="8"/>
      <c r="I1013" s="8"/>
      <c r="J1013" s="8"/>
      <c r="K1013" s="8"/>
      <c r="L1013" s="8"/>
      <c r="M1013" s="8"/>
      <c r="N1013" s="8"/>
      <c r="O1013" s="8"/>
      <c r="Q1013" s="8"/>
      <c r="R1013" s="8"/>
      <c r="S1013" s="8"/>
      <c r="T1013" s="8"/>
      <c r="U1013" s="8"/>
      <c r="V1013" s="8"/>
      <c r="W1013" s="8"/>
      <c r="X1013" s="8"/>
      <c r="Y1013" s="8"/>
      <c r="Z1013" s="8"/>
      <c r="AA1013" s="8"/>
      <c r="AB1013" s="8"/>
      <c r="AD1013" s="8"/>
      <c r="AE1013" s="8"/>
      <c r="AF1013" s="8"/>
      <c r="AG1013" s="8"/>
      <c r="AH1013" s="8"/>
      <c r="AI1013" s="8"/>
      <c r="AJ1013" s="8"/>
      <c r="AK1013" s="8"/>
      <c r="AL1013" s="8"/>
      <c r="AM1013" s="8"/>
      <c r="AN1013" s="8"/>
      <c r="AO1013" s="8"/>
    </row>
    <row r="1014" spans="7:41" x14ac:dyDescent="0.2">
      <c r="G1014" s="8"/>
      <c r="H1014" s="8"/>
      <c r="I1014" s="8"/>
      <c r="J1014" s="8"/>
      <c r="K1014" s="8"/>
      <c r="L1014" s="8"/>
      <c r="M1014" s="8"/>
      <c r="N1014" s="8"/>
      <c r="O1014" s="8"/>
      <c r="Q1014" s="8"/>
      <c r="R1014" s="8"/>
      <c r="S1014" s="8"/>
      <c r="T1014" s="8"/>
      <c r="U1014" s="8"/>
      <c r="V1014" s="8"/>
      <c r="W1014" s="8"/>
      <c r="X1014" s="8"/>
      <c r="Y1014" s="8"/>
      <c r="Z1014" s="8"/>
      <c r="AA1014" s="8"/>
      <c r="AB1014" s="8"/>
      <c r="AD1014" s="8"/>
      <c r="AE1014" s="8"/>
      <c r="AF1014" s="8"/>
      <c r="AG1014" s="8"/>
      <c r="AH1014" s="8"/>
      <c r="AI1014" s="8"/>
      <c r="AJ1014" s="8"/>
      <c r="AK1014" s="8"/>
      <c r="AL1014" s="8"/>
      <c r="AM1014" s="8"/>
      <c r="AN1014" s="8"/>
      <c r="AO1014" s="8"/>
    </row>
    <row r="1015" spans="7:41" x14ac:dyDescent="0.2">
      <c r="G1015" s="8"/>
      <c r="H1015" s="8"/>
      <c r="I1015" s="8"/>
      <c r="J1015" s="8"/>
      <c r="K1015" s="8"/>
      <c r="L1015" s="8"/>
      <c r="M1015" s="8"/>
      <c r="N1015" s="8"/>
      <c r="O1015" s="8"/>
      <c r="Q1015" s="8"/>
      <c r="R1015" s="8"/>
      <c r="S1015" s="8"/>
      <c r="T1015" s="8"/>
      <c r="U1015" s="8"/>
      <c r="V1015" s="8"/>
      <c r="W1015" s="8"/>
      <c r="X1015" s="8"/>
      <c r="Y1015" s="8"/>
      <c r="Z1015" s="8"/>
      <c r="AA1015" s="8"/>
      <c r="AB1015" s="8"/>
      <c r="AD1015" s="8"/>
      <c r="AE1015" s="8"/>
      <c r="AF1015" s="8"/>
      <c r="AG1015" s="8"/>
      <c r="AH1015" s="8"/>
      <c r="AI1015" s="8"/>
      <c r="AJ1015" s="8"/>
      <c r="AK1015" s="8"/>
      <c r="AL1015" s="8"/>
      <c r="AM1015" s="8"/>
      <c r="AN1015" s="8"/>
      <c r="AO1015" s="8"/>
    </row>
    <row r="1016" spans="7:41" x14ac:dyDescent="0.2">
      <c r="G1016" s="8"/>
      <c r="H1016" s="8"/>
      <c r="I1016" s="8"/>
      <c r="J1016" s="8"/>
      <c r="K1016" s="8"/>
      <c r="L1016" s="8"/>
      <c r="M1016" s="8"/>
      <c r="N1016" s="8"/>
      <c r="O1016" s="8"/>
      <c r="Q1016" s="8"/>
      <c r="R1016" s="8"/>
      <c r="S1016" s="8"/>
      <c r="T1016" s="8"/>
      <c r="U1016" s="8"/>
      <c r="V1016" s="8"/>
      <c r="W1016" s="8"/>
      <c r="X1016" s="8"/>
      <c r="Y1016" s="8"/>
      <c r="Z1016" s="8"/>
      <c r="AA1016" s="8"/>
      <c r="AB1016" s="8"/>
      <c r="AD1016" s="8"/>
      <c r="AE1016" s="8"/>
      <c r="AF1016" s="8"/>
      <c r="AG1016" s="8"/>
      <c r="AH1016" s="8"/>
      <c r="AI1016" s="8"/>
      <c r="AJ1016" s="8"/>
      <c r="AK1016" s="8"/>
      <c r="AL1016" s="8"/>
      <c r="AM1016" s="8"/>
      <c r="AN1016" s="8"/>
      <c r="AO1016" s="8"/>
    </row>
    <row r="1017" spans="7:41" x14ac:dyDescent="0.2">
      <c r="G1017" s="8"/>
      <c r="H1017" s="8"/>
      <c r="I1017" s="8"/>
      <c r="J1017" s="8"/>
      <c r="K1017" s="8"/>
      <c r="L1017" s="8"/>
      <c r="M1017" s="8"/>
      <c r="N1017" s="8"/>
      <c r="O1017" s="8"/>
      <c r="Q1017" s="8"/>
      <c r="R1017" s="8"/>
      <c r="S1017" s="8"/>
      <c r="T1017" s="8"/>
      <c r="U1017" s="8"/>
      <c r="V1017" s="8"/>
      <c r="W1017" s="8"/>
      <c r="X1017" s="8"/>
      <c r="Y1017" s="8"/>
      <c r="Z1017" s="8"/>
      <c r="AA1017" s="8"/>
      <c r="AB1017" s="8"/>
      <c r="AD1017" s="8"/>
      <c r="AE1017" s="8"/>
      <c r="AF1017" s="8"/>
      <c r="AG1017" s="8"/>
      <c r="AH1017" s="8"/>
      <c r="AI1017" s="8"/>
      <c r="AJ1017" s="8"/>
      <c r="AK1017" s="8"/>
      <c r="AL1017" s="8"/>
      <c r="AM1017" s="8"/>
      <c r="AN1017" s="8"/>
      <c r="AO1017" s="8"/>
    </row>
    <row r="1018" spans="7:41" x14ac:dyDescent="0.2">
      <c r="G1018" s="8"/>
      <c r="H1018" s="8"/>
      <c r="I1018" s="8"/>
      <c r="J1018" s="8"/>
      <c r="K1018" s="8"/>
      <c r="L1018" s="8"/>
      <c r="M1018" s="8"/>
      <c r="N1018" s="8"/>
      <c r="O1018" s="8"/>
      <c r="Q1018" s="8"/>
      <c r="R1018" s="8"/>
      <c r="S1018" s="8"/>
      <c r="T1018" s="8"/>
      <c r="U1018" s="8"/>
      <c r="V1018" s="8"/>
      <c r="W1018" s="8"/>
      <c r="X1018" s="8"/>
      <c r="Y1018" s="8"/>
      <c r="Z1018" s="8"/>
      <c r="AA1018" s="8"/>
      <c r="AB1018" s="8"/>
      <c r="AD1018" s="8"/>
      <c r="AE1018" s="8"/>
      <c r="AF1018" s="8"/>
      <c r="AG1018" s="8"/>
      <c r="AH1018" s="8"/>
      <c r="AI1018" s="8"/>
      <c r="AJ1018" s="8"/>
      <c r="AK1018" s="8"/>
      <c r="AL1018" s="8"/>
      <c r="AM1018" s="8"/>
      <c r="AN1018" s="8"/>
      <c r="AO1018" s="8"/>
    </row>
    <row r="1019" spans="7:41" x14ac:dyDescent="0.2">
      <c r="G1019" s="8"/>
      <c r="H1019" s="8"/>
      <c r="I1019" s="8"/>
      <c r="J1019" s="8"/>
      <c r="K1019" s="8"/>
      <c r="L1019" s="8"/>
      <c r="M1019" s="8"/>
      <c r="N1019" s="8"/>
      <c r="O1019" s="8"/>
      <c r="Q1019" s="8"/>
      <c r="R1019" s="8"/>
      <c r="S1019" s="8"/>
      <c r="T1019" s="8"/>
      <c r="U1019" s="8"/>
      <c r="V1019" s="8"/>
      <c r="W1019" s="8"/>
      <c r="X1019" s="8"/>
      <c r="Y1019" s="8"/>
      <c r="Z1019" s="8"/>
      <c r="AA1019" s="8"/>
      <c r="AB1019" s="8"/>
      <c r="AD1019" s="8"/>
      <c r="AE1019" s="8"/>
      <c r="AF1019" s="8"/>
      <c r="AG1019" s="8"/>
      <c r="AH1019" s="8"/>
      <c r="AI1019" s="8"/>
      <c r="AJ1019" s="8"/>
      <c r="AK1019" s="8"/>
      <c r="AL1019" s="8"/>
      <c r="AM1019" s="8"/>
      <c r="AN1019" s="8"/>
      <c r="AO1019" s="8"/>
    </row>
    <row r="1020" spans="7:41" x14ac:dyDescent="0.2">
      <c r="G1020" s="8"/>
      <c r="H1020" s="8"/>
      <c r="I1020" s="8"/>
      <c r="J1020" s="8"/>
      <c r="K1020" s="8"/>
      <c r="L1020" s="8"/>
      <c r="M1020" s="8"/>
      <c r="N1020" s="8"/>
      <c r="O1020" s="8"/>
      <c r="Q1020" s="8"/>
      <c r="R1020" s="8"/>
      <c r="S1020" s="8"/>
      <c r="T1020" s="8"/>
      <c r="U1020" s="8"/>
      <c r="V1020" s="8"/>
      <c r="W1020" s="8"/>
      <c r="X1020" s="8"/>
      <c r="Y1020" s="8"/>
      <c r="Z1020" s="8"/>
      <c r="AA1020" s="8"/>
      <c r="AB1020" s="8"/>
      <c r="AD1020" s="8"/>
      <c r="AE1020" s="8"/>
      <c r="AF1020" s="8"/>
      <c r="AG1020" s="8"/>
      <c r="AH1020" s="8"/>
      <c r="AI1020" s="8"/>
      <c r="AJ1020" s="8"/>
      <c r="AK1020" s="8"/>
      <c r="AL1020" s="8"/>
      <c r="AM1020" s="8"/>
      <c r="AN1020" s="8"/>
      <c r="AO1020" s="8"/>
    </row>
    <row r="1021" spans="7:41" x14ac:dyDescent="0.2">
      <c r="G1021" s="8"/>
      <c r="H1021" s="8"/>
      <c r="I1021" s="8"/>
      <c r="J1021" s="8"/>
      <c r="K1021" s="8"/>
      <c r="L1021" s="8"/>
      <c r="M1021" s="8"/>
      <c r="N1021" s="8"/>
      <c r="O1021" s="8"/>
      <c r="Q1021" s="8"/>
      <c r="R1021" s="8"/>
      <c r="S1021" s="8"/>
      <c r="T1021" s="8"/>
      <c r="U1021" s="8"/>
      <c r="V1021" s="8"/>
      <c r="W1021" s="8"/>
      <c r="X1021" s="8"/>
      <c r="Y1021" s="8"/>
      <c r="Z1021" s="8"/>
      <c r="AA1021" s="8"/>
      <c r="AB1021" s="8"/>
      <c r="AD1021" s="8"/>
      <c r="AE1021" s="8"/>
      <c r="AF1021" s="8"/>
      <c r="AG1021" s="8"/>
      <c r="AH1021" s="8"/>
      <c r="AI1021" s="8"/>
      <c r="AJ1021" s="8"/>
      <c r="AK1021" s="8"/>
      <c r="AL1021" s="8"/>
      <c r="AM1021" s="8"/>
      <c r="AN1021" s="8"/>
      <c r="AO1021" s="8"/>
    </row>
    <row r="1022" spans="7:41" x14ac:dyDescent="0.2">
      <c r="G1022" s="8"/>
      <c r="H1022" s="8"/>
      <c r="I1022" s="8"/>
      <c r="J1022" s="8"/>
      <c r="K1022" s="8"/>
      <c r="L1022" s="8"/>
      <c r="M1022" s="8"/>
      <c r="N1022" s="8"/>
      <c r="O1022" s="8"/>
      <c r="Q1022" s="8"/>
      <c r="R1022" s="8"/>
      <c r="S1022" s="8"/>
      <c r="T1022" s="8"/>
      <c r="U1022" s="8"/>
      <c r="V1022" s="8"/>
      <c r="W1022" s="8"/>
      <c r="X1022" s="8"/>
      <c r="Y1022" s="8"/>
      <c r="Z1022" s="8"/>
      <c r="AA1022" s="8"/>
      <c r="AB1022" s="8"/>
      <c r="AD1022" s="8"/>
      <c r="AE1022" s="8"/>
      <c r="AF1022" s="8"/>
      <c r="AG1022" s="8"/>
      <c r="AH1022" s="8"/>
      <c r="AI1022" s="8"/>
      <c r="AJ1022" s="8"/>
      <c r="AK1022" s="8"/>
      <c r="AL1022" s="8"/>
      <c r="AM1022" s="8"/>
      <c r="AN1022" s="8"/>
      <c r="AO1022" s="8"/>
    </row>
    <row r="1023" spans="7:41" x14ac:dyDescent="0.2">
      <c r="G1023" s="8"/>
      <c r="H1023" s="8"/>
      <c r="I1023" s="8"/>
      <c r="J1023" s="8"/>
      <c r="K1023" s="8"/>
      <c r="L1023" s="8"/>
      <c r="M1023" s="8"/>
      <c r="N1023" s="8"/>
      <c r="O1023" s="8"/>
      <c r="Q1023" s="8"/>
      <c r="R1023" s="8"/>
      <c r="S1023" s="8"/>
      <c r="T1023" s="8"/>
      <c r="U1023" s="8"/>
      <c r="V1023" s="8"/>
      <c r="W1023" s="8"/>
      <c r="X1023" s="8"/>
      <c r="Y1023" s="8"/>
      <c r="Z1023" s="8"/>
      <c r="AA1023" s="8"/>
      <c r="AB1023" s="8"/>
      <c r="AD1023" s="8"/>
      <c r="AE1023" s="8"/>
      <c r="AF1023" s="8"/>
      <c r="AG1023" s="8"/>
      <c r="AH1023" s="8"/>
      <c r="AI1023" s="8"/>
      <c r="AJ1023" s="8"/>
      <c r="AK1023" s="8"/>
      <c r="AL1023" s="8"/>
      <c r="AM1023" s="8"/>
      <c r="AN1023" s="8"/>
      <c r="AO1023" s="8"/>
    </row>
    <row r="1024" spans="7:41" x14ac:dyDescent="0.2">
      <c r="G1024" s="8"/>
      <c r="H1024" s="8"/>
      <c r="I1024" s="8"/>
      <c r="J1024" s="8"/>
      <c r="K1024" s="8"/>
      <c r="L1024" s="8"/>
      <c r="M1024" s="8"/>
      <c r="N1024" s="8"/>
      <c r="O1024" s="8"/>
      <c r="Q1024" s="8"/>
      <c r="R1024" s="8"/>
      <c r="S1024" s="8"/>
      <c r="T1024" s="8"/>
      <c r="U1024" s="8"/>
      <c r="V1024" s="8"/>
      <c r="W1024" s="8"/>
      <c r="X1024" s="8"/>
      <c r="Y1024" s="8"/>
      <c r="Z1024" s="8"/>
      <c r="AA1024" s="8"/>
      <c r="AB1024" s="8"/>
      <c r="AD1024" s="8"/>
      <c r="AE1024" s="8"/>
      <c r="AF1024" s="8"/>
      <c r="AG1024" s="8"/>
      <c r="AH1024" s="8"/>
      <c r="AI1024" s="8"/>
      <c r="AJ1024" s="8"/>
      <c r="AK1024" s="8"/>
      <c r="AL1024" s="8"/>
      <c r="AM1024" s="8"/>
      <c r="AN1024" s="8"/>
      <c r="AO1024" s="8"/>
    </row>
    <row r="1025" spans="7:41" x14ac:dyDescent="0.2">
      <c r="G1025" s="8"/>
      <c r="H1025" s="8"/>
      <c r="I1025" s="8"/>
      <c r="J1025" s="8"/>
      <c r="K1025" s="8"/>
      <c r="L1025" s="8"/>
      <c r="M1025" s="8"/>
      <c r="N1025" s="8"/>
      <c r="O1025" s="8"/>
      <c r="Q1025" s="8"/>
      <c r="R1025" s="8"/>
      <c r="S1025" s="8"/>
      <c r="T1025" s="8"/>
      <c r="U1025" s="8"/>
      <c r="V1025" s="8"/>
      <c r="W1025" s="8"/>
      <c r="X1025" s="8"/>
      <c r="Y1025" s="8"/>
      <c r="Z1025" s="8"/>
      <c r="AA1025" s="8"/>
      <c r="AB1025" s="8"/>
      <c r="AD1025" s="8"/>
      <c r="AE1025" s="8"/>
      <c r="AF1025" s="8"/>
      <c r="AG1025" s="8"/>
      <c r="AH1025" s="8"/>
      <c r="AI1025" s="8"/>
      <c r="AJ1025" s="8"/>
      <c r="AK1025" s="8"/>
      <c r="AL1025" s="8"/>
      <c r="AM1025" s="8"/>
      <c r="AN1025" s="8"/>
      <c r="AO1025" s="8"/>
    </row>
    <row r="1026" spans="7:41" x14ac:dyDescent="0.2">
      <c r="G1026" s="8"/>
      <c r="H1026" s="8"/>
      <c r="I1026" s="8"/>
      <c r="J1026" s="8"/>
      <c r="K1026" s="8"/>
      <c r="L1026" s="8"/>
      <c r="M1026" s="8"/>
      <c r="N1026" s="8"/>
      <c r="O1026" s="8"/>
      <c r="Q1026" s="8"/>
      <c r="R1026" s="8"/>
      <c r="S1026" s="8"/>
      <c r="T1026" s="8"/>
      <c r="U1026" s="8"/>
      <c r="V1026" s="8"/>
      <c r="W1026" s="8"/>
      <c r="X1026" s="8"/>
      <c r="Y1026" s="8"/>
      <c r="Z1026" s="8"/>
      <c r="AA1026" s="8"/>
      <c r="AB1026" s="8"/>
      <c r="AD1026" s="8"/>
      <c r="AE1026" s="8"/>
      <c r="AF1026" s="8"/>
      <c r="AG1026" s="8"/>
      <c r="AH1026" s="8"/>
      <c r="AI1026" s="8"/>
      <c r="AJ1026" s="8"/>
      <c r="AK1026" s="8"/>
      <c r="AL1026" s="8"/>
      <c r="AM1026" s="8"/>
      <c r="AN1026" s="8"/>
      <c r="AO1026" s="8"/>
    </row>
    <row r="1027" spans="7:41" x14ac:dyDescent="0.2">
      <c r="G1027" s="8"/>
      <c r="H1027" s="8"/>
      <c r="I1027" s="8"/>
      <c r="J1027" s="8"/>
      <c r="K1027" s="8"/>
      <c r="L1027" s="8"/>
      <c r="M1027" s="8"/>
      <c r="N1027" s="8"/>
      <c r="O1027" s="8"/>
      <c r="Q1027" s="8"/>
      <c r="R1027" s="8"/>
      <c r="S1027" s="8"/>
      <c r="T1027" s="8"/>
      <c r="U1027" s="8"/>
      <c r="V1027" s="8"/>
      <c r="W1027" s="8"/>
      <c r="X1027" s="8"/>
      <c r="Y1027" s="8"/>
      <c r="Z1027" s="8"/>
      <c r="AA1027" s="8"/>
      <c r="AB1027" s="8"/>
      <c r="AD1027" s="8"/>
      <c r="AE1027" s="8"/>
      <c r="AF1027" s="8"/>
      <c r="AG1027" s="8"/>
      <c r="AH1027" s="8"/>
      <c r="AI1027" s="8"/>
      <c r="AJ1027" s="8"/>
      <c r="AK1027" s="8"/>
      <c r="AL1027" s="8"/>
      <c r="AM1027" s="8"/>
      <c r="AN1027" s="8"/>
      <c r="AO1027" s="8"/>
    </row>
    <row r="1028" spans="7:41" x14ac:dyDescent="0.2">
      <c r="G1028" s="8"/>
      <c r="H1028" s="8"/>
      <c r="I1028" s="8"/>
      <c r="J1028" s="8"/>
      <c r="K1028" s="8"/>
      <c r="L1028" s="8"/>
      <c r="M1028" s="8"/>
      <c r="N1028" s="8"/>
      <c r="O1028" s="8"/>
      <c r="Q1028" s="8"/>
      <c r="R1028" s="8"/>
      <c r="S1028" s="8"/>
      <c r="T1028" s="8"/>
      <c r="U1028" s="8"/>
      <c r="V1028" s="8"/>
      <c r="W1028" s="8"/>
      <c r="X1028" s="8"/>
      <c r="Y1028" s="8"/>
      <c r="Z1028" s="8"/>
      <c r="AA1028" s="8"/>
      <c r="AB1028" s="8"/>
      <c r="AD1028" s="8"/>
      <c r="AE1028" s="8"/>
      <c r="AF1028" s="8"/>
      <c r="AG1028" s="8"/>
      <c r="AH1028" s="8"/>
      <c r="AI1028" s="8"/>
      <c r="AJ1028" s="8"/>
      <c r="AK1028" s="8"/>
      <c r="AL1028" s="8"/>
      <c r="AM1028" s="8"/>
      <c r="AN1028" s="8"/>
      <c r="AO1028" s="8"/>
    </row>
    <row r="1029" spans="7:41" x14ac:dyDescent="0.2">
      <c r="G1029" s="8"/>
      <c r="H1029" s="8"/>
      <c r="I1029" s="8"/>
      <c r="J1029" s="8"/>
      <c r="K1029" s="8"/>
      <c r="L1029" s="8"/>
      <c r="M1029" s="8"/>
      <c r="N1029" s="8"/>
      <c r="O1029" s="8"/>
      <c r="Q1029" s="8"/>
      <c r="R1029" s="8"/>
      <c r="S1029" s="8"/>
      <c r="T1029" s="8"/>
      <c r="U1029" s="8"/>
      <c r="V1029" s="8"/>
      <c r="W1029" s="8"/>
      <c r="X1029" s="8"/>
      <c r="Y1029" s="8"/>
      <c r="Z1029" s="8"/>
      <c r="AA1029" s="8"/>
      <c r="AB1029" s="8"/>
      <c r="AD1029" s="8"/>
      <c r="AE1029" s="8"/>
      <c r="AF1029" s="8"/>
      <c r="AG1029" s="8"/>
      <c r="AH1029" s="8"/>
      <c r="AI1029" s="8"/>
      <c r="AJ1029" s="8"/>
      <c r="AK1029" s="8"/>
      <c r="AL1029" s="8"/>
      <c r="AM1029" s="8"/>
      <c r="AN1029" s="8"/>
      <c r="AO1029" s="8"/>
    </row>
    <row r="1030" spans="7:41" x14ac:dyDescent="0.2">
      <c r="G1030" s="8"/>
      <c r="H1030" s="8"/>
      <c r="I1030" s="8"/>
      <c r="J1030" s="8"/>
      <c r="K1030" s="8"/>
      <c r="L1030" s="8"/>
      <c r="M1030" s="8"/>
      <c r="N1030" s="8"/>
      <c r="O1030" s="8"/>
      <c r="Q1030" s="8"/>
      <c r="R1030" s="8"/>
      <c r="S1030" s="8"/>
      <c r="T1030" s="8"/>
      <c r="U1030" s="8"/>
      <c r="V1030" s="8"/>
      <c r="W1030" s="8"/>
      <c r="X1030" s="8"/>
      <c r="Y1030" s="8"/>
      <c r="Z1030" s="8"/>
      <c r="AA1030" s="8"/>
      <c r="AB1030" s="8"/>
      <c r="AD1030" s="8"/>
      <c r="AE1030" s="8"/>
      <c r="AF1030" s="8"/>
      <c r="AG1030" s="8"/>
      <c r="AH1030" s="8"/>
      <c r="AI1030" s="8"/>
      <c r="AJ1030" s="8"/>
      <c r="AK1030" s="8"/>
      <c r="AL1030" s="8"/>
      <c r="AM1030" s="8"/>
      <c r="AN1030" s="8"/>
      <c r="AO1030" s="8"/>
    </row>
    <row r="1031" spans="7:41" x14ac:dyDescent="0.2">
      <c r="G1031" s="8"/>
      <c r="H1031" s="8"/>
      <c r="I1031" s="8"/>
      <c r="J1031" s="8"/>
      <c r="K1031" s="8"/>
      <c r="L1031" s="8"/>
      <c r="M1031" s="8"/>
      <c r="N1031" s="8"/>
      <c r="O1031" s="8"/>
      <c r="Q1031" s="8"/>
      <c r="R1031" s="8"/>
      <c r="S1031" s="8"/>
      <c r="T1031" s="8"/>
      <c r="U1031" s="8"/>
      <c r="V1031" s="8"/>
      <c r="W1031" s="8"/>
      <c r="X1031" s="8"/>
      <c r="Y1031" s="8"/>
      <c r="Z1031" s="8"/>
      <c r="AA1031" s="8"/>
      <c r="AB1031" s="8"/>
      <c r="AD1031" s="8"/>
      <c r="AE1031" s="8"/>
      <c r="AF1031" s="8"/>
      <c r="AG1031" s="8"/>
      <c r="AH1031" s="8"/>
      <c r="AI1031" s="8"/>
      <c r="AJ1031" s="8"/>
      <c r="AK1031" s="8"/>
      <c r="AL1031" s="8"/>
      <c r="AM1031" s="8"/>
      <c r="AN1031" s="8"/>
      <c r="AO1031" s="8"/>
    </row>
    <row r="1032" spans="7:41" x14ac:dyDescent="0.2">
      <c r="G1032" s="8"/>
      <c r="H1032" s="8"/>
      <c r="I1032" s="8"/>
      <c r="J1032" s="8"/>
      <c r="K1032" s="8"/>
      <c r="L1032" s="8"/>
      <c r="M1032" s="8"/>
      <c r="N1032" s="8"/>
      <c r="O1032" s="8"/>
      <c r="Q1032" s="8"/>
      <c r="R1032" s="8"/>
      <c r="S1032" s="8"/>
      <c r="T1032" s="8"/>
      <c r="U1032" s="8"/>
      <c r="V1032" s="8"/>
      <c r="W1032" s="8"/>
      <c r="X1032" s="8"/>
      <c r="Y1032" s="8"/>
      <c r="Z1032" s="8"/>
      <c r="AA1032" s="8"/>
      <c r="AB1032" s="8"/>
      <c r="AD1032" s="8"/>
      <c r="AE1032" s="8"/>
      <c r="AF1032" s="8"/>
      <c r="AG1032" s="8"/>
      <c r="AH1032" s="8"/>
      <c r="AI1032" s="8"/>
      <c r="AJ1032" s="8"/>
      <c r="AK1032" s="8"/>
      <c r="AL1032" s="8"/>
      <c r="AM1032" s="8"/>
      <c r="AN1032" s="8"/>
      <c r="AO1032" s="8"/>
    </row>
    <row r="1033" spans="7:41" x14ac:dyDescent="0.2">
      <c r="G1033" s="8"/>
      <c r="H1033" s="8"/>
      <c r="I1033" s="8"/>
      <c r="J1033" s="8"/>
      <c r="K1033" s="8"/>
      <c r="L1033" s="8"/>
      <c r="M1033" s="8"/>
      <c r="N1033" s="8"/>
      <c r="O1033" s="8"/>
      <c r="Q1033" s="8"/>
      <c r="R1033" s="8"/>
      <c r="S1033" s="8"/>
      <c r="T1033" s="8"/>
      <c r="U1033" s="8"/>
      <c r="V1033" s="8"/>
      <c r="W1033" s="8"/>
      <c r="X1033" s="8"/>
      <c r="Y1033" s="8"/>
      <c r="Z1033" s="8"/>
      <c r="AA1033" s="8"/>
      <c r="AB1033" s="8"/>
      <c r="AD1033" s="8"/>
      <c r="AE1033" s="8"/>
      <c r="AF1033" s="8"/>
      <c r="AG1033" s="8"/>
      <c r="AH1033" s="8"/>
      <c r="AI1033" s="8"/>
      <c r="AJ1033" s="8"/>
      <c r="AK1033" s="8"/>
      <c r="AL1033" s="8"/>
      <c r="AM1033" s="8"/>
      <c r="AN1033" s="8"/>
      <c r="AO1033" s="8"/>
    </row>
    <row r="1034" spans="7:41" x14ac:dyDescent="0.2">
      <c r="G1034" s="8"/>
      <c r="H1034" s="8"/>
      <c r="I1034" s="8"/>
      <c r="J1034" s="8"/>
      <c r="K1034" s="8"/>
      <c r="L1034" s="8"/>
      <c r="M1034" s="8"/>
      <c r="N1034" s="8"/>
      <c r="O1034" s="8"/>
      <c r="Q1034" s="8"/>
      <c r="R1034" s="8"/>
      <c r="S1034" s="8"/>
      <c r="T1034" s="8"/>
      <c r="U1034" s="8"/>
      <c r="V1034" s="8"/>
      <c r="W1034" s="8"/>
      <c r="X1034" s="8"/>
      <c r="Y1034" s="8"/>
      <c r="Z1034" s="8"/>
      <c r="AA1034" s="8"/>
      <c r="AB1034" s="8"/>
      <c r="AD1034" s="8"/>
      <c r="AE1034" s="8"/>
      <c r="AF1034" s="8"/>
      <c r="AG1034" s="8"/>
      <c r="AH1034" s="8"/>
      <c r="AI1034" s="8"/>
      <c r="AJ1034" s="8"/>
      <c r="AK1034" s="8"/>
      <c r="AL1034" s="8"/>
      <c r="AM1034" s="8"/>
      <c r="AN1034" s="8"/>
      <c r="AO1034" s="8"/>
    </row>
    <row r="1035" spans="7:41" x14ac:dyDescent="0.2">
      <c r="G1035" s="8"/>
      <c r="H1035" s="8"/>
      <c r="I1035" s="8"/>
      <c r="J1035" s="8"/>
      <c r="K1035" s="8"/>
      <c r="L1035" s="8"/>
      <c r="M1035" s="8"/>
      <c r="N1035" s="8"/>
      <c r="O1035" s="8"/>
      <c r="Q1035" s="8"/>
      <c r="R1035" s="8"/>
      <c r="S1035" s="8"/>
      <c r="T1035" s="8"/>
      <c r="U1035" s="8"/>
      <c r="V1035" s="8"/>
      <c r="W1035" s="8"/>
      <c r="X1035" s="8"/>
      <c r="Y1035" s="8"/>
      <c r="Z1035" s="8"/>
      <c r="AA1035" s="8"/>
      <c r="AB1035" s="8"/>
      <c r="AD1035" s="8"/>
      <c r="AE1035" s="8"/>
      <c r="AF1035" s="8"/>
      <c r="AG1035" s="8"/>
      <c r="AH1035" s="8"/>
      <c r="AI1035" s="8"/>
      <c r="AJ1035" s="8"/>
      <c r="AK1035" s="8"/>
      <c r="AL1035" s="8"/>
      <c r="AM1035" s="8"/>
      <c r="AN1035" s="8"/>
      <c r="AO1035" s="8"/>
    </row>
    <row r="1036" spans="7:41" x14ac:dyDescent="0.2">
      <c r="G1036" s="8"/>
      <c r="H1036" s="8"/>
      <c r="I1036" s="8"/>
      <c r="J1036" s="8"/>
      <c r="K1036" s="8"/>
      <c r="L1036" s="8"/>
      <c r="M1036" s="8"/>
      <c r="N1036" s="8"/>
      <c r="O1036" s="8"/>
      <c r="Q1036" s="8"/>
      <c r="R1036" s="8"/>
      <c r="S1036" s="8"/>
      <c r="T1036" s="8"/>
      <c r="U1036" s="8"/>
      <c r="V1036" s="8"/>
      <c r="W1036" s="8"/>
      <c r="X1036" s="8"/>
      <c r="Y1036" s="8"/>
      <c r="Z1036" s="8"/>
      <c r="AA1036" s="8"/>
      <c r="AB1036" s="8"/>
      <c r="AD1036" s="8"/>
      <c r="AE1036" s="8"/>
      <c r="AF1036" s="8"/>
      <c r="AG1036" s="8"/>
      <c r="AH1036" s="8"/>
      <c r="AI1036" s="8"/>
      <c r="AJ1036" s="8"/>
      <c r="AK1036" s="8"/>
      <c r="AL1036" s="8"/>
      <c r="AM1036" s="8"/>
      <c r="AN1036" s="8"/>
      <c r="AO1036" s="8"/>
    </row>
    <row r="1037" spans="7:41" x14ac:dyDescent="0.2">
      <c r="G1037" s="8"/>
      <c r="H1037" s="8"/>
      <c r="I1037" s="8"/>
      <c r="J1037" s="8"/>
      <c r="K1037" s="8"/>
      <c r="L1037" s="8"/>
      <c r="M1037" s="8"/>
      <c r="N1037" s="8"/>
      <c r="O1037" s="8"/>
      <c r="Q1037" s="8"/>
      <c r="R1037" s="8"/>
      <c r="S1037" s="8"/>
      <c r="T1037" s="8"/>
      <c r="U1037" s="8"/>
      <c r="V1037" s="8"/>
      <c r="W1037" s="8"/>
      <c r="X1037" s="8"/>
      <c r="Y1037" s="8"/>
      <c r="Z1037" s="8"/>
      <c r="AA1037" s="8"/>
      <c r="AB1037" s="8"/>
      <c r="AD1037" s="8"/>
      <c r="AE1037" s="8"/>
      <c r="AF1037" s="8"/>
      <c r="AG1037" s="8"/>
      <c r="AH1037" s="8"/>
      <c r="AI1037" s="8"/>
      <c r="AJ1037" s="8"/>
      <c r="AK1037" s="8"/>
      <c r="AL1037" s="8"/>
      <c r="AM1037" s="8"/>
      <c r="AN1037" s="8"/>
      <c r="AO1037" s="8"/>
    </row>
    <row r="1038" spans="7:41" x14ac:dyDescent="0.2">
      <c r="G1038" s="8"/>
      <c r="H1038" s="8"/>
      <c r="I1038" s="8"/>
      <c r="J1038" s="8"/>
      <c r="K1038" s="8"/>
      <c r="L1038" s="8"/>
      <c r="M1038" s="8"/>
      <c r="N1038" s="8"/>
      <c r="O1038" s="8"/>
      <c r="Q1038" s="8"/>
      <c r="R1038" s="8"/>
      <c r="S1038" s="8"/>
      <c r="T1038" s="8"/>
      <c r="U1038" s="8"/>
      <c r="V1038" s="8"/>
      <c r="W1038" s="8"/>
      <c r="X1038" s="8"/>
      <c r="Y1038" s="8"/>
      <c r="Z1038" s="8"/>
      <c r="AA1038" s="8"/>
      <c r="AB1038" s="8"/>
      <c r="AD1038" s="8"/>
      <c r="AE1038" s="8"/>
      <c r="AF1038" s="8"/>
      <c r="AG1038" s="8"/>
      <c r="AH1038" s="8"/>
      <c r="AI1038" s="8"/>
      <c r="AJ1038" s="8"/>
      <c r="AK1038" s="8"/>
      <c r="AL1038" s="8"/>
      <c r="AM1038" s="8"/>
      <c r="AN1038" s="8"/>
      <c r="AO1038" s="8"/>
    </row>
    <row r="1039" spans="7:41" x14ac:dyDescent="0.2">
      <c r="G1039" s="8"/>
      <c r="H1039" s="8"/>
      <c r="I1039" s="8"/>
      <c r="J1039" s="8"/>
      <c r="K1039" s="8"/>
      <c r="L1039" s="8"/>
      <c r="M1039" s="8"/>
      <c r="N1039" s="8"/>
      <c r="O1039" s="8"/>
      <c r="Q1039" s="8"/>
      <c r="R1039" s="8"/>
      <c r="S1039" s="8"/>
      <c r="T1039" s="8"/>
      <c r="U1039" s="8"/>
      <c r="V1039" s="8"/>
      <c r="W1039" s="8"/>
      <c r="X1039" s="8"/>
      <c r="Y1039" s="8"/>
      <c r="Z1039" s="8"/>
      <c r="AA1039" s="8"/>
      <c r="AB1039" s="8"/>
      <c r="AD1039" s="8"/>
      <c r="AE1039" s="8"/>
      <c r="AF1039" s="8"/>
      <c r="AG1039" s="8"/>
      <c r="AH1039" s="8"/>
      <c r="AI1039" s="8"/>
      <c r="AJ1039" s="8"/>
      <c r="AK1039" s="8"/>
      <c r="AL1039" s="8"/>
      <c r="AM1039" s="8"/>
      <c r="AN1039" s="8"/>
      <c r="AO1039" s="8"/>
    </row>
    <row r="1040" spans="7:41" x14ac:dyDescent="0.2">
      <c r="G1040" s="8"/>
      <c r="H1040" s="8"/>
      <c r="I1040" s="8"/>
      <c r="J1040" s="8"/>
      <c r="K1040" s="8"/>
      <c r="L1040" s="8"/>
      <c r="M1040" s="8"/>
      <c r="N1040" s="8"/>
      <c r="O1040" s="8"/>
      <c r="Q1040" s="8"/>
      <c r="R1040" s="8"/>
      <c r="S1040" s="8"/>
      <c r="T1040" s="8"/>
      <c r="U1040" s="8"/>
      <c r="V1040" s="8"/>
      <c r="W1040" s="8"/>
      <c r="X1040" s="8"/>
      <c r="Y1040" s="8"/>
      <c r="Z1040" s="8"/>
      <c r="AA1040" s="8"/>
      <c r="AB1040" s="8"/>
      <c r="AD1040" s="8"/>
      <c r="AE1040" s="8"/>
      <c r="AF1040" s="8"/>
      <c r="AG1040" s="8"/>
      <c r="AH1040" s="8"/>
      <c r="AI1040" s="8"/>
      <c r="AJ1040" s="8"/>
      <c r="AK1040" s="8"/>
      <c r="AL1040" s="8"/>
      <c r="AM1040" s="8"/>
      <c r="AN1040" s="8"/>
      <c r="AO1040" s="8"/>
    </row>
    <row r="1041" spans="7:41" x14ac:dyDescent="0.2">
      <c r="G1041" s="8"/>
      <c r="H1041" s="8"/>
      <c r="I1041" s="8"/>
      <c r="J1041" s="8"/>
      <c r="K1041" s="8"/>
      <c r="L1041" s="8"/>
      <c r="M1041" s="8"/>
      <c r="N1041" s="8"/>
      <c r="O1041" s="8"/>
      <c r="Q1041" s="8"/>
      <c r="R1041" s="8"/>
      <c r="S1041" s="8"/>
      <c r="T1041" s="8"/>
      <c r="U1041" s="8"/>
      <c r="V1041" s="8"/>
      <c r="W1041" s="8"/>
      <c r="X1041" s="8"/>
      <c r="Y1041" s="8"/>
      <c r="Z1041" s="8"/>
      <c r="AA1041" s="8"/>
      <c r="AB1041" s="8"/>
      <c r="AD1041" s="8"/>
      <c r="AE1041" s="8"/>
      <c r="AF1041" s="8"/>
      <c r="AG1041" s="8"/>
      <c r="AH1041" s="8"/>
      <c r="AI1041" s="8"/>
      <c r="AJ1041" s="8"/>
      <c r="AK1041" s="8"/>
      <c r="AL1041" s="8"/>
      <c r="AM1041" s="8"/>
      <c r="AN1041" s="8"/>
      <c r="AO1041" s="8"/>
    </row>
    <row r="1042" spans="7:41" x14ac:dyDescent="0.2">
      <c r="G1042" s="8"/>
      <c r="H1042" s="8"/>
      <c r="I1042" s="8"/>
      <c r="J1042" s="8"/>
      <c r="K1042" s="8"/>
      <c r="L1042" s="8"/>
      <c r="M1042" s="8"/>
      <c r="N1042" s="8"/>
      <c r="O1042" s="8"/>
      <c r="Q1042" s="8"/>
      <c r="R1042" s="8"/>
      <c r="S1042" s="8"/>
      <c r="T1042" s="8"/>
      <c r="U1042" s="8"/>
      <c r="V1042" s="8"/>
      <c r="W1042" s="8"/>
      <c r="X1042" s="8"/>
      <c r="Y1042" s="8"/>
      <c r="Z1042" s="8"/>
      <c r="AA1042" s="8"/>
      <c r="AB1042" s="8"/>
      <c r="AD1042" s="8"/>
      <c r="AE1042" s="8"/>
      <c r="AF1042" s="8"/>
      <c r="AG1042" s="8"/>
      <c r="AH1042" s="8"/>
      <c r="AI1042" s="8"/>
      <c r="AJ1042" s="8"/>
      <c r="AK1042" s="8"/>
      <c r="AL1042" s="8"/>
      <c r="AM1042" s="8"/>
      <c r="AN1042" s="8"/>
      <c r="AO1042" s="8"/>
    </row>
    <row r="1043" spans="7:41" x14ac:dyDescent="0.2">
      <c r="G1043" s="8"/>
      <c r="H1043" s="8"/>
      <c r="I1043" s="8"/>
      <c r="J1043" s="8"/>
      <c r="K1043" s="8"/>
      <c r="L1043" s="8"/>
      <c r="M1043" s="8"/>
      <c r="N1043" s="8"/>
      <c r="O1043" s="8"/>
      <c r="Q1043" s="8"/>
      <c r="R1043" s="8"/>
      <c r="S1043" s="8"/>
      <c r="T1043" s="8"/>
      <c r="U1043" s="8"/>
      <c r="V1043" s="8"/>
      <c r="W1043" s="8"/>
      <c r="X1043" s="8"/>
      <c r="Y1043" s="8"/>
      <c r="Z1043" s="8"/>
      <c r="AA1043" s="8"/>
      <c r="AB1043" s="8"/>
      <c r="AD1043" s="8"/>
      <c r="AE1043" s="8"/>
      <c r="AF1043" s="8"/>
      <c r="AG1043" s="8"/>
      <c r="AH1043" s="8"/>
      <c r="AI1043" s="8"/>
      <c r="AJ1043" s="8"/>
      <c r="AK1043" s="8"/>
      <c r="AL1043" s="8"/>
      <c r="AM1043" s="8"/>
      <c r="AN1043" s="8"/>
      <c r="AO1043" s="8"/>
    </row>
    <row r="1044" spans="7:41" x14ac:dyDescent="0.2">
      <c r="G1044" s="8"/>
      <c r="H1044" s="8"/>
      <c r="I1044" s="8"/>
      <c r="J1044" s="8"/>
      <c r="K1044" s="8"/>
      <c r="L1044" s="8"/>
      <c r="M1044" s="8"/>
      <c r="N1044" s="8"/>
      <c r="O1044" s="8"/>
      <c r="Q1044" s="8"/>
      <c r="R1044" s="8"/>
      <c r="S1044" s="8"/>
      <c r="T1044" s="8"/>
      <c r="U1044" s="8"/>
      <c r="V1044" s="8"/>
      <c r="W1044" s="8"/>
      <c r="X1044" s="8"/>
      <c r="Y1044" s="8"/>
      <c r="Z1044" s="8"/>
      <c r="AA1044" s="8"/>
      <c r="AB1044" s="8"/>
      <c r="AD1044" s="8"/>
      <c r="AE1044" s="8"/>
      <c r="AF1044" s="8"/>
      <c r="AG1044" s="8"/>
      <c r="AH1044" s="8"/>
      <c r="AI1044" s="8"/>
      <c r="AJ1044" s="8"/>
      <c r="AK1044" s="8"/>
      <c r="AL1044" s="8"/>
      <c r="AM1044" s="8"/>
      <c r="AN1044" s="8"/>
      <c r="AO1044" s="8"/>
    </row>
    <row r="1045" spans="7:41" x14ac:dyDescent="0.2">
      <c r="G1045" s="8"/>
      <c r="H1045" s="8"/>
      <c r="I1045" s="8"/>
      <c r="J1045" s="8"/>
      <c r="K1045" s="8"/>
      <c r="L1045" s="8"/>
      <c r="M1045" s="8"/>
      <c r="N1045" s="8"/>
      <c r="O1045" s="8"/>
      <c r="Q1045" s="8"/>
      <c r="R1045" s="8"/>
      <c r="S1045" s="8"/>
      <c r="T1045" s="8"/>
      <c r="U1045" s="8"/>
      <c r="V1045" s="8"/>
      <c r="W1045" s="8"/>
      <c r="X1045" s="8"/>
      <c r="Y1045" s="8"/>
      <c r="Z1045" s="8"/>
      <c r="AA1045" s="8"/>
      <c r="AB1045" s="8"/>
      <c r="AD1045" s="8"/>
      <c r="AE1045" s="8"/>
      <c r="AF1045" s="8"/>
      <c r="AG1045" s="8"/>
      <c r="AH1045" s="8"/>
      <c r="AI1045" s="8"/>
      <c r="AJ1045" s="8"/>
      <c r="AK1045" s="8"/>
      <c r="AL1045" s="8"/>
      <c r="AM1045" s="8"/>
      <c r="AN1045" s="8"/>
      <c r="AO1045" s="8"/>
    </row>
    <row r="1046" spans="7:41" x14ac:dyDescent="0.2">
      <c r="G1046" s="8"/>
      <c r="H1046" s="8"/>
      <c r="I1046" s="8"/>
      <c r="J1046" s="8"/>
      <c r="K1046" s="8"/>
      <c r="L1046" s="8"/>
      <c r="M1046" s="8"/>
      <c r="N1046" s="8"/>
      <c r="O1046" s="8"/>
      <c r="Q1046" s="8"/>
      <c r="R1046" s="8"/>
      <c r="S1046" s="8"/>
      <c r="T1046" s="8"/>
      <c r="U1046" s="8"/>
      <c r="V1046" s="8"/>
      <c r="W1046" s="8"/>
      <c r="X1046" s="8"/>
      <c r="Y1046" s="8"/>
      <c r="Z1046" s="8"/>
      <c r="AA1046" s="8"/>
      <c r="AB1046" s="8"/>
      <c r="AD1046" s="8"/>
      <c r="AE1046" s="8"/>
      <c r="AF1046" s="8"/>
      <c r="AG1046" s="8"/>
      <c r="AH1046" s="8"/>
      <c r="AI1046" s="8"/>
      <c r="AJ1046" s="8"/>
      <c r="AK1046" s="8"/>
      <c r="AL1046" s="8"/>
      <c r="AM1046" s="8"/>
      <c r="AN1046" s="8"/>
      <c r="AO1046" s="8"/>
    </row>
    <row r="1047" spans="7:41" x14ac:dyDescent="0.2">
      <c r="G1047" s="8"/>
      <c r="H1047" s="8"/>
      <c r="I1047" s="8"/>
      <c r="J1047" s="8"/>
      <c r="K1047" s="8"/>
      <c r="L1047" s="8"/>
      <c r="M1047" s="8"/>
      <c r="N1047" s="8"/>
      <c r="O1047" s="8"/>
      <c r="Q1047" s="8"/>
      <c r="R1047" s="8"/>
      <c r="S1047" s="8"/>
      <c r="T1047" s="8"/>
      <c r="U1047" s="8"/>
      <c r="V1047" s="8"/>
      <c r="W1047" s="8"/>
      <c r="X1047" s="8"/>
      <c r="Y1047" s="8"/>
      <c r="Z1047" s="8"/>
      <c r="AA1047" s="8"/>
      <c r="AB1047" s="8"/>
      <c r="AD1047" s="8"/>
      <c r="AE1047" s="8"/>
      <c r="AF1047" s="8"/>
      <c r="AG1047" s="8"/>
      <c r="AH1047" s="8"/>
      <c r="AI1047" s="8"/>
      <c r="AJ1047" s="8"/>
      <c r="AK1047" s="8"/>
      <c r="AL1047" s="8"/>
      <c r="AM1047" s="8"/>
      <c r="AN1047" s="8"/>
      <c r="AO1047" s="8"/>
    </row>
    <row r="1048" spans="7:41" x14ac:dyDescent="0.2">
      <c r="G1048" s="8"/>
      <c r="H1048" s="8"/>
      <c r="I1048" s="8"/>
      <c r="J1048" s="8"/>
      <c r="K1048" s="8"/>
      <c r="L1048" s="8"/>
      <c r="M1048" s="8"/>
      <c r="N1048" s="8"/>
      <c r="O1048" s="8"/>
      <c r="Q1048" s="8"/>
      <c r="R1048" s="8"/>
      <c r="S1048" s="8"/>
      <c r="T1048" s="8"/>
      <c r="U1048" s="8"/>
      <c r="V1048" s="8"/>
      <c r="W1048" s="8"/>
      <c r="X1048" s="8"/>
      <c r="Y1048" s="8"/>
      <c r="Z1048" s="8"/>
      <c r="AA1048" s="8"/>
      <c r="AB1048" s="8"/>
      <c r="AD1048" s="8"/>
      <c r="AE1048" s="8"/>
      <c r="AF1048" s="8"/>
      <c r="AG1048" s="8"/>
      <c r="AH1048" s="8"/>
      <c r="AI1048" s="8"/>
      <c r="AJ1048" s="8"/>
      <c r="AK1048" s="8"/>
      <c r="AL1048" s="8"/>
      <c r="AM1048" s="8"/>
      <c r="AN1048" s="8"/>
      <c r="AO1048" s="8"/>
    </row>
    <row r="1049" spans="7:41" x14ac:dyDescent="0.2">
      <c r="G1049" s="8"/>
      <c r="H1049" s="8"/>
      <c r="I1049" s="8"/>
      <c r="J1049" s="8"/>
      <c r="K1049" s="8"/>
      <c r="L1049" s="8"/>
      <c r="M1049" s="8"/>
      <c r="N1049" s="8"/>
      <c r="O1049" s="8"/>
      <c r="Q1049" s="8"/>
      <c r="R1049" s="8"/>
      <c r="S1049" s="8"/>
      <c r="T1049" s="8"/>
      <c r="U1049" s="8"/>
      <c r="V1049" s="8"/>
      <c r="W1049" s="8"/>
      <c r="X1049" s="8"/>
      <c r="Y1049" s="8"/>
      <c r="Z1049" s="8"/>
      <c r="AA1049" s="8"/>
      <c r="AB1049" s="8"/>
      <c r="AD1049" s="8"/>
      <c r="AE1049" s="8"/>
      <c r="AF1049" s="8"/>
      <c r="AG1049" s="8"/>
      <c r="AH1049" s="8"/>
      <c r="AI1049" s="8"/>
      <c r="AJ1049" s="8"/>
      <c r="AK1049" s="8"/>
      <c r="AL1049" s="8"/>
      <c r="AM1049" s="8"/>
      <c r="AN1049" s="8"/>
      <c r="AO1049" s="8"/>
    </row>
    <row r="1050" spans="7:41" x14ac:dyDescent="0.2">
      <c r="G1050" s="8"/>
      <c r="H1050" s="8"/>
      <c r="I1050" s="8"/>
      <c r="J1050" s="8"/>
      <c r="K1050" s="8"/>
      <c r="L1050" s="8"/>
      <c r="M1050" s="8"/>
      <c r="N1050" s="8"/>
      <c r="O1050" s="8"/>
      <c r="Q1050" s="8"/>
      <c r="R1050" s="8"/>
      <c r="S1050" s="8"/>
      <c r="T1050" s="8"/>
      <c r="U1050" s="8"/>
      <c r="V1050" s="8"/>
      <c r="W1050" s="8"/>
      <c r="X1050" s="8"/>
      <c r="Y1050" s="8"/>
      <c r="Z1050" s="8"/>
      <c r="AA1050" s="8"/>
      <c r="AB1050" s="8"/>
      <c r="AD1050" s="8"/>
      <c r="AE1050" s="8"/>
      <c r="AF1050" s="8"/>
      <c r="AG1050" s="8"/>
      <c r="AH1050" s="8"/>
      <c r="AI1050" s="8"/>
      <c r="AJ1050" s="8"/>
      <c r="AK1050" s="8"/>
      <c r="AL1050" s="8"/>
      <c r="AM1050" s="8"/>
      <c r="AN1050" s="8"/>
      <c r="AO1050" s="8"/>
    </row>
    <row r="1051" spans="7:41" x14ac:dyDescent="0.2">
      <c r="G1051" s="8"/>
      <c r="H1051" s="8"/>
      <c r="I1051" s="8"/>
      <c r="J1051" s="8"/>
      <c r="K1051" s="8"/>
      <c r="L1051" s="8"/>
      <c r="M1051" s="8"/>
      <c r="N1051" s="8"/>
      <c r="O1051" s="8"/>
      <c r="Q1051" s="8"/>
      <c r="R1051" s="8"/>
      <c r="S1051" s="8"/>
      <c r="T1051" s="8"/>
      <c r="U1051" s="8"/>
      <c r="V1051" s="8"/>
      <c r="W1051" s="8"/>
      <c r="X1051" s="8"/>
      <c r="Y1051" s="8"/>
      <c r="Z1051" s="8"/>
      <c r="AA1051" s="8"/>
      <c r="AB1051" s="8"/>
      <c r="AD1051" s="8"/>
      <c r="AE1051" s="8"/>
      <c r="AF1051" s="8"/>
      <c r="AG1051" s="8"/>
      <c r="AH1051" s="8"/>
      <c r="AI1051" s="8"/>
      <c r="AJ1051" s="8"/>
      <c r="AK1051" s="8"/>
      <c r="AL1051" s="8"/>
      <c r="AM1051" s="8"/>
      <c r="AN1051" s="8"/>
      <c r="AO1051" s="8"/>
    </row>
    <row r="1052" spans="7:41" x14ac:dyDescent="0.2">
      <c r="G1052" s="8"/>
      <c r="H1052" s="8"/>
      <c r="I1052" s="8"/>
      <c r="J1052" s="8"/>
      <c r="K1052" s="8"/>
      <c r="L1052" s="8"/>
      <c r="M1052" s="8"/>
      <c r="N1052" s="8"/>
      <c r="O1052" s="8"/>
      <c r="Q1052" s="8"/>
      <c r="R1052" s="8"/>
      <c r="S1052" s="8"/>
      <c r="T1052" s="8"/>
      <c r="U1052" s="8"/>
      <c r="V1052" s="8"/>
      <c r="W1052" s="8"/>
      <c r="X1052" s="8"/>
      <c r="Y1052" s="8"/>
      <c r="Z1052" s="8"/>
      <c r="AA1052" s="8"/>
      <c r="AB1052" s="8"/>
      <c r="AD1052" s="8"/>
      <c r="AE1052" s="8"/>
      <c r="AF1052" s="8"/>
      <c r="AG1052" s="8"/>
      <c r="AH1052" s="8"/>
      <c r="AI1052" s="8"/>
      <c r="AJ1052" s="8"/>
      <c r="AK1052" s="8"/>
      <c r="AL1052" s="8"/>
      <c r="AM1052" s="8"/>
      <c r="AN1052" s="8"/>
      <c r="AO1052" s="8"/>
    </row>
    <row r="1053" spans="7:41" x14ac:dyDescent="0.2">
      <c r="G1053" s="8"/>
      <c r="H1053" s="8"/>
      <c r="I1053" s="8"/>
      <c r="J1053" s="8"/>
      <c r="K1053" s="8"/>
      <c r="L1053" s="8"/>
      <c r="M1053" s="8"/>
      <c r="N1053" s="8"/>
      <c r="O1053" s="8"/>
      <c r="Q1053" s="8"/>
      <c r="R1053" s="8"/>
      <c r="S1053" s="8"/>
      <c r="T1053" s="8"/>
      <c r="U1053" s="8"/>
      <c r="V1053" s="8"/>
      <c r="W1053" s="8"/>
      <c r="X1053" s="8"/>
      <c r="Y1053" s="8"/>
      <c r="Z1053" s="8"/>
      <c r="AA1053" s="8"/>
      <c r="AB1053" s="8"/>
      <c r="AD1053" s="8"/>
      <c r="AE1053" s="8"/>
      <c r="AF1053" s="8"/>
      <c r="AG1053" s="8"/>
      <c r="AH1053" s="8"/>
      <c r="AI1053" s="8"/>
      <c r="AJ1053" s="8"/>
      <c r="AK1053" s="8"/>
      <c r="AL1053" s="8"/>
      <c r="AM1053" s="8"/>
      <c r="AN1053" s="8"/>
      <c r="AO1053" s="8"/>
    </row>
    <row r="1054" spans="7:41" x14ac:dyDescent="0.2">
      <c r="G1054" s="8"/>
      <c r="H1054" s="8"/>
      <c r="I1054" s="8"/>
      <c r="J1054" s="8"/>
      <c r="K1054" s="8"/>
      <c r="L1054" s="8"/>
      <c r="M1054" s="8"/>
      <c r="N1054" s="8"/>
      <c r="O1054" s="8"/>
      <c r="Q1054" s="8"/>
      <c r="R1054" s="8"/>
      <c r="S1054" s="8"/>
      <c r="T1054" s="8"/>
      <c r="U1054" s="8"/>
      <c r="V1054" s="8"/>
      <c r="W1054" s="8"/>
      <c r="X1054" s="8"/>
      <c r="Y1054" s="8"/>
      <c r="Z1054" s="8"/>
      <c r="AA1054" s="8"/>
      <c r="AB1054" s="8"/>
      <c r="AD1054" s="8"/>
      <c r="AE1054" s="8"/>
      <c r="AF1054" s="8"/>
      <c r="AG1054" s="8"/>
      <c r="AH1054" s="8"/>
      <c r="AI1054" s="8"/>
      <c r="AJ1054" s="8"/>
      <c r="AK1054" s="8"/>
      <c r="AL1054" s="8"/>
      <c r="AM1054" s="8"/>
      <c r="AN1054" s="8"/>
      <c r="AO1054" s="8"/>
    </row>
    <row r="1055" spans="7:41" x14ac:dyDescent="0.2">
      <c r="G1055" s="8"/>
      <c r="H1055" s="8"/>
      <c r="I1055" s="8"/>
      <c r="J1055" s="8"/>
      <c r="K1055" s="8"/>
      <c r="L1055" s="8"/>
      <c r="M1055" s="8"/>
      <c r="N1055" s="8"/>
      <c r="O1055" s="8"/>
      <c r="Q1055" s="8"/>
      <c r="R1055" s="8"/>
      <c r="S1055" s="8"/>
      <c r="T1055" s="8"/>
      <c r="U1055" s="8"/>
      <c r="V1055" s="8"/>
      <c r="W1055" s="8"/>
      <c r="X1055" s="8"/>
      <c r="Y1055" s="8"/>
      <c r="Z1055" s="8"/>
      <c r="AA1055" s="8"/>
      <c r="AB1055" s="8"/>
      <c r="AD1055" s="8"/>
      <c r="AE1055" s="8"/>
      <c r="AF1055" s="8"/>
      <c r="AG1055" s="8"/>
      <c r="AH1055" s="8"/>
      <c r="AI1055" s="8"/>
      <c r="AJ1055" s="8"/>
      <c r="AK1055" s="8"/>
      <c r="AL1055" s="8"/>
      <c r="AM1055" s="8"/>
      <c r="AN1055" s="8"/>
      <c r="AO1055" s="8"/>
    </row>
    <row r="1056" spans="7:41" x14ac:dyDescent="0.2">
      <c r="G1056" s="8"/>
      <c r="H1056" s="8"/>
      <c r="I1056" s="8"/>
      <c r="J1056" s="8"/>
      <c r="K1056" s="8"/>
      <c r="L1056" s="8"/>
      <c r="M1056" s="8"/>
      <c r="N1056" s="8"/>
      <c r="O1056" s="8"/>
      <c r="Q1056" s="8"/>
      <c r="R1056" s="8"/>
      <c r="S1056" s="8"/>
      <c r="T1056" s="8"/>
      <c r="U1056" s="8"/>
      <c r="V1056" s="8"/>
      <c r="W1056" s="8"/>
      <c r="X1056" s="8"/>
      <c r="Y1056" s="8"/>
      <c r="Z1056" s="8"/>
      <c r="AA1056" s="8"/>
      <c r="AB1056" s="8"/>
      <c r="AD1056" s="8"/>
      <c r="AE1056" s="8"/>
      <c r="AF1056" s="8"/>
      <c r="AG1056" s="8"/>
      <c r="AH1056" s="8"/>
      <c r="AI1056" s="8"/>
      <c r="AJ1056" s="8"/>
      <c r="AK1056" s="8"/>
      <c r="AL1056" s="8"/>
      <c r="AM1056" s="8"/>
      <c r="AN1056" s="8"/>
      <c r="AO1056" s="8"/>
    </row>
    <row r="1057" spans="7:41" x14ac:dyDescent="0.2">
      <c r="G1057" s="8"/>
      <c r="H1057" s="8"/>
      <c r="I1057" s="8"/>
      <c r="J1057" s="8"/>
      <c r="K1057" s="8"/>
      <c r="L1057" s="8"/>
      <c r="M1057" s="8"/>
      <c r="N1057" s="8"/>
      <c r="O1057" s="8"/>
      <c r="Q1057" s="8"/>
      <c r="R1057" s="8"/>
      <c r="S1057" s="8"/>
      <c r="T1057" s="8"/>
      <c r="U1057" s="8"/>
      <c r="V1057" s="8"/>
      <c r="W1057" s="8"/>
      <c r="X1057" s="8"/>
      <c r="Y1057" s="8"/>
      <c r="Z1057" s="8"/>
      <c r="AA1057" s="8"/>
      <c r="AB1057" s="8"/>
      <c r="AD1057" s="8"/>
      <c r="AE1057" s="8"/>
      <c r="AF1057" s="8"/>
      <c r="AG1057" s="8"/>
      <c r="AH1057" s="8"/>
      <c r="AI1057" s="8"/>
      <c r="AJ1057" s="8"/>
      <c r="AK1057" s="8"/>
      <c r="AL1057" s="8"/>
      <c r="AM1057" s="8"/>
      <c r="AN1057" s="8"/>
      <c r="AO1057" s="8"/>
    </row>
    <row r="1058" spans="7:41" x14ac:dyDescent="0.2">
      <c r="G1058" s="8"/>
      <c r="H1058" s="8"/>
      <c r="I1058" s="8"/>
      <c r="J1058" s="8"/>
      <c r="K1058" s="8"/>
      <c r="L1058" s="8"/>
      <c r="M1058" s="8"/>
      <c r="N1058" s="8"/>
      <c r="O1058" s="8"/>
      <c r="Q1058" s="8"/>
      <c r="R1058" s="8"/>
      <c r="S1058" s="8"/>
      <c r="T1058" s="8"/>
      <c r="U1058" s="8"/>
      <c r="V1058" s="8"/>
      <c r="W1058" s="8"/>
      <c r="X1058" s="8"/>
      <c r="Y1058" s="8"/>
      <c r="Z1058" s="8"/>
      <c r="AA1058" s="8"/>
      <c r="AB1058" s="8"/>
      <c r="AD1058" s="8"/>
      <c r="AE1058" s="8"/>
      <c r="AF1058" s="8"/>
      <c r="AG1058" s="8"/>
      <c r="AH1058" s="8"/>
      <c r="AI1058" s="8"/>
      <c r="AJ1058" s="8"/>
      <c r="AK1058" s="8"/>
      <c r="AL1058" s="8"/>
      <c r="AM1058" s="8"/>
      <c r="AN1058" s="8"/>
      <c r="AO1058" s="8"/>
    </row>
    <row r="1059" spans="7:41" x14ac:dyDescent="0.2">
      <c r="G1059" s="8"/>
      <c r="H1059" s="8"/>
      <c r="I1059" s="8"/>
      <c r="J1059" s="8"/>
      <c r="K1059" s="8"/>
      <c r="L1059" s="8"/>
      <c r="M1059" s="8"/>
      <c r="N1059" s="8"/>
      <c r="O1059" s="8"/>
      <c r="Q1059" s="8"/>
      <c r="R1059" s="8"/>
      <c r="S1059" s="8"/>
      <c r="T1059" s="8"/>
      <c r="U1059" s="8"/>
      <c r="V1059" s="8"/>
      <c r="W1059" s="8"/>
      <c r="X1059" s="8"/>
      <c r="Y1059" s="8"/>
      <c r="Z1059" s="8"/>
      <c r="AA1059" s="8"/>
      <c r="AB1059" s="8"/>
      <c r="AD1059" s="8"/>
      <c r="AE1059" s="8"/>
      <c r="AF1059" s="8"/>
      <c r="AG1059" s="8"/>
      <c r="AH1059" s="8"/>
      <c r="AI1059" s="8"/>
      <c r="AJ1059" s="8"/>
      <c r="AK1059" s="8"/>
      <c r="AL1059" s="8"/>
      <c r="AM1059" s="8"/>
      <c r="AN1059" s="8"/>
      <c r="AO1059" s="8"/>
    </row>
    <row r="1060" spans="7:41" x14ac:dyDescent="0.2">
      <c r="G1060" s="8"/>
      <c r="H1060" s="8"/>
      <c r="I1060" s="8"/>
      <c r="J1060" s="8"/>
      <c r="K1060" s="8"/>
      <c r="L1060" s="8"/>
      <c r="M1060" s="8"/>
      <c r="N1060" s="8"/>
      <c r="O1060" s="8"/>
      <c r="Q1060" s="8"/>
      <c r="R1060" s="8"/>
      <c r="S1060" s="8"/>
      <c r="T1060" s="8"/>
      <c r="U1060" s="8"/>
      <c r="V1060" s="8"/>
      <c r="W1060" s="8"/>
      <c r="X1060" s="8"/>
      <c r="Y1060" s="8"/>
      <c r="Z1060" s="8"/>
      <c r="AA1060" s="8"/>
      <c r="AB1060" s="8"/>
      <c r="AD1060" s="8"/>
      <c r="AE1060" s="8"/>
      <c r="AF1060" s="8"/>
      <c r="AG1060" s="8"/>
      <c r="AH1060" s="8"/>
      <c r="AI1060" s="8"/>
      <c r="AJ1060" s="8"/>
      <c r="AK1060" s="8"/>
      <c r="AL1060" s="8"/>
      <c r="AM1060" s="8"/>
      <c r="AN1060" s="8"/>
      <c r="AO1060" s="8"/>
    </row>
  </sheetData>
  <mergeCells count="1">
    <mergeCell ref="A4:B4"/>
  </mergeCells>
  <phoneticPr fontId="14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4"/>
  <dimension ref="A1:V256"/>
  <sheetViews>
    <sheetView zoomScale="85" zoomScaleNormal="85" workbookViewId="0">
      <selection activeCell="I38" sqref="I38"/>
    </sheetView>
  </sheetViews>
  <sheetFormatPr baseColWidth="10" defaultRowHeight="12.75" x14ac:dyDescent="0.2"/>
  <cols>
    <col min="2" max="2" width="17.42578125" bestFit="1" customWidth="1"/>
    <col min="3" max="3" width="17.85546875" bestFit="1" customWidth="1"/>
    <col min="4" max="4" width="16.5703125" bestFit="1" customWidth="1"/>
    <col min="5" max="5" width="17.28515625" bestFit="1" customWidth="1"/>
    <col min="6" max="6" width="15.28515625" bestFit="1" customWidth="1"/>
    <col min="7" max="7" width="14.28515625" bestFit="1" customWidth="1"/>
    <col min="8" max="8" width="19.28515625" bestFit="1" customWidth="1"/>
    <col min="9" max="9" width="16.85546875" customWidth="1"/>
    <col min="10" max="10" width="13.85546875" bestFit="1" customWidth="1"/>
    <col min="11" max="11" width="17.85546875" bestFit="1" customWidth="1"/>
    <col min="12" max="12" width="17.28515625" bestFit="1" customWidth="1"/>
    <col min="13" max="13" width="16.5703125" bestFit="1" customWidth="1"/>
    <col min="14" max="17" width="13.42578125" bestFit="1" customWidth="1"/>
    <col min="18" max="18" width="14.42578125" bestFit="1" customWidth="1"/>
    <col min="19" max="19" width="20.28515625" bestFit="1" customWidth="1"/>
  </cols>
  <sheetData>
    <row r="1" spans="2:19" x14ac:dyDescent="0.2">
      <c r="C1" s="8"/>
    </row>
    <row r="2" spans="2:19" x14ac:dyDescent="0.2">
      <c r="C2" s="8"/>
    </row>
    <row r="3" spans="2:19" x14ac:dyDescent="0.2">
      <c r="C3" s="8"/>
      <c r="F3">
        <f>+C8/15</f>
        <v>6666.666666666667</v>
      </c>
    </row>
    <row r="4" spans="2:19" ht="15.75" x14ac:dyDescent="0.25">
      <c r="B4">
        <v>9149</v>
      </c>
      <c r="C4" s="7" t="s">
        <v>103</v>
      </c>
      <c r="D4" s="8">
        <f>'Courbe des taux'!F1</f>
        <v>46107</v>
      </c>
    </row>
    <row r="5" spans="2:19" x14ac:dyDescent="0.2">
      <c r="C5" s="12" t="s">
        <v>105</v>
      </c>
      <c r="D5" s="13">
        <v>5.2999999999999999E-2</v>
      </c>
      <c r="E5" s="13"/>
    </row>
    <row r="6" spans="2:19" x14ac:dyDescent="0.2">
      <c r="C6" s="17">
        <v>40928</v>
      </c>
      <c r="D6" s="17">
        <v>41294</v>
      </c>
      <c r="E6" s="17">
        <v>41659</v>
      </c>
      <c r="F6" s="17">
        <v>42024</v>
      </c>
      <c r="G6" s="17">
        <v>42389</v>
      </c>
      <c r="H6" s="17">
        <v>42755</v>
      </c>
      <c r="I6" s="17">
        <v>43120</v>
      </c>
      <c r="J6" s="17">
        <v>43485</v>
      </c>
      <c r="K6" s="17">
        <v>43850</v>
      </c>
      <c r="L6" s="17">
        <v>44216</v>
      </c>
      <c r="M6" s="17">
        <v>44581</v>
      </c>
      <c r="N6" s="17">
        <v>44946</v>
      </c>
      <c r="O6" s="17">
        <v>45311</v>
      </c>
      <c r="P6" s="17">
        <v>45677</v>
      </c>
      <c r="Q6" s="17">
        <v>46042</v>
      </c>
      <c r="R6" s="17">
        <v>46407</v>
      </c>
    </row>
    <row r="7" spans="2:19" x14ac:dyDescent="0.2">
      <c r="B7" t="s">
        <v>1318</v>
      </c>
      <c r="C7" s="20"/>
      <c r="D7" s="21">
        <v>6666.67</v>
      </c>
      <c r="E7" s="21">
        <v>6666.67</v>
      </c>
      <c r="F7" s="21">
        <v>6666.67</v>
      </c>
      <c r="G7" s="21">
        <v>6666.67</v>
      </c>
      <c r="H7" s="21">
        <v>6666.67</v>
      </c>
      <c r="I7" s="21">
        <v>6666.67</v>
      </c>
      <c r="J7" s="21">
        <v>6666.67</v>
      </c>
      <c r="K7" s="21">
        <v>6666.67</v>
      </c>
      <c r="L7" s="21">
        <v>6666.67</v>
      </c>
      <c r="M7" s="21">
        <v>6666.67</v>
      </c>
      <c r="N7" s="21">
        <v>6666.67</v>
      </c>
      <c r="O7" s="21">
        <v>6666.67</v>
      </c>
      <c r="P7" s="21">
        <v>6666.67</v>
      </c>
      <c r="Q7" s="21">
        <v>6666.67</v>
      </c>
      <c r="R7" s="21">
        <v>6666.62</v>
      </c>
      <c r="S7" s="330"/>
    </row>
    <row r="8" spans="2:19" x14ac:dyDescent="0.2">
      <c r="B8" t="s">
        <v>1320</v>
      </c>
      <c r="C8" s="21">
        <v>100000</v>
      </c>
      <c r="D8" s="23">
        <f>+C8-D7</f>
        <v>93333.33</v>
      </c>
      <c r="E8" s="23">
        <f>+D8-E7</f>
        <v>86666.66</v>
      </c>
      <c r="F8" s="23">
        <f t="shared" ref="F8:R8" si="0">+E8-F7</f>
        <v>79999.990000000005</v>
      </c>
      <c r="G8" s="23">
        <f>+F8-G7</f>
        <v>73333.320000000007</v>
      </c>
      <c r="H8" s="23">
        <f t="shared" si="0"/>
        <v>66666.650000000009</v>
      </c>
      <c r="I8" s="23">
        <f t="shared" si="0"/>
        <v>59999.98000000001</v>
      </c>
      <c r="J8" s="23">
        <f t="shared" si="0"/>
        <v>53333.310000000012</v>
      </c>
      <c r="K8" s="23">
        <f t="shared" si="0"/>
        <v>46666.640000000014</v>
      </c>
      <c r="L8" s="23">
        <f>+K8-L7</f>
        <v>39999.970000000016</v>
      </c>
      <c r="M8" s="23">
        <f t="shared" si="0"/>
        <v>33333.300000000017</v>
      </c>
      <c r="N8" s="23">
        <f t="shared" si="0"/>
        <v>26666.630000000019</v>
      </c>
      <c r="O8" s="23">
        <f t="shared" si="0"/>
        <v>19999.960000000021</v>
      </c>
      <c r="P8" s="23">
        <f t="shared" si="0"/>
        <v>13333.290000000021</v>
      </c>
      <c r="Q8" s="23">
        <f t="shared" si="0"/>
        <v>6666.6200000000208</v>
      </c>
      <c r="R8" s="23">
        <f t="shared" si="0"/>
        <v>2.0918378140777349E-11</v>
      </c>
    </row>
    <row r="9" spans="2:19" x14ac:dyDescent="0.2">
      <c r="B9" t="s">
        <v>1321</v>
      </c>
      <c r="C9" s="20"/>
      <c r="D9" s="25">
        <f>+$D$5*C8</f>
        <v>5300</v>
      </c>
      <c r="E9" s="25">
        <f>+$D$5*D8</f>
        <v>4946.6664899999996</v>
      </c>
      <c r="F9" s="25">
        <f t="shared" ref="F9:Q9" si="1">+$D$5*E8</f>
        <v>4593.3329800000001</v>
      </c>
      <c r="G9" s="25">
        <f t="shared" si="1"/>
        <v>4239.9994699999997</v>
      </c>
      <c r="H9" s="25">
        <f>+$D$5*G8</f>
        <v>3886.6659600000003</v>
      </c>
      <c r="I9" s="25">
        <f t="shared" si="1"/>
        <v>3533.3324500000003</v>
      </c>
      <c r="J9" s="25">
        <f t="shared" si="1"/>
        <v>3179.9989400000004</v>
      </c>
      <c r="K9" s="25">
        <f t="shared" si="1"/>
        <v>2826.6654300000005</v>
      </c>
      <c r="L9" s="25">
        <f t="shared" si="1"/>
        <v>2473.3319200000005</v>
      </c>
      <c r="M9" s="25">
        <f t="shared" si="1"/>
        <v>2119.9984100000006</v>
      </c>
      <c r="N9" s="25">
        <f t="shared" si="1"/>
        <v>1766.6649000000009</v>
      </c>
      <c r="O9" s="25">
        <f t="shared" si="1"/>
        <v>1413.331390000001</v>
      </c>
      <c r="P9" s="25">
        <f t="shared" si="1"/>
        <v>1059.997880000001</v>
      </c>
      <c r="Q9" s="25">
        <f t="shared" si="1"/>
        <v>706.6643700000011</v>
      </c>
      <c r="R9" s="25">
        <f>+$D$5*Q8</f>
        <v>353.33086000000111</v>
      </c>
    </row>
    <row r="10" spans="2:19" x14ac:dyDescent="0.2">
      <c r="B10" t="s">
        <v>1322</v>
      </c>
      <c r="C10" s="20"/>
      <c r="D10" s="25">
        <f>+D9+D7</f>
        <v>11966.67</v>
      </c>
      <c r="E10" s="25">
        <f>+E9+E7</f>
        <v>11613.33649</v>
      </c>
      <c r="F10" s="25">
        <f t="shared" ref="F10:Q10" si="2">+F9+F7</f>
        <v>11260.002980000001</v>
      </c>
      <c r="G10" s="25">
        <f t="shared" si="2"/>
        <v>10906.669470000001</v>
      </c>
      <c r="H10" s="25">
        <f>+H9+H7</f>
        <v>10553.33596</v>
      </c>
      <c r="I10" s="25">
        <f t="shared" si="2"/>
        <v>10200.00245</v>
      </c>
      <c r="J10" s="25">
        <f t="shared" si="2"/>
        <v>9846.6689399999996</v>
      </c>
      <c r="K10" s="25">
        <f t="shared" si="2"/>
        <v>9493.335430000001</v>
      </c>
      <c r="L10" s="25">
        <f t="shared" si="2"/>
        <v>9140.0019200000006</v>
      </c>
      <c r="M10" s="25">
        <f t="shared" si="2"/>
        <v>8786.6684100000002</v>
      </c>
      <c r="N10" s="25">
        <f t="shared" si="2"/>
        <v>8433.3349000000017</v>
      </c>
      <c r="O10" s="25">
        <f t="shared" si="2"/>
        <v>8080.0013900000013</v>
      </c>
      <c r="P10" s="25">
        <f t="shared" si="2"/>
        <v>7726.6678800000009</v>
      </c>
      <c r="Q10" s="25">
        <f t="shared" si="2"/>
        <v>7373.3343700000014</v>
      </c>
      <c r="R10" s="25">
        <f>+R9+R7</f>
        <v>7019.9508600000008</v>
      </c>
    </row>
    <row r="11" spans="2:19" x14ac:dyDescent="0.2">
      <c r="B11" t="s">
        <v>1323</v>
      </c>
      <c r="C11" s="21"/>
      <c r="D11" s="25">
        <f t="shared" ref="D11:R11" si="3">+IF(D6&gt;$D$4,D10,0)</f>
        <v>0</v>
      </c>
      <c r="E11" s="25">
        <f t="shared" si="3"/>
        <v>0</v>
      </c>
      <c r="F11" s="25">
        <f t="shared" si="3"/>
        <v>0</v>
      </c>
      <c r="G11" s="25">
        <f t="shared" si="3"/>
        <v>0</v>
      </c>
      <c r="H11" s="25">
        <f t="shared" si="3"/>
        <v>0</v>
      </c>
      <c r="I11" s="25">
        <f t="shared" si="3"/>
        <v>0</v>
      </c>
      <c r="J11" s="25">
        <f t="shared" si="3"/>
        <v>0</v>
      </c>
      <c r="K11" s="25">
        <f t="shared" si="3"/>
        <v>0</v>
      </c>
      <c r="L11" s="25">
        <f t="shared" si="3"/>
        <v>0</v>
      </c>
      <c r="M11" s="25">
        <f t="shared" si="3"/>
        <v>0</v>
      </c>
      <c r="N11" s="25">
        <f t="shared" si="3"/>
        <v>0</v>
      </c>
      <c r="O11" s="25">
        <f t="shared" si="3"/>
        <v>0</v>
      </c>
      <c r="P11" s="25">
        <f t="shared" si="3"/>
        <v>0</v>
      </c>
      <c r="Q11" s="25">
        <f t="shared" si="3"/>
        <v>0</v>
      </c>
      <c r="R11" s="25">
        <f t="shared" si="3"/>
        <v>7019.9508600000008</v>
      </c>
    </row>
    <row r="12" spans="2:19" x14ac:dyDescent="0.2">
      <c r="B12" t="s">
        <v>1324</v>
      </c>
      <c r="C12" s="27"/>
      <c r="D12">
        <f t="shared" ref="D12:R12" si="4">ROUND(IF(C11=0,(D6-$D$4)/(D6-C6),C12+1),10)</f>
        <v>-13.150273223999999</v>
      </c>
      <c r="E12">
        <f t="shared" si="4"/>
        <v>-12.186301369900001</v>
      </c>
      <c r="F12">
        <f t="shared" si="4"/>
        <v>-11.186301369900001</v>
      </c>
      <c r="G12">
        <f t="shared" si="4"/>
        <v>-10.186301369900001</v>
      </c>
      <c r="H12">
        <f t="shared" si="4"/>
        <v>-9.1584699454000003</v>
      </c>
      <c r="I12">
        <f t="shared" si="4"/>
        <v>-8.1835616437999992</v>
      </c>
      <c r="J12">
        <f t="shared" si="4"/>
        <v>-7.1835616438000001</v>
      </c>
      <c r="K12">
        <f t="shared" si="4"/>
        <v>-6.1835616438000001</v>
      </c>
      <c r="L12">
        <f t="shared" si="4"/>
        <v>-5.1666666667000003</v>
      </c>
      <c r="M12">
        <f t="shared" si="4"/>
        <v>-4.1808219178000003</v>
      </c>
      <c r="N12">
        <f t="shared" si="4"/>
        <v>-3.1808219177999999</v>
      </c>
      <c r="O12">
        <f t="shared" si="4"/>
        <v>-2.1808219177999999</v>
      </c>
      <c r="P12">
        <f t="shared" si="4"/>
        <v>-1.1748633879999999</v>
      </c>
      <c r="Q12">
        <f t="shared" si="4"/>
        <v>-0.17808219180000001</v>
      </c>
      <c r="R12">
        <f t="shared" si="4"/>
        <v>0.82191780820000004</v>
      </c>
    </row>
    <row r="13" spans="2:19" x14ac:dyDescent="0.2">
      <c r="B13" s="29" t="s">
        <v>1325</v>
      </c>
      <c r="C13" s="20"/>
      <c r="D13" s="68" cm="1">
        <f t="array" ref="D13">ROUND(interpoler(mat_zc,Taux_ZC,D12),5)</f>
        <v>2.3279999999999999E-2</v>
      </c>
      <c r="E13" s="68" cm="1">
        <f t="array" ref="E13">ROUND(interpoler(mat_zc,Taux_ZC,E12),5)</f>
        <v>2.3279999999999999E-2</v>
      </c>
      <c r="F13" s="68" cm="1">
        <f t="array" ref="F13">ROUND(interpoler(mat_zc,Taux_ZC,F12),5)</f>
        <v>2.3279999999999999E-2</v>
      </c>
      <c r="G13" s="68" cm="1">
        <f t="array" ref="G13">ROUND(interpoler(mat_zc,Taux_ZC,G12),5)</f>
        <v>2.3279999999999999E-2</v>
      </c>
      <c r="H13" s="68" cm="1">
        <f t="array" ref="H13">ROUND(interpoler(mat_zc,Taux_ZC,H12),5)</f>
        <v>2.3279999999999999E-2</v>
      </c>
      <c r="I13" s="68" cm="1">
        <f t="array" ref="I13">ROUND(interpoler(mat_zc,Taux_ZC,I12),5)</f>
        <v>2.3279999999999999E-2</v>
      </c>
      <c r="J13" s="68" cm="1">
        <f t="array" ref="J13">ROUND(interpoler(mat_zc,Taux_ZC,J12),5)</f>
        <v>2.3279999999999999E-2</v>
      </c>
      <c r="K13" s="68" cm="1">
        <f t="array" ref="K13">ROUND(interpoler(mat_zc,Taux_ZC,K12),5)</f>
        <v>2.3279999999999999E-2</v>
      </c>
      <c r="L13" s="68" cm="1">
        <f t="array" ref="L13">ROUND(interpoler(mat_zc,Taux_ZC,L12),5)</f>
        <v>2.3279999999999999E-2</v>
      </c>
      <c r="M13" s="68" cm="1">
        <f t="array" ref="M13">ROUND(interpoler(mat_zc,Taux_ZC,M12),5)</f>
        <v>2.3279999999999999E-2</v>
      </c>
      <c r="N13" s="68" cm="1">
        <f t="array" ref="N13">ROUND(interpoler(mat_zc,Taux_ZC,N12),5)</f>
        <v>2.3279999999999999E-2</v>
      </c>
      <c r="O13" s="68" cm="1">
        <f t="array" ref="O13">ROUND(interpoler(mat_zc,Taux_ZC,O12),5)</f>
        <v>2.3279999999999999E-2</v>
      </c>
      <c r="P13" s="68" cm="1">
        <f t="array" ref="P13">ROUND(interpoler(mat_zc,Taux_ZC,P12),5)</f>
        <v>2.3279999999999999E-2</v>
      </c>
      <c r="Q13" s="68" cm="1">
        <f t="array" ref="Q13">ROUND(interpoler(mat_zc,Taux_ZC,Q12),5)</f>
        <v>2.3279999999999999E-2</v>
      </c>
      <c r="R13" s="68" cm="1">
        <f t="array" ref="R13">ROUND(interpoler(mat_zc,Taux_ZC,R12),5)</f>
        <v>2.4819999999999998E-2</v>
      </c>
      <c r="S13" s="68"/>
    </row>
    <row r="14" spans="2:19" x14ac:dyDescent="0.2">
      <c r="B14" t="s">
        <v>1328</v>
      </c>
      <c r="C14" s="20"/>
      <c r="D14" s="29">
        <v>9.1000000000000004E-3</v>
      </c>
      <c r="E14" s="29">
        <f>+D14</f>
        <v>9.1000000000000004E-3</v>
      </c>
      <c r="F14" s="29">
        <f t="shared" ref="F14:Q14" si="5">+E14</f>
        <v>9.1000000000000004E-3</v>
      </c>
      <c r="G14" s="29">
        <f t="shared" si="5"/>
        <v>9.1000000000000004E-3</v>
      </c>
      <c r="H14" s="29">
        <f t="shared" si="5"/>
        <v>9.1000000000000004E-3</v>
      </c>
      <c r="I14" s="29">
        <f t="shared" si="5"/>
        <v>9.1000000000000004E-3</v>
      </c>
      <c r="J14" s="29">
        <f t="shared" si="5"/>
        <v>9.1000000000000004E-3</v>
      </c>
      <c r="K14" s="29">
        <f t="shared" si="5"/>
        <v>9.1000000000000004E-3</v>
      </c>
      <c r="L14" s="29">
        <f t="shared" si="5"/>
        <v>9.1000000000000004E-3</v>
      </c>
      <c r="M14" s="29">
        <f t="shared" si="5"/>
        <v>9.1000000000000004E-3</v>
      </c>
      <c r="N14" s="29">
        <f t="shared" si="5"/>
        <v>9.1000000000000004E-3</v>
      </c>
      <c r="O14" s="29">
        <f t="shared" si="5"/>
        <v>9.1000000000000004E-3</v>
      </c>
      <c r="P14" s="29">
        <f t="shared" si="5"/>
        <v>9.1000000000000004E-3</v>
      </c>
      <c r="Q14" s="29">
        <f t="shared" si="5"/>
        <v>9.1000000000000004E-3</v>
      </c>
      <c r="R14" s="29">
        <f>+Q14</f>
        <v>9.1000000000000004E-3</v>
      </c>
    </row>
    <row r="15" spans="2:19" x14ac:dyDescent="0.2">
      <c r="B15" t="s">
        <v>1329</v>
      </c>
      <c r="C15" s="20"/>
      <c r="D15" s="96">
        <f>+ROUND(D13+D14,6)</f>
        <v>3.2379999999999999E-2</v>
      </c>
      <c r="E15" s="13">
        <f>+ROUND(E13+E14,6)</f>
        <v>3.2379999999999999E-2</v>
      </c>
      <c r="F15" s="13">
        <f t="shared" ref="F15:R15" si="6">+ROUND(F13+F14,5)</f>
        <v>3.2379999999999999E-2</v>
      </c>
      <c r="G15" s="13">
        <f t="shared" si="6"/>
        <v>3.2379999999999999E-2</v>
      </c>
      <c r="H15" s="102">
        <f t="shared" si="6"/>
        <v>3.2379999999999999E-2</v>
      </c>
      <c r="I15" s="58">
        <f t="shared" si="6"/>
        <v>3.2379999999999999E-2</v>
      </c>
      <c r="J15" s="96">
        <f t="shared" si="6"/>
        <v>3.2379999999999999E-2</v>
      </c>
      <c r="K15" s="96">
        <f t="shared" si="6"/>
        <v>3.2379999999999999E-2</v>
      </c>
      <c r="L15" s="96">
        <f t="shared" si="6"/>
        <v>3.2379999999999999E-2</v>
      </c>
      <c r="M15" s="96">
        <f t="shared" si="6"/>
        <v>3.2379999999999999E-2</v>
      </c>
      <c r="N15" s="96">
        <f t="shared" si="6"/>
        <v>3.2379999999999999E-2</v>
      </c>
      <c r="O15" s="96">
        <f t="shared" si="6"/>
        <v>3.2379999999999999E-2</v>
      </c>
      <c r="P15" s="96">
        <f t="shared" si="6"/>
        <v>3.2379999999999999E-2</v>
      </c>
      <c r="Q15" s="96">
        <f t="shared" si="6"/>
        <v>3.2379999999999999E-2</v>
      </c>
      <c r="R15" s="96">
        <f t="shared" si="6"/>
        <v>3.3919999999999999E-2</v>
      </c>
    </row>
    <row r="16" spans="2:19" x14ac:dyDescent="0.2">
      <c r="C16" s="20"/>
      <c r="D16" s="21">
        <f t="shared" ref="D16:R16" si="7">+D11/(1+D15)^D12</f>
        <v>0</v>
      </c>
      <c r="E16" s="21">
        <f t="shared" si="7"/>
        <v>0</v>
      </c>
      <c r="F16" s="21">
        <f t="shared" si="7"/>
        <v>0</v>
      </c>
      <c r="G16" s="21">
        <f t="shared" si="7"/>
        <v>0</v>
      </c>
      <c r="H16" s="329">
        <f t="shared" si="7"/>
        <v>0</v>
      </c>
      <c r="I16" s="21">
        <f t="shared" si="7"/>
        <v>0</v>
      </c>
      <c r="J16" s="21">
        <f t="shared" si="7"/>
        <v>0</v>
      </c>
      <c r="K16" s="21">
        <f t="shared" si="7"/>
        <v>0</v>
      </c>
      <c r="L16" s="21">
        <f t="shared" si="7"/>
        <v>0</v>
      </c>
      <c r="M16" s="21">
        <f t="shared" si="7"/>
        <v>0</v>
      </c>
      <c r="N16" s="21">
        <f t="shared" si="7"/>
        <v>0</v>
      </c>
      <c r="O16" s="21">
        <f t="shared" si="7"/>
        <v>0</v>
      </c>
      <c r="P16" s="21">
        <f t="shared" si="7"/>
        <v>0</v>
      </c>
      <c r="Q16" s="21">
        <f t="shared" si="7"/>
        <v>0</v>
      </c>
      <c r="R16" s="319">
        <f t="shared" si="7"/>
        <v>6830.0990379855029</v>
      </c>
    </row>
    <row r="17" spans="1:18" x14ac:dyDescent="0.2">
      <c r="C17" s="20"/>
      <c r="D17" s="23"/>
      <c r="E17" s="23"/>
      <c r="F17" s="23"/>
      <c r="G17" s="23"/>
      <c r="H17" s="23"/>
      <c r="I17" s="23"/>
      <c r="J17" s="23"/>
      <c r="K17" s="23"/>
      <c r="L17" s="23"/>
      <c r="M17" s="23"/>
      <c r="N17" s="23"/>
      <c r="O17" s="23"/>
      <c r="P17" s="23"/>
      <c r="Q17" s="23"/>
      <c r="R17" s="23"/>
    </row>
    <row r="18" spans="1:18" x14ac:dyDescent="0.2">
      <c r="B18" t="s">
        <v>650</v>
      </c>
      <c r="C18" s="281">
        <f>+SUM(D16:S16)</f>
        <v>6830.0990379855029</v>
      </c>
      <c r="D18" s="1"/>
      <c r="E18" s="13"/>
      <c r="F18" s="13"/>
      <c r="G18" s="13"/>
      <c r="H18" s="13"/>
      <c r="I18" s="13"/>
      <c r="J18" s="13"/>
      <c r="K18" s="13"/>
      <c r="L18" s="13"/>
      <c r="M18" s="13"/>
      <c r="N18" s="13"/>
      <c r="O18" s="13"/>
      <c r="P18" s="13"/>
      <c r="Q18" s="13"/>
      <c r="R18" s="13"/>
    </row>
    <row r="19" spans="1:18" x14ac:dyDescent="0.2">
      <c r="C19" s="280">
        <v>90447.31</v>
      </c>
    </row>
    <row r="20" spans="1:18" x14ac:dyDescent="0.2">
      <c r="C20" s="280">
        <f>C19-C18</f>
        <v>83617.210962014491</v>
      </c>
      <c r="H20" s="25">
        <f>J9</f>
        <v>3179.9989400000004</v>
      </c>
      <c r="I20">
        <f>H20-G20</f>
        <v>3179.9989400000004</v>
      </c>
      <c r="J20" t="str">
        <f>IF(I20&gt;0,"p","q")</f>
        <v>p</v>
      </c>
    </row>
    <row r="21" spans="1:18" x14ac:dyDescent="0.2">
      <c r="C21" s="8"/>
      <c r="H21" s="25">
        <f>J10</f>
        <v>9846.6689399999996</v>
      </c>
      <c r="I21">
        <f>H21-G21</f>
        <v>9846.6689399999996</v>
      </c>
    </row>
    <row r="22" spans="1:18" x14ac:dyDescent="0.2">
      <c r="C22" s="8"/>
    </row>
    <row r="23" spans="1:18" ht="15.75" x14ac:dyDescent="0.25">
      <c r="B23" s="290" t="s">
        <v>742</v>
      </c>
      <c r="C23" s="7"/>
      <c r="D23" s="8"/>
      <c r="H23">
        <f>J12</f>
        <v>-7.1835616438000001</v>
      </c>
    </row>
    <row r="24" spans="1:18" ht="15.75" x14ac:dyDescent="0.25">
      <c r="A24" s="280"/>
      <c r="C24" s="7" t="s">
        <v>103</v>
      </c>
      <c r="D24" s="8">
        <f>DateVariable</f>
        <v>46107</v>
      </c>
      <c r="H24" s="13">
        <f>J13</f>
        <v>2.3279999999999999E-2</v>
      </c>
    </row>
    <row r="25" spans="1:18" ht="15.75" x14ac:dyDescent="0.25">
      <c r="C25" s="12" t="s">
        <v>105</v>
      </c>
      <c r="D25" s="84">
        <v>5.62E-2</v>
      </c>
      <c r="E25" s="280"/>
      <c r="H25" s="29">
        <f>J14</f>
        <v>9.1000000000000004E-3</v>
      </c>
    </row>
    <row r="26" spans="1:18" x14ac:dyDescent="0.2">
      <c r="C26" s="17">
        <v>40373</v>
      </c>
      <c r="D26" s="17">
        <v>40738</v>
      </c>
      <c r="E26" s="17">
        <v>41104</v>
      </c>
      <c r="F26" s="17">
        <v>41469</v>
      </c>
      <c r="G26" s="17">
        <v>41834</v>
      </c>
      <c r="H26" s="17">
        <v>42199</v>
      </c>
      <c r="I26" s="17">
        <v>42565</v>
      </c>
      <c r="J26" s="17">
        <v>42930</v>
      </c>
      <c r="K26" s="17">
        <v>43295</v>
      </c>
      <c r="L26" s="17">
        <v>43660</v>
      </c>
      <c r="M26" s="17">
        <v>44026</v>
      </c>
      <c r="N26" s="17">
        <v>44391</v>
      </c>
      <c r="O26" s="17">
        <v>44756</v>
      </c>
      <c r="P26" s="17">
        <v>45121</v>
      </c>
      <c r="Q26" s="17">
        <v>45487</v>
      </c>
      <c r="R26" s="17">
        <v>45852</v>
      </c>
    </row>
    <row r="27" spans="1:18" x14ac:dyDescent="0.2">
      <c r="B27" t="s">
        <v>1318</v>
      </c>
      <c r="C27" s="20"/>
      <c r="D27" s="291">
        <f t="shared" ref="D27:R27" si="8">ROUND(6666.66666666667,2)</f>
        <v>6666.67</v>
      </c>
      <c r="E27" s="291">
        <f t="shared" si="8"/>
        <v>6666.67</v>
      </c>
      <c r="F27" s="291">
        <f t="shared" si="8"/>
        <v>6666.67</v>
      </c>
      <c r="G27" s="291">
        <f t="shared" si="8"/>
        <v>6666.67</v>
      </c>
      <c r="H27" s="291">
        <f t="shared" si="8"/>
        <v>6666.67</v>
      </c>
      <c r="I27" s="291">
        <f t="shared" si="8"/>
        <v>6666.67</v>
      </c>
      <c r="J27" s="291">
        <f t="shared" si="8"/>
        <v>6666.67</v>
      </c>
      <c r="K27" s="291">
        <f t="shared" si="8"/>
        <v>6666.67</v>
      </c>
      <c r="L27" s="291">
        <f t="shared" si="8"/>
        <v>6666.67</v>
      </c>
      <c r="M27" s="291">
        <f t="shared" si="8"/>
        <v>6666.67</v>
      </c>
      <c r="N27" s="291">
        <f t="shared" si="8"/>
        <v>6666.67</v>
      </c>
      <c r="O27" s="291">
        <f t="shared" si="8"/>
        <v>6666.67</v>
      </c>
      <c r="P27" s="291">
        <f t="shared" si="8"/>
        <v>6666.67</v>
      </c>
      <c r="Q27" s="291">
        <f t="shared" si="8"/>
        <v>6666.67</v>
      </c>
      <c r="R27" s="291">
        <f t="shared" si="8"/>
        <v>6666.67</v>
      </c>
    </row>
    <row r="28" spans="1:18" x14ac:dyDescent="0.2">
      <c r="B28" t="s">
        <v>1320</v>
      </c>
      <c r="C28" s="21">
        <v>100000</v>
      </c>
      <c r="D28" s="23">
        <f t="shared" ref="D28:R28" si="9">+C28-D27</f>
        <v>93333.33</v>
      </c>
      <c r="E28" s="23">
        <f t="shared" si="9"/>
        <v>86666.66</v>
      </c>
      <c r="F28" s="23">
        <f t="shared" si="9"/>
        <v>79999.990000000005</v>
      </c>
      <c r="G28" s="23">
        <f t="shared" si="9"/>
        <v>73333.320000000007</v>
      </c>
      <c r="H28" s="23">
        <f t="shared" si="9"/>
        <v>66666.650000000009</v>
      </c>
      <c r="I28" s="23">
        <f t="shared" si="9"/>
        <v>59999.98000000001</v>
      </c>
      <c r="J28" s="23">
        <f t="shared" si="9"/>
        <v>53333.310000000012</v>
      </c>
      <c r="K28" s="23">
        <f t="shared" si="9"/>
        <v>46666.640000000014</v>
      </c>
      <c r="L28" s="23">
        <f t="shared" si="9"/>
        <v>39999.970000000016</v>
      </c>
      <c r="M28" s="23">
        <f t="shared" si="9"/>
        <v>33333.300000000017</v>
      </c>
      <c r="N28" s="23">
        <f t="shared" si="9"/>
        <v>26666.630000000019</v>
      </c>
      <c r="O28" s="23">
        <f t="shared" si="9"/>
        <v>19999.960000000021</v>
      </c>
      <c r="P28" s="23">
        <f t="shared" si="9"/>
        <v>13333.290000000021</v>
      </c>
      <c r="Q28" s="23">
        <f t="shared" si="9"/>
        <v>6666.6200000000208</v>
      </c>
      <c r="R28" s="23">
        <f t="shared" si="9"/>
        <v>-4.9999999979263521E-2</v>
      </c>
    </row>
    <row r="29" spans="1:18" x14ac:dyDescent="0.2">
      <c r="B29" t="s">
        <v>1321</v>
      </c>
      <c r="C29" s="20"/>
      <c r="D29" s="25">
        <f t="shared" ref="D29:R29" si="10">ROUND(+$D$25*C28,2)</f>
        <v>5620</v>
      </c>
      <c r="E29" s="25">
        <f t="shared" si="10"/>
        <v>5245.33</v>
      </c>
      <c r="F29" s="25">
        <f t="shared" si="10"/>
        <v>4870.67</v>
      </c>
      <c r="G29" s="25">
        <f t="shared" si="10"/>
        <v>4496</v>
      </c>
      <c r="H29" s="25">
        <f t="shared" si="10"/>
        <v>4121.33</v>
      </c>
      <c r="I29" s="25">
        <f t="shared" si="10"/>
        <v>3746.67</v>
      </c>
      <c r="J29" s="25">
        <f t="shared" si="10"/>
        <v>3372</v>
      </c>
      <c r="K29" s="25">
        <f t="shared" si="10"/>
        <v>2997.33</v>
      </c>
      <c r="L29" s="25">
        <f t="shared" si="10"/>
        <v>2622.67</v>
      </c>
      <c r="M29" s="25">
        <f t="shared" si="10"/>
        <v>2248</v>
      </c>
      <c r="N29" s="25">
        <f t="shared" si="10"/>
        <v>1873.33</v>
      </c>
      <c r="O29" s="25">
        <f t="shared" si="10"/>
        <v>1498.66</v>
      </c>
      <c r="P29" s="25">
        <f t="shared" si="10"/>
        <v>1124</v>
      </c>
      <c r="Q29" s="25">
        <f t="shared" si="10"/>
        <v>749.33</v>
      </c>
      <c r="R29" s="25">
        <f t="shared" si="10"/>
        <v>374.66</v>
      </c>
    </row>
    <row r="30" spans="1:18" x14ac:dyDescent="0.2">
      <c r="B30" t="s">
        <v>1322</v>
      </c>
      <c r="C30" s="20"/>
      <c r="D30" s="25">
        <f>+D29+D27</f>
        <v>12286.67</v>
      </c>
      <c r="E30" s="25">
        <f>+E29+E27</f>
        <v>11912</v>
      </c>
      <c r="F30" s="25">
        <f t="shared" ref="F30:Q30" si="11">+F29+F27</f>
        <v>11537.34</v>
      </c>
      <c r="G30" s="25">
        <f t="shared" si="11"/>
        <v>11162.67</v>
      </c>
      <c r="H30" s="25">
        <f t="shared" si="11"/>
        <v>10788</v>
      </c>
      <c r="I30" s="25">
        <f t="shared" si="11"/>
        <v>10413.34</v>
      </c>
      <c r="J30" s="25">
        <f t="shared" si="11"/>
        <v>10038.67</v>
      </c>
      <c r="K30" s="25">
        <f t="shared" si="11"/>
        <v>9664</v>
      </c>
      <c r="L30" s="25">
        <f t="shared" si="11"/>
        <v>9289.34</v>
      </c>
      <c r="M30" s="25">
        <f t="shared" si="11"/>
        <v>8914.67</v>
      </c>
      <c r="N30" s="25">
        <f t="shared" si="11"/>
        <v>8540</v>
      </c>
      <c r="O30" s="25">
        <f t="shared" si="11"/>
        <v>8165.33</v>
      </c>
      <c r="P30" s="25">
        <f>+P29+P27</f>
        <v>7790.67</v>
      </c>
      <c r="Q30" s="25">
        <f t="shared" si="11"/>
        <v>7416</v>
      </c>
      <c r="R30" s="25">
        <f>+R29+R27</f>
        <v>7041.33</v>
      </c>
    </row>
    <row r="31" spans="1:18" x14ac:dyDescent="0.2">
      <c r="B31" t="s">
        <v>1323</v>
      </c>
      <c r="C31" s="21"/>
      <c r="D31" s="25">
        <f t="shared" ref="D31:R31" si="12">+IF(D26&gt;$D$24,ROUND(D30,6),0)</f>
        <v>0</v>
      </c>
      <c r="E31" s="25">
        <f t="shared" si="12"/>
        <v>0</v>
      </c>
      <c r="F31" s="25">
        <f t="shared" si="12"/>
        <v>0</v>
      </c>
      <c r="G31" s="25">
        <f t="shared" si="12"/>
        <v>0</v>
      </c>
      <c r="H31" s="25">
        <f t="shared" si="12"/>
        <v>0</v>
      </c>
      <c r="I31" s="25">
        <f t="shared" si="12"/>
        <v>0</v>
      </c>
      <c r="J31" s="25">
        <f t="shared" si="12"/>
        <v>0</v>
      </c>
      <c r="K31" s="25">
        <f t="shared" si="12"/>
        <v>0</v>
      </c>
      <c r="L31" s="25">
        <f t="shared" si="12"/>
        <v>0</v>
      </c>
      <c r="M31" s="25">
        <f t="shared" si="12"/>
        <v>0</v>
      </c>
      <c r="N31" s="25">
        <f t="shared" si="12"/>
        <v>0</v>
      </c>
      <c r="O31" s="25">
        <f t="shared" si="12"/>
        <v>0</v>
      </c>
      <c r="P31" s="25">
        <f t="shared" si="12"/>
        <v>0</v>
      </c>
      <c r="Q31" s="25">
        <f t="shared" si="12"/>
        <v>0</v>
      </c>
      <c r="R31" s="25">
        <f t="shared" si="12"/>
        <v>0</v>
      </c>
    </row>
    <row r="32" spans="1:18" x14ac:dyDescent="0.2">
      <c r="B32" t="s">
        <v>1324</v>
      </c>
      <c r="C32" s="27"/>
      <c r="D32">
        <f t="shared" ref="D32:R32" si="13">+IF(C31=0,(D26-$D$24)/(D26-C26),C32+1)</f>
        <v>-14.70958904109589</v>
      </c>
      <c r="E32">
        <f t="shared" si="13"/>
        <v>-13.669398907103826</v>
      </c>
      <c r="F32">
        <f t="shared" si="13"/>
        <v>-12.706849315068494</v>
      </c>
      <c r="G32">
        <f t="shared" si="13"/>
        <v>-11.706849315068494</v>
      </c>
      <c r="H32">
        <f t="shared" si="13"/>
        <v>-10.706849315068494</v>
      </c>
      <c r="I32">
        <f t="shared" si="13"/>
        <v>-9.6775956284153004</v>
      </c>
      <c r="J32">
        <f t="shared" si="13"/>
        <v>-8.7041095890410958</v>
      </c>
      <c r="K32">
        <f t="shared" si="13"/>
        <v>-7.7041095890410958</v>
      </c>
      <c r="L32">
        <f t="shared" si="13"/>
        <v>-6.7041095890410958</v>
      </c>
      <c r="M32">
        <f t="shared" si="13"/>
        <v>-5.6857923497267757</v>
      </c>
      <c r="N32">
        <f t="shared" si="13"/>
        <v>-4.7013698630136984</v>
      </c>
      <c r="O32">
        <f t="shared" si="13"/>
        <v>-3.7013698630136984</v>
      </c>
      <c r="P32">
        <f t="shared" si="13"/>
        <v>-2.7013698630136984</v>
      </c>
      <c r="Q32">
        <f t="shared" si="13"/>
        <v>-1.6939890710382515</v>
      </c>
      <c r="R32">
        <f t="shared" si="13"/>
        <v>-0.69863013698630139</v>
      </c>
    </row>
    <row r="33" spans="2:18" x14ac:dyDescent="0.2">
      <c r="B33" s="29" t="s">
        <v>1325</v>
      </c>
      <c r="C33" s="20"/>
      <c r="D33" s="68" cm="1">
        <f t="array" ref="D33">interpoler(mat_zc,Taux_ZC,D32)</f>
        <v>2.3281430400000001E-2</v>
      </c>
      <c r="E33" s="68" cm="1">
        <f t="array" ref="E33">interpoler(mat_zc,Taux_ZC,E32)</f>
        <v>2.3281430400000001E-2</v>
      </c>
      <c r="F33" s="68" cm="1">
        <f t="array" ref="F33">interpoler(mat_zc,Taux_ZC,F32)</f>
        <v>2.3281430400000001E-2</v>
      </c>
      <c r="G33" s="68" cm="1">
        <f t="array" ref="G33">interpoler(mat_zc,Taux_ZC,G32)</f>
        <v>2.3281430400000001E-2</v>
      </c>
      <c r="H33" s="68" cm="1">
        <f t="array" ref="H33">interpoler(mat_zc,Taux_ZC,H32)</f>
        <v>2.3281430400000001E-2</v>
      </c>
      <c r="I33" s="68" cm="1">
        <f t="array" ref="I33">interpoler(mat_zc,Taux_ZC,I32)</f>
        <v>2.3281430400000001E-2</v>
      </c>
      <c r="J33" s="68" cm="1">
        <f t="array" ref="J33">interpoler(mat_zc,Taux_ZC,J32)</f>
        <v>2.3281430400000001E-2</v>
      </c>
      <c r="K33" s="68" cm="1">
        <f t="array" ref="K33">interpoler(mat_zc,Taux_ZC,K32)</f>
        <v>2.3281430400000001E-2</v>
      </c>
      <c r="L33" s="68" cm="1">
        <f t="array" ref="L33">interpoler(mat_zc,Taux_ZC,L32)</f>
        <v>2.3281430400000001E-2</v>
      </c>
      <c r="M33" s="68" cm="1">
        <f t="array" ref="M33">interpoler(mat_zc,Taux_ZC,M32)</f>
        <v>2.3281430400000001E-2</v>
      </c>
      <c r="N33" s="68" cm="1">
        <f t="array" ref="N33">interpoler(mat_zc,Taux_ZC,N32)</f>
        <v>2.3281430400000001E-2</v>
      </c>
      <c r="O33" s="68" cm="1">
        <f t="array" ref="O33">interpoler(mat_zc,Taux_ZC,O32)</f>
        <v>2.3281430400000001E-2</v>
      </c>
      <c r="P33" s="68" cm="1">
        <f t="array" ref="P33">interpoler(mat_zc,Taux_ZC,P32)</f>
        <v>2.3281430400000001E-2</v>
      </c>
      <c r="Q33" s="68" cm="1">
        <f t="array" ref="Q33">interpoler(mat_zc,Taux_ZC,Q32)</f>
        <v>2.3281430400000001E-2</v>
      </c>
      <c r="R33" s="68" cm="1">
        <f t="array" ref="R33">interpoler(mat_zc,Taux_ZC,R32)</f>
        <v>2.3281430400000001E-2</v>
      </c>
    </row>
    <row r="34" spans="2:18" ht="15.75" x14ac:dyDescent="0.25">
      <c r="B34" t="s">
        <v>1328</v>
      </c>
      <c r="C34" s="20"/>
      <c r="D34" s="88">
        <v>1.3599999999999999E-2</v>
      </c>
      <c r="E34" s="29">
        <f>+D34</f>
        <v>1.3599999999999999E-2</v>
      </c>
      <c r="F34" s="29">
        <f t="shared" ref="F34:Q34" si="14">+E34</f>
        <v>1.3599999999999999E-2</v>
      </c>
      <c r="G34" s="29">
        <f t="shared" si="14"/>
        <v>1.3599999999999999E-2</v>
      </c>
      <c r="H34" s="29">
        <f t="shared" si="14"/>
        <v>1.3599999999999999E-2</v>
      </c>
      <c r="I34" s="29">
        <f t="shared" si="14"/>
        <v>1.3599999999999999E-2</v>
      </c>
      <c r="J34" s="29">
        <f t="shared" si="14"/>
        <v>1.3599999999999999E-2</v>
      </c>
      <c r="K34" s="29">
        <f t="shared" si="14"/>
        <v>1.3599999999999999E-2</v>
      </c>
      <c r="L34" s="29">
        <f t="shared" si="14"/>
        <v>1.3599999999999999E-2</v>
      </c>
      <c r="M34" s="29">
        <f t="shared" si="14"/>
        <v>1.3599999999999999E-2</v>
      </c>
      <c r="N34" s="29">
        <f t="shared" si="14"/>
        <v>1.3599999999999999E-2</v>
      </c>
      <c r="O34" s="29">
        <f t="shared" si="14"/>
        <v>1.3599999999999999E-2</v>
      </c>
      <c r="P34" s="29">
        <f t="shared" si="14"/>
        <v>1.3599999999999999E-2</v>
      </c>
      <c r="Q34" s="29">
        <f t="shared" si="14"/>
        <v>1.3599999999999999E-2</v>
      </c>
      <c r="R34" s="29">
        <f>+Q34</f>
        <v>1.3599999999999999E-2</v>
      </c>
    </row>
    <row r="35" spans="2:18" x14ac:dyDescent="0.2">
      <c r="B35" t="s">
        <v>1329</v>
      </c>
      <c r="C35" s="20"/>
      <c r="D35" s="13">
        <f>ROUND(+D33+D34,6)</f>
        <v>3.6880999999999997E-2</v>
      </c>
      <c r="E35" s="13">
        <f>ROUND(+E33+E34,6)</f>
        <v>3.6880999999999997E-2</v>
      </c>
      <c r="F35" s="13">
        <f>ROUND(+F33+F34,6)</f>
        <v>3.6880999999999997E-2</v>
      </c>
      <c r="G35" s="13">
        <f>ROUND(+G33+G34,6)</f>
        <v>3.6880999999999997E-2</v>
      </c>
      <c r="H35" s="102">
        <f t="shared" ref="H35:R35" si="15">ROUND(+H33+H34,5)</f>
        <v>3.6880000000000003E-2</v>
      </c>
      <c r="I35" s="102">
        <f t="shared" si="15"/>
        <v>3.6880000000000003E-2</v>
      </c>
      <c r="J35" s="102">
        <f t="shared" si="15"/>
        <v>3.6880000000000003E-2</v>
      </c>
      <c r="K35" s="102">
        <f t="shared" si="15"/>
        <v>3.6880000000000003E-2</v>
      </c>
      <c r="L35" s="102">
        <f t="shared" si="15"/>
        <v>3.6880000000000003E-2</v>
      </c>
      <c r="M35" s="102">
        <f t="shared" si="15"/>
        <v>3.6880000000000003E-2</v>
      </c>
      <c r="N35" s="102">
        <f t="shared" si="15"/>
        <v>3.6880000000000003E-2</v>
      </c>
      <c r="O35" s="102">
        <f t="shared" si="15"/>
        <v>3.6880000000000003E-2</v>
      </c>
      <c r="P35" s="102">
        <f t="shared" si="15"/>
        <v>3.6880000000000003E-2</v>
      </c>
      <c r="Q35" s="102">
        <f t="shared" si="15"/>
        <v>3.6880000000000003E-2</v>
      </c>
      <c r="R35" s="102">
        <f t="shared" si="15"/>
        <v>3.6880000000000003E-2</v>
      </c>
    </row>
    <row r="36" spans="2:18" x14ac:dyDescent="0.2">
      <c r="C36" s="20"/>
      <c r="D36" s="21">
        <f t="shared" ref="D36:R36" si="16">+D31/(1+D35)^D32</f>
        <v>0</v>
      </c>
      <c r="E36" s="21">
        <f t="shared" si="16"/>
        <v>0</v>
      </c>
      <c r="F36" s="21">
        <f t="shared" si="16"/>
        <v>0</v>
      </c>
      <c r="G36" s="21">
        <f t="shared" si="16"/>
        <v>0</v>
      </c>
      <c r="H36" s="21">
        <f t="shared" si="16"/>
        <v>0</v>
      </c>
      <c r="I36" s="21">
        <f t="shared" si="16"/>
        <v>0</v>
      </c>
      <c r="J36" s="21">
        <f t="shared" si="16"/>
        <v>0</v>
      </c>
      <c r="K36" s="21">
        <f t="shared" si="16"/>
        <v>0</v>
      </c>
      <c r="L36" s="21">
        <f t="shared" si="16"/>
        <v>0</v>
      </c>
      <c r="M36" s="21">
        <f t="shared" si="16"/>
        <v>0</v>
      </c>
      <c r="N36" s="21">
        <f t="shared" si="16"/>
        <v>0</v>
      </c>
      <c r="O36" s="21">
        <f t="shared" si="16"/>
        <v>0</v>
      </c>
      <c r="P36" s="21">
        <f t="shared" si="16"/>
        <v>0</v>
      </c>
      <c r="Q36" s="21">
        <f t="shared" si="16"/>
        <v>0</v>
      </c>
      <c r="R36" s="21">
        <f t="shared" si="16"/>
        <v>0</v>
      </c>
    </row>
    <row r="37" spans="2:18" x14ac:dyDescent="0.2">
      <c r="C37" s="20"/>
      <c r="D37" s="23"/>
      <c r="E37" s="23"/>
      <c r="F37" s="23"/>
      <c r="G37" s="23"/>
      <c r="H37" s="23"/>
      <c r="I37" s="23"/>
      <c r="J37" s="23"/>
      <c r="K37" s="23"/>
      <c r="L37" s="23"/>
      <c r="M37" s="23"/>
      <c r="N37" s="23"/>
      <c r="O37" s="23"/>
      <c r="P37" s="23"/>
      <c r="Q37" s="23"/>
      <c r="R37" s="23"/>
    </row>
    <row r="38" spans="2:18" ht="15.75" x14ac:dyDescent="0.25">
      <c r="B38" t="s">
        <v>650</v>
      </c>
      <c r="C38" s="30">
        <f>+SUM(E36:R36)</f>
        <v>0</v>
      </c>
      <c r="D38" s="85"/>
      <c r="E38" s="85"/>
      <c r="F38" s="86"/>
      <c r="G38" s="87"/>
      <c r="H38" s="87"/>
      <c r="I38" s="87"/>
      <c r="J38" s="87"/>
      <c r="K38" s="87"/>
      <c r="L38" s="83"/>
      <c r="M38" s="83"/>
      <c r="N38" s="83"/>
      <c r="O38" s="83"/>
      <c r="P38" s="3"/>
      <c r="Q38" s="3"/>
      <c r="R38" s="3"/>
    </row>
    <row r="39" spans="2:18" x14ac:dyDescent="0.2">
      <c r="C39" s="280">
        <v>98469.67</v>
      </c>
    </row>
    <row r="40" spans="2:18" x14ac:dyDescent="0.2">
      <c r="C40" s="280">
        <f>+C39-C38</f>
        <v>98469.67</v>
      </c>
      <c r="D40">
        <v>2.6107873127885151E-2</v>
      </c>
    </row>
    <row r="41" spans="2:18" x14ac:dyDescent="0.2">
      <c r="C41" s="8"/>
    </row>
    <row r="42" spans="2:18" x14ac:dyDescent="0.2">
      <c r="C42" s="8"/>
    </row>
    <row r="43" spans="2:18" x14ac:dyDescent="0.2">
      <c r="C43" s="8"/>
    </row>
    <row r="44" spans="2:18" x14ac:dyDescent="0.2">
      <c r="C44" s="8"/>
    </row>
    <row r="45" spans="2:18" x14ac:dyDescent="0.2">
      <c r="C45" s="8"/>
    </row>
    <row r="46" spans="2:18" x14ac:dyDescent="0.2">
      <c r="C46" s="8"/>
    </row>
    <row r="47" spans="2:18" ht="15.75" x14ac:dyDescent="0.25">
      <c r="C47" s="7" t="s">
        <v>103</v>
      </c>
      <c r="D47" s="8">
        <f>DateVariable</f>
        <v>46107</v>
      </c>
    </row>
    <row r="48" spans="2:18" x14ac:dyDescent="0.2">
      <c r="C48" s="12" t="s">
        <v>105</v>
      </c>
      <c r="D48" s="13">
        <v>5.2999999999999999E-2</v>
      </c>
      <c r="E48" s="13"/>
    </row>
    <row r="49" spans="2:18" x14ac:dyDescent="0.2">
      <c r="C49" s="17">
        <v>40928</v>
      </c>
      <c r="D49" s="17">
        <v>41294</v>
      </c>
      <c r="E49" s="17">
        <v>41659</v>
      </c>
      <c r="F49" s="17">
        <v>42024</v>
      </c>
      <c r="G49" s="17">
        <v>42389</v>
      </c>
      <c r="H49" s="17">
        <v>42755</v>
      </c>
      <c r="I49" s="17">
        <v>43120</v>
      </c>
      <c r="J49" s="17">
        <v>43485</v>
      </c>
      <c r="K49" s="17">
        <v>43850</v>
      </c>
      <c r="L49" s="17">
        <v>44216</v>
      </c>
      <c r="M49" s="17">
        <v>44581</v>
      </c>
      <c r="N49" s="17">
        <v>44946</v>
      </c>
      <c r="O49" s="17">
        <v>45311</v>
      </c>
      <c r="P49" s="17">
        <v>45677</v>
      </c>
      <c r="Q49" s="17">
        <v>46042</v>
      </c>
      <c r="R49" s="17">
        <v>46407</v>
      </c>
    </row>
    <row r="50" spans="2:18" x14ac:dyDescent="0.2">
      <c r="B50" t="s">
        <v>1318</v>
      </c>
      <c r="C50" s="20"/>
      <c r="D50" s="21">
        <v>6666.666666666667</v>
      </c>
      <c r="E50" s="21">
        <v>6666.6666666666697</v>
      </c>
      <c r="F50" s="21">
        <v>6666.666666666667</v>
      </c>
      <c r="G50" s="21">
        <v>6666.666666666667</v>
      </c>
      <c r="H50" s="21">
        <v>6666.666666666667</v>
      </c>
      <c r="I50" s="21">
        <v>6666.666666666667</v>
      </c>
      <c r="J50" s="21">
        <v>6666.666666666667</v>
      </c>
      <c r="K50" s="21">
        <v>6666.666666666667</v>
      </c>
      <c r="L50" s="21">
        <v>6666.666666666667</v>
      </c>
      <c r="M50" s="21">
        <v>6666.666666666667</v>
      </c>
      <c r="N50" s="21">
        <v>6666.666666666667</v>
      </c>
      <c r="O50" s="21">
        <v>6666.666666666667</v>
      </c>
      <c r="P50" s="21">
        <v>6666.666666666667</v>
      </c>
      <c r="Q50" s="21">
        <v>6666.666666666667</v>
      </c>
      <c r="R50" s="21">
        <v>6666.666666666667</v>
      </c>
    </row>
    <row r="51" spans="2:18" x14ac:dyDescent="0.2">
      <c r="B51" t="s">
        <v>1320</v>
      </c>
      <c r="C51" s="21">
        <v>100000</v>
      </c>
      <c r="D51" s="23">
        <f t="shared" ref="D51:R51" si="17">+C51-D50</f>
        <v>93333.333333333328</v>
      </c>
      <c r="E51" s="23">
        <f t="shared" si="17"/>
        <v>86666.666666666657</v>
      </c>
      <c r="F51" s="23">
        <f t="shared" si="17"/>
        <v>79999.999999999985</v>
      </c>
      <c r="G51" s="23">
        <f t="shared" si="17"/>
        <v>73333.333333333314</v>
      </c>
      <c r="H51" s="23">
        <f t="shared" si="17"/>
        <v>66666.666666666642</v>
      </c>
      <c r="I51" s="23">
        <f t="shared" si="17"/>
        <v>59999.999999999978</v>
      </c>
      <c r="J51" s="23">
        <f t="shared" si="17"/>
        <v>53333.333333333314</v>
      </c>
      <c r="K51" s="23">
        <f t="shared" si="17"/>
        <v>46666.66666666665</v>
      </c>
      <c r="L51" s="23">
        <f t="shared" si="17"/>
        <v>39999.999999999985</v>
      </c>
      <c r="M51" s="23">
        <f t="shared" si="17"/>
        <v>33333.333333333321</v>
      </c>
      <c r="N51" s="23">
        <f t="shared" si="17"/>
        <v>26666.666666666653</v>
      </c>
      <c r="O51" s="23">
        <f t="shared" si="17"/>
        <v>19999.999999999985</v>
      </c>
      <c r="P51" s="23">
        <f t="shared" si="17"/>
        <v>13333.333333333318</v>
      </c>
      <c r="Q51" s="23">
        <f t="shared" si="17"/>
        <v>6666.6666666666506</v>
      </c>
      <c r="R51" s="23">
        <f t="shared" si="17"/>
        <v>-1.6370904631912708E-11</v>
      </c>
    </row>
    <row r="52" spans="2:18" x14ac:dyDescent="0.2">
      <c r="B52" t="s">
        <v>1321</v>
      </c>
      <c r="C52" s="20"/>
      <c r="D52" s="25">
        <f t="shared" ref="D52:R52" si="18">+$D$5*C51</f>
        <v>5300</v>
      </c>
      <c r="E52" s="25">
        <f t="shared" si="18"/>
        <v>4946.6666666666661</v>
      </c>
      <c r="F52" s="25">
        <f t="shared" si="18"/>
        <v>4593.333333333333</v>
      </c>
      <c r="G52" s="25">
        <f t="shared" si="18"/>
        <v>4239.9999999999991</v>
      </c>
      <c r="H52" s="25">
        <f t="shared" si="18"/>
        <v>3886.6666666666656</v>
      </c>
      <c r="I52" s="25">
        <f t="shared" si="18"/>
        <v>3533.3333333333321</v>
      </c>
      <c r="J52" s="25">
        <f t="shared" si="18"/>
        <v>3179.9999999999986</v>
      </c>
      <c r="K52" s="25">
        <f t="shared" si="18"/>
        <v>2826.6666666666656</v>
      </c>
      <c r="L52" s="25">
        <f t="shared" si="18"/>
        <v>2473.3333333333326</v>
      </c>
      <c r="M52" s="25">
        <f t="shared" si="18"/>
        <v>2119.9999999999991</v>
      </c>
      <c r="N52" s="25">
        <f t="shared" si="18"/>
        <v>1766.6666666666661</v>
      </c>
      <c r="O52" s="25">
        <f t="shared" si="18"/>
        <v>1413.3333333333326</v>
      </c>
      <c r="P52" s="25">
        <f t="shared" si="18"/>
        <v>1059.9999999999991</v>
      </c>
      <c r="Q52" s="25">
        <f t="shared" si="18"/>
        <v>706.66666666666583</v>
      </c>
      <c r="R52" s="25">
        <f t="shared" si="18"/>
        <v>353.33333333333246</v>
      </c>
    </row>
    <row r="53" spans="2:18" x14ac:dyDescent="0.2">
      <c r="B53" t="s">
        <v>1322</v>
      </c>
      <c r="C53" s="20"/>
      <c r="D53" s="25">
        <f t="shared" ref="D53:R53" si="19">+D52+D50</f>
        <v>11966.666666666668</v>
      </c>
      <c r="E53" s="25">
        <f t="shared" si="19"/>
        <v>11613.333333333336</v>
      </c>
      <c r="F53" s="25">
        <f t="shared" si="19"/>
        <v>11260</v>
      </c>
      <c r="G53" s="25">
        <f t="shared" si="19"/>
        <v>10906.666666666666</v>
      </c>
      <c r="H53" s="25">
        <f t="shared" si="19"/>
        <v>10553.333333333332</v>
      </c>
      <c r="I53" s="25">
        <f t="shared" si="19"/>
        <v>10200</v>
      </c>
      <c r="J53" s="25">
        <f t="shared" si="19"/>
        <v>9846.6666666666661</v>
      </c>
      <c r="K53" s="25">
        <f t="shared" si="19"/>
        <v>9493.3333333333321</v>
      </c>
      <c r="L53" s="25">
        <f t="shared" si="19"/>
        <v>9140</v>
      </c>
      <c r="M53" s="25">
        <f t="shared" si="19"/>
        <v>8786.6666666666661</v>
      </c>
      <c r="N53" s="25">
        <f t="shared" si="19"/>
        <v>8433.3333333333321</v>
      </c>
      <c r="O53" s="25">
        <f t="shared" si="19"/>
        <v>8080</v>
      </c>
      <c r="P53" s="25">
        <f t="shared" si="19"/>
        <v>7726.6666666666661</v>
      </c>
      <c r="Q53" s="25">
        <f t="shared" si="19"/>
        <v>7373.333333333333</v>
      </c>
      <c r="R53" s="25">
        <f t="shared" si="19"/>
        <v>7019.9999999999991</v>
      </c>
    </row>
    <row r="54" spans="2:18" x14ac:dyDescent="0.2">
      <c r="B54" t="s">
        <v>1323</v>
      </c>
      <c r="C54" s="21"/>
      <c r="D54" s="25">
        <f>+IF(D49&gt;$D$47,D53,0)</f>
        <v>0</v>
      </c>
      <c r="E54" s="25">
        <f>+IF(E49&gt;$D$4,E53,0)</f>
        <v>0</v>
      </c>
      <c r="F54" s="25">
        <f t="shared" ref="F54:R54" si="20">+IF(F49&gt;$D$5,F53,0)</f>
        <v>11260</v>
      </c>
      <c r="G54" s="25">
        <f t="shared" si="20"/>
        <v>10906.666666666666</v>
      </c>
      <c r="H54" s="25">
        <f t="shared" si="20"/>
        <v>10553.333333333332</v>
      </c>
      <c r="I54" s="25">
        <f t="shared" si="20"/>
        <v>10200</v>
      </c>
      <c r="J54" s="25">
        <f t="shared" si="20"/>
        <v>9846.6666666666661</v>
      </c>
      <c r="K54" s="25">
        <f t="shared" si="20"/>
        <v>9493.3333333333321</v>
      </c>
      <c r="L54" s="25">
        <f t="shared" si="20"/>
        <v>9140</v>
      </c>
      <c r="M54" s="25">
        <f t="shared" si="20"/>
        <v>8786.6666666666661</v>
      </c>
      <c r="N54" s="25">
        <f t="shared" si="20"/>
        <v>8433.3333333333321</v>
      </c>
      <c r="O54" s="25">
        <f t="shared" si="20"/>
        <v>8080</v>
      </c>
      <c r="P54" s="25">
        <f t="shared" si="20"/>
        <v>7726.6666666666661</v>
      </c>
      <c r="Q54" s="25">
        <f t="shared" si="20"/>
        <v>7373.333333333333</v>
      </c>
      <c r="R54" s="25">
        <f t="shared" si="20"/>
        <v>7019.9999999999991</v>
      </c>
    </row>
    <row r="55" spans="2:18" x14ac:dyDescent="0.2">
      <c r="B55" t="s">
        <v>1324</v>
      </c>
      <c r="C55" s="27"/>
      <c r="D55">
        <f t="shared" ref="D55:R55" si="21">+IF(C54=0,(D49-$D$4)/(D49-C49),C55+1)</f>
        <v>-13.150273224043715</v>
      </c>
      <c r="E55">
        <f t="shared" si="21"/>
        <v>-12.186301369863013</v>
      </c>
      <c r="F55">
        <f t="shared" si="21"/>
        <v>-11.186301369863013</v>
      </c>
      <c r="G55">
        <f t="shared" si="21"/>
        <v>-10.186301369863013</v>
      </c>
      <c r="H55">
        <f t="shared" si="21"/>
        <v>-9.1863013698630134</v>
      </c>
      <c r="I55">
        <f t="shared" si="21"/>
        <v>-8.1863013698630134</v>
      </c>
      <c r="J55">
        <f t="shared" si="21"/>
        <v>-7.1863013698630134</v>
      </c>
      <c r="K55">
        <f t="shared" si="21"/>
        <v>-6.1863013698630134</v>
      </c>
      <c r="L55">
        <f t="shared" si="21"/>
        <v>-5.1863013698630134</v>
      </c>
      <c r="M55">
        <f t="shared" si="21"/>
        <v>-4.1863013698630134</v>
      </c>
      <c r="N55">
        <f t="shared" si="21"/>
        <v>-3.1863013698630134</v>
      </c>
      <c r="O55">
        <f t="shared" si="21"/>
        <v>-2.1863013698630134</v>
      </c>
      <c r="P55">
        <f t="shared" si="21"/>
        <v>-1.1863013698630134</v>
      </c>
      <c r="Q55">
        <f t="shared" si="21"/>
        <v>-0.18630136986301338</v>
      </c>
      <c r="R55">
        <f t="shared" si="21"/>
        <v>0.81369863013698662</v>
      </c>
    </row>
    <row r="56" spans="2:18" x14ac:dyDescent="0.2">
      <c r="B56" s="29" t="s">
        <v>1325</v>
      </c>
      <c r="C56" s="20"/>
      <c r="D56" s="68">
        <f t="shared" ref="D56:R56" si="22">IF(D55&lt;1,interpoler(mat_court,taux_court_act,D55*(D49-C49)),interpoler(mat,taux,D55))</f>
        <v>2.3281430422376737E-2</v>
      </c>
      <c r="E56" s="68">
        <f t="shared" si="22"/>
        <v>2.3281430422376737E-2</v>
      </c>
      <c r="F56" s="68">
        <f t="shared" si="22"/>
        <v>2.3281430422376737E-2</v>
      </c>
      <c r="G56" s="68">
        <f t="shared" si="22"/>
        <v>2.3281430422376737E-2</v>
      </c>
      <c r="H56" s="68">
        <f t="shared" si="22"/>
        <v>2.3281430422376737E-2</v>
      </c>
      <c r="I56" s="68">
        <f t="shared" si="22"/>
        <v>2.3281430422376737E-2</v>
      </c>
      <c r="J56" s="68">
        <f t="shared" si="22"/>
        <v>2.3281430422376737E-2</v>
      </c>
      <c r="K56" s="68">
        <f t="shared" si="22"/>
        <v>2.3281430422376737E-2</v>
      </c>
      <c r="L56" s="68">
        <f t="shared" si="22"/>
        <v>2.3281430422376737E-2</v>
      </c>
      <c r="M56" s="68">
        <f t="shared" si="22"/>
        <v>2.3281430422376737E-2</v>
      </c>
      <c r="N56" s="68">
        <f t="shared" si="22"/>
        <v>2.3281430422376737E-2</v>
      </c>
      <c r="O56" s="68">
        <f t="shared" si="22"/>
        <v>2.3281430422376737E-2</v>
      </c>
      <c r="P56" s="68">
        <f t="shared" si="22"/>
        <v>2.3281430422376737E-2</v>
      </c>
      <c r="Q56" s="68">
        <f t="shared" si="22"/>
        <v>2.3281430422376737E-2</v>
      </c>
      <c r="R56" s="68">
        <f t="shared" si="22"/>
        <v>2.4802758227840074E-2</v>
      </c>
    </row>
    <row r="57" spans="2:18" x14ac:dyDescent="0.2">
      <c r="B57" t="s">
        <v>1328</v>
      </c>
      <c r="C57" s="20"/>
      <c r="D57" s="29">
        <v>9.1000000000000004E-3</v>
      </c>
      <c r="E57" s="29">
        <f>+D57</f>
        <v>9.1000000000000004E-3</v>
      </c>
      <c r="F57" s="29">
        <f t="shared" ref="F57:Q57" si="23">+E57</f>
        <v>9.1000000000000004E-3</v>
      </c>
      <c r="G57" s="29">
        <f t="shared" si="23"/>
        <v>9.1000000000000004E-3</v>
      </c>
      <c r="H57" s="29">
        <f t="shared" si="23"/>
        <v>9.1000000000000004E-3</v>
      </c>
      <c r="I57" s="29">
        <f t="shared" si="23"/>
        <v>9.1000000000000004E-3</v>
      </c>
      <c r="J57" s="29">
        <f t="shared" si="23"/>
        <v>9.1000000000000004E-3</v>
      </c>
      <c r="K57" s="29">
        <f t="shared" si="23"/>
        <v>9.1000000000000004E-3</v>
      </c>
      <c r="L57" s="29">
        <f t="shared" si="23"/>
        <v>9.1000000000000004E-3</v>
      </c>
      <c r="M57" s="29">
        <f t="shared" si="23"/>
        <v>9.1000000000000004E-3</v>
      </c>
      <c r="N57" s="29">
        <f t="shared" si="23"/>
        <v>9.1000000000000004E-3</v>
      </c>
      <c r="O57" s="29">
        <f t="shared" si="23"/>
        <v>9.1000000000000004E-3</v>
      </c>
      <c r="P57" s="29">
        <f t="shared" si="23"/>
        <v>9.1000000000000004E-3</v>
      </c>
      <c r="Q57" s="29">
        <f t="shared" si="23"/>
        <v>9.1000000000000004E-3</v>
      </c>
      <c r="R57" s="29">
        <f>+Q57</f>
        <v>9.1000000000000004E-3</v>
      </c>
    </row>
    <row r="58" spans="2:18" x14ac:dyDescent="0.2">
      <c r="B58" t="s">
        <v>1329</v>
      </c>
      <c r="C58" s="20"/>
      <c r="D58" s="13">
        <f t="shared" ref="D58:R58" si="24">+ROUND(D56+D57,6)</f>
        <v>3.2381E-2</v>
      </c>
      <c r="E58" s="13">
        <f t="shared" si="24"/>
        <v>3.2381E-2</v>
      </c>
      <c r="F58" s="13">
        <f t="shared" si="24"/>
        <v>3.2381E-2</v>
      </c>
      <c r="G58" s="13">
        <f t="shared" si="24"/>
        <v>3.2381E-2</v>
      </c>
      <c r="H58" s="13">
        <f t="shared" si="24"/>
        <v>3.2381E-2</v>
      </c>
      <c r="I58" s="13">
        <f t="shared" si="24"/>
        <v>3.2381E-2</v>
      </c>
      <c r="J58" s="13">
        <f t="shared" si="24"/>
        <v>3.2381E-2</v>
      </c>
      <c r="K58" s="13">
        <f t="shared" si="24"/>
        <v>3.2381E-2</v>
      </c>
      <c r="L58" s="13">
        <f t="shared" si="24"/>
        <v>3.2381E-2</v>
      </c>
      <c r="M58" s="13">
        <f t="shared" si="24"/>
        <v>3.2381E-2</v>
      </c>
      <c r="N58" s="13">
        <f t="shared" si="24"/>
        <v>3.2381E-2</v>
      </c>
      <c r="O58" s="13">
        <f t="shared" si="24"/>
        <v>3.2381E-2</v>
      </c>
      <c r="P58" s="13">
        <f t="shared" si="24"/>
        <v>3.2381E-2</v>
      </c>
      <c r="Q58" s="13">
        <f t="shared" si="24"/>
        <v>3.2381E-2</v>
      </c>
      <c r="R58" s="13">
        <f t="shared" si="24"/>
        <v>3.3903000000000003E-2</v>
      </c>
    </row>
    <row r="59" spans="2:18" x14ac:dyDescent="0.2">
      <c r="C59" s="20"/>
      <c r="D59" s="21">
        <f t="shared" ref="D59:R59" si="25">+D54/(1+D58)^D55</f>
        <v>0</v>
      </c>
      <c r="E59" s="21">
        <f t="shared" si="25"/>
        <v>0</v>
      </c>
      <c r="F59" s="21">
        <f t="shared" si="25"/>
        <v>16082.621344719828</v>
      </c>
      <c r="G59" s="21">
        <f t="shared" si="25"/>
        <v>15089.348307402717</v>
      </c>
      <c r="H59" s="21">
        <f t="shared" si="25"/>
        <v>14142.562146608956</v>
      </c>
      <c r="I59" s="21">
        <f t="shared" si="25"/>
        <v>13240.32387507235</v>
      </c>
      <c r="J59" s="21">
        <f t="shared" si="25"/>
        <v>12380.770406463003</v>
      </c>
      <c r="K59" s="21">
        <f t="shared" si="25"/>
        <v>11562.111701615129</v>
      </c>
      <c r="L59" s="21">
        <f t="shared" si="25"/>
        <v>10782.628019103809</v>
      </c>
      <c r="M59" s="21">
        <f t="shared" si="25"/>
        <v>10040.667266432252</v>
      </c>
      <c r="N59" s="21">
        <f t="shared" si="25"/>
        <v>9334.642448223085</v>
      </c>
      <c r="O59" s="21">
        <f t="shared" si="25"/>
        <v>8663.0292079343835</v>
      </c>
      <c r="P59" s="21">
        <f t="shared" si="25"/>
        <v>8024.3634597439823</v>
      </c>
      <c r="Q59" s="21">
        <f t="shared" si="25"/>
        <v>7417.2391073642184</v>
      </c>
      <c r="R59" s="21">
        <f t="shared" si="25"/>
        <v>6832.1111374735019</v>
      </c>
    </row>
    <row r="60" spans="2:18" x14ac:dyDescent="0.2">
      <c r="C60" s="20"/>
      <c r="D60" s="23"/>
      <c r="E60" s="23"/>
      <c r="F60" s="23"/>
      <c r="G60" s="23"/>
      <c r="H60" s="23"/>
      <c r="I60" s="23"/>
      <c r="J60" s="23"/>
      <c r="K60" s="23"/>
      <c r="L60" s="23"/>
      <c r="M60" s="23"/>
      <c r="N60" s="23"/>
      <c r="O60" s="23"/>
      <c r="P60" s="23"/>
      <c r="Q60" s="23"/>
      <c r="R60" s="23"/>
    </row>
    <row r="61" spans="2:18" x14ac:dyDescent="0.2">
      <c r="B61" t="s">
        <v>650</v>
      </c>
      <c r="C61" s="281">
        <f>+SUM(E59:S59)</f>
        <v>143592.41842815719</v>
      </c>
      <c r="D61" s="1"/>
      <c r="E61" s="13"/>
      <c r="F61" s="13"/>
      <c r="G61" s="13"/>
      <c r="H61" s="13"/>
      <c r="I61" s="13"/>
      <c r="J61" s="13"/>
      <c r="K61" s="13"/>
      <c r="L61" s="13"/>
      <c r="M61" s="13"/>
      <c r="N61" s="13"/>
      <c r="O61" s="13"/>
      <c r="P61" s="13"/>
      <c r="Q61" s="13"/>
      <c r="R61" s="13"/>
    </row>
    <row r="62" spans="2:18" x14ac:dyDescent="0.2">
      <c r="C62" s="280">
        <v>90447.31</v>
      </c>
    </row>
    <row r="63" spans="2:18" x14ac:dyDescent="0.2">
      <c r="C63" s="280">
        <f>C62-C61</f>
        <v>-53145.108428157197</v>
      </c>
    </row>
    <row r="64" spans="2:18" x14ac:dyDescent="0.2">
      <c r="C64" s="8"/>
    </row>
    <row r="65" spans="2:11" ht="15.75" x14ac:dyDescent="0.25">
      <c r="C65" s="7" t="s">
        <v>103</v>
      </c>
      <c r="D65" s="8">
        <f>'Courbe des taux'!F1</f>
        <v>46107</v>
      </c>
    </row>
    <row r="66" spans="2:11" x14ac:dyDescent="0.2">
      <c r="B66">
        <v>9233</v>
      </c>
      <c r="C66" s="12" t="s">
        <v>105</v>
      </c>
      <c r="D66" s="13">
        <v>4.99E-2</v>
      </c>
      <c r="E66" s="13"/>
    </row>
    <row r="67" spans="2:11" x14ac:dyDescent="0.2">
      <c r="C67" s="17">
        <v>41968</v>
      </c>
      <c r="D67" s="17">
        <v>42333</v>
      </c>
      <c r="E67" s="17">
        <v>42699</v>
      </c>
      <c r="F67" s="17">
        <v>43064</v>
      </c>
      <c r="G67" s="17">
        <v>43429</v>
      </c>
      <c r="H67" s="17">
        <v>43794</v>
      </c>
    </row>
    <row r="68" spans="2:11" x14ac:dyDescent="0.2">
      <c r="B68" t="s">
        <v>1318</v>
      </c>
      <c r="C68" s="20"/>
      <c r="D68" s="21">
        <v>20000</v>
      </c>
      <c r="E68" s="21">
        <v>20000</v>
      </c>
      <c r="F68" s="21">
        <v>20000</v>
      </c>
      <c r="G68" s="21">
        <v>20000</v>
      </c>
      <c r="H68" s="21">
        <v>20000</v>
      </c>
      <c r="K68" s="251"/>
    </row>
    <row r="69" spans="2:11" x14ac:dyDescent="0.2">
      <c r="B69" t="s">
        <v>1320</v>
      </c>
      <c r="C69" s="21">
        <v>100000</v>
      </c>
      <c r="D69" s="23">
        <f>+C69-D68</f>
        <v>80000</v>
      </c>
      <c r="E69" s="23">
        <f>+D69-E68</f>
        <v>60000</v>
      </c>
      <c r="F69" s="23">
        <f>+E69-F68</f>
        <v>40000</v>
      </c>
      <c r="G69" s="23">
        <f>+F69-G68</f>
        <v>20000</v>
      </c>
      <c r="H69" s="344">
        <f>+G69-H68</f>
        <v>0</v>
      </c>
    </row>
    <row r="70" spans="2:11" x14ac:dyDescent="0.2">
      <c r="B70" t="s">
        <v>1321</v>
      </c>
      <c r="C70" s="20"/>
      <c r="D70" s="25">
        <f>+$D$66*C69</f>
        <v>4990</v>
      </c>
      <c r="E70" s="25">
        <f>+$D$66*D69</f>
        <v>3992</v>
      </c>
      <c r="F70" s="25">
        <f>+$D$66*E69</f>
        <v>2994</v>
      </c>
      <c r="G70" s="25">
        <f>+$D$66*F69</f>
        <v>1996</v>
      </c>
      <c r="H70" s="25">
        <f>+$D$66*G69</f>
        <v>998</v>
      </c>
    </row>
    <row r="71" spans="2:11" x14ac:dyDescent="0.2">
      <c r="B71" t="s">
        <v>1322</v>
      </c>
      <c r="C71" s="20"/>
      <c r="D71" s="25">
        <f>+D70+D68</f>
        <v>24990</v>
      </c>
      <c r="E71" s="25">
        <f>+E70+E68</f>
        <v>23992</v>
      </c>
      <c r="F71" s="25">
        <f>+F70+F68</f>
        <v>22994</v>
      </c>
      <c r="G71" s="25">
        <f>+G70+G68</f>
        <v>21996</v>
      </c>
      <c r="H71" s="25">
        <f>+H70+H68</f>
        <v>20998</v>
      </c>
    </row>
    <row r="72" spans="2:11" x14ac:dyDescent="0.2">
      <c r="B72" t="s">
        <v>1323</v>
      </c>
      <c r="C72" s="247"/>
      <c r="D72" s="25">
        <f>+IF(D67&gt;$D$47,D71,0)</f>
        <v>0</v>
      </c>
      <c r="E72" s="25">
        <f>+IF(E67&gt;$D$47,E71,0)</f>
        <v>0</v>
      </c>
      <c r="F72" s="25">
        <f>+IF(F67&gt;$D$47,F71,0)</f>
        <v>0</v>
      </c>
      <c r="G72" s="25">
        <f>+IF(G67&gt;$D$47,G71,0)</f>
        <v>0</v>
      </c>
      <c r="H72" s="25">
        <f>+IF(H67&gt;$D$47,H71,0)</f>
        <v>0</v>
      </c>
    </row>
    <row r="73" spans="2:11" x14ac:dyDescent="0.2">
      <c r="B73" t="s">
        <v>1324</v>
      </c>
      <c r="C73" s="27"/>
      <c r="D73">
        <f>+IF(C72=0,(D67-$D$65)/(D67-C67),C73+1)</f>
        <v>-10.33972602739726</v>
      </c>
      <c r="E73">
        <f>+IF(D72=0,(E67-$D$4)/(E67-D67),D73+1)</f>
        <v>-9.3114754098360653</v>
      </c>
      <c r="F73">
        <f>+IF(E72=0,(F67-$D$4)/(F67-E67),E73+1)</f>
        <v>-8.3369863013698637</v>
      </c>
      <c r="G73">
        <f>+IF(F72=0,(G67-$D$4)/(G67-F67),F73+1)</f>
        <v>-7.3369863013698629</v>
      </c>
      <c r="H73">
        <f>+IF(G72=0,(H67-$D$4)/(H67-G67),G73+1)</f>
        <v>-6.3369863013698629</v>
      </c>
    </row>
    <row r="74" spans="2:11" x14ac:dyDescent="0.2">
      <c r="B74" s="29" t="s">
        <v>1325</v>
      </c>
      <c r="C74" s="20"/>
      <c r="D74" s="68">
        <f>IF(D73&lt;1,interpoler(mat_court,taux_court_act,D73*(D67-C67)),interpoler(mat,taux,D73))</f>
        <v>2.3281430422376737E-2</v>
      </c>
      <c r="E74" s="68">
        <f>IF(E73&lt;1,interpoler(mat_court,taux_court_act,E73*(E67-D67)),interpoler(mat,taux,E73))</f>
        <v>2.3281430422376737E-2</v>
      </c>
      <c r="F74" s="68">
        <f>IF(F73&lt;1,interpoler(mat_court,taux_court_act,F73*(F67-E67)),interpoler(mat,taux,F73))</f>
        <v>2.3281430422376737E-2</v>
      </c>
      <c r="G74" s="68">
        <f>IF(G73&lt;1,interpoler(mat_court,taux_court_act,G73*(G67-F67)),interpoler(mat,taux,G73))</f>
        <v>2.3281430422376737E-2</v>
      </c>
      <c r="H74" s="68">
        <f>IF(H73&lt;1,interpoler(mat_court,taux_court_act,H73*(H67-G67)),interpoler(mat,taux,H73))</f>
        <v>2.3281430422376737E-2</v>
      </c>
    </row>
    <row r="75" spans="2:11" x14ac:dyDescent="0.2">
      <c r="B75" t="s">
        <v>1328</v>
      </c>
      <c r="C75" s="20"/>
      <c r="D75" s="29">
        <v>1.7999999999999999E-2</v>
      </c>
      <c r="E75" s="29">
        <v>1.7999999999999999E-2</v>
      </c>
      <c r="F75" s="29">
        <v>1.7999999999999999E-2</v>
      </c>
      <c r="G75" s="29">
        <v>1.7999999999999999E-2</v>
      </c>
      <c r="H75" s="29">
        <v>1.7999999999999999E-2</v>
      </c>
    </row>
    <row r="76" spans="2:11" x14ac:dyDescent="0.2">
      <c r="B76" t="s">
        <v>1329</v>
      </c>
      <c r="C76" s="20"/>
      <c r="D76" s="58">
        <f>+ROUND(D74+D75,5)</f>
        <v>4.1279999999999997E-2</v>
      </c>
      <c r="E76" s="58">
        <f>+ROUND(E74+E75,5)</f>
        <v>4.1279999999999997E-2</v>
      </c>
      <c r="F76" s="58">
        <f>+ROUND(F74+F75,5)</f>
        <v>4.1279999999999997E-2</v>
      </c>
      <c r="G76" s="58">
        <f>+ROUND(G74+G75,5)</f>
        <v>4.1279999999999997E-2</v>
      </c>
      <c r="H76" s="58">
        <f>+ROUND(H74+H75,5)</f>
        <v>4.1279999999999997E-2</v>
      </c>
    </row>
    <row r="77" spans="2:11" x14ac:dyDescent="0.2">
      <c r="C77" s="20"/>
      <c r="D77" s="21">
        <f>+D72/(1+D76)^D73</f>
        <v>0</v>
      </c>
      <c r="E77" s="21">
        <f>+E72/(1+E76)^E73</f>
        <v>0</v>
      </c>
      <c r="F77" s="21">
        <f>+F72/(1+F76)^F73</f>
        <v>0</v>
      </c>
      <c r="G77" s="21">
        <f>+G72/(1+G76)^G73</f>
        <v>0</v>
      </c>
      <c r="H77" s="21">
        <f>+H72/(1+H76)^H73</f>
        <v>0</v>
      </c>
    </row>
    <row r="78" spans="2:11" x14ac:dyDescent="0.2">
      <c r="C78" s="20"/>
      <c r="D78" s="23"/>
      <c r="E78" s="23"/>
    </row>
    <row r="79" spans="2:11" x14ac:dyDescent="0.2">
      <c r="B79" t="s">
        <v>650</v>
      </c>
      <c r="C79" s="30">
        <f>+SUM(D77:H77)</f>
        <v>0</v>
      </c>
      <c r="D79" s="1"/>
      <c r="E79" s="280"/>
    </row>
    <row r="81" spans="2:20" x14ac:dyDescent="0.2">
      <c r="F81">
        <v>6666.67</v>
      </c>
    </row>
    <row r="82" spans="2:20" ht="15.75" x14ac:dyDescent="0.25">
      <c r="C82" s="7" t="s">
        <v>103</v>
      </c>
      <c r="D82" s="8">
        <f>DateVariable</f>
        <v>46107</v>
      </c>
    </row>
    <row r="83" spans="2:20" x14ac:dyDescent="0.2">
      <c r="B83">
        <v>9142</v>
      </c>
      <c r="C83" s="12" t="s">
        <v>105</v>
      </c>
      <c r="D83" s="13">
        <v>5.11E-2</v>
      </c>
      <c r="E83" s="13"/>
    </row>
    <row r="84" spans="2:20" x14ac:dyDescent="0.2">
      <c r="C84" s="17">
        <v>40836</v>
      </c>
      <c r="D84" s="17">
        <v>41202</v>
      </c>
      <c r="E84" s="17">
        <v>41567</v>
      </c>
      <c r="F84" s="17">
        <v>41932</v>
      </c>
      <c r="G84" s="17">
        <v>42297</v>
      </c>
      <c r="H84" s="17">
        <v>42663</v>
      </c>
      <c r="I84" s="17">
        <v>43028</v>
      </c>
      <c r="J84" s="17">
        <v>43393</v>
      </c>
      <c r="K84" s="17">
        <v>43758</v>
      </c>
      <c r="L84" s="17">
        <v>44124</v>
      </c>
      <c r="M84" s="17">
        <v>44489</v>
      </c>
      <c r="N84" s="17">
        <v>44854</v>
      </c>
      <c r="O84" s="17">
        <v>45219</v>
      </c>
      <c r="P84" s="17">
        <v>45585</v>
      </c>
      <c r="Q84" s="17">
        <v>45950</v>
      </c>
      <c r="R84" s="17">
        <v>46315</v>
      </c>
      <c r="S84" s="17"/>
      <c r="T84" s="17"/>
    </row>
    <row r="85" spans="2:20" x14ac:dyDescent="0.2">
      <c r="B85" t="s">
        <v>1318</v>
      </c>
      <c r="C85" s="20"/>
      <c r="D85" s="21">
        <v>6666.67</v>
      </c>
      <c r="E85" s="21">
        <v>6666.67</v>
      </c>
      <c r="F85" s="21">
        <v>6666.67</v>
      </c>
      <c r="G85" s="21">
        <v>6666.67</v>
      </c>
      <c r="H85" s="21">
        <v>6666.67</v>
      </c>
      <c r="I85" s="21">
        <v>6666.67</v>
      </c>
      <c r="J85" s="21">
        <v>6666.67</v>
      </c>
      <c r="K85" s="21">
        <v>6666.67</v>
      </c>
      <c r="L85" s="21">
        <v>6666.67</v>
      </c>
      <c r="M85" s="21">
        <v>6666.67</v>
      </c>
      <c r="N85" s="21">
        <v>6666.67</v>
      </c>
      <c r="O85" s="21">
        <v>6666.67</v>
      </c>
      <c r="P85" s="21">
        <v>6666.67</v>
      </c>
      <c r="Q85" s="21">
        <v>6666.67</v>
      </c>
      <c r="R85" s="21">
        <v>6666.67</v>
      </c>
    </row>
    <row r="86" spans="2:20" x14ac:dyDescent="0.2">
      <c r="B86" t="s">
        <v>1320</v>
      </c>
      <c r="C86" s="21">
        <v>100000</v>
      </c>
      <c r="D86" s="23">
        <f t="shared" ref="D86:R86" si="26">+C86-D85</f>
        <v>93333.33</v>
      </c>
      <c r="E86" s="23">
        <f t="shared" si="26"/>
        <v>86666.66</v>
      </c>
      <c r="F86" s="23">
        <f t="shared" si="26"/>
        <v>79999.990000000005</v>
      </c>
      <c r="G86" s="23">
        <f t="shared" si="26"/>
        <v>73333.320000000007</v>
      </c>
      <c r="H86" s="23">
        <f t="shared" si="26"/>
        <v>66666.650000000009</v>
      </c>
      <c r="I86" s="23">
        <f t="shared" si="26"/>
        <v>59999.98000000001</v>
      </c>
      <c r="J86" s="23">
        <f t="shared" si="26"/>
        <v>53333.310000000012</v>
      </c>
      <c r="K86" s="23">
        <f t="shared" si="26"/>
        <v>46666.640000000014</v>
      </c>
      <c r="L86" s="23">
        <f t="shared" si="26"/>
        <v>39999.970000000016</v>
      </c>
      <c r="M86" s="23">
        <f t="shared" si="26"/>
        <v>33333.300000000017</v>
      </c>
      <c r="N86" s="23">
        <f t="shared" si="26"/>
        <v>26666.630000000019</v>
      </c>
      <c r="O86" s="23">
        <f t="shared" si="26"/>
        <v>19999.960000000021</v>
      </c>
      <c r="P86" s="23">
        <f t="shared" si="26"/>
        <v>13333.290000000021</v>
      </c>
      <c r="Q86" s="23">
        <f t="shared" si="26"/>
        <v>6666.6200000000208</v>
      </c>
      <c r="R86" s="280">
        <f t="shared" si="26"/>
        <v>-4.9999999979263521E-2</v>
      </c>
    </row>
    <row r="87" spans="2:20" x14ac:dyDescent="0.2">
      <c r="B87" t="s">
        <v>1321</v>
      </c>
      <c r="C87" s="20"/>
      <c r="D87" s="25">
        <f>+$D$83*C86</f>
        <v>5110</v>
      </c>
      <c r="E87" s="25">
        <f t="shared" ref="E87:R87" si="27">+$D$83*D86</f>
        <v>4769.3331630000002</v>
      </c>
      <c r="F87" s="25">
        <f t="shared" si="27"/>
        <v>4428.6663260000005</v>
      </c>
      <c r="G87" s="25">
        <f t="shared" si="27"/>
        <v>4087.9994890000003</v>
      </c>
      <c r="H87" s="25">
        <f t="shared" si="27"/>
        <v>3747.3326520000005</v>
      </c>
      <c r="I87" s="25">
        <f t="shared" si="27"/>
        <v>3406.6658150000003</v>
      </c>
      <c r="J87" s="25">
        <f t="shared" si="27"/>
        <v>3065.9989780000005</v>
      </c>
      <c r="K87" s="25">
        <f t="shared" si="27"/>
        <v>2725.3321410000008</v>
      </c>
      <c r="L87" s="25">
        <f t="shared" si="27"/>
        <v>2384.6653040000006</v>
      </c>
      <c r="M87" s="25">
        <f t="shared" si="27"/>
        <v>2043.9984670000008</v>
      </c>
      <c r="N87" s="25">
        <f t="shared" si="27"/>
        <v>1703.3316300000008</v>
      </c>
      <c r="O87" s="25">
        <f t="shared" si="27"/>
        <v>1362.6647930000011</v>
      </c>
      <c r="P87" s="25">
        <f t="shared" si="27"/>
        <v>1021.9979560000011</v>
      </c>
      <c r="Q87" s="25">
        <f t="shared" si="27"/>
        <v>681.33111900000108</v>
      </c>
      <c r="R87" s="25">
        <f t="shared" si="27"/>
        <v>340.66428200000104</v>
      </c>
    </row>
    <row r="88" spans="2:20" x14ac:dyDescent="0.2">
      <c r="B88" t="s">
        <v>1322</v>
      </c>
      <c r="C88" s="20"/>
      <c r="D88" s="25">
        <f>+D87+D85</f>
        <v>11776.67</v>
      </c>
      <c r="E88" s="25">
        <f t="shared" ref="E88:R88" si="28">+E87+E85</f>
        <v>11436.003163000001</v>
      </c>
      <c r="F88" s="25">
        <f t="shared" si="28"/>
        <v>11095.336326000001</v>
      </c>
      <c r="G88" s="25">
        <f t="shared" si="28"/>
        <v>10754.669489</v>
      </c>
      <c r="H88" s="25">
        <f t="shared" si="28"/>
        <v>10414.002652000001</v>
      </c>
      <c r="I88" s="25">
        <f t="shared" si="28"/>
        <v>10073.335815</v>
      </c>
      <c r="J88" s="25">
        <f t="shared" si="28"/>
        <v>9732.6689780000015</v>
      </c>
      <c r="K88" s="25">
        <f t="shared" si="28"/>
        <v>9392.0021410000008</v>
      </c>
      <c r="L88" s="25">
        <f t="shared" si="28"/>
        <v>9051.3353040000002</v>
      </c>
      <c r="M88" s="25">
        <f t="shared" si="28"/>
        <v>8710.6684670000013</v>
      </c>
      <c r="N88" s="25">
        <f t="shared" si="28"/>
        <v>8370.0016300000007</v>
      </c>
      <c r="O88" s="25">
        <f t="shared" si="28"/>
        <v>8029.3347930000009</v>
      </c>
      <c r="P88" s="25">
        <f t="shared" si="28"/>
        <v>7688.6679560000011</v>
      </c>
      <c r="Q88" s="25">
        <f t="shared" si="28"/>
        <v>7348.0011190000014</v>
      </c>
      <c r="R88" s="25">
        <f t="shared" si="28"/>
        <v>7007.3342820000007</v>
      </c>
    </row>
    <row r="89" spans="2:20" x14ac:dyDescent="0.2">
      <c r="B89" t="s">
        <v>1323</v>
      </c>
      <c r="C89" s="21"/>
      <c r="D89" s="25">
        <f t="shared" ref="D89:R89" si="29">+IF(D84&gt;$D$47,D88,0)</f>
        <v>0</v>
      </c>
      <c r="E89" s="25">
        <f t="shared" si="29"/>
        <v>0</v>
      </c>
      <c r="F89" s="25">
        <f t="shared" si="29"/>
        <v>0</v>
      </c>
      <c r="G89" s="25">
        <f t="shared" si="29"/>
        <v>0</v>
      </c>
      <c r="H89" s="25">
        <f t="shared" si="29"/>
        <v>0</v>
      </c>
      <c r="I89" s="25">
        <f t="shared" si="29"/>
        <v>0</v>
      </c>
      <c r="J89" s="25">
        <f t="shared" si="29"/>
        <v>0</v>
      </c>
      <c r="K89" s="25">
        <f t="shared" si="29"/>
        <v>0</v>
      </c>
      <c r="L89" s="25">
        <f t="shared" si="29"/>
        <v>0</v>
      </c>
      <c r="M89" s="25">
        <f t="shared" si="29"/>
        <v>0</v>
      </c>
      <c r="N89" s="25">
        <f t="shared" si="29"/>
        <v>0</v>
      </c>
      <c r="O89" s="25">
        <f t="shared" si="29"/>
        <v>0</v>
      </c>
      <c r="P89" s="25">
        <f t="shared" si="29"/>
        <v>0</v>
      </c>
      <c r="Q89" s="25">
        <f t="shared" si="29"/>
        <v>0</v>
      </c>
      <c r="R89" s="25">
        <f t="shared" si="29"/>
        <v>7007.3342820000007</v>
      </c>
    </row>
    <row r="90" spans="2:20" x14ac:dyDescent="0.2">
      <c r="B90" t="s">
        <v>1324</v>
      </c>
      <c r="C90" s="27"/>
      <c r="D90">
        <f>+IF(C89=0,(D84-$D$65)/(D84-C84),C90+1)</f>
        <v>-13.401639344262295</v>
      </c>
      <c r="E90">
        <f t="shared" ref="E90:R90" si="30">+IF(D89=0,(E84-$D$4)/(E84-D84),D90+1)</f>
        <v>-12.438356164383562</v>
      </c>
      <c r="F90">
        <f t="shared" si="30"/>
        <v>-11.438356164383562</v>
      </c>
      <c r="G90">
        <f t="shared" si="30"/>
        <v>-10.438356164383562</v>
      </c>
      <c r="H90">
        <f t="shared" si="30"/>
        <v>-9.4098360655737707</v>
      </c>
      <c r="I90">
        <f t="shared" si="30"/>
        <v>-8.4356164383561651</v>
      </c>
      <c r="J90">
        <f t="shared" si="30"/>
        <v>-7.4356164383561643</v>
      </c>
      <c r="K90">
        <f t="shared" si="30"/>
        <v>-6.4356164383561643</v>
      </c>
      <c r="L90">
        <f t="shared" si="30"/>
        <v>-5.418032786885246</v>
      </c>
      <c r="M90">
        <f t="shared" si="30"/>
        <v>-4.4328767123287669</v>
      </c>
      <c r="N90">
        <f t="shared" si="30"/>
        <v>-3.4328767123287673</v>
      </c>
      <c r="O90">
        <f t="shared" si="30"/>
        <v>-2.4328767123287673</v>
      </c>
      <c r="P90">
        <f t="shared" si="30"/>
        <v>-1.4262295081967213</v>
      </c>
      <c r="Q90">
        <f t="shared" si="30"/>
        <v>-0.43013698630136987</v>
      </c>
      <c r="R90">
        <f t="shared" si="30"/>
        <v>0.56986301369863013</v>
      </c>
    </row>
    <row r="91" spans="2:20" x14ac:dyDescent="0.2">
      <c r="B91" s="29" t="s">
        <v>1325</v>
      </c>
      <c r="C91" s="20"/>
      <c r="D91" s="68">
        <f t="shared" ref="D91:R91" si="31">IF(D90&lt;1,interpoler(mat_court,taux_court_act,D90*(D84-C84)),interpoler(mat,taux,D90))</f>
        <v>2.3281430422376737E-2</v>
      </c>
      <c r="E91" s="68">
        <f t="shared" si="31"/>
        <v>2.3281430422376737E-2</v>
      </c>
      <c r="F91" s="68">
        <f t="shared" si="31"/>
        <v>2.3281430422376737E-2</v>
      </c>
      <c r="G91" s="68">
        <f t="shared" si="31"/>
        <v>2.3281430422376737E-2</v>
      </c>
      <c r="H91" s="68">
        <f t="shared" si="31"/>
        <v>2.3281430422376737E-2</v>
      </c>
      <c r="I91" s="68">
        <f t="shared" si="31"/>
        <v>2.3281430422376737E-2</v>
      </c>
      <c r="J91" s="68">
        <f t="shared" si="31"/>
        <v>2.3281430422376737E-2</v>
      </c>
      <c r="K91" s="68">
        <f t="shared" si="31"/>
        <v>2.3281430422376737E-2</v>
      </c>
      <c r="L91" s="68">
        <f t="shared" si="31"/>
        <v>2.3281430422376737E-2</v>
      </c>
      <c r="M91" s="68">
        <f t="shared" si="31"/>
        <v>2.3281430422376737E-2</v>
      </c>
      <c r="N91" s="68">
        <f t="shared" si="31"/>
        <v>2.3281430422376737E-2</v>
      </c>
      <c r="O91" s="68">
        <f t="shared" si="31"/>
        <v>2.3281430422376737E-2</v>
      </c>
      <c r="P91" s="68">
        <f t="shared" si="31"/>
        <v>2.3281430422376737E-2</v>
      </c>
      <c r="Q91" s="68">
        <f t="shared" si="31"/>
        <v>2.3281430422376737E-2</v>
      </c>
      <c r="R91" s="68">
        <f t="shared" si="31"/>
        <v>2.427511653210827E-2</v>
      </c>
    </row>
    <row r="92" spans="2:20" x14ac:dyDescent="0.2">
      <c r="B92" t="s">
        <v>1328</v>
      </c>
      <c r="C92" s="20"/>
      <c r="D92" s="13">
        <v>5.9800000000000001E-3</v>
      </c>
      <c r="E92" s="13">
        <v>5.9800000000000001E-3</v>
      </c>
      <c r="F92" s="13">
        <v>5.9800000000000001E-3</v>
      </c>
      <c r="G92" s="13">
        <v>5.9800000000000001E-3</v>
      </c>
      <c r="H92" s="13">
        <v>5.9800000000000001E-3</v>
      </c>
      <c r="I92" s="13">
        <v>5.9800000000000001E-3</v>
      </c>
      <c r="J92" s="13">
        <v>5.9800000000000001E-3</v>
      </c>
      <c r="K92" s="13">
        <v>5.9800000000000001E-3</v>
      </c>
      <c r="L92" s="13">
        <v>5.9800000000000001E-3</v>
      </c>
      <c r="M92" s="13">
        <v>5.9800000000000001E-3</v>
      </c>
      <c r="N92" s="13">
        <v>5.9800000000000001E-3</v>
      </c>
      <c r="O92" s="13">
        <v>5.9800000000000001E-3</v>
      </c>
      <c r="P92" s="13">
        <v>5.9800000000000001E-3</v>
      </c>
      <c r="Q92" s="13">
        <v>5.9800000000000001E-3</v>
      </c>
      <c r="R92" s="13">
        <v>5.9800000000000001E-3</v>
      </c>
    </row>
    <row r="93" spans="2:20" x14ac:dyDescent="0.2">
      <c r="B93" t="s">
        <v>1329</v>
      </c>
      <c r="C93" s="20"/>
      <c r="D93" s="102">
        <f t="shared" ref="D93:R93" si="32">+ROUND(D91+D92,5)</f>
        <v>2.9260000000000001E-2</v>
      </c>
      <c r="E93" s="58">
        <f t="shared" si="32"/>
        <v>2.9260000000000001E-2</v>
      </c>
      <c r="F93" s="58">
        <f t="shared" si="32"/>
        <v>2.9260000000000001E-2</v>
      </c>
      <c r="G93" s="102">
        <f t="shared" si="32"/>
        <v>2.9260000000000001E-2</v>
      </c>
      <c r="H93" s="58">
        <f t="shared" si="32"/>
        <v>2.9260000000000001E-2</v>
      </c>
      <c r="I93" s="58">
        <f t="shared" si="32"/>
        <v>2.9260000000000001E-2</v>
      </c>
      <c r="J93" s="58">
        <f t="shared" si="32"/>
        <v>2.9260000000000001E-2</v>
      </c>
      <c r="K93" s="58">
        <f t="shared" si="32"/>
        <v>2.9260000000000001E-2</v>
      </c>
      <c r="L93" s="58">
        <f t="shared" si="32"/>
        <v>2.9260000000000001E-2</v>
      </c>
      <c r="M93" s="58">
        <f t="shared" si="32"/>
        <v>2.9260000000000001E-2</v>
      </c>
      <c r="N93" s="58">
        <f t="shared" si="32"/>
        <v>2.9260000000000001E-2</v>
      </c>
      <c r="O93" s="58">
        <f t="shared" si="32"/>
        <v>2.9260000000000001E-2</v>
      </c>
      <c r="P93" s="58">
        <f t="shared" si="32"/>
        <v>2.9260000000000001E-2</v>
      </c>
      <c r="Q93" s="58">
        <f t="shared" si="32"/>
        <v>2.9260000000000001E-2</v>
      </c>
      <c r="R93" s="58">
        <f t="shared" si="32"/>
        <v>3.0259999999999999E-2</v>
      </c>
    </row>
    <row r="94" spans="2:20" x14ac:dyDescent="0.2">
      <c r="C94" s="20"/>
      <c r="D94" s="21">
        <f t="shared" ref="D94:R94" si="33">+D89/(1+D93)^D90</f>
        <v>0</v>
      </c>
      <c r="E94" s="21">
        <f t="shared" si="33"/>
        <v>0</v>
      </c>
      <c r="F94" s="21">
        <f t="shared" si="33"/>
        <v>0</v>
      </c>
      <c r="G94" s="21">
        <f t="shared" si="33"/>
        <v>0</v>
      </c>
      <c r="H94" s="21">
        <f t="shared" si="33"/>
        <v>0</v>
      </c>
      <c r="I94" s="21">
        <f t="shared" si="33"/>
        <v>0</v>
      </c>
      <c r="J94" s="21">
        <f t="shared" si="33"/>
        <v>0</v>
      </c>
      <c r="K94" s="21">
        <f t="shared" si="33"/>
        <v>0</v>
      </c>
      <c r="L94" s="21">
        <f t="shared" si="33"/>
        <v>0</v>
      </c>
      <c r="M94" s="21">
        <f t="shared" si="33"/>
        <v>0</v>
      </c>
      <c r="N94" s="21">
        <f t="shared" si="33"/>
        <v>0</v>
      </c>
      <c r="O94" s="21">
        <f t="shared" si="33"/>
        <v>0</v>
      </c>
      <c r="P94" s="21">
        <f t="shared" si="33"/>
        <v>0</v>
      </c>
      <c r="Q94" s="21">
        <f t="shared" si="33"/>
        <v>0</v>
      </c>
      <c r="R94" s="21">
        <f t="shared" si="33"/>
        <v>6889.2970574241435</v>
      </c>
    </row>
    <row r="95" spans="2:20" x14ac:dyDescent="0.2">
      <c r="C95" s="20"/>
      <c r="D95" s="23"/>
      <c r="E95" s="23"/>
    </row>
    <row r="96" spans="2:20" x14ac:dyDescent="0.2">
      <c r="B96" t="s">
        <v>650</v>
      </c>
      <c r="C96" s="318">
        <f>+SUM(D94:R94)</f>
        <v>6889.2970574241435</v>
      </c>
      <c r="D96" s="1"/>
      <c r="E96" s="13"/>
      <c r="G96" s="280">
        <f>D82-F84</f>
        <v>4175</v>
      </c>
      <c r="I96" s="8"/>
    </row>
    <row r="97" spans="2:18" x14ac:dyDescent="0.2">
      <c r="G97" s="280">
        <f>G87*G96/365</f>
        <v>46759.994155000008</v>
      </c>
    </row>
    <row r="98" spans="2:18" x14ac:dyDescent="0.2">
      <c r="C98" s="280"/>
      <c r="G98" s="280"/>
    </row>
    <row r="99" spans="2:18" x14ac:dyDescent="0.2">
      <c r="G99" s="280"/>
      <c r="I99" t="e">
        <f>interpoler(I108,mat_court,taux_court_act)</f>
        <v>#VALUE!</v>
      </c>
    </row>
    <row r="100" spans="2:18" s="732" customFormat="1" ht="15.75" x14ac:dyDescent="0.25">
      <c r="C100" s="733" t="s">
        <v>103</v>
      </c>
      <c r="D100" s="734">
        <f>DateVariable</f>
        <v>46107</v>
      </c>
    </row>
    <row r="101" spans="2:18" s="732" customFormat="1" x14ac:dyDescent="0.2">
      <c r="B101" s="732">
        <v>9240</v>
      </c>
      <c r="C101" s="735" t="s">
        <v>105</v>
      </c>
      <c r="D101" s="736">
        <v>3.8699999999999998E-2</v>
      </c>
      <c r="E101" s="736"/>
      <c r="M101" s="737">
        <f>SUM(M104:R104)</f>
        <v>99999.750000000131</v>
      </c>
    </row>
    <row r="102" spans="2:18" s="732" customFormat="1" x14ac:dyDescent="0.2">
      <c r="C102" s="738">
        <v>41981</v>
      </c>
      <c r="D102" s="738">
        <v>42346</v>
      </c>
      <c r="E102" s="738">
        <v>42712</v>
      </c>
      <c r="F102" s="738">
        <v>43077</v>
      </c>
      <c r="G102" s="738">
        <v>43442</v>
      </c>
      <c r="H102" s="738">
        <v>43807</v>
      </c>
      <c r="I102" s="749">
        <v>44173</v>
      </c>
      <c r="J102" s="749">
        <v>44538</v>
      </c>
      <c r="K102" s="749">
        <v>44903</v>
      </c>
      <c r="L102" s="749">
        <v>45268</v>
      </c>
      <c r="M102" s="749">
        <v>45634</v>
      </c>
      <c r="N102" s="738">
        <v>45999</v>
      </c>
      <c r="O102" s="738">
        <v>46364</v>
      </c>
      <c r="P102" s="738">
        <v>46729</v>
      </c>
      <c r="Q102" s="738">
        <v>47095</v>
      </c>
      <c r="R102" s="738">
        <v>47460</v>
      </c>
    </row>
    <row r="103" spans="2:18" s="732" customFormat="1" x14ac:dyDescent="0.2">
      <c r="B103" s="732" t="s">
        <v>1318</v>
      </c>
      <c r="C103" s="739"/>
      <c r="D103" s="740">
        <v>6666.67</v>
      </c>
      <c r="E103" s="740">
        <v>6666.67</v>
      </c>
      <c r="F103" s="740">
        <v>6666.67</v>
      </c>
      <c r="G103" s="740">
        <v>6666.67</v>
      </c>
      <c r="H103" s="740">
        <v>6666.67</v>
      </c>
      <c r="I103" s="750">
        <v>6666.67</v>
      </c>
      <c r="J103" s="750">
        <v>6666.67</v>
      </c>
      <c r="K103" s="750">
        <v>6666.67</v>
      </c>
      <c r="L103" s="750">
        <v>6666.67</v>
      </c>
      <c r="M103" s="750">
        <v>6666.67</v>
      </c>
      <c r="N103" s="750">
        <v>6666.67</v>
      </c>
      <c r="O103" s="750">
        <v>6666.67</v>
      </c>
      <c r="P103" s="750">
        <v>6666.67</v>
      </c>
      <c r="Q103" s="750">
        <v>6666.67</v>
      </c>
      <c r="R103" s="750">
        <v>6666.67</v>
      </c>
    </row>
    <row r="104" spans="2:18" s="732" customFormat="1" x14ac:dyDescent="0.2">
      <c r="B104" s="732" t="s">
        <v>1320</v>
      </c>
      <c r="C104" s="740">
        <v>100000</v>
      </c>
      <c r="D104" s="737">
        <f t="shared" ref="D104:R104" si="34">+C104-D103</f>
        <v>93333.33</v>
      </c>
      <c r="E104" s="737">
        <f t="shared" si="34"/>
        <v>86666.66</v>
      </c>
      <c r="F104" s="737">
        <f t="shared" si="34"/>
        <v>79999.990000000005</v>
      </c>
      <c r="G104" s="737">
        <f t="shared" si="34"/>
        <v>73333.320000000007</v>
      </c>
      <c r="H104" s="737">
        <f t="shared" si="34"/>
        <v>66666.650000000009</v>
      </c>
      <c r="I104" s="737">
        <f t="shared" si="34"/>
        <v>59999.98000000001</v>
      </c>
      <c r="J104" s="737">
        <f t="shared" si="34"/>
        <v>53333.310000000012</v>
      </c>
      <c r="K104" s="737">
        <f t="shared" si="34"/>
        <v>46666.640000000014</v>
      </c>
      <c r="L104" s="737">
        <f t="shared" si="34"/>
        <v>39999.970000000016</v>
      </c>
      <c r="M104" s="737">
        <f t="shared" si="34"/>
        <v>33333.300000000017</v>
      </c>
      <c r="N104" s="737">
        <f t="shared" si="34"/>
        <v>26666.630000000019</v>
      </c>
      <c r="O104" s="737">
        <f t="shared" si="34"/>
        <v>19999.960000000021</v>
      </c>
      <c r="P104" s="737">
        <f t="shared" si="34"/>
        <v>13333.290000000021</v>
      </c>
      <c r="Q104" s="737">
        <f t="shared" si="34"/>
        <v>6666.6200000000208</v>
      </c>
      <c r="R104" s="741">
        <f t="shared" si="34"/>
        <v>-4.9999999979263521E-2</v>
      </c>
    </row>
    <row r="105" spans="2:18" s="732" customFormat="1" x14ac:dyDescent="0.2">
      <c r="B105" s="732" t="s">
        <v>1321</v>
      </c>
      <c r="C105" s="739"/>
      <c r="D105" s="742">
        <f>4.32%*C104</f>
        <v>4320</v>
      </c>
      <c r="E105" s="742">
        <f>4.32%*D104</f>
        <v>4031.9998560000004</v>
      </c>
      <c r="F105" s="742">
        <f>4.32%*E104</f>
        <v>3743.9997120000003</v>
      </c>
      <c r="G105" s="742">
        <f>4.32%*F104</f>
        <v>3455.9995680000006</v>
      </c>
      <c r="H105" s="742">
        <f>4.32%*G104</f>
        <v>3167.9994240000005</v>
      </c>
      <c r="I105" s="420">
        <f>3.44%*H104</f>
        <v>2293.3327600000002</v>
      </c>
      <c r="J105" s="420">
        <f>3.44%*I104</f>
        <v>2063.9993120000004</v>
      </c>
      <c r="K105" s="420">
        <f>3.44%*J104</f>
        <v>1834.6658640000005</v>
      </c>
      <c r="L105" s="420">
        <f>3.44%*K104</f>
        <v>1605.3324160000004</v>
      </c>
      <c r="M105" s="420">
        <f>3.44%*L104</f>
        <v>1375.9989680000006</v>
      </c>
      <c r="N105" s="742">
        <f>M104*$D$101</f>
        <v>1289.9987100000005</v>
      </c>
      <c r="O105" s="742">
        <f>N104*$D$101</f>
        <v>1031.9985810000007</v>
      </c>
      <c r="P105" s="742">
        <f>O104*$D$101</f>
        <v>773.99845200000073</v>
      </c>
      <c r="Q105" s="742">
        <f>P104*$D$101</f>
        <v>515.99832300000082</v>
      </c>
      <c r="R105" s="742">
        <f>Q104*$D$101</f>
        <v>257.99819400000081</v>
      </c>
    </row>
    <row r="106" spans="2:18" s="732" customFormat="1" x14ac:dyDescent="0.2">
      <c r="B106" s="732" t="s">
        <v>1322</v>
      </c>
      <c r="C106" s="739"/>
      <c r="D106" s="742">
        <f t="shared" ref="D106:R106" si="35">+D105+D103</f>
        <v>10986.67</v>
      </c>
      <c r="E106" s="742">
        <f t="shared" si="35"/>
        <v>10698.669856</v>
      </c>
      <c r="F106" s="742">
        <f t="shared" si="35"/>
        <v>10410.669712000001</v>
      </c>
      <c r="G106" s="742">
        <f t="shared" si="35"/>
        <v>10122.669568000001</v>
      </c>
      <c r="H106" s="742">
        <f t="shared" si="35"/>
        <v>9834.6694239999997</v>
      </c>
      <c r="I106" s="420">
        <f>+I105+I103</f>
        <v>8960.0027599999994</v>
      </c>
      <c r="J106" s="420">
        <f>+J105+J103</f>
        <v>8730.669312</v>
      </c>
      <c r="K106" s="420">
        <f t="shared" si="35"/>
        <v>8501.3358640000006</v>
      </c>
      <c r="L106" s="420">
        <f t="shared" si="35"/>
        <v>8272.0024160000012</v>
      </c>
      <c r="M106" s="420">
        <f>+M105+M103</f>
        <v>8042.6689680000009</v>
      </c>
      <c r="N106" s="742">
        <f t="shared" si="35"/>
        <v>7956.6687100000008</v>
      </c>
      <c r="O106" s="742">
        <f t="shared" si="35"/>
        <v>7698.6685810000008</v>
      </c>
      <c r="P106" s="742">
        <f t="shared" si="35"/>
        <v>7440.6684520000008</v>
      </c>
      <c r="Q106" s="742">
        <f t="shared" si="35"/>
        <v>7182.6683230000008</v>
      </c>
      <c r="R106" s="742">
        <f t="shared" si="35"/>
        <v>6924.6681940000008</v>
      </c>
    </row>
    <row r="107" spans="2:18" s="732" customFormat="1" x14ac:dyDescent="0.2">
      <c r="B107" s="732" t="s">
        <v>1323</v>
      </c>
      <c r="C107" s="740"/>
      <c r="D107" s="742">
        <f t="shared" ref="D107:R107" si="36">+IF(D102&gt;$D$47,D106,0)</f>
        <v>0</v>
      </c>
      <c r="E107" s="742">
        <f t="shared" si="36"/>
        <v>0</v>
      </c>
      <c r="F107" s="742">
        <f t="shared" si="36"/>
        <v>0</v>
      </c>
      <c r="G107" s="742">
        <f t="shared" si="36"/>
        <v>0</v>
      </c>
      <c r="H107" s="742">
        <f t="shared" si="36"/>
        <v>0</v>
      </c>
      <c r="I107" s="420">
        <f t="shared" si="36"/>
        <v>0</v>
      </c>
      <c r="J107" s="420">
        <f t="shared" si="36"/>
        <v>0</v>
      </c>
      <c r="K107" s="420">
        <f t="shared" si="36"/>
        <v>0</v>
      </c>
      <c r="L107" s="420">
        <f t="shared" si="36"/>
        <v>0</v>
      </c>
      <c r="M107" s="420">
        <f t="shared" si="36"/>
        <v>0</v>
      </c>
      <c r="N107" s="742">
        <f t="shared" si="36"/>
        <v>0</v>
      </c>
      <c r="O107" s="742">
        <f t="shared" si="36"/>
        <v>7698.6685810000008</v>
      </c>
      <c r="P107" s="742">
        <f t="shared" si="36"/>
        <v>7440.6684520000008</v>
      </c>
      <c r="Q107" s="742">
        <f t="shared" si="36"/>
        <v>7182.6683230000008</v>
      </c>
      <c r="R107" s="742">
        <f t="shared" si="36"/>
        <v>6924.6681940000008</v>
      </c>
    </row>
    <row r="108" spans="2:18" s="732" customFormat="1" x14ac:dyDescent="0.2">
      <c r="B108" s="732" t="s">
        <v>1324</v>
      </c>
      <c r="C108" s="743"/>
      <c r="D108" s="732">
        <f t="shared" ref="D108:L108" si="37">ROUND(IF(C107=0,(D102-$D$65)/(D102-C102),C108+1),10)</f>
        <v>-10.304109588999999</v>
      </c>
      <c r="E108" s="732">
        <f t="shared" si="37"/>
        <v>-9.2759562841999994</v>
      </c>
      <c r="F108" s="732">
        <f t="shared" si="37"/>
        <v>-8.3013698629999997</v>
      </c>
      <c r="G108" s="732">
        <f t="shared" si="37"/>
        <v>-7.3013698629999997</v>
      </c>
      <c r="H108" s="732">
        <f t="shared" si="37"/>
        <v>-6.3013698629999997</v>
      </c>
      <c r="I108" s="732">
        <f t="shared" si="37"/>
        <v>-5.2841530055000003</v>
      </c>
      <c r="J108" s="732">
        <f t="shared" si="37"/>
        <v>-4.298630137</v>
      </c>
      <c r="K108" s="732">
        <f t="shared" si="37"/>
        <v>-3.298630137</v>
      </c>
      <c r="L108" s="1023">
        <f t="shared" si="37"/>
        <v>-2.298630137</v>
      </c>
      <c r="M108" s="1023">
        <f>ROUND((M102-$D$65)/(M102-L102),10)</f>
        <v>-1.2923497267999999</v>
      </c>
      <c r="N108" s="732">
        <f>(N102-D4)/365</f>
        <v>-0.29589041095890412</v>
      </c>
      <c r="O108" s="732">
        <f>N108+1</f>
        <v>0.70410958904109588</v>
      </c>
      <c r="P108" s="732">
        <f>O108+1</f>
        <v>1.7041095890410958</v>
      </c>
      <c r="Q108" s="732">
        <f>P108+1</f>
        <v>2.7041095890410958</v>
      </c>
      <c r="R108" s="732">
        <f>Q108+1</f>
        <v>3.7041095890410958</v>
      </c>
    </row>
    <row r="109" spans="2:18" s="732" customFormat="1" x14ac:dyDescent="0.2">
      <c r="B109" s="744" t="s">
        <v>1325</v>
      </c>
      <c r="C109" s="739"/>
      <c r="D109" s="704" cm="1">
        <f t="array" ref="D109">interpoler(mat_zc,Taux_ZC,D108)</f>
        <v>2.3281430400000001E-2</v>
      </c>
      <c r="E109" s="704" cm="1">
        <f t="array" ref="E109">interpoler(mat_zc,Taux_ZC,E108)</f>
        <v>2.3281430400000001E-2</v>
      </c>
      <c r="F109" s="704" cm="1">
        <f t="array" ref="F109">interpoler(mat_zc,Taux_ZC,F108)</f>
        <v>2.3281430400000001E-2</v>
      </c>
      <c r="G109" s="704" cm="1">
        <f t="array" ref="G109">interpoler(mat_zc,Taux_ZC,G108)</f>
        <v>2.3281430400000001E-2</v>
      </c>
      <c r="H109" s="704" cm="1">
        <f t="array" ref="H109">interpoler(mat_zc,Taux_ZC,H108)</f>
        <v>2.3281430400000001E-2</v>
      </c>
      <c r="I109" s="704" cm="1">
        <f t="array" ref="I109">interpoler(mat_zc,Taux_ZC,I108)</f>
        <v>2.3281430400000001E-2</v>
      </c>
      <c r="J109" s="704" cm="1">
        <f t="array" ref="J109">interpoler(mat_zc,Taux_ZC,J108)</f>
        <v>2.3281430400000001E-2</v>
      </c>
      <c r="K109" s="704" cm="1">
        <f t="array" ref="K109">interpoler(mat_zc,Taux_ZC,K108)</f>
        <v>2.3281430400000001E-2</v>
      </c>
      <c r="L109" s="704" cm="1">
        <f t="array" ref="L109">interpoler(mat_zc,Taux_ZC,L108)</f>
        <v>2.3281430400000001E-2</v>
      </c>
      <c r="M109" s="704" cm="1">
        <f t="array" ref="M109">interpoler(mat_zc,Taux_ZC,M108)</f>
        <v>2.3281430400000001E-2</v>
      </c>
      <c r="N109" s="704" cm="1">
        <f t="array" ref="N109">interpoler(mat_zc,Taux_ZC,N108)</f>
        <v>2.3281430400000001E-2</v>
      </c>
      <c r="O109" s="704" cm="1">
        <f t="array" ref="O109">interpoler(mat_zc,Taux_ZC,O108)</f>
        <v>2.456561588131868E-2</v>
      </c>
      <c r="P109" s="704" cm="1">
        <f t="array" ref="P109">interpoler(mat_zc,Taux_ZC,P108)</f>
        <v>2.6240911502739727E-2</v>
      </c>
      <c r="Q109" s="704" cm="1">
        <f t="array" ref="Q109">interpoler(mat_zc,Taux_ZC,Q108)</f>
        <v>2.7797018599178082E-2</v>
      </c>
      <c r="R109" s="704" cm="1">
        <f t="array" ref="R109">interpoler(mat_zc,Taux_ZC,R108)</f>
        <v>2.9366012933424657E-2</v>
      </c>
    </row>
    <row r="110" spans="2:18" s="732" customFormat="1" x14ac:dyDescent="0.2">
      <c r="B110" s="732" t="s">
        <v>1328</v>
      </c>
      <c r="C110" s="739"/>
      <c r="D110" s="736">
        <v>0.01</v>
      </c>
      <c r="E110" s="736">
        <v>0.01</v>
      </c>
      <c r="F110" s="736">
        <v>0.01</v>
      </c>
      <c r="G110" s="736">
        <v>0.01</v>
      </c>
      <c r="H110" s="736">
        <v>0.01</v>
      </c>
      <c r="I110" s="751">
        <v>0.01</v>
      </c>
      <c r="J110" s="751">
        <v>0.01</v>
      </c>
      <c r="K110" s="751">
        <v>0.01</v>
      </c>
      <c r="L110" s="751">
        <v>0.01</v>
      </c>
      <c r="M110" s="751">
        <v>0.01</v>
      </c>
      <c r="N110" s="736">
        <v>0.01</v>
      </c>
      <c r="O110" s="736">
        <v>0.01</v>
      </c>
      <c r="P110" s="736">
        <v>0.01</v>
      </c>
      <c r="Q110" s="736">
        <v>0.01</v>
      </c>
      <c r="R110" s="736">
        <v>0.01</v>
      </c>
    </row>
    <row r="111" spans="2:18" s="732" customFormat="1" x14ac:dyDescent="0.2">
      <c r="B111" s="732" t="s">
        <v>1329</v>
      </c>
      <c r="C111" s="739"/>
      <c r="D111" s="745">
        <f t="shared" ref="D111:R111" si="38">+ROUND(D109+D110,5)</f>
        <v>3.3279999999999997E-2</v>
      </c>
      <c r="E111" s="746">
        <f t="shared" si="38"/>
        <v>3.3279999999999997E-2</v>
      </c>
      <c r="F111" s="746">
        <f t="shared" si="38"/>
        <v>3.3279999999999997E-2</v>
      </c>
      <c r="G111" s="745">
        <f t="shared" si="38"/>
        <v>3.3279999999999997E-2</v>
      </c>
      <c r="H111" s="746">
        <f t="shared" si="38"/>
        <v>3.3279999999999997E-2</v>
      </c>
      <c r="I111" s="752">
        <f t="shared" si="38"/>
        <v>3.3279999999999997E-2</v>
      </c>
      <c r="J111" s="752">
        <f t="shared" si="38"/>
        <v>3.3279999999999997E-2</v>
      </c>
      <c r="K111" s="752">
        <f t="shared" si="38"/>
        <v>3.3279999999999997E-2</v>
      </c>
      <c r="L111" s="960">
        <f t="shared" si="38"/>
        <v>3.3279999999999997E-2</v>
      </c>
      <c r="M111" s="1077">
        <f>+ROUND(M109+M110,5)</f>
        <v>3.3279999999999997E-2</v>
      </c>
      <c r="N111" s="746">
        <f t="shared" si="38"/>
        <v>3.3279999999999997E-2</v>
      </c>
      <c r="O111" s="746">
        <f t="shared" si="38"/>
        <v>3.4569999999999997E-2</v>
      </c>
      <c r="P111" s="746">
        <f t="shared" si="38"/>
        <v>3.6240000000000001E-2</v>
      </c>
      <c r="Q111" s="746">
        <f t="shared" si="38"/>
        <v>3.78E-2</v>
      </c>
      <c r="R111" s="746">
        <f t="shared" si="38"/>
        <v>3.9370000000000002E-2</v>
      </c>
    </row>
    <row r="112" spans="2:18" s="732" customFormat="1" x14ac:dyDescent="0.2">
      <c r="C112" s="739"/>
      <c r="D112" s="740">
        <f t="shared" ref="D112:K112" si="39">+D107/(1+D111)^D108</f>
        <v>0</v>
      </c>
      <c r="E112" s="740">
        <f t="shared" si="39"/>
        <v>0</v>
      </c>
      <c r="F112" s="740">
        <f t="shared" si="39"/>
        <v>0</v>
      </c>
      <c r="G112" s="740">
        <f t="shared" si="39"/>
        <v>0</v>
      </c>
      <c r="H112" s="740">
        <f t="shared" si="39"/>
        <v>0</v>
      </c>
      <c r="I112" s="750">
        <f t="shared" si="39"/>
        <v>0</v>
      </c>
      <c r="J112" s="750">
        <f t="shared" si="39"/>
        <v>0</v>
      </c>
      <c r="K112" s="750">
        <f t="shared" si="39"/>
        <v>0</v>
      </c>
      <c r="L112" s="1024">
        <f>ROUND(L107/(1+L111)^L108,4)</f>
        <v>0</v>
      </c>
      <c r="M112" s="750">
        <f>ROUND(M107/(1+M111)^M108,4)</f>
        <v>0</v>
      </c>
      <c r="N112" s="740">
        <f>+N107/(1+N111)^N108</f>
        <v>0</v>
      </c>
      <c r="O112" s="740">
        <f>+O107/(1+O111)^O108</f>
        <v>7516.6278811163247</v>
      </c>
      <c r="P112" s="740">
        <f>+P107/(1+P111)^P108</f>
        <v>7002.7047890295262</v>
      </c>
      <c r="Q112" s="740">
        <f>+Q107/(1+Q111)^Q108</f>
        <v>6496.9973943170344</v>
      </c>
      <c r="R112" s="740">
        <f>+R107/(1+R111)^R108</f>
        <v>6001.7844451479814</v>
      </c>
    </row>
    <row r="113" spans="1:13" s="732" customFormat="1" x14ac:dyDescent="0.2">
      <c r="C113" s="739"/>
      <c r="D113" s="737"/>
      <c r="E113" s="737"/>
    </row>
    <row r="114" spans="1:13" s="732" customFormat="1" x14ac:dyDescent="0.2">
      <c r="B114" s="732" t="s">
        <v>650</v>
      </c>
      <c r="C114" s="747">
        <f>+SUM(N112:R112)</f>
        <v>27018.114509610867</v>
      </c>
      <c r="D114" s="748">
        <v>66690.534499999994</v>
      </c>
      <c r="E114" s="741">
        <f>C114-D114</f>
        <v>-39672.419990389128</v>
      </c>
      <c r="G114" s="741"/>
      <c r="I114" s="734"/>
      <c r="M114" s="741"/>
    </row>
    <row r="115" spans="1:13" x14ac:dyDescent="0.2">
      <c r="G115" s="280"/>
    </row>
    <row r="116" spans="1:13" x14ac:dyDescent="0.2">
      <c r="D116">
        <f>100000</f>
        <v>100000</v>
      </c>
      <c r="E116">
        <f>D116/15</f>
        <v>6666.666666666667</v>
      </c>
    </row>
    <row r="117" spans="1:13" x14ac:dyDescent="0.2">
      <c r="E117" s="23">
        <f>F122-E116</f>
        <v>73333.333333333328</v>
      </c>
      <c r="G117" s="21">
        <f>C122-G121*4</f>
        <v>73333.320000000007</v>
      </c>
      <c r="J117" s="321"/>
      <c r="M117" s="280"/>
    </row>
    <row r="118" spans="1:13" ht="15.75" x14ac:dyDescent="0.25">
      <c r="A118" s="424" t="s">
        <v>2504</v>
      </c>
      <c r="B118" s="599"/>
      <c r="C118" s="600" t="s">
        <v>103</v>
      </c>
      <c r="D118" s="415">
        <f>D4</f>
        <v>46107</v>
      </c>
      <c r="E118" s="599"/>
      <c r="F118" s="599"/>
      <c r="G118" s="599"/>
      <c r="H118" s="599"/>
    </row>
    <row r="119" spans="1:13" x14ac:dyDescent="0.2">
      <c r="B119" s="599">
        <v>9240</v>
      </c>
      <c r="C119" s="660" t="s">
        <v>105</v>
      </c>
      <c r="D119" s="602">
        <v>4.3200000000000002E-2</v>
      </c>
      <c r="E119" s="602"/>
      <c r="F119" s="599"/>
      <c r="G119" s="599"/>
      <c r="H119" s="599"/>
    </row>
    <row r="120" spans="1:13" x14ac:dyDescent="0.2">
      <c r="B120" s="599"/>
      <c r="C120" s="661">
        <v>41981</v>
      </c>
      <c r="D120" s="661">
        <v>42346</v>
      </c>
      <c r="E120" s="661">
        <v>42712</v>
      </c>
      <c r="F120" s="661">
        <v>43077</v>
      </c>
      <c r="G120" s="661">
        <v>43442</v>
      </c>
      <c r="H120" s="661">
        <v>43807</v>
      </c>
    </row>
    <row r="121" spans="1:13" x14ac:dyDescent="0.2">
      <c r="B121" s="599" t="s">
        <v>1318</v>
      </c>
      <c r="C121" s="662"/>
      <c r="D121" s="591">
        <v>6666.67</v>
      </c>
      <c r="E121" s="591">
        <v>6666.67</v>
      </c>
      <c r="F121" s="591">
        <v>6666.67</v>
      </c>
      <c r="G121" s="591">
        <v>6666.67</v>
      </c>
      <c r="H121" s="604">
        <v>73333.37</v>
      </c>
    </row>
    <row r="122" spans="1:13" x14ac:dyDescent="0.2">
      <c r="B122" s="599" t="s">
        <v>1320</v>
      </c>
      <c r="C122" s="591">
        <v>100000</v>
      </c>
      <c r="D122" s="605">
        <v>93333.333333333328</v>
      </c>
      <c r="E122" s="605">
        <v>86666.666666666657</v>
      </c>
      <c r="F122" s="605">
        <v>80000</v>
      </c>
      <c r="G122" s="605">
        <f>H121</f>
        <v>73333.37</v>
      </c>
      <c r="H122" s="605">
        <f>+G122-G117</f>
        <v>4.9999999988358468E-2</v>
      </c>
      <c r="L122" s="870"/>
    </row>
    <row r="123" spans="1:13" x14ac:dyDescent="0.2">
      <c r="B123" s="599" t="s">
        <v>1321</v>
      </c>
      <c r="C123" s="662"/>
      <c r="D123" s="606">
        <f>+$D$101*C122</f>
        <v>3870</v>
      </c>
      <c r="E123" s="606">
        <f>+$D$101*D122</f>
        <v>3611.9999999999995</v>
      </c>
      <c r="F123" s="606">
        <f>+$D$101*E122</f>
        <v>3353.9999999999995</v>
      </c>
      <c r="G123" s="606">
        <f>+$D$101*F122</f>
        <v>3096</v>
      </c>
      <c r="H123" s="606">
        <f>+$D$101*G117</f>
        <v>2837.9994839999999</v>
      </c>
    </row>
    <row r="124" spans="1:13" x14ac:dyDescent="0.2">
      <c r="B124" s="599" t="s">
        <v>1322</v>
      </c>
      <c r="C124" s="662"/>
      <c r="D124" s="606">
        <f>+D123+D121</f>
        <v>10536.67</v>
      </c>
      <c r="E124" s="606">
        <f>+E123+E121</f>
        <v>10278.67</v>
      </c>
      <c r="F124" s="606">
        <f>+F123+F121</f>
        <v>10020.67</v>
      </c>
      <c r="G124" s="606">
        <f>+G123+G121</f>
        <v>9762.67</v>
      </c>
      <c r="H124" s="606">
        <f>+H123+G122</f>
        <v>76171.369483999995</v>
      </c>
    </row>
    <row r="125" spans="1:13" x14ac:dyDescent="0.2">
      <c r="B125" s="599" t="s">
        <v>1323</v>
      </c>
      <c r="C125" s="591"/>
      <c r="D125" s="606">
        <f>+IF(D120&gt;$D$47,D124,0)</f>
        <v>0</v>
      </c>
      <c r="E125" s="606">
        <f>+IF(E120&gt;$D$47,E124,0)</f>
        <v>0</v>
      </c>
      <c r="F125" s="606">
        <f>+IF(F120&gt;$D$47,F124,0)</f>
        <v>0</v>
      </c>
      <c r="G125" s="606">
        <f>+IF(G120&gt;$D$47,G124,0)</f>
        <v>0</v>
      </c>
      <c r="H125" s="606">
        <f>+IF(H120&gt;$D$47,H124,0)</f>
        <v>0</v>
      </c>
      <c r="J125" s="606"/>
    </row>
    <row r="126" spans="1:13" x14ac:dyDescent="0.2">
      <c r="B126" s="599" t="s">
        <v>1324</v>
      </c>
      <c r="C126" s="663"/>
      <c r="D126" s="599">
        <f>+IF(C125=0,(D120-$D$65)/(D120-C120),C126+1)</f>
        <v>-10.304109589041095</v>
      </c>
      <c r="E126" s="599">
        <f>+IF(D125=0,(E120-$D$4)/(E120-D120),D126+1)</f>
        <v>-9.2759562841530059</v>
      </c>
      <c r="F126" s="599">
        <f>+IF(E125=0,(F120-$D$4)/(F120-E120),E126+1)</f>
        <v>-8.3013698630136989</v>
      </c>
      <c r="G126" s="599">
        <f>+IF(F125=0,(G120-$D$4)/(G120-F120),F126+1)</f>
        <v>-7.3013698630136989</v>
      </c>
      <c r="H126" s="599">
        <f>+IF(G125=0,(H120-$D$4)/(H120-G120),G126+1)</f>
        <v>-6.3013698630136989</v>
      </c>
    </row>
    <row r="127" spans="1:13" x14ac:dyDescent="0.2">
      <c r="B127" s="608" t="s">
        <v>1325</v>
      </c>
      <c r="C127" s="662"/>
      <c r="D127" s="664">
        <f>IF(D126&lt;1,interpoler(mat_court,taux_court_act,D126*(D120-C120)),interpoler(mat,taux,D126))</f>
        <v>2.3281430422376737E-2</v>
      </c>
      <c r="E127" s="664">
        <f>IF(E126&lt;1,interpoler(mat_court,taux_court_act,E126*(E120-D120)),interpoler(mat,taux,E126))</f>
        <v>2.3281430422376737E-2</v>
      </c>
      <c r="F127" s="664">
        <f>IF(F126&lt;1,interpoler(mat_court,taux_court_act,F126*(F120-E120)),interpoler(mat,taux,F126))</f>
        <v>2.3281430422376737E-2</v>
      </c>
      <c r="G127" s="665">
        <f>IF(G126&lt;1,interpoler(mat_court,taux_court_act,G126*(G120-F120)),interpoler(mat,taux,G126))</f>
        <v>2.3281430422376737E-2</v>
      </c>
      <c r="H127" s="666">
        <f>IF(H126&lt;1,interpoler(mat_court,taux_court_act,H126*(H120-G120)),interpoler(mat,taux,H126))</f>
        <v>2.3281430422376737E-2</v>
      </c>
    </row>
    <row r="128" spans="1:13" x14ac:dyDescent="0.2">
      <c r="B128" s="599" t="s">
        <v>1328</v>
      </c>
      <c r="C128" s="662"/>
      <c r="D128" s="602">
        <v>0.01</v>
      </c>
      <c r="E128" s="602">
        <v>0.01</v>
      </c>
      <c r="F128" s="602">
        <v>0.01</v>
      </c>
      <c r="G128" s="602">
        <v>0.01</v>
      </c>
      <c r="H128" s="602">
        <v>0.01</v>
      </c>
    </row>
    <row r="129" spans="1:8" x14ac:dyDescent="0.2">
      <c r="B129" s="599" t="s">
        <v>1329</v>
      </c>
      <c r="C129" s="662"/>
      <c r="D129" s="610">
        <f>+ROUND(D127+D128,5)</f>
        <v>3.3279999999999997E-2</v>
      </c>
      <c r="E129" s="595">
        <f>+ROUND(E127+E128,5)</f>
        <v>3.3279999999999997E-2</v>
      </c>
      <c r="F129" s="595">
        <f>+ROUND(F127+F128,5)</f>
        <v>3.3279999999999997E-2</v>
      </c>
      <c r="G129" s="610">
        <f>+ROUND(G127+G128,5)</f>
        <v>3.3279999999999997E-2</v>
      </c>
      <c r="H129" s="595">
        <f>+ROUND(H127+H128,5)</f>
        <v>3.3279999999999997E-2</v>
      </c>
    </row>
    <row r="130" spans="1:8" x14ac:dyDescent="0.2">
      <c r="B130" s="599"/>
      <c r="C130" s="662"/>
      <c r="D130" s="611">
        <f>+D125/(1+D129)^D126</f>
        <v>0</v>
      </c>
      <c r="E130" s="611">
        <f>+E125/(1+E129)^E126</f>
        <v>0</v>
      </c>
      <c r="F130" s="611">
        <f>+F125/(1+F129)^F126</f>
        <v>0</v>
      </c>
      <c r="G130" s="611">
        <f>+G125/(1+G129)^G126</f>
        <v>0</v>
      </c>
      <c r="H130" s="611">
        <f>+H125/(1+H129)^H126</f>
        <v>0</v>
      </c>
    </row>
    <row r="131" spans="1:8" x14ac:dyDescent="0.2">
      <c r="B131" s="599"/>
      <c r="C131" s="662"/>
      <c r="D131" s="605"/>
      <c r="E131" s="605"/>
      <c r="F131" s="599"/>
      <c r="G131" s="599"/>
      <c r="H131" s="599"/>
    </row>
    <row r="132" spans="1:8" x14ac:dyDescent="0.2">
      <c r="B132" s="599" t="s">
        <v>650</v>
      </c>
      <c r="C132" s="667">
        <f>+SUM(D130:H130)</f>
        <v>0</v>
      </c>
      <c r="D132" s="668"/>
      <c r="E132" s="602"/>
      <c r="F132" s="599"/>
      <c r="G132" s="592"/>
      <c r="H132" s="599"/>
    </row>
    <row r="133" spans="1:8" x14ac:dyDescent="0.2">
      <c r="A133" s="424" t="s">
        <v>2505</v>
      </c>
    </row>
    <row r="134" spans="1:8" ht="15.75" x14ac:dyDescent="0.25">
      <c r="B134" s="599"/>
      <c r="C134" s="600" t="s">
        <v>103</v>
      </c>
      <c r="D134" s="415">
        <f>D20</f>
        <v>0</v>
      </c>
      <c r="E134" s="599"/>
      <c r="F134" s="599"/>
      <c r="G134" s="599"/>
      <c r="H134" s="599"/>
    </row>
    <row r="135" spans="1:8" x14ac:dyDescent="0.2">
      <c r="B135" s="599">
        <v>9240</v>
      </c>
      <c r="C135" s="601" t="s">
        <v>105</v>
      </c>
      <c r="D135" s="602">
        <v>4.3200000000000002E-2</v>
      </c>
      <c r="E135" s="602"/>
      <c r="F135" s="599"/>
      <c r="G135" s="599"/>
      <c r="H135" s="599"/>
    </row>
    <row r="136" spans="1:8" x14ac:dyDescent="0.2">
      <c r="B136" s="599"/>
      <c r="C136" s="590">
        <v>43807</v>
      </c>
      <c r="D136" s="590">
        <v>44173</v>
      </c>
      <c r="E136" s="590">
        <v>44538</v>
      </c>
      <c r="F136" s="590">
        <v>44903</v>
      </c>
      <c r="G136" s="590">
        <v>45268</v>
      </c>
      <c r="H136" s="590">
        <v>45634</v>
      </c>
    </row>
    <row r="137" spans="1:8" x14ac:dyDescent="0.2">
      <c r="B137" s="599" t="s">
        <v>1318</v>
      </c>
      <c r="C137" s="603"/>
      <c r="D137" s="591">
        <v>6666.67</v>
      </c>
      <c r="E137" s="591">
        <v>6666.67</v>
      </c>
      <c r="F137" s="591">
        <v>6666.67</v>
      </c>
      <c r="G137" s="591">
        <v>6666.67</v>
      </c>
      <c r="H137" s="604">
        <f>100000-SUM(D121:G121)-SUM(D137:G137)</f>
        <v>46666.640000000007</v>
      </c>
    </row>
    <row r="138" spans="1:8" x14ac:dyDescent="0.2">
      <c r="B138" s="599" t="s">
        <v>1320</v>
      </c>
      <c r="C138" s="591">
        <v>100000</v>
      </c>
      <c r="D138" s="605">
        <v>93333.333333333328</v>
      </c>
      <c r="E138" s="605">
        <v>86666.666666666657</v>
      </c>
      <c r="F138" s="605">
        <v>80000</v>
      </c>
      <c r="G138" s="605">
        <f>H137</f>
        <v>46666.640000000007</v>
      </c>
      <c r="H138" s="605">
        <f>+G138-G133</f>
        <v>46666.640000000007</v>
      </c>
    </row>
    <row r="139" spans="1:8" x14ac:dyDescent="0.2">
      <c r="B139" s="599" t="s">
        <v>1321</v>
      </c>
      <c r="C139" s="603"/>
      <c r="D139" s="606">
        <f>4.32%*C138</f>
        <v>4320</v>
      </c>
      <c r="E139" s="606">
        <f>4.32%*D138</f>
        <v>4032</v>
      </c>
      <c r="F139" s="606">
        <f>4.32%*E138</f>
        <v>3744</v>
      </c>
      <c r="G139" s="606">
        <f>4.32%*F138</f>
        <v>3456</v>
      </c>
      <c r="H139" s="606">
        <f>4.32%*G138</f>
        <v>2015.9988480000004</v>
      </c>
    </row>
    <row r="140" spans="1:8" x14ac:dyDescent="0.2">
      <c r="B140" s="599" t="s">
        <v>1322</v>
      </c>
      <c r="C140" s="603"/>
      <c r="D140" s="606">
        <f>+D139+D137</f>
        <v>10986.67</v>
      </c>
      <c r="E140" s="606">
        <f>+E139+E137</f>
        <v>10698.67</v>
      </c>
      <c r="F140" s="606">
        <f>+F139+F137</f>
        <v>10410.67</v>
      </c>
      <c r="G140" s="606">
        <f>+G139+G137</f>
        <v>10122.67</v>
      </c>
      <c r="H140" s="606">
        <f>+H139+G138</f>
        <v>48682.63884800001</v>
      </c>
    </row>
    <row r="141" spans="1:8" x14ac:dyDescent="0.2">
      <c r="B141" s="599" t="s">
        <v>1323</v>
      </c>
      <c r="C141" s="591"/>
      <c r="D141" s="606">
        <f>+IF(D136&gt;$D$47,D140,0)</f>
        <v>0</v>
      </c>
      <c r="E141" s="606">
        <f>+IF(E136&gt;$D$47,E140,0)</f>
        <v>0</v>
      </c>
      <c r="F141" s="606">
        <f>+IF(F136&gt;$D$47,F140,0)</f>
        <v>0</v>
      </c>
      <c r="G141" s="606">
        <f>+IF(G136&gt;$D$47,G140,0)</f>
        <v>0</v>
      </c>
      <c r="H141" s="606">
        <f>+IF(H136&gt;$D$47,H140,0)</f>
        <v>0</v>
      </c>
    </row>
    <row r="142" spans="1:8" x14ac:dyDescent="0.2">
      <c r="B142" s="599" t="s">
        <v>1324</v>
      </c>
      <c r="C142" s="607"/>
      <c r="D142" s="599">
        <f>+IF(C141=0,(D136-$D$65)/(D136-C136),C142+1)</f>
        <v>-5.2841530054644812</v>
      </c>
      <c r="E142" s="599">
        <f>+IF(D141=0,(E136-$D$4)/(E136-D136),D142+1)</f>
        <v>-4.2986301369863016</v>
      </c>
      <c r="F142" s="599">
        <f>+IF(E141=0,(F136-$D$4)/(F136-E136),E142+1)</f>
        <v>-3.2986301369863016</v>
      </c>
      <c r="G142" s="599">
        <f>+IF(F141=0,(G136-$D$4)/(G136-F136),F142+1)</f>
        <v>-2.2986301369863016</v>
      </c>
      <c r="H142" s="599">
        <f>+IF(G141=0,(H136-$D$4)/(H136-G136),G142+1)</f>
        <v>-1.2923497267759563</v>
      </c>
    </row>
    <row r="143" spans="1:8" x14ac:dyDescent="0.2">
      <c r="B143" s="608" t="s">
        <v>1325</v>
      </c>
      <c r="C143" s="603"/>
      <c r="D143" s="609">
        <f>IF(D142&lt;1,interpoler(mat_court,taux_court_act,D142*(D136-C136)),interpoler(mat,taux,D142))</f>
        <v>2.3281430422376737E-2</v>
      </c>
      <c r="E143" s="609">
        <f>IF(E142&lt;1,interpoler(mat_court,taux_court_act,E142*(E136-D136)),interpoler(mat,taux,E142))</f>
        <v>2.3281430422376737E-2</v>
      </c>
      <c r="F143" s="609">
        <f>IF(F142&lt;1,interpoler(mat_court,taux_court_act,F142*(F136-E136)),interpoler(mat,taux,F142))</f>
        <v>2.3281430422376737E-2</v>
      </c>
      <c r="G143" s="594">
        <f>IF(G142&lt;1,interpoler(mat_court,taux_court_act,G142*(G136-F136)),interpoler(mat,taux,G142))</f>
        <v>2.3281430422376737E-2</v>
      </c>
      <c r="H143" s="597">
        <f>IF(H142&lt;1,interpoler(mat_court,taux_court_act,H142*(H136-G136)),interpoler(mat,taux,H142))</f>
        <v>2.3281430422376737E-2</v>
      </c>
    </row>
    <row r="144" spans="1:8" x14ac:dyDescent="0.2">
      <c r="B144" s="599" t="s">
        <v>1328</v>
      </c>
      <c r="C144" s="603"/>
      <c r="D144" s="602">
        <v>0.01</v>
      </c>
      <c r="E144" s="602">
        <v>0.01</v>
      </c>
      <c r="F144" s="602">
        <v>0.01</v>
      </c>
      <c r="G144" s="602">
        <v>0.01</v>
      </c>
      <c r="H144" s="602">
        <v>0.01</v>
      </c>
    </row>
    <row r="145" spans="2:18" x14ac:dyDescent="0.2">
      <c r="B145" s="599" t="s">
        <v>1329</v>
      </c>
      <c r="C145" s="603"/>
      <c r="D145" s="610">
        <f>+ROUND(D143+D144,5)</f>
        <v>3.3279999999999997E-2</v>
      </c>
      <c r="E145" s="595">
        <f>+ROUND(E143+E144,5)</f>
        <v>3.3279999999999997E-2</v>
      </c>
      <c r="F145" s="595">
        <f>+ROUND(F143+F144,5)</f>
        <v>3.3279999999999997E-2</v>
      </c>
      <c r="G145" s="610">
        <f>+ROUND(G143+G144,5)</f>
        <v>3.3279999999999997E-2</v>
      </c>
      <c r="H145" s="595">
        <f>+ROUND(H143+H144,5)</f>
        <v>3.3279999999999997E-2</v>
      </c>
    </row>
    <row r="146" spans="2:18" x14ac:dyDescent="0.2">
      <c r="B146" s="599"/>
      <c r="C146" s="603"/>
      <c r="D146" s="611">
        <f>+D141/(1+D145)^D142</f>
        <v>0</v>
      </c>
      <c r="E146" s="611">
        <f>+E141/(1+E145)^E142</f>
        <v>0</v>
      </c>
      <c r="F146" s="611">
        <f>+F141/(1+F145)^F142</f>
        <v>0</v>
      </c>
      <c r="G146" s="611">
        <f>+G141/(1+G145)^G142</f>
        <v>0</v>
      </c>
      <c r="H146" s="611">
        <f>+H141/(1+H145)^H142</f>
        <v>0</v>
      </c>
    </row>
    <row r="147" spans="2:18" x14ac:dyDescent="0.2">
      <c r="B147" s="599"/>
      <c r="C147" s="603"/>
      <c r="D147" s="605"/>
      <c r="E147" s="605"/>
      <c r="F147" s="599"/>
      <c r="G147" s="599"/>
      <c r="H147" s="599"/>
    </row>
    <row r="148" spans="2:18" x14ac:dyDescent="0.2">
      <c r="B148" s="599" t="s">
        <v>650</v>
      </c>
      <c r="C148" s="612">
        <f>+SUM(D146:H146)</f>
        <v>0</v>
      </c>
      <c r="D148" s="613"/>
      <c r="E148" s="602"/>
      <c r="F148" s="599"/>
      <c r="G148" s="592"/>
      <c r="H148" s="599"/>
    </row>
    <row r="153" spans="2:18" ht="15.75" x14ac:dyDescent="0.25">
      <c r="C153" s="7"/>
      <c r="D153" s="8"/>
    </row>
    <row r="154" spans="2:18" ht="15.75" x14ac:dyDescent="0.25">
      <c r="B154" s="361"/>
      <c r="C154" s="362" t="s">
        <v>103</v>
      </c>
      <c r="D154" s="363">
        <f>'Courbe des taux'!F1</f>
        <v>46107</v>
      </c>
      <c r="E154" s="361"/>
      <c r="F154" s="361"/>
      <c r="G154" s="361"/>
      <c r="H154" s="361"/>
      <c r="I154" s="361"/>
      <c r="J154" s="361"/>
      <c r="K154" s="361"/>
      <c r="L154" s="361"/>
      <c r="M154" s="361"/>
      <c r="N154" s="361"/>
      <c r="O154" s="361"/>
      <c r="P154" s="361"/>
      <c r="Q154" s="361"/>
      <c r="R154" s="361"/>
    </row>
    <row r="155" spans="2:18" x14ac:dyDescent="0.2">
      <c r="B155" s="495">
        <v>9295</v>
      </c>
      <c r="C155" s="489" t="s">
        <v>105</v>
      </c>
      <c r="D155" s="365">
        <v>3.9199999999999999E-2</v>
      </c>
      <c r="E155" s="365"/>
      <c r="F155" s="361"/>
      <c r="G155" s="361"/>
      <c r="H155" s="361"/>
      <c r="I155" s="361"/>
      <c r="J155" s="361"/>
      <c r="K155" s="361"/>
      <c r="L155" s="361"/>
      <c r="M155" s="361"/>
      <c r="N155" s="361"/>
      <c r="O155" s="361"/>
      <c r="P155" s="361"/>
      <c r="Q155" s="361"/>
      <c r="R155" s="361"/>
    </row>
    <row r="156" spans="2:18" x14ac:dyDescent="0.2">
      <c r="B156" s="361"/>
      <c r="C156" s="490">
        <v>42656</v>
      </c>
      <c r="D156" s="490">
        <v>43021</v>
      </c>
      <c r="E156" s="490">
        <v>43386</v>
      </c>
      <c r="F156" s="490">
        <v>43751</v>
      </c>
      <c r="G156" s="490">
        <v>44117</v>
      </c>
      <c r="H156" s="490">
        <v>44482</v>
      </c>
      <c r="I156" s="490">
        <v>44847</v>
      </c>
      <c r="J156" s="490">
        <v>45212</v>
      </c>
      <c r="K156" s="490">
        <v>45578</v>
      </c>
      <c r="L156" s="490">
        <v>45943</v>
      </c>
      <c r="M156" s="490">
        <v>46308</v>
      </c>
      <c r="N156" s="490">
        <v>46673</v>
      </c>
      <c r="O156" s="490">
        <v>47039</v>
      </c>
      <c r="P156" s="490">
        <v>47404</v>
      </c>
      <c r="Q156" s="490">
        <v>47769</v>
      </c>
      <c r="R156" s="490">
        <v>48134</v>
      </c>
    </row>
    <row r="157" spans="2:18" x14ac:dyDescent="0.2">
      <c r="B157" s="361" t="s">
        <v>1318</v>
      </c>
      <c r="C157" s="491"/>
      <c r="D157" s="368">
        <v>6666.67</v>
      </c>
      <c r="E157" s="368">
        <v>6666.67</v>
      </c>
      <c r="F157" s="368">
        <v>6666.67</v>
      </c>
      <c r="G157" s="368">
        <v>6666.67</v>
      </c>
      <c r="H157" s="368">
        <v>6666.67</v>
      </c>
      <c r="I157" s="368">
        <v>6666.67</v>
      </c>
      <c r="J157" s="368">
        <v>6666.67</v>
      </c>
      <c r="K157" s="368">
        <v>6666.67</v>
      </c>
      <c r="L157" s="368">
        <v>6666.67</v>
      </c>
      <c r="M157" s="368">
        <v>6666.67</v>
      </c>
      <c r="N157" s="368">
        <v>6666.67</v>
      </c>
      <c r="O157" s="368">
        <v>6666.67</v>
      </c>
      <c r="P157" s="368">
        <v>6666.67</v>
      </c>
      <c r="Q157" s="368">
        <v>6666.67</v>
      </c>
      <c r="R157" s="368">
        <v>6666.67</v>
      </c>
    </row>
    <row r="158" spans="2:18" x14ac:dyDescent="0.2">
      <c r="B158" s="361" t="s">
        <v>1320</v>
      </c>
      <c r="C158" s="368">
        <v>100000</v>
      </c>
      <c r="D158" s="369">
        <f>+C158-D157</f>
        <v>93333.33</v>
      </c>
      <c r="E158" s="369">
        <f t="shared" ref="E158:R158" si="40">+D158-E157</f>
        <v>86666.66</v>
      </c>
      <c r="F158" s="369">
        <f t="shared" si="40"/>
        <v>79999.990000000005</v>
      </c>
      <c r="G158" s="369">
        <f t="shared" si="40"/>
        <v>73333.320000000007</v>
      </c>
      <c r="H158" s="369">
        <f t="shared" si="40"/>
        <v>66666.650000000009</v>
      </c>
      <c r="I158" s="369">
        <f t="shared" si="40"/>
        <v>59999.98000000001</v>
      </c>
      <c r="J158" s="369">
        <f t="shared" si="40"/>
        <v>53333.310000000012</v>
      </c>
      <c r="K158" s="369">
        <f t="shared" si="40"/>
        <v>46666.640000000014</v>
      </c>
      <c r="L158" s="369">
        <f t="shared" si="40"/>
        <v>39999.970000000016</v>
      </c>
      <c r="M158" s="369">
        <f t="shared" si="40"/>
        <v>33333.300000000017</v>
      </c>
      <c r="N158" s="369">
        <f t="shared" si="40"/>
        <v>26666.630000000019</v>
      </c>
      <c r="O158" s="369">
        <f t="shared" si="40"/>
        <v>19999.960000000021</v>
      </c>
      <c r="P158" s="369">
        <f t="shared" si="40"/>
        <v>13333.290000000021</v>
      </c>
      <c r="Q158" s="369">
        <f t="shared" si="40"/>
        <v>6666.6200000000208</v>
      </c>
      <c r="R158" s="488">
        <f t="shared" si="40"/>
        <v>-4.9999999979263521E-2</v>
      </c>
    </row>
    <row r="159" spans="2:18" x14ac:dyDescent="0.2">
      <c r="B159" s="361" t="s">
        <v>1321</v>
      </c>
      <c r="C159" s="491"/>
      <c r="D159" s="370">
        <f>+$D$155*C158</f>
        <v>3920</v>
      </c>
      <c r="E159" s="370">
        <f t="shared" ref="E159:R159" si="41">+$D$155*D158</f>
        <v>3658.6665359999997</v>
      </c>
      <c r="F159" s="370">
        <f t="shared" si="41"/>
        <v>3397.3330719999999</v>
      </c>
      <c r="G159" s="370">
        <f t="shared" si="41"/>
        <v>3135.9996080000001</v>
      </c>
      <c r="H159" s="370">
        <f t="shared" si="41"/>
        <v>2874.6661440000003</v>
      </c>
      <c r="I159" s="370">
        <f t="shared" si="41"/>
        <v>2613.3326800000004</v>
      </c>
      <c r="J159" s="370">
        <f t="shared" si="41"/>
        <v>2351.9992160000002</v>
      </c>
      <c r="K159" s="370">
        <f t="shared" si="41"/>
        <v>2090.6657520000003</v>
      </c>
      <c r="L159" s="370">
        <f t="shared" si="41"/>
        <v>1829.3322880000005</v>
      </c>
      <c r="M159" s="370">
        <f t="shared" si="41"/>
        <v>1567.9988240000005</v>
      </c>
      <c r="N159" s="370">
        <f t="shared" si="41"/>
        <v>1306.6653600000006</v>
      </c>
      <c r="O159" s="370">
        <f t="shared" si="41"/>
        <v>1045.3318960000008</v>
      </c>
      <c r="P159" s="370">
        <f t="shared" si="41"/>
        <v>783.99843200000078</v>
      </c>
      <c r="Q159" s="370">
        <f t="shared" si="41"/>
        <v>522.66496800000084</v>
      </c>
      <c r="R159" s="370">
        <f t="shared" si="41"/>
        <v>261.33150400000079</v>
      </c>
    </row>
    <row r="160" spans="2:18" x14ac:dyDescent="0.2">
      <c r="B160" s="361" t="s">
        <v>1322</v>
      </c>
      <c r="C160" s="491"/>
      <c r="D160" s="370">
        <f>+D159+D157</f>
        <v>10586.67</v>
      </c>
      <c r="E160" s="370">
        <f t="shared" ref="E160:R160" si="42">+E159+E157</f>
        <v>10325.336535999999</v>
      </c>
      <c r="F160" s="370">
        <f t="shared" si="42"/>
        <v>10064.003072</v>
      </c>
      <c r="G160" s="370">
        <f t="shared" si="42"/>
        <v>9802.6696080000002</v>
      </c>
      <c r="H160" s="370">
        <f t="shared" si="42"/>
        <v>9541.3361440000008</v>
      </c>
      <c r="I160" s="370">
        <f t="shared" si="42"/>
        <v>9280.0026800000014</v>
      </c>
      <c r="J160" s="370">
        <f t="shared" si="42"/>
        <v>9018.6692160000002</v>
      </c>
      <c r="K160" s="370">
        <f t="shared" si="42"/>
        <v>8757.3357520000009</v>
      </c>
      <c r="L160" s="370">
        <f t="shared" si="42"/>
        <v>8496.0022879999997</v>
      </c>
      <c r="M160" s="370">
        <f t="shared" si="42"/>
        <v>8234.6688240000003</v>
      </c>
      <c r="N160" s="370">
        <f t="shared" si="42"/>
        <v>7973.3353600000009</v>
      </c>
      <c r="O160" s="370">
        <f t="shared" si="42"/>
        <v>7712.0018960000007</v>
      </c>
      <c r="P160" s="370">
        <f t="shared" si="42"/>
        <v>7450.6684320000004</v>
      </c>
      <c r="Q160" s="370">
        <f t="shared" si="42"/>
        <v>7189.334968000001</v>
      </c>
      <c r="R160" s="370">
        <f t="shared" si="42"/>
        <v>6928.0015040000008</v>
      </c>
    </row>
    <row r="161" spans="2:18" x14ac:dyDescent="0.2">
      <c r="B161" s="361" t="s">
        <v>1323</v>
      </c>
      <c r="C161" s="368"/>
      <c r="D161" s="370">
        <f t="shared" ref="D161:R161" si="43">+IF(D156&gt;$D$47,D160,0)</f>
        <v>0</v>
      </c>
      <c r="E161" s="370">
        <f t="shared" si="43"/>
        <v>0</v>
      </c>
      <c r="F161" s="370">
        <f t="shared" si="43"/>
        <v>0</v>
      </c>
      <c r="G161" s="370">
        <f t="shared" si="43"/>
        <v>0</v>
      </c>
      <c r="H161" s="370">
        <f t="shared" si="43"/>
        <v>0</v>
      </c>
      <c r="I161" s="370">
        <f t="shared" si="43"/>
        <v>0</v>
      </c>
      <c r="J161" s="370">
        <f t="shared" si="43"/>
        <v>0</v>
      </c>
      <c r="K161" s="370">
        <f t="shared" si="43"/>
        <v>0</v>
      </c>
      <c r="L161" s="370">
        <f t="shared" si="43"/>
        <v>0</v>
      </c>
      <c r="M161" s="370">
        <f t="shared" si="43"/>
        <v>8234.6688240000003</v>
      </c>
      <c r="N161" s="370">
        <f t="shared" si="43"/>
        <v>7973.3353600000009</v>
      </c>
      <c r="O161" s="370">
        <f t="shared" si="43"/>
        <v>7712.0018960000007</v>
      </c>
      <c r="P161" s="370">
        <f t="shared" si="43"/>
        <v>7450.6684320000004</v>
      </c>
      <c r="Q161" s="370">
        <f t="shared" si="43"/>
        <v>7189.334968000001</v>
      </c>
      <c r="R161" s="370">
        <f t="shared" si="43"/>
        <v>6928.0015040000008</v>
      </c>
    </row>
    <row r="162" spans="2:18" x14ac:dyDescent="0.2">
      <c r="B162" s="361" t="s">
        <v>1324</v>
      </c>
      <c r="C162" s="492"/>
      <c r="D162" s="488">
        <f t="shared" ref="D162:R162" si="44">+IF(C161=0,(D156-$D$154)/(D156-C156),C162+1)</f>
        <v>-8.4547945205479458</v>
      </c>
      <c r="E162" s="488">
        <f t="shared" si="44"/>
        <v>-7.4547945205479449</v>
      </c>
      <c r="F162" s="488">
        <f t="shared" si="44"/>
        <v>-6.4547945205479449</v>
      </c>
      <c r="G162" s="457">
        <f t="shared" si="44"/>
        <v>-5.4371584699453548</v>
      </c>
      <c r="H162" s="488">
        <f t="shared" si="44"/>
        <v>-4.4520547945205475</v>
      </c>
      <c r="I162" s="488">
        <f t="shared" si="44"/>
        <v>-3.452054794520548</v>
      </c>
      <c r="J162" s="488">
        <f t="shared" si="44"/>
        <v>-2.452054794520548</v>
      </c>
      <c r="K162" s="488">
        <f t="shared" si="44"/>
        <v>-1.4453551912568305</v>
      </c>
      <c r="L162" s="488">
        <f t="shared" si="44"/>
        <v>-0.44931506849315067</v>
      </c>
      <c r="M162" s="488">
        <f t="shared" si="44"/>
        <v>0.55068493150684927</v>
      </c>
      <c r="N162" s="488">
        <f t="shared" si="44"/>
        <v>1.5506849315068494</v>
      </c>
      <c r="O162" s="488">
        <f t="shared" si="44"/>
        <v>2.5506849315068494</v>
      </c>
      <c r="P162" s="488">
        <f t="shared" si="44"/>
        <v>3.5506849315068494</v>
      </c>
      <c r="Q162" s="488">
        <f t="shared" si="44"/>
        <v>4.5506849315068489</v>
      </c>
      <c r="R162" s="488">
        <f t="shared" si="44"/>
        <v>5.5506849315068489</v>
      </c>
    </row>
    <row r="163" spans="2:18" x14ac:dyDescent="0.2">
      <c r="B163" s="372" t="s">
        <v>1325</v>
      </c>
      <c r="C163" s="491"/>
      <c r="D163" s="493">
        <f t="shared" ref="D163:R163" si="45">IF(D162&lt;1,interpoler(mat_court,taux_court_act,D162*(D156-C156)),interpoler(mat,taux,D162))</f>
        <v>2.3281430422376737E-2</v>
      </c>
      <c r="E163" s="493">
        <f t="shared" si="45"/>
        <v>2.3281430422376737E-2</v>
      </c>
      <c r="F163" s="493">
        <f t="shared" si="45"/>
        <v>2.3281430422376737E-2</v>
      </c>
      <c r="G163" s="493">
        <f t="shared" si="45"/>
        <v>2.3281430422376737E-2</v>
      </c>
      <c r="H163" s="493">
        <f t="shared" si="45"/>
        <v>2.3281430422376737E-2</v>
      </c>
      <c r="I163" s="493">
        <f t="shared" si="45"/>
        <v>2.3281430422376737E-2</v>
      </c>
      <c r="J163" s="493">
        <f t="shared" si="45"/>
        <v>2.3281430422376737E-2</v>
      </c>
      <c r="K163" s="493">
        <f t="shared" si="45"/>
        <v>2.3281430422376737E-2</v>
      </c>
      <c r="L163" s="493">
        <f t="shared" si="45"/>
        <v>2.3281430422376737E-2</v>
      </c>
      <c r="M163" s="493">
        <f t="shared" si="45"/>
        <v>2.4233616623455204E-2</v>
      </c>
      <c r="N163" s="493">
        <f t="shared" si="45"/>
        <v>2.6000281242539721E-2</v>
      </c>
      <c r="O163" s="493">
        <f t="shared" si="45"/>
        <v>2.7558448785750894E-2</v>
      </c>
      <c r="P163" s="493">
        <f t="shared" si="45"/>
        <v>2.9124369181250352E-2</v>
      </c>
      <c r="Q163" s="493">
        <f t="shared" si="45"/>
        <v>3.0425184122350141E-2</v>
      </c>
      <c r="R163" s="493">
        <f t="shared" si="45"/>
        <v>3.119778276811783E-2</v>
      </c>
    </row>
    <row r="164" spans="2:18" x14ac:dyDescent="0.2">
      <c r="B164" s="361" t="s">
        <v>1328</v>
      </c>
      <c r="C164" s="491"/>
      <c r="D164" s="365">
        <v>7.0000000000000001E-3</v>
      </c>
      <c r="E164" s="365">
        <v>7.0000000000000001E-3</v>
      </c>
      <c r="F164" s="365">
        <v>7.0000000000000001E-3</v>
      </c>
      <c r="G164" s="365">
        <v>7.0000000000000001E-3</v>
      </c>
      <c r="H164" s="365">
        <v>7.0000000000000001E-3</v>
      </c>
      <c r="I164" s="365">
        <v>7.0000000000000001E-3</v>
      </c>
      <c r="J164" s="365">
        <v>7.0000000000000001E-3</v>
      </c>
      <c r="K164" s="365">
        <v>7.0000000000000001E-3</v>
      </c>
      <c r="L164" s="365">
        <v>7.0000000000000001E-3</v>
      </c>
      <c r="M164" s="365">
        <v>7.0000000000000001E-3</v>
      </c>
      <c r="N164" s="365">
        <v>7.0000000000000001E-3</v>
      </c>
      <c r="O164" s="365">
        <v>7.0000000000000001E-3</v>
      </c>
      <c r="P164" s="365">
        <v>7.0000000000000001E-3</v>
      </c>
      <c r="Q164" s="365">
        <v>7.0000000000000001E-3</v>
      </c>
      <c r="R164" s="365">
        <v>7.0000000000000001E-3</v>
      </c>
    </row>
    <row r="165" spans="2:18" x14ac:dyDescent="0.2">
      <c r="B165" s="361" t="s">
        <v>1329</v>
      </c>
      <c r="C165" s="491"/>
      <c r="D165" s="440">
        <f t="shared" ref="D165:R165" si="46">+ROUND(D163+D164,5)</f>
        <v>3.0280000000000001E-2</v>
      </c>
      <c r="E165" s="429">
        <f t="shared" si="46"/>
        <v>3.0280000000000001E-2</v>
      </c>
      <c r="F165" s="429">
        <f t="shared" si="46"/>
        <v>3.0280000000000001E-2</v>
      </c>
      <c r="G165" s="440">
        <f t="shared" si="46"/>
        <v>3.0280000000000001E-2</v>
      </c>
      <c r="H165" s="429">
        <f t="shared" si="46"/>
        <v>3.0280000000000001E-2</v>
      </c>
      <c r="I165" s="429">
        <f t="shared" si="46"/>
        <v>3.0280000000000001E-2</v>
      </c>
      <c r="J165" s="429">
        <f t="shared" si="46"/>
        <v>3.0280000000000001E-2</v>
      </c>
      <c r="K165" s="429">
        <f t="shared" si="46"/>
        <v>3.0280000000000001E-2</v>
      </c>
      <c r="L165" s="429">
        <f t="shared" si="46"/>
        <v>3.0280000000000001E-2</v>
      </c>
      <c r="M165" s="429">
        <f t="shared" si="46"/>
        <v>3.1230000000000001E-2</v>
      </c>
      <c r="N165" s="429">
        <f t="shared" si="46"/>
        <v>3.3000000000000002E-2</v>
      </c>
      <c r="O165" s="429">
        <f t="shared" si="46"/>
        <v>3.456E-2</v>
      </c>
      <c r="P165" s="429">
        <f t="shared" si="46"/>
        <v>3.6119999999999999E-2</v>
      </c>
      <c r="Q165" s="429">
        <f t="shared" si="46"/>
        <v>3.7429999999999998E-2</v>
      </c>
      <c r="R165" s="429">
        <f t="shared" si="46"/>
        <v>3.8199999999999998E-2</v>
      </c>
    </row>
    <row r="166" spans="2:18" x14ac:dyDescent="0.2">
      <c r="B166" s="361"/>
      <c r="C166" s="491"/>
      <c r="D166" s="368">
        <f t="shared" ref="D166:R166" si="47">+D161/(1+D165)^D162</f>
        <v>0</v>
      </c>
      <c r="E166" s="368">
        <f t="shared" si="47"/>
        <v>0</v>
      </c>
      <c r="F166" s="368">
        <f t="shared" si="47"/>
        <v>0</v>
      </c>
      <c r="G166" s="368">
        <f t="shared" si="47"/>
        <v>0</v>
      </c>
      <c r="H166" s="368">
        <f t="shared" si="47"/>
        <v>0</v>
      </c>
      <c r="I166" s="368">
        <f t="shared" si="47"/>
        <v>0</v>
      </c>
      <c r="J166" s="368">
        <f t="shared" si="47"/>
        <v>0</v>
      </c>
      <c r="K166" s="368">
        <f t="shared" si="47"/>
        <v>0</v>
      </c>
      <c r="L166" s="368">
        <f t="shared" si="47"/>
        <v>0</v>
      </c>
      <c r="M166" s="368">
        <f t="shared" si="47"/>
        <v>8096.3904464588149</v>
      </c>
      <c r="N166" s="368">
        <f t="shared" si="47"/>
        <v>7581.8445325789771</v>
      </c>
      <c r="O166" s="368">
        <f t="shared" si="47"/>
        <v>7071.8009739339604</v>
      </c>
      <c r="P166" s="368">
        <f t="shared" si="47"/>
        <v>6568.6932332160859</v>
      </c>
      <c r="Q166" s="368">
        <f t="shared" si="47"/>
        <v>6082.2635749245101</v>
      </c>
      <c r="R166" s="368">
        <f t="shared" si="47"/>
        <v>5626.4846151700485</v>
      </c>
    </row>
    <row r="167" spans="2:18" x14ac:dyDescent="0.2">
      <c r="B167" s="361"/>
      <c r="C167" s="491"/>
      <c r="D167" s="369"/>
      <c r="E167" s="369"/>
      <c r="F167" s="361"/>
      <c r="G167" s="361"/>
      <c r="H167" s="361"/>
      <c r="I167" s="361"/>
      <c r="J167" s="361"/>
      <c r="K167" s="361"/>
      <c r="L167" s="361"/>
      <c r="M167" s="361"/>
      <c r="N167" s="361"/>
      <c r="O167" s="361"/>
      <c r="P167" s="361"/>
      <c r="Q167" s="361"/>
      <c r="R167" s="361"/>
    </row>
    <row r="168" spans="2:18" x14ac:dyDescent="0.2">
      <c r="B168" s="495" t="s">
        <v>650</v>
      </c>
      <c r="C168" s="501">
        <f>+SUM(D166:R166)</f>
        <v>41027.477376282397</v>
      </c>
      <c r="D168" s="521"/>
      <c r="E168" s="365"/>
      <c r="F168" s="361"/>
      <c r="G168" s="488"/>
      <c r="H168" s="361"/>
      <c r="I168" s="363"/>
      <c r="J168" s="361"/>
      <c r="K168" s="361"/>
      <c r="L168" s="361"/>
      <c r="M168" s="361"/>
      <c r="N168" s="361"/>
      <c r="O168" s="361"/>
      <c r="P168" s="361"/>
      <c r="Q168" s="361"/>
      <c r="R168" s="361"/>
    </row>
    <row r="170" spans="2:18" x14ac:dyDescent="0.2">
      <c r="D170" s="21"/>
      <c r="E170" s="21"/>
      <c r="F170" s="21"/>
      <c r="G170" s="21"/>
      <c r="H170" s="21"/>
      <c r="I170" s="21"/>
      <c r="J170" s="21"/>
      <c r="K170" s="21"/>
      <c r="L170" s="21"/>
      <c r="M170" s="21"/>
      <c r="N170" s="21"/>
      <c r="O170" s="21"/>
      <c r="P170" s="21"/>
      <c r="Q170" s="21"/>
      <c r="R170" s="21"/>
    </row>
    <row r="172" spans="2:18" ht="16.5" x14ac:dyDescent="0.3">
      <c r="B172" s="361"/>
      <c r="C172" s="362" t="s">
        <v>103</v>
      </c>
      <c r="D172" s="363">
        <f>'Courbe des taux'!F1</f>
        <v>46107</v>
      </c>
      <c r="E172" s="488">
        <f>100000/15</f>
        <v>6666.666666666667</v>
      </c>
      <c r="F172" s="361"/>
      <c r="G172" s="361"/>
      <c r="H172" s="474"/>
      <c r="I172" s="361"/>
      <c r="J172" s="361"/>
      <c r="K172" s="361"/>
      <c r="L172" s="361"/>
      <c r="M172" s="361"/>
      <c r="N172" s="361"/>
      <c r="O172" s="361"/>
      <c r="P172" s="361"/>
      <c r="Q172" s="361"/>
      <c r="R172" s="361"/>
    </row>
    <row r="173" spans="2:18" x14ac:dyDescent="0.2">
      <c r="B173" s="495">
        <v>9263</v>
      </c>
      <c r="C173" s="489" t="s">
        <v>105</v>
      </c>
      <c r="D173" s="365">
        <v>4.5999999999999999E-2</v>
      </c>
      <c r="E173" s="365"/>
      <c r="F173" s="361"/>
      <c r="G173" s="361"/>
      <c r="H173" s="361"/>
      <c r="I173" s="361"/>
      <c r="J173" s="361"/>
      <c r="K173" s="361"/>
      <c r="L173" s="361"/>
      <c r="M173" s="361"/>
      <c r="N173" s="361"/>
      <c r="O173" s="361"/>
      <c r="P173" s="361"/>
      <c r="Q173" s="361"/>
      <c r="R173" s="361"/>
    </row>
    <row r="174" spans="2:18" x14ac:dyDescent="0.2">
      <c r="B174" s="361"/>
      <c r="C174" s="490">
        <v>42198</v>
      </c>
      <c r="D174" s="490">
        <v>42564</v>
      </c>
      <c r="E174" s="490">
        <v>42929</v>
      </c>
      <c r="F174" s="490">
        <v>43294</v>
      </c>
      <c r="G174" s="490">
        <v>43659</v>
      </c>
      <c r="H174" s="490">
        <v>44025</v>
      </c>
      <c r="I174" s="490">
        <v>44390</v>
      </c>
      <c r="J174" s="490">
        <v>44755</v>
      </c>
      <c r="K174" s="490">
        <v>45120</v>
      </c>
      <c r="L174" s="490">
        <v>45486</v>
      </c>
      <c r="M174" s="490">
        <v>45851</v>
      </c>
      <c r="N174" s="490">
        <v>46216</v>
      </c>
      <c r="O174" s="490">
        <v>46581</v>
      </c>
      <c r="P174" s="490">
        <v>46947</v>
      </c>
      <c r="Q174" s="490">
        <v>47312</v>
      </c>
      <c r="R174" s="490">
        <v>47677</v>
      </c>
    </row>
    <row r="175" spans="2:18" x14ac:dyDescent="0.2">
      <c r="B175" s="361" t="s">
        <v>1318</v>
      </c>
      <c r="C175" s="491"/>
      <c r="D175" s="368">
        <f t="shared" ref="D175:Q175" si="48">ROUND(100000/15,2)</f>
        <v>6666.67</v>
      </c>
      <c r="E175" s="368">
        <f t="shared" si="48"/>
        <v>6666.67</v>
      </c>
      <c r="F175" s="368">
        <f t="shared" si="48"/>
        <v>6666.67</v>
      </c>
      <c r="G175" s="368">
        <f t="shared" si="48"/>
        <v>6666.67</v>
      </c>
      <c r="H175" s="368">
        <f t="shared" si="48"/>
        <v>6666.67</v>
      </c>
      <c r="I175" s="368">
        <f t="shared" si="48"/>
        <v>6666.67</v>
      </c>
      <c r="J175" s="368">
        <f t="shared" si="48"/>
        <v>6666.67</v>
      </c>
      <c r="K175" s="368">
        <f t="shared" si="48"/>
        <v>6666.67</v>
      </c>
      <c r="L175" s="368">
        <f t="shared" si="48"/>
        <v>6666.67</v>
      </c>
      <c r="M175" s="368">
        <f t="shared" si="48"/>
        <v>6666.67</v>
      </c>
      <c r="N175" s="368">
        <f t="shared" si="48"/>
        <v>6666.67</v>
      </c>
      <c r="O175" s="368">
        <f t="shared" si="48"/>
        <v>6666.67</v>
      </c>
      <c r="P175" s="368">
        <f t="shared" si="48"/>
        <v>6666.67</v>
      </c>
      <c r="Q175" s="368">
        <f t="shared" si="48"/>
        <v>6666.67</v>
      </c>
      <c r="R175" s="368">
        <v>6666.62</v>
      </c>
    </row>
    <row r="176" spans="2:18" x14ac:dyDescent="0.2">
      <c r="B176" s="361" t="s">
        <v>1320</v>
      </c>
      <c r="C176" s="368">
        <v>100000</v>
      </c>
      <c r="D176" s="369">
        <f t="shared" ref="D176:Q176" si="49">+C176-D175</f>
        <v>93333.33</v>
      </c>
      <c r="E176" s="369">
        <f t="shared" si="49"/>
        <v>86666.66</v>
      </c>
      <c r="F176" s="369">
        <f t="shared" si="49"/>
        <v>79999.990000000005</v>
      </c>
      <c r="G176" s="369">
        <f t="shared" si="49"/>
        <v>73333.320000000007</v>
      </c>
      <c r="H176" s="369">
        <f t="shared" si="49"/>
        <v>66666.650000000009</v>
      </c>
      <c r="I176" s="369">
        <f t="shared" si="49"/>
        <v>59999.98000000001</v>
      </c>
      <c r="J176" s="369">
        <f t="shared" si="49"/>
        <v>53333.310000000012</v>
      </c>
      <c r="K176" s="369">
        <f t="shared" si="49"/>
        <v>46666.640000000014</v>
      </c>
      <c r="L176" s="369">
        <f t="shared" si="49"/>
        <v>39999.970000000016</v>
      </c>
      <c r="M176" s="369">
        <f t="shared" si="49"/>
        <v>33333.300000000017</v>
      </c>
      <c r="N176" s="369">
        <f t="shared" si="49"/>
        <v>26666.630000000019</v>
      </c>
      <c r="O176" s="369">
        <f t="shared" si="49"/>
        <v>19999.960000000021</v>
      </c>
      <c r="P176" s="369">
        <f t="shared" si="49"/>
        <v>13333.290000000021</v>
      </c>
      <c r="Q176" s="369">
        <f t="shared" si="49"/>
        <v>6666.6200000000208</v>
      </c>
      <c r="R176" s="488">
        <f>+Q176-R175</f>
        <v>2.0918378140777349E-11</v>
      </c>
    </row>
    <row r="177" spans="2:22" x14ac:dyDescent="0.2">
      <c r="B177" s="361" t="s">
        <v>1321</v>
      </c>
      <c r="C177" s="491"/>
      <c r="D177" s="370">
        <f>+$D$173*C176</f>
        <v>4600</v>
      </c>
      <c r="E177" s="370">
        <f>+$D$173*D176</f>
        <v>4293.3331799999996</v>
      </c>
      <c r="F177" s="370">
        <f t="shared" ref="F177:Q177" si="50">+$D$173*E176</f>
        <v>3986.6663600000002</v>
      </c>
      <c r="G177" s="370">
        <f t="shared" si="50"/>
        <v>3679.9995400000003</v>
      </c>
      <c r="H177" s="370">
        <f t="shared" si="50"/>
        <v>3373.3327200000003</v>
      </c>
      <c r="I177" s="370">
        <f t="shared" si="50"/>
        <v>3066.6659000000004</v>
      </c>
      <c r="J177" s="370">
        <f t="shared" si="50"/>
        <v>2759.9990800000005</v>
      </c>
      <c r="K177" s="370">
        <f t="shared" si="50"/>
        <v>2453.3322600000006</v>
      </c>
      <c r="L177" s="370">
        <f t="shared" si="50"/>
        <v>2146.6654400000007</v>
      </c>
      <c r="M177" s="370">
        <f t="shared" si="50"/>
        <v>1839.9986200000008</v>
      </c>
      <c r="N177" s="370">
        <f t="shared" si="50"/>
        <v>1533.3318000000008</v>
      </c>
      <c r="O177" s="370">
        <f t="shared" si="50"/>
        <v>1226.6649800000009</v>
      </c>
      <c r="P177" s="370">
        <f t="shared" si="50"/>
        <v>919.99816000000089</v>
      </c>
      <c r="Q177" s="370">
        <f t="shared" si="50"/>
        <v>613.33134000000098</v>
      </c>
      <c r="R177" s="370">
        <f>+$D$173*Q176</f>
        <v>306.66452000000095</v>
      </c>
    </row>
    <row r="178" spans="2:22" x14ac:dyDescent="0.2">
      <c r="B178" s="361" t="s">
        <v>1322</v>
      </c>
      <c r="C178" s="491"/>
      <c r="D178" s="370">
        <f>+D177+D175</f>
        <v>11266.67</v>
      </c>
      <c r="E178" s="370">
        <f>+E177+E175</f>
        <v>10960.00318</v>
      </c>
      <c r="F178" s="370">
        <f t="shared" ref="F178:Q178" si="51">+F177+F175</f>
        <v>10653.336360000001</v>
      </c>
      <c r="G178" s="370">
        <f t="shared" si="51"/>
        <v>10346.669540000001</v>
      </c>
      <c r="H178" s="370">
        <f t="shared" si="51"/>
        <v>10040.00272</v>
      </c>
      <c r="I178" s="370">
        <f t="shared" si="51"/>
        <v>9733.3359</v>
      </c>
      <c r="J178" s="370">
        <f t="shared" si="51"/>
        <v>9426.6690799999997</v>
      </c>
      <c r="K178" s="370">
        <f t="shared" si="51"/>
        <v>9120.0022600000011</v>
      </c>
      <c r="L178" s="370">
        <f t="shared" si="51"/>
        <v>8813.3354400000007</v>
      </c>
      <c r="M178" s="370">
        <f t="shared" si="51"/>
        <v>8506.6686200000004</v>
      </c>
      <c r="N178" s="370">
        <f t="shared" si="51"/>
        <v>8200.0018000000018</v>
      </c>
      <c r="O178" s="370">
        <f t="shared" si="51"/>
        <v>7893.3349800000015</v>
      </c>
      <c r="P178" s="370">
        <f t="shared" si="51"/>
        <v>7586.6681600000011</v>
      </c>
      <c r="Q178" s="370">
        <f t="shared" si="51"/>
        <v>7280.0013400000007</v>
      </c>
      <c r="R178" s="370">
        <f>+R177+R175</f>
        <v>6973.2845200000011</v>
      </c>
    </row>
    <row r="179" spans="2:22" x14ac:dyDescent="0.2">
      <c r="B179" s="361" t="s">
        <v>1323</v>
      </c>
      <c r="C179" s="368"/>
      <c r="D179" s="370">
        <f t="shared" ref="D179:R179" si="52">+IF(D174&gt;$D$47,D178,0)</f>
        <v>0</v>
      </c>
      <c r="E179" s="370">
        <f t="shared" si="52"/>
        <v>0</v>
      </c>
      <c r="F179" s="370">
        <f t="shared" si="52"/>
        <v>0</v>
      </c>
      <c r="G179" s="370">
        <f t="shared" si="52"/>
        <v>0</v>
      </c>
      <c r="H179" s="370">
        <f t="shared" si="52"/>
        <v>0</v>
      </c>
      <c r="I179" s="370">
        <f t="shared" si="52"/>
        <v>0</v>
      </c>
      <c r="J179" s="370">
        <f t="shared" si="52"/>
        <v>0</v>
      </c>
      <c r="K179" s="370">
        <f t="shared" si="52"/>
        <v>0</v>
      </c>
      <c r="L179" s="370">
        <f t="shared" si="52"/>
        <v>0</v>
      </c>
      <c r="M179" s="370">
        <f t="shared" si="52"/>
        <v>0</v>
      </c>
      <c r="N179" s="370">
        <f t="shared" si="52"/>
        <v>8200.0018000000018</v>
      </c>
      <c r="O179" s="370">
        <f t="shared" si="52"/>
        <v>7893.3349800000015</v>
      </c>
      <c r="P179" s="370">
        <f t="shared" si="52"/>
        <v>7586.6681600000011</v>
      </c>
      <c r="Q179" s="370">
        <f t="shared" si="52"/>
        <v>7280.0013400000007</v>
      </c>
      <c r="R179" s="370">
        <f t="shared" si="52"/>
        <v>6973.2845200000011</v>
      </c>
    </row>
    <row r="180" spans="2:22" x14ac:dyDescent="0.2">
      <c r="B180" s="361" t="s">
        <v>1324</v>
      </c>
      <c r="C180" s="492"/>
      <c r="D180" s="361">
        <f>+IF(C179=0,(D174-$D$172)/(D174-C174),C180+1)</f>
        <v>-9.6803278688524586</v>
      </c>
      <c r="E180" s="361">
        <f t="shared" ref="E180:R180" si="53">+IF(D179=0,(E174-$D$154)/(E174-D174),D180+1)</f>
        <v>-8.706849315068494</v>
      </c>
      <c r="F180" s="361">
        <f t="shared" si="53"/>
        <v>-7.7068493150684931</v>
      </c>
      <c r="G180" s="361">
        <f t="shared" si="53"/>
        <v>-6.7068493150684931</v>
      </c>
      <c r="H180" s="361">
        <f t="shared" si="53"/>
        <v>-5.6885245901639347</v>
      </c>
      <c r="I180" s="361">
        <f t="shared" si="53"/>
        <v>-4.7041095890410958</v>
      </c>
      <c r="J180" s="361">
        <f t="shared" si="53"/>
        <v>-3.7041095890410958</v>
      </c>
      <c r="K180" s="361">
        <f t="shared" si="53"/>
        <v>-2.7041095890410958</v>
      </c>
      <c r="L180" s="361">
        <f t="shared" si="53"/>
        <v>-1.6967213114754098</v>
      </c>
      <c r="M180" s="361">
        <f t="shared" si="53"/>
        <v>-0.70136986301369864</v>
      </c>
      <c r="N180" s="361">
        <f t="shared" si="53"/>
        <v>0.29863013698630136</v>
      </c>
      <c r="O180" s="361">
        <f t="shared" si="53"/>
        <v>1.2986301369863014</v>
      </c>
      <c r="P180" s="361">
        <f t="shared" si="53"/>
        <v>2.2986301369863016</v>
      </c>
      <c r="Q180" s="361">
        <f t="shared" si="53"/>
        <v>3.2986301369863016</v>
      </c>
      <c r="R180" s="361">
        <f t="shared" si="53"/>
        <v>4.2986301369863016</v>
      </c>
    </row>
    <row r="181" spans="2:22" x14ac:dyDescent="0.2">
      <c r="B181" s="372" t="s">
        <v>1325</v>
      </c>
      <c r="C181" s="491"/>
      <c r="D181" s="493">
        <f t="shared" ref="D181:R181" si="54">IF(D180&lt;1,interpoler(mat_court,taux_court_act,D180*(D174-C174)),interpoler(mat,taux,D180))</f>
        <v>2.3281430422376737E-2</v>
      </c>
      <c r="E181" s="493">
        <f t="shared" si="54"/>
        <v>2.3281430422376737E-2</v>
      </c>
      <c r="F181" s="493">
        <f t="shared" si="54"/>
        <v>2.3281430422376737E-2</v>
      </c>
      <c r="G181" s="493">
        <f t="shared" si="54"/>
        <v>2.3281430422376737E-2</v>
      </c>
      <c r="H181" s="493">
        <f t="shared" si="54"/>
        <v>2.3281430422376737E-2</v>
      </c>
      <c r="I181" s="493">
        <f t="shared" si="54"/>
        <v>2.3281430422376737E-2</v>
      </c>
      <c r="J181" s="493">
        <f t="shared" si="54"/>
        <v>2.3281430422376737E-2</v>
      </c>
      <c r="K181" s="493">
        <f t="shared" si="54"/>
        <v>2.3281430422376737E-2</v>
      </c>
      <c r="L181" s="493">
        <f t="shared" si="54"/>
        <v>2.3281430422376737E-2</v>
      </c>
      <c r="M181" s="493">
        <f t="shared" si="54"/>
        <v>2.3281430422376737E-2</v>
      </c>
      <c r="N181" s="493">
        <f t="shared" si="54"/>
        <v>2.3644619199045678E-2</v>
      </c>
      <c r="O181" s="493">
        <f t="shared" si="54"/>
        <v>2.560652067381507E-2</v>
      </c>
      <c r="P181" s="493">
        <f t="shared" si="54"/>
        <v>2.7166534951399722E-2</v>
      </c>
      <c r="Q181" s="493">
        <f t="shared" si="54"/>
        <v>2.8727399989447577E-2</v>
      </c>
      <c r="R181" s="493">
        <f t="shared" si="54"/>
        <v>3.0153681499835092E-2</v>
      </c>
    </row>
    <row r="182" spans="2:22" x14ac:dyDescent="0.2">
      <c r="B182" s="361" t="s">
        <v>1328</v>
      </c>
      <c r="C182" s="491"/>
      <c r="D182" s="365">
        <v>8.9999999999999993E-3</v>
      </c>
      <c r="E182" s="365">
        <v>8.9999999999999993E-3</v>
      </c>
      <c r="F182" s="365">
        <v>8.9999999999999993E-3</v>
      </c>
      <c r="G182" s="365">
        <v>8.9999999999999993E-3</v>
      </c>
      <c r="H182" s="365">
        <v>8.9999999999999993E-3</v>
      </c>
      <c r="I182" s="365">
        <v>8.9999999999999993E-3</v>
      </c>
      <c r="J182" s="365">
        <v>8.9999999999999993E-3</v>
      </c>
      <c r="K182" s="365">
        <v>8.9999999999999993E-3</v>
      </c>
      <c r="L182" s="365">
        <v>8.9999999999999993E-3</v>
      </c>
      <c r="M182" s="365">
        <v>8.9999999999999993E-3</v>
      </c>
      <c r="N182" s="365">
        <v>8.9999999999999993E-3</v>
      </c>
      <c r="O182" s="365">
        <v>8.9999999999999993E-3</v>
      </c>
      <c r="P182" s="365">
        <v>8.9999999999999993E-3</v>
      </c>
      <c r="Q182" s="365">
        <v>8.9999999999999993E-3</v>
      </c>
      <c r="R182" s="365">
        <v>8.9999999999999993E-3</v>
      </c>
    </row>
    <row r="183" spans="2:22" x14ac:dyDescent="0.2">
      <c r="B183" s="361" t="s">
        <v>1329</v>
      </c>
      <c r="C183" s="491"/>
      <c r="D183" s="440">
        <f t="shared" ref="D183:R183" si="55">+ROUND(D181+D182,5)</f>
        <v>3.2280000000000003E-2</v>
      </c>
      <c r="E183" s="429">
        <f t="shared" si="55"/>
        <v>3.2280000000000003E-2</v>
      </c>
      <c r="F183" s="429">
        <f t="shared" si="55"/>
        <v>3.2280000000000003E-2</v>
      </c>
      <c r="G183" s="440">
        <f t="shared" si="55"/>
        <v>3.2280000000000003E-2</v>
      </c>
      <c r="H183" s="429">
        <f t="shared" si="55"/>
        <v>3.2280000000000003E-2</v>
      </c>
      <c r="I183" s="429">
        <f t="shared" si="55"/>
        <v>3.2280000000000003E-2</v>
      </c>
      <c r="J183" s="429">
        <f t="shared" si="55"/>
        <v>3.2280000000000003E-2</v>
      </c>
      <c r="K183" s="429">
        <f t="shared" si="55"/>
        <v>3.2280000000000003E-2</v>
      </c>
      <c r="L183" s="429">
        <f t="shared" si="55"/>
        <v>3.2280000000000003E-2</v>
      </c>
      <c r="M183" s="429">
        <f t="shared" si="55"/>
        <v>3.2280000000000003E-2</v>
      </c>
      <c r="N183" s="429">
        <f t="shared" si="55"/>
        <v>3.2640000000000002E-2</v>
      </c>
      <c r="O183" s="429">
        <f t="shared" si="55"/>
        <v>3.4610000000000002E-2</v>
      </c>
      <c r="P183" s="429">
        <f t="shared" si="55"/>
        <v>3.6170000000000001E-2</v>
      </c>
      <c r="Q183" s="429">
        <f t="shared" si="55"/>
        <v>3.773E-2</v>
      </c>
      <c r="R183" s="429">
        <f t="shared" si="55"/>
        <v>3.9149999999999997E-2</v>
      </c>
    </row>
    <row r="184" spans="2:22" x14ac:dyDescent="0.2">
      <c r="B184" s="361"/>
      <c r="C184" s="491"/>
      <c r="D184" s="368">
        <f t="shared" ref="D184:R184" si="56">+D179/(1+D183)^D180</f>
        <v>0</v>
      </c>
      <c r="E184" s="368">
        <f t="shared" si="56"/>
        <v>0</v>
      </c>
      <c r="F184" s="368">
        <f t="shared" si="56"/>
        <v>0</v>
      </c>
      <c r="G184" s="368">
        <f t="shared" si="56"/>
        <v>0</v>
      </c>
      <c r="H184" s="368">
        <f t="shared" si="56"/>
        <v>0</v>
      </c>
      <c r="I184" s="368">
        <f t="shared" si="56"/>
        <v>0</v>
      </c>
      <c r="J184" s="368">
        <f t="shared" si="56"/>
        <v>0</v>
      </c>
      <c r="K184" s="368">
        <f t="shared" si="56"/>
        <v>0</v>
      </c>
      <c r="L184" s="368">
        <f t="shared" si="56"/>
        <v>0</v>
      </c>
      <c r="M184" s="368">
        <f t="shared" si="56"/>
        <v>0</v>
      </c>
      <c r="N184" s="368">
        <f t="shared" si="56"/>
        <v>8121.7267291615744</v>
      </c>
      <c r="O184" s="368">
        <f t="shared" si="56"/>
        <v>7552.1586143470677</v>
      </c>
      <c r="P184" s="368">
        <f t="shared" si="56"/>
        <v>6991.6695588293478</v>
      </c>
      <c r="Q184" s="368">
        <f t="shared" si="56"/>
        <v>6442.8061547735615</v>
      </c>
      <c r="R184" s="368">
        <f t="shared" si="56"/>
        <v>5912.127507184664</v>
      </c>
    </row>
    <row r="185" spans="2:22" x14ac:dyDescent="0.2">
      <c r="B185" s="361"/>
      <c r="C185" s="491"/>
      <c r="D185" s="369"/>
      <c r="E185" s="369"/>
      <c r="F185" s="361"/>
      <c r="G185" s="361"/>
      <c r="H185" s="361"/>
      <c r="I185" s="361"/>
      <c r="J185" s="361"/>
      <c r="K185" s="361"/>
      <c r="L185" s="361"/>
      <c r="M185" s="361"/>
      <c r="N185" s="361"/>
      <c r="O185" s="361"/>
      <c r="P185" s="361"/>
      <c r="Q185" s="361"/>
      <c r="R185" s="361"/>
    </row>
    <row r="186" spans="2:22" x14ac:dyDescent="0.2">
      <c r="B186" s="495" t="s">
        <v>650</v>
      </c>
      <c r="C186" s="501">
        <f>+SUM(D184:R184)</f>
        <v>35020.488564296211</v>
      </c>
      <c r="D186" s="494"/>
      <c r="E186" s="488"/>
      <c r="F186" s="361"/>
      <c r="G186" s="488"/>
      <c r="H186" s="361"/>
      <c r="I186" s="363"/>
      <c r="J186" s="361"/>
      <c r="K186" s="361"/>
      <c r="L186" s="361"/>
      <c r="M186" s="361"/>
      <c r="N186" s="361"/>
      <c r="O186" s="361"/>
      <c r="P186" s="361"/>
      <c r="Q186" s="361"/>
      <c r="R186" s="361"/>
    </row>
    <row r="188" spans="2:22" x14ac:dyDescent="0.2">
      <c r="B188" s="535" t="s">
        <v>2355</v>
      </c>
      <c r="C188" s="536" t="s">
        <v>2356</v>
      </c>
      <c r="D188" s="537"/>
      <c r="E188" s="537"/>
      <c r="F188" s="537"/>
      <c r="G188" s="537"/>
      <c r="H188" s="537"/>
      <c r="J188" s="13"/>
      <c r="K188" s="13"/>
      <c r="L188" s="13"/>
      <c r="M188" s="13"/>
      <c r="N188" s="13"/>
      <c r="O188" s="13"/>
      <c r="P188" s="13"/>
      <c r="Q188" s="13"/>
      <c r="R188" s="13"/>
      <c r="S188" s="13"/>
      <c r="T188" s="13"/>
      <c r="U188" s="13"/>
      <c r="V188" s="13"/>
    </row>
    <row r="189" spans="2:22" ht="15.75" x14ac:dyDescent="0.25">
      <c r="B189" s="537"/>
      <c r="C189" s="538" t="s">
        <v>103</v>
      </c>
      <c r="D189" s="539">
        <f>'Courbe des taux'!F1</f>
        <v>46107</v>
      </c>
      <c r="E189" s="537"/>
      <c r="F189" s="537"/>
      <c r="G189" s="537"/>
      <c r="H189" s="537"/>
      <c r="J189" s="13"/>
      <c r="K189" s="13"/>
      <c r="L189" s="13"/>
      <c r="M189" s="13"/>
      <c r="N189" s="13"/>
      <c r="O189" s="13"/>
      <c r="P189" s="13"/>
      <c r="Q189" s="13"/>
      <c r="R189" s="13"/>
      <c r="S189" s="13"/>
      <c r="T189" s="13"/>
      <c r="U189" s="13"/>
      <c r="V189" s="13"/>
    </row>
    <row r="190" spans="2:22" x14ac:dyDescent="0.2">
      <c r="B190" s="540">
        <v>9345</v>
      </c>
      <c r="C190" s="541" t="s">
        <v>105</v>
      </c>
      <c r="D190" s="542">
        <v>3.0200000000000001E-2</v>
      </c>
      <c r="E190" s="542"/>
      <c r="F190" s="537"/>
      <c r="G190" s="539"/>
      <c r="H190" s="537"/>
      <c r="J190" s="13"/>
      <c r="K190" s="13"/>
      <c r="L190" s="13"/>
      <c r="M190" s="13"/>
      <c r="N190" s="13"/>
      <c r="O190" s="13"/>
      <c r="P190" s="13"/>
      <c r="Q190" s="13"/>
      <c r="R190" s="13"/>
      <c r="S190" s="13"/>
      <c r="T190" s="13"/>
      <c r="U190" s="13"/>
      <c r="V190" s="13"/>
    </row>
    <row r="191" spans="2:22" x14ac:dyDescent="0.2">
      <c r="B191" s="537"/>
      <c r="C191" s="543">
        <v>43039</v>
      </c>
      <c r="D191" s="543">
        <v>43404</v>
      </c>
      <c r="E191" s="544">
        <f>D191-D189</f>
        <v>-2703</v>
      </c>
      <c r="F191" s="537"/>
      <c r="G191" s="539"/>
      <c r="H191" s="545"/>
      <c r="J191" s="13"/>
      <c r="K191" s="13"/>
      <c r="L191" s="13"/>
      <c r="M191" s="13"/>
      <c r="N191" s="13"/>
      <c r="O191" s="13"/>
      <c r="P191" s="13"/>
      <c r="Q191" s="13"/>
      <c r="R191" s="13"/>
      <c r="S191" s="13"/>
      <c r="T191" s="13"/>
      <c r="U191" s="13"/>
      <c r="V191" s="13"/>
    </row>
    <row r="192" spans="2:22" x14ac:dyDescent="0.2">
      <c r="B192" s="537" t="s">
        <v>1318</v>
      </c>
      <c r="C192" s="546"/>
      <c r="D192" s="547">
        <v>100000</v>
      </c>
      <c r="E192" s="548">
        <f>E191/360</f>
        <v>-7.5083333333333337</v>
      </c>
      <c r="F192" s="537"/>
      <c r="G192" s="539"/>
      <c r="H192" s="545"/>
      <c r="J192" s="13"/>
      <c r="K192" s="13"/>
      <c r="L192" s="13"/>
      <c r="M192" s="13"/>
      <c r="N192" s="13"/>
      <c r="O192" s="13"/>
      <c r="P192" s="13"/>
      <c r="Q192" s="13"/>
      <c r="R192" s="13"/>
      <c r="S192" s="13"/>
      <c r="T192" s="13"/>
      <c r="U192" s="13"/>
      <c r="V192" s="13"/>
    </row>
    <row r="193" spans="2:22" x14ac:dyDescent="0.2">
      <c r="B193" s="537" t="s">
        <v>1320</v>
      </c>
      <c r="C193" s="547">
        <v>100000</v>
      </c>
      <c r="D193" s="549">
        <f>C193-D192</f>
        <v>0</v>
      </c>
      <c r="E193" s="549"/>
      <c r="F193" s="537"/>
      <c r="G193" s="539"/>
      <c r="H193" s="545"/>
      <c r="J193" s="13"/>
      <c r="K193" s="13"/>
      <c r="L193" s="13"/>
      <c r="M193" s="13"/>
      <c r="N193" s="13"/>
      <c r="O193" s="13"/>
      <c r="P193" s="13"/>
      <c r="Q193" s="13"/>
      <c r="R193" s="13"/>
      <c r="S193" s="13"/>
      <c r="T193" s="13"/>
      <c r="U193" s="13"/>
      <c r="V193" s="13"/>
    </row>
    <row r="194" spans="2:22" x14ac:dyDescent="0.2">
      <c r="B194" s="537" t="s">
        <v>1321</v>
      </c>
      <c r="C194" s="546"/>
      <c r="D194" s="550">
        <f>$D$190*C193*(D191-C191)/360</f>
        <v>3061.9444444444443</v>
      </c>
      <c r="E194" s="550"/>
      <c r="F194" s="537"/>
      <c r="G194" s="539"/>
      <c r="H194" s="545"/>
      <c r="J194" s="13"/>
      <c r="K194" s="13"/>
      <c r="L194" s="13"/>
      <c r="M194" s="13"/>
      <c r="N194" s="13"/>
      <c r="O194" s="13"/>
      <c r="P194" s="13"/>
      <c r="Q194" s="13"/>
      <c r="R194" s="13"/>
      <c r="S194" s="13"/>
      <c r="T194" s="13"/>
      <c r="U194" s="13"/>
      <c r="V194" s="13"/>
    </row>
    <row r="195" spans="2:22" x14ac:dyDescent="0.2">
      <c r="B195" s="537" t="s">
        <v>1322</v>
      </c>
      <c r="C195" s="546"/>
      <c r="D195" s="550">
        <f>+D194+C193</f>
        <v>103061.94444444444</v>
      </c>
      <c r="E195" s="550"/>
      <c r="F195" s="537"/>
      <c r="G195" s="539"/>
      <c r="H195" s="545"/>
      <c r="J195" s="13"/>
      <c r="K195" s="13"/>
      <c r="L195" s="13"/>
      <c r="M195" s="13"/>
      <c r="N195" s="13"/>
      <c r="O195" s="13"/>
      <c r="P195" s="13"/>
      <c r="Q195" s="13"/>
      <c r="R195" s="13"/>
      <c r="S195" s="13"/>
      <c r="T195" s="13"/>
      <c r="U195" s="13"/>
      <c r="V195" s="13"/>
    </row>
    <row r="196" spans="2:22" x14ac:dyDescent="0.2">
      <c r="B196" s="537" t="s">
        <v>1323</v>
      </c>
      <c r="C196" s="547"/>
      <c r="D196" s="550">
        <f>+IF(D191&gt;$D$189,D195,0)</f>
        <v>0</v>
      </c>
      <c r="E196" s="550"/>
      <c r="F196" s="537"/>
      <c r="G196" s="539"/>
      <c r="H196" s="545"/>
      <c r="J196" s="13"/>
      <c r="K196" s="13"/>
      <c r="L196" s="13"/>
      <c r="M196" s="13"/>
      <c r="N196" s="13"/>
      <c r="O196" s="13"/>
      <c r="P196" s="13"/>
      <c r="Q196" s="13"/>
      <c r="R196" s="13"/>
      <c r="S196" s="13"/>
      <c r="T196" s="13"/>
      <c r="U196" s="13"/>
      <c r="V196" s="13"/>
    </row>
    <row r="197" spans="2:22" x14ac:dyDescent="0.2">
      <c r="B197" s="537" t="s">
        <v>1324</v>
      </c>
      <c r="C197" s="551"/>
      <c r="D197" s="552">
        <f>+IF(C196=0,(D191-$D$189)/(D191-C191),C197+1)</f>
        <v>-7.4054794520547942</v>
      </c>
      <c r="E197" s="552">
        <f>+IF(C196=0,(D191-$D$189)/360,D197+1)</f>
        <v>-7.5083333333333337</v>
      </c>
      <c r="F197" s="537"/>
      <c r="G197" s="539"/>
      <c r="H197" s="545"/>
      <c r="J197" s="13"/>
      <c r="K197" s="13"/>
      <c r="L197" s="13"/>
      <c r="M197" s="13"/>
      <c r="N197" s="13"/>
      <c r="O197" s="13"/>
      <c r="P197" s="13"/>
      <c r="Q197" s="13"/>
      <c r="R197" s="13"/>
      <c r="S197" s="13"/>
      <c r="T197" s="13"/>
      <c r="U197" s="13"/>
      <c r="V197" s="13"/>
    </row>
    <row r="198" spans="2:22" x14ac:dyDescent="0.2">
      <c r="B198" s="553" t="s">
        <v>1325</v>
      </c>
      <c r="C198" s="546"/>
      <c r="D198" s="554">
        <f>IF(D197&lt;1,interpoler(mat_court,taux_court_act,D197*(D191-C191)),interpoler(mat,taux,D197))</f>
        <v>2.3281430422376737E-2</v>
      </c>
      <c r="E198" s="555"/>
      <c r="F198" s="537"/>
      <c r="G198" s="539"/>
      <c r="H198" s="545"/>
      <c r="J198" s="13"/>
      <c r="K198" s="13"/>
      <c r="L198" s="13"/>
      <c r="M198" s="13"/>
      <c r="N198" s="13"/>
      <c r="O198" s="13"/>
      <c r="P198" s="13"/>
      <c r="Q198" s="13"/>
      <c r="R198" s="13"/>
      <c r="S198" s="13"/>
      <c r="T198" s="13"/>
      <c r="U198" s="13"/>
      <c r="V198" s="13"/>
    </row>
    <row r="199" spans="2:22" x14ac:dyDescent="0.2">
      <c r="B199" s="537" t="s">
        <v>1328</v>
      </c>
      <c r="C199" s="546"/>
      <c r="D199" s="542">
        <v>7.1999999999999998E-3</v>
      </c>
      <c r="E199" s="542"/>
      <c r="F199" s="537"/>
      <c r="G199" s="539"/>
      <c r="H199" s="537"/>
      <c r="J199" s="13"/>
      <c r="K199" s="13"/>
      <c r="L199" s="13"/>
      <c r="M199" s="13"/>
      <c r="N199" s="13"/>
      <c r="O199" s="13"/>
      <c r="P199" s="13"/>
      <c r="Q199" s="13"/>
      <c r="R199" s="13"/>
      <c r="S199" s="13"/>
      <c r="T199" s="13"/>
      <c r="U199" s="13"/>
      <c r="V199" s="13"/>
    </row>
    <row r="200" spans="2:22" x14ac:dyDescent="0.2">
      <c r="B200" s="537" t="s">
        <v>1329</v>
      </c>
      <c r="C200" s="546"/>
      <c r="D200" s="556">
        <f>+ROUND(D198+D199,5)</f>
        <v>3.048E-2</v>
      </c>
      <c r="E200" s="557"/>
      <c r="F200" s="537"/>
      <c r="G200" s="539"/>
      <c r="H200" s="537"/>
      <c r="J200" s="13"/>
      <c r="K200" s="13"/>
      <c r="L200" s="13"/>
      <c r="M200" s="13"/>
      <c r="N200" s="13"/>
      <c r="O200" s="13"/>
      <c r="P200" s="13"/>
      <c r="Q200" s="13"/>
      <c r="R200" s="13"/>
      <c r="S200" s="13"/>
      <c r="T200" s="13"/>
      <c r="U200" s="13"/>
      <c r="V200" s="13"/>
    </row>
    <row r="201" spans="2:22" x14ac:dyDescent="0.2">
      <c r="B201" s="537"/>
      <c r="C201" s="546"/>
      <c r="D201" s="558">
        <f>+D196/(1+D200)^D197</f>
        <v>0</v>
      </c>
      <c r="E201" s="558">
        <f>+D196/(1+D200)^E197</f>
        <v>0</v>
      </c>
      <c r="F201" s="537"/>
      <c r="G201" s="539"/>
      <c r="H201" s="537"/>
      <c r="J201" s="13"/>
      <c r="K201" s="13"/>
      <c r="L201" s="13"/>
      <c r="M201" s="13"/>
      <c r="N201" s="13"/>
      <c r="O201" s="13"/>
      <c r="P201" s="13"/>
      <c r="Q201" s="13"/>
      <c r="R201" s="13"/>
      <c r="S201" s="13"/>
      <c r="T201" s="13"/>
      <c r="U201" s="13"/>
      <c r="V201" s="13"/>
    </row>
    <row r="202" spans="2:22" x14ac:dyDescent="0.2">
      <c r="B202" s="546"/>
      <c r="C202" s="546"/>
      <c r="D202" s="549"/>
      <c r="E202" s="558">
        <f>+D196/(1+Lignes_détenues!D67)^E197</f>
        <v>0</v>
      </c>
      <c r="F202" s="537"/>
      <c r="G202" s="539"/>
      <c r="H202" s="537"/>
      <c r="J202" s="13"/>
      <c r="K202" s="13"/>
      <c r="L202" s="13"/>
      <c r="M202" s="13"/>
      <c r="N202" s="13"/>
      <c r="O202" s="13"/>
      <c r="P202" s="13"/>
      <c r="Q202" s="13"/>
      <c r="R202" s="13"/>
      <c r="S202" s="13"/>
      <c r="T202" s="13"/>
      <c r="U202" s="13"/>
      <c r="V202" s="13"/>
    </row>
    <row r="203" spans="2:22" x14ac:dyDescent="0.2">
      <c r="B203" s="540" t="s">
        <v>650</v>
      </c>
      <c r="C203" s="559">
        <f>+SUM(D201)</f>
        <v>0</v>
      </c>
      <c r="D203" s="560"/>
      <c r="E203" s="558">
        <f>D201-E201</f>
        <v>0</v>
      </c>
      <c r="F203" s="537"/>
      <c r="G203" s="542"/>
      <c r="H203" s="537"/>
      <c r="J203" s="13"/>
      <c r="K203" s="13"/>
      <c r="L203" s="13"/>
      <c r="M203" s="13"/>
      <c r="N203" s="13"/>
      <c r="O203" s="13"/>
      <c r="P203" s="13"/>
      <c r="Q203" s="13"/>
      <c r="R203" s="13"/>
      <c r="S203" s="13"/>
      <c r="T203" s="13"/>
      <c r="U203" s="13"/>
      <c r="V203" s="13"/>
    </row>
    <row r="204" spans="2:22" x14ac:dyDescent="0.2">
      <c r="J204" s="13"/>
      <c r="K204" s="13"/>
      <c r="L204" s="13"/>
      <c r="M204" s="13"/>
      <c r="N204" s="13"/>
      <c r="O204" s="13"/>
      <c r="P204" s="13"/>
      <c r="Q204" s="13"/>
      <c r="R204" s="13"/>
      <c r="S204" s="13"/>
      <c r="T204" s="13"/>
      <c r="U204" s="13"/>
      <c r="V204" s="13"/>
    </row>
    <row r="205" spans="2:22" x14ac:dyDescent="0.2">
      <c r="C205" s="280" t="s">
        <v>2333</v>
      </c>
      <c r="J205" s="13"/>
      <c r="K205" s="13"/>
      <c r="L205" s="13"/>
      <c r="M205" s="13"/>
      <c r="N205" s="13"/>
      <c r="O205" s="13"/>
      <c r="P205" s="13"/>
      <c r="Q205" s="13"/>
      <c r="R205" s="13"/>
      <c r="S205" s="13"/>
      <c r="T205" s="13"/>
      <c r="U205" s="13"/>
      <c r="V205" s="13"/>
    </row>
    <row r="206" spans="2:22" ht="15.75" x14ac:dyDescent="0.25">
      <c r="B206" s="361"/>
      <c r="C206" s="362" t="s">
        <v>103</v>
      </c>
      <c r="D206" s="363">
        <f>'Courbe des taux'!F1</f>
        <v>46107</v>
      </c>
      <c r="E206" s="361"/>
      <c r="F206" s="361"/>
      <c r="G206" s="361"/>
      <c r="H206" s="361">
        <v>100000</v>
      </c>
      <c r="K206" s="7"/>
      <c r="L206" s="8"/>
      <c r="O206" s="505"/>
      <c r="P206" s="505"/>
      <c r="Q206" s="505"/>
    </row>
    <row r="207" spans="2:22" x14ac:dyDescent="0.2">
      <c r="B207" s="495">
        <v>9223</v>
      </c>
      <c r="C207" s="364" t="s">
        <v>105</v>
      </c>
      <c r="D207" s="365">
        <v>3.1800000000000002E-2</v>
      </c>
      <c r="E207" s="365"/>
      <c r="F207" s="361"/>
      <c r="G207" s="363">
        <v>41862</v>
      </c>
      <c r="H207" s="361"/>
      <c r="J207" s="757">
        <v>1.6659080622459899E-2</v>
      </c>
      <c r="K207" s="753"/>
      <c r="L207" s="13"/>
      <c r="M207" s="13"/>
      <c r="O207" s="505"/>
      <c r="P207" s="505"/>
      <c r="Q207" s="505"/>
    </row>
    <row r="208" spans="2:22" x14ac:dyDescent="0.2">
      <c r="B208" s="361"/>
      <c r="C208" s="366">
        <v>44419</v>
      </c>
      <c r="D208" s="366">
        <v>44784</v>
      </c>
      <c r="E208" s="496">
        <f>D208-D206</f>
        <v>-1323</v>
      </c>
      <c r="F208" s="361"/>
      <c r="G208" s="363">
        <v>42227</v>
      </c>
      <c r="H208" s="488">
        <f>$H$206/8</f>
        <v>12500</v>
      </c>
      <c r="J208" s="753">
        <f>J207+1.6%</f>
        <v>3.2659080622459896E-2</v>
      </c>
      <c r="K208" s="755"/>
      <c r="L208" s="503"/>
      <c r="M208" s="504"/>
      <c r="O208" s="505"/>
      <c r="P208" s="505"/>
      <c r="Q208" s="505"/>
    </row>
    <row r="209" spans="2:17" x14ac:dyDescent="0.2">
      <c r="B209" s="361" t="s">
        <v>1318</v>
      </c>
      <c r="C209" s="367"/>
      <c r="D209" s="368">
        <v>12500</v>
      </c>
      <c r="E209" s="497">
        <f>E208/360</f>
        <v>-3.6749999999999998</v>
      </c>
      <c r="F209" s="361"/>
      <c r="G209" s="363">
        <v>42593</v>
      </c>
      <c r="H209" s="488">
        <f t="shared" ref="H209:H215" si="57">$H$206/8</f>
        <v>12500</v>
      </c>
      <c r="J209" s="754"/>
      <c r="K209" s="753"/>
      <c r="L209" s="506"/>
      <c r="M209" s="507"/>
      <c r="O209" s="505"/>
      <c r="P209" s="505"/>
      <c r="Q209" s="505"/>
    </row>
    <row r="210" spans="2:17" x14ac:dyDescent="0.2">
      <c r="B210" s="361" t="s">
        <v>1320</v>
      </c>
      <c r="C210" s="368">
        <f>SUM(H215)</f>
        <v>12500</v>
      </c>
      <c r="D210" s="488">
        <f>C210-D209</f>
        <v>0</v>
      </c>
      <c r="E210" s="369"/>
      <c r="F210" s="361"/>
      <c r="G210" s="363">
        <v>42958</v>
      </c>
      <c r="H210" s="488">
        <f t="shared" si="57"/>
        <v>12500</v>
      </c>
      <c r="J210" s="754"/>
      <c r="K210" s="756"/>
      <c r="L210" s="23"/>
      <c r="M210" s="23"/>
      <c r="O210" s="505"/>
      <c r="P210" s="505"/>
      <c r="Q210" s="505"/>
    </row>
    <row r="211" spans="2:17" x14ac:dyDescent="0.2">
      <c r="B211" s="361" t="s">
        <v>1321</v>
      </c>
      <c r="C211" s="367"/>
      <c r="D211" s="370">
        <f>$D$207*C210*(D208-C208)/360</f>
        <v>403.02083333333331</v>
      </c>
      <c r="E211" s="370"/>
      <c r="F211" s="361"/>
      <c r="G211" s="363">
        <v>43323</v>
      </c>
      <c r="H211" s="488">
        <f t="shared" si="57"/>
        <v>12500</v>
      </c>
      <c r="J211" s="754"/>
      <c r="K211" s="753"/>
      <c r="L211" s="25"/>
      <c r="M211" s="25"/>
      <c r="O211" s="505"/>
      <c r="P211" s="505"/>
      <c r="Q211" s="505"/>
    </row>
    <row r="212" spans="2:17" x14ac:dyDescent="0.2">
      <c r="B212" s="361" t="s">
        <v>1322</v>
      </c>
      <c r="C212" s="367"/>
      <c r="D212" s="370">
        <f>+D211+C210</f>
        <v>12903.020833333334</v>
      </c>
      <c r="E212" s="370"/>
      <c r="F212" s="361"/>
      <c r="G212" s="363">
        <v>43688</v>
      </c>
      <c r="H212" s="488">
        <f t="shared" si="57"/>
        <v>12500</v>
      </c>
      <c r="K212" s="505"/>
      <c r="L212" s="25"/>
      <c r="M212" s="25"/>
      <c r="O212" s="505"/>
      <c r="P212" s="505"/>
      <c r="Q212" s="505"/>
    </row>
    <row r="213" spans="2:17" x14ac:dyDescent="0.2">
      <c r="B213" s="361" t="s">
        <v>1323</v>
      </c>
      <c r="C213" s="368"/>
      <c r="D213" s="370">
        <f>+IF(D208&gt;$D$189,D212,0)</f>
        <v>0</v>
      </c>
      <c r="E213" s="370"/>
      <c r="F213" s="361"/>
      <c r="G213" s="363">
        <v>44054</v>
      </c>
      <c r="H213" s="488">
        <f t="shared" si="57"/>
        <v>12500</v>
      </c>
      <c r="K213" s="506"/>
      <c r="L213" s="25"/>
      <c r="M213" s="25"/>
      <c r="O213" s="505"/>
      <c r="P213" s="505"/>
      <c r="Q213" s="505"/>
    </row>
    <row r="214" spans="2:17" x14ac:dyDescent="0.2">
      <c r="B214" s="361" t="s">
        <v>1324</v>
      </c>
      <c r="C214" s="371"/>
      <c r="D214" s="498">
        <f>+IF(C213=0,(D208-$D$206)/(D208-C208),C214+1)</f>
        <v>-3.6246575342465754</v>
      </c>
      <c r="E214" s="498">
        <f>+IF(C213=0,(D208-$D$206)/360,D214+1)</f>
        <v>-3.6749999999999998</v>
      </c>
      <c r="F214" s="361"/>
      <c r="G214" s="363">
        <v>44419</v>
      </c>
      <c r="H214" s="488">
        <f t="shared" si="57"/>
        <v>12500</v>
      </c>
      <c r="K214" s="508"/>
      <c r="L214" s="509"/>
      <c r="M214" s="425"/>
      <c r="O214" s="505"/>
      <c r="P214" s="505"/>
      <c r="Q214" s="505"/>
    </row>
    <row r="215" spans="2:17" x14ac:dyDescent="0.2">
      <c r="B215" s="372" t="s">
        <v>1325</v>
      </c>
      <c r="C215" s="367"/>
      <c r="D215" s="439">
        <f>IF(D214&lt;1,interpoler(_mat1,taux1,D214*(D208-C208)),interpoler(mat,taux,D214))</f>
        <v>2.2700000000000001E-2</v>
      </c>
      <c r="E215" s="373"/>
      <c r="F215" s="361"/>
      <c r="G215" s="363">
        <v>44784</v>
      </c>
      <c r="H215" s="488">
        <f t="shared" si="57"/>
        <v>12500</v>
      </c>
      <c r="J215" s="29"/>
      <c r="K215" s="505"/>
      <c r="L215" s="510"/>
      <c r="M215" s="511"/>
      <c r="O215" s="505"/>
      <c r="P215" s="505"/>
      <c r="Q215" s="505"/>
    </row>
    <row r="216" spans="2:17" x14ac:dyDescent="0.2">
      <c r="B216" s="361" t="s">
        <v>1328</v>
      </c>
      <c r="C216" s="367"/>
      <c r="D216" s="365">
        <v>1.6E-2</v>
      </c>
      <c r="E216" s="365"/>
      <c r="F216" s="361"/>
      <c r="G216" s="363"/>
      <c r="H216" s="361"/>
      <c r="K216" s="505"/>
      <c r="L216" s="13"/>
      <c r="M216" s="13"/>
      <c r="O216" s="505"/>
      <c r="P216" s="505"/>
      <c r="Q216" s="505"/>
    </row>
    <row r="217" spans="2:17" x14ac:dyDescent="0.2">
      <c r="B217" s="361" t="s">
        <v>1329</v>
      </c>
      <c r="C217" s="367"/>
      <c r="D217" s="440">
        <f>+ROUND(D215+D216,5)</f>
        <v>3.8699999999999998E-2</v>
      </c>
      <c r="E217" s="429"/>
      <c r="F217" s="361"/>
      <c r="G217" s="363"/>
      <c r="H217" s="361"/>
      <c r="K217" s="505"/>
      <c r="L217" s="102"/>
      <c r="M217" s="58"/>
      <c r="O217" s="505"/>
      <c r="P217" s="505"/>
      <c r="Q217" s="505"/>
    </row>
    <row r="218" spans="2:17" x14ac:dyDescent="0.2">
      <c r="B218" s="361"/>
      <c r="C218" s="367"/>
      <c r="D218" s="430">
        <f>+D213/(1+D217)^D214</f>
        <v>0</v>
      </c>
      <c r="E218" s="430">
        <f>+D213/(1+D217*E214)</f>
        <v>0</v>
      </c>
      <c r="F218" s="361"/>
      <c r="G218" s="363"/>
      <c r="H218" s="361"/>
      <c r="K218" s="505"/>
      <c r="L218" s="512"/>
      <c r="M218" s="513"/>
      <c r="O218" s="505"/>
      <c r="P218" s="505"/>
      <c r="Q218" s="505"/>
    </row>
    <row r="219" spans="2:17" x14ac:dyDescent="0.2">
      <c r="B219" s="367"/>
      <c r="C219" s="367"/>
      <c r="D219" s="369">
        <f>D212/(1+D217*(D208-D206)/360)</f>
        <v>15042.386671757344</v>
      </c>
      <c r="E219" s="430"/>
      <c r="F219" s="361"/>
      <c r="G219" s="363"/>
      <c r="H219" s="361"/>
      <c r="J219" s="505"/>
      <c r="K219" s="505"/>
      <c r="L219" s="23"/>
      <c r="M219" s="513"/>
      <c r="O219" s="505"/>
      <c r="P219" s="505"/>
      <c r="Q219" s="505"/>
    </row>
    <row r="220" spans="2:17" x14ac:dyDescent="0.2">
      <c r="B220" s="495" t="s">
        <v>650</v>
      </c>
      <c r="C220" s="501">
        <f>D219</f>
        <v>15042.386671757344</v>
      </c>
      <c r="D220" s="500"/>
      <c r="E220" s="430"/>
      <c r="F220" s="361"/>
      <c r="G220" s="365"/>
      <c r="H220" s="361"/>
      <c r="J220" s="502"/>
      <c r="K220" s="514"/>
      <c r="L220" s="515"/>
      <c r="M220" s="513"/>
      <c r="O220" s="505"/>
      <c r="P220" s="505"/>
      <c r="Q220" s="505"/>
    </row>
    <row r="221" spans="2:17" x14ac:dyDescent="0.2">
      <c r="D221" s="8">
        <v>44193</v>
      </c>
      <c r="E221" s="280">
        <f>D208-D221</f>
        <v>591</v>
      </c>
      <c r="F221" s="58">
        <f>3.098%-D216</f>
        <v>1.4979999999999997E-2</v>
      </c>
      <c r="G221" s="58">
        <f>interpoler('Courbe des taux'!A49:A50,'Courbe des taux'!B49:B50,226)</f>
        <v>2.46E-2</v>
      </c>
      <c r="O221" s="505"/>
      <c r="P221" s="505"/>
      <c r="Q221" s="505"/>
    </row>
    <row r="222" spans="2:17" x14ac:dyDescent="0.2">
      <c r="E222" s="96"/>
    </row>
    <row r="223" spans="2:17" x14ac:dyDescent="0.2">
      <c r="G223" s="13"/>
    </row>
    <row r="224" spans="2:17" ht="15.75" x14ac:dyDescent="0.25">
      <c r="C224" s="7" t="s">
        <v>103</v>
      </c>
      <c r="D224" s="8">
        <f>'Courbe des taux'!F1</f>
        <v>46107</v>
      </c>
      <c r="E224" s="280">
        <f>100000/15</f>
        <v>6666.666666666667</v>
      </c>
    </row>
    <row r="225" spans="2:19" x14ac:dyDescent="0.2">
      <c r="B225" s="495">
        <v>9351</v>
      </c>
      <c r="C225" s="404" t="s">
        <v>105</v>
      </c>
      <c r="D225" s="58">
        <v>3.9300000000000002E-2</v>
      </c>
      <c r="E225" s="13"/>
    </row>
    <row r="226" spans="2:19" x14ac:dyDescent="0.2">
      <c r="C226" s="405">
        <v>43075</v>
      </c>
      <c r="D226" s="405">
        <v>43440</v>
      </c>
      <c r="E226" s="405">
        <v>43805</v>
      </c>
      <c r="F226" s="405">
        <v>44171</v>
      </c>
      <c r="G226" s="405">
        <v>44536</v>
      </c>
      <c r="H226" s="405">
        <v>44901</v>
      </c>
      <c r="I226" s="405">
        <v>45266</v>
      </c>
      <c r="J226" s="405">
        <v>45632</v>
      </c>
      <c r="K226" s="405">
        <v>45997</v>
      </c>
      <c r="L226" s="405">
        <v>46362</v>
      </c>
      <c r="M226" s="405">
        <v>46727</v>
      </c>
      <c r="N226" s="405">
        <v>47093</v>
      </c>
      <c r="O226" s="405">
        <v>47458</v>
      </c>
      <c r="P226" s="405">
        <v>47823</v>
      </c>
      <c r="Q226" s="405">
        <v>48188</v>
      </c>
      <c r="R226" s="405">
        <v>48554</v>
      </c>
    </row>
    <row r="227" spans="2:19" x14ac:dyDescent="0.2">
      <c r="B227" t="s">
        <v>1318</v>
      </c>
      <c r="C227" s="406"/>
      <c r="D227" s="21">
        <f t="shared" ref="D227:R227" si="58">ROUND(100000/15,2)</f>
        <v>6666.67</v>
      </c>
      <c r="E227" s="21">
        <f t="shared" si="58"/>
        <v>6666.67</v>
      </c>
      <c r="F227" s="21">
        <f t="shared" si="58"/>
        <v>6666.67</v>
      </c>
      <c r="G227" s="21">
        <f t="shared" si="58"/>
        <v>6666.67</v>
      </c>
      <c r="H227" s="21">
        <f t="shared" si="58"/>
        <v>6666.67</v>
      </c>
      <c r="I227" s="21">
        <f t="shared" si="58"/>
        <v>6666.67</v>
      </c>
      <c r="J227" s="21">
        <f t="shared" si="58"/>
        <v>6666.67</v>
      </c>
      <c r="K227" s="21">
        <f t="shared" si="58"/>
        <v>6666.67</v>
      </c>
      <c r="L227" s="21">
        <f t="shared" si="58"/>
        <v>6666.67</v>
      </c>
      <c r="M227" s="21">
        <f t="shared" si="58"/>
        <v>6666.67</v>
      </c>
      <c r="N227" s="21">
        <f t="shared" si="58"/>
        <v>6666.67</v>
      </c>
      <c r="O227" s="21">
        <f t="shared" si="58"/>
        <v>6666.67</v>
      </c>
      <c r="P227" s="21">
        <f t="shared" si="58"/>
        <v>6666.67</v>
      </c>
      <c r="Q227" s="21">
        <f t="shared" si="58"/>
        <v>6666.67</v>
      </c>
      <c r="R227" s="21">
        <f t="shared" si="58"/>
        <v>6666.67</v>
      </c>
    </row>
    <row r="228" spans="2:19" x14ac:dyDescent="0.2">
      <c r="B228" t="s">
        <v>1320</v>
      </c>
      <c r="C228" s="21">
        <v>100000</v>
      </c>
      <c r="D228" s="23">
        <f t="shared" ref="D228:R228" si="59">+C228-D227</f>
        <v>93333.33</v>
      </c>
      <c r="E228" s="23">
        <f t="shared" si="59"/>
        <v>86666.66</v>
      </c>
      <c r="F228" s="23">
        <f t="shared" si="59"/>
        <v>79999.990000000005</v>
      </c>
      <c r="G228" s="23">
        <f t="shared" si="59"/>
        <v>73333.320000000007</v>
      </c>
      <c r="H228" s="23">
        <f t="shared" si="59"/>
        <v>66666.650000000009</v>
      </c>
      <c r="I228" s="23">
        <f t="shared" si="59"/>
        <v>59999.98000000001</v>
      </c>
      <c r="J228" s="23">
        <f t="shared" si="59"/>
        <v>53333.310000000012</v>
      </c>
      <c r="K228" s="23">
        <f t="shared" si="59"/>
        <v>46666.640000000014</v>
      </c>
      <c r="L228" s="23">
        <f t="shared" si="59"/>
        <v>39999.970000000016</v>
      </c>
      <c r="M228" s="23">
        <f t="shared" si="59"/>
        <v>33333.300000000017</v>
      </c>
      <c r="N228" s="23">
        <f t="shared" si="59"/>
        <v>26666.630000000019</v>
      </c>
      <c r="O228" s="23">
        <f t="shared" si="59"/>
        <v>19999.960000000021</v>
      </c>
      <c r="P228" s="23">
        <f>+O228-P227</f>
        <v>13333.290000000021</v>
      </c>
      <c r="Q228" s="23">
        <f t="shared" si="59"/>
        <v>6666.6200000000208</v>
      </c>
      <c r="R228" s="280">
        <f t="shared" si="59"/>
        <v>-4.9999999979263521E-2</v>
      </c>
    </row>
    <row r="229" spans="2:19" x14ac:dyDescent="0.2">
      <c r="B229" t="s">
        <v>1321</v>
      </c>
      <c r="C229" s="406"/>
      <c r="D229" s="25">
        <f>$D$225*C228</f>
        <v>3930</v>
      </c>
      <c r="E229" s="25">
        <f t="shared" ref="E229:P229" si="60">$D$225*D228</f>
        <v>3667.9998690000002</v>
      </c>
      <c r="F229" s="25">
        <f t="shared" si="60"/>
        <v>3405.9997380000004</v>
      </c>
      <c r="G229" s="25">
        <f t="shared" si="60"/>
        <v>3143.9996070000002</v>
      </c>
      <c r="H229" s="25">
        <f t="shared" si="60"/>
        <v>2881.9994760000004</v>
      </c>
      <c r="I229" s="25">
        <f t="shared" si="60"/>
        <v>2619.9993450000006</v>
      </c>
      <c r="J229" s="25">
        <f t="shared" si="60"/>
        <v>2357.9992140000004</v>
      </c>
      <c r="K229" s="25">
        <f t="shared" si="60"/>
        <v>2095.9990830000006</v>
      </c>
      <c r="L229" s="25">
        <f t="shared" si="60"/>
        <v>1833.9989520000006</v>
      </c>
      <c r="M229" s="25">
        <f t="shared" si="60"/>
        <v>1571.9988210000006</v>
      </c>
      <c r="N229" s="25">
        <f t="shared" si="60"/>
        <v>1309.9986900000008</v>
      </c>
      <c r="O229" s="25">
        <f t="shared" si="60"/>
        <v>1047.9985590000008</v>
      </c>
      <c r="P229" s="25">
        <f t="shared" si="60"/>
        <v>785.9984280000009</v>
      </c>
      <c r="Q229" s="25">
        <f>$D$225*P228</f>
        <v>523.99829700000089</v>
      </c>
      <c r="R229" s="25">
        <f>$D$225*Q228</f>
        <v>261.99816600000082</v>
      </c>
    </row>
    <row r="230" spans="2:19" x14ac:dyDescent="0.2">
      <c r="B230" t="s">
        <v>1322</v>
      </c>
      <c r="C230" s="406"/>
      <c r="D230" s="25">
        <f>+D229+D227</f>
        <v>10596.67</v>
      </c>
      <c r="E230" s="25">
        <f t="shared" ref="E230:Q230" si="61">+E229+E227</f>
        <v>10334.669869000001</v>
      </c>
      <c r="F230" s="25">
        <f t="shared" si="61"/>
        <v>10072.669738000001</v>
      </c>
      <c r="G230" s="25">
        <f t="shared" si="61"/>
        <v>9810.6696069999998</v>
      </c>
      <c r="H230" s="25">
        <f t="shared" si="61"/>
        <v>9548.6694760000009</v>
      </c>
      <c r="I230" s="25">
        <f t="shared" si="61"/>
        <v>9286.6693450000002</v>
      </c>
      <c r="J230" s="25">
        <f t="shared" si="61"/>
        <v>9024.6692140000014</v>
      </c>
      <c r="K230" s="25">
        <f t="shared" si="61"/>
        <v>8762.6690830000007</v>
      </c>
      <c r="L230" s="25">
        <f t="shared" si="61"/>
        <v>8500.668952</v>
      </c>
      <c r="M230" s="25">
        <f t="shared" si="61"/>
        <v>8238.6688210000011</v>
      </c>
      <c r="N230" s="25">
        <f t="shared" si="61"/>
        <v>7976.6686900000004</v>
      </c>
      <c r="O230" s="25">
        <f t="shared" si="61"/>
        <v>7714.6685590000006</v>
      </c>
      <c r="P230" s="25">
        <f t="shared" si="61"/>
        <v>7452.6684280000009</v>
      </c>
      <c r="Q230" s="25">
        <f t="shared" si="61"/>
        <v>7190.6682970000011</v>
      </c>
      <c r="R230" s="25">
        <f>+R229+R227</f>
        <v>6928.6681660000013</v>
      </c>
    </row>
    <row r="231" spans="2:19" x14ac:dyDescent="0.2">
      <c r="B231" t="s">
        <v>1323</v>
      </c>
      <c r="C231" s="21"/>
      <c r="D231" s="25">
        <f t="shared" ref="D231:R231" si="62">+IF(D226&gt;$D$47,D230,0)</f>
        <v>0</v>
      </c>
      <c r="E231" s="25">
        <f t="shared" si="62"/>
        <v>0</v>
      </c>
      <c r="F231" s="25">
        <f t="shared" si="62"/>
        <v>0</v>
      </c>
      <c r="G231" s="25">
        <f t="shared" si="62"/>
        <v>0</v>
      </c>
      <c r="H231" s="25">
        <f t="shared" si="62"/>
        <v>0</v>
      </c>
      <c r="I231" s="25">
        <f t="shared" si="62"/>
        <v>0</v>
      </c>
      <c r="J231" s="25">
        <f t="shared" si="62"/>
        <v>0</v>
      </c>
      <c r="K231" s="25">
        <f t="shared" si="62"/>
        <v>0</v>
      </c>
      <c r="L231" s="25">
        <f t="shared" si="62"/>
        <v>8500.668952</v>
      </c>
      <c r="M231" s="25">
        <f t="shared" si="62"/>
        <v>8238.6688210000011</v>
      </c>
      <c r="N231" s="25">
        <f t="shared" si="62"/>
        <v>7976.6686900000004</v>
      </c>
      <c r="O231" s="25">
        <f t="shared" si="62"/>
        <v>7714.6685590000006</v>
      </c>
      <c r="P231" s="25">
        <f t="shared" si="62"/>
        <v>7452.6684280000009</v>
      </c>
      <c r="Q231" s="25">
        <f t="shared" si="62"/>
        <v>7190.6682970000011</v>
      </c>
      <c r="R231" s="25">
        <f t="shared" si="62"/>
        <v>6928.6681660000013</v>
      </c>
    </row>
    <row r="232" spans="2:19" x14ac:dyDescent="0.2">
      <c r="B232" t="s">
        <v>1324</v>
      </c>
      <c r="C232" s="407"/>
      <c r="D232">
        <f>+IF(C231=0,(D226-$D$172)/(D226-C226),C232+1)</f>
        <v>-7.3068493150684928</v>
      </c>
      <c r="E232">
        <f>+IF(D231=0,(E226-$D$154)/(E226-D226),D232+1)</f>
        <v>-6.3068493150684928</v>
      </c>
      <c r="F232">
        <f>+IF(E231=0,(F226-$D$154)/(F226-E226),E232+1)</f>
        <v>-5.2896174863387975</v>
      </c>
      <c r="G232">
        <f>+IF(F231=0,(G226-$D$154)/(G226-F226),F232+1)</f>
        <v>-4.3041095890410963</v>
      </c>
      <c r="H232">
        <f>+IF(G231=0,(H226-$D$154)/(H226-G226),G232+1)</f>
        <v>-3.3041095890410959</v>
      </c>
      <c r="I232" s="381">
        <f t="shared" ref="I232:R232" si="63">ROUND(IF(H231=0,(I226-$D$154)/(I226-H226),H232+1),10)</f>
        <v>-2.3041095889999998</v>
      </c>
      <c r="J232" s="381">
        <f t="shared" si="63"/>
        <v>-1.2978142077000001</v>
      </c>
      <c r="K232" s="381">
        <f t="shared" si="63"/>
        <v>-0.30136986300000002</v>
      </c>
      <c r="L232" s="381">
        <f t="shared" si="63"/>
        <v>0.69863013699999998</v>
      </c>
      <c r="M232" s="381">
        <f t="shared" si="63"/>
        <v>1.6986301370000001</v>
      </c>
      <c r="N232" s="381">
        <f t="shared" si="63"/>
        <v>2.6986301369999999</v>
      </c>
      <c r="O232" s="381">
        <f t="shared" si="63"/>
        <v>3.6986301369999999</v>
      </c>
      <c r="P232" s="381">
        <f t="shared" si="63"/>
        <v>4.6986301370000003</v>
      </c>
      <c r="Q232" s="381">
        <f t="shared" si="63"/>
        <v>5.6986301370000003</v>
      </c>
      <c r="R232" s="381">
        <f t="shared" si="63"/>
        <v>6.6986301370000003</v>
      </c>
    </row>
    <row r="233" spans="2:19" x14ac:dyDescent="0.2">
      <c r="B233" s="29" t="s">
        <v>1325</v>
      </c>
      <c r="C233" s="406"/>
      <c r="D233" s="704" cm="1">
        <f t="array" ref="D233">interpoler(mat_zc,Taux_ZC,D232)</f>
        <v>2.3281430400000001E-2</v>
      </c>
      <c r="E233" s="704" cm="1">
        <f t="array" ref="E233">interpoler(mat_zc,Taux_ZC,E232)</f>
        <v>2.3281430400000001E-2</v>
      </c>
      <c r="F233" s="704" cm="1">
        <f t="array" ref="F233">interpoler(mat_zc,Taux_ZC,F232)</f>
        <v>2.3281430400000001E-2</v>
      </c>
      <c r="G233" s="704" cm="1">
        <f t="array" ref="G233">interpoler(mat_zc,Taux_ZC,G232)</f>
        <v>2.3281430400000001E-2</v>
      </c>
      <c r="H233" s="704" cm="1">
        <f t="array" ref="H233">interpoler(mat_zc,Taux_ZC,H232)</f>
        <v>2.3281430400000001E-2</v>
      </c>
      <c r="I233" s="704" cm="1">
        <f t="array" ref="I233">interpoler(mat_zc,Taux_ZC,I232)</f>
        <v>2.3281430400000001E-2</v>
      </c>
      <c r="J233" s="704" cm="1">
        <f t="array" ref="J233">interpoler(mat_zc,Taux_ZC,J232)</f>
        <v>2.3281430400000001E-2</v>
      </c>
      <c r="K233" s="704" cm="1">
        <f t="array" ref="K233">interpoler(mat_zc,Taux_ZC,K232)</f>
        <v>2.3281430400000001E-2</v>
      </c>
      <c r="L233" s="704" cm="1">
        <f t="array" ref="L233">interpoler(mat_zc,Taux_ZC,L232)</f>
        <v>2.4553758764864809E-2</v>
      </c>
      <c r="M233" s="704" cm="1">
        <f t="array" ref="M233">interpoler(mat_zc,Taux_ZC,M232)</f>
        <v>2.6232368765774783E-2</v>
      </c>
      <c r="N233" s="704" cm="1">
        <f t="array" ref="N233">interpoler(mat_zc,Taux_ZC,N232)</f>
        <v>2.7788498760295273E-2</v>
      </c>
      <c r="O233" s="704" cm="1">
        <f t="array" ref="O233">interpoler(mat_zc,Taux_ZC,O232)</f>
        <v>2.9357383182213356E-2</v>
      </c>
      <c r="P233" s="704" cm="1">
        <f t="array" ref="P233">interpoler(mat_zc,Taux_ZC,P232)</f>
        <v>3.0584552794535303E-2</v>
      </c>
      <c r="Q233" s="704" cm="1">
        <f t="array" ref="Q233">interpoler(mat_zc,Taux_ZC,Q232)</f>
        <v>3.1275328452061976E-2</v>
      </c>
      <c r="R233" s="704" cm="1">
        <f t="array" ref="R233">interpoler(mat_zc,Taux_ZC,R232)</f>
        <v>3.1785299749321969E-2</v>
      </c>
    </row>
    <row r="234" spans="2:19" x14ac:dyDescent="0.2">
      <c r="B234" t="s">
        <v>1328</v>
      </c>
      <c r="C234" s="406"/>
      <c r="D234" s="13">
        <v>7.0000000000000001E-3</v>
      </c>
      <c r="E234" s="13">
        <v>7.0000000000000001E-3</v>
      </c>
      <c r="F234" s="13">
        <v>7.0000000000000001E-3</v>
      </c>
      <c r="G234" s="13">
        <v>7.0000000000000001E-3</v>
      </c>
      <c r="H234" s="13">
        <v>7.0000000000000001E-3</v>
      </c>
      <c r="I234" s="13">
        <v>7.0000000000000001E-3</v>
      </c>
      <c r="J234" s="13">
        <v>7.0000000000000001E-3</v>
      </c>
      <c r="K234" s="13">
        <v>7.0000000000000001E-3</v>
      </c>
      <c r="L234" s="13">
        <v>7.0000000000000001E-3</v>
      </c>
      <c r="M234" s="13">
        <v>7.0000000000000001E-3</v>
      </c>
      <c r="N234" s="13">
        <v>7.0000000000000001E-3</v>
      </c>
      <c r="O234" s="13">
        <v>7.0000000000000001E-3</v>
      </c>
      <c r="P234" s="13">
        <v>7.0000000000000001E-3</v>
      </c>
      <c r="Q234" s="13">
        <v>7.0000000000000001E-3</v>
      </c>
      <c r="R234" s="13">
        <v>7.0000000000000001E-3</v>
      </c>
    </row>
    <row r="235" spans="2:19" x14ac:dyDescent="0.2">
      <c r="B235" t="s">
        <v>1329</v>
      </c>
      <c r="C235" s="406"/>
      <c r="D235" s="102">
        <f>+ROUND(D233+D234,5)</f>
        <v>3.0280000000000001E-2</v>
      </c>
      <c r="E235" s="58">
        <f>+ROUND(E233+E234,6)</f>
        <v>3.0280999999999999E-2</v>
      </c>
      <c r="F235" s="58">
        <f t="shared" ref="F235:R235" si="64">+ROUND(F233+F234,5)</f>
        <v>3.0280000000000001E-2</v>
      </c>
      <c r="G235" s="102">
        <f t="shared" si="64"/>
        <v>3.0280000000000001E-2</v>
      </c>
      <c r="H235" s="58">
        <f t="shared" si="64"/>
        <v>3.0280000000000001E-2</v>
      </c>
      <c r="I235" s="29">
        <f t="shared" si="64"/>
        <v>3.0280000000000001E-2</v>
      </c>
      <c r="J235" s="58">
        <f t="shared" si="64"/>
        <v>3.0280000000000001E-2</v>
      </c>
      <c r="K235" s="58">
        <f t="shared" si="64"/>
        <v>3.0280000000000001E-2</v>
      </c>
      <c r="L235" s="58">
        <f t="shared" si="64"/>
        <v>3.1550000000000002E-2</v>
      </c>
      <c r="M235" s="58">
        <f t="shared" si="64"/>
        <v>3.3230000000000003E-2</v>
      </c>
      <c r="N235" s="58">
        <f t="shared" si="64"/>
        <v>3.4790000000000001E-2</v>
      </c>
      <c r="O235" s="102">
        <f t="shared" si="64"/>
        <v>3.6360000000000003E-2</v>
      </c>
      <c r="P235" s="58">
        <f t="shared" si="64"/>
        <v>3.7580000000000002E-2</v>
      </c>
      <c r="Q235" s="58">
        <f t="shared" si="64"/>
        <v>3.8280000000000002E-2</v>
      </c>
      <c r="R235" s="58">
        <f t="shared" si="64"/>
        <v>3.8789999999999998E-2</v>
      </c>
    </row>
    <row r="236" spans="2:19" x14ac:dyDescent="0.2">
      <c r="C236" s="406"/>
      <c r="D236" s="791">
        <f>+D231/(1+D235)^D232</f>
        <v>0</v>
      </c>
      <c r="E236" s="791">
        <f t="shared" ref="E236:R236" si="65">ROUND(E231/(1+E235)^E232,4)</f>
        <v>0</v>
      </c>
      <c r="F236" s="791">
        <f t="shared" si="65"/>
        <v>0</v>
      </c>
      <c r="G236" s="791">
        <f t="shared" si="65"/>
        <v>0</v>
      </c>
      <c r="H236" s="791">
        <f t="shared" si="65"/>
        <v>0</v>
      </c>
      <c r="I236" s="791">
        <f t="shared" si="65"/>
        <v>0</v>
      </c>
      <c r="J236" s="791">
        <f t="shared" si="65"/>
        <v>0</v>
      </c>
      <c r="K236" s="791">
        <f t="shared" si="65"/>
        <v>0</v>
      </c>
      <c r="L236" s="791">
        <f t="shared" si="65"/>
        <v>8318.1813999999995</v>
      </c>
      <c r="M236" s="791">
        <f t="shared" si="65"/>
        <v>7793.6621999999998</v>
      </c>
      <c r="N236" s="791">
        <f t="shared" si="65"/>
        <v>7273.4574000000002</v>
      </c>
      <c r="O236" s="791">
        <f t="shared" si="65"/>
        <v>6760.0380999999998</v>
      </c>
      <c r="P236" s="791">
        <f t="shared" si="65"/>
        <v>6266.6041999999998</v>
      </c>
      <c r="Q236" s="791">
        <f t="shared" si="65"/>
        <v>5804.9571999999998</v>
      </c>
      <c r="R236" s="791">
        <f t="shared" si="65"/>
        <v>5369.5316999999995</v>
      </c>
    </row>
    <row r="237" spans="2:19" x14ac:dyDescent="0.2">
      <c r="C237" s="406"/>
      <c r="D237" s="23"/>
      <c r="E237" s="280"/>
      <c r="F237" s="280"/>
      <c r="G237" s="280"/>
      <c r="H237" s="280"/>
      <c r="I237" s="280"/>
      <c r="J237" s="280"/>
      <c r="K237" s="280"/>
      <c r="L237" s="280"/>
      <c r="M237" s="280"/>
      <c r="N237" s="280"/>
      <c r="O237" s="280"/>
      <c r="P237" s="280"/>
      <c r="Q237" s="280"/>
      <c r="R237" s="280"/>
    </row>
    <row r="238" spans="2:19" x14ac:dyDescent="0.2">
      <c r="B238" t="s">
        <v>650</v>
      </c>
      <c r="C238" s="790">
        <f>+SUM(D236:R236)</f>
        <v>47586.432199999996</v>
      </c>
      <c r="D238" s="1">
        <v>85229.485000000001</v>
      </c>
      <c r="E238" s="280">
        <f>C238-D238</f>
        <v>-37643.052800000005</v>
      </c>
      <c r="F238" s="448"/>
      <c r="G238" s="448"/>
      <c r="H238" s="448"/>
      <c r="I238" s="448"/>
      <c r="J238" s="448"/>
      <c r="K238" s="448"/>
      <c r="L238" s="448"/>
      <c r="M238" s="448"/>
      <c r="N238" s="448"/>
      <c r="O238" s="448"/>
      <c r="P238" s="448"/>
      <c r="Q238" s="448"/>
      <c r="R238" s="448"/>
      <c r="S238" s="280"/>
    </row>
    <row r="239" spans="2:19" x14ac:dyDescent="0.2">
      <c r="C239" s="280">
        <v>90590.835099999997</v>
      </c>
    </row>
    <row r="240" spans="2:19" x14ac:dyDescent="0.2">
      <c r="C240" s="280">
        <f>C238-C239</f>
        <v>-43004.402900000001</v>
      </c>
    </row>
    <row r="242" spans="2:21" ht="15.75" x14ac:dyDescent="0.25">
      <c r="C242" s="7" t="s">
        <v>103</v>
      </c>
      <c r="D242" s="8">
        <f>'Courbe des taux'!F19</f>
        <v>0</v>
      </c>
      <c r="E242" s="280">
        <f>100/18</f>
        <v>5.5555555555555554</v>
      </c>
    </row>
    <row r="243" spans="2:21" x14ac:dyDescent="0.2">
      <c r="B243">
        <v>9308</v>
      </c>
      <c r="C243" s="404" t="s">
        <v>105</v>
      </c>
      <c r="D243" s="13">
        <v>3.3399999999999999E-2</v>
      </c>
      <c r="E243" s="13"/>
    </row>
    <row r="244" spans="2:21" x14ac:dyDescent="0.2">
      <c r="C244" s="405">
        <v>42750</v>
      </c>
      <c r="D244" s="405">
        <v>43115</v>
      </c>
      <c r="E244" s="405">
        <v>43480</v>
      </c>
      <c r="F244" s="405">
        <v>43845</v>
      </c>
      <c r="G244" s="405">
        <v>44211</v>
      </c>
      <c r="H244" s="405">
        <v>44576</v>
      </c>
      <c r="I244" s="405">
        <v>44941</v>
      </c>
      <c r="J244" s="405">
        <v>45306</v>
      </c>
      <c r="K244" s="405">
        <v>45672</v>
      </c>
      <c r="L244" s="405">
        <v>46037</v>
      </c>
      <c r="M244" s="405">
        <v>46402</v>
      </c>
      <c r="N244" s="405">
        <v>46767</v>
      </c>
      <c r="O244" s="405">
        <v>47133</v>
      </c>
      <c r="P244" s="405">
        <v>47498</v>
      </c>
      <c r="Q244" s="405">
        <v>47863</v>
      </c>
      <c r="R244" s="405">
        <v>48228</v>
      </c>
      <c r="S244" s="405">
        <v>48594</v>
      </c>
      <c r="T244" s="405">
        <v>48959</v>
      </c>
      <c r="U244" s="405">
        <v>49324</v>
      </c>
    </row>
    <row r="245" spans="2:21" x14ac:dyDescent="0.2">
      <c r="B245" t="s">
        <v>1318</v>
      </c>
      <c r="C245" s="406"/>
      <c r="D245" s="21">
        <v>0</v>
      </c>
      <c r="E245" s="21">
        <v>5.88</v>
      </c>
      <c r="F245" s="21">
        <v>5.88</v>
      </c>
      <c r="G245" s="21">
        <v>5.88</v>
      </c>
      <c r="H245" s="21">
        <v>5.88</v>
      </c>
      <c r="I245" s="21">
        <v>5.88</v>
      </c>
      <c r="J245" s="21">
        <v>5.88</v>
      </c>
      <c r="K245" s="21">
        <v>5.88</v>
      </c>
      <c r="L245" s="21">
        <v>5.88</v>
      </c>
      <c r="M245" s="21">
        <v>5.88</v>
      </c>
      <c r="N245" s="21">
        <v>5.88</v>
      </c>
      <c r="O245" s="21">
        <v>5.88</v>
      </c>
      <c r="P245" s="21">
        <v>5.88</v>
      </c>
      <c r="Q245" s="21">
        <v>5.88</v>
      </c>
      <c r="R245" s="21">
        <v>5.88</v>
      </c>
      <c r="S245" s="21">
        <v>5.88</v>
      </c>
      <c r="T245" s="21">
        <v>5.88</v>
      </c>
      <c r="U245" s="21">
        <v>5.88</v>
      </c>
    </row>
    <row r="246" spans="2:21" x14ac:dyDescent="0.2">
      <c r="B246" t="s">
        <v>1320</v>
      </c>
      <c r="C246" s="21">
        <v>100</v>
      </c>
      <c r="D246" s="23">
        <f t="shared" ref="D246:U246" si="66">+C246-D245</f>
        <v>100</v>
      </c>
      <c r="E246" s="23">
        <f t="shared" si="66"/>
        <v>94.12</v>
      </c>
      <c r="F246" s="23">
        <f>+E246-F245</f>
        <v>88.240000000000009</v>
      </c>
      <c r="G246" s="23">
        <f t="shared" si="66"/>
        <v>82.360000000000014</v>
      </c>
      <c r="H246" s="23">
        <f t="shared" si="66"/>
        <v>76.480000000000018</v>
      </c>
      <c r="I246" s="23">
        <f t="shared" si="66"/>
        <v>70.600000000000023</v>
      </c>
      <c r="J246" s="23">
        <f t="shared" si="66"/>
        <v>64.720000000000027</v>
      </c>
      <c r="K246" s="23">
        <f t="shared" si="66"/>
        <v>58.840000000000025</v>
      </c>
      <c r="L246" s="23">
        <f t="shared" si="66"/>
        <v>52.960000000000022</v>
      </c>
      <c r="M246" s="23">
        <f t="shared" si="66"/>
        <v>47.08000000000002</v>
      </c>
      <c r="N246" s="23">
        <f t="shared" si="66"/>
        <v>41.200000000000017</v>
      </c>
      <c r="O246" s="23">
        <f t="shared" si="66"/>
        <v>35.320000000000014</v>
      </c>
      <c r="P246" s="23">
        <f t="shared" si="66"/>
        <v>29.440000000000015</v>
      </c>
      <c r="Q246" s="23">
        <f t="shared" si="66"/>
        <v>23.560000000000016</v>
      </c>
      <c r="R246" s="280">
        <f t="shared" si="66"/>
        <v>17.680000000000017</v>
      </c>
      <c r="S246" s="280">
        <f t="shared" si="66"/>
        <v>11.800000000000018</v>
      </c>
      <c r="T246" s="280">
        <f t="shared" si="66"/>
        <v>5.9200000000000186</v>
      </c>
      <c r="U246" s="280">
        <f t="shared" si="66"/>
        <v>4.0000000000018687E-2</v>
      </c>
    </row>
    <row r="247" spans="2:21" x14ac:dyDescent="0.2">
      <c r="B247" t="s">
        <v>1321</v>
      </c>
      <c r="C247" s="406"/>
      <c r="D247" s="25">
        <f>$D$243*C246</f>
        <v>3.34</v>
      </c>
      <c r="E247" s="25">
        <f t="shared" ref="E247:U247" si="67">$D$243*D246</f>
        <v>3.34</v>
      </c>
      <c r="F247" s="25">
        <f t="shared" si="67"/>
        <v>3.143608</v>
      </c>
      <c r="G247" s="25">
        <f t="shared" si="67"/>
        <v>2.9472160000000001</v>
      </c>
      <c r="H247" s="25">
        <f t="shared" si="67"/>
        <v>2.7508240000000006</v>
      </c>
      <c r="I247" s="25">
        <f t="shared" si="67"/>
        <v>2.5544320000000007</v>
      </c>
      <c r="J247" s="25">
        <f t="shared" si="67"/>
        <v>2.3580400000000008</v>
      </c>
      <c r="K247" s="25">
        <f t="shared" si="67"/>
        <v>2.1616480000000009</v>
      </c>
      <c r="L247" s="25">
        <f t="shared" si="67"/>
        <v>1.9652560000000008</v>
      </c>
      <c r="M247" s="25">
        <f t="shared" si="67"/>
        <v>1.7688640000000007</v>
      </c>
      <c r="N247" s="25">
        <f t="shared" si="67"/>
        <v>1.5724720000000005</v>
      </c>
      <c r="O247" s="25">
        <f t="shared" si="67"/>
        <v>1.3760800000000006</v>
      </c>
      <c r="P247" s="25">
        <f t="shared" si="67"/>
        <v>1.1796880000000005</v>
      </c>
      <c r="Q247" s="25">
        <f t="shared" si="67"/>
        <v>0.9832960000000005</v>
      </c>
      <c r="R247" s="25">
        <f t="shared" si="67"/>
        <v>0.78690400000000049</v>
      </c>
      <c r="S247" s="25">
        <f t="shared" si="67"/>
        <v>0.59051200000000059</v>
      </c>
      <c r="T247" s="25">
        <f t="shared" si="67"/>
        <v>0.39412000000000058</v>
      </c>
      <c r="U247" s="25">
        <f t="shared" si="67"/>
        <v>0.19772800000000063</v>
      </c>
    </row>
    <row r="248" spans="2:21" x14ac:dyDescent="0.2">
      <c r="B248" t="s">
        <v>1322</v>
      </c>
      <c r="C248" s="406"/>
      <c r="D248" s="25">
        <f>+D247+D245</f>
        <v>3.34</v>
      </c>
      <c r="E248" s="25">
        <f t="shared" ref="E248:U248" si="68">+E247+E245</f>
        <v>9.2199999999999989</v>
      </c>
      <c r="F248" s="25">
        <f t="shared" si="68"/>
        <v>9.0236079999999994</v>
      </c>
      <c r="G248" s="25">
        <f t="shared" si="68"/>
        <v>8.827216</v>
      </c>
      <c r="H248" s="25">
        <f t="shared" si="68"/>
        <v>8.6308240000000005</v>
      </c>
      <c r="I248" s="25">
        <f t="shared" si="68"/>
        <v>8.434432000000001</v>
      </c>
      <c r="J248" s="25">
        <f t="shared" si="68"/>
        <v>8.2380400000000016</v>
      </c>
      <c r="K248" s="25">
        <f t="shared" si="68"/>
        <v>8.0416480000000004</v>
      </c>
      <c r="L248" s="25">
        <f t="shared" si="68"/>
        <v>7.8452560000000009</v>
      </c>
      <c r="M248" s="25">
        <f t="shared" si="68"/>
        <v>7.6488640000000006</v>
      </c>
      <c r="N248" s="25">
        <f t="shared" si="68"/>
        <v>7.4524720000000002</v>
      </c>
      <c r="O248" s="25">
        <f t="shared" si="68"/>
        <v>7.2560800000000008</v>
      </c>
      <c r="P248" s="25">
        <f t="shared" si="68"/>
        <v>7.0596880000000004</v>
      </c>
      <c r="Q248" s="25">
        <f t="shared" si="68"/>
        <v>6.8632960000000001</v>
      </c>
      <c r="R248" s="25">
        <f t="shared" si="68"/>
        <v>6.6669040000000006</v>
      </c>
      <c r="S248" s="25">
        <f t="shared" si="68"/>
        <v>6.4705120000000003</v>
      </c>
      <c r="T248" s="25">
        <f t="shared" si="68"/>
        <v>6.2741200000000008</v>
      </c>
      <c r="U248" s="25">
        <f t="shared" si="68"/>
        <v>6.0777280000000005</v>
      </c>
    </row>
    <row r="249" spans="2:21" x14ac:dyDescent="0.2">
      <c r="B249" t="s">
        <v>1323</v>
      </c>
      <c r="C249" s="21"/>
      <c r="D249" s="25">
        <f t="shared" ref="D249:U249" si="69">+IF(D244&gt;$D$47,D248,0)</f>
        <v>0</v>
      </c>
      <c r="E249" s="25">
        <f t="shared" si="69"/>
        <v>0</v>
      </c>
      <c r="F249" s="25">
        <f t="shared" si="69"/>
        <v>0</v>
      </c>
      <c r="G249" s="25">
        <f t="shared" si="69"/>
        <v>0</v>
      </c>
      <c r="H249" s="25">
        <f t="shared" si="69"/>
        <v>0</v>
      </c>
      <c r="I249" s="25">
        <f t="shared" si="69"/>
        <v>0</v>
      </c>
      <c r="J249" s="25">
        <f t="shared" si="69"/>
        <v>0</v>
      </c>
      <c r="K249" s="25">
        <f t="shared" si="69"/>
        <v>0</v>
      </c>
      <c r="L249" s="25">
        <f t="shared" si="69"/>
        <v>0</v>
      </c>
      <c r="M249" s="25">
        <f t="shared" si="69"/>
        <v>7.6488640000000006</v>
      </c>
      <c r="N249" s="25">
        <f t="shared" si="69"/>
        <v>7.4524720000000002</v>
      </c>
      <c r="O249" s="25">
        <f t="shared" si="69"/>
        <v>7.2560800000000008</v>
      </c>
      <c r="P249" s="25">
        <f t="shared" si="69"/>
        <v>7.0596880000000004</v>
      </c>
      <c r="Q249" s="25">
        <f t="shared" si="69"/>
        <v>6.8632960000000001</v>
      </c>
      <c r="R249" s="25">
        <f t="shared" si="69"/>
        <v>6.6669040000000006</v>
      </c>
      <c r="S249" s="25">
        <f t="shared" si="69"/>
        <v>6.4705120000000003</v>
      </c>
      <c r="T249" s="25">
        <f t="shared" si="69"/>
        <v>6.2741200000000008</v>
      </c>
      <c r="U249" s="25">
        <f t="shared" si="69"/>
        <v>6.0777280000000005</v>
      </c>
    </row>
    <row r="250" spans="2:21" x14ac:dyDescent="0.2">
      <c r="B250" t="s">
        <v>1324</v>
      </c>
      <c r="C250" s="407"/>
      <c r="D250">
        <f>+IF(C249=0,(D244-$D$172)/(D244-C244),C250+1)</f>
        <v>-8.1972602739726028</v>
      </c>
      <c r="E250">
        <f t="shared" ref="E250:U250" si="70">+IF(D249=0,(E244-$D$154)/(E244-D244),D250+1)</f>
        <v>-7.1972602739726028</v>
      </c>
      <c r="F250">
        <f t="shared" si="70"/>
        <v>-6.1972602739726028</v>
      </c>
      <c r="G250">
        <f t="shared" si="70"/>
        <v>-5.1803278688524594</v>
      </c>
      <c r="H250">
        <f t="shared" si="70"/>
        <v>-4.1945205479452055</v>
      </c>
      <c r="I250">
        <f t="shared" si="70"/>
        <v>-3.1945205479452055</v>
      </c>
      <c r="J250">
        <f t="shared" si="70"/>
        <v>-2.1945205479452055</v>
      </c>
      <c r="K250">
        <f t="shared" si="70"/>
        <v>-1.1885245901639345</v>
      </c>
      <c r="L250">
        <f t="shared" si="70"/>
        <v>-0.19178082191780821</v>
      </c>
      <c r="M250">
        <f t="shared" si="70"/>
        <v>0.80821917808219179</v>
      </c>
      <c r="N250">
        <f t="shared" si="70"/>
        <v>1.8082191780821919</v>
      </c>
      <c r="O250">
        <f t="shared" si="70"/>
        <v>2.8082191780821919</v>
      </c>
      <c r="P250">
        <f t="shared" si="70"/>
        <v>3.8082191780821919</v>
      </c>
      <c r="Q250">
        <f t="shared" si="70"/>
        <v>4.8082191780821919</v>
      </c>
      <c r="R250">
        <f t="shared" si="70"/>
        <v>5.8082191780821919</v>
      </c>
      <c r="S250">
        <f t="shared" si="70"/>
        <v>6.8082191780821919</v>
      </c>
      <c r="T250">
        <f t="shared" si="70"/>
        <v>7.8082191780821919</v>
      </c>
      <c r="U250">
        <f t="shared" si="70"/>
        <v>8.8082191780821919</v>
      </c>
    </row>
    <row r="251" spans="2:21" x14ac:dyDescent="0.2">
      <c r="B251" s="29" t="s">
        <v>1325</v>
      </c>
      <c r="C251" s="406"/>
      <c r="D251" s="408">
        <f t="shared" ref="D251:U251" si="71">IF(D250&lt;1,interpoler(mat_court,taux_court_act,D250*(D244-C244)),interpoler(mat,taux,D250))</f>
        <v>2.3281430422376737E-2</v>
      </c>
      <c r="E251" s="408">
        <f t="shared" si="71"/>
        <v>2.3281430422376737E-2</v>
      </c>
      <c r="F251" s="408">
        <f t="shared" si="71"/>
        <v>2.3281430422376737E-2</v>
      </c>
      <c r="G251" s="408">
        <f t="shared" si="71"/>
        <v>2.3281430422376737E-2</v>
      </c>
      <c r="H251" s="408">
        <f t="shared" si="71"/>
        <v>2.3281430422376737E-2</v>
      </c>
      <c r="I251" s="408">
        <f t="shared" si="71"/>
        <v>2.3281430422376737E-2</v>
      </c>
      <c r="J251" s="408">
        <f t="shared" si="71"/>
        <v>2.3281430422376737E-2</v>
      </c>
      <c r="K251" s="408">
        <f t="shared" si="71"/>
        <v>2.3281430422376737E-2</v>
      </c>
      <c r="L251" s="408">
        <f t="shared" si="71"/>
        <v>2.3281430422376737E-2</v>
      </c>
      <c r="M251" s="408">
        <f t="shared" si="71"/>
        <v>2.4790901111082057E-2</v>
      </c>
      <c r="N251" s="408">
        <f t="shared" si="71"/>
        <v>2.6402601823627948E-2</v>
      </c>
      <c r="O251" s="408">
        <f t="shared" si="71"/>
        <v>2.7958882486066223E-2</v>
      </c>
      <c r="P251" s="408">
        <f t="shared" si="71"/>
        <v>2.9529968138092319E-2</v>
      </c>
      <c r="Q251" s="408">
        <f t="shared" si="71"/>
        <v>3.0702588975789435E-2</v>
      </c>
      <c r="R251" s="408">
        <f t="shared" si="71"/>
        <v>3.1332757279252749E-2</v>
      </c>
      <c r="S251" s="408">
        <f t="shared" si="71"/>
        <v>3.1840512870553291E-2</v>
      </c>
      <c r="T251" s="408">
        <f t="shared" si="71"/>
        <v>3.2352551584873095E-2</v>
      </c>
      <c r="U251" s="408">
        <f t="shared" si="71"/>
        <v>3.2874348958135617E-2</v>
      </c>
    </row>
    <row r="252" spans="2:21" x14ac:dyDescent="0.2">
      <c r="B252" t="s">
        <v>1328</v>
      </c>
      <c r="C252" s="406"/>
      <c r="D252" s="13">
        <v>1E-3</v>
      </c>
      <c r="E252" s="13">
        <v>1E-3</v>
      </c>
      <c r="F252" s="13">
        <v>1E-3</v>
      </c>
      <c r="G252" s="13">
        <v>1E-3</v>
      </c>
      <c r="H252" s="13">
        <v>1E-3</v>
      </c>
      <c r="I252" s="13">
        <v>1E-3</v>
      </c>
      <c r="J252" s="13">
        <v>1E-3</v>
      </c>
      <c r="K252" s="13">
        <v>1E-3</v>
      </c>
      <c r="L252" s="13">
        <v>1E-3</v>
      </c>
      <c r="M252" s="13">
        <v>1E-3</v>
      </c>
      <c r="N252" s="13">
        <v>1E-3</v>
      </c>
      <c r="O252" s="13">
        <v>1E-3</v>
      </c>
      <c r="P252" s="13">
        <v>1E-3</v>
      </c>
      <c r="Q252" s="13">
        <v>1E-3</v>
      </c>
      <c r="R252" s="13">
        <v>1E-3</v>
      </c>
      <c r="S252" s="13">
        <v>1E-3</v>
      </c>
      <c r="T252" s="13">
        <v>1E-3</v>
      </c>
      <c r="U252" s="13">
        <v>1E-3</v>
      </c>
    </row>
    <row r="253" spans="2:21" x14ac:dyDescent="0.2">
      <c r="B253" t="s">
        <v>1329</v>
      </c>
      <c r="C253" s="406"/>
      <c r="D253" s="102">
        <f t="shared" ref="D253:U253" si="72">+ROUND(D251+D252,5)</f>
        <v>2.4279999999999999E-2</v>
      </c>
      <c r="E253" s="58">
        <f t="shared" si="72"/>
        <v>2.4279999999999999E-2</v>
      </c>
      <c r="F253" s="58">
        <f t="shared" si="72"/>
        <v>2.4279999999999999E-2</v>
      </c>
      <c r="G253" s="102">
        <f t="shared" si="72"/>
        <v>2.4279999999999999E-2</v>
      </c>
      <c r="H253" s="58">
        <f t="shared" si="72"/>
        <v>2.4279999999999999E-2</v>
      </c>
      <c r="I253" s="58">
        <f t="shared" si="72"/>
        <v>2.4279999999999999E-2</v>
      </c>
      <c r="J253" s="58">
        <f t="shared" si="72"/>
        <v>2.4279999999999999E-2</v>
      </c>
      <c r="K253" s="58">
        <f t="shared" si="72"/>
        <v>2.4279999999999999E-2</v>
      </c>
      <c r="L253" s="58">
        <f t="shared" si="72"/>
        <v>2.4279999999999999E-2</v>
      </c>
      <c r="M253" s="58">
        <f t="shared" si="72"/>
        <v>2.579E-2</v>
      </c>
      <c r="N253" s="58">
        <f t="shared" si="72"/>
        <v>2.7400000000000001E-2</v>
      </c>
      <c r="O253" s="58">
        <f t="shared" si="72"/>
        <v>2.896E-2</v>
      </c>
      <c r="P253" s="58">
        <f t="shared" si="72"/>
        <v>3.0530000000000002E-2</v>
      </c>
      <c r="Q253" s="58">
        <f t="shared" si="72"/>
        <v>3.1699999999999999E-2</v>
      </c>
      <c r="R253" s="58">
        <f t="shared" si="72"/>
        <v>3.2329999999999998E-2</v>
      </c>
      <c r="S253" s="58">
        <f t="shared" si="72"/>
        <v>3.2840000000000001E-2</v>
      </c>
      <c r="T253" s="58">
        <f t="shared" si="72"/>
        <v>3.3349999999999998E-2</v>
      </c>
      <c r="U253" s="58">
        <f t="shared" si="72"/>
        <v>3.3869999999999997E-2</v>
      </c>
    </row>
    <row r="254" spans="2:21" x14ac:dyDescent="0.2">
      <c r="C254" s="406"/>
      <c r="D254" s="21">
        <f t="shared" ref="D254:U254" si="73">+D249/(1+D253)^D250</f>
        <v>0</v>
      </c>
      <c r="E254" s="21">
        <f t="shared" si="73"/>
        <v>0</v>
      </c>
      <c r="F254" s="21">
        <f t="shared" si="73"/>
        <v>0</v>
      </c>
      <c r="G254" s="21">
        <f t="shared" si="73"/>
        <v>0</v>
      </c>
      <c r="H254" s="21">
        <f t="shared" si="73"/>
        <v>0</v>
      </c>
      <c r="I254" s="21">
        <f t="shared" si="73"/>
        <v>0</v>
      </c>
      <c r="J254" s="21">
        <f t="shared" si="73"/>
        <v>0</v>
      </c>
      <c r="K254" s="21">
        <f t="shared" si="73"/>
        <v>0</v>
      </c>
      <c r="L254" s="21">
        <f t="shared" si="73"/>
        <v>0</v>
      </c>
      <c r="M254" s="21">
        <f t="shared" si="73"/>
        <v>7.4930611837935057</v>
      </c>
      <c r="N254" s="21">
        <f t="shared" si="73"/>
        <v>7.0969648288482858</v>
      </c>
      <c r="O254" s="21">
        <f t="shared" si="73"/>
        <v>6.6970629103002253</v>
      </c>
      <c r="P254" s="21">
        <f t="shared" si="73"/>
        <v>6.2957537310978067</v>
      </c>
      <c r="Q254" s="21">
        <f t="shared" si="73"/>
        <v>5.906971355793095</v>
      </c>
      <c r="R254" s="21">
        <f t="shared" si="73"/>
        <v>5.5419556265489991</v>
      </c>
      <c r="S254" s="21">
        <f t="shared" si="73"/>
        <v>5.19276385965457</v>
      </c>
      <c r="T254" s="21">
        <f t="shared" si="73"/>
        <v>4.856301668783896</v>
      </c>
      <c r="U254" s="21">
        <f t="shared" si="73"/>
        <v>4.5323365079880151</v>
      </c>
    </row>
    <row r="255" spans="2:21" x14ac:dyDescent="0.2">
      <c r="C255" s="406"/>
      <c r="D255" s="23"/>
      <c r="E255" s="23"/>
    </row>
    <row r="256" spans="2:21" x14ac:dyDescent="0.2">
      <c r="B256" t="s">
        <v>650</v>
      </c>
      <c r="C256" s="409">
        <f>+SUM(D254:U254)</f>
        <v>53.613171672808399</v>
      </c>
      <c r="D256" s="1"/>
      <c r="E256" s="13"/>
      <c r="G256" s="280"/>
      <c r="I256" s="8"/>
    </row>
  </sheetData>
  <phoneticPr fontId="42"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21"/>
  <dimension ref="E20:U75"/>
  <sheetViews>
    <sheetView topLeftCell="A78" workbookViewId="0">
      <selection sqref="A1:XFD1048576"/>
    </sheetView>
  </sheetViews>
  <sheetFormatPr baseColWidth="10" defaultRowHeight="12.75" x14ac:dyDescent="0.2"/>
  <sheetData>
    <row r="20" spans="8:10" x14ac:dyDescent="0.2">
      <c r="H20">
        <f>J9</f>
        <v>0</v>
      </c>
      <c r="I20">
        <f>H20-G20</f>
        <v>0</v>
      </c>
      <c r="J20" t="str">
        <f>IF(I20&gt;0,"p","q")</f>
        <v>q</v>
      </c>
    </row>
    <row r="21" spans="8:10" x14ac:dyDescent="0.2">
      <c r="H21">
        <f>J10</f>
        <v>0</v>
      </c>
      <c r="I21">
        <f>H21-G21</f>
        <v>0</v>
      </c>
    </row>
    <row r="23" spans="8:10" x14ac:dyDescent="0.2">
      <c r="H23">
        <f t="shared" ref="H23:H28" si="0">J12</f>
        <v>0</v>
      </c>
    </row>
    <row r="24" spans="8:10" x14ac:dyDescent="0.2">
      <c r="H24">
        <f t="shared" si="0"/>
        <v>0</v>
      </c>
    </row>
    <row r="25" spans="8:10" x14ac:dyDescent="0.2">
      <c r="H25">
        <f t="shared" si="0"/>
        <v>0</v>
      </c>
    </row>
    <row r="26" spans="8:10" x14ac:dyDescent="0.2">
      <c r="H26">
        <f t="shared" si="0"/>
        <v>0</v>
      </c>
    </row>
    <row r="27" spans="8:10" x14ac:dyDescent="0.2">
      <c r="H27">
        <f t="shared" si="0"/>
        <v>0</v>
      </c>
    </row>
    <row r="28" spans="8:10" x14ac:dyDescent="0.2">
      <c r="H28">
        <f t="shared" si="0"/>
        <v>0</v>
      </c>
    </row>
    <row r="75" spans="5:21" ht="23.25" x14ac:dyDescent="0.35">
      <c r="E75" s="619" t="s">
        <v>2450</v>
      </c>
      <c r="G75" s="620" t="s">
        <v>2451</v>
      </c>
      <c r="H75" s="620"/>
      <c r="I75" s="620"/>
      <c r="J75" s="620"/>
      <c r="K75" s="620"/>
      <c r="L75" s="620"/>
      <c r="M75" s="620"/>
      <c r="N75" s="620"/>
      <c r="O75" s="620"/>
      <c r="P75" s="620"/>
      <c r="Q75" s="620"/>
      <c r="R75" s="620"/>
      <c r="S75" s="620"/>
      <c r="T75" s="620"/>
      <c r="U75" s="620"/>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7">
    <pageSetUpPr fitToPage="1"/>
  </sheetPr>
  <dimension ref="A1:AI324"/>
  <sheetViews>
    <sheetView topLeftCell="Q185" zoomScale="80" zoomScaleNormal="80" workbookViewId="0">
      <selection activeCell="V223" sqref="V223"/>
    </sheetView>
  </sheetViews>
  <sheetFormatPr baseColWidth="10" defaultRowHeight="12.75" x14ac:dyDescent="0.2"/>
  <cols>
    <col min="1" max="1" width="13.42578125" customWidth="1"/>
    <col min="2" max="2" width="12.5703125" customWidth="1"/>
    <col min="3" max="3" width="15" bestFit="1" customWidth="1"/>
    <col min="5" max="5" width="13.140625" customWidth="1"/>
    <col min="6" max="6" width="13.42578125" customWidth="1"/>
    <col min="7" max="7" width="19.140625" style="73" customWidth="1"/>
    <col min="8" max="8" width="10.28515625" customWidth="1"/>
    <col min="11" max="11" width="12.42578125" bestFit="1" customWidth="1"/>
    <col min="13" max="13" width="20.42578125" bestFit="1" customWidth="1"/>
    <col min="18" max="18" width="17.42578125" bestFit="1" customWidth="1"/>
    <col min="19" max="19" width="20" bestFit="1" customWidth="1"/>
    <col min="20" max="20" width="16.28515625" customWidth="1"/>
    <col min="21" max="21" width="18.28515625" bestFit="1" customWidth="1"/>
    <col min="22" max="22" width="15.7109375" bestFit="1" customWidth="1"/>
    <col min="23" max="24" width="15.140625" bestFit="1" customWidth="1"/>
    <col min="25" max="25" width="15.85546875" customWidth="1"/>
    <col min="26" max="26" width="13.42578125" bestFit="1" customWidth="1"/>
    <col min="27" max="27" width="14.28515625" bestFit="1" customWidth="1"/>
    <col min="28" max="28" width="13.5703125" bestFit="1" customWidth="1"/>
    <col min="29" max="29" width="13.28515625" bestFit="1" customWidth="1"/>
    <col min="30" max="30" width="18.5703125" bestFit="1" customWidth="1"/>
    <col min="31" max="31" width="18.7109375" bestFit="1" customWidth="1"/>
    <col min="32" max="32" width="14.28515625" bestFit="1" customWidth="1"/>
    <col min="33" max="33" width="13.5703125" customWidth="1"/>
    <col min="34" max="34" width="13.5703125" bestFit="1" customWidth="1"/>
  </cols>
  <sheetData>
    <row r="1" spans="1:35" ht="16.5" thickBot="1" x14ac:dyDescent="0.3">
      <c r="A1" s="3"/>
      <c r="B1" s="3"/>
      <c r="D1" s="3"/>
      <c r="E1" s="4" t="s">
        <v>96</v>
      </c>
      <c r="F1" s="5" t="s">
        <v>97</v>
      </c>
      <c r="G1" s="105" t="s">
        <v>100</v>
      </c>
      <c r="H1" s="6" t="s">
        <v>101</v>
      </c>
      <c r="K1" s="1645" t="s">
        <v>102</v>
      </c>
      <c r="L1" s="1645"/>
      <c r="R1" s="537">
        <v>9020</v>
      </c>
      <c r="S1" s="538" t="s">
        <v>103</v>
      </c>
      <c r="T1" s="539">
        <f>+B4</f>
        <v>46107</v>
      </c>
    </row>
    <row r="2" spans="1:35" ht="15.75" x14ac:dyDescent="0.25">
      <c r="A2" s="3"/>
      <c r="B2" s="3"/>
      <c r="C2" s="3"/>
      <c r="D2" s="3">
        <v>1</v>
      </c>
      <c r="E2" s="9" t="s">
        <v>719</v>
      </c>
      <c r="F2" s="52">
        <f>+IF(D2&gt;365,interpoler(_mat2,taux2,D2),IF(D2&lt;='Courbe des taux'!$G$2,interpoler(_mat1,taux1,D2),((1+interpoler(_mat2,taux2,D2))^(D2/365)-1)*360/D2))</f>
        <v>2.2700000000000001E-2</v>
      </c>
      <c r="G2" s="106">
        <f>F2</f>
        <v>2.2700000000000001E-2</v>
      </c>
      <c r="H2" s="10"/>
      <c r="I2" s="13"/>
      <c r="K2" s="11" t="s">
        <v>368</v>
      </c>
      <c r="L2" s="11" t="s">
        <v>105</v>
      </c>
      <c r="R2" s="537"/>
      <c r="S2" s="541" t="s">
        <v>105</v>
      </c>
      <c r="T2" s="542">
        <v>6.0999999999999999E-2</v>
      </c>
      <c r="U2" s="13"/>
    </row>
    <row r="3" spans="1:35" ht="15.75" x14ac:dyDescent="0.25">
      <c r="A3" s="3"/>
      <c r="B3" s="3"/>
      <c r="C3" s="3"/>
      <c r="D3" s="3">
        <v>91</v>
      </c>
      <c r="E3" s="9" t="s">
        <v>106</v>
      </c>
      <c r="F3" s="52">
        <f>+IF(D3&gt;365,interpoler(_mat2,taux2,D3),IF(D3&lt;='Courbe des taux'!$G$2,interpoler(_mat1,taux1,D3),((1+interpoler(_mat2,taux2,D3))^(D3/365)-1)*360/D3))</f>
        <v>2.299230769230769E-2</v>
      </c>
      <c r="G3" s="104">
        <f>F3</f>
        <v>2.299230769230769E-2</v>
      </c>
      <c r="H3" s="10"/>
      <c r="I3" s="13"/>
      <c r="K3" s="15">
        <f>91/365</f>
        <v>0.24931506849315069</v>
      </c>
      <c r="L3" s="16">
        <f>+(1+G3*91/360)^(365/91)-1</f>
        <v>2.3516414539908714E-2</v>
      </c>
      <c r="M3" s="13"/>
      <c r="R3" s="537"/>
      <c r="S3" s="543">
        <v>37767</v>
      </c>
      <c r="T3" s="539">
        <v>38133</v>
      </c>
      <c r="U3" s="17">
        <v>38498</v>
      </c>
      <c r="V3" s="8">
        <v>38863</v>
      </c>
      <c r="W3" s="17">
        <v>39228</v>
      </c>
      <c r="X3" s="8">
        <v>39594</v>
      </c>
      <c r="Y3" s="17">
        <v>39959</v>
      </c>
      <c r="Z3" s="8">
        <v>40324</v>
      </c>
      <c r="AA3" s="17">
        <v>40689</v>
      </c>
      <c r="AB3" s="8">
        <v>41055</v>
      </c>
      <c r="AC3" s="17">
        <v>41420</v>
      </c>
      <c r="AD3" s="8">
        <v>41785</v>
      </c>
      <c r="AE3" s="17">
        <v>42150</v>
      </c>
      <c r="AF3" s="8">
        <v>42516</v>
      </c>
      <c r="AG3" s="17">
        <v>42881</v>
      </c>
      <c r="AH3" s="8">
        <v>43246</v>
      </c>
    </row>
    <row r="4" spans="1:35" ht="15.75" x14ac:dyDescent="0.25">
      <c r="A4" s="18" t="s">
        <v>1918</v>
      </c>
      <c r="B4" s="19">
        <f>+Lignes_détenues!AF1</f>
        <v>46107</v>
      </c>
      <c r="C4" s="3"/>
      <c r="D4" s="3">
        <v>182</v>
      </c>
      <c r="E4" s="9" t="s">
        <v>1317</v>
      </c>
      <c r="F4" s="52">
        <f>+IF(D4&gt;365,interpoler(_mat2,taux2,D4),IF(D4&lt;='Courbe des taux'!$G$2,interpoler(_mat1,taux1,D4),((1+interpoler(_mat2,taux2,D4))^(D4/365)-1)*360/D4))</f>
        <v>2.3650549450549448E-2</v>
      </c>
      <c r="G4" s="107">
        <f>F4</f>
        <v>2.3650549450549448E-2</v>
      </c>
      <c r="H4" s="10"/>
      <c r="I4" s="13"/>
      <c r="K4" s="15">
        <f>182/365</f>
        <v>0.49863013698630138</v>
      </c>
      <c r="L4" s="16">
        <f>+(1+G4*182/360)^(365/182)-1</f>
        <v>2.4123174744205222E-2</v>
      </c>
      <c r="M4" s="13"/>
      <c r="N4">
        <v>330</v>
      </c>
      <c r="O4">
        <f>N4/365</f>
        <v>0.90410958904109584</v>
      </c>
      <c r="R4" s="537" t="s">
        <v>1318</v>
      </c>
      <c r="S4" s="546"/>
      <c r="T4" s="547">
        <v>10000</v>
      </c>
      <c r="U4" s="21">
        <v>10000</v>
      </c>
      <c r="V4" s="21">
        <v>10000</v>
      </c>
      <c r="W4" s="21">
        <v>10000</v>
      </c>
      <c r="X4" s="21">
        <v>10000</v>
      </c>
      <c r="Y4" s="21">
        <v>10000</v>
      </c>
      <c r="Z4" s="21">
        <v>10000</v>
      </c>
      <c r="AA4" s="21">
        <v>10000</v>
      </c>
      <c r="AB4" s="21">
        <v>10000</v>
      </c>
      <c r="AC4" s="21">
        <v>10000</v>
      </c>
      <c r="AD4" s="21">
        <v>10000</v>
      </c>
      <c r="AE4" s="21">
        <v>10000</v>
      </c>
      <c r="AF4" s="21">
        <v>10000</v>
      </c>
      <c r="AG4" s="21">
        <v>10000</v>
      </c>
      <c r="AH4" s="21">
        <v>10000</v>
      </c>
    </row>
    <row r="5" spans="1:35" ht="15.75" x14ac:dyDescent="0.25">
      <c r="A5" s="3"/>
      <c r="B5" s="3"/>
      <c r="C5" s="3"/>
      <c r="D5" s="3">
        <v>364</v>
      </c>
      <c r="E5" s="9" t="s">
        <v>1319</v>
      </c>
      <c r="F5" s="52">
        <f>+IF(D5&gt;365,interpoler(_mat2,taux2,D5),IF(D5&lt;='Courbe des taux'!$G$2,interpoler(_mat1,taux1,D5),((1+interpoler(_mat2,taux2,D5))^(D5/365)-1)*360/D5))</f>
        <v>2.4791537599379715E-2</v>
      </c>
      <c r="G5" s="107">
        <f>F5</f>
        <v>2.4791537599379715E-2</v>
      </c>
      <c r="H5" s="10"/>
      <c r="I5" s="13"/>
      <c r="K5" s="15">
        <v>1</v>
      </c>
      <c r="L5" s="22">
        <f>+G6</f>
        <v>2.4796589918717193E-2</v>
      </c>
      <c r="M5" s="13"/>
      <c r="R5" s="537" t="s">
        <v>1320</v>
      </c>
      <c r="S5" s="547">
        <v>150000</v>
      </c>
      <c r="T5" s="549">
        <f t="shared" ref="T5:AH5" si="0">+S5-T4</f>
        <v>140000</v>
      </c>
      <c r="U5" s="23">
        <f t="shared" si="0"/>
        <v>130000</v>
      </c>
      <c r="V5" s="23">
        <f t="shared" si="0"/>
        <v>120000</v>
      </c>
      <c r="W5" s="23">
        <f t="shared" si="0"/>
        <v>110000</v>
      </c>
      <c r="X5" s="23">
        <f t="shared" si="0"/>
        <v>100000</v>
      </c>
      <c r="Y5" s="23">
        <f t="shared" si="0"/>
        <v>90000</v>
      </c>
      <c r="Z5" s="23">
        <f t="shared" si="0"/>
        <v>80000</v>
      </c>
      <c r="AA5" s="23">
        <f t="shared" si="0"/>
        <v>70000</v>
      </c>
      <c r="AB5" s="23">
        <f t="shared" si="0"/>
        <v>60000</v>
      </c>
      <c r="AC5" s="23">
        <f t="shared" si="0"/>
        <v>50000</v>
      </c>
      <c r="AD5" s="23">
        <f t="shared" si="0"/>
        <v>40000</v>
      </c>
      <c r="AE5" s="23">
        <f t="shared" si="0"/>
        <v>30000</v>
      </c>
      <c r="AF5" s="23">
        <f t="shared" si="0"/>
        <v>20000</v>
      </c>
      <c r="AG5" s="23">
        <f t="shared" si="0"/>
        <v>10000</v>
      </c>
      <c r="AH5" s="23">
        <f t="shared" si="0"/>
        <v>0</v>
      </c>
    </row>
    <row r="6" spans="1:35" ht="15.75" x14ac:dyDescent="0.25">
      <c r="A6" s="24"/>
      <c r="B6" s="24"/>
      <c r="C6" s="24"/>
      <c r="D6" s="949">
        <f t="shared" ref="D6:D25" si="1">+ajouter($B$4,E6)-$B$4</f>
        <v>365</v>
      </c>
      <c r="E6" s="9">
        <v>1</v>
      </c>
      <c r="F6" s="52">
        <f>+IF(D6&gt;365,interpoler(_mat2,taux2,D6),IF(D6&lt;='Courbe des taux'!$G$2,interpoler(_mat1,taux1,D6),((1+interpoler(_mat2,taux2,D6))^(D6/365)-1)*360/D6))</f>
        <v>2.4796589918717193E-2</v>
      </c>
      <c r="G6" s="104">
        <f>F6</f>
        <v>2.4796589918717193E-2</v>
      </c>
      <c r="H6" s="14">
        <f t="shared" ref="H6:H19" si="2">1/(1+G6)^E6</f>
        <v>0.97580340317029746</v>
      </c>
      <c r="I6" s="13"/>
      <c r="K6" s="15">
        <v>2</v>
      </c>
      <c r="L6" s="22">
        <f t="shared" ref="L6:L24" si="3">+G7</f>
        <v>2.6706858743993589E-2</v>
      </c>
      <c r="M6" s="13"/>
      <c r="N6" s="52" t="e">
        <v>#NAME?</v>
      </c>
      <c r="R6" s="537" t="s">
        <v>1321</v>
      </c>
      <c r="S6" s="546"/>
      <c r="T6" s="550">
        <f>+$T$2*S5</f>
        <v>9150</v>
      </c>
      <c r="U6" s="25">
        <f>+$T$2*T5</f>
        <v>8540</v>
      </c>
      <c r="V6" s="25">
        <f t="shared" ref="V6:AH6" si="4">+$T$2*U5</f>
        <v>7930</v>
      </c>
      <c r="W6" s="25">
        <f>+$T$2*V5</f>
        <v>7320</v>
      </c>
      <c r="X6" s="25">
        <f t="shared" si="4"/>
        <v>6710</v>
      </c>
      <c r="Y6" s="25">
        <f>+$T$2*X5</f>
        <v>6100</v>
      </c>
      <c r="Z6" s="25">
        <f t="shared" si="4"/>
        <v>5490</v>
      </c>
      <c r="AA6" s="25">
        <f t="shared" si="4"/>
        <v>4880</v>
      </c>
      <c r="AB6" s="25">
        <f t="shared" si="4"/>
        <v>4270</v>
      </c>
      <c r="AC6" s="25">
        <f t="shared" si="4"/>
        <v>3660</v>
      </c>
      <c r="AD6" s="25">
        <f t="shared" si="4"/>
        <v>3050</v>
      </c>
      <c r="AE6" s="25">
        <f t="shared" si="4"/>
        <v>2440</v>
      </c>
      <c r="AF6" s="25">
        <f t="shared" si="4"/>
        <v>1830</v>
      </c>
      <c r="AG6" s="25">
        <f t="shared" si="4"/>
        <v>1220</v>
      </c>
      <c r="AH6" s="25">
        <f t="shared" si="4"/>
        <v>610</v>
      </c>
    </row>
    <row r="7" spans="1:35" ht="15.75" x14ac:dyDescent="0.25">
      <c r="A7" s="24"/>
      <c r="B7" s="24"/>
      <c r="C7" s="26"/>
      <c r="D7" s="949">
        <f t="shared" si="1"/>
        <v>731</v>
      </c>
      <c r="E7" s="9">
        <v>2</v>
      </c>
      <c r="F7" s="52">
        <f>+IF(D7&gt;365,interpoler(_mat2,taux2,D7),IF(D7&lt;='Courbe des taux'!$G$2,interpoler(_mat1,taux1,D7),((1+interpoler(_mat2,taux2,D7))^(D7/365)-1)*360/D7))</f>
        <v>2.6681663113006397E-2</v>
      </c>
      <c r="G7" s="104">
        <f>((1+F7)/(1-F7*SUM(H$1:H6)))^(1/E7)-1</f>
        <v>2.6706858743993589E-2</v>
      </c>
      <c r="H7" s="14">
        <f t="shared" si="2"/>
        <v>0.94865232069980099</v>
      </c>
      <c r="I7" s="13"/>
      <c r="K7" s="15">
        <v>3</v>
      </c>
      <c r="L7" s="22">
        <f t="shared" si="3"/>
        <v>2.8260373799412486E-2</v>
      </c>
      <c r="M7" s="13"/>
      <c r="R7" s="537" t="s">
        <v>1322</v>
      </c>
      <c r="S7" s="546"/>
      <c r="T7" s="550">
        <f>+T6+T4</f>
        <v>19150</v>
      </c>
      <c r="U7" s="25">
        <f t="shared" ref="U7:AH7" si="5">+U6+U4</f>
        <v>18540</v>
      </c>
      <c r="V7" s="25">
        <f t="shared" si="5"/>
        <v>17930</v>
      </c>
      <c r="W7" s="25">
        <f t="shared" si="5"/>
        <v>17320</v>
      </c>
      <c r="X7" s="25">
        <f t="shared" si="5"/>
        <v>16710</v>
      </c>
      <c r="Y7" s="25">
        <f t="shared" si="5"/>
        <v>16100</v>
      </c>
      <c r="Z7" s="25">
        <f t="shared" si="5"/>
        <v>15490</v>
      </c>
      <c r="AA7" s="25">
        <f t="shared" si="5"/>
        <v>14880</v>
      </c>
      <c r="AB7" s="25">
        <f t="shared" si="5"/>
        <v>14270</v>
      </c>
      <c r="AC7" s="25">
        <f t="shared" si="5"/>
        <v>13660</v>
      </c>
      <c r="AD7" s="25">
        <f t="shared" si="5"/>
        <v>13050</v>
      </c>
      <c r="AE7" s="25">
        <f t="shared" si="5"/>
        <v>12440</v>
      </c>
      <c r="AF7" s="25">
        <f t="shared" si="5"/>
        <v>11830</v>
      </c>
      <c r="AG7" s="25">
        <f t="shared" si="5"/>
        <v>11220</v>
      </c>
      <c r="AH7" s="25">
        <f t="shared" si="5"/>
        <v>10610</v>
      </c>
    </row>
    <row r="8" spans="1:35" ht="15.75" x14ac:dyDescent="0.25">
      <c r="A8" s="24"/>
      <c r="B8" s="24"/>
      <c r="C8" s="24"/>
      <c r="D8" s="949">
        <f t="shared" si="1"/>
        <v>1096</v>
      </c>
      <c r="E8" s="9">
        <v>3</v>
      </c>
      <c r="F8" s="52">
        <f>+IF(D8&gt;365,interpoler(_mat2,taux2,D8),IF(D8&lt;='Courbe des taux'!$G$2,interpoler(_mat1,taux1,D8),((1+interpoler(_mat2,taux2,D8))^(D8/365)-1)*360/D8))</f>
        <v>2.8199253731343285E-2</v>
      </c>
      <c r="G8" s="104">
        <f>((1+F8)/(1-F8*SUM(H$1:H7)))^(1/E8)-1</f>
        <v>2.8260373799412486E-2</v>
      </c>
      <c r="H8" s="14">
        <f t="shared" si="2"/>
        <v>0.9197942726721331</v>
      </c>
      <c r="I8" s="13"/>
      <c r="K8" s="15">
        <v>4</v>
      </c>
      <c r="L8" s="22">
        <f t="shared" si="3"/>
        <v>2.9834631242742438E-2</v>
      </c>
      <c r="M8" s="13"/>
      <c r="R8" s="537" t="s">
        <v>1323</v>
      </c>
      <c r="S8" s="547"/>
      <c r="T8" s="550">
        <f t="shared" ref="T8:AH8" si="6">+IF(T3&gt;$T$1,T7,0)</f>
        <v>0</v>
      </c>
      <c r="U8" s="25">
        <f t="shared" si="6"/>
        <v>0</v>
      </c>
      <c r="V8" s="25">
        <f t="shared" si="6"/>
        <v>0</v>
      </c>
      <c r="W8" s="25">
        <f t="shared" si="6"/>
        <v>0</v>
      </c>
      <c r="X8" s="25">
        <f t="shared" si="6"/>
        <v>0</v>
      </c>
      <c r="Y8" s="25">
        <f t="shared" si="6"/>
        <v>0</v>
      </c>
      <c r="Z8" s="25">
        <f t="shared" si="6"/>
        <v>0</v>
      </c>
      <c r="AA8" s="25">
        <f t="shared" si="6"/>
        <v>0</v>
      </c>
      <c r="AB8" s="25">
        <f t="shared" si="6"/>
        <v>0</v>
      </c>
      <c r="AC8" s="25">
        <f t="shared" si="6"/>
        <v>0</v>
      </c>
      <c r="AD8" s="25">
        <f t="shared" si="6"/>
        <v>0</v>
      </c>
      <c r="AE8" s="25">
        <f t="shared" si="6"/>
        <v>0</v>
      </c>
      <c r="AF8" s="25">
        <f t="shared" si="6"/>
        <v>0</v>
      </c>
      <c r="AG8" s="25">
        <f t="shared" si="6"/>
        <v>0</v>
      </c>
      <c r="AH8" s="25">
        <f t="shared" si="6"/>
        <v>0</v>
      </c>
    </row>
    <row r="9" spans="1:35" ht="15.75" x14ac:dyDescent="0.25">
      <c r="A9" s="24"/>
      <c r="B9" s="24"/>
      <c r="C9" s="24"/>
      <c r="D9" s="949">
        <f t="shared" si="1"/>
        <v>1461</v>
      </c>
      <c r="E9" s="9">
        <v>4</v>
      </c>
      <c r="F9" s="52">
        <f>+IF(D9&gt;365,interpoler(_mat2,taux2,D9),IF(D9&lt;='Courbe des taux'!$G$2,interpoler(_mat1,taux1,D9),((1+interpoler(_mat2,taux2,D9))^(D9/365)-1)*360/D9))</f>
        <v>2.9716844349680169E-2</v>
      </c>
      <c r="G9" s="104">
        <f>((1+F9)/(1-F9*SUM(H$1:H8)))^(1/E9)-1</f>
        <v>2.9834631242742438E-2</v>
      </c>
      <c r="H9" s="14">
        <f t="shared" si="2"/>
        <v>0.88905787118530444</v>
      </c>
      <c r="I9" s="13"/>
      <c r="K9" s="15">
        <v>5</v>
      </c>
      <c r="L9" s="22">
        <f t="shared" si="3"/>
        <v>3.0911348586380338E-2</v>
      </c>
      <c r="M9" s="13"/>
      <c r="R9" s="537" t="s">
        <v>1324</v>
      </c>
      <c r="S9" s="551"/>
      <c r="T9" s="537">
        <f t="shared" ref="T9:AH9" si="7">+IF(S8=0,(T3-$T$1)/(T3-S3),S9+1)</f>
        <v>-21.78688524590164</v>
      </c>
      <c r="U9">
        <f t="shared" si="7"/>
        <v>-20.846575342465755</v>
      </c>
      <c r="V9">
        <f t="shared" si="7"/>
        <v>-19.846575342465755</v>
      </c>
      <c r="W9">
        <f t="shared" si="7"/>
        <v>-18.846575342465755</v>
      </c>
      <c r="X9">
        <f t="shared" si="7"/>
        <v>-17.795081967213115</v>
      </c>
      <c r="Y9">
        <f t="shared" si="7"/>
        <v>-16.843835616438355</v>
      </c>
      <c r="Z9">
        <f t="shared" si="7"/>
        <v>-15.843835616438357</v>
      </c>
      <c r="AA9">
        <f t="shared" si="7"/>
        <v>-14.843835616438357</v>
      </c>
      <c r="AB9">
        <f t="shared" si="7"/>
        <v>-13.803278688524591</v>
      </c>
      <c r="AC9">
        <f t="shared" si="7"/>
        <v>-12.841095890410958</v>
      </c>
      <c r="AD9">
        <f t="shared" si="7"/>
        <v>-11.841095890410958</v>
      </c>
      <c r="AE9">
        <f t="shared" si="7"/>
        <v>-10.841095890410958</v>
      </c>
      <c r="AF9">
        <f t="shared" si="7"/>
        <v>-9.8114754098360653</v>
      </c>
      <c r="AG9">
        <f t="shared" si="7"/>
        <v>-8.838356164383562</v>
      </c>
      <c r="AH9">
        <f t="shared" si="7"/>
        <v>-7.838356164383562</v>
      </c>
    </row>
    <row r="10" spans="1:35" ht="15.75" x14ac:dyDescent="0.25">
      <c r="A10" s="24"/>
      <c r="B10" s="24"/>
      <c r="C10" s="28"/>
      <c r="D10" s="949">
        <f t="shared" si="1"/>
        <v>1826</v>
      </c>
      <c r="E10" s="9">
        <v>5</v>
      </c>
      <c r="F10" s="52">
        <f>+IF(D10&gt;365,interpoler(_mat2,taux2,D10),IF(D10&lt;='Courbe des taux'!$G$2,interpoler(_mat1,taux1,D10),((1+interpoler(_mat2,taux2,D10))^(D10/365)-1)*360/D10))</f>
        <v>3.0747802197802199E-2</v>
      </c>
      <c r="G10" s="104">
        <f>((1+F10)/(1-F10*SUM(H$1:H9)))^(1/E10)-1</f>
        <v>3.0911348586380338E-2</v>
      </c>
      <c r="H10" s="14">
        <f t="shared" si="2"/>
        <v>0.85880269281402954</v>
      </c>
      <c r="I10" s="13"/>
      <c r="K10" s="15">
        <v>6</v>
      </c>
      <c r="L10" s="22">
        <f t="shared" si="3"/>
        <v>3.1435124092805911E-2</v>
      </c>
      <c r="M10" s="13"/>
      <c r="N10">
        <v>364</v>
      </c>
      <c r="R10" s="553" t="s">
        <v>1325</v>
      </c>
      <c r="S10" s="546"/>
      <c r="T10" s="555">
        <f t="shared" ref="T10:AH10" si="8">IF(T9&lt;1,interpoler(mat_court,taux_court_act,T9*(T3-S3)),interpoler(mat,taux,T9))</f>
        <v>2.3281430422376737E-2</v>
      </c>
      <c r="U10" s="68">
        <f t="shared" si="8"/>
        <v>2.3281430422376737E-2</v>
      </c>
      <c r="V10" s="68">
        <f t="shared" si="8"/>
        <v>2.3281430422376737E-2</v>
      </c>
      <c r="W10" s="68">
        <f t="shared" si="8"/>
        <v>2.3281430422376737E-2</v>
      </c>
      <c r="X10" s="68">
        <f t="shared" si="8"/>
        <v>2.3281430422376737E-2</v>
      </c>
      <c r="Y10" s="68">
        <f t="shared" si="8"/>
        <v>2.3281430422376737E-2</v>
      </c>
      <c r="Z10" s="68">
        <f t="shared" si="8"/>
        <v>2.3281430422376737E-2</v>
      </c>
      <c r="AA10" s="68">
        <f t="shared" si="8"/>
        <v>2.3281430422376737E-2</v>
      </c>
      <c r="AB10" s="68">
        <f t="shared" si="8"/>
        <v>2.3281430422376737E-2</v>
      </c>
      <c r="AC10" s="68">
        <f t="shared" si="8"/>
        <v>2.3281430422376737E-2</v>
      </c>
      <c r="AD10" s="68">
        <f t="shared" si="8"/>
        <v>2.3281430422376737E-2</v>
      </c>
      <c r="AE10" s="68">
        <f t="shared" si="8"/>
        <v>2.3281430422376737E-2</v>
      </c>
      <c r="AF10" s="68">
        <f t="shared" si="8"/>
        <v>2.3281430422376737E-2</v>
      </c>
      <c r="AG10" s="68">
        <f t="shared" si="8"/>
        <v>2.3281430422376737E-2</v>
      </c>
      <c r="AH10" s="68">
        <f t="shared" si="8"/>
        <v>2.3281430422376737E-2</v>
      </c>
    </row>
    <row r="11" spans="1:35" ht="15.75" x14ac:dyDescent="0.25">
      <c r="A11" s="24"/>
      <c r="B11" s="24"/>
      <c r="C11" s="28"/>
      <c r="D11" s="949">
        <f t="shared" si="1"/>
        <v>2192</v>
      </c>
      <c r="E11" s="9">
        <v>6</v>
      </c>
      <c r="F11" s="52">
        <f>+IF(D11&gt;365,interpoler(_mat2,taux2,D11),IF(D11&lt;='Courbe des taux'!$G$2,interpoler(_mat1,taux1,D11),((1+interpoler(_mat2,taux2,D11))^(D11/365)-1)*360/D11))</f>
        <v>3.1254783748361728E-2</v>
      </c>
      <c r="G11" s="104">
        <f>((1+F11)/(1-F11*SUM(H$1:H10)))^(1/E11)-1</f>
        <v>3.1435124092805911E-2</v>
      </c>
      <c r="H11" s="14">
        <f t="shared" si="2"/>
        <v>0.83051694981586088</v>
      </c>
      <c r="I11" s="13"/>
      <c r="K11" s="15">
        <v>7</v>
      </c>
      <c r="L11" s="22">
        <f t="shared" si="3"/>
        <v>3.1938765927804758E-2</v>
      </c>
      <c r="M11" s="13"/>
      <c r="N11">
        <f>N10/366</f>
        <v>0.99453551912568305</v>
      </c>
      <c r="R11" s="537" t="s">
        <v>1328</v>
      </c>
      <c r="S11" s="546"/>
      <c r="T11" s="553" t="e">
        <f>+Lignes_détenues!#REF!</f>
        <v>#REF!</v>
      </c>
      <c r="U11" s="29" t="e">
        <f t="shared" ref="U11:AH11" si="9">+T11</f>
        <v>#REF!</v>
      </c>
      <c r="V11" s="29" t="e">
        <f t="shared" si="9"/>
        <v>#REF!</v>
      </c>
      <c r="W11" s="29" t="e">
        <f t="shared" si="9"/>
        <v>#REF!</v>
      </c>
      <c r="X11" s="29" t="e">
        <f t="shared" si="9"/>
        <v>#REF!</v>
      </c>
      <c r="Y11" s="29" t="e">
        <f t="shared" si="9"/>
        <v>#REF!</v>
      </c>
      <c r="Z11" s="29" t="e">
        <f t="shared" si="9"/>
        <v>#REF!</v>
      </c>
      <c r="AA11" s="29" t="e">
        <f t="shared" si="9"/>
        <v>#REF!</v>
      </c>
      <c r="AB11" s="29" t="e">
        <f t="shared" si="9"/>
        <v>#REF!</v>
      </c>
      <c r="AC11" s="29" t="e">
        <f t="shared" si="9"/>
        <v>#REF!</v>
      </c>
      <c r="AD11" s="29" t="e">
        <f t="shared" si="9"/>
        <v>#REF!</v>
      </c>
      <c r="AE11" s="29" t="e">
        <f t="shared" si="9"/>
        <v>#REF!</v>
      </c>
      <c r="AF11" s="29" t="e">
        <f t="shared" si="9"/>
        <v>#REF!</v>
      </c>
      <c r="AG11" s="29" t="e">
        <f t="shared" si="9"/>
        <v>#REF!</v>
      </c>
      <c r="AH11" s="29" t="e">
        <f t="shared" si="9"/>
        <v>#REF!</v>
      </c>
    </row>
    <row r="12" spans="1:35" ht="15.75" x14ac:dyDescent="0.25">
      <c r="A12" s="24"/>
      <c r="B12" s="24"/>
      <c r="C12" s="28"/>
      <c r="D12" s="949">
        <f t="shared" si="1"/>
        <v>2557</v>
      </c>
      <c r="E12" s="9">
        <v>7</v>
      </c>
      <c r="F12" s="52">
        <f>+IF(D12&gt;365,interpoler(_mat2,taux2,D12),IF(D12&lt;='Courbe des taux'!$G$2,interpoler(_mat1,taux1,D12),((1+interpoler(_mat2,taux2,D12))^(D12/365)-1)*360/D12))</f>
        <v>3.1733158584534731E-2</v>
      </c>
      <c r="G12" s="104">
        <f>((1+F12)/(1-F12*SUM(H$1:H11)))^(1/E12)-1</f>
        <v>3.1938765927804758E-2</v>
      </c>
      <c r="H12" s="14">
        <f t="shared" si="2"/>
        <v>0.80245836278521721</v>
      </c>
      <c r="I12" s="13"/>
      <c r="K12" s="15">
        <v>8</v>
      </c>
      <c r="L12" s="22">
        <f t="shared" si="3"/>
        <v>3.2452566469796107E-2</v>
      </c>
      <c r="M12" s="13"/>
      <c r="N12" s="52" t="e">
        <v>#NAME?</v>
      </c>
      <c r="R12" s="537" t="s">
        <v>1329</v>
      </c>
      <c r="S12" s="546"/>
      <c r="T12" s="542" t="e">
        <f t="shared" ref="T12:AD12" si="10">+ROUND(T10+T11,6)</f>
        <v>#REF!</v>
      </c>
      <c r="U12" s="13" t="e">
        <f t="shared" si="10"/>
        <v>#REF!</v>
      </c>
      <c r="V12" s="13" t="e">
        <f t="shared" si="10"/>
        <v>#REF!</v>
      </c>
      <c r="W12" s="13" t="e">
        <f t="shared" si="10"/>
        <v>#REF!</v>
      </c>
      <c r="X12" s="13" t="e">
        <f t="shared" si="10"/>
        <v>#REF!</v>
      </c>
      <c r="Y12" s="13" t="e">
        <f t="shared" si="10"/>
        <v>#REF!</v>
      </c>
      <c r="Z12" s="13" t="e">
        <f t="shared" si="10"/>
        <v>#REF!</v>
      </c>
      <c r="AA12" s="13" t="e">
        <f t="shared" si="10"/>
        <v>#REF!</v>
      </c>
      <c r="AB12" s="13" t="e">
        <f t="shared" si="10"/>
        <v>#REF!</v>
      </c>
      <c r="AC12" s="13" t="e">
        <f t="shared" si="10"/>
        <v>#REF!</v>
      </c>
      <c r="AD12" s="13" t="e">
        <f t="shared" si="10"/>
        <v>#REF!</v>
      </c>
      <c r="AE12" s="13" t="e">
        <f>+ROUND(AE10+AE11,5)</f>
        <v>#REF!</v>
      </c>
      <c r="AF12" s="58" t="e">
        <f>+ROUND(AF11+AF10,5)</f>
        <v>#REF!</v>
      </c>
      <c r="AG12" s="96" t="e">
        <f>+ROUND(AG10+AG11,5)</f>
        <v>#REF!</v>
      </c>
      <c r="AH12" s="58" t="e">
        <f>+ROUND(AH10+AH11,5)</f>
        <v>#REF!</v>
      </c>
    </row>
    <row r="13" spans="1:35" ht="15.75" x14ac:dyDescent="0.25">
      <c r="A13" s="24"/>
      <c r="B13" s="24"/>
      <c r="C13" s="28"/>
      <c r="D13" s="949">
        <f t="shared" si="1"/>
        <v>2922</v>
      </c>
      <c r="E13" s="9">
        <v>8</v>
      </c>
      <c r="F13" s="52">
        <f>+IF(D13&gt;365,interpoler(_mat2,taux2,D13),IF(D13&lt;='Courbe des taux'!$G$2,interpoler(_mat1,taux1,D13),((1+interpoler(_mat2,taux2,D13))^(D13/365)-1)*360/D13))</f>
        <v>3.2211533420707733E-2</v>
      </c>
      <c r="G13" s="104">
        <f>((1+F13)/(1-F13*SUM(H$1:H12)))^(1/E13)-1</f>
        <v>3.2452566469796107E-2</v>
      </c>
      <c r="H13" s="14">
        <f t="shared" si="2"/>
        <v>0.77453158821142465</v>
      </c>
      <c r="I13" s="13"/>
      <c r="K13" s="15">
        <v>9</v>
      </c>
      <c r="L13" s="22">
        <f t="shared" si="3"/>
        <v>3.2976084793189919E-2</v>
      </c>
      <c r="M13" s="13"/>
      <c r="R13" s="537"/>
      <c r="S13" s="546"/>
      <c r="T13" s="547" t="e">
        <f t="shared" ref="T13:AH13" si="11">+T8/(1+T12)^T9</f>
        <v>#REF!</v>
      </c>
      <c r="U13" s="21" t="e">
        <f t="shared" si="11"/>
        <v>#REF!</v>
      </c>
      <c r="V13" s="21" t="e">
        <f t="shared" si="11"/>
        <v>#REF!</v>
      </c>
      <c r="W13" s="21" t="e">
        <f t="shared" si="11"/>
        <v>#REF!</v>
      </c>
      <c r="X13" s="21" t="e">
        <f t="shared" si="11"/>
        <v>#REF!</v>
      </c>
      <c r="Y13" s="21" t="e">
        <f t="shared" si="11"/>
        <v>#REF!</v>
      </c>
      <c r="Z13" s="21" t="e">
        <f t="shared" si="11"/>
        <v>#REF!</v>
      </c>
      <c r="AA13" s="21" t="e">
        <f t="shared" si="11"/>
        <v>#REF!</v>
      </c>
      <c r="AB13" s="21" t="e">
        <f t="shared" si="11"/>
        <v>#REF!</v>
      </c>
      <c r="AC13" s="21" t="e">
        <f t="shared" si="11"/>
        <v>#REF!</v>
      </c>
      <c r="AD13" s="21" t="e">
        <f t="shared" si="11"/>
        <v>#REF!</v>
      </c>
      <c r="AE13" s="21" t="e">
        <f t="shared" si="11"/>
        <v>#REF!</v>
      </c>
      <c r="AF13" s="21" t="e">
        <f t="shared" si="11"/>
        <v>#REF!</v>
      </c>
      <c r="AG13" s="21" t="e">
        <f t="shared" si="11"/>
        <v>#REF!</v>
      </c>
      <c r="AH13" s="21" t="e">
        <f t="shared" si="11"/>
        <v>#REF!</v>
      </c>
    </row>
    <row r="14" spans="1:35" ht="15.75" x14ac:dyDescent="0.25">
      <c r="A14" s="24"/>
      <c r="B14" s="24"/>
      <c r="C14" s="28"/>
      <c r="D14" s="949">
        <f t="shared" si="1"/>
        <v>3287</v>
      </c>
      <c r="E14" s="9">
        <v>9</v>
      </c>
      <c r="F14" s="52">
        <f>+IF(D14&gt;365,interpoler(_mat2,taux2,D14),IF(D14&lt;='Courbe des taux'!$G$2,interpoler(_mat1,taux1,D14),((1+interpoler(_mat2,taux2,D14))^(D14/365)-1)*360/D14))</f>
        <v>3.2689908256880729E-2</v>
      </c>
      <c r="G14" s="104">
        <f>((1+F14)/(1-F14*SUM(H$1:H13)))^(1/E14)-1</f>
        <v>3.2976084793189919E-2</v>
      </c>
      <c r="H14" s="14">
        <f t="shared" si="2"/>
        <v>0.74677126326990706</v>
      </c>
      <c r="I14" s="13"/>
      <c r="K14" s="15">
        <v>10</v>
      </c>
      <c r="L14" s="22">
        <f t="shared" si="3"/>
        <v>3.3587902526844182E-2</v>
      </c>
      <c r="M14" s="13"/>
      <c r="N14" s="96" t="e">
        <f>N12+0.25%</f>
        <v>#NAME?</v>
      </c>
      <c r="R14" s="537"/>
      <c r="S14" s="546"/>
      <c r="T14" s="549"/>
      <c r="U14" s="23"/>
      <c r="V14" s="23"/>
      <c r="W14" s="23"/>
      <c r="X14" s="23"/>
      <c r="Y14" s="23"/>
      <c r="Z14" s="23"/>
      <c r="AA14" s="23"/>
      <c r="AB14" s="23"/>
      <c r="AC14" s="23"/>
      <c r="AD14" s="23"/>
      <c r="AE14" s="23"/>
      <c r="AF14" s="23"/>
      <c r="AG14" s="23"/>
      <c r="AH14" s="23"/>
    </row>
    <row r="15" spans="1:35" ht="15.75" x14ac:dyDescent="0.25">
      <c r="A15" s="24"/>
      <c r="B15" s="24"/>
      <c r="C15" s="3"/>
      <c r="D15" s="949">
        <f t="shared" si="1"/>
        <v>3653</v>
      </c>
      <c r="E15" s="9">
        <v>10</v>
      </c>
      <c r="F15" s="52">
        <f>+IF(D15&gt;365,interpoler(_mat2,taux2,D15),IF(D15&lt;='Courbe des taux'!$G$2,interpoler(_mat1,taux1,D15),((1+interpoler(_mat2,taux2,D15))^(D15/365)-1)*360/D15))</f>
        <v>3.3235010060362169E-2</v>
      </c>
      <c r="G15" s="104">
        <f>((1+F15)/(1-F15*SUM(H$1:H14)))^(1/E15)-1</f>
        <v>3.3587902526844182E-2</v>
      </c>
      <c r="H15" s="14">
        <f t="shared" si="2"/>
        <v>0.71866389115315121</v>
      </c>
      <c r="I15" s="13"/>
      <c r="K15" s="15">
        <v>11</v>
      </c>
      <c r="L15" s="22">
        <f t="shared" si="3"/>
        <v>3.4232444793527383E-2</v>
      </c>
      <c r="M15" s="13"/>
      <c r="R15" s="537" t="s">
        <v>650</v>
      </c>
      <c r="S15" s="561" t="e">
        <f>+SUM(U13:AI13)</f>
        <v>#REF!</v>
      </c>
      <c r="T15" s="562"/>
      <c r="U15" s="13"/>
      <c r="V15" s="13"/>
      <c r="W15" s="13"/>
      <c r="X15" s="13"/>
      <c r="Y15" s="13"/>
      <c r="Z15" s="13"/>
      <c r="AA15" s="13"/>
      <c r="AB15" s="13"/>
      <c r="AC15" s="13"/>
      <c r="AD15" s="13"/>
      <c r="AE15" s="58"/>
      <c r="AF15" s="13"/>
      <c r="AG15" s="13"/>
      <c r="AH15" s="13"/>
      <c r="AI15" s="13"/>
    </row>
    <row r="16" spans="1:35" ht="15.75" x14ac:dyDescent="0.25">
      <c r="A16" s="3"/>
      <c r="B16" s="31"/>
      <c r="C16" s="3"/>
      <c r="D16" s="949">
        <f t="shared" si="1"/>
        <v>4018</v>
      </c>
      <c r="E16" s="9">
        <v>11</v>
      </c>
      <c r="F16" s="52">
        <f>+IF(D16&gt;365,interpoler(_mat2,taux2,D16),IF(D16&lt;='Courbe des taux'!$G$2,interpoler(_mat1,taux1,D16),((1+interpoler(_mat2,taux2,D16))^(D16/365)-1)*360/D16))</f>
        <v>3.3798054996646544E-2</v>
      </c>
      <c r="G16" s="104">
        <f>((1+F16)/(1-F16*SUM(H$1:H15)))^(1/E16)-1</f>
        <v>3.4232444793527383E-2</v>
      </c>
      <c r="H16" s="14">
        <f t="shared" si="2"/>
        <v>0.69055816335887144</v>
      </c>
      <c r="I16" s="13"/>
      <c r="K16" s="15">
        <v>12</v>
      </c>
      <c r="L16" s="22">
        <f t="shared" si="3"/>
        <v>3.4889166452948039E-2</v>
      </c>
      <c r="M16" s="13"/>
      <c r="R16" s="537" t="s">
        <v>1331</v>
      </c>
      <c r="S16" s="547" t="e">
        <f>+SUMPRODUCT(T9:AH9,T13:AH13)/S15</f>
        <v>#REF!</v>
      </c>
      <c r="T16" s="537"/>
      <c r="AF16" s="280"/>
    </row>
    <row r="17" spans="1:34" ht="15.75" x14ac:dyDescent="0.25">
      <c r="A17" s="3"/>
      <c r="B17" s="28"/>
      <c r="C17" s="3"/>
      <c r="D17" s="949">
        <f t="shared" si="1"/>
        <v>4383</v>
      </c>
      <c r="E17" s="9">
        <v>12</v>
      </c>
      <c r="F17" s="52">
        <f>+IF(D17&gt;365,interpoler(_mat2,taux2,D17),IF(D17&lt;='Courbe des taux'!$G$2,interpoler(_mat1,taux1,D17),((1+interpoler(_mat2,taux2,D17))^(D17/365)-1)*360/D17))</f>
        <v>3.4361099932930919E-2</v>
      </c>
      <c r="G17" s="104">
        <f>((1+F17)/(1-F17*SUM(H$1:H16)))^(1/E17)-1</f>
        <v>3.4889166452948039E-2</v>
      </c>
      <c r="H17" s="14">
        <f t="shared" si="2"/>
        <v>0.66263429968077048</v>
      </c>
      <c r="I17" s="13"/>
      <c r="K17" s="15">
        <v>13</v>
      </c>
      <c r="L17" s="22">
        <f t="shared" si="3"/>
        <v>3.5558990149637149E-2</v>
      </c>
      <c r="M17" s="13"/>
      <c r="N17">
        <v>8.2520547945205482</v>
      </c>
      <c r="S17" s="20"/>
    </row>
    <row r="18" spans="1:34" ht="15.75" x14ac:dyDescent="0.25">
      <c r="A18" s="3"/>
      <c r="B18" s="3"/>
      <c r="C18" s="3"/>
      <c r="D18" s="949">
        <f t="shared" si="1"/>
        <v>4748</v>
      </c>
      <c r="E18" s="9">
        <v>13</v>
      </c>
      <c r="F18" s="52">
        <f>+IF(D18&gt;365,interpoler(_mat2,taux2,D18),IF(D18&lt;='Courbe des taux'!$G$2,interpoler(_mat1,taux1,D18),((1+interpoler(_mat2,taux2,D18))^(D18/365)-1)*360/D18))</f>
        <v>3.4924144869215287E-2</v>
      </c>
      <c r="G18" s="104">
        <f>((1+F18)/(1-F18*SUM(H$1:H17)))^(1/E18)-1</f>
        <v>3.5558990149637149E-2</v>
      </c>
      <c r="H18" s="14">
        <f t="shared" si="2"/>
        <v>0.63493173848889461</v>
      </c>
      <c r="I18" s="13"/>
      <c r="K18" s="15">
        <v>14</v>
      </c>
      <c r="L18" s="22">
        <f t="shared" si="3"/>
        <v>3.5946526732990369E-2</v>
      </c>
      <c r="M18" s="13"/>
      <c r="N18" s="96"/>
      <c r="S18" s="20"/>
    </row>
    <row r="19" spans="1:34" ht="15.75" x14ac:dyDescent="0.25">
      <c r="A19" s="3"/>
      <c r="B19" s="3"/>
      <c r="C19" s="3"/>
      <c r="D19" s="949">
        <f t="shared" si="1"/>
        <v>5114</v>
      </c>
      <c r="E19" s="9">
        <v>14</v>
      </c>
      <c r="F19" s="52">
        <f>+IF(D19&gt;365,interpoler(_mat2,taux2,D19),IF(D19&lt;='Courbe des taux'!$G$2,interpoler(_mat1,taux1,D19),((1+interpoler(_mat2,taux2,D19))^(D19/365)-1)*360/D19))</f>
        <v>3.5258990536277603E-2</v>
      </c>
      <c r="G19" s="104">
        <f>((1+F19)/(1-F19*SUM(H$1:H18)))^(1/E19)-1</f>
        <v>3.5946526732990369E-2</v>
      </c>
      <c r="H19" s="14">
        <f t="shared" si="2"/>
        <v>0.60992615692957486</v>
      </c>
      <c r="I19" s="871" t="s">
        <v>3277</v>
      </c>
      <c r="K19" s="15">
        <v>15</v>
      </c>
      <c r="L19" s="22">
        <f t="shared" si="3"/>
        <v>3.620514874926295E-2</v>
      </c>
      <c r="M19" s="13"/>
      <c r="N19" t="e">
        <v>#NAME?</v>
      </c>
      <c r="S19" s="20"/>
    </row>
    <row r="20" spans="1:34" ht="15.75" x14ac:dyDescent="0.25">
      <c r="A20" s="3"/>
      <c r="B20" s="3"/>
      <c r="C20" s="3"/>
      <c r="D20" s="949">
        <f t="shared" si="1"/>
        <v>5479</v>
      </c>
      <c r="E20" s="9">
        <v>15</v>
      </c>
      <c r="F20" s="52">
        <f>+IF(D20&gt;365,interpoler(_mat2,taux2,D20),IF(D20&lt;='Courbe des taux'!$G$2,interpoler(_mat1,taux1,D20),((1+interpoler(_mat2,taux2,D20))^(D20/365)-1)*360/D20))</f>
        <v>3.5489274447949526E-2</v>
      </c>
      <c r="G20" s="104">
        <f>((1+F20)/(1-F20*SUM(H$1:H19)))^(1/E20)-1</f>
        <v>3.620514874926295E-2</v>
      </c>
      <c r="H20" s="14">
        <f>J9</f>
        <v>0</v>
      </c>
      <c r="I20" s="13">
        <f>H20-G20</f>
        <v>-3.620514874926295E-2</v>
      </c>
      <c r="J20" t="str">
        <f>IF(I20&gt;0,"p","q")</f>
        <v>q</v>
      </c>
      <c r="K20" s="15">
        <v>16</v>
      </c>
      <c r="L20" s="22">
        <f t="shared" si="3"/>
        <v>3.4190431471718963E-2</v>
      </c>
      <c r="M20" s="13"/>
      <c r="S20" s="21"/>
    </row>
    <row r="21" spans="1:34" ht="15.75" x14ac:dyDescent="0.25">
      <c r="A21" s="3"/>
      <c r="B21" s="3"/>
      <c r="C21" s="3"/>
      <c r="D21" s="949">
        <f t="shared" si="1"/>
        <v>5844</v>
      </c>
      <c r="E21" s="9">
        <v>16</v>
      </c>
      <c r="F21" s="52">
        <f>+IF(D21&gt;365,interpoler(_mat2,taux2,D21),IF(D21&lt;='Courbe des taux'!$G$2,interpoler(_mat1,taux1,D21),((1+interpoler(_mat2,taux2,D21))^(D21/365)-1)*360/D21))</f>
        <v>3.5719558359621449E-2</v>
      </c>
      <c r="G21" s="104">
        <f>((1+F21)/(1-F21*SUM(H$1:H20)))^(1/E21)-1</f>
        <v>3.4190431471718963E-2</v>
      </c>
      <c r="H21" s="14">
        <f>J10</f>
        <v>0</v>
      </c>
      <c r="I21" s="13">
        <f>H21-G21</f>
        <v>-3.4190431471718963E-2</v>
      </c>
      <c r="K21" s="15">
        <v>17</v>
      </c>
      <c r="L21" s="22">
        <f t="shared" si="3"/>
        <v>3.2417067605116312E-2</v>
      </c>
      <c r="M21" s="13"/>
      <c r="N21" s="49">
        <f>(N17-K12)*(L13-L12)/(K13-K12)+L12</f>
        <v>3.2584521773226877E-2</v>
      </c>
      <c r="R21" s="537"/>
      <c r="S21" s="538" t="s">
        <v>103</v>
      </c>
      <c r="T21" s="539">
        <f>+B4</f>
        <v>46107</v>
      </c>
      <c r="U21" s="537"/>
      <c r="V21" s="537"/>
    </row>
    <row r="22" spans="1:34" ht="15.75" x14ac:dyDescent="0.25">
      <c r="A22" s="3"/>
      <c r="B22" s="3"/>
      <c r="C22" s="3"/>
      <c r="D22" s="949">
        <f t="shared" si="1"/>
        <v>6209</v>
      </c>
      <c r="E22" s="9">
        <v>17</v>
      </c>
      <c r="F22" s="52">
        <f>+IF(D22&gt;365,interpoler(_mat2,taux2,D22),IF(D22&lt;='Courbe des taux'!$G$2,interpoler(_mat1,taux1,D22),((1+interpoler(_mat2,taux2,D22))^(D22/365)-1)*360/D22))</f>
        <v>3.5949842271293372E-2</v>
      </c>
      <c r="G22" s="104">
        <f>((1+F22)/(1-F22*SUM(H$1:H21)))^(1/E22)-1</f>
        <v>3.2417067605116312E-2</v>
      </c>
      <c r="H22" s="14">
        <f>1/(1+G22)^E22</f>
        <v>0.58138258096036444</v>
      </c>
      <c r="I22" s="13"/>
      <c r="K22" s="15">
        <v>18</v>
      </c>
      <c r="L22" s="22">
        <f t="shared" si="3"/>
        <v>3.2891778541332073E-2</v>
      </c>
      <c r="M22" s="13"/>
      <c r="R22" s="537">
        <v>9004</v>
      </c>
      <c r="S22" s="541" t="s">
        <v>105</v>
      </c>
      <c r="T22" s="542">
        <v>6.9500000000000006E-2</v>
      </c>
      <c r="U22" s="542"/>
      <c r="V22" s="537"/>
    </row>
    <row r="23" spans="1:34" ht="15.75" x14ac:dyDescent="0.25">
      <c r="A23" s="3"/>
      <c r="B23" s="3"/>
      <c r="C23" s="3"/>
      <c r="D23" s="949">
        <f t="shared" si="1"/>
        <v>6575</v>
      </c>
      <c r="E23" s="9">
        <v>18</v>
      </c>
      <c r="F23" s="52">
        <f>+IF(D23&gt;365,interpoler(_mat2,taux2,D23),IF(D23&lt;='Courbe des taux'!$G$2,interpoler(_mat1,taux1,D23),((1+interpoler(_mat2,taux2,D23))^(D23/365)-1)*360/D23))</f>
        <v>3.6180757097791796E-2</v>
      </c>
      <c r="G23" s="104">
        <f>((1+F23)/(1-F23*SUM(H$1:H22)))^(1/E23)-1</f>
        <v>3.2891778541332073E-2</v>
      </c>
      <c r="H23" s="14">
        <f t="shared" ref="H23:H28" si="12">J12</f>
        <v>0</v>
      </c>
      <c r="I23" s="13"/>
      <c r="K23" s="15">
        <v>19</v>
      </c>
      <c r="L23" s="22">
        <f t="shared" si="3"/>
        <v>3.1398120796429785E-2</v>
      </c>
      <c r="M23" s="13"/>
      <c r="R23" s="537"/>
      <c r="S23" s="543">
        <v>37404</v>
      </c>
      <c r="T23" s="539">
        <v>37769</v>
      </c>
      <c r="U23" s="543">
        <v>38135</v>
      </c>
      <c r="V23" s="539">
        <v>38500</v>
      </c>
      <c r="W23" s="17">
        <v>38865</v>
      </c>
      <c r="X23" s="8">
        <v>39230</v>
      </c>
      <c r="Y23" s="17">
        <v>39596</v>
      </c>
      <c r="Z23" s="8">
        <v>39961</v>
      </c>
      <c r="AA23" s="17">
        <v>40326</v>
      </c>
      <c r="AB23" s="8">
        <v>40691</v>
      </c>
      <c r="AC23" s="17">
        <v>41057</v>
      </c>
      <c r="AD23" s="8">
        <v>41422</v>
      </c>
      <c r="AE23" s="17">
        <v>41787</v>
      </c>
      <c r="AF23" s="8">
        <v>42152</v>
      </c>
      <c r="AG23" s="17">
        <v>42518</v>
      </c>
      <c r="AH23" s="8">
        <v>42883</v>
      </c>
    </row>
    <row r="24" spans="1:34" ht="15.75" x14ac:dyDescent="0.25">
      <c r="B24" s="3"/>
      <c r="D24" s="949">
        <f t="shared" si="1"/>
        <v>6940</v>
      </c>
      <c r="E24" s="9">
        <v>19</v>
      </c>
      <c r="F24" s="52">
        <f>+IF(D24&gt;365,interpoler(_mat2,taux2,D24),IF(D24&lt;='Courbe des taux'!$G$2,interpoler(_mat1,taux1,D24),((1+interpoler(_mat2,taux2,D24))^(D24/365)-1)*360/D24))</f>
        <v>3.641104100946372E-2</v>
      </c>
      <c r="G24" s="104">
        <f>((1+F24)/(1-F24*SUM(H$1:H23)))^(1/E24)-1</f>
        <v>3.1398120796429785E-2</v>
      </c>
      <c r="H24" s="14">
        <f t="shared" si="12"/>
        <v>0</v>
      </c>
      <c r="I24" s="13"/>
      <c r="K24" s="15">
        <v>20</v>
      </c>
      <c r="L24" s="22">
        <f t="shared" si="3"/>
        <v>3.0200685752548084E-2</v>
      </c>
      <c r="M24" s="13"/>
      <c r="R24" s="537" t="s">
        <v>1318</v>
      </c>
      <c r="S24" s="546"/>
      <c r="T24" s="547">
        <v>10000</v>
      </c>
      <c r="U24" s="547">
        <v>10000</v>
      </c>
      <c r="V24" s="547">
        <v>10000</v>
      </c>
      <c r="W24" s="21">
        <v>10000</v>
      </c>
      <c r="X24" s="21">
        <v>10000</v>
      </c>
      <c r="Y24" s="21">
        <v>10000</v>
      </c>
      <c r="Z24" s="21">
        <v>10000</v>
      </c>
      <c r="AA24" s="21">
        <v>10000</v>
      </c>
      <c r="AB24" s="21">
        <v>10000</v>
      </c>
      <c r="AC24" s="21">
        <v>10000</v>
      </c>
      <c r="AD24" s="21">
        <v>10000</v>
      </c>
      <c r="AE24" s="21">
        <v>10000</v>
      </c>
      <c r="AF24" s="21">
        <v>10000</v>
      </c>
      <c r="AG24" s="21">
        <v>10000</v>
      </c>
      <c r="AH24" s="21">
        <v>10000</v>
      </c>
    </row>
    <row r="25" spans="1:34" ht="16.5" thickBot="1" x14ac:dyDescent="0.3">
      <c r="D25" s="949">
        <f t="shared" si="1"/>
        <v>7305</v>
      </c>
      <c r="E25" s="32">
        <v>20</v>
      </c>
      <c r="F25" s="52">
        <f>+IF(D25&gt;365,interpoler(_mat2,taux2,D25),IF(D25&lt;='Courbe des taux'!$G$2,interpoler(_mat1,taux1,D25),((1+interpoler(_mat2,taux2,D25))^(D25/365)-1)*360/D25))</f>
        <v>3.677247524752475E-2</v>
      </c>
      <c r="G25" s="104">
        <f>((1+F25)/(1-F25*SUM(H$1:H24)))^(1/E25)-1</f>
        <v>3.0200685752548084E-2</v>
      </c>
      <c r="H25" s="33">
        <f t="shared" si="12"/>
        <v>0</v>
      </c>
      <c r="I25" s="13"/>
      <c r="R25" s="537" t="s">
        <v>1320</v>
      </c>
      <c r="S25" s="563">
        <v>150000</v>
      </c>
      <c r="T25" s="564">
        <f>+S25-T24</f>
        <v>140000</v>
      </c>
      <c r="U25" s="564">
        <f t="shared" ref="U25:AH25" si="13">+T25-U24</f>
        <v>130000</v>
      </c>
      <c r="V25" s="564">
        <f t="shared" si="13"/>
        <v>120000</v>
      </c>
      <c r="W25" s="98">
        <f t="shared" si="13"/>
        <v>110000</v>
      </c>
      <c r="X25" s="98">
        <f t="shared" si="13"/>
        <v>100000</v>
      </c>
      <c r="Y25" s="98">
        <f t="shared" si="13"/>
        <v>90000</v>
      </c>
      <c r="Z25" s="98">
        <f t="shared" si="13"/>
        <v>80000</v>
      </c>
      <c r="AA25" s="98">
        <f t="shared" si="13"/>
        <v>70000</v>
      </c>
      <c r="AB25" s="98">
        <f t="shared" si="13"/>
        <v>60000</v>
      </c>
      <c r="AC25" s="98">
        <f t="shared" si="13"/>
        <v>50000</v>
      </c>
      <c r="AD25" s="98">
        <f t="shared" si="13"/>
        <v>40000</v>
      </c>
      <c r="AE25" s="98">
        <f t="shared" si="13"/>
        <v>30000</v>
      </c>
      <c r="AF25" s="98">
        <f t="shared" si="13"/>
        <v>20000</v>
      </c>
      <c r="AG25" s="98">
        <f t="shared" si="13"/>
        <v>10000</v>
      </c>
      <c r="AH25" s="98">
        <f t="shared" si="13"/>
        <v>0</v>
      </c>
    </row>
    <row r="26" spans="1:34" ht="15.75" x14ac:dyDescent="0.25">
      <c r="D26" s="3"/>
      <c r="H26">
        <f t="shared" si="12"/>
        <v>0</v>
      </c>
      <c r="R26" s="537" t="s">
        <v>1321</v>
      </c>
      <c r="S26" s="565"/>
      <c r="T26" s="564">
        <f>+$T$22*S25</f>
        <v>10425.000000000002</v>
      </c>
      <c r="U26" s="564">
        <f>+$T$22*T25</f>
        <v>9730</v>
      </c>
      <c r="V26" s="564">
        <f>+$T$22*U25</f>
        <v>9035</v>
      </c>
      <c r="W26" s="98">
        <f>+$T$22*V25</f>
        <v>8340</v>
      </c>
      <c r="X26" s="98">
        <f t="shared" ref="X26:AH26" si="14">+$T$22*W25</f>
        <v>7645.0000000000009</v>
      </c>
      <c r="Y26" s="98">
        <f t="shared" si="14"/>
        <v>6950.0000000000009</v>
      </c>
      <c r="Z26" s="98">
        <f t="shared" si="14"/>
        <v>6255.0000000000009</v>
      </c>
      <c r="AA26" s="98">
        <f t="shared" si="14"/>
        <v>5560.0000000000009</v>
      </c>
      <c r="AB26" s="98">
        <f t="shared" si="14"/>
        <v>4865</v>
      </c>
      <c r="AC26" s="98">
        <f t="shared" si="14"/>
        <v>4170</v>
      </c>
      <c r="AD26" s="98">
        <f t="shared" si="14"/>
        <v>3475.0000000000005</v>
      </c>
      <c r="AE26" s="98">
        <f t="shared" si="14"/>
        <v>2780.0000000000005</v>
      </c>
      <c r="AF26" s="98">
        <f t="shared" si="14"/>
        <v>2085</v>
      </c>
      <c r="AG26" s="98">
        <f t="shared" si="14"/>
        <v>1390.0000000000002</v>
      </c>
      <c r="AH26" s="98">
        <f t="shared" si="14"/>
        <v>695.00000000000011</v>
      </c>
    </row>
    <row r="27" spans="1:34" x14ac:dyDescent="0.2">
      <c r="G27" s="96"/>
      <c r="H27">
        <f t="shared" si="12"/>
        <v>0</v>
      </c>
      <c r="R27" s="537" t="s">
        <v>1322</v>
      </c>
      <c r="S27" s="565"/>
      <c r="T27" s="564">
        <f t="shared" ref="T27:AH27" si="15">+T26+T24</f>
        <v>20425</v>
      </c>
      <c r="U27" s="564">
        <f t="shared" si="15"/>
        <v>19730</v>
      </c>
      <c r="V27" s="564">
        <f t="shared" si="15"/>
        <v>19035</v>
      </c>
      <c r="W27" s="98">
        <f>+W26+W24</f>
        <v>18340</v>
      </c>
      <c r="X27" s="98">
        <f t="shared" si="15"/>
        <v>17645</v>
      </c>
      <c r="Y27" s="98">
        <f t="shared" si="15"/>
        <v>16950</v>
      </c>
      <c r="Z27" s="98">
        <f t="shared" si="15"/>
        <v>16255</v>
      </c>
      <c r="AA27" s="98">
        <f t="shared" si="15"/>
        <v>15560</v>
      </c>
      <c r="AB27" s="98">
        <f t="shared" si="15"/>
        <v>14865</v>
      </c>
      <c r="AC27" s="98">
        <f t="shared" si="15"/>
        <v>14170</v>
      </c>
      <c r="AD27" s="98">
        <f t="shared" si="15"/>
        <v>13475</v>
      </c>
      <c r="AE27" s="98">
        <f t="shared" si="15"/>
        <v>12780</v>
      </c>
      <c r="AF27" s="98">
        <f t="shared" si="15"/>
        <v>12085</v>
      </c>
      <c r="AG27" s="98">
        <f t="shared" si="15"/>
        <v>11390</v>
      </c>
      <c r="AH27" s="98">
        <f t="shared" si="15"/>
        <v>10695</v>
      </c>
    </row>
    <row r="28" spans="1:34" x14ac:dyDescent="0.2">
      <c r="G28" s="96"/>
      <c r="H28">
        <f t="shared" si="12"/>
        <v>0</v>
      </c>
      <c r="R28" s="537" t="s">
        <v>1323</v>
      </c>
      <c r="S28" s="563"/>
      <c r="T28" s="564">
        <f t="shared" ref="T28:AH28" si="16">+IF(T23&gt;$T$1,T27,0)</f>
        <v>0</v>
      </c>
      <c r="U28" s="564">
        <f t="shared" si="16"/>
        <v>0</v>
      </c>
      <c r="V28" s="564">
        <f t="shared" si="16"/>
        <v>0</v>
      </c>
      <c r="W28" s="98">
        <f t="shared" si="16"/>
        <v>0</v>
      </c>
      <c r="X28" s="98">
        <f t="shared" si="16"/>
        <v>0</v>
      </c>
      <c r="Y28" s="98">
        <f t="shared" si="16"/>
        <v>0</v>
      </c>
      <c r="Z28" s="98">
        <f t="shared" si="16"/>
        <v>0</v>
      </c>
      <c r="AA28" s="98">
        <f t="shared" si="16"/>
        <v>0</v>
      </c>
      <c r="AB28" s="98">
        <f t="shared" si="16"/>
        <v>0</v>
      </c>
      <c r="AC28" s="98">
        <f t="shared" si="16"/>
        <v>0</v>
      </c>
      <c r="AD28" s="98">
        <f t="shared" si="16"/>
        <v>0</v>
      </c>
      <c r="AE28" s="98">
        <f t="shared" si="16"/>
        <v>0</v>
      </c>
      <c r="AF28" s="98">
        <f t="shared" si="16"/>
        <v>0</v>
      </c>
      <c r="AG28" s="98">
        <f t="shared" si="16"/>
        <v>0</v>
      </c>
      <c r="AH28" s="98">
        <f t="shared" si="16"/>
        <v>0</v>
      </c>
    </row>
    <row r="29" spans="1:34" x14ac:dyDescent="0.2">
      <c r="G29" s="96"/>
      <c r="R29" s="537" t="s">
        <v>1324</v>
      </c>
      <c r="S29" s="551"/>
      <c r="T29" s="537">
        <f t="shared" ref="T29:AH29" si="17">+IF(S28=0,(T23-$T$1)/(T23-S23),S29+1)</f>
        <v>-22.843835616438355</v>
      </c>
      <c r="U29" s="537">
        <f t="shared" si="17"/>
        <v>-21.781420765027324</v>
      </c>
      <c r="V29" s="537">
        <f t="shared" si="17"/>
        <v>-20.841095890410958</v>
      </c>
      <c r="W29">
        <f t="shared" si="17"/>
        <v>-19.841095890410958</v>
      </c>
      <c r="X29">
        <f t="shared" si="17"/>
        <v>-18.841095890410958</v>
      </c>
      <c r="Y29">
        <f t="shared" si="17"/>
        <v>-17.789617486338798</v>
      </c>
      <c r="Z29">
        <f t="shared" si="17"/>
        <v>-16.838356164383562</v>
      </c>
      <c r="AA29">
        <f t="shared" si="17"/>
        <v>-15.838356164383562</v>
      </c>
      <c r="AB29">
        <f t="shared" si="17"/>
        <v>-14.838356164383562</v>
      </c>
      <c r="AC29">
        <f t="shared" si="17"/>
        <v>-13.797814207650273</v>
      </c>
      <c r="AD29">
        <f t="shared" si="17"/>
        <v>-12.835616438356164</v>
      </c>
      <c r="AE29">
        <f t="shared" si="17"/>
        <v>-11.835616438356164</v>
      </c>
      <c r="AF29">
        <f t="shared" si="17"/>
        <v>-10.835616438356164</v>
      </c>
      <c r="AG29">
        <f t="shared" si="17"/>
        <v>-9.806010928961749</v>
      </c>
      <c r="AH29">
        <f t="shared" si="17"/>
        <v>-8.8328767123287673</v>
      </c>
    </row>
    <row r="30" spans="1:34" x14ac:dyDescent="0.2">
      <c r="G30" s="96"/>
      <c r="R30" s="553" t="s">
        <v>1325</v>
      </c>
      <c r="S30" s="546"/>
      <c r="T30" s="555">
        <f t="shared" ref="T30:AH30" si="18">IF(T29&lt;1,interpoler(mat_court,taux_court_act,T29*(T23-S23)),interpoler(mat,taux,T29))</f>
        <v>2.3281430422376737E-2</v>
      </c>
      <c r="U30" s="555">
        <f t="shared" si="18"/>
        <v>2.3281430422376737E-2</v>
      </c>
      <c r="V30" s="555">
        <f t="shared" si="18"/>
        <v>2.3281430422376737E-2</v>
      </c>
      <c r="W30" s="68">
        <f t="shared" si="18"/>
        <v>2.3281430422376737E-2</v>
      </c>
      <c r="X30" s="68">
        <f t="shared" si="18"/>
        <v>2.3281430422376737E-2</v>
      </c>
      <c r="Y30" s="68">
        <f t="shared" si="18"/>
        <v>2.3281430422376737E-2</v>
      </c>
      <c r="Z30" s="68">
        <f t="shared" si="18"/>
        <v>2.3281430422376737E-2</v>
      </c>
      <c r="AA30" s="68">
        <f t="shared" si="18"/>
        <v>2.3281430422376737E-2</v>
      </c>
      <c r="AB30" s="68">
        <f t="shared" si="18"/>
        <v>2.3281430422376737E-2</v>
      </c>
      <c r="AC30" s="68">
        <f t="shared" si="18"/>
        <v>2.3281430422376737E-2</v>
      </c>
      <c r="AD30" s="68">
        <f t="shared" si="18"/>
        <v>2.3281430422376737E-2</v>
      </c>
      <c r="AE30" s="68">
        <f t="shared" si="18"/>
        <v>2.3281430422376737E-2</v>
      </c>
      <c r="AF30" s="68">
        <f t="shared" si="18"/>
        <v>2.3281430422376737E-2</v>
      </c>
      <c r="AG30" s="68">
        <f t="shared" si="18"/>
        <v>2.3281430422376737E-2</v>
      </c>
      <c r="AH30" s="68">
        <f t="shared" si="18"/>
        <v>2.3281430422376737E-2</v>
      </c>
    </row>
    <row r="31" spans="1:34" x14ac:dyDescent="0.2">
      <c r="G31" s="96"/>
      <c r="R31" s="537" t="s">
        <v>1328</v>
      </c>
      <c r="S31" s="546"/>
      <c r="T31" s="553">
        <v>2.5000000000000001E-3</v>
      </c>
      <c r="U31" s="553">
        <f t="shared" ref="U31:AH31" si="19">+T31</f>
        <v>2.5000000000000001E-3</v>
      </c>
      <c r="V31" s="553">
        <f t="shared" si="19"/>
        <v>2.5000000000000001E-3</v>
      </c>
      <c r="W31" s="29">
        <f t="shared" si="19"/>
        <v>2.5000000000000001E-3</v>
      </c>
      <c r="X31" s="29">
        <f t="shared" si="19"/>
        <v>2.5000000000000001E-3</v>
      </c>
      <c r="Y31" s="29">
        <f t="shared" si="19"/>
        <v>2.5000000000000001E-3</v>
      </c>
      <c r="Z31" s="29">
        <f t="shared" si="19"/>
        <v>2.5000000000000001E-3</v>
      </c>
      <c r="AA31" s="29">
        <f t="shared" si="19"/>
        <v>2.5000000000000001E-3</v>
      </c>
      <c r="AB31" s="29">
        <f t="shared" si="19"/>
        <v>2.5000000000000001E-3</v>
      </c>
      <c r="AC31" s="29">
        <f t="shared" si="19"/>
        <v>2.5000000000000001E-3</v>
      </c>
      <c r="AD31" s="29">
        <f t="shared" si="19"/>
        <v>2.5000000000000001E-3</v>
      </c>
      <c r="AE31" s="29">
        <f t="shared" si="19"/>
        <v>2.5000000000000001E-3</v>
      </c>
      <c r="AF31" s="29">
        <f t="shared" si="19"/>
        <v>2.5000000000000001E-3</v>
      </c>
      <c r="AG31" s="29">
        <f t="shared" si="19"/>
        <v>2.5000000000000001E-3</v>
      </c>
      <c r="AH31" s="29">
        <f t="shared" si="19"/>
        <v>2.5000000000000001E-3</v>
      </c>
    </row>
    <row r="32" spans="1:34" x14ac:dyDescent="0.2">
      <c r="G32" s="96"/>
      <c r="R32" s="537" t="s">
        <v>1329</v>
      </c>
      <c r="S32" s="546"/>
      <c r="T32" s="542">
        <f t="shared" ref="T32:AB32" si="20">+ROUND(T30+T31,6)</f>
        <v>2.5780999999999998E-2</v>
      </c>
      <c r="U32" s="542">
        <f t="shared" si="20"/>
        <v>2.5780999999999998E-2</v>
      </c>
      <c r="V32" s="542">
        <f t="shared" si="20"/>
        <v>2.5780999999999998E-2</v>
      </c>
      <c r="W32" s="13">
        <f t="shared" si="20"/>
        <v>2.5780999999999998E-2</v>
      </c>
      <c r="X32" s="13">
        <f t="shared" si="20"/>
        <v>2.5780999999999998E-2</v>
      </c>
      <c r="Y32" s="13">
        <f t="shared" si="20"/>
        <v>2.5780999999999998E-2</v>
      </c>
      <c r="Z32" s="13">
        <f t="shared" si="20"/>
        <v>2.5780999999999998E-2</v>
      </c>
      <c r="AA32" s="13">
        <f t="shared" si="20"/>
        <v>2.5780999999999998E-2</v>
      </c>
      <c r="AB32" s="13">
        <f t="shared" si="20"/>
        <v>2.5780999999999998E-2</v>
      </c>
      <c r="AC32" s="13">
        <f>+ROUND(AC30+AC31,5)</f>
        <v>2.5780000000000001E-2</v>
      </c>
      <c r="AD32" s="13">
        <f>+ROUND(AD30+AD31,6)</f>
        <v>2.5780999999999998E-2</v>
      </c>
      <c r="AE32" s="13">
        <f>+ROUND(AE30+AE31,6)</f>
        <v>2.5780999999999998E-2</v>
      </c>
      <c r="AF32" s="13">
        <f>+ROUND(AF30+AF31,5)</f>
        <v>2.5780000000000001E-2</v>
      </c>
      <c r="AG32" s="58">
        <f>+ROUND(AG30+AG31,5)</f>
        <v>2.5780000000000001E-2</v>
      </c>
      <c r="AH32" s="58">
        <f>+ROUND(AH30+AH31,5)</f>
        <v>2.5780000000000001E-2</v>
      </c>
    </row>
    <row r="33" spans="7:34" x14ac:dyDescent="0.2">
      <c r="G33" s="96"/>
      <c r="R33" s="537"/>
      <c r="S33" s="546"/>
      <c r="T33" s="547">
        <f t="shared" ref="T33:AH33" si="21">+T28/(1+T32)^T29</f>
        <v>0</v>
      </c>
      <c r="U33" s="547">
        <f t="shared" si="21"/>
        <v>0</v>
      </c>
      <c r="V33" s="547">
        <f t="shared" si="21"/>
        <v>0</v>
      </c>
      <c r="W33" s="21">
        <f t="shared" si="21"/>
        <v>0</v>
      </c>
      <c r="X33" s="21">
        <f t="shared" si="21"/>
        <v>0</v>
      </c>
      <c r="Y33" s="21">
        <f t="shared" si="21"/>
        <v>0</v>
      </c>
      <c r="Z33" s="21">
        <f t="shared" si="21"/>
        <v>0</v>
      </c>
      <c r="AA33" s="21">
        <f t="shared" si="21"/>
        <v>0</v>
      </c>
      <c r="AB33" s="21">
        <f t="shared" si="21"/>
        <v>0</v>
      </c>
      <c r="AC33" s="21">
        <f t="shared" si="21"/>
        <v>0</v>
      </c>
      <c r="AD33" s="21">
        <f t="shared" si="21"/>
        <v>0</v>
      </c>
      <c r="AE33" s="21">
        <f t="shared" si="21"/>
        <v>0</v>
      </c>
      <c r="AF33" s="21">
        <f t="shared" si="21"/>
        <v>0</v>
      </c>
      <c r="AG33" s="21">
        <f t="shared" si="21"/>
        <v>0</v>
      </c>
      <c r="AH33" s="21">
        <f t="shared" si="21"/>
        <v>0</v>
      </c>
    </row>
    <row r="34" spans="7:34" x14ac:dyDescent="0.2">
      <c r="G34" s="96"/>
      <c r="R34" s="537"/>
      <c r="S34" s="546"/>
      <c r="T34" s="542"/>
      <c r="U34" s="542"/>
      <c r="V34" s="542"/>
      <c r="W34" s="13"/>
      <c r="X34" s="13"/>
      <c r="Y34" s="13"/>
      <c r="Z34" s="13"/>
      <c r="AA34" s="13"/>
      <c r="AB34" s="13"/>
      <c r="AC34" s="13"/>
      <c r="AD34" s="13"/>
      <c r="AE34" s="13"/>
      <c r="AF34" s="13"/>
      <c r="AG34" s="13"/>
      <c r="AH34" s="13"/>
    </row>
    <row r="35" spans="7:34" x14ac:dyDescent="0.2">
      <c r="G35" s="96"/>
      <c r="R35" s="537" t="s">
        <v>650</v>
      </c>
      <c r="S35" s="561">
        <f>+SUM(T33:AH33)</f>
        <v>0</v>
      </c>
      <c r="T35" s="542"/>
      <c r="U35" s="542"/>
      <c r="V35" s="542"/>
      <c r="W35" s="13"/>
      <c r="X35" s="13"/>
      <c r="Y35" s="13"/>
      <c r="Z35" s="13"/>
      <c r="AA35" s="13"/>
      <c r="AB35" s="13"/>
      <c r="AC35" s="13"/>
      <c r="AD35" s="13"/>
      <c r="AE35" s="13"/>
      <c r="AF35" s="58">
        <v>2.6575672550920443E-2</v>
      </c>
      <c r="AG35" s="13"/>
      <c r="AH35" s="13"/>
    </row>
    <row r="36" spans="7:34" x14ac:dyDescent="0.2">
      <c r="G36" s="96"/>
      <c r="R36" s="537" t="s">
        <v>1331</v>
      </c>
      <c r="S36" s="547" t="e">
        <f>+SUMPRODUCT(T29:AH29,T33:AH33)/S35</f>
        <v>#DIV/0!</v>
      </c>
      <c r="T36" s="537"/>
      <c r="U36" s="537"/>
      <c r="V36" s="537"/>
    </row>
    <row r="37" spans="7:34" x14ac:dyDescent="0.2">
      <c r="G37" s="96"/>
      <c r="R37" s="537"/>
      <c r="S37" s="537"/>
      <c r="T37" s="537"/>
      <c r="U37" s="537"/>
      <c r="V37" s="537"/>
      <c r="AF37" s="322"/>
    </row>
    <row r="38" spans="7:34" x14ac:dyDescent="0.2">
      <c r="G38" s="96"/>
    </row>
    <row r="39" spans="7:34" x14ac:dyDescent="0.2">
      <c r="G39" s="96"/>
      <c r="AG39" s="280"/>
    </row>
    <row r="40" spans="7:34" x14ac:dyDescent="0.2">
      <c r="G40" s="96"/>
    </row>
    <row r="41" spans="7:34" x14ac:dyDescent="0.2">
      <c r="G41" s="96"/>
      <c r="T41">
        <f>245*T50</f>
        <v>5169500</v>
      </c>
    </row>
    <row r="42" spans="7:34" x14ac:dyDescent="0.2">
      <c r="G42" s="96"/>
    </row>
    <row r="43" spans="7:34" x14ac:dyDescent="0.2">
      <c r="G43" s="96"/>
    </row>
    <row r="44" spans="7:34" ht="15.75" x14ac:dyDescent="0.25">
      <c r="G44" s="96"/>
      <c r="S44" s="7" t="s">
        <v>103</v>
      </c>
      <c r="T44" s="8">
        <f>+B4</f>
        <v>46107</v>
      </c>
    </row>
    <row r="45" spans="7:34" x14ac:dyDescent="0.2">
      <c r="G45" s="96"/>
      <c r="S45" s="12" t="s">
        <v>105</v>
      </c>
      <c r="T45" s="13">
        <v>5.5500000000000001E-2</v>
      </c>
      <c r="U45" s="13"/>
    </row>
    <row r="46" spans="7:34" x14ac:dyDescent="0.2">
      <c r="G46" s="96"/>
      <c r="S46" s="17">
        <v>38016</v>
      </c>
      <c r="T46" s="8">
        <v>38502</v>
      </c>
      <c r="U46" s="17">
        <v>38867</v>
      </c>
      <c r="V46" s="8">
        <v>39232</v>
      </c>
      <c r="W46" s="17">
        <v>39598</v>
      </c>
      <c r="X46" s="8">
        <v>39963</v>
      </c>
      <c r="Y46" s="17">
        <v>40328</v>
      </c>
      <c r="Z46" s="8">
        <v>40693</v>
      </c>
      <c r="AA46" s="17">
        <v>41059</v>
      </c>
      <c r="AB46" s="8">
        <v>41424</v>
      </c>
      <c r="AC46" s="17">
        <v>41789</v>
      </c>
      <c r="AD46" s="8">
        <v>42154</v>
      </c>
      <c r="AE46" s="17">
        <v>42520</v>
      </c>
      <c r="AF46" s="8">
        <v>42885</v>
      </c>
      <c r="AG46" s="17">
        <v>43250</v>
      </c>
      <c r="AH46" s="8">
        <v>43615</v>
      </c>
    </row>
    <row r="47" spans="7:34" x14ac:dyDescent="0.2">
      <c r="G47" s="96"/>
      <c r="R47" t="s">
        <v>1318</v>
      </c>
      <c r="S47" s="20"/>
      <c r="T47" s="21">
        <v>10000</v>
      </c>
      <c r="U47" s="21">
        <v>10000</v>
      </c>
      <c r="V47" s="21">
        <v>10000</v>
      </c>
      <c r="W47" s="21">
        <v>10000</v>
      </c>
      <c r="X47" s="21">
        <v>10000</v>
      </c>
      <c r="Y47" s="21">
        <v>10000</v>
      </c>
      <c r="Z47" s="21">
        <v>10000</v>
      </c>
      <c r="AA47" s="21">
        <v>10000</v>
      </c>
      <c r="AB47" s="21">
        <v>10000</v>
      </c>
      <c r="AC47" s="21">
        <v>10000</v>
      </c>
      <c r="AD47" s="21">
        <v>10000</v>
      </c>
      <c r="AE47" s="21">
        <v>10000</v>
      </c>
      <c r="AF47" s="21">
        <v>10000</v>
      </c>
      <c r="AG47" s="21">
        <v>10000</v>
      </c>
      <c r="AH47" s="21">
        <v>10000</v>
      </c>
    </row>
    <row r="48" spans="7:34" x14ac:dyDescent="0.2">
      <c r="G48" s="96"/>
      <c r="R48" t="s">
        <v>1320</v>
      </c>
      <c r="S48" s="21">
        <v>150000</v>
      </c>
      <c r="T48" s="23">
        <f t="shared" ref="T48:AH48" si="22">+S48-T47</f>
        <v>140000</v>
      </c>
      <c r="U48" s="23">
        <f t="shared" si="22"/>
        <v>130000</v>
      </c>
      <c r="V48" s="23">
        <f t="shared" si="22"/>
        <v>120000</v>
      </c>
      <c r="W48" s="23">
        <f t="shared" si="22"/>
        <v>110000</v>
      </c>
      <c r="X48" s="23">
        <f t="shared" si="22"/>
        <v>100000</v>
      </c>
      <c r="Y48" s="23">
        <f t="shared" si="22"/>
        <v>90000</v>
      </c>
      <c r="Z48" s="23">
        <f t="shared" si="22"/>
        <v>80000</v>
      </c>
      <c r="AA48" s="23">
        <f t="shared" si="22"/>
        <v>70000</v>
      </c>
      <c r="AB48" s="23">
        <f t="shared" si="22"/>
        <v>60000</v>
      </c>
      <c r="AC48" s="23">
        <f t="shared" si="22"/>
        <v>50000</v>
      </c>
      <c r="AD48" s="23">
        <f t="shared" si="22"/>
        <v>40000</v>
      </c>
      <c r="AE48" s="23">
        <f t="shared" si="22"/>
        <v>30000</v>
      </c>
      <c r="AF48" s="23">
        <f t="shared" si="22"/>
        <v>20000</v>
      </c>
      <c r="AG48" s="23">
        <f t="shared" si="22"/>
        <v>10000</v>
      </c>
      <c r="AH48" s="23">
        <f t="shared" si="22"/>
        <v>0</v>
      </c>
    </row>
    <row r="49" spans="7:34" x14ac:dyDescent="0.2">
      <c r="G49" s="96"/>
      <c r="R49" t="s">
        <v>1321</v>
      </c>
      <c r="S49" s="20"/>
      <c r="T49" s="25">
        <f>+$T$45*S48*16/12</f>
        <v>11100</v>
      </c>
      <c r="U49" s="25">
        <f>+$T$45*T48</f>
        <v>7770</v>
      </c>
      <c r="V49" s="25">
        <f>+$T$45*U48</f>
        <v>7215</v>
      </c>
      <c r="W49" s="25">
        <f t="shared" ref="W49:AH49" si="23">+$T$45*V48</f>
        <v>6660</v>
      </c>
      <c r="X49" s="25">
        <f>+$T$45*W48</f>
        <v>6105</v>
      </c>
      <c r="Y49" s="25">
        <f t="shared" si="23"/>
        <v>5550</v>
      </c>
      <c r="Z49" s="25">
        <f t="shared" si="23"/>
        <v>4995</v>
      </c>
      <c r="AA49" s="25">
        <f t="shared" si="23"/>
        <v>4440</v>
      </c>
      <c r="AB49" s="25">
        <f t="shared" si="23"/>
        <v>3885</v>
      </c>
      <c r="AC49" s="25">
        <f t="shared" si="23"/>
        <v>3330</v>
      </c>
      <c r="AD49" s="25">
        <f t="shared" si="23"/>
        <v>2775</v>
      </c>
      <c r="AE49" s="25">
        <f t="shared" si="23"/>
        <v>2220</v>
      </c>
      <c r="AF49" s="25">
        <f t="shared" si="23"/>
        <v>1665</v>
      </c>
      <c r="AG49" s="25">
        <f t="shared" si="23"/>
        <v>1110</v>
      </c>
      <c r="AH49" s="25">
        <f t="shared" si="23"/>
        <v>555</v>
      </c>
    </row>
    <row r="50" spans="7:34" x14ac:dyDescent="0.2">
      <c r="G50" s="96"/>
      <c r="R50" t="s">
        <v>1322</v>
      </c>
      <c r="S50" s="20"/>
      <c r="T50" s="25">
        <f t="shared" ref="T50:AH50" si="24">+T49+T47</f>
        <v>21100</v>
      </c>
      <c r="U50" s="25">
        <f t="shared" si="24"/>
        <v>17770</v>
      </c>
      <c r="V50" s="25">
        <f t="shared" si="24"/>
        <v>17215</v>
      </c>
      <c r="W50" s="25">
        <f t="shared" si="24"/>
        <v>16660</v>
      </c>
      <c r="X50" s="25">
        <f t="shared" si="24"/>
        <v>16105</v>
      </c>
      <c r="Y50" s="25">
        <f t="shared" si="24"/>
        <v>15550</v>
      </c>
      <c r="Z50" s="25">
        <f t="shared" si="24"/>
        <v>14995</v>
      </c>
      <c r="AA50" s="25">
        <f t="shared" si="24"/>
        <v>14440</v>
      </c>
      <c r="AB50" s="25">
        <f t="shared" si="24"/>
        <v>13885</v>
      </c>
      <c r="AC50" s="25">
        <f t="shared" si="24"/>
        <v>13330</v>
      </c>
      <c r="AD50" s="25">
        <f t="shared" si="24"/>
        <v>12775</v>
      </c>
      <c r="AE50" s="25">
        <f t="shared" si="24"/>
        <v>12220</v>
      </c>
      <c r="AF50" s="25">
        <f t="shared" si="24"/>
        <v>11665</v>
      </c>
      <c r="AG50" s="25">
        <f t="shared" si="24"/>
        <v>11110</v>
      </c>
      <c r="AH50" s="25">
        <f t="shared" si="24"/>
        <v>10555</v>
      </c>
    </row>
    <row r="51" spans="7:34" x14ac:dyDescent="0.2">
      <c r="G51" s="96"/>
      <c r="R51" t="s">
        <v>1323</v>
      </c>
      <c r="S51" s="21"/>
      <c r="T51" s="25">
        <f t="shared" ref="T51:AH51" si="25">+IF(T46&gt;$T$1,T50,0)</f>
        <v>0</v>
      </c>
      <c r="U51" s="25">
        <f t="shared" si="25"/>
        <v>0</v>
      </c>
      <c r="V51" s="25">
        <f t="shared" si="25"/>
        <v>0</v>
      </c>
      <c r="W51" s="25">
        <f t="shared" si="25"/>
        <v>0</v>
      </c>
      <c r="X51" s="25">
        <f t="shared" si="25"/>
        <v>0</v>
      </c>
      <c r="Y51" s="25">
        <f t="shared" si="25"/>
        <v>0</v>
      </c>
      <c r="Z51" s="25">
        <f t="shared" si="25"/>
        <v>0</v>
      </c>
      <c r="AA51" s="25">
        <f t="shared" si="25"/>
        <v>0</v>
      </c>
      <c r="AB51" s="25">
        <f t="shared" si="25"/>
        <v>0</v>
      </c>
      <c r="AC51" s="25">
        <f t="shared" si="25"/>
        <v>0</v>
      </c>
      <c r="AD51" s="25">
        <f t="shared" si="25"/>
        <v>0</v>
      </c>
      <c r="AE51" s="25">
        <f t="shared" si="25"/>
        <v>0</v>
      </c>
      <c r="AF51" s="25">
        <f t="shared" si="25"/>
        <v>0</v>
      </c>
      <c r="AG51" s="25">
        <f t="shared" si="25"/>
        <v>0</v>
      </c>
      <c r="AH51" s="25">
        <f t="shared" si="25"/>
        <v>0</v>
      </c>
    </row>
    <row r="52" spans="7:34" x14ac:dyDescent="0.2">
      <c r="G52" s="96"/>
      <c r="R52" t="s">
        <v>1324</v>
      </c>
      <c r="S52" s="27"/>
      <c r="T52">
        <f t="shared" ref="T52:AH52" si="26">+IF(S51=0,(T46-$T$1)/(T46-S46),S52+1)</f>
        <v>-15.648148148148149</v>
      </c>
      <c r="U52">
        <f t="shared" si="26"/>
        <v>-19.835616438356166</v>
      </c>
      <c r="V52">
        <f t="shared" si="26"/>
        <v>-18.835616438356166</v>
      </c>
      <c r="W52">
        <f t="shared" si="26"/>
        <v>-17.784153005464482</v>
      </c>
      <c r="X52">
        <f t="shared" si="26"/>
        <v>-16.832876712328765</v>
      </c>
      <c r="Y52">
        <f t="shared" si="26"/>
        <v>-15.832876712328767</v>
      </c>
      <c r="Z52">
        <f t="shared" si="26"/>
        <v>-14.832876712328767</v>
      </c>
      <c r="AA52">
        <f t="shared" si="26"/>
        <v>-13.792349726775956</v>
      </c>
      <c r="AB52">
        <f t="shared" si="26"/>
        <v>-12.830136986301369</v>
      </c>
      <c r="AC52">
        <f t="shared" si="26"/>
        <v>-11.830136986301369</v>
      </c>
      <c r="AD52">
        <f t="shared" si="26"/>
        <v>-10.830136986301369</v>
      </c>
      <c r="AE52">
        <f t="shared" si="26"/>
        <v>-9.8005464480874309</v>
      </c>
      <c r="AF52">
        <f t="shared" si="26"/>
        <v>-8.8273972602739725</v>
      </c>
      <c r="AG52">
        <f t="shared" si="26"/>
        <v>-7.8273972602739725</v>
      </c>
      <c r="AH52">
        <f t="shared" si="26"/>
        <v>-6.8273972602739725</v>
      </c>
    </row>
    <row r="53" spans="7:34" x14ac:dyDescent="0.2">
      <c r="G53" s="96"/>
      <c r="R53" s="29" t="s">
        <v>1325</v>
      </c>
      <c r="S53" s="20"/>
      <c r="T53" s="68">
        <f t="shared" ref="T53:AH53" si="27">IF(T52&lt;1,interpoler(mat_court,taux_court_act,T52*(T46-S46)),interpoler(mat,taux,T52))</f>
        <v>2.3281430422376737E-2</v>
      </c>
      <c r="U53" s="68">
        <f t="shared" si="27"/>
        <v>2.3281430422376737E-2</v>
      </c>
      <c r="V53" s="68">
        <f t="shared" si="27"/>
        <v>2.3281430422376737E-2</v>
      </c>
      <c r="W53" s="68">
        <f t="shared" si="27"/>
        <v>2.3281430422376737E-2</v>
      </c>
      <c r="X53" s="68">
        <f t="shared" si="27"/>
        <v>2.3281430422376737E-2</v>
      </c>
      <c r="Y53" s="68">
        <f t="shared" si="27"/>
        <v>2.3281430422376737E-2</v>
      </c>
      <c r="Z53" s="68">
        <f t="shared" si="27"/>
        <v>2.3281430422376737E-2</v>
      </c>
      <c r="AA53" s="68">
        <f t="shared" si="27"/>
        <v>2.3281430422376737E-2</v>
      </c>
      <c r="AB53" s="68">
        <f t="shared" si="27"/>
        <v>2.3281430422376737E-2</v>
      </c>
      <c r="AC53" s="68">
        <f t="shared" si="27"/>
        <v>2.3281430422376737E-2</v>
      </c>
      <c r="AD53" s="68">
        <f t="shared" si="27"/>
        <v>2.3281430422376737E-2</v>
      </c>
      <c r="AE53" s="68">
        <f t="shared" si="27"/>
        <v>2.3281430422376737E-2</v>
      </c>
      <c r="AF53" s="68">
        <f t="shared" si="27"/>
        <v>2.3281430422376737E-2</v>
      </c>
      <c r="AG53" s="68">
        <f t="shared" si="27"/>
        <v>2.3281430422376737E-2</v>
      </c>
      <c r="AH53" s="68">
        <f t="shared" si="27"/>
        <v>2.3281430422376737E-2</v>
      </c>
    </row>
    <row r="54" spans="7:34" x14ac:dyDescent="0.2">
      <c r="G54" s="96"/>
      <c r="R54" t="s">
        <v>1328</v>
      </c>
      <c r="S54" s="20"/>
      <c r="T54" s="29" t="e">
        <f>+Lignes_détenues!#REF!</f>
        <v>#REF!</v>
      </c>
      <c r="U54" s="29" t="e">
        <f t="shared" ref="U54:AH54" si="28">+T54</f>
        <v>#REF!</v>
      </c>
      <c r="V54" s="29" t="e">
        <f t="shared" si="28"/>
        <v>#REF!</v>
      </c>
      <c r="W54" s="29" t="e">
        <f t="shared" si="28"/>
        <v>#REF!</v>
      </c>
      <c r="X54" s="29" t="e">
        <f t="shared" si="28"/>
        <v>#REF!</v>
      </c>
      <c r="Y54" s="29" t="e">
        <f t="shared" si="28"/>
        <v>#REF!</v>
      </c>
      <c r="Z54" s="29" t="e">
        <f t="shared" si="28"/>
        <v>#REF!</v>
      </c>
      <c r="AA54" s="29" t="e">
        <f t="shared" si="28"/>
        <v>#REF!</v>
      </c>
      <c r="AB54" s="29" t="e">
        <f t="shared" si="28"/>
        <v>#REF!</v>
      </c>
      <c r="AC54" s="29" t="e">
        <f t="shared" si="28"/>
        <v>#REF!</v>
      </c>
      <c r="AD54" s="29" t="e">
        <f t="shared" si="28"/>
        <v>#REF!</v>
      </c>
      <c r="AE54" s="29" t="e">
        <f t="shared" si="28"/>
        <v>#REF!</v>
      </c>
      <c r="AF54" s="29" t="e">
        <f t="shared" si="28"/>
        <v>#REF!</v>
      </c>
      <c r="AG54" s="29" t="e">
        <f t="shared" si="28"/>
        <v>#REF!</v>
      </c>
      <c r="AH54" s="29" t="e">
        <f t="shared" si="28"/>
        <v>#REF!</v>
      </c>
    </row>
    <row r="55" spans="7:34" x14ac:dyDescent="0.2">
      <c r="G55" s="96"/>
      <c r="R55" t="s">
        <v>1329</v>
      </c>
      <c r="S55" s="20"/>
      <c r="T55" s="13" t="e">
        <f t="shared" ref="T55:AC55" si="29">+ROUND(T53+T54,6)</f>
        <v>#REF!</v>
      </c>
      <c r="U55" s="13" t="e">
        <f t="shared" si="29"/>
        <v>#REF!</v>
      </c>
      <c r="V55" s="13" t="e">
        <f t="shared" si="29"/>
        <v>#REF!</v>
      </c>
      <c r="W55" s="13" t="e">
        <f t="shared" si="29"/>
        <v>#REF!</v>
      </c>
      <c r="X55" s="13" t="e">
        <f t="shared" si="29"/>
        <v>#REF!</v>
      </c>
      <c r="Y55" s="13" t="e">
        <f t="shared" si="29"/>
        <v>#REF!</v>
      </c>
      <c r="Z55" s="13" t="e">
        <f t="shared" si="29"/>
        <v>#REF!</v>
      </c>
      <c r="AA55" s="13" t="e">
        <f t="shared" si="29"/>
        <v>#REF!</v>
      </c>
      <c r="AB55" s="13" t="e">
        <f t="shared" si="29"/>
        <v>#REF!</v>
      </c>
      <c r="AC55" s="13" t="e">
        <f t="shared" si="29"/>
        <v>#REF!</v>
      </c>
      <c r="AD55" s="58" t="e">
        <f>+ROUND(AD53+AD54,5)</f>
        <v>#REF!</v>
      </c>
      <c r="AE55" s="58" t="e">
        <f>+ROUND(AE53+AE54,5)</f>
        <v>#REF!</v>
      </c>
      <c r="AF55" s="58" t="e">
        <f>+ROUND(AF53+AF54,5)</f>
        <v>#REF!</v>
      </c>
      <c r="AG55" s="58" t="e">
        <f>+ROUND(AG53+AG54,5)</f>
        <v>#REF!</v>
      </c>
      <c r="AH55" s="58" t="e">
        <f>+ROUND(AH53+AH54,5)</f>
        <v>#REF!</v>
      </c>
    </row>
    <row r="56" spans="7:34" x14ac:dyDescent="0.2">
      <c r="G56" s="96"/>
      <c r="S56" s="20"/>
      <c r="T56" s="21" t="e">
        <f t="shared" ref="T56:AH56" si="30">+T51/(1+T55)^T52</f>
        <v>#REF!</v>
      </c>
      <c r="U56" s="21" t="e">
        <f t="shared" si="30"/>
        <v>#REF!</v>
      </c>
      <c r="V56" s="21" t="e">
        <f t="shared" si="30"/>
        <v>#REF!</v>
      </c>
      <c r="W56" s="21" t="e">
        <f t="shared" si="30"/>
        <v>#REF!</v>
      </c>
      <c r="X56" s="21" t="e">
        <f t="shared" si="30"/>
        <v>#REF!</v>
      </c>
      <c r="Y56" s="21" t="e">
        <f t="shared" si="30"/>
        <v>#REF!</v>
      </c>
      <c r="Z56" s="21" t="e">
        <f t="shared" si="30"/>
        <v>#REF!</v>
      </c>
      <c r="AA56" s="21" t="e">
        <f t="shared" si="30"/>
        <v>#REF!</v>
      </c>
      <c r="AB56" s="21" t="e">
        <f t="shared" si="30"/>
        <v>#REF!</v>
      </c>
      <c r="AC56" s="21" t="e">
        <f t="shared" si="30"/>
        <v>#REF!</v>
      </c>
      <c r="AD56" s="21" t="e">
        <f t="shared" si="30"/>
        <v>#REF!</v>
      </c>
      <c r="AE56" s="21" t="e">
        <f t="shared" si="30"/>
        <v>#REF!</v>
      </c>
      <c r="AF56" s="21" t="e">
        <f t="shared" si="30"/>
        <v>#REF!</v>
      </c>
      <c r="AG56" s="21" t="e">
        <f t="shared" si="30"/>
        <v>#REF!</v>
      </c>
      <c r="AH56" s="21" t="e">
        <f t="shared" si="30"/>
        <v>#REF!</v>
      </c>
    </row>
    <row r="57" spans="7:34" x14ac:dyDescent="0.2">
      <c r="G57" s="96"/>
      <c r="S57" s="20"/>
      <c r="T57" s="13"/>
      <c r="U57" s="13"/>
      <c r="V57" s="13"/>
      <c r="W57" s="13"/>
      <c r="X57" s="13"/>
      <c r="Y57" s="13"/>
      <c r="Z57" s="13"/>
      <c r="AA57" s="13"/>
      <c r="AB57" s="13"/>
      <c r="AC57" s="13"/>
      <c r="AD57" s="13"/>
      <c r="AE57" s="13"/>
      <c r="AF57" s="13"/>
      <c r="AG57" s="13"/>
      <c r="AH57" s="13"/>
    </row>
    <row r="58" spans="7:34" x14ac:dyDescent="0.2">
      <c r="G58" s="96"/>
      <c r="R58" t="s">
        <v>650</v>
      </c>
      <c r="S58" s="30" t="e">
        <f>+SUM(T56:AH56)</f>
        <v>#REF!</v>
      </c>
      <c r="T58" s="13"/>
      <c r="U58" s="13"/>
      <c r="V58" s="13"/>
      <c r="W58" s="13"/>
      <c r="X58" s="13"/>
      <c r="Y58" s="13"/>
      <c r="Z58" s="13"/>
      <c r="AA58" s="13"/>
      <c r="AB58" s="13"/>
      <c r="AC58" s="13"/>
      <c r="AD58" s="13"/>
      <c r="AE58" s="13"/>
      <c r="AF58" s="13"/>
      <c r="AG58" s="13"/>
      <c r="AH58" s="13"/>
    </row>
    <row r="59" spans="7:34" x14ac:dyDescent="0.2">
      <c r="G59" s="96"/>
      <c r="R59" t="s">
        <v>1331</v>
      </c>
      <c r="S59" s="21" t="e">
        <f>+SUMPRODUCT(T52:AH52,T56:AH56)/S58</f>
        <v>#REF!</v>
      </c>
    </row>
    <row r="60" spans="7:34" x14ac:dyDescent="0.2">
      <c r="G60" s="96"/>
    </row>
    <row r="61" spans="7:34" x14ac:dyDescent="0.2">
      <c r="G61" s="96"/>
    </row>
    <row r="62" spans="7:34" x14ac:dyDescent="0.2">
      <c r="G62" s="96"/>
    </row>
    <row r="64" spans="7:34" ht="13.5" thickBot="1" x14ac:dyDescent="0.25"/>
    <row r="65" spans="18:34" x14ac:dyDescent="0.2">
      <c r="R65" s="302">
        <v>9005</v>
      </c>
      <c r="S65" s="59"/>
      <c r="T65" s="59"/>
      <c r="U65" s="59"/>
      <c r="V65" s="299"/>
      <c r="W65" s="59"/>
      <c r="X65" s="59"/>
      <c r="Y65" s="59"/>
      <c r="Z65" s="59"/>
      <c r="AA65" s="59"/>
      <c r="AB65" s="59"/>
      <c r="AC65" s="59"/>
      <c r="AD65" s="59"/>
      <c r="AE65" s="59"/>
      <c r="AF65" s="59"/>
      <c r="AG65" s="59"/>
      <c r="AH65" s="62"/>
    </row>
    <row r="66" spans="18:34" ht="15.75" x14ac:dyDescent="0.25">
      <c r="R66" s="63"/>
      <c r="S66" s="7" t="s">
        <v>103</v>
      </c>
      <c r="T66" s="8">
        <f>+T21</f>
        <v>46107</v>
      </c>
      <c r="AH66" s="65"/>
    </row>
    <row r="67" spans="18:34" x14ac:dyDescent="0.2">
      <c r="R67" s="63"/>
      <c r="S67" s="64" t="s">
        <v>105</v>
      </c>
      <c r="T67" s="13">
        <v>6.4500000000000002E-2</v>
      </c>
      <c r="U67" s="13">
        <v>3.4099999999999998E-2</v>
      </c>
      <c r="V67" s="13">
        <v>4.3499999999999997E-2</v>
      </c>
      <c r="AH67" s="65"/>
    </row>
    <row r="68" spans="18:34" x14ac:dyDescent="0.2">
      <c r="R68" s="63"/>
      <c r="S68" s="417">
        <v>37404</v>
      </c>
      <c r="T68" s="414">
        <v>37769</v>
      </c>
      <c r="U68" s="413">
        <v>38135</v>
      </c>
      <c r="V68" s="414">
        <v>38500</v>
      </c>
      <c r="W68" s="413">
        <v>38865</v>
      </c>
      <c r="X68" s="414">
        <v>39230</v>
      </c>
      <c r="Y68" s="416">
        <v>39596</v>
      </c>
      <c r="Z68" s="415">
        <v>39961</v>
      </c>
      <c r="AA68" s="416">
        <v>40326</v>
      </c>
      <c r="AB68" s="415">
        <v>40691</v>
      </c>
      <c r="AC68" s="416">
        <v>41057</v>
      </c>
      <c r="AD68" s="412">
        <v>41422</v>
      </c>
      <c r="AE68" s="411">
        <v>41787</v>
      </c>
      <c r="AF68" s="412">
        <v>42152</v>
      </c>
      <c r="AG68" s="411">
        <v>42518</v>
      </c>
      <c r="AH68" s="418">
        <v>42883</v>
      </c>
    </row>
    <row r="69" spans="18:34" x14ac:dyDescent="0.2">
      <c r="R69" s="63" t="s">
        <v>1318</v>
      </c>
      <c r="S69" s="68"/>
      <c r="T69" s="69">
        <v>10000</v>
      </c>
      <c r="U69" s="69">
        <v>10000</v>
      </c>
      <c r="V69" s="69">
        <v>10000</v>
      </c>
      <c r="W69" s="69">
        <v>10000</v>
      </c>
      <c r="X69" s="69">
        <v>10000</v>
      </c>
      <c r="Y69" s="69">
        <v>10000</v>
      </c>
      <c r="Z69" s="69">
        <v>10000</v>
      </c>
      <c r="AA69" s="69">
        <v>10000</v>
      </c>
      <c r="AB69" s="69">
        <v>10000</v>
      </c>
      <c r="AC69" s="69">
        <v>10000</v>
      </c>
      <c r="AD69" s="69">
        <v>10000</v>
      </c>
      <c r="AE69" s="69">
        <v>10000</v>
      </c>
      <c r="AF69" s="69">
        <v>10000</v>
      </c>
      <c r="AG69" s="69">
        <v>10000</v>
      </c>
      <c r="AH69" s="70">
        <v>10000</v>
      </c>
    </row>
    <row r="70" spans="18:34" x14ac:dyDescent="0.2">
      <c r="R70" s="63" t="s">
        <v>1320</v>
      </c>
      <c r="S70" s="69">
        <v>150000</v>
      </c>
      <c r="T70" s="23">
        <f>+S70-T69</f>
        <v>140000</v>
      </c>
      <c r="U70" s="23">
        <f t="shared" ref="U70:AH70" si="31">+T70-U69</f>
        <v>130000</v>
      </c>
      <c r="V70" s="23">
        <f t="shared" si="31"/>
        <v>120000</v>
      </c>
      <c r="W70" s="23">
        <f t="shared" si="31"/>
        <v>110000</v>
      </c>
      <c r="X70" s="23">
        <f t="shared" si="31"/>
        <v>100000</v>
      </c>
      <c r="Y70" s="23">
        <f t="shared" si="31"/>
        <v>90000</v>
      </c>
      <c r="Z70" s="23">
        <f t="shared" si="31"/>
        <v>80000</v>
      </c>
      <c r="AA70" s="23">
        <f t="shared" si="31"/>
        <v>70000</v>
      </c>
      <c r="AB70" s="23">
        <f t="shared" si="31"/>
        <v>60000</v>
      </c>
      <c r="AC70" s="23">
        <f t="shared" si="31"/>
        <v>50000</v>
      </c>
      <c r="AD70" s="23">
        <f>+AC70-AD69</f>
        <v>40000</v>
      </c>
      <c r="AE70" s="23">
        <f t="shared" si="31"/>
        <v>30000</v>
      </c>
      <c r="AF70" s="23">
        <f t="shared" si="31"/>
        <v>20000</v>
      </c>
      <c r="AG70" s="23">
        <f t="shared" si="31"/>
        <v>10000</v>
      </c>
      <c r="AH70" s="71">
        <f t="shared" si="31"/>
        <v>0</v>
      </c>
    </row>
    <row r="71" spans="18:34" x14ac:dyDescent="0.2">
      <c r="R71" s="63" t="s">
        <v>1321</v>
      </c>
      <c r="S71" s="68"/>
      <c r="T71" s="25">
        <f>+$T$67*S70</f>
        <v>9675</v>
      </c>
      <c r="U71" s="25">
        <f>+$T$67*T70</f>
        <v>9030</v>
      </c>
      <c r="V71" s="25">
        <f>+$T$67*U70</f>
        <v>8385</v>
      </c>
      <c r="W71" s="25">
        <f>+$T$67*V70</f>
        <v>7740</v>
      </c>
      <c r="X71" s="25">
        <f>+$T$67*W70</f>
        <v>7095</v>
      </c>
      <c r="Y71" s="25">
        <f>+$U$67*X70</f>
        <v>3410</v>
      </c>
      <c r="Z71" s="25">
        <f>+$U$67*Y70</f>
        <v>3069</v>
      </c>
      <c r="AA71" s="25">
        <f>+$U$67*Z70</f>
        <v>2728</v>
      </c>
      <c r="AB71" s="25">
        <f>+$U$67*AA70</f>
        <v>2387</v>
      </c>
      <c r="AC71" s="25">
        <f>+$U$67*AB70</f>
        <v>2046</v>
      </c>
      <c r="AD71" s="255">
        <f>+$V$67*AC70</f>
        <v>2175</v>
      </c>
      <c r="AE71" s="255">
        <f>+$V$67*AD70</f>
        <v>1739.9999999999998</v>
      </c>
      <c r="AF71" s="25">
        <f>+$V$67*AE70</f>
        <v>1305</v>
      </c>
      <c r="AG71" s="25">
        <f>+$V$67*AF70</f>
        <v>869.99999999999989</v>
      </c>
      <c r="AH71" s="72">
        <f>+$V$67*AG70</f>
        <v>434.99999999999994</v>
      </c>
    </row>
    <row r="72" spans="18:34" x14ac:dyDescent="0.2">
      <c r="R72" s="63" t="s">
        <v>1322</v>
      </c>
      <c r="S72" s="68"/>
      <c r="T72" s="25">
        <f>+T71+T69</f>
        <v>19675</v>
      </c>
      <c r="U72" s="25">
        <f t="shared" ref="U72:AH72" si="32">+U71+U69</f>
        <v>19030</v>
      </c>
      <c r="V72" s="25">
        <f t="shared" si="32"/>
        <v>18385</v>
      </c>
      <c r="W72" s="25">
        <f t="shared" si="32"/>
        <v>17740</v>
      </c>
      <c r="X72" s="25">
        <f t="shared" si="32"/>
        <v>17095</v>
      </c>
      <c r="Y72" s="25">
        <f t="shared" si="32"/>
        <v>13410</v>
      </c>
      <c r="Z72" s="25">
        <f t="shared" si="32"/>
        <v>13069</v>
      </c>
      <c r="AA72" s="25">
        <f t="shared" si="32"/>
        <v>12728</v>
      </c>
      <c r="AB72" s="25">
        <f t="shared" si="32"/>
        <v>12387</v>
      </c>
      <c r="AC72" s="25">
        <f>+AC71+AC69</f>
        <v>12046</v>
      </c>
      <c r="AD72" s="25">
        <f t="shared" si="32"/>
        <v>12175</v>
      </c>
      <c r="AE72" s="25">
        <f t="shared" si="32"/>
        <v>11740</v>
      </c>
      <c r="AF72" s="25">
        <f t="shared" si="32"/>
        <v>11305</v>
      </c>
      <c r="AG72" s="25">
        <f t="shared" si="32"/>
        <v>10870</v>
      </c>
      <c r="AH72" s="72">
        <f t="shared" si="32"/>
        <v>10435</v>
      </c>
    </row>
    <row r="73" spans="18:34" x14ac:dyDescent="0.2">
      <c r="R73" s="63" t="s">
        <v>1323</v>
      </c>
      <c r="S73" s="69"/>
      <c r="T73" s="25">
        <f t="shared" ref="T73:AH73" si="33">+IF(T68&gt;$T$1,T72,0)</f>
        <v>0</v>
      </c>
      <c r="U73" s="25">
        <f t="shared" si="33"/>
        <v>0</v>
      </c>
      <c r="V73" s="25">
        <f t="shared" si="33"/>
        <v>0</v>
      </c>
      <c r="W73" s="25">
        <f t="shared" si="33"/>
        <v>0</v>
      </c>
      <c r="X73" s="25">
        <f t="shared" si="33"/>
        <v>0</v>
      </c>
      <c r="Y73" s="25">
        <f t="shared" si="33"/>
        <v>0</v>
      </c>
      <c r="Z73" s="25">
        <f t="shared" si="33"/>
        <v>0</v>
      </c>
      <c r="AA73" s="25">
        <f t="shared" si="33"/>
        <v>0</v>
      </c>
      <c r="AB73" s="25">
        <f t="shared" si="33"/>
        <v>0</v>
      </c>
      <c r="AC73" s="25">
        <f t="shared" si="33"/>
        <v>0</v>
      </c>
      <c r="AD73" s="25">
        <f t="shared" si="33"/>
        <v>0</v>
      </c>
      <c r="AE73" s="25">
        <f t="shared" si="33"/>
        <v>0</v>
      </c>
      <c r="AF73" s="25">
        <f t="shared" si="33"/>
        <v>0</v>
      </c>
      <c r="AG73" s="25">
        <f t="shared" si="33"/>
        <v>0</v>
      </c>
      <c r="AH73" s="72">
        <f t="shared" si="33"/>
        <v>0</v>
      </c>
    </row>
    <row r="74" spans="18:34" x14ac:dyDescent="0.2">
      <c r="R74" s="63" t="s">
        <v>1324</v>
      </c>
      <c r="S74" s="73"/>
      <c r="T74">
        <f t="shared" ref="T74:AH74" si="34">+IF(S73=0,(T68-$T$1)/(T68-S68),S74+1)</f>
        <v>-22.843835616438355</v>
      </c>
      <c r="U74">
        <f t="shared" si="34"/>
        <v>-21.781420765027324</v>
      </c>
      <c r="V74">
        <f t="shared" si="34"/>
        <v>-20.841095890410958</v>
      </c>
      <c r="W74">
        <f t="shared" si="34"/>
        <v>-19.841095890410958</v>
      </c>
      <c r="X74">
        <f t="shared" si="34"/>
        <v>-18.841095890410958</v>
      </c>
      <c r="Y74">
        <f t="shared" si="34"/>
        <v>-17.789617486338798</v>
      </c>
      <c r="Z74">
        <f t="shared" si="34"/>
        <v>-16.838356164383562</v>
      </c>
      <c r="AA74">
        <f t="shared" si="34"/>
        <v>-15.838356164383562</v>
      </c>
      <c r="AB74">
        <f t="shared" si="34"/>
        <v>-14.838356164383562</v>
      </c>
      <c r="AC74">
        <f t="shared" si="34"/>
        <v>-13.797814207650273</v>
      </c>
      <c r="AD74">
        <f t="shared" si="34"/>
        <v>-12.835616438356164</v>
      </c>
      <c r="AE74">
        <f t="shared" si="34"/>
        <v>-11.835616438356164</v>
      </c>
      <c r="AF74">
        <f t="shared" si="34"/>
        <v>-10.835616438356164</v>
      </c>
      <c r="AG74">
        <f t="shared" si="34"/>
        <v>-9.806010928961749</v>
      </c>
      <c r="AH74" s="65">
        <f t="shared" si="34"/>
        <v>-8.8328767123287673</v>
      </c>
    </row>
    <row r="75" spans="18:34" x14ac:dyDescent="0.2">
      <c r="R75" s="300" t="s">
        <v>1325</v>
      </c>
      <c r="S75" s="68"/>
      <c r="T75" s="68">
        <f t="shared" ref="T75:AH75" si="35">IF(T74&lt;1,interpoler(mat_court,taux_court_act,T74*(T68-S68)),interpoler(mat,taux,T74))</f>
        <v>2.3281430422376737E-2</v>
      </c>
      <c r="U75" s="68">
        <f t="shared" si="35"/>
        <v>2.3281430422376737E-2</v>
      </c>
      <c r="V75" s="68">
        <f t="shared" si="35"/>
        <v>2.3281430422376737E-2</v>
      </c>
      <c r="W75" s="68">
        <f t="shared" si="35"/>
        <v>2.3281430422376737E-2</v>
      </c>
      <c r="X75" s="68">
        <f t="shared" si="35"/>
        <v>2.3281430422376737E-2</v>
      </c>
      <c r="Y75" s="68">
        <f t="shared" si="35"/>
        <v>2.3281430422376737E-2</v>
      </c>
      <c r="Z75" s="68">
        <f t="shared" si="35"/>
        <v>2.3281430422376737E-2</v>
      </c>
      <c r="AA75" s="68">
        <f t="shared" si="35"/>
        <v>2.3281430422376737E-2</v>
      </c>
      <c r="AB75" s="68">
        <f t="shared" si="35"/>
        <v>2.3281430422376737E-2</v>
      </c>
      <c r="AC75" s="68">
        <f t="shared" si="35"/>
        <v>2.3281430422376737E-2</v>
      </c>
      <c r="AD75" s="68">
        <f t="shared" si="35"/>
        <v>2.3281430422376737E-2</v>
      </c>
      <c r="AE75" s="68">
        <f t="shared" si="35"/>
        <v>2.3281430422376737E-2</v>
      </c>
      <c r="AF75" s="68">
        <f t="shared" si="35"/>
        <v>2.3281430422376737E-2</v>
      </c>
      <c r="AG75" s="68">
        <f t="shared" si="35"/>
        <v>2.3281430422376737E-2</v>
      </c>
      <c r="AH75" s="74">
        <f t="shared" si="35"/>
        <v>2.3281430422376737E-2</v>
      </c>
    </row>
    <row r="76" spans="18:34" x14ac:dyDescent="0.2">
      <c r="R76" s="63" t="s">
        <v>1328</v>
      </c>
      <c r="S76" s="68"/>
      <c r="T76" s="29" t="e">
        <f>+Lignes_détenues!#REF!</f>
        <v>#REF!</v>
      </c>
      <c r="U76" s="29" t="e">
        <f t="shared" ref="U76:AH76" si="36">+T76</f>
        <v>#REF!</v>
      </c>
      <c r="V76" s="29" t="e">
        <f t="shared" si="36"/>
        <v>#REF!</v>
      </c>
      <c r="W76" s="29" t="e">
        <f t="shared" si="36"/>
        <v>#REF!</v>
      </c>
      <c r="X76" s="29" t="e">
        <f t="shared" si="36"/>
        <v>#REF!</v>
      </c>
      <c r="Y76" s="29" t="e">
        <f t="shared" si="36"/>
        <v>#REF!</v>
      </c>
      <c r="Z76" s="29" t="e">
        <f t="shared" si="36"/>
        <v>#REF!</v>
      </c>
      <c r="AA76" s="29" t="e">
        <f t="shared" si="36"/>
        <v>#REF!</v>
      </c>
      <c r="AB76" s="29" t="e">
        <f t="shared" si="36"/>
        <v>#REF!</v>
      </c>
      <c r="AC76" s="29" t="e">
        <f>+AB76</f>
        <v>#REF!</v>
      </c>
      <c r="AD76" s="29" t="e">
        <f>+AC76</f>
        <v>#REF!</v>
      </c>
      <c r="AE76" s="29" t="e">
        <f t="shared" si="36"/>
        <v>#REF!</v>
      </c>
      <c r="AF76" s="29" t="e">
        <f t="shared" si="36"/>
        <v>#REF!</v>
      </c>
      <c r="AG76" s="29" t="e">
        <f t="shared" si="36"/>
        <v>#REF!</v>
      </c>
      <c r="AH76" s="75" t="e">
        <f t="shared" si="36"/>
        <v>#REF!</v>
      </c>
    </row>
    <row r="77" spans="18:34" x14ac:dyDescent="0.2">
      <c r="R77" s="63" t="s">
        <v>1329</v>
      </c>
      <c r="S77" s="68"/>
      <c r="T77" s="13" t="e">
        <f t="shared" ref="T77:AA77" si="37">+ROUND(T75+T76,6)</f>
        <v>#REF!</v>
      </c>
      <c r="U77" s="13" t="e">
        <f t="shared" si="37"/>
        <v>#REF!</v>
      </c>
      <c r="V77" s="13" t="e">
        <f t="shared" si="37"/>
        <v>#REF!</v>
      </c>
      <c r="W77" s="13" t="e">
        <f t="shared" si="37"/>
        <v>#REF!</v>
      </c>
      <c r="X77" s="13" t="e">
        <f t="shared" si="37"/>
        <v>#REF!</v>
      </c>
      <c r="Y77" s="13" t="e">
        <f t="shared" si="37"/>
        <v>#REF!</v>
      </c>
      <c r="Z77" s="13" t="e">
        <f t="shared" si="37"/>
        <v>#REF!</v>
      </c>
      <c r="AA77" s="13" t="e">
        <f t="shared" si="37"/>
        <v>#REF!</v>
      </c>
      <c r="AB77" s="13" t="e">
        <f t="shared" ref="AB77:AH77" si="38">+ROUND(AB75+AB76,5)</f>
        <v>#REF!</v>
      </c>
      <c r="AC77" s="13" t="e">
        <f t="shared" si="38"/>
        <v>#REF!</v>
      </c>
      <c r="AD77" s="13" t="e">
        <f t="shared" si="38"/>
        <v>#REF!</v>
      </c>
      <c r="AE77" s="13" t="e">
        <f t="shared" si="38"/>
        <v>#REF!</v>
      </c>
      <c r="AF77" s="13" t="e">
        <f t="shared" si="38"/>
        <v>#REF!</v>
      </c>
      <c r="AG77" s="58" t="e">
        <f t="shared" si="38"/>
        <v>#REF!</v>
      </c>
      <c r="AH77" s="76" t="e">
        <f t="shared" si="38"/>
        <v>#REF!</v>
      </c>
    </row>
    <row r="78" spans="18:34" x14ac:dyDescent="0.2">
      <c r="R78" s="63"/>
      <c r="S78" s="68"/>
      <c r="T78" s="69" t="e">
        <f t="shared" ref="T78:AH78" si="39">+T73/(1+T77)^T74</f>
        <v>#REF!</v>
      </c>
      <c r="U78" s="69" t="e">
        <f t="shared" si="39"/>
        <v>#REF!</v>
      </c>
      <c r="V78" s="69" t="e">
        <f t="shared" si="39"/>
        <v>#REF!</v>
      </c>
      <c r="W78" s="69" t="e">
        <f t="shared" si="39"/>
        <v>#REF!</v>
      </c>
      <c r="X78" s="69" t="e">
        <f t="shared" si="39"/>
        <v>#REF!</v>
      </c>
      <c r="Y78" s="69" t="e">
        <f t="shared" si="39"/>
        <v>#REF!</v>
      </c>
      <c r="Z78" s="69" t="e">
        <f t="shared" si="39"/>
        <v>#REF!</v>
      </c>
      <c r="AA78" s="69" t="e">
        <f t="shared" si="39"/>
        <v>#REF!</v>
      </c>
      <c r="AB78" s="69" t="e">
        <f t="shared" si="39"/>
        <v>#REF!</v>
      </c>
      <c r="AC78" s="69" t="e">
        <f t="shared" si="39"/>
        <v>#REF!</v>
      </c>
      <c r="AD78" s="69" t="e">
        <f t="shared" si="39"/>
        <v>#REF!</v>
      </c>
      <c r="AE78" s="69" t="e">
        <f t="shared" si="39"/>
        <v>#REF!</v>
      </c>
      <c r="AF78" s="69" t="e">
        <f t="shared" si="39"/>
        <v>#REF!</v>
      </c>
      <c r="AG78" s="69" t="e">
        <f t="shared" si="39"/>
        <v>#REF!</v>
      </c>
      <c r="AH78" s="70" t="e">
        <f t="shared" si="39"/>
        <v>#REF!</v>
      </c>
    </row>
    <row r="79" spans="18:34" x14ac:dyDescent="0.2">
      <c r="R79" s="63"/>
      <c r="S79" s="68"/>
      <c r="T79" s="13"/>
      <c r="U79" s="13"/>
      <c r="V79" s="13"/>
      <c r="W79" s="13"/>
      <c r="Y79" s="13"/>
      <c r="Z79" s="13"/>
      <c r="AA79" s="13"/>
      <c r="AB79" s="13"/>
      <c r="AC79" s="301" t="e">
        <f>+(AC70+AC72)/(1+AC77)^AC74</f>
        <v>#REF!</v>
      </c>
      <c r="AD79" s="13"/>
      <c r="AE79" s="13"/>
      <c r="AF79" s="13"/>
      <c r="AG79" s="13"/>
      <c r="AH79" s="76"/>
    </row>
    <row r="80" spans="18:34" x14ac:dyDescent="0.2">
      <c r="R80" s="63" t="s">
        <v>650</v>
      </c>
      <c r="S80" s="77" t="e">
        <f>+SUM(AB78)+AC79</f>
        <v>#REF!</v>
      </c>
      <c r="T80" s="13"/>
      <c r="U80" s="13">
        <v>50311.954400000002</v>
      </c>
      <c r="V80" s="13"/>
      <c r="W80" s="13"/>
      <c r="X80" s="13"/>
      <c r="Y80" s="13"/>
      <c r="Z80" s="13"/>
      <c r="AA80" s="13"/>
      <c r="AB80" s="13"/>
      <c r="AC80" s="13"/>
      <c r="AD80" s="13"/>
      <c r="AE80" s="13"/>
      <c r="AF80" s="13"/>
      <c r="AG80" s="13"/>
      <c r="AH80" s="76"/>
    </row>
    <row r="81" spans="17:34" ht="13.5" thickBot="1" x14ac:dyDescent="0.25">
      <c r="R81" s="78" t="s">
        <v>1331</v>
      </c>
      <c r="S81" s="410" t="e">
        <f>(AB78*AB74+AC79*AC74)/S80</f>
        <v>#REF!</v>
      </c>
      <c r="T81" s="79"/>
      <c r="U81" s="79"/>
      <c r="V81" s="79"/>
      <c r="W81" s="79"/>
      <c r="X81" s="79"/>
      <c r="Y81" s="79"/>
      <c r="Z81" s="79"/>
      <c r="AA81" s="79"/>
      <c r="AB81" s="79"/>
      <c r="AC81" s="79"/>
      <c r="AD81" s="79"/>
      <c r="AE81" s="79"/>
      <c r="AF81" s="79"/>
      <c r="AG81" s="79"/>
      <c r="AH81" s="81"/>
    </row>
    <row r="82" spans="17:34" x14ac:dyDescent="0.2">
      <c r="AG82" s="280"/>
    </row>
    <row r="83" spans="17:34" x14ac:dyDescent="0.2">
      <c r="U83" s="13">
        <v>3.986E-2</v>
      </c>
      <c r="V83" s="29" t="e">
        <f>U83+U76</f>
        <v>#REF!</v>
      </c>
      <c r="W83" s="159" t="e">
        <f>S81/(1+V83)</f>
        <v>#REF!</v>
      </c>
      <c r="AF83" s="49"/>
    </row>
    <row r="84" spans="17:34" x14ac:dyDescent="0.2">
      <c r="AG84" s="280">
        <f>AG86/T87</f>
        <v>49594.414168937328</v>
      </c>
      <c r="AH84" s="424" t="s">
        <v>2269</v>
      </c>
    </row>
    <row r="85" spans="17:34" x14ac:dyDescent="0.2">
      <c r="R85" t="s">
        <v>775</v>
      </c>
      <c r="S85">
        <v>2103</v>
      </c>
      <c r="AF85" s="280">
        <f>AG85/7%</f>
        <v>75844.142857142855</v>
      </c>
      <c r="AG85">
        <v>5309.09</v>
      </c>
      <c r="AH85" s="424" t="s">
        <v>2271</v>
      </c>
    </row>
    <row r="86" spans="17:34" ht="15.75" x14ac:dyDescent="0.25">
      <c r="S86" s="7" t="s">
        <v>103</v>
      </c>
      <c r="T86" s="8">
        <f>+T66</f>
        <v>46107</v>
      </c>
      <c r="AF86">
        <f>AG84*T87</f>
        <v>3640.23</v>
      </c>
      <c r="AG86">
        <v>3640.23</v>
      </c>
      <c r="AH86" s="424" t="s">
        <v>2270</v>
      </c>
    </row>
    <row r="87" spans="17:34" x14ac:dyDescent="0.2">
      <c r="S87" s="12" t="s">
        <v>105</v>
      </c>
      <c r="T87" s="13">
        <v>7.3400000000000007E-2</v>
      </c>
      <c r="U87" s="13">
        <v>6.9500000000000006E-2</v>
      </c>
    </row>
    <row r="88" spans="17:34" x14ac:dyDescent="0.2">
      <c r="S88" s="17">
        <v>38061</v>
      </c>
      <c r="T88" s="8">
        <v>38426</v>
      </c>
      <c r="U88" s="17">
        <v>38791</v>
      </c>
      <c r="V88" s="8">
        <v>39156</v>
      </c>
      <c r="W88" s="17">
        <v>39522</v>
      </c>
      <c r="X88" s="8">
        <v>39887</v>
      </c>
      <c r="Y88" s="17">
        <v>40252</v>
      </c>
      <c r="Z88" s="8">
        <v>40617</v>
      </c>
      <c r="AA88" s="17">
        <v>40983</v>
      </c>
      <c r="AB88" s="8">
        <v>41348</v>
      </c>
      <c r="AC88" s="17">
        <v>41713</v>
      </c>
      <c r="AD88" s="8">
        <v>42078</v>
      </c>
      <c r="AE88" s="17">
        <v>42444</v>
      </c>
      <c r="AF88" s="8">
        <v>42809</v>
      </c>
      <c r="AG88" s="17">
        <v>43174</v>
      </c>
      <c r="AH88" s="8">
        <v>43539</v>
      </c>
    </row>
    <row r="89" spans="17:34" x14ac:dyDescent="0.2">
      <c r="Q89" s="424" t="s">
        <v>2259</v>
      </c>
      <c r="R89" t="s">
        <v>1318</v>
      </c>
      <c r="S89" s="20"/>
      <c r="T89" s="255">
        <f>$S$90*2%</f>
        <v>2000</v>
      </c>
      <c r="U89" s="255">
        <f>$S$90*2.25%</f>
        <v>2250</v>
      </c>
      <c r="V89" s="255">
        <f>$S$90*2.5%</f>
        <v>2500</v>
      </c>
      <c r="W89" s="255">
        <f>$S$90*2.75%</f>
        <v>2750</v>
      </c>
      <c r="X89" s="255">
        <f>$S$90*3%</f>
        <v>3000</v>
      </c>
      <c r="Y89" s="255">
        <f>$S$90*3.25%</f>
        <v>3250</v>
      </c>
      <c r="Z89" s="255">
        <f>$S$90*3.5%</f>
        <v>3500.0000000000005</v>
      </c>
      <c r="AA89" s="255">
        <f>$S$90*3.75%</f>
        <v>3750</v>
      </c>
      <c r="AB89" s="255">
        <f>$S$90*4%</f>
        <v>4000</v>
      </c>
      <c r="AC89" s="255">
        <f>$S$90*4.5%</f>
        <v>4500</v>
      </c>
      <c r="AD89" s="255">
        <f>$S$90*5%</f>
        <v>5000</v>
      </c>
      <c r="AE89" s="255">
        <f>$S$90*5.5%</f>
        <v>5500</v>
      </c>
      <c r="AF89" s="255">
        <f>$S$90*6%</f>
        <v>6000</v>
      </c>
      <c r="AG89" s="255">
        <f>$S$90*7%</f>
        <v>7000.0000000000009</v>
      </c>
      <c r="AH89" s="255">
        <f>$S$90*45%</f>
        <v>45000</v>
      </c>
    </row>
    <row r="90" spans="17:34" x14ac:dyDescent="0.2">
      <c r="R90" t="s">
        <v>1320</v>
      </c>
      <c r="S90" s="21">
        <v>100000</v>
      </c>
      <c r="T90" s="23">
        <f>+S90-T89</f>
        <v>98000</v>
      </c>
      <c r="U90" s="23">
        <f t="shared" ref="U90:AE90" si="40">+T90-U89</f>
        <v>95750</v>
      </c>
      <c r="V90" s="23">
        <f t="shared" si="40"/>
        <v>93250</v>
      </c>
      <c r="W90" s="23">
        <f t="shared" si="40"/>
        <v>90500</v>
      </c>
      <c r="X90" s="23">
        <f t="shared" si="40"/>
        <v>87500</v>
      </c>
      <c r="Y90" s="23">
        <f t="shared" si="40"/>
        <v>84250</v>
      </c>
      <c r="Z90" s="23">
        <f t="shared" si="40"/>
        <v>80750</v>
      </c>
      <c r="AA90" s="23">
        <f t="shared" si="40"/>
        <v>77000</v>
      </c>
      <c r="AB90" s="23">
        <f t="shared" si="40"/>
        <v>73000</v>
      </c>
      <c r="AC90" s="23">
        <f t="shared" si="40"/>
        <v>68500</v>
      </c>
      <c r="AD90" s="23">
        <f t="shared" si="40"/>
        <v>63500</v>
      </c>
      <c r="AE90" s="23">
        <f t="shared" si="40"/>
        <v>58000</v>
      </c>
      <c r="AF90" s="23">
        <f>+AE90-AF89</f>
        <v>52000</v>
      </c>
      <c r="AG90" s="23">
        <f>+AF90-AG89</f>
        <v>45000</v>
      </c>
      <c r="AH90" s="23">
        <f>+AG90-AH89</f>
        <v>0</v>
      </c>
    </row>
    <row r="91" spans="17:34" x14ac:dyDescent="0.2">
      <c r="R91" t="s">
        <v>1321</v>
      </c>
      <c r="S91" s="20"/>
      <c r="T91" s="25">
        <f>+$U$87*S90</f>
        <v>6950.0000000000009</v>
      </c>
      <c r="U91" s="25">
        <f t="shared" ref="U91:AC91" si="41">+$U$87*T90</f>
        <v>6811.0000000000009</v>
      </c>
      <c r="V91" s="25">
        <f t="shared" si="41"/>
        <v>6654.6250000000009</v>
      </c>
      <c r="W91" s="25">
        <f t="shared" si="41"/>
        <v>6480.8750000000009</v>
      </c>
      <c r="X91" s="25">
        <f t="shared" si="41"/>
        <v>6289.7500000000009</v>
      </c>
      <c r="Y91" s="25">
        <f t="shared" si="41"/>
        <v>6081.2500000000009</v>
      </c>
      <c r="Z91" s="25">
        <f t="shared" si="41"/>
        <v>5855.3750000000009</v>
      </c>
      <c r="AA91" s="25">
        <f t="shared" si="41"/>
        <v>5612.1250000000009</v>
      </c>
      <c r="AB91" s="25">
        <f t="shared" si="41"/>
        <v>5351.5000000000009</v>
      </c>
      <c r="AC91" s="25">
        <f t="shared" si="41"/>
        <v>5073.5</v>
      </c>
      <c r="AD91" s="25">
        <f>+$U$87*AC90</f>
        <v>4760.75</v>
      </c>
      <c r="AE91" s="25">
        <f>+$T$87*AD90</f>
        <v>4660.9000000000005</v>
      </c>
      <c r="AF91" s="25">
        <f>+$T$87*AE90</f>
        <v>4257.2000000000007</v>
      </c>
      <c r="AG91" s="25">
        <f>+$T$87*AF90</f>
        <v>3816.8</v>
      </c>
      <c r="AH91" s="25">
        <f>+$T$87*AG90</f>
        <v>3303.0000000000005</v>
      </c>
    </row>
    <row r="92" spans="17:34" x14ac:dyDescent="0.2">
      <c r="R92" t="s">
        <v>1322</v>
      </c>
      <c r="S92" s="20"/>
      <c r="T92" s="25">
        <f t="shared" ref="T92:AF92" si="42">+T91+T89</f>
        <v>8950</v>
      </c>
      <c r="U92" s="25">
        <f t="shared" si="42"/>
        <v>9061</v>
      </c>
      <c r="V92" s="25">
        <f t="shared" si="42"/>
        <v>9154.625</v>
      </c>
      <c r="W92" s="25">
        <f t="shared" si="42"/>
        <v>9230.875</v>
      </c>
      <c r="X92" s="25">
        <f t="shared" si="42"/>
        <v>9289.75</v>
      </c>
      <c r="Y92" s="25">
        <f t="shared" si="42"/>
        <v>9331.25</v>
      </c>
      <c r="Z92" s="25">
        <f t="shared" si="42"/>
        <v>9355.3750000000018</v>
      </c>
      <c r="AA92" s="25">
        <f t="shared" si="42"/>
        <v>9362.125</v>
      </c>
      <c r="AB92" s="25">
        <f t="shared" si="42"/>
        <v>9351.5</v>
      </c>
      <c r="AC92" s="25">
        <f t="shared" si="42"/>
        <v>9573.5</v>
      </c>
      <c r="AD92" s="25">
        <f t="shared" si="42"/>
        <v>9760.75</v>
      </c>
      <c r="AE92" s="25">
        <f t="shared" si="42"/>
        <v>10160.900000000001</v>
      </c>
      <c r="AF92" s="25">
        <f t="shared" si="42"/>
        <v>10257.200000000001</v>
      </c>
      <c r="AG92" s="25">
        <f>+AG91+AG89</f>
        <v>10816.800000000001</v>
      </c>
      <c r="AH92" s="25">
        <f>+AH91+AH89</f>
        <v>48303</v>
      </c>
    </row>
    <row r="93" spans="17:34" x14ac:dyDescent="0.2">
      <c r="R93" t="s">
        <v>1323</v>
      </c>
      <c r="S93" s="21"/>
      <c r="T93" s="25">
        <f t="shared" ref="T93:AH93" si="43">+IF(T88&gt;$T$1,T92,0)</f>
        <v>0</v>
      </c>
      <c r="U93" s="25">
        <f t="shared" si="43"/>
        <v>0</v>
      </c>
      <c r="V93" s="25">
        <f t="shared" si="43"/>
        <v>0</v>
      </c>
      <c r="W93" s="25">
        <f t="shared" si="43"/>
        <v>0</v>
      </c>
      <c r="X93" s="25">
        <f t="shared" si="43"/>
        <v>0</v>
      </c>
      <c r="Y93" s="25">
        <f t="shared" si="43"/>
        <v>0</v>
      </c>
      <c r="Z93" s="25">
        <f t="shared" si="43"/>
        <v>0</v>
      </c>
      <c r="AA93" s="25">
        <f t="shared" si="43"/>
        <v>0</v>
      </c>
      <c r="AB93" s="25">
        <f t="shared" si="43"/>
        <v>0</v>
      </c>
      <c r="AC93" s="25">
        <f t="shared" si="43"/>
        <v>0</v>
      </c>
      <c r="AD93" s="25">
        <f t="shared" si="43"/>
        <v>0</v>
      </c>
      <c r="AE93" s="25">
        <f t="shared" si="43"/>
        <v>0</v>
      </c>
      <c r="AF93" s="25">
        <f t="shared" si="43"/>
        <v>0</v>
      </c>
      <c r="AG93" s="25">
        <f t="shared" si="43"/>
        <v>0</v>
      </c>
      <c r="AH93" s="25">
        <f t="shared" si="43"/>
        <v>0</v>
      </c>
    </row>
    <row r="94" spans="17:34" x14ac:dyDescent="0.2">
      <c r="R94" t="s">
        <v>1324</v>
      </c>
      <c r="S94" s="27"/>
      <c r="T94">
        <f t="shared" ref="T94:AH94" si="44">+IF(S93=0,(T88-$T$1)/(T88-S88),S94+1)</f>
        <v>-21.043835616438358</v>
      </c>
      <c r="U94">
        <f t="shared" si="44"/>
        <v>-20.043835616438358</v>
      </c>
      <c r="V94">
        <f t="shared" si="44"/>
        <v>-19.043835616438358</v>
      </c>
      <c r="W94">
        <f t="shared" si="44"/>
        <v>-17.991803278688526</v>
      </c>
      <c r="X94">
        <f t="shared" si="44"/>
        <v>-17.041095890410958</v>
      </c>
      <c r="Y94">
        <f t="shared" si="44"/>
        <v>-16.041095890410958</v>
      </c>
      <c r="Z94">
        <f t="shared" si="44"/>
        <v>-15.04109589041096</v>
      </c>
      <c r="AA94">
        <f t="shared" si="44"/>
        <v>-14</v>
      </c>
      <c r="AB94">
        <f t="shared" si="44"/>
        <v>-13.038356164383561</v>
      </c>
      <c r="AC94">
        <f t="shared" si="44"/>
        <v>-12.038356164383561</v>
      </c>
      <c r="AD94">
        <f t="shared" si="44"/>
        <v>-11.038356164383561</v>
      </c>
      <c r="AE94">
        <f t="shared" si="44"/>
        <v>-10.008196721311476</v>
      </c>
      <c r="AF94">
        <f t="shared" si="44"/>
        <v>-9.0356164383561648</v>
      </c>
      <c r="AG94">
        <f t="shared" si="44"/>
        <v>-8.0356164383561648</v>
      </c>
      <c r="AH94">
        <f t="shared" si="44"/>
        <v>-7.0356164383561648</v>
      </c>
    </row>
    <row r="95" spans="17:34" x14ac:dyDescent="0.2">
      <c r="R95" s="29" t="s">
        <v>1325</v>
      </c>
      <c r="S95" s="20"/>
      <c r="T95" s="68">
        <f t="shared" ref="T95:AH95" si="45">IF(T94&lt;1,interpoler(mat_court,taux_court_act,T94*(T88-S88)),interpoler(mat,taux,T94))</f>
        <v>2.3281430422376737E-2</v>
      </c>
      <c r="U95" s="68">
        <f t="shared" si="45"/>
        <v>2.3281430422376737E-2</v>
      </c>
      <c r="V95" s="68">
        <f t="shared" si="45"/>
        <v>2.3281430422376737E-2</v>
      </c>
      <c r="W95" s="68">
        <f t="shared" si="45"/>
        <v>2.3281430422376737E-2</v>
      </c>
      <c r="X95" s="68">
        <f t="shared" si="45"/>
        <v>2.3281430422376737E-2</v>
      </c>
      <c r="Y95" s="68">
        <f t="shared" si="45"/>
        <v>2.3281430422376737E-2</v>
      </c>
      <c r="Z95" s="68">
        <f t="shared" si="45"/>
        <v>2.3281430422376737E-2</v>
      </c>
      <c r="AA95" s="68">
        <f t="shared" si="45"/>
        <v>2.3281430422376737E-2</v>
      </c>
      <c r="AB95" s="68">
        <f t="shared" si="45"/>
        <v>2.3281430422376737E-2</v>
      </c>
      <c r="AC95" s="68">
        <f t="shared" si="45"/>
        <v>2.3281430422376737E-2</v>
      </c>
      <c r="AD95" s="68">
        <f t="shared" si="45"/>
        <v>2.3281430422376737E-2</v>
      </c>
      <c r="AE95" s="68">
        <f t="shared" si="45"/>
        <v>2.3281430422376737E-2</v>
      </c>
      <c r="AF95" s="68">
        <f t="shared" si="45"/>
        <v>2.3281430422376737E-2</v>
      </c>
      <c r="AG95" s="68">
        <f t="shared" si="45"/>
        <v>2.3281430422376737E-2</v>
      </c>
      <c r="AH95" s="245">
        <f t="shared" si="45"/>
        <v>2.3281430422376737E-2</v>
      </c>
    </row>
    <row r="96" spans="17:34" x14ac:dyDescent="0.2">
      <c r="R96" t="s">
        <v>1328</v>
      </c>
      <c r="S96" s="20"/>
      <c r="T96" s="29" t="e">
        <f>+Lignes_détenues!#REF!</f>
        <v>#REF!</v>
      </c>
      <c r="U96" s="29" t="e">
        <f t="shared" ref="U96:AH96" si="46">+T96</f>
        <v>#REF!</v>
      </c>
      <c r="V96" s="29" t="e">
        <f t="shared" si="46"/>
        <v>#REF!</v>
      </c>
      <c r="W96" s="29" t="e">
        <f t="shared" si="46"/>
        <v>#REF!</v>
      </c>
      <c r="X96" s="29" t="e">
        <f t="shared" si="46"/>
        <v>#REF!</v>
      </c>
      <c r="Y96" s="29" t="e">
        <f t="shared" si="46"/>
        <v>#REF!</v>
      </c>
      <c r="Z96" s="29" t="e">
        <f t="shared" si="46"/>
        <v>#REF!</v>
      </c>
      <c r="AA96" s="29" t="e">
        <f t="shared" si="46"/>
        <v>#REF!</v>
      </c>
      <c r="AB96" s="29" t="e">
        <f t="shared" si="46"/>
        <v>#REF!</v>
      </c>
      <c r="AC96" s="29" t="e">
        <f t="shared" si="46"/>
        <v>#REF!</v>
      </c>
      <c r="AD96" s="29" t="e">
        <f t="shared" si="46"/>
        <v>#REF!</v>
      </c>
      <c r="AE96" s="29" t="e">
        <f t="shared" si="46"/>
        <v>#REF!</v>
      </c>
      <c r="AF96" s="29" t="e">
        <f t="shared" si="46"/>
        <v>#REF!</v>
      </c>
      <c r="AG96" s="29" t="e">
        <f t="shared" si="46"/>
        <v>#REF!</v>
      </c>
      <c r="AH96" s="102" t="e">
        <f t="shared" si="46"/>
        <v>#REF!</v>
      </c>
    </row>
    <row r="97" spans="18:34" x14ac:dyDescent="0.2">
      <c r="R97" t="s">
        <v>1329</v>
      </c>
      <c r="S97" s="20"/>
      <c r="T97" s="13" t="e">
        <f t="shared" ref="T97:AF97" si="47">+ROUND(T95+T96,6)</f>
        <v>#REF!</v>
      </c>
      <c r="U97" s="13" t="e">
        <f t="shared" si="47"/>
        <v>#REF!</v>
      </c>
      <c r="V97" s="13" t="e">
        <f t="shared" si="47"/>
        <v>#REF!</v>
      </c>
      <c r="W97" s="13" t="e">
        <f t="shared" si="47"/>
        <v>#REF!</v>
      </c>
      <c r="X97" s="13" t="e">
        <f t="shared" si="47"/>
        <v>#REF!</v>
      </c>
      <c r="Y97" s="13" t="e">
        <f t="shared" si="47"/>
        <v>#REF!</v>
      </c>
      <c r="Z97" s="13" t="e">
        <f t="shared" si="47"/>
        <v>#REF!</v>
      </c>
      <c r="AA97" s="13" t="e">
        <f t="shared" si="47"/>
        <v>#REF!</v>
      </c>
      <c r="AB97" s="13" t="e">
        <f t="shared" si="47"/>
        <v>#REF!</v>
      </c>
      <c r="AC97" s="13" t="e">
        <f t="shared" si="47"/>
        <v>#REF!</v>
      </c>
      <c r="AD97" s="13" t="e">
        <f t="shared" si="47"/>
        <v>#REF!</v>
      </c>
      <c r="AE97" s="13" t="e">
        <f t="shared" si="47"/>
        <v>#REF!</v>
      </c>
      <c r="AF97" s="13" t="e">
        <f t="shared" si="47"/>
        <v>#REF!</v>
      </c>
      <c r="AG97" s="13" t="e">
        <f>+ROUND(AG95+AG96,5)</f>
        <v>#REF!</v>
      </c>
      <c r="AH97" s="102" t="e">
        <f>+ROUND(AH95+AH96,5)</f>
        <v>#REF!</v>
      </c>
    </row>
    <row r="98" spans="18:34" x14ac:dyDescent="0.2">
      <c r="S98" s="20"/>
      <c r="T98" s="21" t="e">
        <f t="shared" ref="T98:AH98" si="48">+T93/(1+T97)^T94</f>
        <v>#REF!</v>
      </c>
      <c r="U98" s="21" t="e">
        <f t="shared" si="48"/>
        <v>#REF!</v>
      </c>
      <c r="V98" s="21" t="e">
        <f t="shared" si="48"/>
        <v>#REF!</v>
      </c>
      <c r="W98" s="21" t="e">
        <f t="shared" si="48"/>
        <v>#REF!</v>
      </c>
      <c r="X98" s="21" t="e">
        <f t="shared" si="48"/>
        <v>#REF!</v>
      </c>
      <c r="Y98" s="21" t="e">
        <f t="shared" si="48"/>
        <v>#REF!</v>
      </c>
      <c r="Z98" s="21" t="e">
        <f t="shared" si="48"/>
        <v>#REF!</v>
      </c>
      <c r="AA98" s="21" t="e">
        <f t="shared" si="48"/>
        <v>#REF!</v>
      </c>
      <c r="AB98" s="21" t="e">
        <f t="shared" si="48"/>
        <v>#REF!</v>
      </c>
      <c r="AC98" s="21" t="e">
        <f t="shared" si="48"/>
        <v>#REF!</v>
      </c>
      <c r="AD98" s="21" t="e">
        <f t="shared" si="48"/>
        <v>#REF!</v>
      </c>
      <c r="AE98" s="21" t="e">
        <f t="shared" si="48"/>
        <v>#REF!</v>
      </c>
      <c r="AF98" s="21" t="e">
        <f t="shared" si="48"/>
        <v>#REF!</v>
      </c>
      <c r="AG98" s="21" t="e">
        <f t="shared" si="48"/>
        <v>#REF!</v>
      </c>
      <c r="AH98" s="21" t="e">
        <f t="shared" si="48"/>
        <v>#REF!</v>
      </c>
    </row>
    <row r="99" spans="18:34" x14ac:dyDescent="0.2">
      <c r="S99" s="20"/>
      <c r="T99" s="13"/>
      <c r="U99" s="13"/>
      <c r="V99" s="13"/>
      <c r="W99" s="13"/>
      <c r="X99" s="1"/>
      <c r="Y99" s="13"/>
      <c r="Z99" s="13"/>
      <c r="AA99" s="13"/>
      <c r="AB99" s="13"/>
      <c r="AC99" s="13"/>
      <c r="AD99" s="13"/>
      <c r="AE99" s="13"/>
      <c r="AF99" s="13"/>
      <c r="AG99" s="13"/>
      <c r="AH99" s="13"/>
    </row>
    <row r="100" spans="18:34" x14ac:dyDescent="0.2">
      <c r="R100" t="s">
        <v>650</v>
      </c>
      <c r="S100" s="30" t="e">
        <f>+SUM(T98:AH98)</f>
        <v>#REF!</v>
      </c>
      <c r="T100" s="13"/>
      <c r="U100" s="13"/>
      <c r="V100" s="13"/>
      <c r="W100" s="13"/>
      <c r="X100" s="13"/>
      <c r="Y100" s="13"/>
      <c r="Z100" s="13"/>
      <c r="AA100" s="13"/>
      <c r="AB100" s="13"/>
      <c r="AC100" s="13"/>
      <c r="AD100" s="13"/>
      <c r="AE100" s="13"/>
      <c r="AF100" s="13"/>
      <c r="AG100" s="13"/>
      <c r="AH100" s="13"/>
    </row>
    <row r="101" spans="18:34" x14ac:dyDescent="0.2">
      <c r="R101" t="s">
        <v>1331</v>
      </c>
      <c r="S101" s="21" t="e">
        <f>+SUMPRODUCT(T94:AH94,T98:AH98)/S100</f>
        <v>#REF!</v>
      </c>
      <c r="AG101" s="251" t="e">
        <f>(S100-AG102)/(AG89+AH89)</f>
        <v>#REF!</v>
      </c>
    </row>
    <row r="102" spans="18:34" x14ac:dyDescent="0.2">
      <c r="V102" s="29" t="e">
        <f>T87+T96</f>
        <v>#REF!</v>
      </c>
      <c r="AG102" s="280">
        <f>AG91*(T86-AF88)/(AG88-AF88)</f>
        <v>34487.140821917812</v>
      </c>
    </row>
    <row r="104" spans="18:34" x14ac:dyDescent="0.2">
      <c r="T104" s="255">
        <f>S90*2%</f>
        <v>2000</v>
      </c>
      <c r="U104" s="255">
        <f>T105*2.25%</f>
        <v>2205</v>
      </c>
      <c r="V104" s="255">
        <f>U105*2.5%</f>
        <v>2394.875</v>
      </c>
      <c r="W104" s="255">
        <f>V105*2.75%</f>
        <v>2568.5034375</v>
      </c>
      <c r="X104" s="255">
        <f>W105*3%</f>
        <v>2724.9486468750001</v>
      </c>
      <c r="Y104" s="255">
        <f>X105*3.25%</f>
        <v>2863.4668697578127</v>
      </c>
      <c r="Z104" s="255">
        <f>Y105*3.5%</f>
        <v>2983.5122116053521</v>
      </c>
      <c r="AA104" s="255">
        <f>Z105*3.75%</f>
        <v>3084.738518784819</v>
      </c>
      <c r="AB104" s="255">
        <f>AA105*4%</f>
        <v>3166.9982126190812</v>
      </c>
      <c r="AC104" s="255">
        <f>AB105*4.5%</f>
        <v>3420.3580696286072</v>
      </c>
      <c r="AD104" s="255">
        <f>AC105*5%</f>
        <v>3629.3799516614667</v>
      </c>
      <c r="AE104" s="255">
        <f>AD105*5.5%</f>
        <v>3792.7020494862322</v>
      </c>
      <c r="AF104" s="255">
        <f>AE105*6%</f>
        <v>3909.9310219248978</v>
      </c>
      <c r="AG104" s="255">
        <f>AF105*7%</f>
        <v>4287.891020710972</v>
      </c>
      <c r="AH104" s="255" t="e">
        <f>AG105*45%</f>
        <v>#REF!</v>
      </c>
    </row>
    <row r="105" spans="18:34" x14ac:dyDescent="0.2">
      <c r="S105" s="255">
        <v>100000</v>
      </c>
      <c r="T105" s="255">
        <f>S105-T104</f>
        <v>98000</v>
      </c>
      <c r="U105" s="255">
        <f t="shared" ref="U105:AH105" si="49">T105-U104</f>
        <v>95795</v>
      </c>
      <c r="V105" s="255">
        <f t="shared" si="49"/>
        <v>93400.125</v>
      </c>
      <c r="W105" s="255">
        <f t="shared" si="49"/>
        <v>90831.621562500004</v>
      </c>
      <c r="X105" s="255">
        <f t="shared" si="49"/>
        <v>88106.672915625008</v>
      </c>
      <c r="Y105" s="255">
        <f t="shared" si="49"/>
        <v>85243.206045867191</v>
      </c>
      <c r="Z105" s="255">
        <f t="shared" si="49"/>
        <v>82259.693834261838</v>
      </c>
      <c r="AA105" s="255">
        <f t="shared" si="49"/>
        <v>79174.955315477026</v>
      </c>
      <c r="AB105" s="255">
        <f t="shared" si="49"/>
        <v>76007.957102857938</v>
      </c>
      <c r="AC105" s="255">
        <f t="shared" si="49"/>
        <v>72587.59903322933</v>
      </c>
      <c r="AD105" s="255">
        <f t="shared" si="49"/>
        <v>68958.219081567862</v>
      </c>
      <c r="AE105" s="255">
        <f t="shared" si="49"/>
        <v>65165.517032081632</v>
      </c>
      <c r="AF105" s="255">
        <f t="shared" si="49"/>
        <v>61255.586010156738</v>
      </c>
      <c r="AG105" s="255" t="e">
        <f>AF105-AG101</f>
        <v>#REF!</v>
      </c>
      <c r="AH105" s="255" t="e">
        <f t="shared" si="49"/>
        <v>#REF!</v>
      </c>
    </row>
    <row r="106" spans="18:34" x14ac:dyDescent="0.2">
      <c r="AD106" s="255">
        <f>AD104*70</f>
        <v>254056.59661630268</v>
      </c>
    </row>
    <row r="108" spans="18:34" x14ac:dyDescent="0.2">
      <c r="R108" t="s">
        <v>775</v>
      </c>
      <c r="S108">
        <v>9052</v>
      </c>
      <c r="AF108">
        <v>4.75</v>
      </c>
    </row>
    <row r="109" spans="18:34" ht="15.75" x14ac:dyDescent="0.25">
      <c r="S109" s="7" t="s">
        <v>103</v>
      </c>
      <c r="T109" s="8">
        <f>+T86</f>
        <v>46107</v>
      </c>
      <c r="AF109">
        <v>2.4</v>
      </c>
    </row>
    <row r="110" spans="18:34" x14ac:dyDescent="0.2">
      <c r="S110" s="12" t="s">
        <v>105</v>
      </c>
      <c r="T110" s="13">
        <v>5.6399999999999999E-2</v>
      </c>
      <c r="U110" s="13"/>
    </row>
    <row r="111" spans="18:34" x14ac:dyDescent="0.2">
      <c r="S111" s="17">
        <v>38709</v>
      </c>
      <c r="T111" s="8">
        <v>39074</v>
      </c>
      <c r="U111" s="17">
        <v>39439</v>
      </c>
      <c r="V111" s="8">
        <v>39805</v>
      </c>
      <c r="W111" s="17">
        <v>40170</v>
      </c>
      <c r="X111" s="8">
        <v>40535</v>
      </c>
      <c r="Y111" s="17">
        <v>40900</v>
      </c>
      <c r="Z111" s="8">
        <v>41266</v>
      </c>
      <c r="AA111" s="17"/>
      <c r="AB111" s="8"/>
      <c r="AC111" s="17"/>
      <c r="AD111" s="8"/>
      <c r="AE111" s="17"/>
      <c r="AF111" s="8"/>
      <c r="AG111" s="17"/>
      <c r="AH111" s="8"/>
    </row>
    <row r="112" spans="18:34" x14ac:dyDescent="0.2">
      <c r="R112" t="s">
        <v>1318</v>
      </c>
      <c r="S112" s="20"/>
      <c r="T112" s="21">
        <f t="shared" ref="T112:Z112" si="50">ROUND(100000/7,2)</f>
        <v>14285.71</v>
      </c>
      <c r="U112" s="21">
        <f t="shared" si="50"/>
        <v>14285.71</v>
      </c>
      <c r="V112" s="21">
        <f t="shared" si="50"/>
        <v>14285.71</v>
      </c>
      <c r="W112" s="21">
        <f t="shared" si="50"/>
        <v>14285.71</v>
      </c>
      <c r="X112" s="21">
        <f t="shared" si="50"/>
        <v>14285.71</v>
      </c>
      <c r="Y112" s="21">
        <f t="shared" si="50"/>
        <v>14285.71</v>
      </c>
      <c r="Z112" s="21">
        <f t="shared" si="50"/>
        <v>14285.71</v>
      </c>
      <c r="AA112" s="21"/>
      <c r="AB112" s="21"/>
      <c r="AC112" s="21"/>
      <c r="AD112" s="21"/>
      <c r="AE112" s="21"/>
      <c r="AF112" s="21"/>
      <c r="AG112" s="21"/>
      <c r="AH112" s="21"/>
    </row>
    <row r="113" spans="18:34" x14ac:dyDescent="0.2">
      <c r="R113" t="s">
        <v>1320</v>
      </c>
      <c r="S113" s="21">
        <v>100000</v>
      </c>
      <c r="T113" s="23">
        <f t="shared" ref="T113:Z113" si="51">+S113-T112</f>
        <v>85714.290000000008</v>
      </c>
      <c r="U113" s="23">
        <f t="shared" si="51"/>
        <v>71428.580000000016</v>
      </c>
      <c r="V113" s="23">
        <f t="shared" si="51"/>
        <v>57142.870000000017</v>
      </c>
      <c r="W113" s="23">
        <f t="shared" si="51"/>
        <v>42857.160000000018</v>
      </c>
      <c r="X113" s="23">
        <f t="shared" si="51"/>
        <v>28571.450000000019</v>
      </c>
      <c r="Y113" s="23">
        <f t="shared" si="51"/>
        <v>14285.74000000002</v>
      </c>
      <c r="Z113" s="23">
        <f t="shared" si="51"/>
        <v>3.000000002066372E-2</v>
      </c>
      <c r="AA113" s="23"/>
      <c r="AB113" s="23"/>
      <c r="AC113" s="23"/>
      <c r="AD113" s="23"/>
      <c r="AE113" s="23"/>
      <c r="AF113" s="23"/>
      <c r="AG113" s="23"/>
      <c r="AH113" s="23"/>
    </row>
    <row r="114" spans="18:34" x14ac:dyDescent="0.2">
      <c r="R114" t="s">
        <v>1321</v>
      </c>
      <c r="S114" s="20"/>
      <c r="T114" s="25">
        <f t="shared" ref="T114:Z114" si="52">+$T$110*S113</f>
        <v>5640</v>
      </c>
      <c r="U114" s="25">
        <f t="shared" si="52"/>
        <v>4834.2859560000006</v>
      </c>
      <c r="V114" s="25">
        <f t="shared" si="52"/>
        <v>4028.5719120000008</v>
      </c>
      <c r="W114" s="25">
        <f t="shared" si="52"/>
        <v>3222.857868000001</v>
      </c>
      <c r="X114" s="25">
        <f t="shared" si="52"/>
        <v>2417.1438240000011</v>
      </c>
      <c r="Y114" s="25">
        <f t="shared" si="52"/>
        <v>1611.4297800000011</v>
      </c>
      <c r="Z114" s="25">
        <f t="shared" si="52"/>
        <v>805.71573600000113</v>
      </c>
      <c r="AA114" s="25"/>
      <c r="AB114" s="25"/>
      <c r="AC114" s="25"/>
      <c r="AD114" s="25"/>
      <c r="AE114" s="280"/>
      <c r="AF114" s="280"/>
      <c r="AG114" s="280"/>
      <c r="AH114" s="280"/>
    </row>
    <row r="115" spans="18:34" x14ac:dyDescent="0.2">
      <c r="R115" t="s">
        <v>1322</v>
      </c>
      <c r="S115" s="20"/>
      <c r="T115" s="25">
        <f t="shared" ref="T115:Z115" si="53">+T114+T112</f>
        <v>19925.71</v>
      </c>
      <c r="U115" s="25">
        <f t="shared" si="53"/>
        <v>19119.995955999999</v>
      </c>
      <c r="V115" s="25">
        <f t="shared" si="53"/>
        <v>18314.281911999999</v>
      </c>
      <c r="W115" s="25">
        <f t="shared" si="53"/>
        <v>17508.567867999998</v>
      </c>
      <c r="X115" s="25">
        <f t="shared" si="53"/>
        <v>16702.853824000002</v>
      </c>
      <c r="Y115" s="25">
        <f t="shared" si="53"/>
        <v>15897.13978</v>
      </c>
      <c r="Z115" s="25">
        <f t="shared" si="53"/>
        <v>15091.425736000001</v>
      </c>
      <c r="AA115" s="25"/>
      <c r="AB115" s="25"/>
      <c r="AC115" s="25"/>
      <c r="AD115" s="25"/>
      <c r="AE115" s="280"/>
      <c r="AF115" s="280"/>
      <c r="AG115" s="280"/>
      <c r="AH115" s="280"/>
    </row>
    <row r="116" spans="18:34" x14ac:dyDescent="0.2">
      <c r="R116" t="s">
        <v>1323</v>
      </c>
      <c r="S116" s="21"/>
      <c r="T116" s="25">
        <f t="shared" ref="T116:Z116" si="54">+IF(T111&gt;$T$1,T115,0)</f>
        <v>0</v>
      </c>
      <c r="U116" s="25">
        <f t="shared" si="54"/>
        <v>0</v>
      </c>
      <c r="V116" s="25">
        <f t="shared" si="54"/>
        <v>0</v>
      </c>
      <c r="W116" s="25">
        <f t="shared" si="54"/>
        <v>0</v>
      </c>
      <c r="X116" s="25">
        <f t="shared" si="54"/>
        <v>0</v>
      </c>
      <c r="Y116" s="25">
        <f t="shared" si="54"/>
        <v>0</v>
      </c>
      <c r="Z116" s="25">
        <f t="shared" si="54"/>
        <v>0</v>
      </c>
      <c r="AA116" s="25"/>
      <c r="AB116" s="25"/>
      <c r="AC116" s="25"/>
      <c r="AD116" s="25"/>
      <c r="AE116" s="280"/>
      <c r="AF116" s="280"/>
      <c r="AG116" s="280"/>
      <c r="AH116" s="280"/>
    </row>
    <row r="117" spans="18:34" x14ac:dyDescent="0.2">
      <c r="R117" t="s">
        <v>1324</v>
      </c>
      <c r="S117" s="27"/>
      <c r="T117">
        <f t="shared" ref="T117:Z117" si="55">+IF(S116=0,(T111-$T$1)/(T111-S111),S117+1)</f>
        <v>-19.268493150684932</v>
      </c>
      <c r="U117">
        <f t="shared" si="55"/>
        <v>-18.268493150684932</v>
      </c>
      <c r="V117">
        <f t="shared" si="55"/>
        <v>-17.218579234972676</v>
      </c>
      <c r="W117">
        <f t="shared" si="55"/>
        <v>-16.265753424657536</v>
      </c>
      <c r="X117">
        <f t="shared" si="55"/>
        <v>-15.265753424657534</v>
      </c>
      <c r="Y117">
        <f t="shared" si="55"/>
        <v>-14.265753424657534</v>
      </c>
      <c r="Z117">
        <f t="shared" si="55"/>
        <v>-13.226775956284152</v>
      </c>
      <c r="AE117" s="280"/>
      <c r="AF117" s="280"/>
      <c r="AG117" s="280"/>
      <c r="AH117" s="280"/>
    </row>
    <row r="118" spans="18:34" x14ac:dyDescent="0.2">
      <c r="R118" s="29" t="s">
        <v>1325</v>
      </c>
      <c r="S118" s="20"/>
      <c r="T118" s="68">
        <f t="shared" ref="T118:Z118" si="56">IF(T117&lt;1,interpoler(mat_court,taux_court_act,T117*(T111-S111)),interpoler(mat,taux,T117))</f>
        <v>2.3281430422376737E-2</v>
      </c>
      <c r="U118" s="68">
        <f t="shared" si="56"/>
        <v>2.3281430422376737E-2</v>
      </c>
      <c r="V118" s="68">
        <f t="shared" si="56"/>
        <v>2.3281430422376737E-2</v>
      </c>
      <c r="W118" s="68">
        <f t="shared" si="56"/>
        <v>2.3281430422376737E-2</v>
      </c>
      <c r="X118" s="68">
        <f t="shared" si="56"/>
        <v>2.3281430422376737E-2</v>
      </c>
      <c r="Y118" s="68">
        <f t="shared" si="56"/>
        <v>2.3281430422376737E-2</v>
      </c>
      <c r="Z118" s="68">
        <f t="shared" si="56"/>
        <v>2.3281430422376737E-2</v>
      </c>
      <c r="AA118" s="68"/>
      <c r="AB118" s="68"/>
      <c r="AC118" s="68"/>
      <c r="AD118" s="431" t="s">
        <v>2768</v>
      </c>
      <c r="AE118" s="360">
        <v>3640.23</v>
      </c>
      <c r="AF118" s="360">
        <f>AE118*AF119</f>
        <v>455028.75</v>
      </c>
      <c r="AG118" s="360">
        <v>455029.12</v>
      </c>
      <c r="AH118" s="360"/>
    </row>
    <row r="119" spans="18:34" x14ac:dyDescent="0.2">
      <c r="R119" t="s">
        <v>1328</v>
      </c>
      <c r="S119" s="20"/>
      <c r="T119" s="29" t="e">
        <f>+Lignes_détenues!#REF!</f>
        <v>#REF!</v>
      </c>
      <c r="U119" s="29" t="e">
        <f t="shared" ref="U119:Z119" si="57">+T119</f>
        <v>#REF!</v>
      </c>
      <c r="V119" s="29" t="e">
        <f t="shared" si="57"/>
        <v>#REF!</v>
      </c>
      <c r="W119" s="29" t="e">
        <f t="shared" si="57"/>
        <v>#REF!</v>
      </c>
      <c r="X119" s="29" t="e">
        <f t="shared" si="57"/>
        <v>#REF!</v>
      </c>
      <c r="Y119" s="29" t="e">
        <f t="shared" si="57"/>
        <v>#REF!</v>
      </c>
      <c r="Z119" s="29" t="e">
        <f t="shared" si="57"/>
        <v>#REF!</v>
      </c>
      <c r="AA119" s="29"/>
      <c r="AB119" s="29"/>
      <c r="AC119" s="29"/>
      <c r="AD119" s="432" t="s">
        <v>2265</v>
      </c>
      <c r="AE119" s="280">
        <v>49594.45</v>
      </c>
      <c r="AF119" s="280">
        <v>125</v>
      </c>
      <c r="AG119" s="280">
        <f>AE119/AF119</f>
        <v>396.75559999999996</v>
      </c>
      <c r="AH119" s="280"/>
    </row>
    <row r="120" spans="18:34" x14ac:dyDescent="0.2">
      <c r="R120" t="s">
        <v>1329</v>
      </c>
      <c r="S120" s="20"/>
      <c r="T120" s="13" t="e">
        <f t="shared" ref="T120:Z120" si="58">+ROUND(T118+T119,6)</f>
        <v>#REF!</v>
      </c>
      <c r="U120" s="13" t="e">
        <f t="shared" si="58"/>
        <v>#REF!</v>
      </c>
      <c r="V120" s="13" t="e">
        <f t="shared" si="58"/>
        <v>#REF!</v>
      </c>
      <c r="W120" s="13" t="e">
        <f t="shared" si="58"/>
        <v>#REF!</v>
      </c>
      <c r="X120" s="13" t="e">
        <f t="shared" si="58"/>
        <v>#REF!</v>
      </c>
      <c r="Y120" s="13" t="e">
        <f t="shared" si="58"/>
        <v>#REF!</v>
      </c>
      <c r="Z120" s="13" t="e">
        <f t="shared" si="58"/>
        <v>#REF!</v>
      </c>
      <c r="AA120" s="13"/>
      <c r="AB120" s="13"/>
      <c r="AC120" s="13"/>
      <c r="AD120" s="434" t="s">
        <v>2266</v>
      </c>
      <c r="AE120">
        <v>5309.1</v>
      </c>
      <c r="AF120" s="280"/>
      <c r="AG120" s="280"/>
      <c r="AH120" s="280"/>
    </row>
    <row r="121" spans="18:34" x14ac:dyDescent="0.2">
      <c r="S121" s="20"/>
      <c r="T121" s="21" t="e">
        <f>+T116/(1+T120)^T117</f>
        <v>#REF!</v>
      </c>
      <c r="U121" s="21" t="e">
        <f>+U116/(1+U120)^U117</f>
        <v>#REF!</v>
      </c>
      <c r="V121" s="21" t="e">
        <f>+V116/(1+V120)^V117</f>
        <v>#REF!</v>
      </c>
      <c r="W121" s="21" t="e">
        <f>+W116/(1+W120)^W117</f>
        <v>#REF!</v>
      </c>
      <c r="X121" s="21" t="e">
        <f>+(X116/(1+X120)^X117)</f>
        <v>#REF!</v>
      </c>
      <c r="Y121" s="21" t="e">
        <f>+Y116/(1+Y120)^Y117</f>
        <v>#REF!</v>
      </c>
      <c r="Z121" s="21" t="e">
        <f>+Z116/(1+Z120)^Z117</f>
        <v>#REF!</v>
      </c>
      <c r="AA121" s="21"/>
      <c r="AB121" s="21"/>
      <c r="AC121" s="21"/>
      <c r="AD121" s="435" t="s">
        <v>2267</v>
      </c>
      <c r="AE121" s="433"/>
      <c r="AF121" s="433"/>
      <c r="AG121" s="433">
        <v>1118645.48</v>
      </c>
      <c r="AH121" s="433"/>
    </row>
    <row r="122" spans="18:34" x14ac:dyDescent="0.2">
      <c r="S122" s="20"/>
      <c r="T122" s="13"/>
      <c r="U122" s="13"/>
      <c r="V122" s="13"/>
      <c r="W122" s="13"/>
      <c r="X122" s="1"/>
      <c r="Y122" s="13"/>
      <c r="Z122" s="13"/>
      <c r="AA122" s="13"/>
      <c r="AB122" s="13"/>
      <c r="AC122" s="13"/>
      <c r="AD122" s="434" t="s">
        <v>2268</v>
      </c>
      <c r="AE122" s="280"/>
      <c r="AF122" s="280"/>
      <c r="AG122" s="280"/>
      <c r="AH122" s="280"/>
    </row>
    <row r="123" spans="18:34" x14ac:dyDescent="0.2">
      <c r="R123" t="s">
        <v>650</v>
      </c>
      <c r="S123" s="30" t="e">
        <f>+SUM(T121:Z121)</f>
        <v>#REF!</v>
      </c>
      <c r="T123" s="13"/>
      <c r="U123" s="13"/>
      <c r="V123" s="13"/>
      <c r="W123" s="13"/>
      <c r="X123" s="13"/>
      <c r="Y123" s="13"/>
      <c r="Z123" s="13"/>
      <c r="AA123" s="13"/>
      <c r="AB123" s="13"/>
      <c r="AC123" s="13"/>
      <c r="AD123" s="13"/>
      <c r="AE123" s="280"/>
      <c r="AF123" s="280"/>
      <c r="AG123" s="280"/>
      <c r="AH123" s="280"/>
    </row>
    <row r="124" spans="18:34" x14ac:dyDescent="0.2">
      <c r="R124" t="s">
        <v>1331</v>
      </c>
      <c r="S124" s="21" t="e">
        <f>+SUMPRODUCT(T117:Z117,T121:Z121)/S123</f>
        <v>#REF!</v>
      </c>
      <c r="AE124" s="280"/>
      <c r="AF124" s="280"/>
      <c r="AG124" s="280"/>
      <c r="AH124" s="280"/>
    </row>
    <row r="125" spans="18:34" x14ac:dyDescent="0.2">
      <c r="AE125" s="280"/>
      <c r="AF125" s="280"/>
      <c r="AG125" s="280"/>
      <c r="AH125" s="280"/>
    </row>
    <row r="129" spans="18:35" x14ac:dyDescent="0.2">
      <c r="S129">
        <v>9056</v>
      </c>
    </row>
    <row r="130" spans="18:35" ht="15.75" x14ac:dyDescent="0.25">
      <c r="R130" s="150"/>
      <c r="S130" s="224" t="s">
        <v>103</v>
      </c>
      <c r="T130" s="225">
        <f>+T109</f>
        <v>46107</v>
      </c>
      <c r="U130" s="150"/>
      <c r="V130" s="150"/>
      <c r="W130" s="150"/>
      <c r="X130" s="150"/>
      <c r="Y130" s="150"/>
      <c r="Z130" s="150"/>
      <c r="AA130" s="150"/>
      <c r="AB130" s="150"/>
      <c r="AC130" s="150"/>
      <c r="AD130" s="150"/>
      <c r="AE130" s="150"/>
      <c r="AF130" s="150"/>
      <c r="AG130" s="150"/>
      <c r="AH130" s="150"/>
    </row>
    <row r="131" spans="18:35" x14ac:dyDescent="0.2">
      <c r="R131" s="150"/>
      <c r="S131" s="226" t="s">
        <v>105</v>
      </c>
      <c r="T131" s="227">
        <v>4.1500000000000002E-2</v>
      </c>
      <c r="U131" s="227"/>
      <c r="V131" s="150"/>
      <c r="W131" s="150"/>
      <c r="X131" s="150"/>
      <c r="Y131" s="150"/>
      <c r="Z131" s="150"/>
      <c r="AA131" s="150"/>
      <c r="AB131" s="150"/>
      <c r="AC131" s="150"/>
      <c r="AD131" s="150"/>
      <c r="AE131" s="150"/>
      <c r="AF131" s="150"/>
      <c r="AG131" s="150"/>
      <c r="AH131" s="150"/>
    </row>
    <row r="132" spans="18:35" x14ac:dyDescent="0.2">
      <c r="R132" s="150"/>
      <c r="S132" s="228">
        <v>39071</v>
      </c>
      <c r="T132" s="225">
        <v>39436</v>
      </c>
      <c r="U132" s="228">
        <v>39802</v>
      </c>
      <c r="V132" s="225">
        <v>40167</v>
      </c>
      <c r="W132" s="228">
        <v>40532</v>
      </c>
      <c r="X132" s="225">
        <v>40897</v>
      </c>
      <c r="Y132" s="228">
        <v>41263</v>
      </c>
      <c r="Z132" s="225">
        <v>41628</v>
      </c>
      <c r="AA132" s="228">
        <v>41993</v>
      </c>
      <c r="AB132" s="225">
        <v>42358</v>
      </c>
      <c r="AC132" s="228">
        <v>42724</v>
      </c>
      <c r="AD132" s="225">
        <v>43089</v>
      </c>
      <c r="AE132" s="228">
        <v>43454</v>
      </c>
      <c r="AF132" s="225">
        <v>43819</v>
      </c>
      <c r="AG132" s="228">
        <v>44185</v>
      </c>
      <c r="AH132" s="225">
        <v>44550</v>
      </c>
    </row>
    <row r="133" spans="18:35" x14ac:dyDescent="0.2">
      <c r="R133" s="150" t="s">
        <v>1318</v>
      </c>
      <c r="S133" s="229"/>
      <c r="T133" s="230">
        <f t="shared" ref="T133:AG133" si="59">ROUND(100000/15,2)</f>
        <v>6666.67</v>
      </c>
      <c r="U133" s="230">
        <f t="shared" si="59"/>
        <v>6666.67</v>
      </c>
      <c r="V133" s="230">
        <f t="shared" si="59"/>
        <v>6666.67</v>
      </c>
      <c r="W133" s="230">
        <f t="shared" si="59"/>
        <v>6666.67</v>
      </c>
      <c r="X133" s="230">
        <f t="shared" si="59"/>
        <v>6666.67</v>
      </c>
      <c r="Y133" s="230">
        <f t="shared" si="59"/>
        <v>6666.67</v>
      </c>
      <c r="Z133" s="230">
        <f t="shared" si="59"/>
        <v>6666.67</v>
      </c>
      <c r="AA133" s="230">
        <f t="shared" si="59"/>
        <v>6666.67</v>
      </c>
      <c r="AB133" s="230">
        <f t="shared" si="59"/>
        <v>6666.67</v>
      </c>
      <c r="AC133" s="230">
        <f t="shared" si="59"/>
        <v>6666.67</v>
      </c>
      <c r="AD133" s="230">
        <f t="shared" si="59"/>
        <v>6666.67</v>
      </c>
      <c r="AE133" s="230">
        <f t="shared" si="59"/>
        <v>6666.67</v>
      </c>
      <c r="AF133" s="230">
        <f t="shared" si="59"/>
        <v>6666.67</v>
      </c>
      <c r="AG133" s="230">
        <f t="shared" si="59"/>
        <v>6666.67</v>
      </c>
      <c r="AH133" s="230">
        <f>ROUND(100000/15,2)-0.05</f>
        <v>6666.62</v>
      </c>
    </row>
    <row r="134" spans="18:35" x14ac:dyDescent="0.2">
      <c r="R134" s="150" t="s">
        <v>1320</v>
      </c>
      <c r="S134" s="230">
        <v>100000</v>
      </c>
      <c r="T134" s="231">
        <f t="shared" ref="T134:AH134" si="60">+S134-T133</f>
        <v>93333.33</v>
      </c>
      <c r="U134" s="231">
        <f t="shared" si="60"/>
        <v>86666.66</v>
      </c>
      <c r="V134" s="231">
        <f t="shared" si="60"/>
        <v>79999.990000000005</v>
      </c>
      <c r="W134" s="231">
        <f t="shared" si="60"/>
        <v>73333.320000000007</v>
      </c>
      <c r="X134" s="231">
        <f t="shared" si="60"/>
        <v>66666.650000000009</v>
      </c>
      <c r="Y134" s="231">
        <f t="shared" si="60"/>
        <v>59999.98000000001</v>
      </c>
      <c r="Z134" s="231">
        <f t="shared" si="60"/>
        <v>53333.310000000012</v>
      </c>
      <c r="AA134" s="231">
        <f t="shared" si="60"/>
        <v>46666.640000000014</v>
      </c>
      <c r="AB134" s="231">
        <f t="shared" si="60"/>
        <v>39999.970000000016</v>
      </c>
      <c r="AC134" s="231">
        <f t="shared" si="60"/>
        <v>33333.300000000017</v>
      </c>
      <c r="AD134" s="231">
        <f t="shared" si="60"/>
        <v>26666.630000000019</v>
      </c>
      <c r="AE134" s="231">
        <f t="shared" si="60"/>
        <v>19999.960000000021</v>
      </c>
      <c r="AF134" s="231">
        <f t="shared" si="60"/>
        <v>13333.290000000021</v>
      </c>
      <c r="AG134" s="231">
        <f t="shared" si="60"/>
        <v>6666.6200000000208</v>
      </c>
      <c r="AH134" s="231">
        <f t="shared" si="60"/>
        <v>2.0918378140777349E-11</v>
      </c>
    </row>
    <row r="135" spans="18:35" x14ac:dyDescent="0.2">
      <c r="R135" s="150" t="s">
        <v>1321</v>
      </c>
      <c r="S135" s="229"/>
      <c r="T135" s="232">
        <f>+$T$131*S134</f>
        <v>4150</v>
      </c>
      <c r="U135" s="232">
        <f t="shared" ref="U135:AH135" si="61">+$T$131*T134</f>
        <v>3873.3331950000002</v>
      </c>
      <c r="V135" s="232">
        <f t="shared" si="61"/>
        <v>3596.6663900000003</v>
      </c>
      <c r="W135" s="232">
        <f t="shared" si="61"/>
        <v>3319.9995850000005</v>
      </c>
      <c r="X135" s="232">
        <f t="shared" si="61"/>
        <v>3043.3327800000006</v>
      </c>
      <c r="Y135" s="232">
        <f t="shared" si="61"/>
        <v>2766.6659750000003</v>
      </c>
      <c r="Z135" s="232">
        <f t="shared" si="61"/>
        <v>2489.9991700000005</v>
      </c>
      <c r="AA135" s="232">
        <f t="shared" si="61"/>
        <v>2213.3323650000007</v>
      </c>
      <c r="AB135" s="232">
        <f t="shared" si="61"/>
        <v>1936.6655600000006</v>
      </c>
      <c r="AC135" s="232">
        <f t="shared" si="61"/>
        <v>1659.9987550000008</v>
      </c>
      <c r="AD135" s="232">
        <f t="shared" si="61"/>
        <v>1383.3319500000007</v>
      </c>
      <c r="AE135" s="232">
        <f t="shared" si="61"/>
        <v>1106.6651450000008</v>
      </c>
      <c r="AF135" s="232">
        <f t="shared" si="61"/>
        <v>829.99834000000089</v>
      </c>
      <c r="AG135" s="232">
        <f t="shared" si="61"/>
        <v>553.33153500000094</v>
      </c>
      <c r="AH135" s="232">
        <f t="shared" si="61"/>
        <v>276.66473000000087</v>
      </c>
    </row>
    <row r="136" spans="18:35" x14ac:dyDescent="0.2">
      <c r="R136" s="150" t="s">
        <v>1322</v>
      </c>
      <c r="S136" s="229"/>
      <c r="T136" s="232">
        <f t="shared" ref="T136:AH136" si="62">+T135+T133</f>
        <v>10816.67</v>
      </c>
      <c r="U136" s="232">
        <f t="shared" si="62"/>
        <v>10540.003195000001</v>
      </c>
      <c r="V136" s="232">
        <f t="shared" si="62"/>
        <v>10263.33639</v>
      </c>
      <c r="W136" s="232">
        <f t="shared" si="62"/>
        <v>9986.6695849999996</v>
      </c>
      <c r="X136" s="232">
        <f t="shared" si="62"/>
        <v>9710.0027800000007</v>
      </c>
      <c r="Y136" s="232">
        <f t="shared" si="62"/>
        <v>9433.335975</v>
      </c>
      <c r="Z136" s="232">
        <f t="shared" si="62"/>
        <v>9156.669170000001</v>
      </c>
      <c r="AA136" s="232">
        <f t="shared" si="62"/>
        <v>8880.0023650000003</v>
      </c>
      <c r="AB136" s="232">
        <f t="shared" si="62"/>
        <v>8603.3355600000014</v>
      </c>
      <c r="AC136" s="232">
        <f t="shared" si="62"/>
        <v>8326.6687550000006</v>
      </c>
      <c r="AD136" s="232">
        <f t="shared" si="62"/>
        <v>8050.0019500000008</v>
      </c>
      <c r="AE136" s="232">
        <f t="shared" si="62"/>
        <v>7773.3351450000009</v>
      </c>
      <c r="AF136" s="232">
        <f t="shared" si="62"/>
        <v>7496.6683400000011</v>
      </c>
      <c r="AG136" s="232">
        <f t="shared" si="62"/>
        <v>7220.0015350000012</v>
      </c>
      <c r="AH136" s="232">
        <f t="shared" si="62"/>
        <v>6943.2847300000012</v>
      </c>
    </row>
    <row r="137" spans="18:35" x14ac:dyDescent="0.2">
      <c r="R137" s="150" t="s">
        <v>1323</v>
      </c>
      <c r="S137" s="230"/>
      <c r="T137" s="232">
        <f t="shared" ref="T137:AH137" si="63">+IF(T132&gt;$T$1,T136,0)</f>
        <v>0</v>
      </c>
      <c r="U137" s="232">
        <f t="shared" si="63"/>
        <v>0</v>
      </c>
      <c r="V137" s="232">
        <f t="shared" si="63"/>
        <v>0</v>
      </c>
      <c r="W137" s="232">
        <f t="shared" si="63"/>
        <v>0</v>
      </c>
      <c r="X137" s="232">
        <f t="shared" si="63"/>
        <v>0</v>
      </c>
      <c r="Y137" s="232">
        <f t="shared" si="63"/>
        <v>0</v>
      </c>
      <c r="Z137" s="232">
        <f t="shared" si="63"/>
        <v>0</v>
      </c>
      <c r="AA137" s="232">
        <f t="shared" si="63"/>
        <v>0</v>
      </c>
      <c r="AB137" s="232">
        <f t="shared" si="63"/>
        <v>0</v>
      </c>
      <c r="AC137" s="232">
        <f t="shared" si="63"/>
        <v>0</v>
      </c>
      <c r="AD137" s="232">
        <f t="shared" si="63"/>
        <v>0</v>
      </c>
      <c r="AE137" s="232">
        <f t="shared" si="63"/>
        <v>0</v>
      </c>
      <c r="AF137" s="232">
        <f t="shared" si="63"/>
        <v>0</v>
      </c>
      <c r="AG137" s="232">
        <f t="shared" si="63"/>
        <v>0</v>
      </c>
      <c r="AH137" s="232">
        <f t="shared" si="63"/>
        <v>0</v>
      </c>
    </row>
    <row r="138" spans="18:35" x14ac:dyDescent="0.2">
      <c r="R138" s="150" t="s">
        <v>1324</v>
      </c>
      <c r="S138" s="233"/>
      <c r="T138" s="150">
        <f t="shared" ref="T138:AH138" si="64">+IF(S137=0,(T132-$T$1)/(T132-S132),S138+1)</f>
        <v>-18.276712328767122</v>
      </c>
      <c r="U138" s="150">
        <f t="shared" si="64"/>
        <v>-17.226775956284154</v>
      </c>
      <c r="V138" s="150">
        <f t="shared" si="64"/>
        <v>-16.273972602739725</v>
      </c>
      <c r="W138" s="150">
        <f t="shared" si="64"/>
        <v>-15.273972602739725</v>
      </c>
      <c r="X138" s="150">
        <f t="shared" si="64"/>
        <v>-14.273972602739725</v>
      </c>
      <c r="Y138" s="150">
        <f t="shared" si="64"/>
        <v>-13.234972677595628</v>
      </c>
      <c r="Z138" s="150">
        <f t="shared" si="64"/>
        <v>-12.271232876712329</v>
      </c>
      <c r="AA138" s="150">
        <f t="shared" si="64"/>
        <v>-11.271232876712329</v>
      </c>
      <c r="AB138" s="150">
        <f t="shared" si="64"/>
        <v>-10.271232876712329</v>
      </c>
      <c r="AC138" s="150">
        <f t="shared" si="64"/>
        <v>-9.2431693989071047</v>
      </c>
      <c r="AD138" s="150">
        <f t="shared" si="64"/>
        <v>-8.2684931506849306</v>
      </c>
      <c r="AE138" s="150">
        <f t="shared" si="64"/>
        <v>-7.2684931506849315</v>
      </c>
      <c r="AF138" s="150">
        <f t="shared" si="64"/>
        <v>-6.2684931506849315</v>
      </c>
      <c r="AG138" s="150">
        <f t="shared" si="64"/>
        <v>-5.2513661202185791</v>
      </c>
      <c r="AH138" s="150">
        <f t="shared" si="64"/>
        <v>-4.2657534246575342</v>
      </c>
    </row>
    <row r="139" spans="18:35" x14ac:dyDescent="0.2">
      <c r="R139" s="234" t="s">
        <v>1325</v>
      </c>
      <c r="S139" s="229"/>
      <c r="T139" s="235">
        <f t="shared" ref="T139:AH139" si="65">IF(T138&lt;1,interpoler(mat_court,taux_court_act,T138*(T132-S132)),interpoler(mat,taux,T138))</f>
        <v>2.3281430422376737E-2</v>
      </c>
      <c r="U139" s="235">
        <f t="shared" si="65"/>
        <v>2.3281430422376737E-2</v>
      </c>
      <c r="V139" s="235">
        <f t="shared" si="65"/>
        <v>2.3281430422376737E-2</v>
      </c>
      <c r="W139" s="235">
        <f t="shared" si="65"/>
        <v>2.3281430422376737E-2</v>
      </c>
      <c r="X139" s="235">
        <f t="shared" si="65"/>
        <v>2.3281430422376737E-2</v>
      </c>
      <c r="Y139" s="235">
        <f t="shared" si="65"/>
        <v>2.3281430422376737E-2</v>
      </c>
      <c r="Z139" s="235">
        <f t="shared" si="65"/>
        <v>2.3281430422376737E-2</v>
      </c>
      <c r="AA139" s="235">
        <f t="shared" si="65"/>
        <v>2.3281430422376737E-2</v>
      </c>
      <c r="AB139" s="235">
        <f t="shared" si="65"/>
        <v>2.3281430422376737E-2</v>
      </c>
      <c r="AC139" s="235">
        <f t="shared" si="65"/>
        <v>2.3281430422376737E-2</v>
      </c>
      <c r="AD139" s="235">
        <f t="shared" si="65"/>
        <v>2.3281430422376737E-2</v>
      </c>
      <c r="AE139" s="235">
        <f t="shared" si="65"/>
        <v>2.3281430422376737E-2</v>
      </c>
      <c r="AF139" s="235">
        <f t="shared" si="65"/>
        <v>2.3281430422376737E-2</v>
      </c>
      <c r="AG139" s="235">
        <f t="shared" si="65"/>
        <v>2.3281430422376737E-2</v>
      </c>
      <c r="AH139" s="235">
        <f t="shared" si="65"/>
        <v>2.3281430422376737E-2</v>
      </c>
      <c r="AI139" s="251"/>
    </row>
    <row r="140" spans="18:35" x14ac:dyDescent="0.2">
      <c r="R140" s="150" t="s">
        <v>1328</v>
      </c>
      <c r="S140" s="229"/>
      <c r="T140" s="234">
        <f>0.65%</f>
        <v>6.5000000000000006E-3</v>
      </c>
      <c r="U140" s="234">
        <f t="shared" ref="U140:AH140" si="66">+T140</f>
        <v>6.5000000000000006E-3</v>
      </c>
      <c r="V140" s="234">
        <f t="shared" si="66"/>
        <v>6.5000000000000006E-3</v>
      </c>
      <c r="W140" s="234">
        <f t="shared" si="66"/>
        <v>6.5000000000000006E-3</v>
      </c>
      <c r="X140" s="234">
        <f t="shared" si="66"/>
        <v>6.5000000000000006E-3</v>
      </c>
      <c r="Y140" s="234">
        <f t="shared" si="66"/>
        <v>6.5000000000000006E-3</v>
      </c>
      <c r="Z140" s="234">
        <f t="shared" si="66"/>
        <v>6.5000000000000006E-3</v>
      </c>
      <c r="AA140" s="234">
        <f t="shared" si="66"/>
        <v>6.5000000000000006E-3</v>
      </c>
      <c r="AB140" s="234">
        <f t="shared" si="66"/>
        <v>6.5000000000000006E-3</v>
      </c>
      <c r="AC140" s="234">
        <f t="shared" si="66"/>
        <v>6.5000000000000006E-3</v>
      </c>
      <c r="AD140" s="234">
        <f t="shared" si="66"/>
        <v>6.5000000000000006E-3</v>
      </c>
      <c r="AE140" s="234">
        <f t="shared" si="66"/>
        <v>6.5000000000000006E-3</v>
      </c>
      <c r="AF140" s="234">
        <f t="shared" si="66"/>
        <v>6.5000000000000006E-3</v>
      </c>
      <c r="AG140" s="234">
        <f t="shared" si="66"/>
        <v>6.5000000000000006E-3</v>
      </c>
      <c r="AH140" s="234">
        <f t="shared" si="66"/>
        <v>6.5000000000000006E-3</v>
      </c>
    </row>
    <row r="141" spans="18:35" x14ac:dyDescent="0.2">
      <c r="R141" s="150" t="s">
        <v>1329</v>
      </c>
      <c r="S141" s="229"/>
      <c r="T141" s="227">
        <f t="shared" ref="T141:Z141" si="67">+ROUND(T139+T140,6)</f>
        <v>2.9780999999999998E-2</v>
      </c>
      <c r="U141" s="227">
        <f t="shared" si="67"/>
        <v>2.9780999999999998E-2</v>
      </c>
      <c r="V141" s="227">
        <f t="shared" si="67"/>
        <v>2.9780999999999998E-2</v>
      </c>
      <c r="W141" s="227">
        <f t="shared" si="67"/>
        <v>2.9780999999999998E-2</v>
      </c>
      <c r="X141" s="227">
        <f t="shared" si="67"/>
        <v>2.9780999999999998E-2</v>
      </c>
      <c r="Y141" s="227">
        <f t="shared" si="67"/>
        <v>2.9780999999999998E-2</v>
      </c>
      <c r="Z141" s="227">
        <f t="shared" si="67"/>
        <v>2.9780999999999998E-2</v>
      </c>
      <c r="AA141" s="227">
        <f t="shared" ref="AA141:AH141" si="68">+ROUND(AA139+AA140,5)</f>
        <v>2.9780000000000001E-2</v>
      </c>
      <c r="AB141" s="227">
        <f t="shared" si="68"/>
        <v>2.9780000000000001E-2</v>
      </c>
      <c r="AC141" s="227">
        <f t="shared" si="68"/>
        <v>2.9780000000000001E-2</v>
      </c>
      <c r="AD141" s="227">
        <f t="shared" si="68"/>
        <v>2.9780000000000001E-2</v>
      </c>
      <c r="AE141" s="227">
        <f t="shared" si="68"/>
        <v>2.9780000000000001E-2</v>
      </c>
      <c r="AF141" s="227">
        <f t="shared" si="68"/>
        <v>2.9780000000000001E-2</v>
      </c>
      <c r="AG141" s="227">
        <f t="shared" si="68"/>
        <v>2.9780000000000001E-2</v>
      </c>
      <c r="AH141" s="227">
        <f t="shared" si="68"/>
        <v>2.9780000000000001E-2</v>
      </c>
    </row>
    <row r="142" spans="18:35" x14ac:dyDescent="0.2">
      <c r="R142" s="150"/>
      <c r="S142" s="229"/>
      <c r="T142" s="230">
        <f t="shared" ref="T142:AH142" si="69">+T137/(1+T141)^T138</f>
        <v>0</v>
      </c>
      <c r="U142" s="230">
        <f t="shared" si="69"/>
        <v>0</v>
      </c>
      <c r="V142" s="230">
        <f t="shared" si="69"/>
        <v>0</v>
      </c>
      <c r="W142" s="230">
        <f t="shared" si="69"/>
        <v>0</v>
      </c>
      <c r="X142" s="230">
        <f t="shared" si="69"/>
        <v>0</v>
      </c>
      <c r="Y142" s="230">
        <f t="shared" si="69"/>
        <v>0</v>
      </c>
      <c r="Z142" s="230">
        <f t="shared" si="69"/>
        <v>0</v>
      </c>
      <c r="AA142" s="230">
        <f t="shared" si="69"/>
        <v>0</v>
      </c>
      <c r="AB142" s="230">
        <f t="shared" si="69"/>
        <v>0</v>
      </c>
      <c r="AC142" s="230">
        <f t="shared" si="69"/>
        <v>0</v>
      </c>
      <c r="AD142" s="230">
        <f t="shared" si="69"/>
        <v>0</v>
      </c>
      <c r="AE142" s="230">
        <f t="shared" si="69"/>
        <v>0</v>
      </c>
      <c r="AF142" s="230">
        <f t="shared" si="69"/>
        <v>0</v>
      </c>
      <c r="AG142" s="230">
        <f t="shared" si="69"/>
        <v>0</v>
      </c>
      <c r="AH142" s="230">
        <f t="shared" si="69"/>
        <v>0</v>
      </c>
    </row>
    <row r="143" spans="18:35" x14ac:dyDescent="0.2">
      <c r="R143" s="150"/>
      <c r="S143" s="229"/>
      <c r="T143" s="227"/>
      <c r="U143" s="227"/>
      <c r="V143" s="227"/>
      <c r="W143" s="227"/>
      <c r="X143" s="227"/>
      <c r="Y143" s="227"/>
      <c r="Z143" s="227"/>
      <c r="AA143" s="227"/>
      <c r="AB143" s="227"/>
      <c r="AC143" s="227"/>
      <c r="AD143" s="227"/>
      <c r="AE143" s="227"/>
      <c r="AF143" s="227"/>
      <c r="AG143" s="227"/>
      <c r="AH143" s="227"/>
    </row>
    <row r="144" spans="18:35" x14ac:dyDescent="0.2">
      <c r="R144" s="150" t="s">
        <v>650</v>
      </c>
      <c r="S144" s="236">
        <f>+SUM(T142:AH142)</f>
        <v>0</v>
      </c>
      <c r="T144" s="227"/>
      <c r="U144" s="227"/>
      <c r="V144" s="227"/>
      <c r="W144" s="227"/>
      <c r="X144" s="227"/>
      <c r="Y144" s="227"/>
      <c r="Z144" s="227"/>
      <c r="AA144" s="227"/>
      <c r="AB144" s="227"/>
      <c r="AC144" s="227"/>
      <c r="AD144" s="227"/>
      <c r="AE144" s="227"/>
      <c r="AF144" s="227"/>
      <c r="AG144" s="227"/>
      <c r="AH144" s="227"/>
    </row>
    <row r="145" spans="18:34" x14ac:dyDescent="0.2">
      <c r="R145" s="150" t="s">
        <v>1331</v>
      </c>
      <c r="S145" s="230" t="e">
        <f>+SUMPRODUCT(T138:AH138,T142:AH142)/S144</f>
        <v>#DIV/0!</v>
      </c>
      <c r="T145" s="150"/>
      <c r="U145" s="150"/>
      <c r="V145" s="150"/>
      <c r="W145" s="150"/>
      <c r="X145" s="150"/>
      <c r="Y145" s="150"/>
      <c r="Z145" s="150"/>
      <c r="AA145" s="150"/>
      <c r="AB145" s="150"/>
      <c r="AC145" s="150"/>
      <c r="AD145" s="150"/>
      <c r="AE145" s="150"/>
      <c r="AF145" s="150"/>
      <c r="AG145" s="150"/>
      <c r="AH145" s="150"/>
    </row>
    <row r="149" spans="18:34" x14ac:dyDescent="0.2">
      <c r="S149">
        <v>9055</v>
      </c>
    </row>
    <row r="150" spans="18:34" ht="15.75" x14ac:dyDescent="0.25">
      <c r="R150" s="150"/>
      <c r="S150" s="224" t="s">
        <v>103</v>
      </c>
      <c r="T150" s="225">
        <f>+T130</f>
        <v>46107</v>
      </c>
      <c r="U150" s="150"/>
      <c r="V150" s="150"/>
      <c r="W150" s="150"/>
      <c r="X150" s="150"/>
      <c r="Y150" s="150"/>
      <c r="Z150" s="150"/>
      <c r="AA150" s="150"/>
      <c r="AB150" s="150"/>
      <c r="AC150" s="150"/>
      <c r="AD150" s="150"/>
      <c r="AE150" s="150"/>
      <c r="AF150" s="150"/>
      <c r="AG150" s="150"/>
      <c r="AH150" s="150"/>
    </row>
    <row r="151" spans="18:34" x14ac:dyDescent="0.2">
      <c r="R151" s="150"/>
      <c r="S151" s="226" t="s">
        <v>105</v>
      </c>
      <c r="T151" s="227">
        <v>3.6999999999999998E-2</v>
      </c>
      <c r="U151" s="227"/>
      <c r="V151" s="150"/>
      <c r="W151" s="150"/>
      <c r="X151" s="150"/>
      <c r="Y151" s="150"/>
      <c r="Z151" s="150"/>
      <c r="AA151" s="150"/>
      <c r="AB151" s="150"/>
      <c r="AC151" s="150"/>
      <c r="AD151" s="150"/>
      <c r="AE151" s="150"/>
      <c r="AF151" s="150"/>
      <c r="AG151" s="150"/>
      <c r="AH151" s="150"/>
    </row>
    <row r="152" spans="18:34" x14ac:dyDescent="0.2">
      <c r="R152" s="150"/>
      <c r="S152" s="228">
        <v>39071</v>
      </c>
      <c r="T152" s="225">
        <v>39436</v>
      </c>
      <c r="U152" s="228">
        <v>39802</v>
      </c>
      <c r="V152" s="225">
        <v>40167</v>
      </c>
      <c r="W152" s="228">
        <v>40532</v>
      </c>
      <c r="X152" s="225">
        <v>40897</v>
      </c>
      <c r="Y152" s="228">
        <v>41263</v>
      </c>
      <c r="Z152" s="225">
        <v>41628</v>
      </c>
      <c r="AA152" s="228">
        <v>41993</v>
      </c>
      <c r="AB152" s="225">
        <v>42358</v>
      </c>
      <c r="AC152" s="228">
        <v>42724</v>
      </c>
      <c r="AD152" s="225">
        <v>43089</v>
      </c>
      <c r="AE152" s="228">
        <v>43454</v>
      </c>
      <c r="AF152" s="225">
        <v>43819</v>
      </c>
      <c r="AG152" s="228">
        <v>44185</v>
      </c>
      <c r="AH152" s="225">
        <v>44550</v>
      </c>
    </row>
    <row r="153" spans="18:34" x14ac:dyDescent="0.2">
      <c r="R153" s="150" t="s">
        <v>1318</v>
      </c>
      <c r="S153" s="229"/>
      <c r="T153" s="230">
        <f t="shared" ref="T153:AG153" si="70">ROUND(100000/15,2)</f>
        <v>6666.67</v>
      </c>
      <c r="U153" s="230">
        <f t="shared" si="70"/>
        <v>6666.67</v>
      </c>
      <c r="V153" s="230">
        <f t="shared" si="70"/>
        <v>6666.67</v>
      </c>
      <c r="W153" s="230">
        <f t="shared" si="70"/>
        <v>6666.67</v>
      </c>
      <c r="X153" s="230">
        <f t="shared" si="70"/>
        <v>6666.67</v>
      </c>
      <c r="Y153" s="230">
        <f t="shared" si="70"/>
        <v>6666.67</v>
      </c>
      <c r="Z153" s="230">
        <f t="shared" si="70"/>
        <v>6666.67</v>
      </c>
      <c r="AA153" s="230">
        <f t="shared" si="70"/>
        <v>6666.67</v>
      </c>
      <c r="AB153" s="230">
        <f t="shared" si="70"/>
        <v>6666.67</v>
      </c>
      <c r="AC153" s="230">
        <f t="shared" si="70"/>
        <v>6666.67</v>
      </c>
      <c r="AD153" s="230">
        <f t="shared" si="70"/>
        <v>6666.67</v>
      </c>
      <c r="AE153" s="230">
        <f t="shared" si="70"/>
        <v>6666.67</v>
      </c>
      <c r="AF153" s="230">
        <f t="shared" si="70"/>
        <v>6666.67</v>
      </c>
      <c r="AG153" s="230">
        <f t="shared" si="70"/>
        <v>6666.67</v>
      </c>
      <c r="AH153" s="230">
        <f>ROUND(100000/15,2)-0.05</f>
        <v>6666.62</v>
      </c>
    </row>
    <row r="154" spans="18:34" x14ac:dyDescent="0.2">
      <c r="R154" s="150" t="s">
        <v>1320</v>
      </c>
      <c r="S154" s="230">
        <v>100000</v>
      </c>
      <c r="T154" s="231">
        <f t="shared" ref="T154:AH154" si="71">+S154-T153</f>
        <v>93333.33</v>
      </c>
      <c r="U154" s="231">
        <f t="shared" si="71"/>
        <v>86666.66</v>
      </c>
      <c r="V154" s="231">
        <f t="shared" si="71"/>
        <v>79999.990000000005</v>
      </c>
      <c r="W154" s="231">
        <f t="shared" si="71"/>
        <v>73333.320000000007</v>
      </c>
      <c r="X154" s="231">
        <f t="shared" si="71"/>
        <v>66666.650000000009</v>
      </c>
      <c r="Y154" s="231">
        <f t="shared" si="71"/>
        <v>59999.98000000001</v>
      </c>
      <c r="Z154" s="231">
        <f t="shared" si="71"/>
        <v>53333.310000000012</v>
      </c>
      <c r="AA154" s="231">
        <f t="shared" si="71"/>
        <v>46666.640000000014</v>
      </c>
      <c r="AB154" s="231">
        <f t="shared" si="71"/>
        <v>39999.970000000016</v>
      </c>
      <c r="AC154" s="231">
        <f t="shared" si="71"/>
        <v>33333.300000000017</v>
      </c>
      <c r="AD154" s="231">
        <f t="shared" si="71"/>
        <v>26666.630000000019</v>
      </c>
      <c r="AE154" s="231">
        <f t="shared" si="71"/>
        <v>19999.960000000021</v>
      </c>
      <c r="AF154" s="231">
        <f t="shared" si="71"/>
        <v>13333.290000000021</v>
      </c>
      <c r="AG154" s="231">
        <f t="shared" si="71"/>
        <v>6666.6200000000208</v>
      </c>
      <c r="AH154" s="231">
        <f t="shared" si="71"/>
        <v>2.0918378140777349E-11</v>
      </c>
    </row>
    <row r="155" spans="18:34" x14ac:dyDescent="0.2">
      <c r="R155" s="150" t="s">
        <v>1321</v>
      </c>
      <c r="S155" s="229"/>
      <c r="T155" s="232">
        <f>+$T$151*S154</f>
        <v>3700</v>
      </c>
      <c r="U155" s="232">
        <f t="shared" ref="U155:AH155" si="72">+$T$151*T154</f>
        <v>3453.3332099999998</v>
      </c>
      <c r="V155" s="232">
        <f t="shared" si="72"/>
        <v>3206.66642</v>
      </c>
      <c r="W155" s="232">
        <f t="shared" si="72"/>
        <v>2959.9996300000003</v>
      </c>
      <c r="X155" s="232">
        <f t="shared" si="72"/>
        <v>2713.33284</v>
      </c>
      <c r="Y155" s="232">
        <f t="shared" si="72"/>
        <v>2466.6660500000003</v>
      </c>
      <c r="Z155" s="232">
        <f t="shared" si="72"/>
        <v>2219.9992600000005</v>
      </c>
      <c r="AA155" s="232">
        <f t="shared" si="72"/>
        <v>1973.3324700000003</v>
      </c>
      <c r="AB155" s="232">
        <f t="shared" si="72"/>
        <v>1726.6656800000005</v>
      </c>
      <c r="AC155" s="232">
        <f t="shared" si="72"/>
        <v>1479.9988900000005</v>
      </c>
      <c r="AD155" s="232">
        <f t="shared" si="72"/>
        <v>1233.3321000000005</v>
      </c>
      <c r="AE155" s="232">
        <f t="shared" si="72"/>
        <v>986.66531000000066</v>
      </c>
      <c r="AF155" s="232">
        <f t="shared" si="72"/>
        <v>739.99852000000078</v>
      </c>
      <c r="AG155" s="232">
        <f t="shared" si="72"/>
        <v>493.33173000000073</v>
      </c>
      <c r="AH155" s="232">
        <f t="shared" si="72"/>
        <v>246.66494000000077</v>
      </c>
    </row>
    <row r="156" spans="18:34" x14ac:dyDescent="0.2">
      <c r="R156" s="150" t="s">
        <v>1322</v>
      </c>
      <c r="S156" s="229"/>
      <c r="T156" s="232">
        <f t="shared" ref="T156:AH156" si="73">+T155+T153</f>
        <v>10366.67</v>
      </c>
      <c r="U156" s="232">
        <f t="shared" si="73"/>
        <v>10120.003209999999</v>
      </c>
      <c r="V156" s="232">
        <f t="shared" si="73"/>
        <v>9873.3364199999996</v>
      </c>
      <c r="W156" s="232">
        <f t="shared" si="73"/>
        <v>9626.6696300000003</v>
      </c>
      <c r="X156" s="232">
        <f t="shared" si="73"/>
        <v>9380.002840000001</v>
      </c>
      <c r="Y156" s="232">
        <f t="shared" si="73"/>
        <v>9133.3360499999999</v>
      </c>
      <c r="Z156" s="232">
        <f t="shared" si="73"/>
        <v>8886.6692600000006</v>
      </c>
      <c r="AA156" s="232">
        <f t="shared" si="73"/>
        <v>8640.0024699999994</v>
      </c>
      <c r="AB156" s="232">
        <f t="shared" si="73"/>
        <v>8393.3356800000001</v>
      </c>
      <c r="AC156" s="232">
        <f t="shared" si="73"/>
        <v>8146.6688900000008</v>
      </c>
      <c r="AD156" s="232">
        <f t="shared" si="73"/>
        <v>7900.0021000000006</v>
      </c>
      <c r="AE156" s="232">
        <f t="shared" si="73"/>
        <v>7653.3353100000004</v>
      </c>
      <c r="AF156" s="232">
        <f t="shared" si="73"/>
        <v>7406.6685200000011</v>
      </c>
      <c r="AG156" s="232">
        <f t="shared" si="73"/>
        <v>7160.0017300000009</v>
      </c>
      <c r="AH156" s="232">
        <f t="shared" si="73"/>
        <v>6913.2849400000005</v>
      </c>
    </row>
    <row r="157" spans="18:34" x14ac:dyDescent="0.2">
      <c r="R157" s="150" t="s">
        <v>1323</v>
      </c>
      <c r="S157" s="230"/>
      <c r="T157" s="232">
        <f t="shared" ref="T157:AH157" si="74">+IF(T152&gt;$T$1,T156,0)</f>
        <v>0</v>
      </c>
      <c r="U157" s="232">
        <f t="shared" si="74"/>
        <v>0</v>
      </c>
      <c r="V157" s="232">
        <f t="shared" si="74"/>
        <v>0</v>
      </c>
      <c r="W157" s="232">
        <f t="shared" si="74"/>
        <v>0</v>
      </c>
      <c r="X157" s="232">
        <f t="shared" si="74"/>
        <v>0</v>
      </c>
      <c r="Y157" s="232">
        <f t="shared" si="74"/>
        <v>0</v>
      </c>
      <c r="Z157" s="232">
        <f t="shared" si="74"/>
        <v>0</v>
      </c>
      <c r="AA157" s="232">
        <f t="shared" si="74"/>
        <v>0</v>
      </c>
      <c r="AB157" s="232">
        <f t="shared" si="74"/>
        <v>0</v>
      </c>
      <c r="AC157" s="232">
        <f t="shared" si="74"/>
        <v>0</v>
      </c>
      <c r="AD157" s="232">
        <f t="shared" si="74"/>
        <v>0</v>
      </c>
      <c r="AE157" s="232">
        <f t="shared" si="74"/>
        <v>0</v>
      </c>
      <c r="AF157" s="232">
        <f t="shared" si="74"/>
        <v>0</v>
      </c>
      <c r="AG157" s="232">
        <f t="shared" si="74"/>
        <v>0</v>
      </c>
      <c r="AH157" s="232">
        <f t="shared" si="74"/>
        <v>0</v>
      </c>
    </row>
    <row r="158" spans="18:34" x14ac:dyDescent="0.2">
      <c r="R158" s="150" t="s">
        <v>1324</v>
      </c>
      <c r="S158" s="233"/>
      <c r="T158" s="150">
        <f t="shared" ref="T158:AH158" si="75">+IF(S157=0,(T152-$T$1)/(T152-S152),S158+1)</f>
        <v>-18.276712328767122</v>
      </c>
      <c r="U158" s="150">
        <f t="shared" si="75"/>
        <v>-17.226775956284154</v>
      </c>
      <c r="V158" s="150">
        <f t="shared" si="75"/>
        <v>-16.273972602739725</v>
      </c>
      <c r="W158" s="150">
        <f t="shared" si="75"/>
        <v>-15.273972602739725</v>
      </c>
      <c r="X158" s="150">
        <f t="shared" si="75"/>
        <v>-14.273972602739725</v>
      </c>
      <c r="Y158" s="150">
        <f t="shared" si="75"/>
        <v>-13.234972677595628</v>
      </c>
      <c r="Z158" s="150">
        <f t="shared" si="75"/>
        <v>-12.271232876712329</v>
      </c>
      <c r="AA158" s="150">
        <f t="shared" si="75"/>
        <v>-11.271232876712329</v>
      </c>
      <c r="AB158" s="150">
        <f t="shared" si="75"/>
        <v>-10.271232876712329</v>
      </c>
      <c r="AC158" s="150">
        <f t="shared" si="75"/>
        <v>-9.2431693989071047</v>
      </c>
      <c r="AD158" s="150">
        <f t="shared" si="75"/>
        <v>-8.2684931506849306</v>
      </c>
      <c r="AE158" s="150">
        <f t="shared" si="75"/>
        <v>-7.2684931506849315</v>
      </c>
      <c r="AF158" s="150">
        <f t="shared" si="75"/>
        <v>-6.2684931506849315</v>
      </c>
      <c r="AG158" s="150">
        <f t="shared" si="75"/>
        <v>-5.2513661202185791</v>
      </c>
      <c r="AH158" s="150">
        <f t="shared" si="75"/>
        <v>-4.2657534246575342</v>
      </c>
    </row>
    <row r="159" spans="18:34" x14ac:dyDescent="0.2">
      <c r="R159" s="234" t="s">
        <v>1325</v>
      </c>
      <c r="S159" s="229"/>
      <c r="T159" s="235">
        <f t="shared" ref="T159:AH159" si="76">IF(T158&lt;1,interpoler(mat_court,taux_court_act,T158*(T152-S152)),interpoler(mat,taux,T158))</f>
        <v>2.3281430422376737E-2</v>
      </c>
      <c r="U159" s="235">
        <f t="shared" si="76"/>
        <v>2.3281430422376737E-2</v>
      </c>
      <c r="V159" s="235">
        <f t="shared" si="76"/>
        <v>2.3281430422376737E-2</v>
      </c>
      <c r="W159" s="235">
        <f t="shared" si="76"/>
        <v>2.3281430422376737E-2</v>
      </c>
      <c r="X159" s="235">
        <f t="shared" si="76"/>
        <v>2.3281430422376737E-2</v>
      </c>
      <c r="Y159" s="235">
        <f t="shared" si="76"/>
        <v>2.3281430422376737E-2</v>
      </c>
      <c r="Z159" s="235">
        <f t="shared" si="76"/>
        <v>2.3281430422376737E-2</v>
      </c>
      <c r="AA159" s="235">
        <f t="shared" si="76"/>
        <v>2.3281430422376737E-2</v>
      </c>
      <c r="AB159" s="235">
        <f t="shared" si="76"/>
        <v>2.3281430422376737E-2</v>
      </c>
      <c r="AC159" s="235">
        <f t="shared" si="76"/>
        <v>2.3281430422376737E-2</v>
      </c>
      <c r="AD159" s="235">
        <f t="shared" si="76"/>
        <v>2.3281430422376737E-2</v>
      </c>
      <c r="AE159" s="235">
        <f t="shared" si="76"/>
        <v>2.3281430422376737E-2</v>
      </c>
      <c r="AF159" s="235">
        <f t="shared" si="76"/>
        <v>2.3281430422376737E-2</v>
      </c>
      <c r="AG159" s="235">
        <f t="shared" si="76"/>
        <v>2.3281430422376737E-2</v>
      </c>
      <c r="AH159" s="235">
        <f t="shared" si="76"/>
        <v>2.3281430422376737E-2</v>
      </c>
    </row>
    <row r="160" spans="18:34" x14ac:dyDescent="0.2">
      <c r="R160" s="150" t="s">
        <v>1328</v>
      </c>
      <c r="S160" s="229"/>
      <c r="T160" s="234">
        <v>2E-3</v>
      </c>
      <c r="U160" s="234">
        <f t="shared" ref="U160:AH160" si="77">+T160</f>
        <v>2E-3</v>
      </c>
      <c r="V160" s="234">
        <f t="shared" si="77"/>
        <v>2E-3</v>
      </c>
      <c r="W160" s="234">
        <f t="shared" si="77"/>
        <v>2E-3</v>
      </c>
      <c r="X160" s="234">
        <f t="shared" si="77"/>
        <v>2E-3</v>
      </c>
      <c r="Y160" s="234">
        <f t="shared" si="77"/>
        <v>2E-3</v>
      </c>
      <c r="Z160" s="234">
        <f t="shared" si="77"/>
        <v>2E-3</v>
      </c>
      <c r="AA160" s="234">
        <f t="shared" si="77"/>
        <v>2E-3</v>
      </c>
      <c r="AB160" s="234">
        <f t="shared" si="77"/>
        <v>2E-3</v>
      </c>
      <c r="AC160" s="234">
        <f t="shared" si="77"/>
        <v>2E-3</v>
      </c>
      <c r="AD160" s="234">
        <f t="shared" si="77"/>
        <v>2E-3</v>
      </c>
      <c r="AE160" s="234">
        <f t="shared" si="77"/>
        <v>2E-3</v>
      </c>
      <c r="AF160" s="234">
        <f t="shared" si="77"/>
        <v>2E-3</v>
      </c>
      <c r="AG160" s="234">
        <f t="shared" si="77"/>
        <v>2E-3</v>
      </c>
      <c r="AH160" s="234">
        <f t="shared" si="77"/>
        <v>2E-3</v>
      </c>
    </row>
    <row r="161" spans="18:34" x14ac:dyDescent="0.2">
      <c r="R161" s="150" t="s">
        <v>1329</v>
      </c>
      <c r="S161" s="229"/>
      <c r="T161" s="227">
        <f t="shared" ref="T161:AH161" si="78">+ROUND(T159+T160,6)</f>
        <v>2.5281000000000001E-2</v>
      </c>
      <c r="U161" s="227">
        <f t="shared" si="78"/>
        <v>2.5281000000000001E-2</v>
      </c>
      <c r="V161" s="227">
        <f t="shared" si="78"/>
        <v>2.5281000000000001E-2</v>
      </c>
      <c r="W161" s="227">
        <f t="shared" si="78"/>
        <v>2.5281000000000001E-2</v>
      </c>
      <c r="X161" s="227">
        <f t="shared" si="78"/>
        <v>2.5281000000000001E-2</v>
      </c>
      <c r="Y161" s="227">
        <f t="shared" si="78"/>
        <v>2.5281000000000001E-2</v>
      </c>
      <c r="Z161" s="227">
        <f t="shared" si="78"/>
        <v>2.5281000000000001E-2</v>
      </c>
      <c r="AA161" s="227">
        <f t="shared" si="78"/>
        <v>2.5281000000000001E-2</v>
      </c>
      <c r="AB161" s="227">
        <f t="shared" si="78"/>
        <v>2.5281000000000001E-2</v>
      </c>
      <c r="AC161" s="227">
        <f t="shared" si="78"/>
        <v>2.5281000000000001E-2</v>
      </c>
      <c r="AD161" s="227">
        <f t="shared" si="78"/>
        <v>2.5281000000000001E-2</v>
      </c>
      <c r="AE161" s="428">
        <f t="shared" si="78"/>
        <v>2.5281000000000001E-2</v>
      </c>
      <c r="AF161" s="428">
        <f t="shared" si="78"/>
        <v>2.5281000000000001E-2</v>
      </c>
      <c r="AG161" s="428">
        <f t="shared" si="78"/>
        <v>2.5281000000000001E-2</v>
      </c>
      <c r="AH161" s="428">
        <f t="shared" si="78"/>
        <v>2.5281000000000001E-2</v>
      </c>
    </row>
    <row r="162" spans="18:34" x14ac:dyDescent="0.2">
      <c r="R162" s="150"/>
      <c r="S162" s="229"/>
      <c r="T162" s="230">
        <f t="shared" ref="T162:AH162" si="79">+T157/(1+T161)^T158</f>
        <v>0</v>
      </c>
      <c r="U162" s="230">
        <f t="shared" si="79"/>
        <v>0</v>
      </c>
      <c r="V162" s="230">
        <f t="shared" si="79"/>
        <v>0</v>
      </c>
      <c r="W162" s="230">
        <f t="shared" si="79"/>
        <v>0</v>
      </c>
      <c r="X162" s="230">
        <f t="shared" si="79"/>
        <v>0</v>
      </c>
      <c r="Y162" s="230">
        <f t="shared" si="79"/>
        <v>0</v>
      </c>
      <c r="Z162" s="230">
        <f t="shared" si="79"/>
        <v>0</v>
      </c>
      <c r="AA162" s="230">
        <f t="shared" si="79"/>
        <v>0</v>
      </c>
      <c r="AB162" s="230">
        <f t="shared" si="79"/>
        <v>0</v>
      </c>
      <c r="AC162" s="230">
        <f t="shared" si="79"/>
        <v>0</v>
      </c>
      <c r="AD162" s="230">
        <f t="shared" si="79"/>
        <v>0</v>
      </c>
      <c r="AE162" s="230">
        <f t="shared" si="79"/>
        <v>0</v>
      </c>
      <c r="AF162" s="230">
        <f t="shared" si="79"/>
        <v>0</v>
      </c>
      <c r="AG162" s="230">
        <f t="shared" si="79"/>
        <v>0</v>
      </c>
      <c r="AH162" s="230">
        <f t="shared" si="79"/>
        <v>0</v>
      </c>
    </row>
    <row r="163" spans="18:34" x14ac:dyDescent="0.2">
      <c r="R163" s="150"/>
      <c r="S163" s="229"/>
      <c r="T163" s="227"/>
      <c r="U163" s="227"/>
      <c r="V163" s="227"/>
      <c r="W163" s="227"/>
      <c r="X163" s="227"/>
      <c r="Y163" s="227"/>
      <c r="Z163" s="227"/>
      <c r="AA163" s="227"/>
      <c r="AB163" s="227"/>
      <c r="AC163" s="227"/>
      <c r="AD163" s="227"/>
      <c r="AE163" s="227"/>
      <c r="AF163" s="227"/>
      <c r="AG163" s="227"/>
      <c r="AH163" s="227"/>
    </row>
    <row r="164" spans="18:34" x14ac:dyDescent="0.2">
      <c r="R164" s="150" t="s">
        <v>650</v>
      </c>
      <c r="S164" s="236">
        <f>+SUM(T162:AH162)</f>
        <v>0</v>
      </c>
      <c r="T164" s="227"/>
      <c r="U164" s="227"/>
      <c r="V164" s="227"/>
      <c r="W164" s="227"/>
      <c r="X164" s="227"/>
      <c r="Y164" s="227"/>
      <c r="Z164" s="227"/>
      <c r="AA164" s="227"/>
      <c r="AB164" s="227"/>
      <c r="AC164" s="227"/>
      <c r="AD164" s="227"/>
      <c r="AE164" s="227"/>
      <c r="AF164" s="227"/>
      <c r="AG164" s="227"/>
      <c r="AH164" s="227"/>
    </row>
    <row r="165" spans="18:34" x14ac:dyDescent="0.2">
      <c r="R165" s="150" t="s">
        <v>1331</v>
      </c>
      <c r="S165" s="230" t="e">
        <f>+SUMPRODUCT(T158:AH158,T162:AH162)/S164</f>
        <v>#DIV/0!</v>
      </c>
      <c r="T165" s="150"/>
      <c r="U165" s="150"/>
      <c r="V165" s="150"/>
      <c r="W165" s="150"/>
      <c r="X165" s="150"/>
      <c r="Y165" s="150"/>
      <c r="Z165" s="150"/>
      <c r="AA165" s="150"/>
      <c r="AB165" s="150"/>
      <c r="AC165" s="150"/>
      <c r="AD165" s="150"/>
      <c r="AE165" s="150"/>
      <c r="AF165" s="150"/>
      <c r="AG165" s="150"/>
      <c r="AH165" s="150"/>
    </row>
    <row r="169" spans="18:34" ht="15.75" x14ac:dyDescent="0.25">
      <c r="S169" s="7"/>
      <c r="T169" s="8"/>
    </row>
    <row r="170" spans="18:34" x14ac:dyDescent="0.2">
      <c r="S170" s="12"/>
      <c r="T170" s="13"/>
      <c r="U170" s="13"/>
    </row>
    <row r="171" spans="18:34" x14ac:dyDescent="0.2">
      <c r="S171" s="17"/>
      <c r="T171" s="17"/>
      <c r="U171" s="17"/>
      <c r="V171" s="17"/>
      <c r="W171" s="17"/>
      <c r="X171" s="17"/>
      <c r="Y171" s="17"/>
      <c r="Z171" s="8"/>
      <c r="AA171" s="17"/>
      <c r="AB171" s="8"/>
      <c r="AC171" s="17"/>
      <c r="AD171" s="8"/>
      <c r="AE171" s="17"/>
      <c r="AF171" s="8"/>
      <c r="AG171" s="17"/>
      <c r="AH171" s="8"/>
    </row>
    <row r="172" spans="18:34" x14ac:dyDescent="0.2">
      <c r="S172" s="20"/>
      <c r="T172" s="21"/>
      <c r="U172" s="21"/>
      <c r="V172" s="21"/>
      <c r="W172" s="21"/>
      <c r="X172" s="21"/>
      <c r="Y172" s="21"/>
      <c r="Z172" s="21"/>
      <c r="AA172" s="21"/>
      <c r="AB172" s="21"/>
      <c r="AC172" s="21"/>
      <c r="AD172" s="21"/>
      <c r="AE172" s="21"/>
      <c r="AF172" s="21"/>
      <c r="AG172" s="21"/>
      <c r="AH172" s="21"/>
    </row>
    <row r="173" spans="18:34" x14ac:dyDescent="0.2">
      <c r="S173" s="97"/>
      <c r="T173" s="98"/>
      <c r="U173" s="98"/>
      <c r="V173" s="98"/>
      <c r="W173" s="98"/>
      <c r="X173" s="98"/>
      <c r="Y173" s="98"/>
      <c r="Z173" s="98"/>
      <c r="AA173" s="98"/>
      <c r="AB173" s="98"/>
      <c r="AC173" s="98"/>
      <c r="AD173" s="98"/>
      <c r="AE173" s="98"/>
      <c r="AF173" s="98"/>
      <c r="AG173" s="98"/>
      <c r="AH173" s="98"/>
    </row>
    <row r="174" spans="18:34" x14ac:dyDescent="0.2">
      <c r="S174" s="99"/>
      <c r="T174" s="98"/>
      <c r="U174" s="98"/>
      <c r="V174" s="98"/>
      <c r="W174" s="98"/>
      <c r="X174" s="98"/>
      <c r="Y174" s="98"/>
      <c r="Z174" s="98"/>
      <c r="AA174" s="98"/>
      <c r="AB174" s="98"/>
      <c r="AC174" s="98"/>
      <c r="AD174" s="98"/>
      <c r="AE174" s="98"/>
      <c r="AF174" s="98"/>
      <c r="AG174" s="98"/>
      <c r="AH174" s="98"/>
    </row>
    <row r="175" spans="18:34" x14ac:dyDescent="0.2">
      <c r="S175" s="324"/>
      <c r="T175" s="98"/>
      <c r="U175" s="98"/>
      <c r="V175" s="98"/>
      <c r="W175" s="98"/>
      <c r="X175" s="98"/>
      <c r="Y175" s="98"/>
      <c r="Z175" s="98"/>
      <c r="AA175" s="98"/>
      <c r="AB175" s="98"/>
      <c r="AC175" s="98"/>
      <c r="AD175" s="98"/>
      <c r="AE175" s="98"/>
      <c r="AF175" s="98"/>
      <c r="AG175" s="98"/>
      <c r="AH175" s="98"/>
    </row>
    <row r="176" spans="18:34" x14ac:dyDescent="0.2">
      <c r="S176" s="325"/>
      <c r="T176" s="98"/>
      <c r="U176" s="98"/>
      <c r="V176" s="98"/>
      <c r="W176" s="98"/>
      <c r="X176" s="98"/>
      <c r="Y176" s="98"/>
      <c r="Z176" s="98"/>
      <c r="AA176" s="98"/>
      <c r="AB176" s="98"/>
      <c r="AC176" s="98"/>
      <c r="AD176" s="98"/>
      <c r="AE176" s="98"/>
      <c r="AF176" s="98"/>
      <c r="AG176" s="98"/>
      <c r="AH176" s="98"/>
    </row>
    <row r="177" spans="18:34" x14ac:dyDescent="0.2">
      <c r="S177" s="27"/>
    </row>
    <row r="178" spans="18:34" x14ac:dyDescent="0.2">
      <c r="R178" s="29"/>
      <c r="S178" s="20"/>
      <c r="T178" s="68"/>
      <c r="U178" s="68"/>
      <c r="V178" s="68"/>
      <c r="W178" s="68"/>
      <c r="X178" s="68"/>
      <c r="Y178" s="68"/>
      <c r="Z178" s="68"/>
      <c r="AA178" s="68"/>
      <c r="AB178" s="68"/>
      <c r="AC178" s="68"/>
      <c r="AD178" s="68"/>
      <c r="AE178" s="68"/>
      <c r="AF178" s="68"/>
      <c r="AG178" s="68"/>
      <c r="AH178" s="68"/>
    </row>
    <row r="179" spans="18:34" x14ac:dyDescent="0.2">
      <c r="S179" s="20"/>
      <c r="T179" s="29"/>
      <c r="U179" s="29"/>
      <c r="V179" s="29"/>
      <c r="W179" s="29"/>
      <c r="X179" s="29"/>
      <c r="Y179" s="29"/>
      <c r="Z179" s="29"/>
      <c r="AA179" s="29"/>
      <c r="AB179" s="29"/>
      <c r="AC179" s="29"/>
      <c r="AD179" s="29"/>
      <c r="AE179" s="29"/>
      <c r="AF179" s="29"/>
      <c r="AG179" s="29"/>
      <c r="AH179" s="29"/>
    </row>
    <row r="180" spans="18:34" x14ac:dyDescent="0.2">
      <c r="S180" s="20"/>
      <c r="T180" s="96"/>
      <c r="U180" s="96"/>
      <c r="V180" s="96"/>
      <c r="W180" s="96"/>
      <c r="X180" s="96"/>
      <c r="Y180" s="13"/>
      <c r="Z180" s="13"/>
      <c r="AA180" s="13"/>
      <c r="AB180" s="13"/>
      <c r="AC180" s="13"/>
      <c r="AD180" s="13"/>
      <c r="AE180" s="13"/>
      <c r="AF180" s="13"/>
      <c r="AG180" s="13"/>
      <c r="AH180" s="13"/>
    </row>
    <row r="181" spans="18:34" x14ac:dyDescent="0.2">
      <c r="S181" s="20"/>
      <c r="T181" s="21"/>
      <c r="U181" s="21"/>
      <c r="V181" s="21"/>
      <c r="W181" s="21"/>
      <c r="X181" s="21"/>
      <c r="Y181" s="21"/>
      <c r="Z181" s="21"/>
      <c r="AA181" s="21"/>
      <c r="AB181" s="21"/>
      <c r="AC181" s="21"/>
      <c r="AD181" s="21"/>
      <c r="AE181" s="21"/>
      <c r="AF181" s="21"/>
      <c r="AG181" s="21"/>
      <c r="AH181" s="21"/>
    </row>
    <row r="182" spans="18:34" x14ac:dyDescent="0.2">
      <c r="S182" s="20"/>
      <c r="T182" s="13"/>
      <c r="U182" s="13"/>
      <c r="V182" s="13"/>
      <c r="W182" s="13"/>
      <c r="X182" s="13"/>
      <c r="Y182" s="13"/>
      <c r="Z182" s="13"/>
      <c r="AA182" s="13"/>
      <c r="AB182" s="13"/>
      <c r="AC182" s="13"/>
      <c r="AD182" s="13"/>
      <c r="AE182" s="13"/>
      <c r="AF182" s="13"/>
      <c r="AG182" s="13"/>
      <c r="AH182" s="13"/>
    </row>
    <row r="183" spans="18:34" x14ac:dyDescent="0.2">
      <c r="S183" s="30"/>
      <c r="T183" s="13"/>
      <c r="U183" s="13"/>
      <c r="V183" s="13"/>
      <c r="W183" s="13"/>
      <c r="X183" s="13"/>
      <c r="Y183" s="13"/>
      <c r="Z183" s="13"/>
      <c r="AA183" s="13"/>
      <c r="AB183" s="13"/>
      <c r="AC183" s="13"/>
      <c r="AD183" s="13"/>
      <c r="AE183" s="13"/>
      <c r="AF183" s="13"/>
      <c r="AG183" s="13"/>
      <c r="AH183" s="13"/>
    </row>
    <row r="184" spans="18:34" x14ac:dyDescent="0.2">
      <c r="S184" s="21"/>
    </row>
    <row r="187" spans="18:34" x14ac:dyDescent="0.2">
      <c r="AH187" s="255"/>
    </row>
    <row r="188" spans="18:34" ht="15.75" x14ac:dyDescent="0.25">
      <c r="R188" s="483">
        <v>2136</v>
      </c>
      <c r="S188" s="346" t="s">
        <v>103</v>
      </c>
      <c r="T188" s="347">
        <f>ONCF!T1</f>
        <v>46107</v>
      </c>
      <c r="U188" s="345"/>
      <c r="V188" s="345"/>
      <c r="W188" s="345"/>
      <c r="X188" s="345"/>
      <c r="Y188" s="345"/>
      <c r="Z188" s="345"/>
      <c r="AA188" s="345"/>
      <c r="AB188" s="345"/>
      <c r="AC188" s="345"/>
      <c r="AD188" s="345"/>
      <c r="AE188" s="345"/>
      <c r="AF188" s="345"/>
      <c r="AG188" s="345"/>
      <c r="AH188" s="345"/>
    </row>
    <row r="189" spans="18:34" x14ac:dyDescent="0.2">
      <c r="R189" s="345"/>
      <c r="S189" s="348" t="s">
        <v>105</v>
      </c>
      <c r="T189" s="349">
        <v>5.1200000000000002E-2</v>
      </c>
      <c r="U189" s="349"/>
      <c r="V189" s="345"/>
      <c r="W189" s="345"/>
      <c r="X189" s="345"/>
      <c r="Y189" s="345"/>
      <c r="Z189" s="345"/>
      <c r="AA189" s="345"/>
      <c r="AB189" s="345"/>
      <c r="AC189" s="345"/>
      <c r="AD189" s="345"/>
      <c r="AE189" s="345"/>
      <c r="AF189" s="345"/>
      <c r="AG189" s="345"/>
      <c r="AH189" s="345"/>
    </row>
    <row r="190" spans="18:34" x14ac:dyDescent="0.2">
      <c r="R190" s="345"/>
      <c r="S190" s="350">
        <v>40203</v>
      </c>
      <c r="T190" s="350">
        <v>40568</v>
      </c>
      <c r="U190" s="350">
        <v>40933</v>
      </c>
      <c r="V190" s="350">
        <v>41299</v>
      </c>
      <c r="W190" s="350">
        <v>41664</v>
      </c>
      <c r="X190" s="350">
        <v>42029</v>
      </c>
      <c r="Y190" s="350">
        <v>42394</v>
      </c>
      <c r="Z190" s="350">
        <v>42760</v>
      </c>
      <c r="AA190" s="350">
        <v>43125</v>
      </c>
      <c r="AB190" s="350">
        <v>43490</v>
      </c>
      <c r="AC190" s="350">
        <v>43855</v>
      </c>
      <c r="AD190" s="350">
        <v>44221</v>
      </c>
      <c r="AE190" s="350">
        <v>44586</v>
      </c>
      <c r="AF190" s="350">
        <v>44951</v>
      </c>
      <c r="AG190" s="350">
        <v>45316</v>
      </c>
      <c r="AH190" s="350">
        <v>45682</v>
      </c>
    </row>
    <row r="191" spans="18:34" x14ac:dyDescent="0.2">
      <c r="R191" s="345" t="s">
        <v>1318</v>
      </c>
      <c r="S191" s="351"/>
      <c r="T191" s="352">
        <f t="shared" ref="T191:AG191" si="80">ROUND(100000/15,2)</f>
        <v>6666.67</v>
      </c>
      <c r="U191" s="352">
        <f t="shared" si="80"/>
        <v>6666.67</v>
      </c>
      <c r="V191" s="352">
        <f t="shared" si="80"/>
        <v>6666.67</v>
      </c>
      <c r="W191" s="352">
        <f t="shared" si="80"/>
        <v>6666.67</v>
      </c>
      <c r="X191" s="352">
        <f t="shared" si="80"/>
        <v>6666.67</v>
      </c>
      <c r="Y191" s="352">
        <f t="shared" si="80"/>
        <v>6666.67</v>
      </c>
      <c r="Z191" s="352">
        <f t="shared" si="80"/>
        <v>6666.67</v>
      </c>
      <c r="AA191" s="352">
        <f t="shared" si="80"/>
        <v>6666.67</v>
      </c>
      <c r="AB191" s="352">
        <f t="shared" si="80"/>
        <v>6666.67</v>
      </c>
      <c r="AC191" s="352">
        <f t="shared" si="80"/>
        <v>6666.67</v>
      </c>
      <c r="AD191" s="352">
        <f t="shared" si="80"/>
        <v>6666.67</v>
      </c>
      <c r="AE191" s="352">
        <f t="shared" si="80"/>
        <v>6666.67</v>
      </c>
      <c r="AF191" s="352">
        <f t="shared" si="80"/>
        <v>6666.67</v>
      </c>
      <c r="AG191" s="352">
        <f t="shared" si="80"/>
        <v>6666.67</v>
      </c>
      <c r="AH191" s="352">
        <f>100000-SUM(T191:AG191)</f>
        <v>6666.6200000000099</v>
      </c>
    </row>
    <row r="192" spans="18:34" x14ac:dyDescent="0.2">
      <c r="R192" s="345" t="s">
        <v>1320</v>
      </c>
      <c r="S192" s="352">
        <v>100000</v>
      </c>
      <c r="T192" s="353">
        <f t="shared" ref="T192:AH192" si="81">+S192-T191</f>
        <v>93333.33</v>
      </c>
      <c r="U192" s="353">
        <f t="shared" si="81"/>
        <v>86666.66</v>
      </c>
      <c r="V192" s="353">
        <f t="shared" si="81"/>
        <v>79999.990000000005</v>
      </c>
      <c r="W192" s="353">
        <f t="shared" si="81"/>
        <v>73333.320000000007</v>
      </c>
      <c r="X192" s="353">
        <f t="shared" si="81"/>
        <v>66666.650000000009</v>
      </c>
      <c r="Y192" s="353">
        <f t="shared" si="81"/>
        <v>59999.98000000001</v>
      </c>
      <c r="Z192" s="353">
        <f t="shared" si="81"/>
        <v>53333.310000000012</v>
      </c>
      <c r="AA192" s="353">
        <f t="shared" si="81"/>
        <v>46666.640000000014</v>
      </c>
      <c r="AB192" s="353">
        <f t="shared" si="81"/>
        <v>39999.970000000016</v>
      </c>
      <c r="AC192" s="353">
        <f t="shared" si="81"/>
        <v>33333.300000000017</v>
      </c>
      <c r="AD192" s="353">
        <f t="shared" si="81"/>
        <v>26666.630000000019</v>
      </c>
      <c r="AE192" s="353">
        <f t="shared" si="81"/>
        <v>19999.960000000021</v>
      </c>
      <c r="AF192" s="353">
        <f t="shared" si="81"/>
        <v>13333.290000000021</v>
      </c>
      <c r="AG192" s="353">
        <f>+AF192-AG191</f>
        <v>6666.6200000000208</v>
      </c>
      <c r="AH192" s="353">
        <f t="shared" si="81"/>
        <v>1.0913936421275139E-11</v>
      </c>
    </row>
    <row r="193" spans="18:34" x14ac:dyDescent="0.2">
      <c r="R193" s="345" t="s">
        <v>1321</v>
      </c>
      <c r="S193" s="351"/>
      <c r="T193" s="354">
        <f>+$T$189*S192</f>
        <v>5120</v>
      </c>
      <c r="U193" s="354">
        <f t="shared" ref="U193:AH193" si="82">+$T$189*T192</f>
        <v>4778.6664960000007</v>
      </c>
      <c r="V193" s="354">
        <f t="shared" si="82"/>
        <v>4437.3329920000006</v>
      </c>
      <c r="W193" s="354">
        <f t="shared" si="82"/>
        <v>4095.9994880000004</v>
      </c>
      <c r="X193" s="354">
        <f t="shared" si="82"/>
        <v>3754.6659840000007</v>
      </c>
      <c r="Y193" s="354">
        <f t="shared" si="82"/>
        <v>3413.3324800000005</v>
      </c>
      <c r="Z193" s="354">
        <f t="shared" si="82"/>
        <v>3071.9989760000008</v>
      </c>
      <c r="AA193" s="354">
        <f t="shared" si="82"/>
        <v>2730.6654720000006</v>
      </c>
      <c r="AB193" s="354">
        <f t="shared" si="82"/>
        <v>2389.3319680000009</v>
      </c>
      <c r="AC193" s="354">
        <f t="shared" si="82"/>
        <v>2047.9984640000009</v>
      </c>
      <c r="AD193" s="354">
        <f t="shared" si="82"/>
        <v>1706.664960000001</v>
      </c>
      <c r="AE193" s="354">
        <f t="shared" si="82"/>
        <v>1365.331456000001</v>
      </c>
      <c r="AF193" s="354">
        <f t="shared" si="82"/>
        <v>1023.9979520000011</v>
      </c>
      <c r="AG193" s="354">
        <f t="shared" si="82"/>
        <v>682.66444800000113</v>
      </c>
      <c r="AH193" s="354">
        <f t="shared" si="82"/>
        <v>341.33094400000107</v>
      </c>
    </row>
    <row r="194" spans="18:34" x14ac:dyDescent="0.2">
      <c r="R194" s="345" t="s">
        <v>1322</v>
      </c>
      <c r="S194" s="351"/>
      <c r="T194" s="354">
        <f t="shared" ref="T194:AH194" si="83">+T193+T191</f>
        <v>11786.67</v>
      </c>
      <c r="U194" s="354">
        <f t="shared" si="83"/>
        <v>11445.336496</v>
      </c>
      <c r="V194" s="354">
        <f t="shared" si="83"/>
        <v>11104.002992000002</v>
      </c>
      <c r="W194" s="354">
        <f t="shared" si="83"/>
        <v>10762.669488</v>
      </c>
      <c r="X194" s="354">
        <f t="shared" si="83"/>
        <v>10421.335984000001</v>
      </c>
      <c r="Y194" s="354">
        <f t="shared" si="83"/>
        <v>10080.002480000001</v>
      </c>
      <c r="Z194" s="354">
        <f t="shared" si="83"/>
        <v>9738.6689760000008</v>
      </c>
      <c r="AA194" s="354">
        <f t="shared" si="83"/>
        <v>9397.3354720000007</v>
      </c>
      <c r="AB194" s="354">
        <f t="shared" si="83"/>
        <v>9056.0019680000005</v>
      </c>
      <c r="AC194" s="354">
        <f t="shared" si="83"/>
        <v>8714.6684640000003</v>
      </c>
      <c r="AD194" s="354">
        <f t="shared" si="83"/>
        <v>8373.3349600000001</v>
      </c>
      <c r="AE194" s="354">
        <f t="shared" si="83"/>
        <v>8032.0014560000009</v>
      </c>
      <c r="AF194" s="354">
        <f t="shared" si="83"/>
        <v>7690.6679520000016</v>
      </c>
      <c r="AG194" s="354">
        <f t="shared" si="83"/>
        <v>7349.3344480000014</v>
      </c>
      <c r="AH194" s="354">
        <f t="shared" si="83"/>
        <v>7007.9509440000111</v>
      </c>
    </row>
    <row r="195" spans="18:34" x14ac:dyDescent="0.2">
      <c r="R195" s="345" t="s">
        <v>1323</v>
      </c>
      <c r="S195" s="352"/>
      <c r="T195" s="354">
        <f t="shared" ref="T195:AH195" si="84">+IF(T190&gt;$T$1,T194,0)</f>
        <v>0</v>
      </c>
      <c r="U195" s="354">
        <f t="shared" si="84"/>
        <v>0</v>
      </c>
      <c r="V195" s="354">
        <f t="shared" si="84"/>
        <v>0</v>
      </c>
      <c r="W195" s="354">
        <f t="shared" si="84"/>
        <v>0</v>
      </c>
      <c r="X195" s="354">
        <f t="shared" si="84"/>
        <v>0</v>
      </c>
      <c r="Y195" s="354">
        <f t="shared" si="84"/>
        <v>0</v>
      </c>
      <c r="Z195" s="354">
        <f t="shared" si="84"/>
        <v>0</v>
      </c>
      <c r="AA195" s="354">
        <f t="shared" si="84"/>
        <v>0</v>
      </c>
      <c r="AB195" s="354">
        <f t="shared" si="84"/>
        <v>0</v>
      </c>
      <c r="AC195" s="354">
        <f t="shared" si="84"/>
        <v>0</v>
      </c>
      <c r="AD195" s="354">
        <f t="shared" si="84"/>
        <v>0</v>
      </c>
      <c r="AE195" s="354">
        <f t="shared" si="84"/>
        <v>0</v>
      </c>
      <c r="AF195" s="354">
        <f t="shared" si="84"/>
        <v>0</v>
      </c>
      <c r="AG195" s="354">
        <f t="shared" si="84"/>
        <v>0</v>
      </c>
      <c r="AH195" s="354">
        <f t="shared" si="84"/>
        <v>0</v>
      </c>
    </row>
    <row r="196" spans="18:34" x14ac:dyDescent="0.2">
      <c r="R196" s="345" t="s">
        <v>1324</v>
      </c>
      <c r="S196" s="355"/>
      <c r="T196" s="345">
        <f t="shared" ref="T196:AH196" si="85">+IF(S195=0,(T190-$T$1)/(T190-S190),S196+1)</f>
        <v>-15.175342465753424</v>
      </c>
      <c r="U196" s="345">
        <f t="shared" si="85"/>
        <v>-14.175342465753424</v>
      </c>
      <c r="V196" s="345">
        <f t="shared" si="85"/>
        <v>-13.136612021857923</v>
      </c>
      <c r="W196" s="345">
        <f t="shared" si="85"/>
        <v>-12.172602739726027</v>
      </c>
      <c r="X196" s="345">
        <f t="shared" si="85"/>
        <v>-11.172602739726027</v>
      </c>
      <c r="Y196" s="345">
        <f t="shared" si="85"/>
        <v>-10.172602739726027</v>
      </c>
      <c r="Z196" s="345">
        <f t="shared" si="85"/>
        <v>-9.1448087431693992</v>
      </c>
      <c r="AA196" s="345">
        <f t="shared" si="85"/>
        <v>-8.169863013698631</v>
      </c>
      <c r="AB196" s="345">
        <f t="shared" si="85"/>
        <v>-7.1698630136986301</v>
      </c>
      <c r="AC196" s="345">
        <f t="shared" si="85"/>
        <v>-6.1698630136986301</v>
      </c>
      <c r="AD196" s="345">
        <f t="shared" si="85"/>
        <v>-5.1530054644808745</v>
      </c>
      <c r="AE196" s="345">
        <f t="shared" si="85"/>
        <v>-4.1671232876712327</v>
      </c>
      <c r="AF196" s="345">
        <f t="shared" si="85"/>
        <v>-3.1671232876712327</v>
      </c>
      <c r="AG196" s="345">
        <f t="shared" si="85"/>
        <v>-2.1671232876712327</v>
      </c>
      <c r="AH196" s="345">
        <f t="shared" si="85"/>
        <v>-1.1612021857923498</v>
      </c>
    </row>
    <row r="197" spans="18:34" x14ac:dyDescent="0.2">
      <c r="R197" s="356" t="s">
        <v>1325</v>
      </c>
      <c r="S197" s="351"/>
      <c r="T197" s="357">
        <f t="shared" ref="T197:AH197" si="86">IF(T196&lt;1,interpoler(mat_court,taux_court_act,T196*(T190-S190)),interpoler(mat,taux,T196))</f>
        <v>2.3281430422376737E-2</v>
      </c>
      <c r="U197" s="357">
        <f t="shared" si="86"/>
        <v>2.3281430422376737E-2</v>
      </c>
      <c r="V197" s="357">
        <f t="shared" si="86"/>
        <v>2.3281430422376737E-2</v>
      </c>
      <c r="W197" s="357">
        <f t="shared" si="86"/>
        <v>2.3281430422376737E-2</v>
      </c>
      <c r="X197" s="357">
        <f t="shared" si="86"/>
        <v>2.3281430422376737E-2</v>
      </c>
      <c r="Y197" s="357">
        <f t="shared" si="86"/>
        <v>2.3281430422376737E-2</v>
      </c>
      <c r="Z197" s="357">
        <f t="shared" si="86"/>
        <v>2.3281430422376737E-2</v>
      </c>
      <c r="AA197" s="357">
        <f t="shared" si="86"/>
        <v>2.3281430422376737E-2</v>
      </c>
      <c r="AB197" s="357">
        <f t="shared" si="86"/>
        <v>2.3281430422376737E-2</v>
      </c>
      <c r="AC197" s="357">
        <f t="shared" si="86"/>
        <v>2.3281430422376737E-2</v>
      </c>
      <c r="AD197" s="357">
        <f t="shared" si="86"/>
        <v>2.3281430422376737E-2</v>
      </c>
      <c r="AE197" s="357">
        <f t="shared" si="86"/>
        <v>2.3281430422376737E-2</v>
      </c>
      <c r="AF197" s="357">
        <f t="shared" si="86"/>
        <v>2.3281430422376737E-2</v>
      </c>
      <c r="AG197" s="357">
        <f t="shared" si="86"/>
        <v>2.3281430422376737E-2</v>
      </c>
      <c r="AH197" s="377">
        <f t="shared" si="86"/>
        <v>2.3281430422376737E-2</v>
      </c>
    </row>
    <row r="198" spans="18:34" x14ac:dyDescent="0.2">
      <c r="R198" s="345" t="s">
        <v>1328</v>
      </c>
      <c r="S198" s="351"/>
      <c r="T198" s="356">
        <v>2.1999999999999999E-2</v>
      </c>
      <c r="U198" s="356">
        <v>2.1999999999999999E-2</v>
      </c>
      <c r="V198" s="356">
        <v>2.1999999999999999E-2</v>
      </c>
      <c r="W198" s="356">
        <v>2.1999999999999999E-2</v>
      </c>
      <c r="X198" s="356">
        <v>2.1999999999999999E-2</v>
      </c>
      <c r="Y198" s="356">
        <v>2.1999999999999999E-2</v>
      </c>
      <c r="Z198" s="356">
        <v>2.1999999999999999E-2</v>
      </c>
      <c r="AA198" s="356">
        <v>2.1999999999999999E-2</v>
      </c>
      <c r="AB198" s="356">
        <v>2.1999999999999999E-2</v>
      </c>
      <c r="AC198" s="356">
        <v>2.1999999999999999E-2</v>
      </c>
      <c r="AD198" s="356">
        <v>2.1999999999999999E-2</v>
      </c>
      <c r="AE198" s="356">
        <v>2.1999999999999999E-2</v>
      </c>
      <c r="AF198" s="356">
        <v>2.1999999999999999E-2</v>
      </c>
      <c r="AG198" s="356">
        <v>2.1999999999999999E-2</v>
      </c>
      <c r="AH198" s="376">
        <v>2.1999999999999999E-2</v>
      </c>
    </row>
    <row r="199" spans="18:34" x14ac:dyDescent="0.2">
      <c r="R199" s="345" t="s">
        <v>1329</v>
      </c>
      <c r="S199" s="351"/>
      <c r="T199" s="349">
        <f t="shared" ref="T199:AH199" si="87">+ROUND(T197+T198,5)</f>
        <v>4.5280000000000001E-2</v>
      </c>
      <c r="U199" s="349">
        <f t="shared" si="87"/>
        <v>4.5280000000000001E-2</v>
      </c>
      <c r="V199" s="349">
        <f t="shared" si="87"/>
        <v>4.5280000000000001E-2</v>
      </c>
      <c r="W199" s="349">
        <f t="shared" si="87"/>
        <v>4.5280000000000001E-2</v>
      </c>
      <c r="X199" s="349">
        <f t="shared" si="87"/>
        <v>4.5280000000000001E-2</v>
      </c>
      <c r="Y199" s="349">
        <f t="shared" si="87"/>
        <v>4.5280000000000001E-2</v>
      </c>
      <c r="Z199" s="349">
        <f t="shared" si="87"/>
        <v>4.5280000000000001E-2</v>
      </c>
      <c r="AA199" s="349">
        <f t="shared" si="87"/>
        <v>4.5280000000000001E-2</v>
      </c>
      <c r="AB199" s="349">
        <f t="shared" si="87"/>
        <v>4.5280000000000001E-2</v>
      </c>
      <c r="AC199" s="349">
        <f t="shared" si="87"/>
        <v>4.5280000000000001E-2</v>
      </c>
      <c r="AD199" s="694">
        <f t="shared" si="87"/>
        <v>4.5280000000000001E-2</v>
      </c>
      <c r="AE199" s="349">
        <f t="shared" si="87"/>
        <v>4.5280000000000001E-2</v>
      </c>
      <c r="AF199" s="349">
        <f t="shared" si="87"/>
        <v>4.5280000000000001E-2</v>
      </c>
      <c r="AG199" s="349">
        <f t="shared" si="87"/>
        <v>4.5280000000000001E-2</v>
      </c>
      <c r="AH199" s="349">
        <f t="shared" si="87"/>
        <v>4.5280000000000001E-2</v>
      </c>
    </row>
    <row r="200" spans="18:34" x14ac:dyDescent="0.2">
      <c r="R200" s="345"/>
      <c r="S200" s="351"/>
      <c r="T200" s="352">
        <f t="shared" ref="T200:AH200" si="88">+T195/(1+T199)^T196</f>
        <v>0</v>
      </c>
      <c r="U200" s="352">
        <f t="shared" si="88"/>
        <v>0</v>
      </c>
      <c r="V200" s="352">
        <f t="shared" si="88"/>
        <v>0</v>
      </c>
      <c r="W200" s="352">
        <f t="shared" si="88"/>
        <v>0</v>
      </c>
      <c r="X200" s="352">
        <f t="shared" si="88"/>
        <v>0</v>
      </c>
      <c r="Y200" s="352">
        <f t="shared" si="88"/>
        <v>0</v>
      </c>
      <c r="Z200" s="352">
        <f t="shared" si="88"/>
        <v>0</v>
      </c>
      <c r="AA200" s="352">
        <f t="shared" si="88"/>
        <v>0</v>
      </c>
      <c r="AB200" s="352">
        <f t="shared" si="88"/>
        <v>0</v>
      </c>
      <c r="AC200" s="352">
        <f t="shared" si="88"/>
        <v>0</v>
      </c>
      <c r="AD200" s="352">
        <f t="shared" si="88"/>
        <v>0</v>
      </c>
      <c r="AE200" s="352">
        <f t="shared" si="88"/>
        <v>0</v>
      </c>
      <c r="AF200" s="352">
        <f t="shared" si="88"/>
        <v>0</v>
      </c>
      <c r="AG200" s="352">
        <f t="shared" si="88"/>
        <v>0</v>
      </c>
      <c r="AH200" s="352">
        <f t="shared" si="88"/>
        <v>0</v>
      </c>
    </row>
    <row r="201" spans="18:34" x14ac:dyDescent="0.2">
      <c r="R201" s="345"/>
      <c r="S201" s="351"/>
      <c r="T201" s="349"/>
      <c r="U201" s="349"/>
      <c r="V201" s="349"/>
      <c r="W201" s="349"/>
      <c r="X201" s="349"/>
      <c r="Y201" s="349"/>
      <c r="Z201" s="349"/>
      <c r="AA201" s="349"/>
      <c r="AB201" s="349"/>
      <c r="AC201" s="349"/>
      <c r="AD201" s="693">
        <v>8001.4238999999998</v>
      </c>
      <c r="AE201" s="349"/>
      <c r="AF201" s="349"/>
      <c r="AG201" s="349"/>
      <c r="AH201" s="349"/>
    </row>
    <row r="202" spans="18:34" x14ac:dyDescent="0.2">
      <c r="R202" s="345" t="s">
        <v>650</v>
      </c>
      <c r="S202" s="358">
        <f>+SUM(T200:AH200)</f>
        <v>0</v>
      </c>
      <c r="T202" s="349"/>
      <c r="U202" s="349"/>
      <c r="V202" s="349"/>
      <c r="W202" s="349"/>
      <c r="X202" s="349"/>
      <c r="Y202" s="349"/>
      <c r="Z202" s="349"/>
      <c r="AA202" s="349"/>
      <c r="AB202" s="349"/>
      <c r="AC202" s="349"/>
      <c r="AD202" s="349"/>
      <c r="AE202" s="349"/>
      <c r="AF202" s="349"/>
      <c r="AG202" s="349"/>
      <c r="AH202" s="349"/>
    </row>
    <row r="203" spans="18:34" x14ac:dyDescent="0.2">
      <c r="R203" s="345" t="s">
        <v>1331</v>
      </c>
      <c r="S203" s="352" t="e">
        <f>+SUMPRODUCT(T196:AH196,T200:AH200)/S202</f>
        <v>#DIV/0!</v>
      </c>
      <c r="T203" s="345"/>
      <c r="U203" s="345"/>
      <c r="V203" s="345"/>
      <c r="W203" s="345"/>
      <c r="X203" s="345"/>
      <c r="Y203" s="345"/>
      <c r="Z203" s="345"/>
      <c r="AA203" s="345"/>
      <c r="AB203" s="345"/>
      <c r="AC203" s="345"/>
      <c r="AD203" s="345"/>
      <c r="AE203" s="345"/>
      <c r="AF203" s="345"/>
      <c r="AG203" s="345"/>
      <c r="AH203" s="345"/>
    </row>
    <row r="204" spans="18:34" x14ac:dyDescent="0.2">
      <c r="AH204">
        <f>AH190-T188</f>
        <v>-425</v>
      </c>
    </row>
    <row r="205" spans="18:34" x14ac:dyDescent="0.2">
      <c r="S205" s="280"/>
      <c r="AH205">
        <f>AH204/365</f>
        <v>-1.1643835616438356</v>
      </c>
    </row>
    <row r="206" spans="18:34" x14ac:dyDescent="0.2">
      <c r="S206" s="280"/>
    </row>
    <row r="207" spans="18:34" ht="15.75" x14ac:dyDescent="0.25">
      <c r="R207" s="361">
        <v>2151</v>
      </c>
      <c r="S207" s="362" t="s">
        <v>103</v>
      </c>
      <c r="T207" s="363">
        <f>T188</f>
        <v>46107</v>
      </c>
      <c r="U207" s="361"/>
      <c r="V207" s="361"/>
      <c r="W207" s="361"/>
      <c r="X207" s="361"/>
      <c r="Y207" s="361"/>
      <c r="Z207" s="361"/>
      <c r="AA207" s="361"/>
      <c r="AB207" s="361"/>
      <c r="AC207" s="361"/>
      <c r="AD207" s="361"/>
      <c r="AE207" s="361"/>
      <c r="AF207" s="361"/>
      <c r="AG207" s="361"/>
      <c r="AH207" s="361"/>
    </row>
    <row r="208" spans="18:34" x14ac:dyDescent="0.2">
      <c r="R208" s="361"/>
      <c r="S208" s="364" t="s">
        <v>105</v>
      </c>
      <c r="T208" s="365">
        <v>5.11E-2</v>
      </c>
      <c r="U208" s="365"/>
      <c r="V208" s="361"/>
      <c r="W208" s="361"/>
      <c r="X208" s="361"/>
      <c r="Y208" s="361"/>
      <c r="Z208" s="361"/>
      <c r="AA208" s="361"/>
      <c r="AB208" s="361"/>
      <c r="AC208" s="361"/>
      <c r="AD208" s="361"/>
      <c r="AE208" s="361"/>
      <c r="AF208" s="361"/>
      <c r="AG208" s="361"/>
      <c r="AH208" s="361"/>
    </row>
    <row r="209" spans="18:34" x14ac:dyDescent="0.2">
      <c r="R209" s="361"/>
      <c r="S209" s="366">
        <v>40836</v>
      </c>
      <c r="T209" s="366">
        <v>41202</v>
      </c>
      <c r="U209" s="366">
        <v>41567</v>
      </c>
      <c r="V209" s="366">
        <v>41932</v>
      </c>
      <c r="W209" s="366">
        <v>42297</v>
      </c>
      <c r="X209" s="366">
        <v>42663</v>
      </c>
      <c r="Y209" s="366">
        <v>43028</v>
      </c>
      <c r="Z209" s="366">
        <v>43393</v>
      </c>
      <c r="AA209" s="366">
        <v>43758</v>
      </c>
      <c r="AB209" s="366">
        <v>44124</v>
      </c>
      <c r="AC209" s="366">
        <v>44489</v>
      </c>
      <c r="AD209" s="366">
        <v>44854</v>
      </c>
      <c r="AE209" s="366">
        <v>45219</v>
      </c>
      <c r="AF209" s="366">
        <v>45585</v>
      </c>
      <c r="AG209" s="366">
        <v>45950</v>
      </c>
      <c r="AH209" s="366">
        <v>46315</v>
      </c>
    </row>
    <row r="210" spans="18:34" x14ac:dyDescent="0.2">
      <c r="R210" s="361" t="s">
        <v>1318</v>
      </c>
      <c r="S210" s="367"/>
      <c r="T210" s="368">
        <f t="shared" ref="T210:AG210" si="89">ROUND(100000/15,2)</f>
        <v>6666.67</v>
      </c>
      <c r="U210" s="368">
        <f t="shared" si="89"/>
        <v>6666.67</v>
      </c>
      <c r="V210" s="368">
        <f t="shared" si="89"/>
        <v>6666.67</v>
      </c>
      <c r="W210" s="368">
        <f t="shared" si="89"/>
        <v>6666.67</v>
      </c>
      <c r="X210" s="368">
        <f t="shared" si="89"/>
        <v>6666.67</v>
      </c>
      <c r="Y210" s="368">
        <f t="shared" si="89"/>
        <v>6666.67</v>
      </c>
      <c r="Z210" s="368">
        <f t="shared" si="89"/>
        <v>6666.67</v>
      </c>
      <c r="AA210" s="368">
        <f t="shared" si="89"/>
        <v>6666.67</v>
      </c>
      <c r="AB210" s="368">
        <f t="shared" si="89"/>
        <v>6666.67</v>
      </c>
      <c r="AC210" s="368">
        <f t="shared" si="89"/>
        <v>6666.67</v>
      </c>
      <c r="AD210" s="368">
        <f t="shared" si="89"/>
        <v>6666.67</v>
      </c>
      <c r="AE210" s="368">
        <f t="shared" si="89"/>
        <v>6666.67</v>
      </c>
      <c r="AF210" s="368">
        <f t="shared" si="89"/>
        <v>6666.67</v>
      </c>
      <c r="AG210" s="368">
        <f t="shared" si="89"/>
        <v>6666.67</v>
      </c>
      <c r="AH210" s="368">
        <f>ROUND(100000/15,2)-0.05</f>
        <v>6666.62</v>
      </c>
    </row>
    <row r="211" spans="18:34" x14ac:dyDescent="0.2">
      <c r="R211" s="361" t="s">
        <v>1320</v>
      </c>
      <c r="S211" s="368">
        <v>100000</v>
      </c>
      <c r="T211" s="369">
        <f t="shared" ref="T211:AH211" si="90">+S211-T210</f>
        <v>93333.33</v>
      </c>
      <c r="U211" s="369">
        <f t="shared" si="90"/>
        <v>86666.66</v>
      </c>
      <c r="V211" s="369">
        <f t="shared" si="90"/>
        <v>79999.990000000005</v>
      </c>
      <c r="W211" s="369">
        <f t="shared" si="90"/>
        <v>73333.320000000007</v>
      </c>
      <c r="X211" s="369">
        <f t="shared" si="90"/>
        <v>66666.650000000009</v>
      </c>
      <c r="Y211" s="369">
        <f t="shared" si="90"/>
        <v>59999.98000000001</v>
      </c>
      <c r="Z211" s="369">
        <f t="shared" si="90"/>
        <v>53333.310000000012</v>
      </c>
      <c r="AA211" s="369">
        <f t="shared" si="90"/>
        <v>46666.640000000014</v>
      </c>
      <c r="AB211" s="369">
        <f t="shared" si="90"/>
        <v>39999.970000000016</v>
      </c>
      <c r="AC211" s="369">
        <f t="shared" si="90"/>
        <v>33333.300000000017</v>
      </c>
      <c r="AD211" s="369">
        <f t="shared" si="90"/>
        <v>26666.630000000019</v>
      </c>
      <c r="AE211" s="369">
        <f t="shared" si="90"/>
        <v>19999.960000000021</v>
      </c>
      <c r="AF211" s="369">
        <f t="shared" si="90"/>
        <v>13333.290000000021</v>
      </c>
      <c r="AG211" s="369">
        <f t="shared" si="90"/>
        <v>6666.6200000000208</v>
      </c>
      <c r="AH211" s="369">
        <f t="shared" si="90"/>
        <v>2.0918378140777349E-11</v>
      </c>
    </row>
    <row r="212" spans="18:34" x14ac:dyDescent="0.2">
      <c r="R212" s="361" t="s">
        <v>1321</v>
      </c>
      <c r="S212" s="367"/>
      <c r="T212" s="370">
        <f>+$T$208*S211</f>
        <v>5110</v>
      </c>
      <c r="U212" s="370">
        <f t="shared" ref="U212:AH212" si="91">+$T$208*T211</f>
        <v>4769.3331630000002</v>
      </c>
      <c r="V212" s="370">
        <f t="shared" si="91"/>
        <v>4428.6663260000005</v>
      </c>
      <c r="W212" s="370">
        <f t="shared" si="91"/>
        <v>4087.9994890000003</v>
      </c>
      <c r="X212" s="370">
        <f t="shared" si="91"/>
        <v>3747.3326520000005</v>
      </c>
      <c r="Y212" s="370">
        <f t="shared" si="91"/>
        <v>3406.6658150000003</v>
      </c>
      <c r="Z212" s="370">
        <f t="shared" si="91"/>
        <v>3065.9989780000005</v>
      </c>
      <c r="AA212" s="370">
        <f t="shared" si="91"/>
        <v>2725.3321410000008</v>
      </c>
      <c r="AB212" s="370">
        <f t="shared" si="91"/>
        <v>2384.6653040000006</v>
      </c>
      <c r="AC212" s="370">
        <f t="shared" si="91"/>
        <v>2043.9984670000008</v>
      </c>
      <c r="AD212" s="370">
        <f t="shared" si="91"/>
        <v>1703.3316300000008</v>
      </c>
      <c r="AE212" s="370">
        <f t="shared" si="91"/>
        <v>1362.6647930000011</v>
      </c>
      <c r="AF212" s="370">
        <f t="shared" si="91"/>
        <v>1021.9979560000011</v>
      </c>
      <c r="AG212" s="370">
        <f t="shared" si="91"/>
        <v>681.33111900000108</v>
      </c>
      <c r="AH212" s="370">
        <f t="shared" si="91"/>
        <v>340.66428200000104</v>
      </c>
    </row>
    <row r="213" spans="18:34" x14ac:dyDescent="0.2">
      <c r="R213" s="361" t="s">
        <v>1322</v>
      </c>
      <c r="S213" s="367"/>
      <c r="T213" s="370">
        <f t="shared" ref="T213:AH213" si="92">+T212+T210</f>
        <v>11776.67</v>
      </c>
      <c r="U213" s="370">
        <f t="shared" si="92"/>
        <v>11436.003163000001</v>
      </c>
      <c r="V213" s="370">
        <f t="shared" si="92"/>
        <v>11095.336326000001</v>
      </c>
      <c r="W213" s="370">
        <f t="shared" si="92"/>
        <v>10754.669489</v>
      </c>
      <c r="X213" s="370">
        <f t="shared" si="92"/>
        <v>10414.002652000001</v>
      </c>
      <c r="Y213" s="370">
        <f t="shared" si="92"/>
        <v>10073.335815</v>
      </c>
      <c r="Z213" s="370">
        <f t="shared" si="92"/>
        <v>9732.6689780000015</v>
      </c>
      <c r="AA213" s="370">
        <f t="shared" si="92"/>
        <v>9392.0021410000008</v>
      </c>
      <c r="AB213" s="370">
        <f t="shared" si="92"/>
        <v>9051.3353040000002</v>
      </c>
      <c r="AC213" s="370">
        <f t="shared" si="92"/>
        <v>8710.6684670000013</v>
      </c>
      <c r="AD213" s="370">
        <f t="shared" si="92"/>
        <v>8370.0016300000007</v>
      </c>
      <c r="AE213" s="370">
        <f t="shared" si="92"/>
        <v>8029.3347930000009</v>
      </c>
      <c r="AF213" s="370">
        <f t="shared" si="92"/>
        <v>7688.6679560000011</v>
      </c>
      <c r="AG213" s="370">
        <f t="shared" si="92"/>
        <v>7348.0011190000014</v>
      </c>
      <c r="AH213" s="370">
        <f t="shared" si="92"/>
        <v>7007.2842820000005</v>
      </c>
    </row>
    <row r="214" spans="18:34" x14ac:dyDescent="0.2">
      <c r="R214" s="361" t="s">
        <v>1323</v>
      </c>
      <c r="S214" s="368"/>
      <c r="T214" s="370">
        <f t="shared" ref="T214:AH214" si="93">+IF(T209&gt;$T$1,T213,0)</f>
        <v>0</v>
      </c>
      <c r="U214" s="370">
        <f t="shared" si="93"/>
        <v>0</v>
      </c>
      <c r="V214" s="370">
        <f t="shared" si="93"/>
        <v>0</v>
      </c>
      <c r="W214" s="370">
        <f t="shared" si="93"/>
        <v>0</v>
      </c>
      <c r="X214" s="370">
        <f t="shared" si="93"/>
        <v>0</v>
      </c>
      <c r="Y214" s="370">
        <f t="shared" si="93"/>
        <v>0</v>
      </c>
      <c r="Z214" s="370">
        <f t="shared" si="93"/>
        <v>0</v>
      </c>
      <c r="AA214" s="370">
        <f t="shared" si="93"/>
        <v>0</v>
      </c>
      <c r="AB214" s="370">
        <f t="shared" si="93"/>
        <v>0</v>
      </c>
      <c r="AC214" s="370">
        <f t="shared" si="93"/>
        <v>0</v>
      </c>
      <c r="AD214" s="370">
        <f t="shared" si="93"/>
        <v>0</v>
      </c>
      <c r="AE214" s="370">
        <f t="shared" si="93"/>
        <v>0</v>
      </c>
      <c r="AF214" s="370">
        <f t="shared" si="93"/>
        <v>0</v>
      </c>
      <c r="AG214" s="370">
        <f t="shared" si="93"/>
        <v>0</v>
      </c>
      <c r="AH214" s="370">
        <f t="shared" si="93"/>
        <v>7007.2842820000005</v>
      </c>
    </row>
    <row r="215" spans="18:34" x14ac:dyDescent="0.2">
      <c r="R215" s="361" t="s">
        <v>1324</v>
      </c>
      <c r="S215" s="371"/>
      <c r="T215" s="361">
        <f t="shared" ref="T215:AH215" si="94">+IF(S214=0,(T209-$T$1)/(T209-S209),S215+1)</f>
        <v>-13.401639344262295</v>
      </c>
      <c r="U215" s="361">
        <f t="shared" si="94"/>
        <v>-12.438356164383562</v>
      </c>
      <c r="V215" s="361">
        <f t="shared" si="94"/>
        <v>-11.438356164383562</v>
      </c>
      <c r="W215" s="361">
        <f t="shared" si="94"/>
        <v>-10.438356164383562</v>
      </c>
      <c r="X215" s="361">
        <f t="shared" si="94"/>
        <v>-9.4098360655737707</v>
      </c>
      <c r="Y215" s="361">
        <f t="shared" si="94"/>
        <v>-8.4356164383561651</v>
      </c>
      <c r="Z215" s="361">
        <f t="shared" si="94"/>
        <v>-7.4356164383561643</v>
      </c>
      <c r="AA215" s="361">
        <f t="shared" si="94"/>
        <v>-6.4356164383561643</v>
      </c>
      <c r="AB215" s="361">
        <f t="shared" si="94"/>
        <v>-5.418032786885246</v>
      </c>
      <c r="AC215" s="361">
        <f t="shared" si="94"/>
        <v>-4.4328767123287669</v>
      </c>
      <c r="AD215" s="361">
        <f t="shared" si="94"/>
        <v>-3.4328767123287673</v>
      </c>
      <c r="AE215" s="361">
        <f t="shared" si="94"/>
        <v>-2.4328767123287673</v>
      </c>
      <c r="AF215" s="361">
        <f t="shared" si="94"/>
        <v>-1.4262295081967213</v>
      </c>
      <c r="AG215" s="361">
        <f t="shared" si="94"/>
        <v>-0.43013698630136987</v>
      </c>
      <c r="AH215" s="361">
        <f t="shared" si="94"/>
        <v>0.56986301369863013</v>
      </c>
    </row>
    <row r="216" spans="18:34" x14ac:dyDescent="0.2">
      <c r="R216" s="372" t="s">
        <v>1325</v>
      </c>
      <c r="S216" s="367"/>
      <c r="T216" s="373">
        <f t="shared" ref="T216:AH216" si="95">IF(T215&lt;1,interpoler(mat_court,taux_court_act,T215*(T209-S209)),interpoler(mat,taux,T215))</f>
        <v>2.3281430422376737E-2</v>
      </c>
      <c r="U216" s="373">
        <f t="shared" si="95"/>
        <v>2.3281430422376737E-2</v>
      </c>
      <c r="V216" s="373">
        <f t="shared" si="95"/>
        <v>2.3281430422376737E-2</v>
      </c>
      <c r="W216" s="373">
        <f t="shared" si="95"/>
        <v>2.3281430422376737E-2</v>
      </c>
      <c r="X216" s="373">
        <f t="shared" si="95"/>
        <v>2.3281430422376737E-2</v>
      </c>
      <c r="Y216" s="373">
        <f t="shared" si="95"/>
        <v>2.3281430422376737E-2</v>
      </c>
      <c r="Z216" s="373">
        <f t="shared" si="95"/>
        <v>2.3281430422376737E-2</v>
      </c>
      <c r="AA216" s="499">
        <f t="shared" si="95"/>
        <v>2.3281430422376737E-2</v>
      </c>
      <c r="AB216" s="373">
        <f t="shared" si="95"/>
        <v>2.3281430422376737E-2</v>
      </c>
      <c r="AC216" s="373">
        <f t="shared" si="95"/>
        <v>2.3281430422376737E-2</v>
      </c>
      <c r="AD216" s="373">
        <f t="shared" si="95"/>
        <v>2.3281430422376737E-2</v>
      </c>
      <c r="AE216" s="373">
        <f t="shared" si="95"/>
        <v>2.3281430422376737E-2</v>
      </c>
      <c r="AF216" s="373">
        <f t="shared" si="95"/>
        <v>2.3281430422376737E-2</v>
      </c>
      <c r="AG216" s="373">
        <f t="shared" si="95"/>
        <v>2.3281430422376737E-2</v>
      </c>
      <c r="AH216" s="375">
        <f t="shared" si="95"/>
        <v>2.427511653210827E-2</v>
      </c>
    </row>
    <row r="217" spans="18:34" x14ac:dyDescent="0.2">
      <c r="R217" s="361" t="s">
        <v>1328</v>
      </c>
      <c r="S217" s="367"/>
      <c r="T217" s="372">
        <v>2.1999999999999999E-2</v>
      </c>
      <c r="U217" s="372">
        <v>2.1999999999999999E-2</v>
      </c>
      <c r="V217" s="372">
        <v>2.1999999999999999E-2</v>
      </c>
      <c r="W217" s="372">
        <v>2.1999999999999999E-2</v>
      </c>
      <c r="X217" s="372">
        <v>2.1999999999999999E-2</v>
      </c>
      <c r="Y217" s="372">
        <v>2.1999999999999999E-2</v>
      </c>
      <c r="Z217" s="372">
        <v>2.1999999999999999E-2</v>
      </c>
      <c r="AA217" s="372">
        <v>2.1999999999999999E-2</v>
      </c>
      <c r="AB217" s="372">
        <v>2.1999999999999999E-2</v>
      </c>
      <c r="AC217" s="372">
        <v>2.1999999999999999E-2</v>
      </c>
      <c r="AD217" s="372">
        <v>2.1999999999999999E-2</v>
      </c>
      <c r="AE217" s="372">
        <v>2.1999999999999999E-2</v>
      </c>
      <c r="AF217" s="372">
        <v>2.1999999999999999E-2</v>
      </c>
      <c r="AG217" s="372">
        <v>2.1999999999999999E-2</v>
      </c>
      <c r="AH217" s="372">
        <v>2.1999999999999999E-2</v>
      </c>
    </row>
    <row r="218" spans="18:34" x14ac:dyDescent="0.2">
      <c r="R218" s="361" t="s">
        <v>1329</v>
      </c>
      <c r="S218" s="367"/>
      <c r="T218" s="365">
        <f t="shared" ref="T218:AH218" si="96">+ROUND(T216+T217,5)</f>
        <v>4.5280000000000001E-2</v>
      </c>
      <c r="U218" s="365">
        <f t="shared" si="96"/>
        <v>4.5280000000000001E-2</v>
      </c>
      <c r="V218" s="365">
        <f t="shared" si="96"/>
        <v>4.5280000000000001E-2</v>
      </c>
      <c r="W218" s="365">
        <f t="shared" si="96"/>
        <v>4.5280000000000001E-2</v>
      </c>
      <c r="X218" s="365">
        <f t="shared" si="96"/>
        <v>4.5280000000000001E-2</v>
      </c>
      <c r="Y218" s="365">
        <f t="shared" si="96"/>
        <v>4.5280000000000001E-2</v>
      </c>
      <c r="Z218" s="365">
        <f t="shared" si="96"/>
        <v>4.5280000000000001E-2</v>
      </c>
      <c r="AA218" s="365">
        <f t="shared" si="96"/>
        <v>4.5280000000000001E-2</v>
      </c>
      <c r="AB218" s="365">
        <f t="shared" si="96"/>
        <v>4.5280000000000001E-2</v>
      </c>
      <c r="AC218" s="365">
        <f t="shared" si="96"/>
        <v>4.5280000000000001E-2</v>
      </c>
      <c r="AD218" s="365">
        <f t="shared" si="96"/>
        <v>4.5280000000000001E-2</v>
      </c>
      <c r="AE218" s="365">
        <f t="shared" si="96"/>
        <v>4.5280000000000001E-2</v>
      </c>
      <c r="AF218" s="365">
        <f t="shared" si="96"/>
        <v>4.5280000000000001E-2</v>
      </c>
      <c r="AG218" s="365">
        <f t="shared" si="96"/>
        <v>4.5280000000000001E-2</v>
      </c>
      <c r="AH218" s="365">
        <f t="shared" si="96"/>
        <v>4.6280000000000002E-2</v>
      </c>
    </row>
    <row r="219" spans="18:34" x14ac:dyDescent="0.2">
      <c r="R219" s="361"/>
      <c r="S219" s="367"/>
      <c r="T219" s="368">
        <f t="shared" ref="T219:AH219" si="97">+T214/(1+T218)^T215</f>
        <v>0</v>
      </c>
      <c r="U219" s="368">
        <f t="shared" si="97"/>
        <v>0</v>
      </c>
      <c r="V219" s="368">
        <f t="shared" si="97"/>
        <v>0</v>
      </c>
      <c r="W219" s="368">
        <f t="shared" si="97"/>
        <v>0</v>
      </c>
      <c r="X219" s="368">
        <f t="shared" si="97"/>
        <v>0</v>
      </c>
      <c r="Y219" s="368">
        <f t="shared" si="97"/>
        <v>0</v>
      </c>
      <c r="Z219" s="368">
        <f t="shared" si="97"/>
        <v>0</v>
      </c>
      <c r="AA219" s="368">
        <f t="shared" si="97"/>
        <v>0</v>
      </c>
      <c r="AB219" s="368">
        <f t="shared" si="97"/>
        <v>0</v>
      </c>
      <c r="AC219" s="368">
        <f t="shared" si="97"/>
        <v>0</v>
      </c>
      <c r="AD219" s="368">
        <f t="shared" si="97"/>
        <v>0</v>
      </c>
      <c r="AE219" s="368">
        <f t="shared" si="97"/>
        <v>0</v>
      </c>
      <c r="AF219" s="368">
        <f t="shared" si="97"/>
        <v>0</v>
      </c>
      <c r="AG219" s="368">
        <f t="shared" si="97"/>
        <v>0</v>
      </c>
      <c r="AH219" s="368">
        <f t="shared" si="97"/>
        <v>6828.9370906478607</v>
      </c>
    </row>
    <row r="220" spans="18:34" x14ac:dyDescent="0.2">
      <c r="R220" s="361"/>
      <c r="S220" s="367"/>
      <c r="T220" s="365"/>
      <c r="U220" s="365"/>
      <c r="V220" s="365"/>
      <c r="W220" s="365"/>
      <c r="X220" s="365"/>
      <c r="Y220" s="365"/>
      <c r="Z220" s="365"/>
      <c r="AA220" s="365"/>
      <c r="AB220" s="365"/>
      <c r="AC220" s="365"/>
      <c r="AD220" s="365"/>
      <c r="AE220" s="365"/>
      <c r="AF220" s="365"/>
      <c r="AG220" s="365"/>
      <c r="AH220" s="365"/>
    </row>
    <row r="221" spans="18:34" x14ac:dyDescent="0.2">
      <c r="R221" s="361" t="s">
        <v>650</v>
      </c>
      <c r="S221" s="374">
        <f>+SUM(T219:AH219)</f>
        <v>6828.9370906478607</v>
      </c>
      <c r="T221" s="365"/>
      <c r="U221" s="365"/>
      <c r="V221" s="365"/>
      <c r="W221" s="365"/>
      <c r="X221" s="365"/>
      <c r="Y221" s="365"/>
      <c r="Z221" s="365"/>
      <c r="AA221" s="365"/>
      <c r="AB221" s="365"/>
      <c r="AC221" s="365"/>
      <c r="AD221" s="365"/>
      <c r="AE221" s="365"/>
      <c r="AF221" s="365"/>
      <c r="AG221" s="365"/>
      <c r="AH221" s="365"/>
    </row>
    <row r="222" spans="18:34" x14ac:dyDescent="0.2">
      <c r="R222" s="361" t="s">
        <v>1331</v>
      </c>
      <c r="S222" s="368">
        <f>+SUMPRODUCT(T215:AH215,T219:AH219)/S221</f>
        <v>0.56986301369863013</v>
      </c>
      <c r="T222" s="361"/>
      <c r="U222" s="361"/>
      <c r="V222" s="361"/>
      <c r="W222" s="361"/>
      <c r="X222" s="361"/>
      <c r="Y222" s="361"/>
      <c r="Z222" s="361"/>
      <c r="AA222" s="361"/>
      <c r="AB222" s="361"/>
      <c r="AC222" s="361"/>
      <c r="AD222" s="361"/>
      <c r="AE222" s="361"/>
      <c r="AF222" s="361"/>
      <c r="AG222" s="361"/>
      <c r="AH222" s="361"/>
    </row>
    <row r="225" spans="18:34" x14ac:dyDescent="0.2">
      <c r="AG225">
        <f>AH209-T207</f>
        <v>208</v>
      </c>
    </row>
    <row r="226" spans="18:34" x14ac:dyDescent="0.2">
      <c r="AG226">
        <f>AG225/365</f>
        <v>0.56986301369863013</v>
      </c>
    </row>
    <row r="229" spans="18:34" ht="15.75" x14ac:dyDescent="0.25">
      <c r="R229" s="361">
        <v>9099</v>
      </c>
      <c r="S229" s="362" t="s">
        <v>103</v>
      </c>
      <c r="T229" s="363">
        <f>T207</f>
        <v>46107</v>
      </c>
      <c r="U229" s="361"/>
      <c r="V229" s="361"/>
      <c r="W229" s="361"/>
      <c r="X229" s="361"/>
      <c r="Y229" s="361"/>
      <c r="Z229" s="361"/>
      <c r="AA229" s="361"/>
      <c r="AB229" s="361"/>
      <c r="AC229" s="361"/>
      <c r="AD229" s="361"/>
      <c r="AE229" s="361"/>
      <c r="AF229" s="361"/>
      <c r="AG229" s="361"/>
      <c r="AH229" s="361"/>
    </row>
    <row r="230" spans="18:34" x14ac:dyDescent="0.2">
      <c r="R230" s="361"/>
      <c r="S230" s="364" t="s">
        <v>105</v>
      </c>
      <c r="T230" s="365">
        <v>5.1200000000000002E-2</v>
      </c>
      <c r="U230" s="365"/>
      <c r="V230" s="361"/>
      <c r="W230" s="361"/>
      <c r="X230" s="361"/>
      <c r="Y230" s="361"/>
      <c r="Z230" s="361"/>
      <c r="AA230" s="361"/>
      <c r="AB230" s="361"/>
      <c r="AC230" s="361"/>
      <c r="AD230" s="361"/>
      <c r="AE230" s="361"/>
      <c r="AF230" s="361"/>
      <c r="AG230" s="361"/>
      <c r="AH230" s="361"/>
    </row>
    <row r="231" spans="18:34" x14ac:dyDescent="0.2">
      <c r="R231" s="361"/>
      <c r="S231" s="366">
        <v>40836</v>
      </c>
      <c r="T231" s="366">
        <v>40568</v>
      </c>
      <c r="U231" s="366">
        <v>40933</v>
      </c>
      <c r="V231" s="366">
        <v>41299</v>
      </c>
      <c r="W231" s="366">
        <v>41664</v>
      </c>
      <c r="X231" s="366">
        <v>42029</v>
      </c>
      <c r="Y231" s="366">
        <v>42394</v>
      </c>
      <c r="Z231" s="366">
        <v>42760</v>
      </c>
      <c r="AA231" s="366">
        <v>43125</v>
      </c>
      <c r="AB231" s="366">
        <v>43490</v>
      </c>
      <c r="AC231" s="366">
        <v>43855</v>
      </c>
      <c r="AD231" s="366">
        <v>44221</v>
      </c>
      <c r="AE231" s="366">
        <v>44586</v>
      </c>
      <c r="AF231" s="366">
        <v>44951</v>
      </c>
      <c r="AG231" s="366">
        <v>45316</v>
      </c>
      <c r="AH231" s="366">
        <v>45682</v>
      </c>
    </row>
    <row r="232" spans="18:34" x14ac:dyDescent="0.2">
      <c r="R232" s="361" t="s">
        <v>1318</v>
      </c>
      <c r="S232" s="367"/>
      <c r="T232" s="368">
        <f>100000/15</f>
        <v>6666.666666666667</v>
      </c>
      <c r="U232" s="368">
        <f t="shared" ref="U232:AH232" si="98">100000/15</f>
        <v>6666.666666666667</v>
      </c>
      <c r="V232" s="368">
        <f t="shared" si="98"/>
        <v>6666.666666666667</v>
      </c>
      <c r="W232" s="368">
        <f t="shared" si="98"/>
        <v>6666.666666666667</v>
      </c>
      <c r="X232" s="368">
        <f t="shared" si="98"/>
        <v>6666.666666666667</v>
      </c>
      <c r="Y232" s="368">
        <f t="shared" si="98"/>
        <v>6666.666666666667</v>
      </c>
      <c r="Z232" s="368">
        <f t="shared" si="98"/>
        <v>6666.666666666667</v>
      </c>
      <c r="AA232" s="368">
        <f t="shared" si="98"/>
        <v>6666.666666666667</v>
      </c>
      <c r="AB232" s="368">
        <f t="shared" si="98"/>
        <v>6666.666666666667</v>
      </c>
      <c r="AC232" s="368">
        <f t="shared" si="98"/>
        <v>6666.666666666667</v>
      </c>
      <c r="AD232" s="368">
        <f t="shared" si="98"/>
        <v>6666.666666666667</v>
      </c>
      <c r="AE232" s="368">
        <f t="shared" si="98"/>
        <v>6666.666666666667</v>
      </c>
      <c r="AF232" s="368">
        <f t="shared" si="98"/>
        <v>6666.666666666667</v>
      </c>
      <c r="AG232" s="368">
        <f t="shared" si="98"/>
        <v>6666.666666666667</v>
      </c>
      <c r="AH232" s="368">
        <f t="shared" si="98"/>
        <v>6666.666666666667</v>
      </c>
    </row>
    <row r="233" spans="18:34" x14ac:dyDescent="0.2">
      <c r="R233" s="361" t="s">
        <v>1320</v>
      </c>
      <c r="S233" s="368">
        <v>100000</v>
      </c>
      <c r="T233" s="369">
        <f t="shared" ref="T233:AH233" si="99">+S233-T232</f>
        <v>93333.333333333328</v>
      </c>
      <c r="U233" s="369">
        <f t="shared" si="99"/>
        <v>86666.666666666657</v>
      </c>
      <c r="V233" s="369">
        <f t="shared" si="99"/>
        <v>79999.999999999985</v>
      </c>
      <c r="W233" s="369">
        <f t="shared" si="99"/>
        <v>73333.333333333314</v>
      </c>
      <c r="X233" s="369">
        <f t="shared" si="99"/>
        <v>66666.666666666642</v>
      </c>
      <c r="Y233" s="369">
        <f t="shared" si="99"/>
        <v>59999.999999999978</v>
      </c>
      <c r="Z233" s="369">
        <f t="shared" si="99"/>
        <v>53333.333333333314</v>
      </c>
      <c r="AA233" s="369">
        <f t="shared" si="99"/>
        <v>46666.66666666665</v>
      </c>
      <c r="AB233" s="369">
        <f t="shared" si="99"/>
        <v>39999.999999999985</v>
      </c>
      <c r="AC233" s="369">
        <f t="shared" si="99"/>
        <v>33333.333333333321</v>
      </c>
      <c r="AD233" s="369">
        <f t="shared" si="99"/>
        <v>26666.666666666653</v>
      </c>
      <c r="AE233" s="369">
        <f t="shared" si="99"/>
        <v>19999.999999999985</v>
      </c>
      <c r="AF233" s="369">
        <f t="shared" si="99"/>
        <v>13333.333333333318</v>
      </c>
      <c r="AG233" s="369">
        <f t="shared" si="99"/>
        <v>6666.6666666666506</v>
      </c>
      <c r="AH233" s="369">
        <f t="shared" si="99"/>
        <v>-1.6370904631912708E-11</v>
      </c>
    </row>
    <row r="234" spans="18:34" x14ac:dyDescent="0.2">
      <c r="R234" s="361" t="s">
        <v>1321</v>
      </c>
      <c r="S234" s="367"/>
      <c r="T234" s="370">
        <f>+$T$230*S233</f>
        <v>5120</v>
      </c>
      <c r="U234" s="370">
        <f>+$T$230*T233</f>
        <v>4778.666666666667</v>
      </c>
      <c r="V234" s="370">
        <f t="shared" ref="V234:AG234" si="100">+$T$230*U233</f>
        <v>4437.333333333333</v>
      </c>
      <c r="W234" s="370">
        <f t="shared" si="100"/>
        <v>4095.9999999999995</v>
      </c>
      <c r="X234" s="370">
        <f t="shared" si="100"/>
        <v>3754.6666666666661</v>
      </c>
      <c r="Y234" s="370">
        <f t="shared" si="100"/>
        <v>3413.3333333333321</v>
      </c>
      <c r="Z234" s="370">
        <f t="shared" si="100"/>
        <v>3071.9999999999991</v>
      </c>
      <c r="AA234" s="370">
        <f t="shared" si="100"/>
        <v>2730.6666666666656</v>
      </c>
      <c r="AB234" s="370">
        <f t="shared" si="100"/>
        <v>2389.3333333333326</v>
      </c>
      <c r="AC234" s="370">
        <f t="shared" si="100"/>
        <v>2047.9999999999993</v>
      </c>
      <c r="AD234" s="370">
        <f t="shared" si="100"/>
        <v>1706.6666666666661</v>
      </c>
      <c r="AE234" s="370">
        <f t="shared" si="100"/>
        <v>1365.3333333333328</v>
      </c>
      <c r="AF234" s="370">
        <f t="shared" si="100"/>
        <v>1023.9999999999993</v>
      </c>
      <c r="AG234" s="370">
        <f t="shared" si="100"/>
        <v>682.66666666666595</v>
      </c>
      <c r="AH234" s="370">
        <f>+$T$230*AG233</f>
        <v>341.33333333333252</v>
      </c>
    </row>
    <row r="235" spans="18:34" x14ac:dyDescent="0.2">
      <c r="R235" s="361" t="s">
        <v>1322</v>
      </c>
      <c r="S235" s="367"/>
      <c r="T235" s="370">
        <f>+T234+T232</f>
        <v>11786.666666666668</v>
      </c>
      <c r="U235" s="370">
        <f t="shared" ref="U235:AH235" si="101">+U234+U232</f>
        <v>11445.333333333334</v>
      </c>
      <c r="V235" s="370">
        <f t="shared" si="101"/>
        <v>11104</v>
      </c>
      <c r="W235" s="370">
        <f t="shared" si="101"/>
        <v>10762.666666666666</v>
      </c>
      <c r="X235" s="370">
        <f t="shared" si="101"/>
        <v>10421.333333333332</v>
      </c>
      <c r="Y235" s="370">
        <f t="shared" si="101"/>
        <v>10080</v>
      </c>
      <c r="Z235" s="370">
        <f t="shared" si="101"/>
        <v>9738.6666666666661</v>
      </c>
      <c r="AA235" s="370">
        <f t="shared" si="101"/>
        <v>9397.3333333333321</v>
      </c>
      <c r="AB235" s="370">
        <f t="shared" si="101"/>
        <v>9056</v>
      </c>
      <c r="AC235" s="370">
        <f t="shared" si="101"/>
        <v>8714.6666666666661</v>
      </c>
      <c r="AD235" s="370">
        <f t="shared" si="101"/>
        <v>8373.3333333333321</v>
      </c>
      <c r="AE235" s="370">
        <f t="shared" si="101"/>
        <v>8032</v>
      </c>
      <c r="AF235" s="370">
        <f t="shared" si="101"/>
        <v>7690.6666666666661</v>
      </c>
      <c r="AG235" s="370">
        <f t="shared" si="101"/>
        <v>7349.333333333333</v>
      </c>
      <c r="AH235" s="370">
        <f t="shared" si="101"/>
        <v>7007.9999999999991</v>
      </c>
    </row>
    <row r="236" spans="18:34" x14ac:dyDescent="0.2">
      <c r="R236" s="361" t="s">
        <v>1323</v>
      </c>
      <c r="S236" s="368"/>
      <c r="T236" s="370">
        <f t="shared" ref="T236:AH236" si="102">+IF(T231&gt;$T$1,T235,0)</f>
        <v>0</v>
      </c>
      <c r="U236" s="370">
        <f t="shared" si="102"/>
        <v>0</v>
      </c>
      <c r="V236" s="370">
        <f t="shared" si="102"/>
        <v>0</v>
      </c>
      <c r="W236" s="370">
        <f t="shared" si="102"/>
        <v>0</v>
      </c>
      <c r="X236" s="370">
        <f t="shared" si="102"/>
        <v>0</v>
      </c>
      <c r="Y236" s="370">
        <f t="shared" si="102"/>
        <v>0</v>
      </c>
      <c r="Z236" s="370">
        <f t="shared" si="102"/>
        <v>0</v>
      </c>
      <c r="AA236" s="370">
        <f t="shared" si="102"/>
        <v>0</v>
      </c>
      <c r="AB236" s="370">
        <f t="shared" si="102"/>
        <v>0</v>
      </c>
      <c r="AC236" s="370">
        <f t="shared" si="102"/>
        <v>0</v>
      </c>
      <c r="AD236" s="370">
        <f t="shared" si="102"/>
        <v>0</v>
      </c>
      <c r="AE236" s="370">
        <f t="shared" si="102"/>
        <v>0</v>
      </c>
      <c r="AF236" s="370">
        <f t="shared" si="102"/>
        <v>0</v>
      </c>
      <c r="AG236" s="370">
        <f t="shared" si="102"/>
        <v>0</v>
      </c>
      <c r="AH236" s="370">
        <f t="shared" si="102"/>
        <v>0</v>
      </c>
    </row>
    <row r="237" spans="18:34" x14ac:dyDescent="0.2">
      <c r="R237" s="361" t="s">
        <v>1324</v>
      </c>
      <c r="S237" s="371"/>
      <c r="T237" s="361">
        <f t="shared" ref="T237:AH237" si="103">+IF(S236=0,(T231-$T$1)/(T231-S231),S237+1)</f>
        <v>20.667910447761194</v>
      </c>
      <c r="U237" s="361">
        <f t="shared" si="103"/>
        <v>-14.175342465753424</v>
      </c>
      <c r="V237" s="361">
        <f t="shared" si="103"/>
        <v>-13.136612021857923</v>
      </c>
      <c r="W237" s="361">
        <f t="shared" si="103"/>
        <v>-12.172602739726027</v>
      </c>
      <c r="X237" s="361">
        <f t="shared" si="103"/>
        <v>-11.172602739726027</v>
      </c>
      <c r="Y237" s="361">
        <f t="shared" si="103"/>
        <v>-10.172602739726027</v>
      </c>
      <c r="Z237" s="361">
        <f t="shared" si="103"/>
        <v>-9.1448087431693992</v>
      </c>
      <c r="AA237" s="361">
        <f t="shared" si="103"/>
        <v>-8.169863013698631</v>
      </c>
      <c r="AB237" s="361">
        <f t="shared" si="103"/>
        <v>-7.1698630136986301</v>
      </c>
      <c r="AC237" s="361">
        <f t="shared" si="103"/>
        <v>-6.1698630136986301</v>
      </c>
      <c r="AD237" s="361">
        <f t="shared" si="103"/>
        <v>-5.1530054644808745</v>
      </c>
      <c r="AE237" s="361">
        <f t="shared" si="103"/>
        <v>-4.1671232876712327</v>
      </c>
      <c r="AF237" s="361">
        <f t="shared" si="103"/>
        <v>-3.1671232876712327</v>
      </c>
      <c r="AG237" s="361">
        <f t="shared" si="103"/>
        <v>-2.1671232876712327</v>
      </c>
      <c r="AH237" s="361">
        <f t="shared" si="103"/>
        <v>-1.1612021857923498</v>
      </c>
    </row>
    <row r="238" spans="18:34" x14ac:dyDescent="0.2">
      <c r="R238" s="372" t="s">
        <v>1325</v>
      </c>
      <c r="S238" s="367"/>
      <c r="T238" s="373" t="e">
        <f t="shared" ref="T238:AH238" si="104">IF(T237&lt;1,interpoler(mat_court,taux_court_act,T237*(T231-S231)),interpoler(mat,taux,T237))</f>
        <v>#VALUE!</v>
      </c>
      <c r="U238" s="373">
        <f t="shared" si="104"/>
        <v>2.3281430422376737E-2</v>
      </c>
      <c r="V238" s="373">
        <f t="shared" si="104"/>
        <v>2.3281430422376737E-2</v>
      </c>
      <c r="W238" s="373">
        <f t="shared" si="104"/>
        <v>2.3281430422376737E-2</v>
      </c>
      <c r="X238" s="373">
        <f t="shared" si="104"/>
        <v>2.3281430422376737E-2</v>
      </c>
      <c r="Y238" s="373">
        <f t="shared" si="104"/>
        <v>2.3281430422376737E-2</v>
      </c>
      <c r="Z238" s="373">
        <f t="shared" si="104"/>
        <v>2.3281430422376737E-2</v>
      </c>
      <c r="AA238" s="373">
        <f t="shared" si="104"/>
        <v>2.3281430422376737E-2</v>
      </c>
      <c r="AB238" s="373">
        <f t="shared" si="104"/>
        <v>2.3281430422376737E-2</v>
      </c>
      <c r="AC238" s="375">
        <f t="shared" si="104"/>
        <v>2.3281430422376737E-2</v>
      </c>
      <c r="AD238" s="373">
        <f t="shared" si="104"/>
        <v>2.3281430422376737E-2</v>
      </c>
      <c r="AE238" s="373">
        <f t="shared" si="104"/>
        <v>2.3281430422376737E-2</v>
      </c>
      <c r="AF238" s="373">
        <f t="shared" si="104"/>
        <v>2.3281430422376737E-2</v>
      </c>
      <c r="AG238" s="373">
        <f t="shared" si="104"/>
        <v>2.3281430422376737E-2</v>
      </c>
      <c r="AH238" s="375">
        <f t="shared" si="104"/>
        <v>2.3281430422376737E-2</v>
      </c>
    </row>
    <row r="239" spans="18:34" x14ac:dyDescent="0.2">
      <c r="R239" s="361" t="s">
        <v>1328</v>
      </c>
      <c r="S239" s="367"/>
      <c r="T239" s="372">
        <v>8.9999999999999993E-3</v>
      </c>
      <c r="U239" s="372">
        <v>8.9999999999999993E-3</v>
      </c>
      <c r="V239" s="372">
        <v>8.9999999999999993E-3</v>
      </c>
      <c r="W239" s="372">
        <v>8.9999999999999993E-3</v>
      </c>
      <c r="X239" s="372">
        <v>8.9999999999999993E-3</v>
      </c>
      <c r="Y239" s="372">
        <v>8.9999999999999993E-3</v>
      </c>
      <c r="Z239" s="372">
        <v>8.9999999999999993E-3</v>
      </c>
      <c r="AA239" s="372">
        <v>8.9999999999999993E-3</v>
      </c>
      <c r="AB239" s="372">
        <v>8.9999999999999993E-3</v>
      </c>
      <c r="AC239" s="372">
        <v>8.9999999999999993E-3</v>
      </c>
      <c r="AD239" s="372">
        <v>8.9999999999999993E-3</v>
      </c>
      <c r="AE239" s="372">
        <v>8.9999999999999993E-3</v>
      </c>
      <c r="AF239" s="372">
        <v>8.9999999999999993E-3</v>
      </c>
      <c r="AG239" s="372">
        <v>8.9999999999999993E-3</v>
      </c>
      <c r="AH239" s="372">
        <v>8.9999999999999993E-3</v>
      </c>
    </row>
    <row r="240" spans="18:34" x14ac:dyDescent="0.2">
      <c r="R240" s="361" t="s">
        <v>1329</v>
      </c>
      <c r="S240" s="367"/>
      <c r="T240" s="365" t="e">
        <f t="shared" ref="T240:AH240" si="105">+ROUND(T238+T239,5)</f>
        <v>#VALUE!</v>
      </c>
      <c r="U240" s="365">
        <f t="shared" si="105"/>
        <v>3.2280000000000003E-2</v>
      </c>
      <c r="V240" s="365">
        <f t="shared" si="105"/>
        <v>3.2280000000000003E-2</v>
      </c>
      <c r="W240" s="365">
        <f t="shared" si="105"/>
        <v>3.2280000000000003E-2</v>
      </c>
      <c r="X240" s="365">
        <f t="shared" si="105"/>
        <v>3.2280000000000003E-2</v>
      </c>
      <c r="Y240" s="365">
        <f t="shared" si="105"/>
        <v>3.2280000000000003E-2</v>
      </c>
      <c r="Z240" s="365">
        <f t="shared" si="105"/>
        <v>3.2280000000000003E-2</v>
      </c>
      <c r="AA240" s="365">
        <f t="shared" si="105"/>
        <v>3.2280000000000003E-2</v>
      </c>
      <c r="AB240" s="365">
        <f t="shared" si="105"/>
        <v>3.2280000000000003E-2</v>
      </c>
      <c r="AC240" s="429">
        <f t="shared" si="105"/>
        <v>3.2280000000000003E-2</v>
      </c>
      <c r="AD240" s="365">
        <f t="shared" si="105"/>
        <v>3.2280000000000003E-2</v>
      </c>
      <c r="AE240" s="365">
        <f t="shared" si="105"/>
        <v>3.2280000000000003E-2</v>
      </c>
      <c r="AF240" s="365">
        <f t="shared" si="105"/>
        <v>3.2280000000000003E-2</v>
      </c>
      <c r="AG240" s="365">
        <f t="shared" si="105"/>
        <v>3.2280000000000003E-2</v>
      </c>
      <c r="AH240" s="365">
        <f t="shared" si="105"/>
        <v>3.2280000000000003E-2</v>
      </c>
    </row>
    <row r="241" spans="18:34" x14ac:dyDescent="0.2">
      <c r="R241" s="361"/>
      <c r="S241" s="367"/>
      <c r="T241" s="368" t="e">
        <f t="shared" ref="T241:AH241" si="106">+T236/(1+T240)^T237</f>
        <v>#VALUE!</v>
      </c>
      <c r="U241" s="368">
        <f t="shared" si="106"/>
        <v>0</v>
      </c>
      <c r="V241" s="368">
        <f t="shared" si="106"/>
        <v>0</v>
      </c>
      <c r="W241" s="368">
        <f t="shared" si="106"/>
        <v>0</v>
      </c>
      <c r="X241" s="368">
        <f t="shared" si="106"/>
        <v>0</v>
      </c>
      <c r="Y241" s="368">
        <f t="shared" si="106"/>
        <v>0</v>
      </c>
      <c r="Z241" s="368">
        <f t="shared" si="106"/>
        <v>0</v>
      </c>
      <c r="AA241" s="368">
        <f t="shared" si="106"/>
        <v>0</v>
      </c>
      <c r="AB241" s="368">
        <f t="shared" si="106"/>
        <v>0</v>
      </c>
      <c r="AC241" s="368">
        <f t="shared" si="106"/>
        <v>0</v>
      </c>
      <c r="AD241" s="368">
        <f t="shared" si="106"/>
        <v>0</v>
      </c>
      <c r="AE241" s="368">
        <f t="shared" si="106"/>
        <v>0</v>
      </c>
      <c r="AF241" s="368">
        <f t="shared" si="106"/>
        <v>0</v>
      </c>
      <c r="AG241" s="368">
        <f t="shared" si="106"/>
        <v>0</v>
      </c>
      <c r="AH241" s="368">
        <f t="shared" si="106"/>
        <v>0</v>
      </c>
    </row>
    <row r="242" spans="18:34" x14ac:dyDescent="0.2">
      <c r="R242" s="361"/>
      <c r="S242" s="367"/>
      <c r="T242" s="365"/>
      <c r="U242" s="365"/>
      <c r="V242" s="365"/>
      <c r="W242" s="365"/>
      <c r="X242" s="365"/>
      <c r="Y242" s="365"/>
      <c r="Z242" s="365"/>
      <c r="AA242" s="365"/>
      <c r="AB242" s="365"/>
      <c r="AC242" s="365"/>
      <c r="AD242" s="365"/>
      <c r="AE242" s="365"/>
      <c r="AF242" s="365"/>
      <c r="AG242" s="365"/>
      <c r="AH242" s="365"/>
    </row>
    <row r="243" spans="18:34" x14ac:dyDescent="0.2">
      <c r="R243" s="361" t="s">
        <v>650</v>
      </c>
      <c r="S243" s="374" t="e">
        <f>+SUM(T241:AH241)</f>
        <v>#VALUE!</v>
      </c>
      <c r="T243" s="365"/>
      <c r="U243" s="365"/>
      <c r="V243" s="365"/>
      <c r="W243" s="365"/>
      <c r="X243" s="365"/>
      <c r="Y243" s="365"/>
      <c r="Z243" s="365"/>
      <c r="AA243" s="365"/>
      <c r="AB243" s="365"/>
      <c r="AC243" s="365"/>
      <c r="AD243" s="365"/>
      <c r="AE243" s="365"/>
      <c r="AF243" s="365"/>
      <c r="AG243" s="365"/>
      <c r="AH243" s="365"/>
    </row>
    <row r="244" spans="18:34" x14ac:dyDescent="0.2">
      <c r="R244" s="361" t="s">
        <v>1331</v>
      </c>
      <c r="S244" s="368" t="e">
        <f>+SUMPRODUCT(T237:AH237,T241:AH241)/S243</f>
        <v>#VALUE!</v>
      </c>
      <c r="T244" s="361"/>
      <c r="U244" s="361"/>
      <c r="V244" s="361"/>
      <c r="W244" s="361"/>
      <c r="X244" s="361"/>
      <c r="Y244" s="361"/>
      <c r="Z244" s="361"/>
      <c r="AA244" s="361"/>
      <c r="AB244" s="361"/>
      <c r="AC244" s="361"/>
      <c r="AD244" s="361"/>
      <c r="AE244" s="361"/>
      <c r="AF244" s="361"/>
      <c r="AG244" s="361"/>
      <c r="AH244" s="361"/>
    </row>
    <row r="249" spans="18:34" ht="15.75" x14ac:dyDescent="0.25">
      <c r="S249" s="7" t="s">
        <v>103</v>
      </c>
      <c r="T249" s="427">
        <v>43117</v>
      </c>
    </row>
    <row r="250" spans="18:34" x14ac:dyDescent="0.2">
      <c r="S250" s="12" t="s">
        <v>105</v>
      </c>
      <c r="T250" s="13">
        <v>6.0999999999999999E-2</v>
      </c>
      <c r="U250" s="13"/>
    </row>
    <row r="251" spans="18:34" x14ac:dyDescent="0.2">
      <c r="S251" s="17">
        <v>43117</v>
      </c>
      <c r="T251" s="17">
        <v>43482</v>
      </c>
      <c r="U251" s="17">
        <v>43847</v>
      </c>
      <c r="V251" s="17">
        <v>44213</v>
      </c>
      <c r="W251" s="17">
        <v>44578</v>
      </c>
      <c r="X251" s="17">
        <v>44943</v>
      </c>
      <c r="Y251" s="17">
        <v>45308</v>
      </c>
      <c r="Z251" s="17">
        <v>45674</v>
      </c>
      <c r="AA251" s="17">
        <v>46039</v>
      </c>
      <c r="AB251" s="17">
        <v>46404</v>
      </c>
      <c r="AC251" s="17">
        <v>46769</v>
      </c>
      <c r="AD251" s="8"/>
      <c r="AE251" s="17"/>
      <c r="AF251" s="8"/>
      <c r="AG251" s="17"/>
      <c r="AH251" s="8"/>
    </row>
    <row r="252" spans="18:34" x14ac:dyDescent="0.2">
      <c r="R252" t="s">
        <v>1318</v>
      </c>
      <c r="S252" s="20"/>
      <c r="T252" s="21">
        <v>10000</v>
      </c>
      <c r="U252" s="21">
        <v>10000</v>
      </c>
      <c r="V252" s="21">
        <v>10000</v>
      </c>
      <c r="W252" s="21">
        <v>10000</v>
      </c>
      <c r="X252" s="21">
        <v>10000</v>
      </c>
      <c r="Y252" s="21">
        <v>10000</v>
      </c>
      <c r="Z252" s="21">
        <v>10000</v>
      </c>
      <c r="AA252" s="21">
        <v>10000</v>
      </c>
      <c r="AB252" s="21">
        <v>10000</v>
      </c>
      <c r="AC252" s="21">
        <v>10000</v>
      </c>
      <c r="AD252" s="21"/>
      <c r="AE252" s="21"/>
      <c r="AF252" s="21"/>
      <c r="AG252" s="21"/>
      <c r="AH252" s="21"/>
    </row>
    <row r="253" spans="18:34" x14ac:dyDescent="0.2">
      <c r="R253" t="s">
        <v>1320</v>
      </c>
      <c r="S253" s="21">
        <v>100000</v>
      </c>
      <c r="T253" s="23">
        <f t="shared" ref="T253:AC253" si="107">+S253-T252</f>
        <v>90000</v>
      </c>
      <c r="U253" s="23">
        <f t="shared" si="107"/>
        <v>80000</v>
      </c>
      <c r="V253" s="23">
        <f t="shared" si="107"/>
        <v>70000</v>
      </c>
      <c r="W253" s="23">
        <f t="shared" si="107"/>
        <v>60000</v>
      </c>
      <c r="X253" s="23">
        <f t="shared" si="107"/>
        <v>50000</v>
      </c>
      <c r="Y253" s="23">
        <f t="shared" si="107"/>
        <v>40000</v>
      </c>
      <c r="Z253" s="23">
        <f t="shared" si="107"/>
        <v>30000</v>
      </c>
      <c r="AA253" s="23">
        <f t="shared" si="107"/>
        <v>20000</v>
      </c>
      <c r="AB253" s="23">
        <f t="shared" si="107"/>
        <v>10000</v>
      </c>
      <c r="AC253" s="23">
        <f t="shared" si="107"/>
        <v>0</v>
      </c>
      <c r="AD253" s="23"/>
      <c r="AE253" s="23"/>
      <c r="AF253" s="23"/>
      <c r="AG253" s="23"/>
      <c r="AH253" s="23"/>
    </row>
    <row r="254" spans="18:34" x14ac:dyDescent="0.2">
      <c r="R254" t="s">
        <v>1321</v>
      </c>
      <c r="S254" s="20"/>
      <c r="T254" s="25">
        <f>$T$250*S253</f>
        <v>6100</v>
      </c>
      <c r="U254" s="25">
        <f>$T$250*T253</f>
        <v>5490</v>
      </c>
      <c r="V254" s="25">
        <f t="shared" ref="V254:AB254" si="108">$T$250*U253</f>
        <v>4880</v>
      </c>
      <c r="W254" s="25">
        <f t="shared" si="108"/>
        <v>4270</v>
      </c>
      <c r="X254" s="25">
        <f t="shared" si="108"/>
        <v>3660</v>
      </c>
      <c r="Y254" s="25">
        <f t="shared" si="108"/>
        <v>3050</v>
      </c>
      <c r="Z254" s="25">
        <f t="shared" si="108"/>
        <v>2440</v>
      </c>
      <c r="AA254" s="25">
        <f t="shared" si="108"/>
        <v>1830</v>
      </c>
      <c r="AB254" s="25">
        <f t="shared" si="108"/>
        <v>1220</v>
      </c>
      <c r="AC254" s="25">
        <f>$T$250*AB253</f>
        <v>610</v>
      </c>
      <c r="AD254" s="25"/>
      <c r="AE254" s="25"/>
      <c r="AF254" s="25"/>
      <c r="AG254" s="25"/>
      <c r="AH254" s="25"/>
    </row>
    <row r="255" spans="18:34" x14ac:dyDescent="0.2">
      <c r="R255" t="s">
        <v>1322</v>
      </c>
      <c r="S255" s="20"/>
      <c r="T255" s="25">
        <f>+T254+T252</f>
        <v>16100</v>
      </c>
      <c r="U255" s="25">
        <f t="shared" ref="U255:AC255" si="109">+U254+U252</f>
        <v>15490</v>
      </c>
      <c r="V255" s="25">
        <f t="shared" si="109"/>
        <v>14880</v>
      </c>
      <c r="W255" s="25">
        <f t="shared" si="109"/>
        <v>14270</v>
      </c>
      <c r="X255" s="25">
        <f t="shared" si="109"/>
        <v>13660</v>
      </c>
      <c r="Y255" s="25">
        <f t="shared" si="109"/>
        <v>13050</v>
      </c>
      <c r="Z255" s="25">
        <f t="shared" si="109"/>
        <v>12440</v>
      </c>
      <c r="AA255" s="25">
        <f t="shared" si="109"/>
        <v>11830</v>
      </c>
      <c r="AB255" s="25">
        <f t="shared" si="109"/>
        <v>11220</v>
      </c>
      <c r="AC255" s="25">
        <f t="shared" si="109"/>
        <v>10610</v>
      </c>
      <c r="AD255" s="25"/>
      <c r="AE255" s="25"/>
      <c r="AF255" s="25"/>
      <c r="AG255" s="25"/>
      <c r="AH255" s="25"/>
    </row>
    <row r="256" spans="18:34" x14ac:dyDescent="0.2">
      <c r="R256" t="s">
        <v>1323</v>
      </c>
      <c r="S256" s="21"/>
      <c r="T256" s="25">
        <f t="shared" ref="T256:AC256" si="110">+IF(T251&gt;$T$1,T255,0)</f>
        <v>0</v>
      </c>
      <c r="U256" s="25">
        <f t="shared" si="110"/>
        <v>0</v>
      </c>
      <c r="V256" s="25">
        <f t="shared" si="110"/>
        <v>0</v>
      </c>
      <c r="W256" s="25">
        <f t="shared" si="110"/>
        <v>0</v>
      </c>
      <c r="X256" s="25">
        <f t="shared" si="110"/>
        <v>0</v>
      </c>
      <c r="Y256" s="25">
        <f t="shared" si="110"/>
        <v>0</v>
      </c>
      <c r="Z256" s="25">
        <f t="shared" si="110"/>
        <v>0</v>
      </c>
      <c r="AA256" s="25">
        <f t="shared" si="110"/>
        <v>0</v>
      </c>
      <c r="AB256" s="25">
        <f t="shared" si="110"/>
        <v>11220</v>
      </c>
      <c r="AC256" s="25">
        <f t="shared" si="110"/>
        <v>10610</v>
      </c>
      <c r="AD256" s="25"/>
      <c r="AE256" s="25"/>
      <c r="AF256" s="25"/>
      <c r="AG256" s="25"/>
      <c r="AH256" s="25"/>
    </row>
    <row r="257" spans="18:35" x14ac:dyDescent="0.2">
      <c r="R257" t="s">
        <v>1324</v>
      </c>
      <c r="S257" s="27"/>
      <c r="T257">
        <f t="shared" ref="T257:AC257" si="111">+IF(S256=0,(T251-$T$1)/(T251-S251),S257+1)</f>
        <v>-7.1917808219178081</v>
      </c>
      <c r="U257">
        <f t="shared" si="111"/>
        <v>-6.1917808219178081</v>
      </c>
      <c r="V257">
        <f t="shared" si="111"/>
        <v>-5.1748633879781423</v>
      </c>
      <c r="W257">
        <f t="shared" si="111"/>
        <v>-4.1890410958904107</v>
      </c>
      <c r="X257">
        <f t="shared" si="111"/>
        <v>-3.1890410958904107</v>
      </c>
      <c r="Y257">
        <f t="shared" si="111"/>
        <v>-2.1890410958904107</v>
      </c>
      <c r="Z257">
        <f t="shared" si="111"/>
        <v>-1.1830601092896176</v>
      </c>
      <c r="AA257">
        <f t="shared" si="111"/>
        <v>-0.18630136986301371</v>
      </c>
      <c r="AB257">
        <f t="shared" si="111"/>
        <v>0.81369863013698629</v>
      </c>
      <c r="AC257">
        <f t="shared" si="111"/>
        <v>1.8136986301369862</v>
      </c>
    </row>
    <row r="258" spans="18:35" x14ac:dyDescent="0.2">
      <c r="R258" s="29" t="s">
        <v>1325</v>
      </c>
      <c r="S258" s="20"/>
      <c r="T258" s="68">
        <f t="shared" ref="T258:AC258" si="112">IF(T257&lt;1,interpoler(mat_court,taux_court_act,T257*(T251-S251)),interpoler(mat,taux,T257))</f>
        <v>2.3281430422376737E-2</v>
      </c>
      <c r="U258" s="68">
        <f t="shared" si="112"/>
        <v>2.3281430422376737E-2</v>
      </c>
      <c r="V258" s="68">
        <f t="shared" si="112"/>
        <v>2.3281430422376737E-2</v>
      </c>
      <c r="W258" s="68">
        <f t="shared" si="112"/>
        <v>2.3281430422376737E-2</v>
      </c>
      <c r="X258" s="68">
        <f t="shared" si="112"/>
        <v>2.3281430422376737E-2</v>
      </c>
      <c r="Y258" s="68">
        <f t="shared" si="112"/>
        <v>2.3281430422376737E-2</v>
      </c>
      <c r="Z258" s="68">
        <f t="shared" si="112"/>
        <v>2.3281430422376737E-2</v>
      </c>
      <c r="AA258" s="68">
        <f t="shared" si="112"/>
        <v>2.3281430422376737E-2</v>
      </c>
      <c r="AB258" s="68">
        <f t="shared" si="112"/>
        <v>2.4802758227840074E-2</v>
      </c>
      <c r="AC258" s="68">
        <f t="shared" si="112"/>
        <v>2.6411161835991528E-2</v>
      </c>
      <c r="AD258" s="68"/>
      <c r="AE258" s="68"/>
      <c r="AF258" s="68"/>
      <c r="AG258" s="68"/>
      <c r="AH258" s="68"/>
    </row>
    <row r="259" spans="18:35" x14ac:dyDescent="0.2">
      <c r="R259" t="s">
        <v>1328</v>
      </c>
      <c r="S259" s="20"/>
      <c r="T259" s="29">
        <v>8.9999999999999993E-3</v>
      </c>
      <c r="U259" s="29">
        <v>8.9999999999999993E-3</v>
      </c>
      <c r="V259" s="29">
        <v>8.9999999999999993E-3</v>
      </c>
      <c r="W259" s="29">
        <v>8.9999999999999993E-3</v>
      </c>
      <c r="X259" s="29">
        <v>8.9999999999999993E-3</v>
      </c>
      <c r="Y259" s="29">
        <v>8.9999999999999993E-3</v>
      </c>
      <c r="Z259" s="29">
        <v>8.9999999999999993E-3</v>
      </c>
      <c r="AA259" s="29">
        <v>8.9999999999999993E-3</v>
      </c>
      <c r="AB259" s="29">
        <v>8.9999999999999993E-3</v>
      </c>
      <c r="AC259" s="29">
        <v>8.9999999999999993E-3</v>
      </c>
      <c r="AD259" s="29"/>
      <c r="AE259" s="29"/>
      <c r="AF259" s="29"/>
      <c r="AG259" s="29"/>
      <c r="AH259" s="29"/>
    </row>
    <row r="260" spans="18:35" x14ac:dyDescent="0.2">
      <c r="R260" t="s">
        <v>1329</v>
      </c>
      <c r="S260" s="20"/>
      <c r="T260" s="13">
        <f t="shared" ref="T260:AC260" si="113">+ROUND(T258+T259,6)</f>
        <v>3.2280999999999997E-2</v>
      </c>
      <c r="U260" s="13">
        <f t="shared" si="113"/>
        <v>3.2280999999999997E-2</v>
      </c>
      <c r="V260" s="13">
        <f t="shared" si="113"/>
        <v>3.2280999999999997E-2</v>
      </c>
      <c r="W260" s="13">
        <f t="shared" si="113"/>
        <v>3.2280999999999997E-2</v>
      </c>
      <c r="X260" s="13">
        <f t="shared" si="113"/>
        <v>3.2280999999999997E-2</v>
      </c>
      <c r="Y260" s="13">
        <f t="shared" si="113"/>
        <v>3.2280999999999997E-2</v>
      </c>
      <c r="Z260" s="13">
        <f t="shared" si="113"/>
        <v>3.2280999999999997E-2</v>
      </c>
      <c r="AA260" s="13">
        <f t="shared" si="113"/>
        <v>3.2280999999999997E-2</v>
      </c>
      <c r="AB260" s="13">
        <f t="shared" si="113"/>
        <v>3.3803E-2</v>
      </c>
      <c r="AC260" s="13">
        <f t="shared" si="113"/>
        <v>3.5410999999999998E-2</v>
      </c>
      <c r="AD260" s="13"/>
      <c r="AE260" s="13"/>
      <c r="AF260" s="58"/>
      <c r="AG260" s="96"/>
      <c r="AH260" s="58"/>
    </row>
    <row r="261" spans="18:35" x14ac:dyDescent="0.2">
      <c r="S261" s="20"/>
      <c r="T261" s="21">
        <f t="shared" ref="T261:AC261" si="114">+T256/(1+T260)^T257</f>
        <v>0</v>
      </c>
      <c r="U261" s="21">
        <f t="shared" si="114"/>
        <v>0</v>
      </c>
      <c r="V261" s="21">
        <f t="shared" si="114"/>
        <v>0</v>
      </c>
      <c r="W261" s="21">
        <f t="shared" si="114"/>
        <v>0</v>
      </c>
      <c r="X261" s="21">
        <f t="shared" si="114"/>
        <v>0</v>
      </c>
      <c r="Y261" s="21">
        <f t="shared" si="114"/>
        <v>0</v>
      </c>
      <c r="Z261" s="21">
        <f t="shared" si="114"/>
        <v>0</v>
      </c>
      <c r="AA261" s="21">
        <f t="shared" si="114"/>
        <v>0</v>
      </c>
      <c r="AB261" s="21">
        <f t="shared" si="114"/>
        <v>10920.558471119397</v>
      </c>
      <c r="AC261" s="21">
        <f t="shared" si="114"/>
        <v>9961.0556279487992</v>
      </c>
      <c r="AD261" s="21"/>
      <c r="AE261" s="21"/>
      <c r="AF261" s="21"/>
      <c r="AG261" s="21"/>
      <c r="AH261" s="21"/>
    </row>
    <row r="262" spans="18:35" x14ac:dyDescent="0.2">
      <c r="S262" s="20"/>
      <c r="T262" s="23"/>
      <c r="U262" s="23"/>
      <c r="V262" s="23"/>
      <c r="W262" s="23"/>
      <c r="X262" s="23"/>
      <c r="Y262" s="23"/>
      <c r="Z262" s="23"/>
      <c r="AA262" s="23"/>
      <c r="AB262" s="23"/>
      <c r="AC262" s="23"/>
      <c r="AD262" s="23"/>
      <c r="AE262" s="23"/>
      <c r="AF262" s="23"/>
      <c r="AG262" s="23"/>
      <c r="AH262" s="23"/>
    </row>
    <row r="263" spans="18:35" x14ac:dyDescent="0.2">
      <c r="R263" t="s">
        <v>650</v>
      </c>
      <c r="S263" s="30">
        <f>+SUM(T261:AI261)</f>
        <v>20881.614099068196</v>
      </c>
      <c r="T263" s="1"/>
      <c r="U263" s="13"/>
      <c r="V263" s="13"/>
      <c r="W263" s="13"/>
      <c r="X263" s="13"/>
      <c r="Y263" s="13"/>
      <c r="Z263" s="13"/>
      <c r="AA263" s="13"/>
      <c r="AB263" s="13"/>
      <c r="AC263" s="13"/>
      <c r="AD263" s="13"/>
      <c r="AE263" s="58"/>
      <c r="AF263" s="13"/>
      <c r="AG263" s="13"/>
      <c r="AH263" s="13"/>
      <c r="AI263" s="13"/>
    </row>
    <row r="264" spans="18:35" x14ac:dyDescent="0.2">
      <c r="R264" t="s">
        <v>1331</v>
      </c>
      <c r="S264" s="21">
        <f>+SUMPRODUCT(T257:AH257,T261:AH261)/S263</f>
        <v>1.2907238055228916</v>
      </c>
      <c r="AF264" s="280"/>
    </row>
    <row r="266" spans="18:35" x14ac:dyDescent="0.2">
      <c r="U266" s="255">
        <f>S272/2</f>
        <v>50000</v>
      </c>
    </row>
    <row r="268" spans="18:35" ht="15.75" x14ac:dyDescent="0.25">
      <c r="R268" s="361">
        <v>100712</v>
      </c>
      <c r="S268" s="362" t="s">
        <v>103</v>
      </c>
      <c r="T268" s="363">
        <f>'Courbe des taux'!F1</f>
        <v>46107</v>
      </c>
      <c r="U268" s="361"/>
      <c r="V268" s="361"/>
      <c r="W268" s="361"/>
      <c r="X268" s="361"/>
      <c r="Y268" s="361"/>
      <c r="Z268" s="361"/>
      <c r="AA268" s="361"/>
      <c r="AB268" s="361"/>
      <c r="AC268" s="361"/>
      <c r="AD268" s="361"/>
      <c r="AE268" s="361"/>
      <c r="AF268" s="361"/>
      <c r="AG268" s="361"/>
      <c r="AH268" s="361"/>
    </row>
    <row r="269" spans="18:35" x14ac:dyDescent="0.2">
      <c r="R269" s="361"/>
      <c r="S269" s="364" t="s">
        <v>105</v>
      </c>
      <c r="T269" s="365">
        <v>2.9399999999999999E-2</v>
      </c>
      <c r="U269" s="365"/>
      <c r="V269" s="361"/>
      <c r="W269" s="361"/>
      <c r="X269" s="361"/>
      <c r="Y269" s="361"/>
      <c r="Z269" s="361"/>
      <c r="AA269" s="361"/>
      <c r="AB269" s="361"/>
      <c r="AC269" s="361"/>
      <c r="AD269" s="361"/>
      <c r="AE269" s="361"/>
      <c r="AF269" s="361"/>
      <c r="AG269" s="361"/>
      <c r="AH269" s="361"/>
    </row>
    <row r="270" spans="18:35" x14ac:dyDescent="0.2">
      <c r="R270" s="361"/>
      <c r="S270" s="366">
        <v>43161</v>
      </c>
      <c r="T270" s="366">
        <v>43526</v>
      </c>
      <c r="U270" s="366">
        <v>43892</v>
      </c>
      <c r="V270" s="366"/>
      <c r="W270" s="366"/>
      <c r="X270" s="366"/>
      <c r="Y270" s="366"/>
      <c r="Z270" s="366"/>
      <c r="AA270" s="366"/>
      <c r="AB270" s="366"/>
      <c r="AC270" s="366"/>
      <c r="AD270" s="366"/>
      <c r="AE270" s="366"/>
      <c r="AF270" s="366"/>
      <c r="AG270" s="366"/>
      <c r="AH270" s="366"/>
    </row>
    <row r="271" spans="18:35" x14ac:dyDescent="0.2">
      <c r="R271" s="361" t="s">
        <v>1318</v>
      </c>
      <c r="S271" s="367"/>
      <c r="T271" s="368">
        <v>50000</v>
      </c>
      <c r="U271" s="368">
        <v>50000</v>
      </c>
      <c r="V271" s="368"/>
      <c r="W271" s="368"/>
      <c r="X271" s="368"/>
      <c r="Y271" s="368"/>
      <c r="Z271" s="368"/>
      <c r="AA271" s="368"/>
      <c r="AB271" s="368"/>
      <c r="AC271" s="368"/>
      <c r="AD271" s="368"/>
      <c r="AE271" s="368"/>
      <c r="AF271" s="368"/>
      <c r="AG271" s="368"/>
      <c r="AH271" s="368"/>
    </row>
    <row r="272" spans="18:35" x14ac:dyDescent="0.2">
      <c r="R272" s="361" t="s">
        <v>1320</v>
      </c>
      <c r="S272" s="368">
        <v>100000</v>
      </c>
      <c r="T272" s="369">
        <f>+S272-T271</f>
        <v>50000</v>
      </c>
      <c r="U272" s="369">
        <f>+T272-U271</f>
        <v>0</v>
      </c>
      <c r="V272" s="369"/>
      <c r="W272" s="369"/>
      <c r="X272" s="369"/>
      <c r="Y272" s="369"/>
      <c r="Z272" s="369"/>
      <c r="AA272" s="369"/>
      <c r="AB272" s="369"/>
      <c r="AC272" s="369"/>
      <c r="AD272" s="369"/>
      <c r="AE272" s="369"/>
      <c r="AF272" s="369"/>
      <c r="AG272" s="369"/>
      <c r="AH272" s="369"/>
    </row>
    <row r="273" spans="18:34" x14ac:dyDescent="0.2">
      <c r="R273" s="361" t="s">
        <v>1321</v>
      </c>
      <c r="S273" s="367"/>
      <c r="T273" s="370">
        <f>+$T$269*S272</f>
        <v>2940</v>
      </c>
      <c r="U273" s="370">
        <f>+$T$269*T272</f>
        <v>1470</v>
      </c>
      <c r="V273" s="370"/>
      <c r="W273" s="370"/>
      <c r="X273" s="370"/>
      <c r="Y273" s="370"/>
      <c r="Z273" s="370"/>
      <c r="AA273" s="370"/>
      <c r="AB273" s="370"/>
      <c r="AC273" s="370"/>
      <c r="AD273" s="370"/>
      <c r="AE273" s="370"/>
      <c r="AF273" s="370"/>
      <c r="AG273" s="370"/>
      <c r="AH273" s="370"/>
    </row>
    <row r="274" spans="18:34" x14ac:dyDescent="0.2">
      <c r="R274" s="361" t="s">
        <v>1322</v>
      </c>
      <c r="S274" s="367"/>
      <c r="T274" s="370">
        <f>+T273+T271</f>
        <v>52940</v>
      </c>
      <c r="U274" s="370">
        <f>+U273+U271</f>
        <v>51470</v>
      </c>
      <c r="V274" s="370"/>
      <c r="W274" s="370"/>
      <c r="X274" s="370"/>
      <c r="Y274" s="370"/>
      <c r="Z274" s="370"/>
      <c r="AA274" s="370"/>
      <c r="AB274" s="370"/>
      <c r="AC274" s="370"/>
      <c r="AD274" s="370"/>
      <c r="AE274" s="370"/>
      <c r="AF274" s="370"/>
      <c r="AG274" s="370"/>
      <c r="AH274" s="370"/>
    </row>
    <row r="275" spans="18:34" x14ac:dyDescent="0.2">
      <c r="R275" s="361" t="s">
        <v>1323</v>
      </c>
      <c r="S275" s="368"/>
      <c r="T275" s="370">
        <f>+IF(T270&gt;$T$1,T274,0)</f>
        <v>0</v>
      </c>
      <c r="U275" s="370">
        <f>+IF(U270&gt;$T$1,U274,0)</f>
        <v>0</v>
      </c>
      <c r="V275" s="370"/>
      <c r="W275" s="370"/>
      <c r="X275" s="370"/>
      <c r="Y275" s="370"/>
      <c r="Z275" s="370"/>
      <c r="AA275" s="370"/>
      <c r="AB275" s="370"/>
      <c r="AC275" s="370"/>
      <c r="AD275" s="370"/>
      <c r="AE275" s="370"/>
      <c r="AF275" s="370"/>
      <c r="AG275" s="370"/>
      <c r="AH275" s="370"/>
    </row>
    <row r="276" spans="18:34" x14ac:dyDescent="0.2">
      <c r="R276" s="361" t="s">
        <v>1324</v>
      </c>
      <c r="S276" s="371"/>
      <c r="T276" s="361">
        <f>+IF(S275=0,(T270-$T$1)/(T270-S270),S276+1)</f>
        <v>-7.0712328767123287</v>
      </c>
      <c r="U276" s="361">
        <f>+IF(T275=0,(U270-$T$1)/(U270-T270),T276+1)</f>
        <v>-6.0519125683060109</v>
      </c>
      <c r="V276" s="361"/>
      <c r="W276" s="361"/>
      <c r="X276" s="361"/>
      <c r="Y276" s="361"/>
      <c r="Z276" s="361"/>
      <c r="AA276" s="361"/>
      <c r="AB276" s="361"/>
      <c r="AC276" s="361"/>
      <c r="AD276" s="361"/>
      <c r="AE276" s="361"/>
      <c r="AF276" s="361"/>
      <c r="AG276" s="361"/>
      <c r="AH276" s="361"/>
    </row>
    <row r="277" spans="18:34" x14ac:dyDescent="0.2">
      <c r="R277" s="372" t="s">
        <v>1325</v>
      </c>
      <c r="S277" s="367"/>
      <c r="T277" s="375">
        <f>IF(T276&lt;1,interpoler(mat_court,taux_court_act,T276*(T270-S270)),interpoler(mat,taux,T276))</f>
        <v>2.3281430422376737E-2</v>
      </c>
      <c r="U277" s="375">
        <f>IF(U276&lt;1,interpoler(mat_court,taux_court_act,U276*(U270-T270)),interpoler(mat,taux,U276))</f>
        <v>2.3281430422376737E-2</v>
      </c>
      <c r="V277" s="373"/>
      <c r="W277" s="373"/>
      <c r="X277" s="373"/>
      <c r="Y277" s="373"/>
      <c r="Z277" s="373"/>
      <c r="AA277" s="373"/>
      <c r="AB277" s="373"/>
      <c r="AC277" s="373"/>
      <c r="AD277" s="373"/>
      <c r="AE277" s="373"/>
      <c r="AF277" s="373"/>
      <c r="AG277" s="373"/>
      <c r="AH277" s="375"/>
    </row>
    <row r="278" spans="18:34" x14ac:dyDescent="0.2">
      <c r="R278" s="361" t="s">
        <v>1328</v>
      </c>
      <c r="S278" s="367"/>
      <c r="T278" s="372">
        <v>4.7999999999999996E-3</v>
      </c>
      <c r="U278" s="372">
        <f>T278</f>
        <v>4.7999999999999996E-3</v>
      </c>
      <c r="V278" s="372"/>
      <c r="W278" s="372"/>
      <c r="X278" s="372"/>
      <c r="Y278" s="372"/>
      <c r="Z278" s="372"/>
      <c r="AA278" s="372"/>
      <c r="AB278" s="372"/>
      <c r="AC278" s="372"/>
      <c r="AD278" s="372"/>
      <c r="AE278" s="372"/>
      <c r="AF278" s="372"/>
      <c r="AG278" s="372"/>
      <c r="AH278" s="372"/>
    </row>
    <row r="279" spans="18:34" x14ac:dyDescent="0.2">
      <c r="R279" s="361" t="s">
        <v>1329</v>
      </c>
      <c r="S279" s="367"/>
      <c r="T279" s="429">
        <f>+ROUND(T277+T278,5)</f>
        <v>2.8080000000000001E-2</v>
      </c>
      <c r="U279" s="429">
        <f>+ROUND(U277+U278,5)</f>
        <v>2.8080000000000001E-2</v>
      </c>
      <c r="V279" s="365"/>
      <c r="W279" s="365"/>
      <c r="X279" s="365"/>
      <c r="Y279" s="365"/>
      <c r="Z279" s="365"/>
      <c r="AA279" s="365"/>
      <c r="AB279" s="365"/>
      <c r="AC279" s="365"/>
      <c r="AD279" s="365"/>
      <c r="AE279" s="365"/>
      <c r="AF279" s="365"/>
      <c r="AG279" s="365"/>
      <c r="AH279" s="365"/>
    </row>
    <row r="280" spans="18:34" x14ac:dyDescent="0.2">
      <c r="R280" s="361"/>
      <c r="S280" s="367"/>
      <c r="T280" s="430">
        <f>+T275/(1+T279)^T276</f>
        <v>0</v>
      </c>
      <c r="U280" s="430">
        <f>+U275/(1+U279)^U276</f>
        <v>0</v>
      </c>
      <c r="V280" s="368"/>
      <c r="W280" s="368"/>
      <c r="X280" s="368"/>
      <c r="Y280" s="368"/>
      <c r="Z280" s="368"/>
      <c r="AA280" s="368"/>
      <c r="AB280" s="368"/>
      <c r="AC280" s="368"/>
      <c r="AD280" s="368"/>
      <c r="AE280" s="368"/>
      <c r="AF280" s="368"/>
      <c r="AG280" s="368"/>
      <c r="AH280" s="368"/>
    </row>
    <row r="281" spans="18:34" x14ac:dyDescent="0.2">
      <c r="R281" s="361"/>
      <c r="S281" s="367"/>
      <c r="T281" s="365"/>
      <c r="U281" s="365"/>
      <c r="V281" s="365"/>
      <c r="W281" s="365"/>
      <c r="X281" s="365"/>
      <c r="Y281" s="365"/>
      <c r="Z281" s="365"/>
      <c r="AA281" s="365"/>
      <c r="AB281" s="365"/>
      <c r="AC281" s="365"/>
      <c r="AD281" s="365"/>
      <c r="AE281" s="365"/>
      <c r="AF281" s="365"/>
      <c r="AG281" s="365"/>
      <c r="AH281" s="365"/>
    </row>
    <row r="282" spans="18:34" x14ac:dyDescent="0.2">
      <c r="R282" s="361" t="s">
        <v>650</v>
      </c>
      <c r="S282" s="374">
        <f>+SUM(T280:U280)</f>
        <v>0</v>
      </c>
      <c r="T282" s="365"/>
      <c r="U282" s="365"/>
      <c r="V282" s="365"/>
      <c r="W282" s="365"/>
      <c r="X282" s="365"/>
      <c r="Y282" s="365"/>
      <c r="Z282" s="365"/>
      <c r="AA282" s="365"/>
      <c r="AB282" s="365"/>
      <c r="AC282" s="365"/>
      <c r="AD282" s="365"/>
      <c r="AE282" s="365"/>
      <c r="AF282" s="365"/>
      <c r="AG282" s="365"/>
      <c r="AH282" s="365"/>
    </row>
    <row r="283" spans="18:34" x14ac:dyDescent="0.2">
      <c r="R283" s="361" t="s">
        <v>1331</v>
      </c>
      <c r="S283" s="368" t="e">
        <f>+SUMPRODUCT(T276:U276,T280:U280)/S282</f>
        <v>#DIV/0!</v>
      </c>
      <c r="T283" s="361"/>
      <c r="U283" s="361"/>
      <c r="V283" s="361"/>
      <c r="W283" s="361"/>
      <c r="X283" s="361"/>
      <c r="Y283" s="361"/>
      <c r="Z283" s="361"/>
      <c r="AA283" s="361"/>
      <c r="AB283" s="361"/>
      <c r="AC283" s="361"/>
      <c r="AD283" s="361"/>
      <c r="AE283" s="361"/>
      <c r="AF283" s="361"/>
      <c r="AG283" s="361"/>
      <c r="AH283" s="361"/>
    </row>
    <row r="287" spans="18:34" x14ac:dyDescent="0.2">
      <c r="R287" s="437" t="s">
        <v>775</v>
      </c>
      <c r="S287" s="437">
        <v>2103</v>
      </c>
      <c r="T287" s="424" t="s">
        <v>2272</v>
      </c>
      <c r="AF287" s="280"/>
      <c r="AH287" s="424"/>
    </row>
    <row r="288" spans="18:34" ht="15.75" x14ac:dyDescent="0.25">
      <c r="R288" s="361"/>
      <c r="S288" s="362" t="s">
        <v>103</v>
      </c>
      <c r="T288" s="363">
        <f>+T268</f>
        <v>46107</v>
      </c>
      <c r="U288" s="361"/>
      <c r="V288" s="361"/>
      <c r="W288" s="361"/>
      <c r="X288" s="361"/>
      <c r="Y288" s="361"/>
      <c r="Z288" s="361"/>
      <c r="AA288" s="361"/>
      <c r="AB288" s="361"/>
      <c r="AC288" s="361"/>
      <c r="AD288" s="361"/>
      <c r="AE288" s="361"/>
      <c r="AF288" s="361"/>
      <c r="AG288" s="361"/>
      <c r="AH288" s="438"/>
    </row>
    <row r="289" spans="18:34" x14ac:dyDescent="0.2">
      <c r="R289" s="361"/>
      <c r="S289" s="364" t="s">
        <v>105</v>
      </c>
      <c r="T289" s="365">
        <v>7.3400000000000007E-2</v>
      </c>
      <c r="U289" s="365">
        <v>6.9500000000000006E-2</v>
      </c>
      <c r="V289" s="361"/>
      <c r="W289" s="361"/>
      <c r="X289" s="361"/>
      <c r="Y289" s="361"/>
      <c r="Z289" s="361"/>
      <c r="AA289" s="361"/>
      <c r="AB289" s="361"/>
      <c r="AC289" s="361"/>
      <c r="AD289" s="361"/>
      <c r="AE289" s="361"/>
      <c r="AF289" s="361"/>
      <c r="AG289" s="361"/>
      <c r="AH289" s="361"/>
    </row>
    <row r="290" spans="18:34" x14ac:dyDescent="0.2">
      <c r="R290" s="361"/>
      <c r="S290" s="366">
        <v>38061</v>
      </c>
      <c r="T290" s="363">
        <v>38426</v>
      </c>
      <c r="U290" s="366">
        <v>38791</v>
      </c>
      <c r="V290" s="363">
        <v>39156</v>
      </c>
      <c r="W290" s="366">
        <v>39522</v>
      </c>
      <c r="X290" s="363">
        <v>39887</v>
      </c>
      <c r="Y290" s="366">
        <v>40252</v>
      </c>
      <c r="Z290" s="363">
        <v>40617</v>
      </c>
      <c r="AA290" s="366">
        <v>40983</v>
      </c>
      <c r="AB290" s="363">
        <v>41348</v>
      </c>
      <c r="AC290" s="366">
        <v>41713</v>
      </c>
      <c r="AD290" s="363">
        <v>42078</v>
      </c>
      <c r="AE290" s="366">
        <v>42444</v>
      </c>
      <c r="AF290" s="363">
        <v>42809</v>
      </c>
      <c r="AG290" s="366">
        <v>43174</v>
      </c>
      <c r="AH290" s="363">
        <v>43539</v>
      </c>
    </row>
    <row r="291" spans="18:34" ht="15" x14ac:dyDescent="0.3">
      <c r="R291" s="361" t="s">
        <v>1318</v>
      </c>
      <c r="S291" s="367"/>
      <c r="T291" s="443">
        <v>2000</v>
      </c>
      <c r="U291" s="443">
        <v>7600</v>
      </c>
      <c r="V291" s="443">
        <v>2151</v>
      </c>
      <c r="W291" s="443">
        <v>1709.090909090909</v>
      </c>
      <c r="X291" s="443">
        <v>2727.2727272727275</v>
      </c>
      <c r="Y291" s="443">
        <v>3745.4545454545455</v>
      </c>
      <c r="Z291" s="443">
        <v>3563.6363636363635</v>
      </c>
      <c r="AA291" s="443">
        <v>4090.909090909091</v>
      </c>
      <c r="AB291" s="444">
        <v>4400</v>
      </c>
      <c r="AC291" s="443">
        <v>4927.272727272727</v>
      </c>
      <c r="AD291" s="443">
        <v>4290.909090909091</v>
      </c>
      <c r="AE291" s="443">
        <v>4654.545454545455</v>
      </c>
      <c r="AF291" s="443">
        <v>4545.454545454545</v>
      </c>
      <c r="AG291" s="443">
        <v>5309.090909090909</v>
      </c>
      <c r="AH291" s="443">
        <v>44285.36363636364</v>
      </c>
    </row>
    <row r="292" spans="18:34" x14ac:dyDescent="0.2">
      <c r="R292" s="361" t="s">
        <v>1320</v>
      </c>
      <c r="S292" s="368">
        <v>100000</v>
      </c>
      <c r="T292" s="369">
        <f>+S292-T291</f>
        <v>98000</v>
      </c>
      <c r="U292" s="369">
        <f t="shared" ref="U292:AH292" si="115">+T292-U291</f>
        <v>90400</v>
      </c>
      <c r="V292" s="369">
        <f t="shared" si="115"/>
        <v>88249</v>
      </c>
      <c r="W292" s="369">
        <f t="shared" si="115"/>
        <v>86539.909090909088</v>
      </c>
      <c r="X292" s="369">
        <f t="shared" si="115"/>
        <v>83812.636363636368</v>
      </c>
      <c r="Y292" s="369">
        <f t="shared" si="115"/>
        <v>80067.181818181823</v>
      </c>
      <c r="Z292" s="369">
        <f t="shared" si="115"/>
        <v>76503.545454545456</v>
      </c>
      <c r="AA292" s="369">
        <f t="shared" si="115"/>
        <v>72412.636363636368</v>
      </c>
      <c r="AB292" s="369">
        <f t="shared" si="115"/>
        <v>68012.636363636368</v>
      </c>
      <c r="AC292" s="369">
        <f t="shared" si="115"/>
        <v>63085.36363636364</v>
      </c>
      <c r="AD292" s="369">
        <f t="shared" si="115"/>
        <v>58794.454545454551</v>
      </c>
      <c r="AE292" s="369">
        <f t="shared" si="115"/>
        <v>54139.909090909096</v>
      </c>
      <c r="AF292" s="369">
        <f t="shared" si="115"/>
        <v>49594.454545454551</v>
      </c>
      <c r="AG292" s="369">
        <f t="shared" si="115"/>
        <v>44285.36363636364</v>
      </c>
      <c r="AH292" s="369">
        <f t="shared" si="115"/>
        <v>0</v>
      </c>
    </row>
    <row r="293" spans="18:34" x14ac:dyDescent="0.2">
      <c r="R293" s="361" t="s">
        <v>1321</v>
      </c>
      <c r="S293" s="367"/>
      <c r="T293" s="370">
        <f>+$T$289*S292</f>
        <v>7340.0000000000009</v>
      </c>
      <c r="U293" s="370">
        <f>+$T$289*T292</f>
        <v>7193.2000000000007</v>
      </c>
      <c r="V293" s="370">
        <f t="shared" ref="V293:AG293" si="116">+$T$289*U292</f>
        <v>6635.3600000000006</v>
      </c>
      <c r="W293" s="370">
        <f t="shared" si="116"/>
        <v>6477.4766000000009</v>
      </c>
      <c r="X293" s="370">
        <f t="shared" si="116"/>
        <v>6352.0293272727276</v>
      </c>
      <c r="Y293" s="370">
        <f t="shared" si="116"/>
        <v>6151.8475090909096</v>
      </c>
      <c r="Z293" s="370">
        <f t="shared" si="116"/>
        <v>5876.9311454545468</v>
      </c>
      <c r="AA293" s="370">
        <f t="shared" si="116"/>
        <v>5615.3602363636373</v>
      </c>
      <c r="AB293" s="370">
        <f t="shared" si="116"/>
        <v>5315.0875090909103</v>
      </c>
      <c r="AC293" s="370">
        <f t="shared" si="116"/>
        <v>4992.1275090909103</v>
      </c>
      <c r="AD293" s="370">
        <f t="shared" si="116"/>
        <v>4630.4656909090918</v>
      </c>
      <c r="AE293" s="370">
        <f t="shared" si="116"/>
        <v>4315.5129636363645</v>
      </c>
      <c r="AF293" s="370">
        <f t="shared" si="116"/>
        <v>3973.8693272727278</v>
      </c>
      <c r="AG293" s="370">
        <f t="shared" si="116"/>
        <v>3640.2329636363643</v>
      </c>
      <c r="AH293" s="370">
        <f>+$T$289*AG292</f>
        <v>3250.5456909090913</v>
      </c>
    </row>
    <row r="294" spans="18:34" x14ac:dyDescent="0.2">
      <c r="R294" s="361" t="s">
        <v>1322</v>
      </c>
      <c r="S294" s="367"/>
      <c r="T294" s="370">
        <f>+T293+T291</f>
        <v>9340</v>
      </c>
      <c r="U294" s="370">
        <f t="shared" ref="U294:AF294" si="117">+U293+U291</f>
        <v>14793.2</v>
      </c>
      <c r="V294" s="370">
        <f t="shared" si="117"/>
        <v>8786.36</v>
      </c>
      <c r="W294" s="370">
        <f t="shared" si="117"/>
        <v>8186.5675090909099</v>
      </c>
      <c r="X294" s="370">
        <f t="shared" si="117"/>
        <v>9079.3020545454547</v>
      </c>
      <c r="Y294" s="370">
        <f t="shared" si="117"/>
        <v>9897.3020545454547</v>
      </c>
      <c r="Z294" s="370">
        <f t="shared" si="117"/>
        <v>9440.5675090909099</v>
      </c>
      <c r="AA294" s="370">
        <f t="shared" si="117"/>
        <v>9706.2693272727283</v>
      </c>
      <c r="AB294" s="370">
        <f t="shared" si="117"/>
        <v>9715.0875090909103</v>
      </c>
      <c r="AC294" s="370">
        <f t="shared" si="117"/>
        <v>9919.4002363636373</v>
      </c>
      <c r="AD294" s="370">
        <f t="shared" si="117"/>
        <v>8921.3747818181837</v>
      </c>
      <c r="AE294" s="370">
        <f t="shared" si="117"/>
        <v>8970.0584181818194</v>
      </c>
      <c r="AF294" s="370">
        <f t="shared" si="117"/>
        <v>8519.3238727272728</v>
      </c>
      <c r="AG294" s="370">
        <f>+AG293+AG291</f>
        <v>8949.3238727272728</v>
      </c>
      <c r="AH294" s="370">
        <f>+AH293+AH291</f>
        <v>47535.909327272733</v>
      </c>
    </row>
    <row r="295" spans="18:34" x14ac:dyDescent="0.2">
      <c r="R295" s="361" t="s">
        <v>1323</v>
      </c>
      <c r="S295" s="368"/>
      <c r="T295" s="370">
        <f t="shared" ref="T295:AH295" si="118">+IF(T290&gt;$T$1,T294,0)</f>
        <v>0</v>
      </c>
      <c r="U295" s="370">
        <f t="shared" si="118"/>
        <v>0</v>
      </c>
      <c r="V295" s="370">
        <f t="shared" si="118"/>
        <v>0</v>
      </c>
      <c r="W295" s="370">
        <f t="shared" si="118"/>
        <v>0</v>
      </c>
      <c r="X295" s="370">
        <f t="shared" si="118"/>
        <v>0</v>
      </c>
      <c r="Y295" s="370">
        <f t="shared" si="118"/>
        <v>0</v>
      </c>
      <c r="Z295" s="370">
        <f t="shared" si="118"/>
        <v>0</v>
      </c>
      <c r="AA295" s="370">
        <f t="shared" si="118"/>
        <v>0</v>
      </c>
      <c r="AB295" s="370">
        <f t="shared" si="118"/>
        <v>0</v>
      </c>
      <c r="AC295" s="370">
        <f t="shared" si="118"/>
        <v>0</v>
      </c>
      <c r="AD295" s="370">
        <f t="shared" si="118"/>
        <v>0</v>
      </c>
      <c r="AE295" s="370">
        <f t="shared" si="118"/>
        <v>0</v>
      </c>
      <c r="AF295" s="370">
        <f t="shared" si="118"/>
        <v>0</v>
      </c>
      <c r="AG295" s="370">
        <f t="shared" si="118"/>
        <v>0</v>
      </c>
      <c r="AH295" s="370">
        <f t="shared" si="118"/>
        <v>0</v>
      </c>
    </row>
    <row r="296" spans="18:34" x14ac:dyDescent="0.2">
      <c r="R296" s="361" t="s">
        <v>1324</v>
      </c>
      <c r="S296" s="371"/>
      <c r="T296" s="361">
        <f t="shared" ref="T296:AH296" si="119">+IF(S295=0,(T290-$T$1)/(T290-S290),S296+1)</f>
        <v>-21.043835616438358</v>
      </c>
      <c r="U296" s="361">
        <f t="shared" si="119"/>
        <v>-20.043835616438358</v>
      </c>
      <c r="V296" s="361">
        <f t="shared" si="119"/>
        <v>-19.043835616438358</v>
      </c>
      <c r="W296" s="361">
        <f t="shared" si="119"/>
        <v>-17.991803278688526</v>
      </c>
      <c r="X296" s="361">
        <f t="shared" si="119"/>
        <v>-17.041095890410958</v>
      </c>
      <c r="Y296" s="361">
        <f t="shared" si="119"/>
        <v>-16.041095890410958</v>
      </c>
      <c r="Z296" s="361">
        <f t="shared" si="119"/>
        <v>-15.04109589041096</v>
      </c>
      <c r="AA296" s="361">
        <f t="shared" si="119"/>
        <v>-14</v>
      </c>
      <c r="AB296" s="361">
        <f t="shared" si="119"/>
        <v>-13.038356164383561</v>
      </c>
      <c r="AC296" s="361">
        <f t="shared" si="119"/>
        <v>-12.038356164383561</v>
      </c>
      <c r="AD296" s="361">
        <f t="shared" si="119"/>
        <v>-11.038356164383561</v>
      </c>
      <c r="AE296" s="361">
        <f t="shared" si="119"/>
        <v>-10.008196721311476</v>
      </c>
      <c r="AF296" s="361">
        <f t="shared" si="119"/>
        <v>-9.0356164383561648</v>
      </c>
      <c r="AG296" s="361">
        <f t="shared" si="119"/>
        <v>-8.0356164383561648</v>
      </c>
      <c r="AH296" s="361">
        <f t="shared" si="119"/>
        <v>-7.0356164383561648</v>
      </c>
    </row>
    <row r="297" spans="18:34" x14ac:dyDescent="0.2">
      <c r="R297" s="372" t="s">
        <v>1325</v>
      </c>
      <c r="S297" s="367"/>
      <c r="T297" s="373">
        <f t="shared" ref="T297:AH297" si="120">IF(T296&lt;1,interpoler(mat_court,taux_court_act,T296*(T290-S290)),interpoler(mat,taux,T296))</f>
        <v>2.3281430422376737E-2</v>
      </c>
      <c r="U297" s="373">
        <f t="shared" si="120"/>
        <v>2.3281430422376737E-2</v>
      </c>
      <c r="V297" s="373">
        <f t="shared" si="120"/>
        <v>2.3281430422376737E-2</v>
      </c>
      <c r="W297" s="373">
        <f t="shared" si="120"/>
        <v>2.3281430422376737E-2</v>
      </c>
      <c r="X297" s="373">
        <f t="shared" si="120"/>
        <v>2.3281430422376737E-2</v>
      </c>
      <c r="Y297" s="373">
        <f t="shared" si="120"/>
        <v>2.3281430422376737E-2</v>
      </c>
      <c r="Z297" s="373">
        <f t="shared" si="120"/>
        <v>2.3281430422376737E-2</v>
      </c>
      <c r="AA297" s="373">
        <f t="shared" si="120"/>
        <v>2.3281430422376737E-2</v>
      </c>
      <c r="AB297" s="373">
        <f t="shared" si="120"/>
        <v>2.3281430422376737E-2</v>
      </c>
      <c r="AC297" s="373">
        <f t="shared" si="120"/>
        <v>2.3281430422376737E-2</v>
      </c>
      <c r="AD297" s="373">
        <f t="shared" si="120"/>
        <v>2.3281430422376737E-2</v>
      </c>
      <c r="AE297" s="373">
        <f t="shared" si="120"/>
        <v>2.3281430422376737E-2</v>
      </c>
      <c r="AF297" s="373">
        <f t="shared" si="120"/>
        <v>2.3281430422376737E-2</v>
      </c>
      <c r="AG297" s="373">
        <f t="shared" si="120"/>
        <v>2.3281430422376737E-2</v>
      </c>
      <c r="AH297" s="439">
        <f t="shared" si="120"/>
        <v>2.3281430422376737E-2</v>
      </c>
    </row>
    <row r="298" spans="18:34" x14ac:dyDescent="0.2">
      <c r="R298" s="361" t="s">
        <v>1328</v>
      </c>
      <c r="S298" s="367"/>
      <c r="T298" s="372">
        <v>2.4E-2</v>
      </c>
      <c r="U298" s="372">
        <f t="shared" ref="U298:AG298" si="121">+T298</f>
        <v>2.4E-2</v>
      </c>
      <c r="V298" s="372">
        <f t="shared" si="121"/>
        <v>2.4E-2</v>
      </c>
      <c r="W298" s="372">
        <f t="shared" si="121"/>
        <v>2.4E-2</v>
      </c>
      <c r="X298" s="372">
        <f t="shared" si="121"/>
        <v>2.4E-2</v>
      </c>
      <c r="Y298" s="372">
        <f t="shared" si="121"/>
        <v>2.4E-2</v>
      </c>
      <c r="Z298" s="372">
        <f t="shared" si="121"/>
        <v>2.4E-2</v>
      </c>
      <c r="AA298" s="372">
        <f t="shared" si="121"/>
        <v>2.4E-2</v>
      </c>
      <c r="AB298" s="372">
        <f t="shared" si="121"/>
        <v>2.4E-2</v>
      </c>
      <c r="AC298" s="372">
        <f t="shared" si="121"/>
        <v>2.4E-2</v>
      </c>
      <c r="AD298" s="372">
        <f t="shared" si="121"/>
        <v>2.4E-2</v>
      </c>
      <c r="AE298" s="372">
        <f t="shared" si="121"/>
        <v>2.4E-2</v>
      </c>
      <c r="AF298" s="372">
        <f t="shared" si="121"/>
        <v>2.4E-2</v>
      </c>
      <c r="AG298" s="372">
        <f t="shared" si="121"/>
        <v>2.4E-2</v>
      </c>
      <c r="AH298" s="440">
        <v>2.4E-2</v>
      </c>
    </row>
    <row r="299" spans="18:34" x14ac:dyDescent="0.2">
      <c r="R299" s="361" t="s">
        <v>1329</v>
      </c>
      <c r="S299" s="367"/>
      <c r="T299" s="365">
        <f t="shared" ref="T299:AF299" si="122">+ROUND(T297+T298,6)</f>
        <v>4.7280999999999997E-2</v>
      </c>
      <c r="U299" s="365">
        <f t="shared" si="122"/>
        <v>4.7280999999999997E-2</v>
      </c>
      <c r="V299" s="365">
        <f t="shared" si="122"/>
        <v>4.7280999999999997E-2</v>
      </c>
      <c r="W299" s="365">
        <f t="shared" si="122"/>
        <v>4.7280999999999997E-2</v>
      </c>
      <c r="X299" s="365">
        <f t="shared" si="122"/>
        <v>4.7280999999999997E-2</v>
      </c>
      <c r="Y299" s="365">
        <f t="shared" si="122"/>
        <v>4.7280999999999997E-2</v>
      </c>
      <c r="Z299" s="365">
        <f t="shared" si="122"/>
        <v>4.7280999999999997E-2</v>
      </c>
      <c r="AA299" s="365">
        <f t="shared" si="122"/>
        <v>4.7280999999999997E-2</v>
      </c>
      <c r="AB299" s="365">
        <f t="shared" si="122"/>
        <v>4.7280999999999997E-2</v>
      </c>
      <c r="AC299" s="365">
        <f t="shared" si="122"/>
        <v>4.7280999999999997E-2</v>
      </c>
      <c r="AD299" s="365">
        <f t="shared" si="122"/>
        <v>4.7280999999999997E-2</v>
      </c>
      <c r="AE299" s="365">
        <f t="shared" si="122"/>
        <v>4.7280999999999997E-2</v>
      </c>
      <c r="AF299" s="365">
        <f t="shared" si="122"/>
        <v>4.7280999999999997E-2</v>
      </c>
      <c r="AG299" s="365">
        <f>+ROUND(AG297+AG298,5)</f>
        <v>4.7280000000000003E-2</v>
      </c>
      <c r="AH299" s="440">
        <f>+ROUND(AH297+AH298,5)</f>
        <v>4.7280000000000003E-2</v>
      </c>
    </row>
    <row r="300" spans="18:34" x14ac:dyDescent="0.2">
      <c r="R300" s="361"/>
      <c r="S300" s="367"/>
      <c r="T300" s="368">
        <f t="shared" ref="T300:AH300" si="123">+T295/(1+T299)^T296</f>
        <v>0</v>
      </c>
      <c r="U300" s="368">
        <f t="shared" si="123"/>
        <v>0</v>
      </c>
      <c r="V300" s="368">
        <f t="shared" si="123"/>
        <v>0</v>
      </c>
      <c r="W300" s="368">
        <f t="shared" si="123"/>
        <v>0</v>
      </c>
      <c r="X300" s="368">
        <f t="shared" si="123"/>
        <v>0</v>
      </c>
      <c r="Y300" s="368">
        <f t="shared" si="123"/>
        <v>0</v>
      </c>
      <c r="Z300" s="368">
        <f t="shared" si="123"/>
        <v>0</v>
      </c>
      <c r="AA300" s="368">
        <f t="shared" si="123"/>
        <v>0</v>
      </c>
      <c r="AB300" s="368">
        <f t="shared" si="123"/>
        <v>0</v>
      </c>
      <c r="AC300" s="368">
        <f t="shared" si="123"/>
        <v>0</v>
      </c>
      <c r="AD300" s="368">
        <f t="shared" si="123"/>
        <v>0</v>
      </c>
      <c r="AE300" s="368">
        <f t="shared" si="123"/>
        <v>0</v>
      </c>
      <c r="AF300" s="368">
        <f t="shared" si="123"/>
        <v>0</v>
      </c>
      <c r="AG300" s="368">
        <f t="shared" si="123"/>
        <v>0</v>
      </c>
      <c r="AH300" s="368">
        <f t="shared" si="123"/>
        <v>0</v>
      </c>
    </row>
    <row r="301" spans="18:34" x14ac:dyDescent="0.2">
      <c r="R301" s="361"/>
      <c r="S301" s="367"/>
      <c r="T301" s="365"/>
      <c r="U301" s="365"/>
      <c r="V301" s="365"/>
      <c r="W301" s="365"/>
      <c r="X301" s="441"/>
      <c r="Y301" s="365"/>
      <c r="Z301" s="365"/>
      <c r="AA301" s="365"/>
      <c r="AB301" s="365"/>
      <c r="AC301" s="365"/>
      <c r="AD301" s="365"/>
      <c r="AE301" s="365"/>
      <c r="AF301" s="365"/>
      <c r="AG301" s="365"/>
      <c r="AH301" s="365"/>
    </row>
    <row r="302" spans="18:34" x14ac:dyDescent="0.2">
      <c r="R302" s="436" t="s">
        <v>650</v>
      </c>
      <c r="S302" s="445">
        <f>+SUM(T300:AH300)</f>
        <v>0</v>
      </c>
      <c r="T302" s="365"/>
      <c r="U302" s="365"/>
      <c r="V302" s="365"/>
      <c r="W302" s="365"/>
      <c r="X302" s="365"/>
      <c r="Y302" s="365"/>
      <c r="Z302" s="365"/>
      <c r="AA302" s="365"/>
      <c r="AB302" s="365"/>
      <c r="AC302" s="365"/>
      <c r="AD302" s="365"/>
      <c r="AE302" s="365"/>
      <c r="AF302" s="365"/>
      <c r="AG302" s="365"/>
      <c r="AH302" s="365"/>
    </row>
    <row r="303" spans="18:34" x14ac:dyDescent="0.2">
      <c r="R303" s="436" t="s">
        <v>1331</v>
      </c>
      <c r="S303" s="446" t="e">
        <f>+SUMPRODUCT(T296:AH296,T300:AH300)/S302</f>
        <v>#DIV/0!</v>
      </c>
      <c r="T303" s="361"/>
      <c r="U303" s="361"/>
      <c r="V303" s="361"/>
      <c r="W303" s="361"/>
      <c r="X303" s="361"/>
      <c r="Y303" s="361"/>
      <c r="Z303" s="361"/>
      <c r="AA303" s="361"/>
      <c r="AB303" s="361"/>
      <c r="AC303" s="361"/>
      <c r="AD303" s="361"/>
      <c r="AE303" s="361"/>
      <c r="AF303" s="361"/>
      <c r="AG303" s="442"/>
      <c r="AH303" s="361"/>
    </row>
    <row r="306" spans="18:34" x14ac:dyDescent="0.2">
      <c r="R306" s="437" t="s">
        <v>2286</v>
      </c>
      <c r="S306" s="437">
        <v>100651</v>
      </c>
      <c r="T306" s="424"/>
      <c r="AF306" s="280"/>
      <c r="AH306" s="424"/>
    </row>
    <row r="307" spans="18:34" ht="15.75" x14ac:dyDescent="0.25">
      <c r="R307" s="361"/>
      <c r="S307" s="362" t="s">
        <v>103</v>
      </c>
      <c r="T307" s="363">
        <f>+T268</f>
        <v>46107</v>
      </c>
      <c r="U307" s="361"/>
      <c r="V307" s="361"/>
      <c r="W307" s="361"/>
      <c r="X307" s="361"/>
      <c r="Y307" s="361"/>
      <c r="Z307" s="361"/>
      <c r="AA307" s="361"/>
      <c r="AB307" s="361"/>
      <c r="AC307" s="361"/>
      <c r="AD307" s="361"/>
      <c r="AE307" s="361"/>
      <c r="AF307" s="361"/>
      <c r="AG307" s="361"/>
      <c r="AH307" s="438"/>
    </row>
    <row r="308" spans="18:34" x14ac:dyDescent="0.2">
      <c r="R308" s="361"/>
      <c r="S308" s="364" t="s">
        <v>105</v>
      </c>
      <c r="T308" s="365">
        <v>3.7199999999999997E-2</v>
      </c>
      <c r="U308" s="365">
        <v>6.9500000000000006E-2</v>
      </c>
      <c r="V308" s="361"/>
      <c r="W308" s="361"/>
      <c r="X308" s="361"/>
      <c r="Y308" s="361"/>
      <c r="Z308" s="361"/>
      <c r="AA308" s="361"/>
      <c r="AB308" s="361"/>
      <c r="AC308" s="361"/>
      <c r="AD308" s="361"/>
      <c r="AE308" s="361"/>
      <c r="AF308" s="361"/>
      <c r="AG308" s="361"/>
      <c r="AH308" s="361"/>
    </row>
    <row r="309" spans="18:34" x14ac:dyDescent="0.2">
      <c r="R309" s="361"/>
      <c r="S309" s="366">
        <v>42472</v>
      </c>
      <c r="T309" s="366">
        <v>42837</v>
      </c>
      <c r="U309" s="366">
        <v>43202</v>
      </c>
      <c r="V309" s="366">
        <v>43567</v>
      </c>
      <c r="W309" s="366">
        <v>43933</v>
      </c>
      <c r="X309" s="366">
        <v>44298</v>
      </c>
      <c r="Y309" s="366"/>
      <c r="Z309" s="366"/>
      <c r="AA309" s="366"/>
      <c r="AB309" s="366"/>
      <c r="AC309" s="366"/>
      <c r="AD309" s="366"/>
      <c r="AE309" s="366"/>
      <c r="AF309" s="363"/>
      <c r="AG309" s="366"/>
      <c r="AH309" s="363"/>
    </row>
    <row r="310" spans="18:34" x14ac:dyDescent="0.2">
      <c r="R310" s="361" t="s">
        <v>1318</v>
      </c>
      <c r="S310" s="367"/>
      <c r="T310" s="455">
        <f>100000/5</f>
        <v>20000</v>
      </c>
      <c r="U310" s="455">
        <f>100000/5</f>
        <v>20000</v>
      </c>
      <c r="V310" s="455">
        <f>100000/5</f>
        <v>20000</v>
      </c>
      <c r="W310" s="455">
        <f>100000/5</f>
        <v>20000</v>
      </c>
      <c r="X310" s="455">
        <f>100000/5</f>
        <v>20000</v>
      </c>
      <c r="Y310" s="361"/>
      <c r="Z310" s="361"/>
      <c r="AA310" s="361"/>
      <c r="AB310" s="361"/>
      <c r="AC310" s="361"/>
      <c r="AD310" s="361"/>
      <c r="AE310" s="361"/>
      <c r="AF310" s="361"/>
      <c r="AG310" s="361"/>
      <c r="AH310" s="361"/>
    </row>
    <row r="311" spans="18:34" x14ac:dyDescent="0.2">
      <c r="R311" s="361" t="s">
        <v>1320</v>
      </c>
      <c r="S311" s="368">
        <v>100000</v>
      </c>
      <c r="T311" s="369">
        <f>+S311-T310</f>
        <v>80000</v>
      </c>
      <c r="U311" s="369">
        <f>+T311-U310</f>
        <v>60000</v>
      </c>
      <c r="V311" s="369">
        <f>+U311-V310</f>
        <v>40000</v>
      </c>
      <c r="W311" s="369">
        <f>+V311-W310</f>
        <v>20000</v>
      </c>
      <c r="X311" s="369">
        <f>+W311-X310</f>
        <v>0</v>
      </c>
      <c r="Y311" s="369"/>
      <c r="Z311" s="369"/>
      <c r="AA311" s="369"/>
      <c r="AB311" s="369"/>
      <c r="AC311" s="369"/>
      <c r="AD311" s="369"/>
      <c r="AE311" s="369"/>
      <c r="AF311" s="369"/>
      <c r="AG311" s="369"/>
      <c r="AH311" s="369"/>
    </row>
    <row r="312" spans="18:34" x14ac:dyDescent="0.2">
      <c r="R312" s="361" t="s">
        <v>1321</v>
      </c>
      <c r="S312" s="367"/>
      <c r="T312" s="370">
        <f>+$T$308*S311</f>
        <v>3719.9999999999995</v>
      </c>
      <c r="U312" s="370">
        <f>+$T$308*T311</f>
        <v>2975.9999999999995</v>
      </c>
      <c r="V312" s="370">
        <f>+$T$308*U311</f>
        <v>2232</v>
      </c>
      <c r="W312" s="370">
        <f>+$T$308*V311</f>
        <v>1487.9999999999998</v>
      </c>
      <c r="X312" s="370">
        <f>+$T$308*W311</f>
        <v>743.99999999999989</v>
      </c>
      <c r="Y312" s="370"/>
      <c r="Z312" s="370"/>
      <c r="AA312" s="370"/>
      <c r="AB312" s="370"/>
      <c r="AC312" s="370"/>
      <c r="AD312" s="370"/>
      <c r="AE312" s="370"/>
      <c r="AF312" s="370"/>
      <c r="AG312" s="370"/>
      <c r="AH312" s="370"/>
    </row>
    <row r="313" spans="18:34" x14ac:dyDescent="0.2">
      <c r="R313" s="361" t="s">
        <v>1322</v>
      </c>
      <c r="S313" s="367"/>
      <c r="T313" s="370">
        <f>+T312+T310</f>
        <v>23720</v>
      </c>
      <c r="U313" s="370">
        <f>+U312+U310</f>
        <v>22976</v>
      </c>
      <c r="V313" s="370">
        <f>+V312+V310</f>
        <v>22232</v>
      </c>
      <c r="W313" s="370">
        <f>+W312+W310</f>
        <v>21488</v>
      </c>
      <c r="X313" s="370">
        <f>+X312+X310</f>
        <v>20744</v>
      </c>
      <c r="Y313" s="370"/>
      <c r="Z313" s="370"/>
      <c r="AA313" s="370"/>
      <c r="AB313" s="370"/>
      <c r="AC313" s="370"/>
      <c r="AD313" s="370"/>
      <c r="AE313" s="370"/>
      <c r="AF313" s="370"/>
      <c r="AG313" s="370"/>
      <c r="AH313" s="370"/>
    </row>
    <row r="314" spans="18:34" x14ac:dyDescent="0.2">
      <c r="R314" s="361" t="s">
        <v>1323</v>
      </c>
      <c r="S314" s="368"/>
      <c r="T314" s="370">
        <f>+IF(T309&gt;$T$1,T313,0)</f>
        <v>0</v>
      </c>
      <c r="U314" s="370">
        <f>+IF(U309&gt;$T$1,U313,0)</f>
        <v>0</v>
      </c>
      <c r="V314" s="370">
        <f>+IF(V309&gt;$T$1,V313,0)</f>
        <v>0</v>
      </c>
      <c r="W314" s="370">
        <f>+IF(W309&gt;$T$1,W313,0)</f>
        <v>0</v>
      </c>
      <c r="X314" s="370">
        <f>+IF(X309&gt;$T$1,X313,0)</f>
        <v>0</v>
      </c>
      <c r="Y314" s="370"/>
      <c r="Z314" s="370"/>
      <c r="AA314" s="370"/>
      <c r="AB314" s="370"/>
      <c r="AC314" s="370"/>
      <c r="AD314" s="370"/>
      <c r="AE314" s="370"/>
      <c r="AF314" s="370"/>
      <c r="AG314" s="370"/>
      <c r="AH314" s="370"/>
    </row>
    <row r="315" spans="18:34" x14ac:dyDescent="0.2">
      <c r="R315" s="361" t="s">
        <v>1324</v>
      </c>
      <c r="S315" s="371"/>
      <c r="T315" s="457">
        <f>+IF(S314=0,(T309-$T$1)/(T309-S309),S315+1)</f>
        <v>-8.9589041095890405</v>
      </c>
      <c r="U315" s="457">
        <f>+IF(T314=0,(U309-$T$1)/(U309-T309),T315+1)</f>
        <v>-7.9589041095890414</v>
      </c>
      <c r="V315" s="457">
        <f>+IF(U314=0,(V309-$T$1)/(V309-U309),U315+1)</f>
        <v>-6.9589041095890414</v>
      </c>
      <c r="W315" s="457">
        <f>+IF(V314=0,(W309-$T$1)/(W309-V309),V315+1)</f>
        <v>-5.9398907103825138</v>
      </c>
      <c r="X315" s="457">
        <f>+IF(W314=0,(X309-$T$1)/(X309-W309),W315+1)</f>
        <v>-4.956164383561644</v>
      </c>
      <c r="Y315" s="361"/>
      <c r="Z315" s="361"/>
      <c r="AA315" s="361"/>
      <c r="AB315" s="361"/>
      <c r="AC315" s="361"/>
      <c r="AD315" s="361"/>
      <c r="AE315" s="361"/>
      <c r="AF315" s="361"/>
      <c r="AG315" s="361"/>
      <c r="AH315" s="361"/>
    </row>
    <row r="316" spans="18:34" x14ac:dyDescent="0.2">
      <c r="R316" s="372" t="s">
        <v>1325</v>
      </c>
      <c r="S316" s="367"/>
      <c r="T316" s="375">
        <f>IF(T315&lt;1,interpoler(mat_court,taux_court_act,T315*(T309-S309)),interpoler(mat,taux,T315))</f>
        <v>2.3281430422376737E-2</v>
      </c>
      <c r="U316" s="373">
        <f>IF(U315&lt;1,interpoler(mat_court,taux_court_act,U315*(U309-T309)),interpoler(mat,taux,U315))</f>
        <v>2.3281430422376737E-2</v>
      </c>
      <c r="V316" s="373">
        <f>IF(V315&lt;1,interpoler(mat_court,taux_court_act,V315*(V309-U309)),interpoler(mat,taux,V315))</f>
        <v>2.3281430422376737E-2</v>
      </c>
      <c r="W316" s="373">
        <f>IF(W315&lt;1,interpoler(mat_court,taux_court_act,W315*(W309-V309)),interpoler(mat,taux,W315))</f>
        <v>2.3281430422376737E-2</v>
      </c>
      <c r="X316" s="373">
        <f>IF(X315&lt;1,interpoler(mat_court,taux_court_act,X315*(X309-W309)),interpoler(mat,taux,X315))</f>
        <v>2.3281430422376737E-2</v>
      </c>
      <c r="Y316" s="373"/>
      <c r="Z316" s="373"/>
      <c r="AA316" s="373"/>
      <c r="AB316" s="373"/>
      <c r="AC316" s="373"/>
      <c r="AD316" s="373"/>
      <c r="AE316" s="373"/>
      <c r="AF316" s="373"/>
      <c r="AG316" s="373"/>
      <c r="AH316" s="439"/>
    </row>
    <row r="317" spans="18:34" x14ac:dyDescent="0.2">
      <c r="R317" s="361" t="s">
        <v>1328</v>
      </c>
      <c r="S317" s="367"/>
      <c r="T317" s="429">
        <v>1.1599999999999999E-2</v>
      </c>
      <c r="U317" s="372">
        <f>+T317</f>
        <v>1.1599999999999999E-2</v>
      </c>
      <c r="V317" s="372">
        <f>+U317</f>
        <v>1.1599999999999999E-2</v>
      </c>
      <c r="W317" s="372">
        <f>+V317</f>
        <v>1.1599999999999999E-2</v>
      </c>
      <c r="X317" s="372">
        <f>+W317</f>
        <v>1.1599999999999999E-2</v>
      </c>
      <c r="Y317" s="372"/>
      <c r="Z317" s="372"/>
      <c r="AA317" s="372"/>
      <c r="AB317" s="372"/>
      <c r="AC317" s="372"/>
      <c r="AD317" s="372"/>
      <c r="AE317" s="372"/>
      <c r="AF317" s="372"/>
      <c r="AG317" s="372"/>
      <c r="AH317" s="440"/>
    </row>
    <row r="318" spans="18:34" x14ac:dyDescent="0.2">
      <c r="R318" s="361" t="s">
        <v>1329</v>
      </c>
      <c r="S318" s="367"/>
      <c r="T318" s="372">
        <f>+ROUND(T316+T317,5)</f>
        <v>3.4880000000000001E-2</v>
      </c>
      <c r="U318" s="372">
        <f>+ROUND(U316+U317,5)</f>
        <v>3.4880000000000001E-2</v>
      </c>
      <c r="V318" s="372">
        <f>+ROUND(V316+V317,5)</f>
        <v>3.4880000000000001E-2</v>
      </c>
      <c r="W318" s="372">
        <f>+ROUND(W316+W317,5)</f>
        <v>3.4880000000000001E-2</v>
      </c>
      <c r="X318" s="372">
        <f>+ROUND(X316+X317,5)</f>
        <v>3.4880000000000001E-2</v>
      </c>
      <c r="Y318" s="365"/>
      <c r="Z318" s="365"/>
      <c r="AA318" s="365"/>
      <c r="AB318" s="365"/>
      <c r="AC318" s="365"/>
      <c r="AD318" s="365"/>
      <c r="AE318" s="365"/>
      <c r="AF318" s="365"/>
      <c r="AG318" s="365"/>
      <c r="AH318" s="440"/>
    </row>
    <row r="319" spans="18:34" x14ac:dyDescent="0.2">
      <c r="R319" s="361"/>
      <c r="S319" s="367"/>
      <c r="T319" s="368">
        <f>+T314/(1+T318)^T315</f>
        <v>0</v>
      </c>
      <c r="U319" s="430">
        <f>+U314/(1+U318)^U315</f>
        <v>0</v>
      </c>
      <c r="V319" s="456">
        <f>+V314/(1+V318)^V315</f>
        <v>0</v>
      </c>
      <c r="W319" s="456">
        <f>+W314/(1+W318)^W315</f>
        <v>0</v>
      </c>
      <c r="X319" s="456">
        <f>+X314/(1+X318)^X315</f>
        <v>0</v>
      </c>
      <c r="Y319" s="368"/>
      <c r="Z319" s="368"/>
      <c r="AA319" s="368"/>
      <c r="AB319" s="368"/>
      <c r="AC319" s="368"/>
      <c r="AD319" s="368"/>
      <c r="AE319" s="368"/>
      <c r="AF319" s="368"/>
      <c r="AG319" s="368"/>
      <c r="AH319" s="368"/>
    </row>
    <row r="320" spans="18:34" x14ac:dyDescent="0.2">
      <c r="R320" s="361"/>
      <c r="S320" s="367"/>
      <c r="T320" s="365"/>
      <c r="U320" s="365"/>
      <c r="V320" s="365"/>
      <c r="W320" s="365"/>
      <c r="X320" s="441"/>
      <c r="Y320" s="365"/>
      <c r="Z320" s="365"/>
      <c r="AA320" s="365"/>
      <c r="AB320" s="365"/>
      <c r="AC320" s="365"/>
      <c r="AD320" s="365"/>
      <c r="AE320" s="365"/>
      <c r="AF320" s="365"/>
      <c r="AG320" s="365"/>
      <c r="AH320" s="365"/>
    </row>
    <row r="321" spans="18:34" x14ac:dyDescent="0.2">
      <c r="R321" s="436" t="s">
        <v>650</v>
      </c>
      <c r="S321" s="445">
        <f>+SUM(T319:AH319)</f>
        <v>0</v>
      </c>
      <c r="T321" s="365"/>
      <c r="U321" s="365"/>
      <c r="V321" s="365"/>
      <c r="W321" s="365"/>
      <c r="X321" s="365"/>
      <c r="Y321" s="365"/>
      <c r="Z321" s="365"/>
      <c r="AA321" s="365"/>
      <c r="AB321" s="365"/>
      <c r="AC321" s="365"/>
      <c r="AD321" s="365"/>
      <c r="AE321" s="365"/>
      <c r="AF321" s="365"/>
      <c r="AG321" s="365"/>
      <c r="AH321" s="365"/>
    </row>
    <row r="322" spans="18:34" x14ac:dyDescent="0.2">
      <c r="R322" s="436" t="s">
        <v>1331</v>
      </c>
      <c r="S322" s="446" t="e">
        <f>+SUMPRODUCT(T315:AH315,T319:AH319)/S321</f>
        <v>#DIV/0!</v>
      </c>
      <c r="T322" s="361"/>
      <c r="U322" s="361"/>
      <c r="V322" s="361"/>
      <c r="W322" s="361"/>
      <c r="X322" s="361"/>
      <c r="Y322" s="361"/>
      <c r="Z322" s="361"/>
      <c r="AA322" s="361"/>
      <c r="AB322" s="361"/>
      <c r="AC322" s="361"/>
      <c r="AD322" s="361"/>
      <c r="AE322" s="361"/>
      <c r="AF322" s="361"/>
      <c r="AG322" s="442"/>
      <c r="AH322" s="361"/>
    </row>
    <row r="324" spans="18:34" x14ac:dyDescent="0.2">
      <c r="U324" s="458"/>
      <c r="V324" s="458"/>
      <c r="W324" s="458"/>
      <c r="X324" s="458"/>
    </row>
  </sheetData>
  <mergeCells count="1">
    <mergeCell ref="K1:L1"/>
  </mergeCells>
  <phoneticPr fontId="0" type="noConversion"/>
  <pageMargins left="0.78740157499999996" right="0.78740157499999996" top="0.98" bottom="0.984251969" header="0.4921259845" footer="0.4921259845"/>
  <pageSetup paperSize="9"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346EF-C8BB-425D-BA08-F7013DF6D227}">
  <sheetPr codeName="Feuil3"/>
  <dimension ref="A1"/>
  <sheetViews>
    <sheetView workbookViewId="0"/>
  </sheetViews>
  <sheetFormatPr baseColWidth="10"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6B8CC70-334D-420F-80EB-129114B92E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28</vt:i4>
      </vt:variant>
    </vt:vector>
  </HeadingPairs>
  <TitlesOfParts>
    <vt:vector size="42" baseType="lpstr">
      <vt:lpstr>Marché</vt:lpstr>
      <vt:lpstr>Lignes_détenues</vt:lpstr>
      <vt:lpstr>Courbe des taux</vt:lpstr>
      <vt:lpstr>DATA</vt:lpstr>
      <vt:lpstr>ZC</vt:lpstr>
      <vt:lpstr>CONTROLE_PRICER_MANAR</vt:lpstr>
      <vt:lpstr>Ammortissable</vt:lpstr>
      <vt:lpstr>CIH</vt:lpstr>
      <vt:lpstr>Echéanciers des Parts</vt:lpstr>
      <vt:lpstr>Echeancier de parts 2</vt:lpstr>
      <vt:lpstr>FEC9149-2140</vt:lpstr>
      <vt:lpstr>ammc</vt:lpstr>
      <vt:lpstr>ONCF</vt:lpstr>
      <vt:lpstr>Feuil1</vt:lpstr>
      <vt:lpstr>_mat1</vt:lpstr>
      <vt:lpstr>_mat2</vt:lpstr>
      <vt:lpstr>Année</vt:lpstr>
      <vt:lpstr>base</vt:lpstr>
      <vt:lpstr>CIH!CrbTxZc</vt:lpstr>
      <vt:lpstr>CrbTxZc</vt:lpstr>
      <vt:lpstr>DateVariable</vt:lpstr>
      <vt:lpstr>CIH!mat</vt:lpstr>
      <vt:lpstr>mat</vt:lpstr>
      <vt:lpstr>mat_court</vt:lpstr>
      <vt:lpstr>mat_zc</vt:lpstr>
      <vt:lpstr>Marché!Obligation</vt:lpstr>
      <vt:lpstr>pointZC</vt:lpstr>
      <vt:lpstr>CIH!TabCrb</vt:lpstr>
      <vt:lpstr>TabCrb</vt:lpstr>
      <vt:lpstr>CIH!taux</vt:lpstr>
      <vt:lpstr>taux</vt:lpstr>
      <vt:lpstr>taux_court_act</vt:lpstr>
      <vt:lpstr>Taux_ZC</vt:lpstr>
      <vt:lpstr>taux_ZCC</vt:lpstr>
      <vt:lpstr>taux1</vt:lpstr>
      <vt:lpstr>taux2</vt:lpstr>
      <vt:lpstr>TauxZCActuariel</vt:lpstr>
      <vt:lpstr>ZC_annee</vt:lpstr>
      <vt:lpstr>ZC_Taux</vt:lpstr>
      <vt:lpstr>CIH!Zone_d_impression</vt:lpstr>
      <vt:lpstr>'Courbe des taux'!Zone_d_impression</vt:lpstr>
      <vt:lpstr>ONCF!Zone_d_impression</vt:lpstr>
    </vt:vector>
  </TitlesOfParts>
  <Company>ATM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KHADIJA RHASSANI</dc:creator>
  <cp:lastModifiedBy>dell</cp:lastModifiedBy>
  <cp:lastPrinted>2018-12-17T13:58:03Z</cp:lastPrinted>
  <dcterms:created xsi:type="dcterms:W3CDTF">2001-10-17T16:48:27Z</dcterms:created>
  <dcterms:modified xsi:type="dcterms:W3CDTF">2026-04-05T14:17:32Z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c609f049-264d-4094-82fe-b27801999f0f</vt:lpwstr>
  </property>
  <property fmtid="{D5CDD505-2E9C-101B-9397-08002B2CF9AE}" pid="3" name="Workbook type">
    <vt:lpwstr>Custom</vt:lpwstr>
  </property>
  <property fmtid="{D5CDD505-2E9C-101B-9397-08002B2CF9AE}" pid="4" name="Workbook version">
    <vt:lpwstr>Custom</vt:lpwstr>
  </property>
</Properties>
</file>